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15225" yWindow="0" windowWidth="7905" windowHeight="11760" tabRatio="956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with diff nomenclature" sheetId="99" state="hidden" r:id="rId17"/>
    <sheet name="GRD SUMM RCL 150X150 " sheetId="71" r:id="rId18"/>
    <sheet name="GRD SUMM RCL CASTER 3" sheetId="72" r:id="rId19"/>
    <sheet name="150x150 saleable grades" sheetId="90" r:id="rId20"/>
    <sheet name="Value added steel " sheetId="50" r:id="rId21"/>
    <sheet name="POWER DISTRIBUTION" sheetId="38" r:id="rId22"/>
    <sheet name="PBS" sheetId="17" r:id="rId23"/>
    <sheet name="ECD" sheetId="15" r:id="rId24"/>
    <sheet name="EMD" sheetId="26" r:id="rId25"/>
    <sheet name="LDCP" sheetId="22" r:id="rId26"/>
    <sheet name="OXY PL" sheetId="27" r:id="rId27"/>
    <sheet name="SEQR  Prod &amp; Dispatch" sheetId="52" r:id="rId28"/>
    <sheet name="High carbon grades" sheetId="61" r:id="rId29"/>
    <sheet name="SHOPS" sheetId="24" r:id="rId30"/>
    <sheet name="Quality" sheetId="82" r:id="rId31"/>
    <sheet name="Slag Rate and IOF" sheetId="85" state="hidden" r:id="rId32"/>
    <sheet name="Special steel " sheetId="83" state="hidden" r:id="rId33"/>
    <sheet name="shopwise make up water" sheetId="86" state="hidden" r:id="rId34"/>
    <sheet name="Slag Analysis" sheetId="87" state="hidden" r:id="rId35"/>
    <sheet name="Shopwise Refractory consumption" sheetId="88" state="hidden" r:id="rId36"/>
    <sheet name="Delay Analysis" sheetId="93" state="hidden" r:id="rId37"/>
    <sheet name="Sheet1" sheetId="94" state="hidden" r:id="rId38"/>
    <sheet name="Sheet2" sheetId="95" state="hidden" r:id="rId39"/>
    <sheet name="Capital Repair" sheetId="97" state="hidden" r:id="rId40"/>
    <sheet name="Sheet3" sheetId="98" state="hidden" r:id="rId41"/>
    <sheet name="Sheet4" sheetId="100" state="hidden" r:id="rId42"/>
    <sheet name="Sheet5" sheetId="101" state="hidden" r:id="rId43"/>
    <sheet name="Sheet6" sheetId="102" state="hidden" r:id="rId44"/>
  </sheets>
  <externalReferences>
    <externalReference r:id="rId45"/>
  </externalReferences>
  <definedNames>
    <definedName name="_1" localSheetId="19">#REF!</definedName>
    <definedName name="_1" localSheetId="4">#REF!</definedName>
    <definedName name="_1" localSheetId="17">#REF!</definedName>
    <definedName name="_1" localSheetId="18">#REF!</definedName>
    <definedName name="_1" localSheetId="30">#REF!</definedName>
    <definedName name="_1" localSheetId="7">#REF!</definedName>
    <definedName name="_1" localSheetId="32">#REF!</definedName>
    <definedName name="_1" localSheetId="16">#REF!</definedName>
    <definedName name="_1">#REF!</definedName>
    <definedName name="_2" localSheetId="19">#REF!</definedName>
    <definedName name="_2" localSheetId="4">#REF!</definedName>
    <definedName name="_2" localSheetId="17">#REF!</definedName>
    <definedName name="_2" localSheetId="18">#REF!</definedName>
    <definedName name="_2" localSheetId="30">#REF!</definedName>
    <definedName name="_2" localSheetId="7">#REF!</definedName>
    <definedName name="_2" localSheetId="32">#REF!</definedName>
    <definedName name="_2" localSheetId="16">#REF!</definedName>
    <definedName name="_2">#REF!</definedName>
    <definedName name="_3" localSheetId="19">#REF!</definedName>
    <definedName name="_3" localSheetId="17">#REF!</definedName>
    <definedName name="_3" localSheetId="18">#REF!</definedName>
    <definedName name="_3" localSheetId="30">#REF!</definedName>
    <definedName name="_3" localSheetId="7">#REF!</definedName>
    <definedName name="_3" localSheetId="32">#REF!</definedName>
    <definedName name="_3" localSheetId="16">#REF!</definedName>
    <definedName name="_3">#REF!</definedName>
    <definedName name="_4" localSheetId="32">#REF!</definedName>
    <definedName name="_4" localSheetId="16">#REF!</definedName>
    <definedName name="_4">#REF!</definedName>
    <definedName name="_xlnm._FilterDatabase" localSheetId="14" hidden="1">BM!$C$5:$C$79</definedName>
    <definedName name="_xlnm._FilterDatabase" localSheetId="6" hidden="1">'DETAIL DESP  '!$C$280:$C$375</definedName>
    <definedName name="_xlnm._FilterDatabase" localSheetId="4" hidden="1">'Direct sales IPT details'!$B$139:$AA$139</definedName>
    <definedName name="_xlnm._FilterDatabase" localSheetId="17" hidden="1">'GRD SUMM RCL 150X150 '!$D$5:$AR$56</definedName>
    <definedName name="_xlnm._FilterDatabase" localSheetId="15" hidden="1">USM!$C$7:$C$144</definedName>
    <definedName name="_xlnm._FilterDatabase" localSheetId="16" hidden="1">'with diff nomenclature'!$D$5:$AR$74</definedName>
    <definedName name="_xlnm._FilterDatabase" localSheetId="13" hidden="1">WRM!$C$3:$C$178</definedName>
    <definedName name="a" localSheetId="4">#REF!</definedName>
    <definedName name="a" localSheetId="7">#REF!</definedName>
    <definedName name="a" localSheetId="32">#REF!</definedName>
    <definedName name="a" localSheetId="16">#REF!</definedName>
    <definedName name="a">#REF!</definedName>
    <definedName name="AA" localSheetId="4">#REF!</definedName>
    <definedName name="AA" localSheetId="32">#REF!</definedName>
    <definedName name="AA" localSheetId="16">#REF!</definedName>
    <definedName name="AA">#REF!</definedName>
    <definedName name="AB" localSheetId="4">#REF!</definedName>
    <definedName name="AB" localSheetId="32">#REF!</definedName>
    <definedName name="AB" localSheetId="16">#REF!</definedName>
    <definedName name="AB">#REF!</definedName>
    <definedName name="AC" localSheetId="32">#REF!</definedName>
    <definedName name="AC" localSheetId="16">#REF!</definedName>
    <definedName name="AC">#REF!</definedName>
    <definedName name="AD" localSheetId="32">#REF!</definedName>
    <definedName name="AD" localSheetId="16">#REF!</definedName>
    <definedName name="AD">#REF!</definedName>
    <definedName name="AE" localSheetId="32">#REF!</definedName>
    <definedName name="AE" localSheetId="16">#REF!</definedName>
    <definedName name="AE">#REF!</definedName>
    <definedName name="AF" localSheetId="32">#REF!</definedName>
    <definedName name="AF" localSheetId="16">#REF!</definedName>
    <definedName name="AF">#REF!</definedName>
    <definedName name="AG" localSheetId="32">#REF!</definedName>
    <definedName name="AG" localSheetId="16">#REF!</definedName>
    <definedName name="AG">#REF!</definedName>
    <definedName name="AH" localSheetId="32">#REF!</definedName>
    <definedName name="AH" localSheetId="16">#REF!</definedName>
    <definedName name="AH">#REF!</definedName>
    <definedName name="AI" localSheetId="32">#REF!</definedName>
    <definedName name="AI" localSheetId="16">#REF!</definedName>
    <definedName name="AI">#REF!</definedName>
    <definedName name="AK" localSheetId="32">#REF!</definedName>
    <definedName name="AK" localSheetId="16">#REF!</definedName>
    <definedName name="AK">#REF!</definedName>
    <definedName name="AL" localSheetId="32">#REF!</definedName>
    <definedName name="AL" localSheetId="16">#REF!</definedName>
    <definedName name="AL">#REF!</definedName>
    <definedName name="AM" localSheetId="32">#REF!</definedName>
    <definedName name="AM" localSheetId="16">#REF!</definedName>
    <definedName name="AM">#REF!</definedName>
    <definedName name="AN" localSheetId="32">#REF!</definedName>
    <definedName name="AN" localSheetId="16">#REF!</definedName>
    <definedName name="AN">#REF!</definedName>
    <definedName name="AS" localSheetId="32">#REF!</definedName>
    <definedName name="AS" localSheetId="16">#REF!</definedName>
    <definedName name="AS">#REF!</definedName>
    <definedName name="CL" localSheetId="32">#REF!</definedName>
    <definedName name="CL" localSheetId="16">#REF!</definedName>
    <definedName name="CL">#REF!</definedName>
    <definedName name="D" localSheetId="32">#REF!</definedName>
    <definedName name="D" localSheetId="16">#REF!</definedName>
    <definedName name="D">#REF!</definedName>
    <definedName name="E" localSheetId="32">#REF!</definedName>
    <definedName name="E" localSheetId="16">#REF!</definedName>
    <definedName name="E">#REF!</definedName>
    <definedName name="F" localSheetId="32">#REF!</definedName>
    <definedName name="F" localSheetId="16">#REF!</definedName>
    <definedName name="F">#REF!</definedName>
    <definedName name="G" localSheetId="32">#REF!</definedName>
    <definedName name="G" localSheetId="16">#REF!</definedName>
    <definedName name="G">#REF!</definedName>
    <definedName name="H" localSheetId="32">#REF!</definedName>
    <definedName name="H" localSheetId="16">#REF!</definedName>
    <definedName name="H">#REF!</definedName>
    <definedName name="I" localSheetId="32">#REF!</definedName>
    <definedName name="I" localSheetId="16">#REF!</definedName>
    <definedName name="I">#REF!</definedName>
    <definedName name="J" localSheetId="32">#REF!</definedName>
    <definedName name="J" localSheetId="16">#REF!</definedName>
    <definedName name="J">#REF!</definedName>
    <definedName name="K" localSheetId="32">#REF!</definedName>
    <definedName name="K" localSheetId="16">#REF!</definedName>
    <definedName name="K">#REF!</definedName>
    <definedName name="L" localSheetId="32">#REF!</definedName>
    <definedName name="L" localSheetId="16">#REF!</definedName>
    <definedName name="L">#REF!</definedName>
    <definedName name="M" localSheetId="32">#REF!</definedName>
    <definedName name="M" localSheetId="16">#REF!</definedName>
    <definedName name="M">#REF!</definedName>
    <definedName name="N" localSheetId="32">#REF!</definedName>
    <definedName name="N" localSheetId="16">#REF!</definedName>
    <definedName name="N">#REF!</definedName>
    <definedName name="O" localSheetId="32">#REF!</definedName>
    <definedName name="O" localSheetId="16">#REF!</definedName>
    <definedName name="O">#REF!</definedName>
    <definedName name="P" localSheetId="32">#REF!</definedName>
    <definedName name="P" localSheetId="16">#REF!</definedName>
    <definedName name="P">#REF!</definedName>
    <definedName name="_xlnm.Print_Area" localSheetId="19">'150x150 saleable grades'!$C$66:$BE$128</definedName>
    <definedName name="_xlnm.Print_Area" localSheetId="11">'B-FCE'!$B$1:$AT$107</definedName>
    <definedName name="_xlnm.Print_Area" localSheetId="14">BM!$B$1:$V$96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'!$B$3:$F$84</definedName>
    <definedName name="_xlnm.Print_Area" localSheetId="4">'Direct sales IPT details'!$B$2:$U$134</definedName>
    <definedName name="_xlnm.Print_Area" localSheetId="23">ECD!#REF!</definedName>
    <definedName name="_xlnm.Print_Area" localSheetId="24">EMD!$B$1:$M$130</definedName>
    <definedName name="_xlnm.Print_Area" localSheetId="17">'GRD SUMM RCL 150X150 '!$E$2:$CU$56</definedName>
    <definedName name="_xlnm.Print_Area" localSheetId="18">'GRD SUMM RCL CASTER 3'!$A$2:$Y$44</definedName>
    <definedName name="_xlnm.Print_Area" localSheetId="25">LDCP!$C$2:$N$33</definedName>
    <definedName name="_xlnm.Print_Area" localSheetId="1">'Maj Despatch Summ'!$B$1:$BR$28</definedName>
    <definedName name="_xlnm.Print_Area" localSheetId="0">'Maj Production Summ'!$B$3:$AB$53</definedName>
    <definedName name="_xlnm.Print_Area" localSheetId="2">'Maj Techno Summ'!$B$1:$BS$30</definedName>
    <definedName name="_xlnm.Print_Area" localSheetId="3">'Major techno all dept'!$C$3:$AE$80</definedName>
    <definedName name="_xlnm.Print_Area" localSheetId="26">'OXY PL'!$B$1:$M$39</definedName>
    <definedName name="_xlnm.Print_Area" localSheetId="22">PBS!$B$1:$M$119</definedName>
    <definedName name="_xlnm.Print_Area" localSheetId="21">'POWER DISTRIBUTION'!$B$46:$C$83</definedName>
    <definedName name="_xlnm.Print_Area" localSheetId="30">Quality!$D$5:$U$50</definedName>
    <definedName name="_xlnm.Print_Area" localSheetId="9">RMHP!$C$1:$Q$47</definedName>
    <definedName name="_xlnm.Print_Area" localSheetId="27">'SEQR  Prod &amp; Dispatch'!$C$1:$T$31</definedName>
    <definedName name="_xlnm.Print_Area" localSheetId="29">SHOPS!$C$2:$N$8</definedName>
    <definedName name="_xlnm.Print_Area" localSheetId="10">SINTER!$B$1:$V$115</definedName>
    <definedName name="_xlnm.Print_Area" localSheetId="12">SMS!$B$1:$V$139</definedName>
    <definedName name="_xlnm.Print_Area" localSheetId="32">'Special steel '!$C$1:$O$79</definedName>
    <definedName name="_xlnm.Print_Area" localSheetId="15">USM!$B$1:$O$144</definedName>
    <definedName name="_xlnm.Print_Area" localSheetId="20">'Value added steel '!$C$1:$O$95</definedName>
    <definedName name="_xlnm.Print_Area" localSheetId="16">'with diff nomenclature'!$E$2:$CU$74</definedName>
    <definedName name="_xlnm.Print_Area" localSheetId="13">WRM!$B$1:$N$195</definedName>
    <definedName name="Q" localSheetId="4">#REF!</definedName>
    <definedName name="Q" localSheetId="7">#REF!</definedName>
    <definedName name="Q" localSheetId="32">#REF!</definedName>
    <definedName name="Q" localSheetId="16">#REF!</definedName>
    <definedName name="Q">#REF!</definedName>
    <definedName name="RL" localSheetId="4">#REF!</definedName>
    <definedName name="RL" localSheetId="32">#REF!</definedName>
    <definedName name="RL" localSheetId="16">#REF!</definedName>
    <definedName name="RL">#REF!</definedName>
    <definedName name="RM" localSheetId="4">#REF!</definedName>
    <definedName name="RM" localSheetId="32">#REF!</definedName>
    <definedName name="RM" localSheetId="16">#REF!</definedName>
    <definedName name="RM">#REF!</definedName>
    <definedName name="rmisp" localSheetId="32">#REF!</definedName>
    <definedName name="rmisp" localSheetId="16">#REF!</definedName>
    <definedName name="rmisp">#REF!</definedName>
    <definedName name="S" localSheetId="32">#REF!</definedName>
    <definedName name="S" localSheetId="16">#REF!</definedName>
    <definedName name="S">#REF!</definedName>
    <definedName name="T" localSheetId="32">#REF!</definedName>
    <definedName name="T" localSheetId="16">#REF!</definedName>
    <definedName name="T">#REF!</definedName>
    <definedName name="U" localSheetId="32">#REF!</definedName>
    <definedName name="U" localSheetId="16">#REF!</definedName>
    <definedName name="U">#REF!</definedName>
    <definedName name="V" localSheetId="32">#REF!</definedName>
    <definedName name="V" localSheetId="16">#REF!</definedName>
    <definedName name="V">#REF!</definedName>
    <definedName name="W" localSheetId="32">#REF!</definedName>
    <definedName name="W" localSheetId="16">#REF!</definedName>
    <definedName name="W">#REF!</definedName>
    <definedName name="X" localSheetId="32">#REF!</definedName>
    <definedName name="X" localSheetId="16">#REF!</definedName>
    <definedName name="X">#REF!</definedName>
    <definedName name="Y" localSheetId="32">#REF!</definedName>
    <definedName name="Y" localSheetId="16">#REF!</definedName>
    <definedName name="Y">#REF!</definedName>
    <definedName name="Z" localSheetId="32">#REF!</definedName>
    <definedName name="Z" localSheetId="16">#REF!</definedName>
    <definedName name="Z">#REF!</definedName>
  </definedNames>
  <calcPr calcId="144525"/>
</workbook>
</file>

<file path=xl/calcChain.xml><?xml version="1.0" encoding="utf-8"?>
<calcChain xmlns="http://schemas.openxmlformats.org/spreadsheetml/2006/main">
  <c r="K87" i="35" l="1"/>
  <c r="K78" i="35"/>
  <c r="K82" i="35"/>
  <c r="K74" i="35"/>
  <c r="K70" i="35"/>
  <c r="K66" i="35"/>
  <c r="K62" i="35"/>
  <c r="G75" i="35"/>
  <c r="G76" i="35"/>
  <c r="G74" i="35"/>
  <c r="X86" i="26" l="1"/>
  <c r="X88" i="26"/>
  <c r="X90" i="26"/>
  <c r="X92" i="26"/>
  <c r="X93" i="26"/>
  <c r="W77" i="77" l="1"/>
  <c r="L77" i="77" l="1"/>
  <c r="X77" i="77"/>
  <c r="Y77" i="77"/>
  <c r="T77" i="77"/>
  <c r="U77" i="77"/>
  <c r="Z77" i="77" l="1"/>
  <c r="L55" i="6" l="1"/>
  <c r="L56" i="6"/>
  <c r="F56" i="6" l="1"/>
  <c r="F55" i="6"/>
  <c r="BG195" i="10" l="1"/>
  <c r="BE195" i="10"/>
  <c r="BC195" i="10"/>
  <c r="BA195" i="10"/>
  <c r="AY195" i="10"/>
  <c r="AW195" i="10"/>
  <c r="AU195" i="10"/>
  <c r="AS195" i="10"/>
  <c r="AQ195" i="10"/>
  <c r="AO195" i="10"/>
  <c r="AM195" i="10"/>
  <c r="AK195" i="10"/>
  <c r="AI195" i="10"/>
  <c r="AG195" i="10"/>
  <c r="AE195" i="10"/>
  <c r="AC195" i="10"/>
  <c r="Q195" i="10"/>
  <c r="I195" i="10"/>
  <c r="Z186" i="10"/>
  <c r="AB186" i="10" s="1"/>
  <c r="V26" i="77" l="1"/>
  <c r="W26" i="77"/>
  <c r="Y90" i="77" l="1"/>
  <c r="X90" i="77"/>
  <c r="Y89" i="77"/>
  <c r="X89" i="77"/>
  <c r="X86" i="77"/>
  <c r="X85" i="77"/>
  <c r="X84" i="77"/>
  <c r="Y83" i="77"/>
  <c r="X83" i="77"/>
  <c r="Y80" i="77"/>
  <c r="X80" i="77"/>
  <c r="X78" i="77"/>
  <c r="X76" i="77"/>
  <c r="X75" i="77"/>
  <c r="Y73" i="77"/>
  <c r="X73" i="77"/>
  <c r="Y70" i="77"/>
  <c r="X70" i="77"/>
  <c r="Y69" i="77"/>
  <c r="X69" i="77"/>
  <c r="Y68" i="77"/>
  <c r="X68" i="77"/>
  <c r="Y67" i="77"/>
  <c r="X67" i="77"/>
  <c r="Y66" i="77"/>
  <c r="X66" i="77"/>
  <c r="Y65" i="77"/>
  <c r="X65" i="77"/>
  <c r="Y63" i="77"/>
  <c r="X63" i="77"/>
  <c r="Y62" i="77"/>
  <c r="X62" i="77"/>
  <c r="Y61" i="77"/>
  <c r="X61" i="77"/>
  <c r="Y60" i="77"/>
  <c r="X60" i="77"/>
  <c r="Y59" i="77"/>
  <c r="X59" i="77"/>
  <c r="Y58" i="77"/>
  <c r="X58" i="77"/>
  <c r="Y57" i="77"/>
  <c r="X57" i="77"/>
  <c r="Y56" i="77"/>
  <c r="X56" i="77"/>
  <c r="Y55" i="77"/>
  <c r="AA55" i="77" s="1"/>
  <c r="X55" i="77"/>
  <c r="Z55" i="77" s="1"/>
  <c r="Y54" i="77"/>
  <c r="X54" i="77"/>
  <c r="Y53" i="77"/>
  <c r="X53" i="77"/>
  <c r="Y52" i="77"/>
  <c r="X52" i="77"/>
  <c r="Y51" i="77"/>
  <c r="X51" i="77"/>
  <c r="Y50" i="77"/>
  <c r="X50" i="77"/>
  <c r="Y49" i="77"/>
  <c r="X49" i="77"/>
  <c r="Y48" i="77"/>
  <c r="X48" i="77"/>
  <c r="Y46" i="77"/>
  <c r="X46" i="77"/>
  <c r="Y45" i="77"/>
  <c r="X45" i="77"/>
  <c r="Y44" i="77"/>
  <c r="X44" i="77"/>
  <c r="Y43" i="77"/>
  <c r="X43" i="77"/>
  <c r="Y42" i="77"/>
  <c r="X42" i="77"/>
  <c r="Y41" i="77"/>
  <c r="X41" i="77"/>
  <c r="Y40" i="77"/>
  <c r="X40" i="77"/>
  <c r="Y39" i="77"/>
  <c r="X39" i="77"/>
  <c r="Y38" i="77"/>
  <c r="AA38" i="77" s="1"/>
  <c r="X38" i="77"/>
  <c r="Y37" i="77"/>
  <c r="X37" i="77"/>
  <c r="Y35" i="77"/>
  <c r="X35" i="77"/>
  <c r="Y34" i="77"/>
  <c r="X34" i="77"/>
  <c r="Y33" i="77"/>
  <c r="X33" i="77"/>
  <c r="Y31" i="77"/>
  <c r="X31" i="77"/>
  <c r="Y30" i="77"/>
  <c r="X30" i="77"/>
  <c r="Y29" i="77"/>
  <c r="X29" i="77"/>
  <c r="Y28" i="77"/>
  <c r="X28" i="77"/>
  <c r="Y27" i="77"/>
  <c r="X27" i="77"/>
  <c r="Y25" i="77"/>
  <c r="X25" i="77"/>
  <c r="Y24" i="77"/>
  <c r="X24" i="77"/>
  <c r="Y23" i="77"/>
  <c r="X23" i="77"/>
  <c r="Y22" i="77"/>
  <c r="X22" i="77"/>
  <c r="Y20" i="77"/>
  <c r="X20" i="77"/>
  <c r="Y19" i="77"/>
  <c r="X19" i="77"/>
  <c r="Y18" i="77"/>
  <c r="X18" i="77"/>
  <c r="Y17" i="77"/>
  <c r="X17" i="77"/>
  <c r="Y16" i="77"/>
  <c r="X16" i="77"/>
  <c r="Y15" i="77"/>
  <c r="X15" i="77"/>
  <c r="Y14" i="77"/>
  <c r="X14" i="77"/>
  <c r="Y12" i="77"/>
  <c r="X12" i="77"/>
  <c r="Y11" i="77"/>
  <c r="X11" i="77"/>
  <c r="Y10" i="77"/>
  <c r="X10" i="77"/>
  <c r="Y9" i="77"/>
  <c r="X9" i="77"/>
  <c r="Y8" i="77"/>
  <c r="X8" i="77"/>
  <c r="Y6" i="77"/>
  <c r="X6" i="77"/>
  <c r="Y5" i="77"/>
  <c r="X5" i="77"/>
  <c r="Z38" i="77"/>
  <c r="G28" i="83" l="1"/>
  <c r="K28" i="83" s="1"/>
  <c r="I28" i="83"/>
  <c r="M28" i="83"/>
  <c r="Q28" i="83"/>
  <c r="U28" i="83"/>
  <c r="Y28" i="83"/>
  <c r="AE28" i="83"/>
  <c r="AI28" i="83"/>
  <c r="AM28" i="83"/>
  <c r="AS28" i="83"/>
  <c r="AW28" i="83"/>
  <c r="BA28" i="83"/>
  <c r="Y20" i="39"/>
  <c r="Z20" i="39"/>
  <c r="AA28" i="83" l="1"/>
  <c r="BC28" i="83"/>
  <c r="AO28" i="83"/>
  <c r="BE28" i="83"/>
  <c r="O28" i="83"/>
  <c r="AC28" i="83" s="1"/>
  <c r="Y237" i="73"/>
  <c r="Y236" i="73"/>
  <c r="Y234" i="73"/>
  <c r="Y232" i="73"/>
  <c r="Y231" i="73"/>
  <c r="Y230" i="73"/>
  <c r="Y229" i="73"/>
  <c r="Y228" i="73"/>
  <c r="Y227" i="73"/>
  <c r="Y226" i="73"/>
  <c r="Y225" i="73"/>
  <c r="Y223" i="73"/>
  <c r="Y222" i="73"/>
  <c r="Y221" i="73"/>
  <c r="Y220" i="73"/>
  <c r="Y219" i="73"/>
  <c r="Y218" i="73"/>
  <c r="Y217" i="73"/>
  <c r="Y216" i="73"/>
  <c r="Y214" i="73"/>
  <c r="Y213" i="73"/>
  <c r="Y212" i="73"/>
  <c r="Y211" i="73"/>
  <c r="Y210" i="73"/>
  <c r="Y208" i="73"/>
  <c r="Y207" i="73"/>
  <c r="Y206" i="73"/>
  <c r="Y205" i="73"/>
  <c r="Y132" i="73"/>
  <c r="Y93" i="73"/>
  <c r="AG28" i="83" l="1"/>
  <c r="AK28" i="83" s="1"/>
  <c r="AQ28" i="83" s="1"/>
  <c r="AU28" i="83" s="1"/>
  <c r="AY28" i="83" s="1"/>
  <c r="BG28" i="83" s="1"/>
  <c r="S28" i="83"/>
  <c r="W28" i="83" s="1"/>
  <c r="X103" i="9" l="1"/>
  <c r="Y111" i="17"/>
  <c r="AA111" i="17" s="1"/>
  <c r="Y110" i="17"/>
  <c r="AA110" i="17" s="1"/>
  <c r="V117" i="17"/>
  <c r="V115" i="17"/>
  <c r="W87" i="17"/>
  <c r="W86" i="17"/>
  <c r="W85" i="17"/>
  <c r="W84" i="17"/>
  <c r="W83" i="17"/>
  <c r="V83" i="17"/>
  <c r="W79" i="17"/>
  <c r="V79" i="17"/>
  <c r="W74" i="17"/>
  <c r="V74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V30" i="17"/>
  <c r="W26" i="17"/>
  <c r="W22" i="17"/>
  <c r="W16" i="17" s="1"/>
  <c r="W34" i="17" s="1"/>
  <c r="V21" i="17"/>
  <c r="V19" i="17"/>
  <c r="V18" i="17"/>
  <c r="V16" i="17"/>
  <c r="V15" i="17"/>
  <c r="W14" i="17"/>
  <c r="W12" i="17"/>
  <c r="W9" i="17"/>
  <c r="W11" i="17" s="1"/>
  <c r="V9" i="17"/>
  <c r="V11" i="17" s="1"/>
  <c r="V22" i="17" l="1"/>
  <c r="W13" i="17"/>
  <c r="W15" i="17" s="1"/>
  <c r="V119" i="17"/>
  <c r="W117" i="17"/>
  <c r="W62" i="17"/>
  <c r="V59" i="17"/>
  <c r="V62" i="17" s="1"/>
  <c r="V50" i="17"/>
  <c r="V114" i="17" s="1"/>
  <c r="W33" i="17"/>
  <c r="V34" i="17"/>
  <c r="V31" i="17"/>
  <c r="V32" i="17"/>
  <c r="V54" i="17"/>
  <c r="W114" i="17"/>
  <c r="W54" i="17"/>
  <c r="W51" i="17"/>
  <c r="W55" i="17" s="1"/>
  <c r="W32" i="17"/>
  <c r="W30" i="17"/>
  <c r="V116" i="17"/>
  <c r="W116" i="17"/>
  <c r="W31" i="17"/>
  <c r="W45" i="17"/>
  <c r="V60" i="17" l="1"/>
  <c r="W115" i="17"/>
  <c r="W119" i="17" s="1"/>
  <c r="V118" i="17"/>
  <c r="W118" i="17"/>
  <c r="Y128" i="73" l="1"/>
  <c r="T82" i="10" l="1"/>
  <c r="T130" i="10"/>
  <c r="V15" i="26"/>
  <c r="X21" i="10" l="1"/>
  <c r="X28" i="10"/>
  <c r="X23" i="10"/>
  <c r="X22" i="10"/>
  <c r="X26" i="10"/>
  <c r="X30" i="10"/>
  <c r="X14" i="10"/>
  <c r="X12" i="10"/>
  <c r="X200" i="10" s="1"/>
  <c r="O6" i="45"/>
  <c r="W6" i="45"/>
  <c r="AA6" i="45"/>
  <c r="Y5" i="45"/>
  <c r="U5" i="45"/>
  <c r="W5" i="45" s="1"/>
  <c r="Q5" i="45"/>
  <c r="M5" i="45"/>
  <c r="I5" i="45"/>
  <c r="G5" i="45"/>
  <c r="AA5" i="45" l="1"/>
  <c r="O5" i="45"/>
  <c r="AC5" i="45"/>
  <c r="AC6" i="45"/>
  <c r="V130" i="26"/>
  <c r="Z360" i="28" l="1"/>
  <c r="AB360" i="28" s="1"/>
  <c r="V361" i="28"/>
  <c r="Z361" i="28"/>
  <c r="AB361" i="28" s="1"/>
  <c r="Z244" i="28"/>
  <c r="AB244" i="28" s="1"/>
  <c r="W121" i="90"/>
  <c r="W116" i="90"/>
  <c r="W111" i="90"/>
  <c r="W110" i="90"/>
  <c r="W109" i="90"/>
  <c r="W108" i="90"/>
  <c r="W107" i="90"/>
  <c r="W106" i="90"/>
  <c r="W99" i="90"/>
  <c r="W90" i="90"/>
  <c r="W114" i="90" l="1"/>
  <c r="W126" i="90"/>
  <c r="V27" i="27"/>
  <c r="V26" i="27"/>
  <c r="V21" i="27"/>
  <c r="V18" i="27"/>
  <c r="V20" i="27"/>
  <c r="V19" i="27"/>
  <c r="W37" i="27"/>
  <c r="W35" i="27"/>
  <c r="W27" i="27"/>
  <c r="W29" i="27"/>
  <c r="W28" i="27"/>
  <c r="W20" i="27"/>
  <c r="W19" i="27"/>
  <c r="W18" i="27"/>
  <c r="W36" i="27" l="1"/>
  <c r="W39" i="27" s="1"/>
  <c r="V39" i="27"/>
  <c r="V33" i="27"/>
  <c r="W26" i="27"/>
  <c r="W33" i="27" s="1"/>
  <c r="W22" i="27"/>
  <c r="W21" i="27"/>
  <c r="V24" i="27"/>
  <c r="W24" i="27"/>
  <c r="W30" i="15"/>
  <c r="W29" i="15"/>
  <c r="W28" i="15"/>
  <c r="W24" i="15"/>
  <c r="W23" i="15"/>
  <c r="W22" i="15"/>
  <c r="W21" i="15"/>
  <c r="W20" i="15"/>
  <c r="V18" i="15"/>
  <c r="W17" i="15"/>
  <c r="W14" i="15"/>
  <c r="V11" i="15"/>
  <c r="V12" i="15" s="1"/>
  <c r="W10" i="15"/>
  <c r="W9" i="15"/>
  <c r="V9" i="15"/>
  <c r="W8" i="15"/>
  <c r="V8" i="15"/>
  <c r="W7" i="15"/>
  <c r="W6" i="15"/>
  <c r="W5" i="15"/>
  <c r="W31" i="15" l="1"/>
  <c r="X28" i="22"/>
  <c r="X24" i="22"/>
  <c r="X26" i="22" s="1"/>
  <c r="X23" i="22"/>
  <c r="X14" i="22"/>
  <c r="X10" i="22"/>
  <c r="X12" i="22" s="1"/>
  <c r="X9" i="22"/>
  <c r="AB96" i="38" l="1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AA27" i="38"/>
  <c r="AA26" i="38"/>
  <c r="AA25" i="38"/>
  <c r="AA24" i="38"/>
  <c r="AA23" i="38"/>
  <c r="AA22" i="38"/>
  <c r="AA21" i="38"/>
  <c r="AA20" i="38"/>
  <c r="AB19" i="38"/>
  <c r="AB68" i="38" s="1"/>
  <c r="AA15" i="38"/>
  <c r="AA14" i="38"/>
  <c r="AA13" i="38" s="1"/>
  <c r="AB13" i="38"/>
  <c r="AB62" i="38" s="1"/>
  <c r="AA12" i="38"/>
  <c r="AA11" i="38"/>
  <c r="AA10" i="38"/>
  <c r="AA9" i="38"/>
  <c r="AA8" i="38"/>
  <c r="AA7" i="38"/>
  <c r="AB6" i="38"/>
  <c r="W130" i="26"/>
  <c r="W114" i="26"/>
  <c r="V112" i="26"/>
  <c r="V110" i="26"/>
  <c r="V108" i="26"/>
  <c r="V106" i="26"/>
  <c r="V104" i="26"/>
  <c r="V102" i="26"/>
  <c r="V100" i="26"/>
  <c r="V98" i="26"/>
  <c r="V87" i="17" s="1"/>
  <c r="W94" i="26"/>
  <c r="V91" i="26"/>
  <c r="V89" i="26"/>
  <c r="V87" i="26"/>
  <c r="V85" i="26"/>
  <c r="V86" i="17" s="1"/>
  <c r="W83" i="26"/>
  <c r="W82" i="26"/>
  <c r="V80" i="26"/>
  <c r="V78" i="26"/>
  <c r="V83" i="26" s="1"/>
  <c r="W75" i="26"/>
  <c r="V73" i="26"/>
  <c r="V71" i="26"/>
  <c r="V69" i="26"/>
  <c r="V67" i="26"/>
  <c r="V65" i="26"/>
  <c r="V63" i="26"/>
  <c r="V85" i="17" s="1"/>
  <c r="V61" i="26"/>
  <c r="V59" i="26"/>
  <c r="V54" i="26"/>
  <c r="V52" i="26"/>
  <c r="W50" i="26"/>
  <c r="W57" i="26" s="1"/>
  <c r="V48" i="26"/>
  <c r="V50" i="26" s="1"/>
  <c r="W45" i="26"/>
  <c r="V43" i="26"/>
  <c r="V41" i="26"/>
  <c r="V39" i="26"/>
  <c r="V37" i="26"/>
  <c r="V35" i="26"/>
  <c r="V33" i="26"/>
  <c r="V31" i="26"/>
  <c r="V29" i="26"/>
  <c r="V84" i="17" s="1"/>
  <c r="V27" i="26"/>
  <c r="V26" i="17" s="1"/>
  <c r="V33" i="17" s="1"/>
  <c r="V25" i="26"/>
  <c r="V23" i="26"/>
  <c r="V21" i="26"/>
  <c r="V17" i="26"/>
  <c r="W12" i="26"/>
  <c r="W19" i="26" s="1"/>
  <c r="V11" i="26"/>
  <c r="V9" i="26"/>
  <c r="V12" i="26" s="1"/>
  <c r="AC77" i="45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1" i="45"/>
  <c r="AA22" i="45"/>
  <c r="AA23" i="45"/>
  <c r="AA24" i="45"/>
  <c r="AA25" i="45"/>
  <c r="AA26" i="45"/>
  <c r="AA27" i="45"/>
  <c r="AA28" i="45"/>
  <c r="AA29" i="45"/>
  <c r="AA30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5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8" i="45"/>
  <c r="AA59" i="45"/>
  <c r="AA60" i="45"/>
  <c r="AA61" i="45"/>
  <c r="AA62" i="45"/>
  <c r="AA63" i="45"/>
  <c r="AA64" i="45"/>
  <c r="AA65" i="45"/>
  <c r="AA66" i="45"/>
  <c r="AA67" i="45"/>
  <c r="AA68" i="45"/>
  <c r="AA69" i="45"/>
  <c r="AA70" i="45"/>
  <c r="AA71" i="45"/>
  <c r="AA72" i="45"/>
  <c r="AC72" i="45" s="1"/>
  <c r="AA73" i="45"/>
  <c r="AA74" i="45"/>
  <c r="AA75" i="45"/>
  <c r="AA76" i="45"/>
  <c r="AA77" i="45"/>
  <c r="AA78" i="45"/>
  <c r="AC78" i="45" s="1"/>
  <c r="AA79" i="45"/>
  <c r="AC79" i="45" s="1"/>
  <c r="AA80" i="45"/>
  <c r="AA81" i="45"/>
  <c r="AA82" i="45"/>
  <c r="AA83" i="45"/>
  <c r="AA84" i="45"/>
  <c r="AA85" i="45"/>
  <c r="AA86" i="45"/>
  <c r="AC86" i="45" s="1"/>
  <c r="AA87" i="45"/>
  <c r="AA88" i="45"/>
  <c r="AA89" i="45"/>
  <c r="AC89" i="45" s="1"/>
  <c r="AA90" i="45"/>
  <c r="AA91" i="45"/>
  <c r="AA92" i="45"/>
  <c r="AA93" i="45"/>
  <c r="AA94" i="45"/>
  <c r="AA95" i="45"/>
  <c r="AA96" i="45"/>
  <c r="AA97" i="45"/>
  <c r="AA98" i="45"/>
  <c r="AA99" i="45"/>
  <c r="AA100" i="45"/>
  <c r="AA101" i="45"/>
  <c r="AA102" i="45"/>
  <c r="AA103" i="45"/>
  <c r="AA104" i="45"/>
  <c r="AA105" i="45"/>
  <c r="AA106" i="45"/>
  <c r="X3" i="8"/>
  <c r="AB18" i="38" l="1"/>
  <c r="AB67" i="38" s="1"/>
  <c r="AB16" i="38"/>
  <c r="AB65" i="38" s="1"/>
  <c r="V82" i="26"/>
  <c r="V94" i="26"/>
  <c r="V75" i="26"/>
  <c r="V114" i="26"/>
  <c r="V45" i="26"/>
  <c r="V19" i="26"/>
  <c r="AA67" i="38"/>
  <c r="AA89" i="38"/>
  <c r="AA66" i="38" s="1"/>
  <c r="AA43" i="38"/>
  <c r="AA40" i="38" s="1"/>
  <c r="AA35" i="38"/>
  <c r="AA19" i="38"/>
  <c r="AA18" i="38" s="1"/>
  <c r="AA65" i="38"/>
  <c r="AA6" i="38"/>
  <c r="AA16" i="38" s="1"/>
  <c r="AB55" i="38"/>
  <c r="AB40" i="38"/>
  <c r="V57" i="26"/>
  <c r="V51" i="26"/>
  <c r="V56" i="26"/>
  <c r="V18" i="26"/>
  <c r="W18" i="26"/>
  <c r="V13" i="26"/>
  <c r="W56" i="26"/>
  <c r="W13" i="26"/>
  <c r="W51" i="26"/>
  <c r="BH176" i="45"/>
  <c r="BG176" i="45"/>
  <c r="BF176" i="45"/>
  <c r="BE176" i="45"/>
  <c r="BD176" i="45"/>
  <c r="BC176" i="45"/>
  <c r="BB176" i="45"/>
  <c r="BA176" i="45"/>
  <c r="AZ176" i="45"/>
  <c r="AY176" i="45"/>
  <c r="AX176" i="45"/>
  <c r="AW176" i="45"/>
  <c r="AV176" i="45"/>
  <c r="AU176" i="45"/>
  <c r="AT176" i="45"/>
  <c r="AS176" i="45"/>
  <c r="AR176" i="45"/>
  <c r="AQ176" i="45"/>
  <c r="AP176" i="45"/>
  <c r="AO176" i="45"/>
  <c r="AN176" i="45"/>
  <c r="AM176" i="45"/>
  <c r="AL176" i="45"/>
  <c r="AK176" i="45"/>
  <c r="AJ176" i="45"/>
  <c r="AI176" i="45"/>
  <c r="AH176" i="45"/>
  <c r="AG176" i="45"/>
  <c r="AF176" i="45"/>
  <c r="AE176" i="45"/>
  <c r="AD176" i="45"/>
  <c r="AB176" i="45"/>
  <c r="AA176" i="45"/>
  <c r="Z176" i="45"/>
  <c r="X176" i="45"/>
  <c r="V176" i="45"/>
  <c r="U176" i="45"/>
  <c r="T176" i="45"/>
  <c r="R176" i="45"/>
  <c r="Q176" i="45"/>
  <c r="P176" i="45"/>
  <c r="N176" i="45"/>
  <c r="M176" i="45"/>
  <c r="L176" i="45"/>
  <c r="J176" i="45"/>
  <c r="I176" i="45"/>
  <c r="H176" i="45"/>
  <c r="G176" i="45"/>
  <c r="BH175" i="45"/>
  <c r="BG175" i="45"/>
  <c r="BF175" i="45"/>
  <c r="BE175" i="45"/>
  <c r="BD175" i="45"/>
  <c r="BC175" i="45"/>
  <c r="BB175" i="45"/>
  <c r="BA175" i="45"/>
  <c r="AZ175" i="45"/>
  <c r="AY175" i="45"/>
  <c r="AX175" i="45"/>
  <c r="AW175" i="45"/>
  <c r="AV175" i="45"/>
  <c r="AU175" i="45"/>
  <c r="AT175" i="45"/>
  <c r="AS175" i="45"/>
  <c r="AR175" i="45"/>
  <c r="AQ175" i="45"/>
  <c r="AP175" i="45"/>
  <c r="AO175" i="45"/>
  <c r="AN175" i="45"/>
  <c r="AM175" i="45"/>
  <c r="AL175" i="45"/>
  <c r="AK175" i="45"/>
  <c r="AJ175" i="45"/>
  <c r="AI175" i="45"/>
  <c r="AH175" i="45"/>
  <c r="AG175" i="45"/>
  <c r="AF175" i="45"/>
  <c r="AE175" i="45"/>
  <c r="AD175" i="45"/>
  <c r="AB175" i="45"/>
  <c r="AA175" i="45"/>
  <c r="Z175" i="45"/>
  <c r="X175" i="45"/>
  <c r="V175" i="45"/>
  <c r="U175" i="45"/>
  <c r="T175" i="45"/>
  <c r="R175" i="45"/>
  <c r="Q175" i="45"/>
  <c r="P175" i="45"/>
  <c r="N175" i="45"/>
  <c r="M175" i="45"/>
  <c r="L175" i="45"/>
  <c r="K175" i="45"/>
  <c r="J175" i="45"/>
  <c r="I175" i="45"/>
  <c r="H175" i="45"/>
  <c r="G175" i="45"/>
  <c r="BH174" i="45"/>
  <c r="BF174" i="45"/>
  <c r="BD174" i="45"/>
  <c r="BB174" i="45"/>
  <c r="BA174" i="45"/>
  <c r="AZ174" i="45"/>
  <c r="AX174" i="45"/>
  <c r="AW174" i="45"/>
  <c r="AV174" i="45"/>
  <c r="AT174" i="45"/>
  <c r="AS174" i="45"/>
  <c r="AR174" i="45"/>
  <c r="AP174" i="45"/>
  <c r="AN174" i="45"/>
  <c r="AM174" i="45"/>
  <c r="AL174" i="45"/>
  <c r="AJ174" i="45"/>
  <c r="AI174" i="45"/>
  <c r="AH174" i="45"/>
  <c r="AF174" i="45"/>
  <c r="AE174" i="45"/>
  <c r="AD174" i="45"/>
  <c r="AB174" i="45"/>
  <c r="AA174" i="45"/>
  <c r="Z174" i="45"/>
  <c r="X174" i="45"/>
  <c r="V174" i="45"/>
  <c r="U174" i="45"/>
  <c r="T174" i="45"/>
  <c r="R174" i="45"/>
  <c r="Q174" i="45"/>
  <c r="P174" i="45"/>
  <c r="N174" i="45"/>
  <c r="M174" i="45"/>
  <c r="L174" i="45"/>
  <c r="J174" i="45"/>
  <c r="I174" i="45"/>
  <c r="H174" i="45"/>
  <c r="G174" i="45"/>
  <c r="BH173" i="45"/>
  <c r="BF173" i="45"/>
  <c r="BD173" i="45"/>
  <c r="BB173" i="45"/>
  <c r="BA173" i="45"/>
  <c r="AZ173" i="45"/>
  <c r="AX173" i="45"/>
  <c r="AW173" i="45"/>
  <c r="AV173" i="45"/>
  <c r="AT173" i="45"/>
  <c r="AS173" i="45"/>
  <c r="AR173" i="45"/>
  <c r="AP173" i="45"/>
  <c r="AN173" i="45"/>
  <c r="AM173" i="45"/>
  <c r="AL173" i="45"/>
  <c r="AJ173" i="45"/>
  <c r="AI173" i="45"/>
  <c r="AH173" i="45"/>
  <c r="AF173" i="45"/>
  <c r="AE173" i="45"/>
  <c r="AD173" i="45"/>
  <c r="AB173" i="45"/>
  <c r="AA173" i="45"/>
  <c r="Z173" i="45"/>
  <c r="X173" i="45"/>
  <c r="V173" i="45"/>
  <c r="U173" i="45"/>
  <c r="T173" i="45"/>
  <c r="R173" i="45"/>
  <c r="Q173" i="45"/>
  <c r="P173" i="45"/>
  <c r="N173" i="45"/>
  <c r="M173" i="45"/>
  <c r="L173" i="45"/>
  <c r="J173" i="45"/>
  <c r="I173" i="45"/>
  <c r="H173" i="45"/>
  <c r="G173" i="45"/>
  <c r="BH172" i="45"/>
  <c r="BF172" i="45"/>
  <c r="BD172" i="45"/>
  <c r="BB172" i="45"/>
  <c r="BA172" i="45"/>
  <c r="AZ172" i="45"/>
  <c r="AX172" i="45"/>
  <c r="AW172" i="45"/>
  <c r="AV172" i="45"/>
  <c r="AT172" i="45"/>
  <c r="AS172" i="45"/>
  <c r="AR172" i="45"/>
  <c r="AP172" i="45"/>
  <c r="AN172" i="45"/>
  <c r="AM172" i="45"/>
  <c r="AL172" i="45"/>
  <c r="AJ172" i="45"/>
  <c r="AI172" i="45"/>
  <c r="AH172" i="45"/>
  <c r="AF172" i="45"/>
  <c r="AE172" i="45"/>
  <c r="AD172" i="45"/>
  <c r="AB172" i="45"/>
  <c r="AA172" i="45"/>
  <c r="Z172" i="45"/>
  <c r="X172" i="45"/>
  <c r="V172" i="45"/>
  <c r="U172" i="45"/>
  <c r="T172" i="45"/>
  <c r="R172" i="45"/>
  <c r="Q172" i="45"/>
  <c r="P172" i="45"/>
  <c r="N172" i="45"/>
  <c r="M172" i="45"/>
  <c r="L172" i="45"/>
  <c r="J172" i="45"/>
  <c r="I172" i="45"/>
  <c r="H172" i="45"/>
  <c r="G172" i="45"/>
  <c r="BH171" i="45"/>
  <c r="BF171" i="45"/>
  <c r="BD171" i="45"/>
  <c r="BB171" i="45"/>
  <c r="BA171" i="45"/>
  <c r="AZ171" i="45"/>
  <c r="AX171" i="45"/>
  <c r="AW171" i="45"/>
  <c r="AV171" i="45"/>
  <c r="AT171" i="45"/>
  <c r="AS171" i="45"/>
  <c r="AR171" i="45"/>
  <c r="AP171" i="45"/>
  <c r="AN171" i="45"/>
  <c r="AM171" i="45"/>
  <c r="AL171" i="45"/>
  <c r="AJ171" i="45"/>
  <c r="AI171" i="45"/>
  <c r="AH171" i="45"/>
  <c r="AF171" i="45"/>
  <c r="AE171" i="45"/>
  <c r="AD171" i="45"/>
  <c r="AB171" i="45"/>
  <c r="Z171" i="45"/>
  <c r="X171" i="45"/>
  <c r="V171" i="45"/>
  <c r="U171" i="45"/>
  <c r="T171" i="45"/>
  <c r="R171" i="45"/>
  <c r="Q171" i="45"/>
  <c r="P171" i="45"/>
  <c r="N171" i="45"/>
  <c r="M171" i="45"/>
  <c r="L171" i="45"/>
  <c r="J171" i="45"/>
  <c r="I171" i="45"/>
  <c r="H171" i="45"/>
  <c r="G171" i="45"/>
  <c r="Y171" i="45"/>
  <c r="Y172" i="45"/>
  <c r="Y173" i="45"/>
  <c r="Y174" i="45"/>
  <c r="Y175" i="45"/>
  <c r="Y176" i="45"/>
  <c r="W25" i="72"/>
  <c r="W26" i="72"/>
  <c r="W27" i="72"/>
  <c r="W28" i="72"/>
  <c r="W29" i="72"/>
  <c r="W30" i="72"/>
  <c r="W31" i="72"/>
  <c r="K39" i="72"/>
  <c r="S39" i="72"/>
  <c r="W39" i="72"/>
  <c r="Y39" i="72" s="1"/>
  <c r="AU53" i="71"/>
  <c r="E85" i="90" s="1"/>
  <c r="AW53" i="71"/>
  <c r="G85" i="90" s="1"/>
  <c r="AY53" i="71"/>
  <c r="BA53" i="71"/>
  <c r="K85" i="90" s="1"/>
  <c r="BC53" i="71"/>
  <c r="BE53" i="71"/>
  <c r="O85" i="90" s="1"/>
  <c r="BI53" i="71"/>
  <c r="S85" i="90" s="1"/>
  <c r="U85" i="90" s="1"/>
  <c r="BM53" i="71"/>
  <c r="BS53" i="71"/>
  <c r="BW53" i="71"/>
  <c r="CA53" i="71"/>
  <c r="CG53" i="71"/>
  <c r="CK53" i="71"/>
  <c r="CO53" i="71"/>
  <c r="AF7" i="71"/>
  <c r="AK7" i="71"/>
  <c r="AO7" i="71"/>
  <c r="AP7" i="71"/>
  <c r="AF8" i="71"/>
  <c r="AK8" i="71"/>
  <c r="AO8" i="71"/>
  <c r="AF9" i="71"/>
  <c r="AK9" i="71"/>
  <c r="AO9" i="71"/>
  <c r="AF10" i="71"/>
  <c r="AK10" i="71"/>
  <c r="AO10" i="71"/>
  <c r="AP10" i="71"/>
  <c r="AF11" i="71"/>
  <c r="AK11" i="71"/>
  <c r="AO11" i="71"/>
  <c r="AP11" i="71" s="1"/>
  <c r="AF12" i="71"/>
  <c r="AK12" i="71"/>
  <c r="AO12" i="71"/>
  <c r="AP12" i="71"/>
  <c r="AF13" i="71"/>
  <c r="AK13" i="71"/>
  <c r="AO13" i="71"/>
  <c r="AP13" i="71"/>
  <c r="AF14" i="71"/>
  <c r="AK14" i="71"/>
  <c r="AP14" i="71" s="1"/>
  <c r="AO14" i="71"/>
  <c r="AF15" i="71"/>
  <c r="AK15" i="71"/>
  <c r="AO15" i="71"/>
  <c r="AF16" i="71"/>
  <c r="AK16" i="71"/>
  <c r="AP16" i="71" s="1"/>
  <c r="AO16" i="71"/>
  <c r="AF17" i="71"/>
  <c r="AK17" i="71"/>
  <c r="AO17" i="71"/>
  <c r="AP17" i="71"/>
  <c r="AF18" i="71"/>
  <c r="AK18" i="71"/>
  <c r="AO18" i="71"/>
  <c r="AP18" i="71" s="1"/>
  <c r="AF19" i="71"/>
  <c r="AK19" i="71"/>
  <c r="AO19" i="71"/>
  <c r="AP19" i="71"/>
  <c r="AF20" i="71"/>
  <c r="AK20" i="71"/>
  <c r="AO20" i="71"/>
  <c r="AF21" i="71"/>
  <c r="AK21" i="71"/>
  <c r="AO21" i="71"/>
  <c r="AF22" i="71"/>
  <c r="AK22" i="71"/>
  <c r="AO22" i="71"/>
  <c r="AP22" i="71"/>
  <c r="AF23" i="71"/>
  <c r="AK23" i="71"/>
  <c r="AO23" i="71"/>
  <c r="AP23" i="71"/>
  <c r="AF24" i="71"/>
  <c r="AK24" i="71"/>
  <c r="AO24" i="71"/>
  <c r="AP24" i="71" s="1"/>
  <c r="AF25" i="71"/>
  <c r="AK25" i="71"/>
  <c r="AP25" i="71" s="1"/>
  <c r="AO25" i="71"/>
  <c r="AF26" i="71"/>
  <c r="AK26" i="71"/>
  <c r="AO26" i="71"/>
  <c r="AF27" i="71"/>
  <c r="AK27" i="71"/>
  <c r="AO27" i="71"/>
  <c r="AF28" i="71"/>
  <c r="AK28" i="71"/>
  <c r="AO28" i="71"/>
  <c r="AP28" i="71"/>
  <c r="AF29" i="71"/>
  <c r="AK29" i="71"/>
  <c r="AO29" i="71"/>
  <c r="AP29" i="71"/>
  <c r="AF30" i="71"/>
  <c r="AK30" i="71"/>
  <c r="AO30" i="71"/>
  <c r="AP30" i="71" s="1"/>
  <c r="AF31" i="71"/>
  <c r="AG31" i="71"/>
  <c r="AK31" i="71"/>
  <c r="AO31" i="71"/>
  <c r="AP31" i="71"/>
  <c r="AF32" i="71"/>
  <c r="AK32" i="71"/>
  <c r="AO32" i="71"/>
  <c r="AF33" i="71"/>
  <c r="AK33" i="71"/>
  <c r="AO33" i="71"/>
  <c r="AF34" i="71"/>
  <c r="AK34" i="71"/>
  <c r="AP34" i="71" s="1"/>
  <c r="AO34" i="71"/>
  <c r="AF35" i="71"/>
  <c r="AK35" i="71"/>
  <c r="AO35" i="71"/>
  <c r="AP35" i="71"/>
  <c r="AF36" i="71"/>
  <c r="AK36" i="71"/>
  <c r="AO36" i="71"/>
  <c r="AP36" i="71"/>
  <c r="AF37" i="71"/>
  <c r="AK37" i="71"/>
  <c r="AP37" i="71" s="1"/>
  <c r="AO37" i="71"/>
  <c r="AF38" i="71"/>
  <c r="AK38" i="71"/>
  <c r="AO38" i="71"/>
  <c r="AF39" i="71"/>
  <c r="AK39" i="71"/>
  <c r="AO39" i="71"/>
  <c r="AF40" i="71"/>
  <c r="AK40" i="71"/>
  <c r="AO40" i="71"/>
  <c r="AP40" i="71"/>
  <c r="AF41" i="71"/>
  <c r="AK41" i="71"/>
  <c r="AO41" i="71"/>
  <c r="AP41" i="71"/>
  <c r="AF42" i="71"/>
  <c r="AK42" i="71"/>
  <c r="AO42" i="71"/>
  <c r="AP42" i="71"/>
  <c r="AF43" i="71"/>
  <c r="AK43" i="71"/>
  <c r="AO43" i="71"/>
  <c r="AP43" i="71"/>
  <c r="AF44" i="71"/>
  <c r="AK44" i="71"/>
  <c r="AO44" i="71"/>
  <c r="AF45" i="71"/>
  <c r="AK45" i="71"/>
  <c r="AO45" i="71"/>
  <c r="AF46" i="71"/>
  <c r="AK46" i="71"/>
  <c r="AO46" i="71"/>
  <c r="AP46" i="71"/>
  <c r="AF47" i="71"/>
  <c r="AK47" i="71"/>
  <c r="AO47" i="71"/>
  <c r="AP47" i="71"/>
  <c r="AF48" i="71"/>
  <c r="AK48" i="71"/>
  <c r="AO48" i="71"/>
  <c r="AP48" i="71"/>
  <c r="AF49" i="71"/>
  <c r="AK49" i="71"/>
  <c r="AP49" i="71" s="1"/>
  <c r="AO49" i="71"/>
  <c r="AF50" i="71"/>
  <c r="AK50" i="71"/>
  <c r="AO50" i="71"/>
  <c r="AF51" i="71"/>
  <c r="AK51" i="71"/>
  <c r="AO51" i="71"/>
  <c r="AF53" i="71"/>
  <c r="AG53" i="71"/>
  <c r="AK53" i="71"/>
  <c r="AO53" i="71"/>
  <c r="AP53" i="71"/>
  <c r="M53" i="71"/>
  <c r="N53" i="71" s="1"/>
  <c r="M55" i="71"/>
  <c r="M54" i="71"/>
  <c r="M7" i="71"/>
  <c r="M8" i="71"/>
  <c r="M9" i="71"/>
  <c r="M10" i="71"/>
  <c r="M11" i="71"/>
  <c r="M12" i="71"/>
  <c r="M13" i="71"/>
  <c r="M14" i="71"/>
  <c r="M15" i="71"/>
  <c r="M16" i="71"/>
  <c r="M17" i="71"/>
  <c r="N17" i="71" s="1"/>
  <c r="M18" i="71"/>
  <c r="M19" i="71"/>
  <c r="M20" i="71"/>
  <c r="M21" i="71"/>
  <c r="M22" i="71"/>
  <c r="M23" i="71"/>
  <c r="M24" i="71"/>
  <c r="M25" i="71"/>
  <c r="M26" i="71"/>
  <c r="M27" i="71"/>
  <c r="M28" i="71"/>
  <c r="M29" i="71"/>
  <c r="M30" i="71"/>
  <c r="M31" i="71"/>
  <c r="N31" i="71"/>
  <c r="M32" i="71"/>
  <c r="M33" i="71"/>
  <c r="M34" i="71"/>
  <c r="M35" i="71"/>
  <c r="M36" i="71"/>
  <c r="M37" i="71"/>
  <c r="M38" i="71"/>
  <c r="M39" i="71"/>
  <c r="M40" i="71"/>
  <c r="M41" i="71"/>
  <c r="M42" i="71"/>
  <c r="M43" i="71"/>
  <c r="M44" i="71"/>
  <c r="M45" i="71"/>
  <c r="M46" i="71"/>
  <c r="M47" i="71"/>
  <c r="M48" i="71"/>
  <c r="M49" i="71"/>
  <c r="M50" i="71"/>
  <c r="M51" i="71"/>
  <c r="M52" i="71"/>
  <c r="M6" i="71"/>
  <c r="AP8" i="71" l="1"/>
  <c r="AP45" i="71"/>
  <c r="AP38" i="71"/>
  <c r="AP26" i="71"/>
  <c r="AA17" i="38"/>
  <c r="AA49" i="38" s="1"/>
  <c r="AP15" i="71"/>
  <c r="AP20" i="71"/>
  <c r="BO53" i="71"/>
  <c r="W85" i="90"/>
  <c r="Y85" i="90" s="1"/>
  <c r="AP21" i="71"/>
  <c r="AQ53" i="71"/>
  <c r="AQ31" i="71"/>
  <c r="AP9" i="71"/>
  <c r="AP50" i="71"/>
  <c r="AP33" i="71"/>
  <c r="X53" i="71"/>
  <c r="AR53" i="71" s="1"/>
  <c r="AP51" i="71"/>
  <c r="AP44" i="71"/>
  <c r="AP39" i="71"/>
  <c r="AP32" i="71"/>
  <c r="AP27" i="71"/>
  <c r="AA85" i="90"/>
  <c r="AA98" i="38"/>
  <c r="AB89" i="38"/>
  <c r="AB17" i="38"/>
  <c r="BQ53" i="71"/>
  <c r="BU53" i="71" s="1"/>
  <c r="BY53" i="71" s="1"/>
  <c r="CE53" i="71" s="1"/>
  <c r="CI53" i="71" s="1"/>
  <c r="CM53" i="71" s="1"/>
  <c r="CU53" i="71"/>
  <c r="CC53" i="71"/>
  <c r="CS53" i="71" s="1"/>
  <c r="CQ53" i="71"/>
  <c r="BG53" i="71"/>
  <c r="BK53" i="71" s="1"/>
  <c r="BM7" i="71"/>
  <c r="BM8" i="71"/>
  <c r="BM9" i="71"/>
  <c r="W68" i="90" s="1"/>
  <c r="BM10" i="71"/>
  <c r="BM11" i="71"/>
  <c r="BM12" i="71"/>
  <c r="BM13" i="71"/>
  <c r="BM14" i="71"/>
  <c r="BM15" i="71"/>
  <c r="BM16" i="71"/>
  <c r="BM17" i="71"/>
  <c r="BM18" i="71"/>
  <c r="BM19" i="71"/>
  <c r="W69" i="90" s="1"/>
  <c r="BM20" i="71"/>
  <c r="W70" i="90" s="1"/>
  <c r="BM21" i="71"/>
  <c r="W71" i="90" s="1"/>
  <c r="BM22" i="71"/>
  <c r="W72" i="90" s="1"/>
  <c r="BM23" i="71"/>
  <c r="BM24" i="71"/>
  <c r="BM25" i="71"/>
  <c r="W73" i="90" s="1"/>
  <c r="BM26" i="71"/>
  <c r="BM27" i="71"/>
  <c r="BM28" i="71"/>
  <c r="BM29" i="71"/>
  <c r="BM30" i="71"/>
  <c r="BM31" i="71"/>
  <c r="BM32" i="71"/>
  <c r="BM33" i="71"/>
  <c r="BM34" i="71"/>
  <c r="W74" i="90" s="1"/>
  <c r="BM35" i="71"/>
  <c r="W75" i="90" s="1"/>
  <c r="BM36" i="71"/>
  <c r="BM37" i="71"/>
  <c r="BM38" i="71"/>
  <c r="BM39" i="71"/>
  <c r="W76" i="90" s="1"/>
  <c r="BM40" i="71"/>
  <c r="W77" i="90" s="1"/>
  <c r="BM41" i="71"/>
  <c r="W78" i="90" s="1"/>
  <c r="BM42" i="71"/>
  <c r="BM43" i="71"/>
  <c r="W79" i="90" s="1"/>
  <c r="BM44" i="71"/>
  <c r="W80" i="90" s="1"/>
  <c r="BM45" i="71"/>
  <c r="W81" i="90" s="1"/>
  <c r="BM46" i="71"/>
  <c r="W82" i="90" s="1"/>
  <c r="BM47" i="71"/>
  <c r="W83" i="90" s="1"/>
  <c r="BM48" i="71"/>
  <c r="BM49" i="71"/>
  <c r="BM50" i="71"/>
  <c r="BM51" i="71"/>
  <c r="W84" i="90" s="1"/>
  <c r="BM52" i="71"/>
  <c r="AB66" i="38" l="1"/>
  <c r="AB98" i="38" s="1"/>
  <c r="AB49" i="38"/>
  <c r="Z17" i="11"/>
  <c r="AB17" i="11" s="1"/>
  <c r="G28" i="50"/>
  <c r="I28" i="50"/>
  <c r="M28" i="50"/>
  <c r="Q28" i="50"/>
  <c r="U28" i="50"/>
  <c r="Y28" i="50"/>
  <c r="AE28" i="50"/>
  <c r="AI28" i="50"/>
  <c r="AM28" i="50"/>
  <c r="AS28" i="50"/>
  <c r="AW28" i="50"/>
  <c r="BA28" i="50"/>
  <c r="O28" i="50" l="1"/>
  <c r="BC28" i="50"/>
  <c r="K28" i="50"/>
  <c r="AO28" i="50"/>
  <c r="AA28" i="50"/>
  <c r="AC28" i="50" s="1"/>
  <c r="AG28" i="50" s="1"/>
  <c r="AK28" i="50" s="1"/>
  <c r="AQ28" i="50" s="1"/>
  <c r="AU28" i="50" s="1"/>
  <c r="AY28" i="50" s="1"/>
  <c r="BG28" i="50" s="1"/>
  <c r="S28" i="50"/>
  <c r="W28" i="50" s="1"/>
  <c r="BE28" i="50"/>
  <c r="X177" i="45" l="1"/>
  <c r="Y157" i="45"/>
  <c r="Y156" i="45"/>
  <c r="Y154" i="45"/>
  <c r="Y148" i="45"/>
  <c r="Y155" i="45" s="1"/>
  <c r="Y143" i="45"/>
  <c r="X143" i="45"/>
  <c r="Y142" i="45"/>
  <c r="X142" i="45"/>
  <c r="Y141" i="45"/>
  <c r="X141" i="45"/>
  <c r="Y140" i="45"/>
  <c r="X140" i="45"/>
  <c r="Y138" i="45"/>
  <c r="X138" i="45"/>
  <c r="Y136" i="45"/>
  <c r="X136" i="45"/>
  <c r="Y134" i="45"/>
  <c r="X134" i="45"/>
  <c r="Y131" i="45"/>
  <c r="Y132" i="45" s="1"/>
  <c r="X131" i="45"/>
  <c r="X132" i="45" s="1"/>
  <c r="Y129" i="45"/>
  <c r="Y126" i="45" s="1"/>
  <c r="Y109" i="45"/>
  <c r="Y159" i="45" s="1"/>
  <c r="Y108" i="45"/>
  <c r="Y144" i="45" s="1"/>
  <c r="X108" i="45"/>
  <c r="X144" i="45" s="1"/>
  <c r="Y107" i="45"/>
  <c r="Y158" i="45" s="1"/>
  <c r="Z45" i="11"/>
  <c r="Z46" i="11"/>
  <c r="Z47" i="11"/>
  <c r="Z48" i="11"/>
  <c r="Z49" i="11"/>
  <c r="Z50" i="11"/>
  <c r="Z51" i="11"/>
  <c r="Z52" i="11"/>
  <c r="Z53" i="11"/>
  <c r="Z54" i="11"/>
  <c r="Z8" i="11"/>
  <c r="Z9" i="11"/>
  <c r="Z10" i="11"/>
  <c r="Z11" i="11"/>
  <c r="Z12" i="11"/>
  <c r="Z13" i="11"/>
  <c r="Z14" i="11"/>
  <c r="Z15" i="11"/>
  <c r="Z16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X91" i="11"/>
  <c r="X89" i="11"/>
  <c r="X83" i="11"/>
  <c r="X84" i="11" s="1"/>
  <c r="X78" i="11"/>
  <c r="W78" i="11"/>
  <c r="X77" i="11"/>
  <c r="W77" i="11"/>
  <c r="X76" i="11"/>
  <c r="W76" i="11"/>
  <c r="X75" i="11"/>
  <c r="W75" i="11"/>
  <c r="X73" i="11"/>
  <c r="W73" i="11"/>
  <c r="X71" i="11"/>
  <c r="W71" i="11"/>
  <c r="X69" i="11"/>
  <c r="W69" i="11"/>
  <c r="X66" i="11"/>
  <c r="X67" i="11" s="1"/>
  <c r="W66" i="11"/>
  <c r="W67" i="11" s="1"/>
  <c r="X64" i="11"/>
  <c r="X61" i="11" s="1"/>
  <c r="X59" i="11"/>
  <c r="X57" i="11"/>
  <c r="X93" i="11" s="1"/>
  <c r="X56" i="11"/>
  <c r="X58" i="11" s="1"/>
  <c r="X55" i="11"/>
  <c r="X92" i="11" s="1"/>
  <c r="Z8" i="10"/>
  <c r="Z9" i="10"/>
  <c r="Z10" i="10"/>
  <c r="Z11" i="10"/>
  <c r="Z13" i="10"/>
  <c r="Z14" i="10"/>
  <c r="Z15" i="10"/>
  <c r="Z16" i="10"/>
  <c r="Z17" i="10"/>
  <c r="Z18" i="10"/>
  <c r="Z19" i="10"/>
  <c r="Z20" i="10"/>
  <c r="Z21" i="10"/>
  <c r="Z24" i="10"/>
  <c r="Z25" i="10"/>
  <c r="Z26" i="10"/>
  <c r="Z27" i="10"/>
  <c r="Z28" i="10"/>
  <c r="Z29" i="10"/>
  <c r="Z31" i="10"/>
  <c r="Z32" i="10"/>
  <c r="Z33" i="10"/>
  <c r="Z34" i="10"/>
  <c r="Z35" i="10"/>
  <c r="Z36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6" i="10"/>
  <c r="Z67" i="10"/>
  <c r="Z68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5" i="10"/>
  <c r="Z106" i="10"/>
  <c r="Z107" i="10"/>
  <c r="Z108" i="10"/>
  <c r="Z109" i="10"/>
  <c r="Z110" i="10"/>
  <c r="Z111" i="10"/>
  <c r="Z112" i="10"/>
  <c r="Z113" i="10"/>
  <c r="Z114" i="10"/>
  <c r="Z115" i="10"/>
  <c r="Z116" i="10"/>
  <c r="Z117" i="10"/>
  <c r="Z118" i="10"/>
  <c r="Z119" i="10"/>
  <c r="Z120" i="10"/>
  <c r="Z121" i="10"/>
  <c r="Z122" i="10"/>
  <c r="Z124" i="10"/>
  <c r="Z125" i="10"/>
  <c r="Z126" i="10"/>
  <c r="Z127" i="10"/>
  <c r="Z128" i="10"/>
  <c r="Z129" i="10"/>
  <c r="Z130" i="10"/>
  <c r="Z131" i="10"/>
  <c r="Z132" i="10"/>
  <c r="Z133" i="10"/>
  <c r="Z134" i="10"/>
  <c r="Z135" i="10"/>
  <c r="Z136" i="10"/>
  <c r="Z137" i="10"/>
  <c r="Z138" i="10"/>
  <c r="Z139" i="10"/>
  <c r="Z140" i="10"/>
  <c r="Z141" i="10"/>
  <c r="Z142" i="10"/>
  <c r="Z143" i="10"/>
  <c r="Z144" i="10"/>
  <c r="Z145" i="10"/>
  <c r="Z146" i="10"/>
  <c r="X190" i="10"/>
  <c r="X188" i="10"/>
  <c r="X182" i="10"/>
  <c r="X189" i="10" s="1"/>
  <c r="X177" i="10"/>
  <c r="W177" i="10"/>
  <c r="X176" i="10"/>
  <c r="W176" i="10"/>
  <c r="X175" i="10"/>
  <c r="W175" i="10"/>
  <c r="X174" i="10"/>
  <c r="W174" i="10"/>
  <c r="X172" i="10"/>
  <c r="W172" i="10"/>
  <c r="X170" i="10"/>
  <c r="W170" i="10"/>
  <c r="X168" i="10"/>
  <c r="W168" i="10"/>
  <c r="X165" i="10"/>
  <c r="X166" i="10" s="1"/>
  <c r="W165" i="10"/>
  <c r="W166" i="10" s="1"/>
  <c r="X155" i="10"/>
  <c r="X192" i="10" s="1"/>
  <c r="W154" i="10"/>
  <c r="W161" i="10" s="1"/>
  <c r="X154" i="10"/>
  <c r="X201" i="10" s="1"/>
  <c r="X153" i="10"/>
  <c r="X95" i="9"/>
  <c r="W153" i="10" l="1"/>
  <c r="W173" i="10"/>
  <c r="W178" i="10"/>
  <c r="X139" i="45"/>
  <c r="X124" i="45"/>
  <c r="Y177" i="45"/>
  <c r="Y123" i="45"/>
  <c r="Y124" i="45"/>
  <c r="Y125" i="45" s="1"/>
  <c r="Y139" i="45"/>
  <c r="X90" i="11"/>
  <c r="X85" i="11"/>
  <c r="X74" i="11"/>
  <c r="Y162" i="45"/>
  <c r="Y160" i="45"/>
  <c r="X123" i="45"/>
  <c r="Y149" i="45"/>
  <c r="X107" i="45"/>
  <c r="Y150" i="45"/>
  <c r="X79" i="11"/>
  <c r="X60" i="11"/>
  <c r="X94" i="11"/>
  <c r="X96" i="11"/>
  <c r="X183" i="10"/>
  <c r="X184" i="10"/>
  <c r="X173" i="10"/>
  <c r="X178" i="10"/>
  <c r="X161" i="10"/>
  <c r="X191" i="10"/>
  <c r="X193" i="10" s="1"/>
  <c r="X197" i="10"/>
  <c r="W52" i="9"/>
  <c r="W101" i="9"/>
  <c r="X99" i="9"/>
  <c r="W99" i="9"/>
  <c r="X98" i="9"/>
  <c r="W98" i="9"/>
  <c r="X97" i="9"/>
  <c r="W97" i="9"/>
  <c r="X93" i="9"/>
  <c r="W76" i="9"/>
  <c r="W77" i="9" s="1"/>
  <c r="W74" i="9"/>
  <c r="X60" i="9"/>
  <c r="X57" i="9"/>
  <c r="W53" i="9"/>
  <c r="W47" i="9"/>
  <c r="X46" i="9"/>
  <c r="X36" i="9"/>
  <c r="X35" i="9"/>
  <c r="X47" i="9" s="1"/>
  <c r="X34" i="9"/>
  <c r="X31" i="9"/>
  <c r="X25" i="9"/>
  <c r="W24" i="9"/>
  <c r="W22" i="9"/>
  <c r="X19" i="9"/>
  <c r="X10" i="9"/>
  <c r="X5" i="9"/>
  <c r="X90" i="9" l="1"/>
  <c r="X48" i="9"/>
  <c r="W89" i="90"/>
  <c r="X195" i="10"/>
  <c r="X96" i="9"/>
  <c r="X33" i="22"/>
  <c r="W132" i="26"/>
  <c r="X37" i="9"/>
  <c r="X62" i="9"/>
  <c r="W25" i="9"/>
  <c r="W88" i="9" s="1"/>
  <c r="X49" i="9"/>
  <c r="X87" i="9" s="1"/>
  <c r="X14" i="9"/>
  <c r="X100" i="9"/>
  <c r="X89" i="9"/>
  <c r="X91" i="9" s="1"/>
  <c r="X94" i="9"/>
  <c r="W18" i="15" s="1"/>
  <c r="X83" i="9" l="1"/>
  <c r="X76" i="9"/>
  <c r="X52" i="9"/>
  <c r="X53" i="9"/>
  <c r="X73" i="9"/>
  <c r="X75" i="9"/>
  <c r="X84" i="9"/>
  <c r="X82" i="9"/>
  <c r="X81" i="9"/>
  <c r="X80" i="9"/>
  <c r="X86" i="9"/>
  <c r="X85" i="9"/>
  <c r="X78" i="9"/>
  <c r="X72" i="9"/>
  <c r="X77" i="9" l="1"/>
  <c r="X74" i="9"/>
  <c r="X79" i="9" l="1"/>
  <c r="Z17" i="7"/>
  <c r="Y17" i="7" l="1"/>
  <c r="W34" i="35" l="1"/>
  <c r="W31" i="35"/>
  <c r="W56" i="11" s="1"/>
  <c r="W23" i="35"/>
  <c r="W25" i="35"/>
  <c r="W18" i="35"/>
  <c r="W16" i="35"/>
  <c r="V17" i="15" l="1"/>
  <c r="V14" i="15" s="1"/>
  <c r="V15" i="15" s="1"/>
  <c r="W5" i="9"/>
  <c r="W98" i="11"/>
  <c r="W58" i="11"/>
  <c r="W55" i="11"/>
  <c r="W74" i="11"/>
  <c r="W79" i="11"/>
  <c r="X109" i="8"/>
  <c r="X111" i="8" s="1"/>
  <c r="X94" i="8"/>
  <c r="X91" i="8"/>
  <c r="W91" i="8"/>
  <c r="X89" i="8"/>
  <c r="W89" i="8"/>
  <c r="X88" i="8"/>
  <c r="W88" i="8"/>
  <c r="W87" i="8"/>
  <c r="W82" i="8"/>
  <c r="X80" i="8"/>
  <c r="X76" i="8"/>
  <c r="W75" i="8"/>
  <c r="W74" i="8"/>
  <c r="W73" i="8"/>
  <c r="W72" i="8"/>
  <c r="W71" i="8"/>
  <c r="X68" i="8"/>
  <c r="X69" i="8" s="1"/>
  <c r="X66" i="8"/>
  <c r="X67" i="8" s="1"/>
  <c r="X73" i="8" s="1"/>
  <c r="X64" i="8"/>
  <c r="X65" i="8" s="1"/>
  <c r="X61" i="8"/>
  <c r="X58" i="8"/>
  <c r="X62" i="8" s="1"/>
  <c r="W52" i="8"/>
  <c r="X49" i="8"/>
  <c r="W49" i="8"/>
  <c r="W47" i="8"/>
  <c r="W46" i="8"/>
  <c r="W45" i="8"/>
  <c r="W44" i="8"/>
  <c r="W43" i="8"/>
  <c r="W41" i="8"/>
  <c r="W40" i="8"/>
  <c r="W39" i="8"/>
  <c r="W42" i="8" s="1"/>
  <c r="X26" i="8"/>
  <c r="X17" i="8"/>
  <c r="W17" i="8"/>
  <c r="W15" i="8"/>
  <c r="W14" i="8"/>
  <c r="X13" i="8"/>
  <c r="X16" i="8" s="1"/>
  <c r="W13" i="8"/>
  <c r="X6" i="8"/>
  <c r="X86" i="8" s="1"/>
  <c r="W6" i="8"/>
  <c r="W85" i="8" s="1"/>
  <c r="W113" i="7"/>
  <c r="W112" i="7"/>
  <c r="W111" i="7"/>
  <c r="W110" i="7"/>
  <c r="W109" i="7"/>
  <c r="W108" i="7"/>
  <c r="W107" i="7"/>
  <c r="W106" i="7"/>
  <c r="W85" i="7"/>
  <c r="X84" i="7"/>
  <c r="W84" i="7"/>
  <c r="X82" i="7"/>
  <c r="W82" i="7"/>
  <c r="X73" i="7"/>
  <c r="W73" i="7"/>
  <c r="X69" i="7"/>
  <c r="X71" i="7" s="1"/>
  <c r="W69" i="7"/>
  <c r="W71" i="7" s="1"/>
  <c r="X65" i="7"/>
  <c r="X81" i="7" s="1"/>
  <c r="W65" i="7"/>
  <c r="W81" i="7" s="1"/>
  <c r="W32" i="7"/>
  <c r="W99" i="7" s="1"/>
  <c r="W30" i="7"/>
  <c r="W95" i="7" s="1"/>
  <c r="W24" i="7"/>
  <c r="X20" i="7"/>
  <c r="X39" i="7" s="1"/>
  <c r="X49" i="7" s="1"/>
  <c r="W20" i="7"/>
  <c r="W39" i="7" s="1"/>
  <c r="W49" i="7" s="1"/>
  <c r="W61" i="39"/>
  <c r="X43" i="22" s="1"/>
  <c r="W60" i="39"/>
  <c r="X42" i="22" s="1"/>
  <c r="W48" i="39"/>
  <c r="W47" i="39"/>
  <c r="W46" i="39"/>
  <c r="W43" i="39"/>
  <c r="W42" i="39"/>
  <c r="W8" i="39"/>
  <c r="W22" i="39" s="1"/>
  <c r="X223" i="6"/>
  <c r="W223" i="6"/>
  <c r="X222" i="6"/>
  <c r="W222" i="6"/>
  <c r="W199" i="6"/>
  <c r="X198" i="6"/>
  <c r="W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31" i="6"/>
  <c r="W131" i="6"/>
  <c r="X130" i="6"/>
  <c r="W130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W34" i="39" s="1"/>
  <c r="X45" i="6"/>
  <c r="W41" i="6"/>
  <c r="X34" i="6"/>
  <c r="X33" i="6"/>
  <c r="X32" i="6"/>
  <c r="X29" i="6"/>
  <c r="X26" i="6"/>
  <c r="X23" i="6"/>
  <c r="W18" i="6"/>
  <c r="W25" i="6" s="1"/>
  <c r="W17" i="6"/>
  <c r="W30" i="6" s="1"/>
  <c r="W16" i="6"/>
  <c r="W15" i="6"/>
  <c r="X9" i="6"/>
  <c r="X8" i="6"/>
  <c r="W7" i="6"/>
  <c r="W87" i="77"/>
  <c r="V87" i="77"/>
  <c r="W86" i="77"/>
  <c r="W85" i="77"/>
  <c r="W82" i="77"/>
  <c r="V82" i="77"/>
  <c r="W78" i="77"/>
  <c r="W76" i="77"/>
  <c r="W75" i="77"/>
  <c r="V74" i="77"/>
  <c r="W72" i="77"/>
  <c r="V72" i="77"/>
  <c r="V79" i="77" s="1"/>
  <c r="W64" i="77"/>
  <c r="V64" i="77"/>
  <c r="W47" i="77"/>
  <c r="V47" i="77"/>
  <c r="W36" i="77"/>
  <c r="V36" i="77"/>
  <c r="W32" i="77"/>
  <c r="V32" i="77"/>
  <c r="W21" i="77"/>
  <c r="V21" i="77"/>
  <c r="W13" i="77"/>
  <c r="V13" i="77"/>
  <c r="W7" i="77"/>
  <c r="V7" i="77"/>
  <c r="Z551" i="28"/>
  <c r="Z550" i="28"/>
  <c r="W479" i="28"/>
  <c r="X436" i="28"/>
  <c r="X432" i="28"/>
  <c r="X400" i="28"/>
  <c r="X399" i="28"/>
  <c r="X392" i="28"/>
  <c r="X471" i="28" s="1"/>
  <c r="W392" i="28"/>
  <c r="X376" i="28"/>
  <c r="X377" i="28" s="1"/>
  <c r="X278" i="28"/>
  <c r="X467" i="28" s="1"/>
  <c r="W278" i="28"/>
  <c r="X272" i="28"/>
  <c r="W272" i="28"/>
  <c r="X271" i="28"/>
  <c r="W271" i="28"/>
  <c r="X232" i="28"/>
  <c r="X463" i="28" s="1"/>
  <c r="W232" i="28"/>
  <c r="X215" i="28"/>
  <c r="X214" i="28"/>
  <c r="X82" i="28"/>
  <c r="X81" i="28"/>
  <c r="X79" i="28"/>
  <c r="X75" i="28"/>
  <c r="X71" i="28"/>
  <c r="X67" i="28"/>
  <c r="W54" i="28"/>
  <c r="W53" i="28"/>
  <c r="W52" i="28"/>
  <c r="X47" i="28"/>
  <c r="X40" i="28"/>
  <c r="X32" i="28"/>
  <c r="X54" i="28" s="1"/>
  <c r="X31" i="28"/>
  <c r="X53" i="28" s="1"/>
  <c r="X30" i="28"/>
  <c r="X52" i="28" s="1"/>
  <c r="X29" i="28"/>
  <c r="X51" i="28" s="1"/>
  <c r="X28" i="28"/>
  <c r="X50" i="28" s="1"/>
  <c r="X26" i="28"/>
  <c r="W21" i="28"/>
  <c r="W26" i="28" s="1"/>
  <c r="X19" i="28"/>
  <c r="X59" i="28" s="1"/>
  <c r="W14" i="28"/>
  <c r="W19" i="28" s="1"/>
  <c r="X12" i="28"/>
  <c r="W7" i="28"/>
  <c r="W12" i="28" s="1"/>
  <c r="X17" i="49"/>
  <c r="X18" i="49" s="1"/>
  <c r="X11" i="49"/>
  <c r="W11" i="49"/>
  <c r="X9" i="49"/>
  <c r="X8" i="49"/>
  <c r="W6" i="49"/>
  <c r="Y130" i="73"/>
  <c r="Y134" i="73"/>
  <c r="Y135" i="73"/>
  <c r="W235" i="73"/>
  <c r="W233" i="73"/>
  <c r="W224" i="73"/>
  <c r="W215" i="73"/>
  <c r="W209" i="73"/>
  <c r="W204" i="73"/>
  <c r="W190" i="73"/>
  <c r="W179" i="73"/>
  <c r="W188" i="73" s="1"/>
  <c r="W133" i="73"/>
  <c r="W131" i="73"/>
  <c r="W129" i="73"/>
  <c r="W125" i="73"/>
  <c r="W121" i="73"/>
  <c r="W114" i="73"/>
  <c r="W11" i="15" s="1"/>
  <c r="W12" i="15" s="1"/>
  <c r="W13" i="15" s="1"/>
  <c r="W108" i="73"/>
  <c r="W102" i="73"/>
  <c r="W65" i="73"/>
  <c r="W58" i="73"/>
  <c r="W53" i="73"/>
  <c r="W48" i="73"/>
  <c r="W34" i="73"/>
  <c r="W23" i="73"/>
  <c r="W16" i="73"/>
  <c r="W14" i="73"/>
  <c r="W117" i="90" s="1"/>
  <c r="W119" i="90" s="1"/>
  <c r="W8" i="73"/>
  <c r="W6" i="73"/>
  <c r="W5" i="73" s="1"/>
  <c r="W56" i="7" l="1"/>
  <c r="W22" i="7"/>
  <c r="W87" i="7" s="1"/>
  <c r="X216" i="28"/>
  <c r="W23" i="7"/>
  <c r="W31" i="7"/>
  <c r="W98" i="7" s="1"/>
  <c r="W57" i="7"/>
  <c r="W119" i="73"/>
  <c r="W25" i="7"/>
  <c r="W36" i="7" s="1"/>
  <c r="W51" i="7" s="1"/>
  <c r="W33" i="7"/>
  <c r="W97" i="7" s="1"/>
  <c r="X6" i="49"/>
  <c r="W26" i="7"/>
  <c r="W91" i="7" s="1"/>
  <c r="W34" i="7"/>
  <c r="W90" i="7" s="1"/>
  <c r="W27" i="7"/>
  <c r="W92" i="7" s="1"/>
  <c r="W35" i="7"/>
  <c r="W102" i="7" s="1"/>
  <c r="X273" i="28"/>
  <c r="X458" i="28" s="1"/>
  <c r="W28" i="7"/>
  <c r="W93" i="7" s="1"/>
  <c r="Z33" i="59" s="1"/>
  <c r="W52" i="7"/>
  <c r="W66" i="9"/>
  <c r="W33" i="22"/>
  <c r="V132" i="26"/>
  <c r="W67" i="9"/>
  <c r="W59" i="9"/>
  <c r="W69" i="9"/>
  <c r="W68" i="9"/>
  <c r="W64" i="9"/>
  <c r="W63" i="9"/>
  <c r="W58" i="9"/>
  <c r="W100" i="9"/>
  <c r="W27" i="9"/>
  <c r="W70" i="9"/>
  <c r="W92" i="9"/>
  <c r="W7" i="9"/>
  <c r="W55" i="9"/>
  <c r="W56" i="9"/>
  <c r="W57" i="9" s="1"/>
  <c r="W65" i="9"/>
  <c r="W95" i="9"/>
  <c r="W61" i="9"/>
  <c r="W29" i="7"/>
  <c r="W94" i="7" s="1"/>
  <c r="Z34" i="59" s="1"/>
  <c r="W54" i="7"/>
  <c r="W96" i="7" s="1"/>
  <c r="W74" i="77"/>
  <c r="W84" i="77"/>
  <c r="W123" i="90"/>
  <c r="X447" i="28"/>
  <c r="X469" i="28"/>
  <c r="X468" i="28"/>
  <c r="X83" i="28"/>
  <c r="X84" i="28" s="1"/>
  <c r="X33" i="28"/>
  <c r="X61" i="28" s="1"/>
  <c r="X59" i="8"/>
  <c r="X63" i="8" s="1"/>
  <c r="X35" i="8" s="1"/>
  <c r="X138" i="6"/>
  <c r="X103" i="6"/>
  <c r="X107" i="6" s="1"/>
  <c r="X35" i="6"/>
  <c r="X82" i="8"/>
  <c r="X22" i="7"/>
  <c r="X87" i="7" s="1"/>
  <c r="AA29" i="59" s="1"/>
  <c r="X31" i="7"/>
  <c r="X98" i="7" s="1"/>
  <c r="X28" i="7"/>
  <c r="X93" i="7" s="1"/>
  <c r="AA33" i="59" s="1"/>
  <c r="X25" i="7"/>
  <c r="X34" i="7"/>
  <c r="X90" i="7" s="1"/>
  <c r="W23" i="39"/>
  <c r="W76" i="7"/>
  <c r="W59" i="7"/>
  <c r="W101" i="7" s="1"/>
  <c r="W60" i="7"/>
  <c r="W55" i="7"/>
  <c r="W66" i="7"/>
  <c r="W88" i="7"/>
  <c r="W121" i="6"/>
  <c r="W125" i="6" s="1"/>
  <c r="W172" i="6" s="1"/>
  <c r="W27" i="6"/>
  <c r="W168" i="6"/>
  <c r="W163" i="6"/>
  <c r="W16" i="8"/>
  <c r="X110" i="8"/>
  <c r="X112" i="8" s="1"/>
  <c r="X53" i="8" s="1"/>
  <c r="AA43" i="59" s="1"/>
  <c r="X72" i="8"/>
  <c r="X34" i="8"/>
  <c r="X74" i="8"/>
  <c r="X36" i="8"/>
  <c r="X43" i="8"/>
  <c r="X46" i="8"/>
  <c r="AA47" i="59" s="1"/>
  <c r="X50" i="8"/>
  <c r="W27" i="8"/>
  <c r="X37" i="8"/>
  <c r="X41" i="8"/>
  <c r="X44" i="8"/>
  <c r="AA48" i="59" s="1"/>
  <c r="X47" i="8"/>
  <c r="W23" i="8"/>
  <c r="W28" i="8"/>
  <c r="W92" i="8"/>
  <c r="W30" i="8"/>
  <c r="W24" i="8"/>
  <c r="W9" i="49" s="1"/>
  <c r="W29" i="8"/>
  <c r="X39" i="8"/>
  <c r="X45" i="8"/>
  <c r="X92" i="8"/>
  <c r="W25" i="8"/>
  <c r="W17" i="49" s="1"/>
  <c r="W18" i="49" s="1"/>
  <c r="W50" i="8"/>
  <c r="W31" i="8"/>
  <c r="X40" i="8"/>
  <c r="X23" i="7"/>
  <c r="X26" i="7"/>
  <c r="X91" i="7" s="1"/>
  <c r="X32" i="7"/>
  <c r="X99" i="7" s="1"/>
  <c r="X35" i="7"/>
  <c r="X102" i="7" s="1"/>
  <c r="X67" i="7"/>
  <c r="X24" i="7"/>
  <c r="X27" i="7"/>
  <c r="X92" i="7" s="1"/>
  <c r="X30" i="7"/>
  <c r="X95" i="7" s="1"/>
  <c r="AA35" i="59" s="1"/>
  <c r="X33" i="7"/>
  <c r="X97" i="7" s="1"/>
  <c r="W53" i="7"/>
  <c r="W89" i="7" s="1"/>
  <c r="Z31" i="59" s="1"/>
  <c r="X56" i="7"/>
  <c r="X60" i="7"/>
  <c r="X76" i="7"/>
  <c r="X57" i="7"/>
  <c r="X54" i="7"/>
  <c r="X96" i="7" s="1"/>
  <c r="X29" i="7"/>
  <c r="X94" i="7" s="1"/>
  <c r="AA34" i="59" s="1"/>
  <c r="X59" i="7"/>
  <c r="X101" i="7" s="1"/>
  <c r="X53" i="7"/>
  <c r="W83" i="7"/>
  <c r="Z36" i="59" s="1"/>
  <c r="X83" i="7"/>
  <c r="AA36" i="59" s="1"/>
  <c r="W45" i="39"/>
  <c r="W49" i="39"/>
  <c r="W58" i="7"/>
  <c r="W74" i="7"/>
  <c r="W50" i="39"/>
  <c r="X52" i="7"/>
  <c r="X55" i="7"/>
  <c r="X58" i="7"/>
  <c r="X74" i="7"/>
  <c r="W24" i="39"/>
  <c r="W138" i="6"/>
  <c r="W133" i="6"/>
  <c r="X57" i="6"/>
  <c r="W22" i="6"/>
  <c r="W31" i="6"/>
  <c r="W32" i="6" s="1"/>
  <c r="W24" i="6"/>
  <c r="W26" i="6" s="1"/>
  <c r="X148" i="6"/>
  <c r="AA15" i="59" s="1"/>
  <c r="W173" i="6"/>
  <c r="X150" i="6"/>
  <c r="X147" i="6"/>
  <c r="X121" i="6"/>
  <c r="X125" i="6" s="1"/>
  <c r="X175" i="6" s="1"/>
  <c r="W19" i="6"/>
  <c r="W81" i="6" s="1"/>
  <c r="W21" i="6"/>
  <c r="W103" i="6"/>
  <c r="W107" i="6" s="1"/>
  <c r="W150" i="6" s="1"/>
  <c r="X133" i="6"/>
  <c r="X139" i="6" s="1"/>
  <c r="W194" i="6"/>
  <c r="W28" i="6"/>
  <c r="W29" i="6" s="1"/>
  <c r="W188" i="6"/>
  <c r="W79" i="77"/>
  <c r="X479" i="28"/>
  <c r="X430" i="28"/>
  <c r="X480" i="28" s="1"/>
  <c r="X60" i="28"/>
  <c r="X470" i="28"/>
  <c r="X55" i="28"/>
  <c r="X461" i="28"/>
  <c r="W60" i="28"/>
  <c r="W73" i="28" s="1"/>
  <c r="W468" i="28" s="1"/>
  <c r="W377" i="28"/>
  <c r="W470" i="28" s="1"/>
  <c r="W273" i="28"/>
  <c r="W466" i="28" s="1"/>
  <c r="W59" i="28"/>
  <c r="W69" i="28" s="1"/>
  <c r="W465" i="28" s="1"/>
  <c r="W216" i="28"/>
  <c r="W462" i="28" s="1"/>
  <c r="W58" i="28"/>
  <c r="X462" i="28"/>
  <c r="X466" i="28"/>
  <c r="X58" i="28"/>
  <c r="X457" i="28"/>
  <c r="X460" i="28"/>
  <c r="X464" i="28"/>
  <c r="W136" i="73"/>
  <c r="W117" i="73"/>
  <c r="AA79" i="59"/>
  <c r="AA78" i="59"/>
  <c r="AA77" i="59"/>
  <c r="Z76" i="59"/>
  <c r="Z75" i="59"/>
  <c r="AA74" i="59"/>
  <c r="AA73" i="59"/>
  <c r="Z73" i="59"/>
  <c r="AA70" i="59"/>
  <c r="AA69" i="59"/>
  <c r="Z69" i="59"/>
  <c r="AA66" i="59"/>
  <c r="AA65" i="59"/>
  <c r="Z65" i="59"/>
  <c r="AA62" i="59"/>
  <c r="Z62" i="59"/>
  <c r="AA61" i="59"/>
  <c r="Z61" i="59"/>
  <c r="AA60" i="59"/>
  <c r="AA59" i="59"/>
  <c r="Z59" i="59"/>
  <c r="AA58" i="59"/>
  <c r="Z58" i="59"/>
  <c r="Z53" i="59"/>
  <c r="AA52" i="59"/>
  <c r="Z52" i="59"/>
  <c r="AA51" i="59"/>
  <c r="Z51" i="59"/>
  <c r="AA50" i="59"/>
  <c r="Z50" i="59"/>
  <c r="Z48" i="59"/>
  <c r="Z47" i="59"/>
  <c r="AA46" i="59"/>
  <c r="Z46" i="59"/>
  <c r="Z49" i="59" s="1"/>
  <c r="AA45" i="59"/>
  <c r="Z45" i="59"/>
  <c r="Z43" i="59"/>
  <c r="Z42" i="59"/>
  <c r="AA41" i="59"/>
  <c r="Z41" i="59"/>
  <c r="Z39" i="59"/>
  <c r="Z38" i="59"/>
  <c r="Z37" i="59"/>
  <c r="Z35" i="59"/>
  <c r="Z29" i="59"/>
  <c r="AA28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W100" i="7" l="1"/>
  <c r="Z32" i="59" s="1"/>
  <c r="X78" i="8"/>
  <c r="W6" i="26"/>
  <c r="W60" i="9"/>
  <c r="W7" i="22"/>
  <c r="W8" i="22" s="1"/>
  <c r="W10" i="22" s="1"/>
  <c r="W11" i="22" s="1"/>
  <c r="W13" i="22" s="1"/>
  <c r="W21" i="22"/>
  <c r="W175" i="6"/>
  <c r="X149" i="6"/>
  <c r="W34" i="6"/>
  <c r="X100" i="7"/>
  <c r="AA32" i="59" s="1"/>
  <c r="X465" i="28"/>
  <c r="W62" i="9"/>
  <c r="Z30" i="59"/>
  <c r="X472" i="28"/>
  <c r="X42" i="8"/>
  <c r="X36" i="7"/>
  <c r="X51" i="7" s="1"/>
  <c r="X61" i="7" s="1"/>
  <c r="W51" i="39"/>
  <c r="W174" i="6"/>
  <c r="W139" i="6"/>
  <c r="W143" i="6" s="1"/>
  <c r="W203" i="6" s="1"/>
  <c r="X52" i="8"/>
  <c r="AA42" i="59" s="1"/>
  <c r="AA44" i="59" s="1"/>
  <c r="W69" i="8"/>
  <c r="W36" i="8" s="1"/>
  <c r="AA49" i="59"/>
  <c r="W8" i="49"/>
  <c r="W65" i="8"/>
  <c r="W10" i="49" s="1"/>
  <c r="W26" i="8"/>
  <c r="W59" i="8"/>
  <c r="W63" i="8" s="1"/>
  <c r="W35" i="8" s="1"/>
  <c r="W109" i="8"/>
  <c r="W111" i="8" s="1"/>
  <c r="Z44" i="59"/>
  <c r="X70" i="8"/>
  <c r="W67" i="8"/>
  <c r="W37" i="8" s="1"/>
  <c r="X71" i="8"/>
  <c r="X89" i="7"/>
  <c r="AA31" i="59" s="1"/>
  <c r="X88" i="7"/>
  <c r="AA30" i="59" s="1"/>
  <c r="W75" i="7"/>
  <c r="W61" i="7"/>
  <c r="W147" i="6"/>
  <c r="W213" i="6"/>
  <c r="X143" i="6"/>
  <c r="X197" i="6" s="1"/>
  <c r="X172" i="6"/>
  <c r="W148" i="6"/>
  <c r="W84" i="6"/>
  <c r="W33" i="6"/>
  <c r="W23" i="6"/>
  <c r="X173" i="6"/>
  <c r="AA22" i="59" s="1"/>
  <c r="X448" i="28"/>
  <c r="X474" i="28" s="1"/>
  <c r="X62" i="28"/>
  <c r="X56" i="28"/>
  <c r="W464" i="28"/>
  <c r="W65" i="28"/>
  <c r="W457" i="28"/>
  <c r="W458" i="28"/>
  <c r="W469" i="28"/>
  <c r="W54" i="36"/>
  <c r="W53" i="36"/>
  <c r="W51" i="36"/>
  <c r="W49" i="36"/>
  <c r="W48" i="36"/>
  <c r="W50" i="36" s="1"/>
  <c r="X46" i="36"/>
  <c r="X54" i="36" s="1"/>
  <c r="W46" i="36"/>
  <c r="X44" i="36"/>
  <c r="X52" i="36" s="1"/>
  <c r="X43" i="36"/>
  <c r="X51" i="36" s="1"/>
  <c r="W43" i="36"/>
  <c r="W45" i="36" s="1"/>
  <c r="X41" i="36"/>
  <c r="X49" i="36" s="1"/>
  <c r="W41" i="36"/>
  <c r="X40" i="36"/>
  <c r="X48" i="36" s="1"/>
  <c r="W40" i="36"/>
  <c r="X39" i="36"/>
  <c r="X17" i="36" s="1"/>
  <c r="AA55" i="59" s="1"/>
  <c r="X38" i="36"/>
  <c r="X16" i="36" s="1"/>
  <c r="AA54" i="59" s="1"/>
  <c r="X32" i="36"/>
  <c r="W32" i="36"/>
  <c r="W29" i="36"/>
  <c r="W28" i="36"/>
  <c r="W27" i="36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7" i="36"/>
  <c r="W16" i="36"/>
  <c r="W13" i="36"/>
  <c r="Z40" i="59" s="1"/>
  <c r="X12" i="36"/>
  <c r="AA39" i="59" s="1"/>
  <c r="X11" i="36"/>
  <c r="AA38" i="59" s="1"/>
  <c r="X10" i="36"/>
  <c r="AA37" i="59" s="1"/>
  <c r="W9" i="36"/>
  <c r="Z10" i="59" s="1"/>
  <c r="W8" i="36"/>
  <c r="Z9" i="59" s="1"/>
  <c r="X7" i="36"/>
  <c r="AA8" i="59" s="1"/>
  <c r="W7" i="36"/>
  <c r="Z8" i="59" s="1"/>
  <c r="W5" i="36"/>
  <c r="X28" i="21"/>
  <c r="W27" i="21"/>
  <c r="X24" i="21"/>
  <c r="X25" i="21" s="1"/>
  <c r="X18" i="21"/>
  <c r="X15" i="21"/>
  <c r="X12" i="21"/>
  <c r="X477" i="28" s="1"/>
  <c r="W12" i="21"/>
  <c r="W22" i="21" s="1"/>
  <c r="X47" i="35"/>
  <c r="X46" i="35"/>
  <c r="X45" i="35"/>
  <c r="X44" i="35"/>
  <c r="X43" i="35"/>
  <c r="X42" i="35"/>
  <c r="W42" i="35"/>
  <c r="W41" i="35"/>
  <c r="X40" i="35"/>
  <c r="X39" i="35"/>
  <c r="W39" i="35"/>
  <c r="X36" i="35"/>
  <c r="X48" i="35" s="1"/>
  <c r="W36" i="35"/>
  <c r="W28" i="28" s="1"/>
  <c r="W33" i="35"/>
  <c r="X32" i="35"/>
  <c r="X31" i="35"/>
  <c r="X30" i="35"/>
  <c r="X26" i="35"/>
  <c r="X33" i="36" s="1"/>
  <c r="X34" i="36" s="1"/>
  <c r="W26" i="35"/>
  <c r="W26" i="21" s="1"/>
  <c r="W28" i="21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6" s="1"/>
  <c r="W8" i="35"/>
  <c r="X7" i="35"/>
  <c r="X6" i="6" s="1"/>
  <c r="X6" i="35"/>
  <c r="W103" i="7" l="1"/>
  <c r="W22" i="22"/>
  <c r="W24" i="22" s="1"/>
  <c r="W25" i="22" s="1"/>
  <c r="W27" i="22" s="1"/>
  <c r="W35" i="6"/>
  <c r="W42" i="36"/>
  <c r="V7" i="15"/>
  <c r="Z79" i="59"/>
  <c r="W13" i="49"/>
  <c r="Z6" i="59"/>
  <c r="W39" i="36"/>
  <c r="W90" i="9"/>
  <c r="W19" i="9" s="1"/>
  <c r="Z55" i="59"/>
  <c r="V5" i="15"/>
  <c r="Z77" i="59"/>
  <c r="V6" i="15"/>
  <c r="Z78" i="59"/>
  <c r="W89" i="9"/>
  <c r="W91" i="9" s="1"/>
  <c r="Z54" i="59"/>
  <c r="X53" i="36"/>
  <c r="X75" i="7"/>
  <c r="X473" i="28"/>
  <c r="X452" i="28"/>
  <c r="X451" i="28"/>
  <c r="X478" i="28"/>
  <c r="X33" i="35"/>
  <c r="X37" i="35" s="1"/>
  <c r="X25" i="36" s="1"/>
  <c r="AA76" i="59" s="1"/>
  <c r="X41" i="35"/>
  <c r="X49" i="35" s="1"/>
  <c r="X98" i="11"/>
  <c r="X50" i="36"/>
  <c r="X18" i="36"/>
  <c r="AA56" i="59" s="1"/>
  <c r="X45" i="36"/>
  <c r="X42" i="36"/>
  <c r="X15" i="35"/>
  <c r="X16" i="6"/>
  <c r="X18" i="6"/>
  <c r="X8" i="35"/>
  <c r="X5" i="6"/>
  <c r="W204" i="6"/>
  <c r="W216" i="6"/>
  <c r="W219" i="6" s="1"/>
  <c r="W208" i="6"/>
  <c r="W210" i="6"/>
  <c r="W207" i="6"/>
  <c r="W206" i="6"/>
  <c r="W205" i="6"/>
  <c r="W211" i="6"/>
  <c r="W212" i="6"/>
  <c r="W149" i="6"/>
  <c r="W33" i="28"/>
  <c r="W50" i="28"/>
  <c r="W55" i="28" s="1"/>
  <c r="W477" i="28" s="1"/>
  <c r="W33" i="36"/>
  <c r="W34" i="36" s="1"/>
  <c r="W38" i="36"/>
  <c r="W110" i="8"/>
  <c r="W112" i="8" s="1"/>
  <c r="W11" i="35"/>
  <c r="W10" i="6" s="1"/>
  <c r="W9" i="6"/>
  <c r="W13" i="35"/>
  <c r="W14" i="35"/>
  <c r="W15" i="35" s="1"/>
  <c r="X13" i="36"/>
  <c r="AA40" i="59" s="1"/>
  <c r="W34" i="8"/>
  <c r="W12" i="49"/>
  <c r="X103" i="7"/>
  <c r="X199" i="6"/>
  <c r="X13" i="49"/>
  <c r="AA6" i="59"/>
  <c r="X174" i="6"/>
  <c r="X8" i="36" s="1"/>
  <c r="AA9" i="59" s="1"/>
  <c r="X208" i="6"/>
  <c r="X217" i="6"/>
  <c r="X218" i="6"/>
  <c r="X211" i="6"/>
  <c r="X205" i="6"/>
  <c r="X213" i="6"/>
  <c r="X207" i="6"/>
  <c r="X216" i="6"/>
  <c r="X210" i="6"/>
  <c r="X203" i="6"/>
  <c r="X212" i="6"/>
  <c r="X206" i="6"/>
  <c r="X204" i="6"/>
  <c r="W461" i="28"/>
  <c r="W460" i="28"/>
  <c r="X35" i="36"/>
  <c r="X36" i="36" s="1"/>
  <c r="X30" i="36" s="1"/>
  <c r="AA80" i="59" s="1"/>
  <c r="X19" i="36"/>
  <c r="AA57" i="59" s="1"/>
  <c r="W35" i="36"/>
  <c r="W36" i="36" s="1"/>
  <c r="W30" i="36" s="1"/>
  <c r="Z80" i="59" s="1"/>
  <c r="X20" i="21"/>
  <c r="W15" i="21"/>
  <c r="W48" i="35"/>
  <c r="W49" i="35" s="1"/>
  <c r="W37" i="35"/>
  <c r="V109" i="9"/>
  <c r="W14" i="49" l="1"/>
  <c r="W15" i="49" s="1"/>
  <c r="W16" i="49" s="1"/>
  <c r="W19" i="49" s="1"/>
  <c r="W20" i="49" s="1"/>
  <c r="X55" i="35"/>
  <c r="X189" i="6"/>
  <c r="X194" i="6"/>
  <c r="X17" i="6"/>
  <c r="X7" i="6"/>
  <c r="X15" i="6"/>
  <c r="W209" i="6"/>
  <c r="W215" i="6" s="1"/>
  <c r="W220" i="6" s="1"/>
  <c r="W214" i="6"/>
  <c r="W448" i="28"/>
  <c r="W61" i="28"/>
  <c r="W474" i="28"/>
  <c r="X209" i="6"/>
  <c r="X219" i="6"/>
  <c r="X214" i="6"/>
  <c r="AA11" i="59" s="1"/>
  <c r="W55" i="35"/>
  <c r="T70" i="77"/>
  <c r="S78" i="77"/>
  <c r="X19" i="6" l="1"/>
  <c r="X168" i="6"/>
  <c r="X84" i="6"/>
  <c r="X164" i="6"/>
  <c r="X81" i="6"/>
  <c r="W77" i="28"/>
  <c r="W452" i="28" s="1"/>
  <c r="W62" i="28"/>
  <c r="W478" i="28" s="1"/>
  <c r="W451" i="28"/>
  <c r="X215" i="6"/>
  <c r="X220" i="6" s="1"/>
  <c r="BF204" i="73"/>
  <c r="BE204" i="73"/>
  <c r="BD204" i="73"/>
  <c r="BC204" i="73"/>
  <c r="BB204" i="73"/>
  <c r="BA204" i="73"/>
  <c r="AZ204" i="73"/>
  <c r="AY204" i="73"/>
  <c r="AX204" i="73"/>
  <c r="AW204" i="73"/>
  <c r="AV204" i="73"/>
  <c r="AU204" i="73"/>
  <c r="AT204" i="73"/>
  <c r="AS204" i="73"/>
  <c r="AR204" i="73"/>
  <c r="AQ204" i="73"/>
  <c r="AP204" i="73"/>
  <c r="AO204" i="73"/>
  <c r="AN204" i="73"/>
  <c r="AM204" i="73"/>
  <c r="AL204" i="73"/>
  <c r="AK204" i="73"/>
  <c r="AJ204" i="73"/>
  <c r="AI204" i="73"/>
  <c r="AH204" i="73"/>
  <c r="AG204" i="73"/>
  <c r="AF204" i="73"/>
  <c r="AE204" i="73"/>
  <c r="AD204" i="73"/>
  <c r="AC204" i="73"/>
  <c r="AB204" i="73"/>
  <c r="X204" i="73"/>
  <c r="V204" i="73"/>
  <c r="T204" i="73"/>
  <c r="S204" i="73"/>
  <c r="R204" i="73"/>
  <c r="P204" i="73"/>
  <c r="O204" i="73"/>
  <c r="Y204" i="73" s="1"/>
  <c r="N204" i="73"/>
  <c r="L204" i="73"/>
  <c r="K204" i="73"/>
  <c r="J204" i="73"/>
  <c r="H204" i="73"/>
  <c r="G204" i="73"/>
  <c r="E204" i="73"/>
  <c r="T69" i="10"/>
  <c r="Z69" i="10" s="1"/>
  <c r="T52" i="10"/>
  <c r="Z52" i="10" s="1"/>
  <c r="T37" i="10"/>
  <c r="T23" i="10"/>
  <c r="Z23" i="10" s="1"/>
  <c r="T22" i="10"/>
  <c r="T30" i="10"/>
  <c r="T12" i="10"/>
  <c r="T200" i="10" l="1"/>
  <c r="Z12" i="10"/>
  <c r="X37" i="6"/>
  <c r="X38" i="6"/>
  <c r="X39" i="6"/>
  <c r="X40" i="6"/>
  <c r="W473" i="28"/>
  <c r="W81" i="28"/>
  <c r="W472" i="28"/>
  <c r="X9" i="36"/>
  <c r="AA10" i="59" s="1"/>
  <c r="X41" i="6" l="1"/>
  <c r="Z8" i="28"/>
  <c r="Z9" i="28"/>
  <c r="Z10" i="28"/>
  <c r="Z11" i="28"/>
  <c r="Z13" i="28"/>
  <c r="Z14" i="28"/>
  <c r="Z15" i="28"/>
  <c r="Z16" i="28"/>
  <c r="Z17" i="28"/>
  <c r="Z18" i="28"/>
  <c r="Z20" i="28"/>
  <c r="Z21" i="28"/>
  <c r="Z22" i="28"/>
  <c r="Z23" i="28"/>
  <c r="Z24" i="28"/>
  <c r="Z25" i="28"/>
  <c r="Z27" i="28"/>
  <c r="Z34" i="28"/>
  <c r="Z35" i="28"/>
  <c r="Z36" i="28"/>
  <c r="Z37" i="28"/>
  <c r="Z38" i="28"/>
  <c r="Z39" i="28"/>
  <c r="Z41" i="28"/>
  <c r="Z42" i="28"/>
  <c r="Z43" i="28"/>
  <c r="Z44" i="28"/>
  <c r="Z45" i="28"/>
  <c r="Z46" i="28"/>
  <c r="Z48" i="28"/>
  <c r="Z49" i="28"/>
  <c r="Z57" i="28"/>
  <c r="Z63" i="28"/>
  <c r="Z64" i="28"/>
  <c r="Z65" i="28"/>
  <c r="Z66" i="28"/>
  <c r="Z68" i="28"/>
  <c r="Z69" i="28"/>
  <c r="Z70" i="28"/>
  <c r="Z72" i="28"/>
  <c r="Z73" i="28"/>
  <c r="Z74" i="28"/>
  <c r="Z76" i="28"/>
  <c r="Z77" i="28"/>
  <c r="Z78" i="28"/>
  <c r="Z80" i="28"/>
  <c r="Z85" i="28"/>
  <c r="Z86" i="28"/>
  <c r="Z87" i="28"/>
  <c r="Z88" i="28"/>
  <c r="Z89" i="28"/>
  <c r="Z90" i="28"/>
  <c r="Z91" i="28"/>
  <c r="Z92" i="28"/>
  <c r="Z93" i="28"/>
  <c r="Z94" i="28"/>
  <c r="Z95" i="28"/>
  <c r="Z96" i="28"/>
  <c r="Z97" i="28"/>
  <c r="Z98" i="28"/>
  <c r="Z99" i="28"/>
  <c r="Z100" i="28"/>
  <c r="Z101" i="28"/>
  <c r="Z102" i="28"/>
  <c r="Z103" i="28"/>
  <c r="Z104" i="28"/>
  <c r="Z105" i="28"/>
  <c r="Z106" i="28"/>
  <c r="Z107" i="28"/>
  <c r="Z108" i="28"/>
  <c r="Z109" i="28"/>
  <c r="Z110" i="28"/>
  <c r="Z111" i="28"/>
  <c r="Z112" i="28"/>
  <c r="Z113" i="28"/>
  <c r="Z114" i="28"/>
  <c r="Z115" i="28"/>
  <c r="Z116" i="28"/>
  <c r="Z117" i="28"/>
  <c r="Z118" i="28"/>
  <c r="Z119" i="28"/>
  <c r="Z120" i="28"/>
  <c r="Z121" i="28"/>
  <c r="Z122" i="28"/>
  <c r="Z123" i="28"/>
  <c r="Z124" i="28"/>
  <c r="Z125" i="28"/>
  <c r="Z126" i="28"/>
  <c r="Z127" i="28"/>
  <c r="Z128" i="28"/>
  <c r="Z129" i="28"/>
  <c r="Z130" i="28"/>
  <c r="Z131" i="28"/>
  <c r="Z132" i="28"/>
  <c r="Z133" i="28"/>
  <c r="Z134" i="28"/>
  <c r="Z135" i="28"/>
  <c r="Z136" i="28"/>
  <c r="Z137" i="28"/>
  <c r="Z138" i="28"/>
  <c r="Z139" i="28"/>
  <c r="Z140" i="28"/>
  <c r="Z141" i="28"/>
  <c r="Z142" i="28"/>
  <c r="Z143" i="28"/>
  <c r="Z144" i="28"/>
  <c r="Z145" i="28"/>
  <c r="Z146" i="28"/>
  <c r="Z147" i="28"/>
  <c r="Z148" i="28"/>
  <c r="Z149" i="28"/>
  <c r="Z150" i="28"/>
  <c r="Z151" i="28"/>
  <c r="Z152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8" i="28"/>
  <c r="Z169" i="28"/>
  <c r="Z170" i="28"/>
  <c r="Z171" i="28"/>
  <c r="Z172" i="28"/>
  <c r="Z173" i="28"/>
  <c r="Z174" i="28"/>
  <c r="Z175" i="28"/>
  <c r="Z176" i="28"/>
  <c r="Z177" i="28"/>
  <c r="Z178" i="28"/>
  <c r="Z179" i="28"/>
  <c r="Z180" i="28"/>
  <c r="Z181" i="28"/>
  <c r="Z182" i="28"/>
  <c r="Z183" i="28"/>
  <c r="Z184" i="28"/>
  <c r="Z185" i="28"/>
  <c r="Z186" i="28"/>
  <c r="Z187" i="28"/>
  <c r="Z188" i="28"/>
  <c r="Z189" i="28"/>
  <c r="Z190" i="28"/>
  <c r="Z191" i="28"/>
  <c r="Z192" i="28"/>
  <c r="Z193" i="28"/>
  <c r="Z194" i="28"/>
  <c r="Z195" i="28"/>
  <c r="Z196" i="28"/>
  <c r="Z197" i="28"/>
  <c r="Z198" i="28"/>
  <c r="Z199" i="28"/>
  <c r="Z200" i="28"/>
  <c r="Z201" i="28"/>
  <c r="Z202" i="28"/>
  <c r="Z203" i="28"/>
  <c r="Z204" i="28"/>
  <c r="Z205" i="28"/>
  <c r="Z206" i="28"/>
  <c r="Z207" i="28"/>
  <c r="Z208" i="28"/>
  <c r="Z209" i="28"/>
  <c r="Z210" i="28"/>
  <c r="Z211" i="28"/>
  <c r="Z212" i="28"/>
  <c r="Z213" i="28"/>
  <c r="Z217" i="28"/>
  <c r="Z218" i="28"/>
  <c r="Z219" i="28"/>
  <c r="Z220" i="28"/>
  <c r="Z221" i="28"/>
  <c r="Z222" i="28"/>
  <c r="Z223" i="28"/>
  <c r="Z224" i="28"/>
  <c r="Z225" i="28"/>
  <c r="Z226" i="28"/>
  <c r="Z227" i="28"/>
  <c r="Z228" i="28"/>
  <c r="Z229" i="28"/>
  <c r="Z230" i="28"/>
  <c r="Z231" i="28"/>
  <c r="Z233" i="28"/>
  <c r="Z234" i="28"/>
  <c r="Z235" i="28"/>
  <c r="Z236" i="28"/>
  <c r="Z237" i="28"/>
  <c r="Z238" i="28"/>
  <c r="Z239" i="28"/>
  <c r="Z240" i="28"/>
  <c r="Z241" i="28"/>
  <c r="Z242" i="28"/>
  <c r="Z243" i="28"/>
  <c r="Z245" i="28"/>
  <c r="Z246" i="28"/>
  <c r="Z247" i="28"/>
  <c r="Z248" i="28"/>
  <c r="Z249" i="28"/>
  <c r="Z250" i="28"/>
  <c r="Z251" i="28"/>
  <c r="Z252" i="28"/>
  <c r="Z253" i="28"/>
  <c r="Z254" i="28"/>
  <c r="Z255" i="28"/>
  <c r="Z256" i="28"/>
  <c r="Z257" i="28"/>
  <c r="Z258" i="28"/>
  <c r="Z259" i="28"/>
  <c r="Z260" i="28"/>
  <c r="Z261" i="28"/>
  <c r="Z262" i="28"/>
  <c r="Z263" i="28"/>
  <c r="Z264" i="28"/>
  <c r="Z265" i="28"/>
  <c r="Z266" i="28"/>
  <c r="Z267" i="28"/>
  <c r="Z268" i="28"/>
  <c r="Z269" i="28"/>
  <c r="Z270" i="28"/>
  <c r="Z274" i="28"/>
  <c r="Z275" i="28"/>
  <c r="Z276" i="28"/>
  <c r="Z277" i="28"/>
  <c r="Z279" i="28"/>
  <c r="Z280" i="28"/>
  <c r="Z281" i="28"/>
  <c r="Z282" i="28"/>
  <c r="Z283" i="28"/>
  <c r="Z284" i="28"/>
  <c r="Z285" i="28"/>
  <c r="Z286" i="28"/>
  <c r="Z287" i="28"/>
  <c r="Z288" i="28"/>
  <c r="Z289" i="28"/>
  <c r="Z290" i="28"/>
  <c r="Z291" i="28"/>
  <c r="Z292" i="28"/>
  <c r="Z293" i="28"/>
  <c r="Z294" i="28"/>
  <c r="Z295" i="28"/>
  <c r="Z296" i="28"/>
  <c r="Z297" i="28"/>
  <c r="Z298" i="28"/>
  <c r="Z299" i="28"/>
  <c r="Z300" i="28"/>
  <c r="Z301" i="28"/>
  <c r="Z302" i="28"/>
  <c r="Z303" i="28"/>
  <c r="Z304" i="28"/>
  <c r="Z305" i="28"/>
  <c r="Z306" i="28"/>
  <c r="Z307" i="28"/>
  <c r="Z308" i="28"/>
  <c r="Z309" i="28"/>
  <c r="Z310" i="28"/>
  <c r="Z311" i="28"/>
  <c r="Z312" i="28"/>
  <c r="Z313" i="28"/>
  <c r="Z314" i="28"/>
  <c r="Z315" i="28"/>
  <c r="Z316" i="28"/>
  <c r="Z317" i="28"/>
  <c r="Z318" i="28"/>
  <c r="Z319" i="28"/>
  <c r="Z320" i="28"/>
  <c r="Z321" i="28"/>
  <c r="Z322" i="28"/>
  <c r="Z323" i="28"/>
  <c r="Z324" i="28"/>
  <c r="Z325" i="28"/>
  <c r="Z326" i="28"/>
  <c r="Z327" i="28"/>
  <c r="Z328" i="28"/>
  <c r="Z329" i="28"/>
  <c r="Z330" i="28"/>
  <c r="Z331" i="28"/>
  <c r="Z332" i="28"/>
  <c r="Z333" i="28"/>
  <c r="Z334" i="28"/>
  <c r="Z335" i="28"/>
  <c r="Z336" i="28"/>
  <c r="Z337" i="28"/>
  <c r="Z338" i="28"/>
  <c r="Z339" i="28"/>
  <c r="Z340" i="28"/>
  <c r="Z341" i="28"/>
  <c r="Z342" i="28"/>
  <c r="Z343" i="28"/>
  <c r="Z344" i="28"/>
  <c r="Z345" i="28"/>
  <c r="Z346" i="28"/>
  <c r="Z347" i="28"/>
  <c r="Z348" i="28"/>
  <c r="Z349" i="28"/>
  <c r="Z350" i="28"/>
  <c r="Z351" i="28"/>
  <c r="Z352" i="28"/>
  <c r="Z355" i="28"/>
  <c r="Z356" i="28"/>
  <c r="Z357" i="28"/>
  <c r="Z358" i="28"/>
  <c r="Z359" i="28"/>
  <c r="Z362" i="28"/>
  <c r="Z363" i="28"/>
  <c r="Z364" i="28"/>
  <c r="Z365" i="28"/>
  <c r="Z366" i="28"/>
  <c r="Z367" i="28"/>
  <c r="Z368" i="28"/>
  <c r="Z369" i="28"/>
  <c r="Z370" i="28"/>
  <c r="Z371" i="28"/>
  <c r="Z372" i="28"/>
  <c r="Z373" i="28"/>
  <c r="Z374" i="28"/>
  <c r="Z375" i="28"/>
  <c r="Z378" i="28"/>
  <c r="Z379" i="28"/>
  <c r="Z380" i="28"/>
  <c r="Z381" i="28"/>
  <c r="Z382" i="28"/>
  <c r="Z383" i="28"/>
  <c r="Z384" i="28"/>
  <c r="Z385" i="28"/>
  <c r="Z386" i="28"/>
  <c r="Z387" i="28"/>
  <c r="Z388" i="28"/>
  <c r="Z389" i="28"/>
  <c r="Z390" i="28"/>
  <c r="Z391" i="28"/>
  <c r="Z393" i="28"/>
  <c r="Z394" i="28"/>
  <c r="Z395" i="28"/>
  <c r="Z396" i="28"/>
  <c r="Z397" i="28"/>
  <c r="Z398" i="28"/>
  <c r="Z401" i="28"/>
  <c r="Z402" i="28"/>
  <c r="Z403" i="28"/>
  <c r="Z404" i="28"/>
  <c r="Z405" i="28"/>
  <c r="Z406" i="28"/>
  <c r="Z407" i="28"/>
  <c r="Z408" i="28"/>
  <c r="Z409" i="28"/>
  <c r="Z410" i="28"/>
  <c r="Z411" i="28"/>
  <c r="Z412" i="28"/>
  <c r="Z413" i="28"/>
  <c r="Z414" i="28"/>
  <c r="Z415" i="28"/>
  <c r="Z416" i="28"/>
  <c r="Z417" i="28"/>
  <c r="Z418" i="28"/>
  <c r="Z419" i="28"/>
  <c r="Z420" i="28"/>
  <c r="Z421" i="28"/>
  <c r="Z422" i="28"/>
  <c r="Z423" i="28"/>
  <c r="Z424" i="28"/>
  <c r="Z425" i="28"/>
  <c r="Z426" i="28"/>
  <c r="Z427" i="28"/>
  <c r="Z428" i="28"/>
  <c r="Z429" i="28"/>
  <c r="Z431" i="28"/>
  <c r="Z433" i="28"/>
  <c r="Z434" i="28"/>
  <c r="Z435" i="28"/>
  <c r="Z437" i="28"/>
  <c r="Z438" i="28"/>
  <c r="Z439" i="28"/>
  <c r="Z440" i="28"/>
  <c r="Z441" i="28"/>
  <c r="Z442" i="28"/>
  <c r="Z443" i="28"/>
  <c r="Z444" i="28"/>
  <c r="Z445" i="28"/>
  <c r="Z446" i="28"/>
  <c r="Z449" i="28"/>
  <c r="Z450" i="28"/>
  <c r="Z453" i="28"/>
  <c r="Z454" i="28"/>
  <c r="Z455" i="28"/>
  <c r="Z456" i="28"/>
  <c r="Z459" i="28"/>
  <c r="Z475" i="28"/>
  <c r="Z476" i="28"/>
  <c r="Z481" i="28"/>
  <c r="Z482" i="28"/>
  <c r="Z483" i="28"/>
  <c r="Z484" i="28"/>
  <c r="Z485" i="28"/>
  <c r="Z486" i="28"/>
  <c r="Z487" i="28"/>
  <c r="Z488" i="28"/>
  <c r="Z489" i="28"/>
  <c r="Z490" i="28"/>
  <c r="Z491" i="28"/>
  <c r="Z492" i="28"/>
  <c r="Z493" i="28"/>
  <c r="Z494" i="28"/>
  <c r="Z495" i="28"/>
  <c r="Z496" i="28"/>
  <c r="Z497" i="28"/>
  <c r="Z498" i="28"/>
  <c r="Z499" i="28"/>
  <c r="Z500" i="28"/>
  <c r="Z501" i="28"/>
  <c r="Z502" i="28"/>
  <c r="Z503" i="28"/>
  <c r="Z504" i="28"/>
  <c r="Z505" i="28"/>
  <c r="Z506" i="28"/>
  <c r="Z507" i="28"/>
  <c r="Z508" i="28"/>
  <c r="Z509" i="28"/>
  <c r="Z510" i="28"/>
  <c r="Z511" i="28"/>
  <c r="Z512" i="28"/>
  <c r="Z513" i="28"/>
  <c r="Z514" i="28"/>
  <c r="Z515" i="28"/>
  <c r="Z516" i="28"/>
  <c r="Z517" i="28"/>
  <c r="Z518" i="28"/>
  <c r="Z519" i="28"/>
  <c r="Z520" i="28"/>
  <c r="Z521" i="28"/>
  <c r="Z522" i="28"/>
  <c r="Z523" i="28"/>
  <c r="Z524" i="28"/>
  <c r="Z525" i="28"/>
  <c r="Z526" i="28"/>
  <c r="Z527" i="28"/>
  <c r="Z528" i="28"/>
  <c r="Z529" i="28"/>
  <c r="Z530" i="28"/>
  <c r="Z531" i="28"/>
  <c r="Z532" i="28"/>
  <c r="Z533" i="28"/>
  <c r="Z534" i="28"/>
  <c r="Z535" i="28"/>
  <c r="Z536" i="28"/>
  <c r="Z537" i="28"/>
  <c r="Z538" i="28"/>
  <c r="Z539" i="28"/>
  <c r="Z540" i="28"/>
  <c r="Z541" i="28"/>
  <c r="Z542" i="28"/>
  <c r="Z543" i="28"/>
  <c r="Z544" i="28"/>
  <c r="Z545" i="28"/>
  <c r="Z546" i="28"/>
  <c r="Z547" i="28"/>
  <c r="Z548" i="28"/>
  <c r="J8" i="28"/>
  <c r="N8" i="28" s="1"/>
  <c r="AB8" i="28" s="1"/>
  <c r="AF8" i="28" s="1"/>
  <c r="J9" i="28"/>
  <c r="N9" i="28" s="1"/>
  <c r="R9" i="28" s="1"/>
  <c r="V9" i="28" s="1"/>
  <c r="J10" i="28"/>
  <c r="N10" i="28" s="1"/>
  <c r="J11" i="28"/>
  <c r="N11" i="28" s="1"/>
  <c r="J13" i="28"/>
  <c r="N13" i="28" s="1"/>
  <c r="J14" i="28"/>
  <c r="N14" i="28" s="1"/>
  <c r="J15" i="28"/>
  <c r="N15" i="28" s="1"/>
  <c r="J16" i="28"/>
  <c r="N16" i="28" s="1"/>
  <c r="R16" i="28" s="1"/>
  <c r="V16" i="28" s="1"/>
  <c r="J17" i="28"/>
  <c r="N17" i="28" s="1"/>
  <c r="R17" i="28" s="1"/>
  <c r="V17" i="28" s="1"/>
  <c r="J18" i="28"/>
  <c r="N18" i="28" s="1"/>
  <c r="AB18" i="28" s="1"/>
  <c r="AF18" i="28" s="1"/>
  <c r="J20" i="28"/>
  <c r="N20" i="28" s="1"/>
  <c r="J21" i="28"/>
  <c r="N21" i="28" s="1"/>
  <c r="R21" i="28" s="1"/>
  <c r="V21" i="28" s="1"/>
  <c r="J22" i="28"/>
  <c r="N22" i="28" s="1"/>
  <c r="J23" i="28"/>
  <c r="N23" i="28" s="1"/>
  <c r="J24" i="28"/>
  <c r="N24" i="28" s="1"/>
  <c r="J25" i="28"/>
  <c r="N25" i="28" s="1"/>
  <c r="J27" i="28"/>
  <c r="N27" i="28" s="1"/>
  <c r="J34" i="28"/>
  <c r="N34" i="28" s="1"/>
  <c r="J35" i="28"/>
  <c r="N35" i="28" s="1"/>
  <c r="J36" i="28"/>
  <c r="N36" i="28" s="1"/>
  <c r="AB36" i="28" s="1"/>
  <c r="AF36" i="28" s="1"/>
  <c r="J37" i="28"/>
  <c r="N37" i="28" s="1"/>
  <c r="AB37" i="28" s="1"/>
  <c r="AF37" i="28" s="1"/>
  <c r="J38" i="28"/>
  <c r="N38" i="28" s="1"/>
  <c r="J39" i="28"/>
  <c r="N39" i="28" s="1"/>
  <c r="J41" i="28"/>
  <c r="N41" i="28" s="1"/>
  <c r="R41" i="28" s="1"/>
  <c r="V41" i="28" s="1"/>
  <c r="J42" i="28"/>
  <c r="N42" i="28" s="1"/>
  <c r="J43" i="28"/>
  <c r="N43" i="28" s="1"/>
  <c r="J44" i="28"/>
  <c r="N44" i="28" s="1"/>
  <c r="J45" i="28"/>
  <c r="N45" i="28" s="1"/>
  <c r="J46" i="28"/>
  <c r="N46" i="28" s="1"/>
  <c r="J48" i="28"/>
  <c r="N48" i="28" s="1"/>
  <c r="J49" i="28"/>
  <c r="N49" i="28" s="1"/>
  <c r="J57" i="28"/>
  <c r="N57" i="28" s="1"/>
  <c r="J63" i="28"/>
  <c r="N63" i="28" s="1"/>
  <c r="J64" i="28"/>
  <c r="N64" i="28" s="1"/>
  <c r="J65" i="28"/>
  <c r="N65" i="28" s="1"/>
  <c r="J66" i="28"/>
  <c r="N66" i="28" s="1"/>
  <c r="R66" i="28" s="1"/>
  <c r="V66" i="28" s="1"/>
  <c r="J68" i="28"/>
  <c r="N68" i="28" s="1"/>
  <c r="J69" i="28"/>
  <c r="N69" i="28" s="1"/>
  <c r="J70" i="28"/>
  <c r="N70" i="28" s="1"/>
  <c r="R70" i="28" s="1"/>
  <c r="V70" i="28" s="1"/>
  <c r="J72" i="28"/>
  <c r="N72" i="28" s="1"/>
  <c r="J73" i="28"/>
  <c r="N73" i="28" s="1"/>
  <c r="J74" i="28"/>
  <c r="N74" i="28" s="1"/>
  <c r="R74" i="28" s="1"/>
  <c r="V74" i="28" s="1"/>
  <c r="J76" i="28"/>
  <c r="N76" i="28" s="1"/>
  <c r="J77" i="28"/>
  <c r="N77" i="28" s="1"/>
  <c r="AB77" i="28" s="1"/>
  <c r="AF77" i="28" s="1"/>
  <c r="J78" i="28"/>
  <c r="N78" i="28" s="1"/>
  <c r="R78" i="28" s="1"/>
  <c r="V78" i="28" s="1"/>
  <c r="J80" i="28"/>
  <c r="N80" i="28" s="1"/>
  <c r="J85" i="28"/>
  <c r="N85" i="28" s="1"/>
  <c r="J86" i="28"/>
  <c r="N86" i="28" s="1"/>
  <c r="J87" i="28"/>
  <c r="N87" i="28" s="1"/>
  <c r="J88" i="28"/>
  <c r="N88" i="28" s="1"/>
  <c r="J89" i="28"/>
  <c r="N89" i="28" s="1"/>
  <c r="J90" i="28"/>
  <c r="N90" i="28" s="1"/>
  <c r="J91" i="28"/>
  <c r="N91" i="28" s="1"/>
  <c r="R91" i="28" s="1"/>
  <c r="V91" i="28" s="1"/>
  <c r="J92" i="28"/>
  <c r="N92" i="28" s="1"/>
  <c r="R92" i="28" s="1"/>
  <c r="V92" i="28" s="1"/>
  <c r="J93" i="28"/>
  <c r="N93" i="28" s="1"/>
  <c r="J94" i="28"/>
  <c r="N94" i="28" s="1"/>
  <c r="J95" i="28"/>
  <c r="N95" i="28" s="1"/>
  <c r="R95" i="28" s="1"/>
  <c r="V95" i="28" s="1"/>
  <c r="J96" i="28"/>
  <c r="N96" i="28" s="1"/>
  <c r="J97" i="28"/>
  <c r="N97" i="28" s="1"/>
  <c r="J98" i="28"/>
  <c r="N98" i="28" s="1"/>
  <c r="J99" i="28"/>
  <c r="N99" i="28" s="1"/>
  <c r="J100" i="28"/>
  <c r="N100" i="28" s="1"/>
  <c r="J101" i="28"/>
  <c r="N101" i="28" s="1"/>
  <c r="J102" i="28"/>
  <c r="N102" i="28" s="1"/>
  <c r="AB102" i="28" s="1"/>
  <c r="AF102" i="28" s="1"/>
  <c r="J103" i="28"/>
  <c r="N103" i="28" s="1"/>
  <c r="J104" i="28"/>
  <c r="N104" i="28" s="1"/>
  <c r="J105" i="28"/>
  <c r="N105" i="28" s="1"/>
  <c r="J106" i="28"/>
  <c r="N106" i="28" s="1"/>
  <c r="J107" i="28"/>
  <c r="N107" i="28" s="1"/>
  <c r="J108" i="28"/>
  <c r="N108" i="28" s="1"/>
  <c r="J109" i="28"/>
  <c r="N109" i="28" s="1"/>
  <c r="J110" i="28"/>
  <c r="N110" i="28" s="1"/>
  <c r="J111" i="28"/>
  <c r="N111" i="28" s="1"/>
  <c r="R111" i="28" s="1"/>
  <c r="V111" i="28" s="1"/>
  <c r="J112" i="28"/>
  <c r="N112" i="28" s="1"/>
  <c r="J113" i="28"/>
  <c r="N113" i="28" s="1"/>
  <c r="AB113" i="28" s="1"/>
  <c r="AF113" i="28" s="1"/>
  <c r="J114" i="28"/>
  <c r="N114" i="28" s="1"/>
  <c r="J115" i="28"/>
  <c r="N115" i="28" s="1"/>
  <c r="R115" i="28" s="1"/>
  <c r="V115" i="28" s="1"/>
  <c r="J116" i="28"/>
  <c r="N116" i="28" s="1"/>
  <c r="J117" i="28"/>
  <c r="N117" i="28" s="1"/>
  <c r="J118" i="28"/>
  <c r="N118" i="28" s="1"/>
  <c r="J119" i="28"/>
  <c r="N119" i="28" s="1"/>
  <c r="R119" i="28" s="1"/>
  <c r="V119" i="28" s="1"/>
  <c r="J120" i="28"/>
  <c r="N120" i="28" s="1"/>
  <c r="J121" i="28"/>
  <c r="N121" i="28" s="1"/>
  <c r="J122" i="28"/>
  <c r="N122" i="28" s="1"/>
  <c r="J123" i="28"/>
  <c r="N123" i="28" s="1"/>
  <c r="J124" i="28"/>
  <c r="N124" i="28" s="1"/>
  <c r="J125" i="28"/>
  <c r="N125" i="28" s="1"/>
  <c r="R125" i="28" s="1"/>
  <c r="V125" i="28" s="1"/>
  <c r="J126" i="28"/>
  <c r="N126" i="28" s="1"/>
  <c r="J127" i="28"/>
  <c r="N127" i="28" s="1"/>
  <c r="J128" i="28"/>
  <c r="N128" i="28" s="1"/>
  <c r="J129" i="28"/>
  <c r="N129" i="28" s="1"/>
  <c r="J130" i="28"/>
  <c r="N130" i="28" s="1"/>
  <c r="J131" i="28"/>
  <c r="N131" i="28" s="1"/>
  <c r="R131" i="28" s="1"/>
  <c r="V131" i="28" s="1"/>
  <c r="J132" i="28"/>
  <c r="N132" i="28" s="1"/>
  <c r="R132" i="28" s="1"/>
  <c r="V132" i="28" s="1"/>
  <c r="J133" i="28"/>
  <c r="N133" i="28" s="1"/>
  <c r="J134" i="28"/>
  <c r="N134" i="28" s="1"/>
  <c r="J135" i="28"/>
  <c r="N135" i="28" s="1"/>
  <c r="R135" i="28" s="1"/>
  <c r="V135" i="28" s="1"/>
  <c r="J136" i="28"/>
  <c r="N136" i="28" s="1"/>
  <c r="J137" i="28"/>
  <c r="N137" i="28" s="1"/>
  <c r="J138" i="28"/>
  <c r="N138" i="28" s="1"/>
  <c r="J139" i="28"/>
  <c r="N139" i="28" s="1"/>
  <c r="J140" i="28"/>
  <c r="N140" i="28" s="1"/>
  <c r="J141" i="28"/>
  <c r="N141" i="28" s="1"/>
  <c r="J142" i="28"/>
  <c r="N142" i="28" s="1"/>
  <c r="J143" i="28"/>
  <c r="N143" i="28" s="1"/>
  <c r="J144" i="28"/>
  <c r="N144" i="28" s="1"/>
  <c r="J145" i="28"/>
  <c r="N145" i="28" s="1"/>
  <c r="J146" i="28"/>
  <c r="N146" i="28" s="1"/>
  <c r="J147" i="28"/>
  <c r="N147" i="28" s="1"/>
  <c r="R147" i="28" s="1"/>
  <c r="V147" i="28" s="1"/>
  <c r="J148" i="28"/>
  <c r="N148" i="28" s="1"/>
  <c r="J149" i="28"/>
  <c r="N149" i="28" s="1"/>
  <c r="J150" i="28"/>
  <c r="N150" i="28" s="1"/>
  <c r="J151" i="28"/>
  <c r="N151" i="28" s="1"/>
  <c r="J152" i="28"/>
  <c r="N152" i="28" s="1"/>
  <c r="J153" i="28"/>
  <c r="N153" i="28" s="1"/>
  <c r="J154" i="28"/>
  <c r="N154" i="28" s="1"/>
  <c r="J155" i="28"/>
  <c r="N155" i="28" s="1"/>
  <c r="AB155" i="28" s="1"/>
  <c r="AF155" i="28" s="1"/>
  <c r="J156" i="28"/>
  <c r="N156" i="28" s="1"/>
  <c r="R156" i="28" s="1"/>
  <c r="V156" i="28" s="1"/>
  <c r="J157" i="28"/>
  <c r="N157" i="28" s="1"/>
  <c r="J158" i="28"/>
  <c r="N158" i="28" s="1"/>
  <c r="J159" i="28"/>
  <c r="N159" i="28" s="1"/>
  <c r="R159" i="28" s="1"/>
  <c r="V159" i="28" s="1"/>
  <c r="J160" i="28"/>
  <c r="N160" i="28" s="1"/>
  <c r="J161" i="28"/>
  <c r="N161" i="28" s="1"/>
  <c r="J162" i="28"/>
  <c r="N162" i="28" s="1"/>
  <c r="AB162" i="28" s="1"/>
  <c r="AF162" i="28" s="1"/>
  <c r="J163" i="28"/>
  <c r="N163" i="28" s="1"/>
  <c r="J164" i="28"/>
  <c r="N164" i="28" s="1"/>
  <c r="R164" i="28" s="1"/>
  <c r="V164" i="28" s="1"/>
  <c r="J165" i="28"/>
  <c r="N165" i="28" s="1"/>
  <c r="J166" i="28"/>
  <c r="N166" i="28" s="1"/>
  <c r="J167" i="28"/>
  <c r="N167" i="28" s="1"/>
  <c r="R167" i="28" s="1"/>
  <c r="V167" i="28" s="1"/>
  <c r="J168" i="28"/>
  <c r="N168" i="28" s="1"/>
  <c r="J169" i="28"/>
  <c r="N169" i="28" s="1"/>
  <c r="J170" i="28"/>
  <c r="N170" i="28" s="1"/>
  <c r="J171" i="28"/>
  <c r="N171" i="28" s="1"/>
  <c r="J172" i="28"/>
  <c r="N172" i="28" s="1"/>
  <c r="J173" i="28"/>
  <c r="N173" i="28" s="1"/>
  <c r="J174" i="28"/>
  <c r="N174" i="28" s="1"/>
  <c r="R174" i="28" s="1"/>
  <c r="V174" i="28" s="1"/>
  <c r="J175" i="28"/>
  <c r="N175" i="28" s="1"/>
  <c r="R175" i="28" s="1"/>
  <c r="V175" i="28" s="1"/>
  <c r="J176" i="28"/>
  <c r="N176" i="28" s="1"/>
  <c r="J177" i="28"/>
  <c r="N177" i="28" s="1"/>
  <c r="J178" i="28"/>
  <c r="N178" i="28" s="1"/>
  <c r="J179" i="28"/>
  <c r="N179" i="28" s="1"/>
  <c r="J180" i="28"/>
  <c r="N180" i="28" s="1"/>
  <c r="J181" i="28"/>
  <c r="N181" i="28" s="1"/>
  <c r="J182" i="28"/>
  <c r="N182" i="28" s="1"/>
  <c r="J183" i="28"/>
  <c r="N183" i="28" s="1"/>
  <c r="R183" i="28" s="1"/>
  <c r="V183" i="28" s="1"/>
  <c r="J184" i="28"/>
  <c r="N184" i="28" s="1"/>
  <c r="J185" i="28"/>
  <c r="N185" i="28" s="1"/>
  <c r="J186" i="28"/>
  <c r="N186" i="28" s="1"/>
  <c r="J187" i="28"/>
  <c r="N187" i="28" s="1"/>
  <c r="J188" i="28"/>
  <c r="N188" i="28" s="1"/>
  <c r="R188" i="28" s="1"/>
  <c r="V188" i="28" s="1"/>
  <c r="J189" i="28"/>
  <c r="N189" i="28" s="1"/>
  <c r="J190" i="28"/>
  <c r="N190" i="28" s="1"/>
  <c r="J191" i="28"/>
  <c r="N191" i="28" s="1"/>
  <c r="AB191" i="28" s="1"/>
  <c r="AF191" i="28" s="1"/>
  <c r="J192" i="28"/>
  <c r="N192" i="28" s="1"/>
  <c r="J193" i="28"/>
  <c r="N193" i="28" s="1"/>
  <c r="J194" i="28"/>
  <c r="N194" i="28" s="1"/>
  <c r="J195" i="28"/>
  <c r="N195" i="28" s="1"/>
  <c r="J196" i="28"/>
  <c r="N196" i="28" s="1"/>
  <c r="J197" i="28"/>
  <c r="N197" i="28" s="1"/>
  <c r="AB197" i="28" s="1"/>
  <c r="AF197" i="28" s="1"/>
  <c r="J198" i="28"/>
  <c r="N198" i="28" s="1"/>
  <c r="J199" i="28"/>
  <c r="N199" i="28" s="1"/>
  <c r="J200" i="28"/>
  <c r="N200" i="28" s="1"/>
  <c r="J201" i="28"/>
  <c r="N201" i="28" s="1"/>
  <c r="J202" i="28"/>
  <c r="N202" i="28" s="1"/>
  <c r="J203" i="28"/>
  <c r="N203" i="28" s="1"/>
  <c r="R203" i="28" s="1"/>
  <c r="V203" i="28" s="1"/>
  <c r="J204" i="28"/>
  <c r="N204" i="28" s="1"/>
  <c r="J205" i="28"/>
  <c r="N205" i="28" s="1"/>
  <c r="J206" i="28"/>
  <c r="N206" i="28" s="1"/>
  <c r="J207" i="28"/>
  <c r="N207" i="28" s="1"/>
  <c r="R207" i="28" s="1"/>
  <c r="V207" i="28" s="1"/>
  <c r="J208" i="28"/>
  <c r="N208" i="28" s="1"/>
  <c r="J209" i="28"/>
  <c r="N209" i="28" s="1"/>
  <c r="J210" i="28"/>
  <c r="N210" i="28" s="1"/>
  <c r="J211" i="28"/>
  <c r="N211" i="28" s="1"/>
  <c r="R211" i="28" s="1"/>
  <c r="V211" i="28" s="1"/>
  <c r="J212" i="28"/>
  <c r="N212" i="28" s="1"/>
  <c r="J213" i="28"/>
  <c r="N213" i="28" s="1"/>
  <c r="J217" i="28"/>
  <c r="N217" i="28" s="1"/>
  <c r="J218" i="28"/>
  <c r="N218" i="28" s="1"/>
  <c r="J219" i="28"/>
  <c r="N219" i="28" s="1"/>
  <c r="J220" i="28"/>
  <c r="N220" i="28" s="1"/>
  <c r="J221" i="28"/>
  <c r="N221" i="28" s="1"/>
  <c r="J222" i="28"/>
  <c r="N222" i="28" s="1"/>
  <c r="J223" i="28"/>
  <c r="N223" i="28" s="1"/>
  <c r="AB223" i="28" s="1"/>
  <c r="AF223" i="28" s="1"/>
  <c r="J224" i="28"/>
  <c r="N224" i="28" s="1"/>
  <c r="J225" i="28"/>
  <c r="N225" i="28" s="1"/>
  <c r="J226" i="28"/>
  <c r="N226" i="28" s="1"/>
  <c r="J227" i="28"/>
  <c r="N227" i="28" s="1"/>
  <c r="J228" i="28"/>
  <c r="N228" i="28" s="1"/>
  <c r="J229" i="28"/>
  <c r="N229" i="28" s="1"/>
  <c r="J230" i="28"/>
  <c r="N230" i="28" s="1"/>
  <c r="J231" i="28"/>
  <c r="N231" i="28" s="1"/>
  <c r="AB231" i="28" s="1"/>
  <c r="AF231" i="28" s="1"/>
  <c r="J233" i="28"/>
  <c r="N233" i="28" s="1"/>
  <c r="J234" i="28"/>
  <c r="N234" i="28" s="1"/>
  <c r="J235" i="28"/>
  <c r="N235" i="28" s="1"/>
  <c r="R235" i="28" s="1"/>
  <c r="V235" i="28" s="1"/>
  <c r="J236" i="28"/>
  <c r="N236" i="28" s="1"/>
  <c r="J237" i="28"/>
  <c r="N237" i="28" s="1"/>
  <c r="J238" i="28"/>
  <c r="N238" i="28" s="1"/>
  <c r="J239" i="28"/>
  <c r="N239" i="28" s="1"/>
  <c r="J240" i="28"/>
  <c r="N240" i="28" s="1"/>
  <c r="J241" i="28"/>
  <c r="N241" i="28" s="1"/>
  <c r="J242" i="28"/>
  <c r="N242" i="28" s="1"/>
  <c r="J243" i="28"/>
  <c r="N243" i="28" s="1"/>
  <c r="J245" i="28"/>
  <c r="N245" i="28" s="1"/>
  <c r="J246" i="28"/>
  <c r="N246" i="28" s="1"/>
  <c r="J247" i="28"/>
  <c r="N247" i="28" s="1"/>
  <c r="J248" i="28"/>
  <c r="N248" i="28" s="1"/>
  <c r="R248" i="28" s="1"/>
  <c r="V248" i="28" s="1"/>
  <c r="J249" i="28"/>
  <c r="N249" i="28" s="1"/>
  <c r="AB249" i="28" s="1"/>
  <c r="AF249" i="28" s="1"/>
  <c r="J250" i="28"/>
  <c r="N250" i="28" s="1"/>
  <c r="AB250" i="28" s="1"/>
  <c r="AF250" i="28" s="1"/>
  <c r="J251" i="28"/>
  <c r="N251" i="28" s="1"/>
  <c r="AB251" i="28" s="1"/>
  <c r="AF251" i="28" s="1"/>
  <c r="J252" i="28"/>
  <c r="N252" i="28" s="1"/>
  <c r="R252" i="28" s="1"/>
  <c r="V252" i="28" s="1"/>
  <c r="J253" i="28"/>
  <c r="N253" i="28" s="1"/>
  <c r="J254" i="28"/>
  <c r="N254" i="28" s="1"/>
  <c r="J255" i="28"/>
  <c r="N255" i="28" s="1"/>
  <c r="J256" i="28"/>
  <c r="N256" i="28" s="1"/>
  <c r="J257" i="28"/>
  <c r="N257" i="28" s="1"/>
  <c r="J258" i="28"/>
  <c r="N258" i="28" s="1"/>
  <c r="J259" i="28"/>
  <c r="N259" i="28" s="1"/>
  <c r="J260" i="28"/>
  <c r="N260" i="28" s="1"/>
  <c r="J261" i="28"/>
  <c r="N261" i="28" s="1"/>
  <c r="J262" i="28"/>
  <c r="N262" i="28" s="1"/>
  <c r="J263" i="28"/>
  <c r="N263" i="28" s="1"/>
  <c r="J264" i="28"/>
  <c r="N264" i="28" s="1"/>
  <c r="J265" i="28"/>
  <c r="N265" i="28" s="1"/>
  <c r="J266" i="28"/>
  <c r="N266" i="28" s="1"/>
  <c r="J267" i="28"/>
  <c r="N267" i="28" s="1"/>
  <c r="J268" i="28"/>
  <c r="N268" i="28" s="1"/>
  <c r="J269" i="28"/>
  <c r="N269" i="28" s="1"/>
  <c r="J270" i="28"/>
  <c r="N270" i="28" s="1"/>
  <c r="J274" i="28"/>
  <c r="N274" i="28" s="1"/>
  <c r="J275" i="28"/>
  <c r="N275" i="28" s="1"/>
  <c r="AB275" i="28" s="1"/>
  <c r="AF275" i="28" s="1"/>
  <c r="J276" i="28"/>
  <c r="N276" i="28" s="1"/>
  <c r="J277" i="28"/>
  <c r="N277" i="28" s="1"/>
  <c r="J279" i="28"/>
  <c r="N279" i="28" s="1"/>
  <c r="J280" i="28"/>
  <c r="N280" i="28" s="1"/>
  <c r="J281" i="28"/>
  <c r="N281" i="28" s="1"/>
  <c r="J282" i="28"/>
  <c r="N282" i="28" s="1"/>
  <c r="J283" i="28"/>
  <c r="N283" i="28" s="1"/>
  <c r="J284" i="28"/>
  <c r="N284" i="28" s="1"/>
  <c r="AB284" i="28" s="1"/>
  <c r="AF284" i="28" s="1"/>
  <c r="J285" i="28"/>
  <c r="N285" i="28" s="1"/>
  <c r="J286" i="28"/>
  <c r="N286" i="28" s="1"/>
  <c r="J287" i="28"/>
  <c r="N287" i="28" s="1"/>
  <c r="J288" i="28"/>
  <c r="N288" i="28" s="1"/>
  <c r="J289" i="28"/>
  <c r="N289" i="28" s="1"/>
  <c r="J290" i="28"/>
  <c r="N290" i="28" s="1"/>
  <c r="J291" i="28"/>
  <c r="N291" i="28" s="1"/>
  <c r="AB291" i="28" s="1"/>
  <c r="AF291" i="28" s="1"/>
  <c r="J292" i="28"/>
  <c r="N292" i="28" s="1"/>
  <c r="J293" i="28"/>
  <c r="N293" i="28" s="1"/>
  <c r="J294" i="28"/>
  <c r="N294" i="28" s="1"/>
  <c r="AB294" i="28" s="1"/>
  <c r="AF294" i="28" s="1"/>
  <c r="J295" i="28"/>
  <c r="N295" i="28" s="1"/>
  <c r="J296" i="28"/>
  <c r="N296" i="28" s="1"/>
  <c r="R296" i="28" s="1"/>
  <c r="V296" i="28" s="1"/>
  <c r="J297" i="28"/>
  <c r="N297" i="28" s="1"/>
  <c r="J298" i="28"/>
  <c r="N298" i="28" s="1"/>
  <c r="R298" i="28" s="1"/>
  <c r="V298" i="28" s="1"/>
  <c r="J299" i="28"/>
  <c r="N299" i="28" s="1"/>
  <c r="J300" i="28"/>
  <c r="N300" i="28" s="1"/>
  <c r="J301" i="28"/>
  <c r="N301" i="28" s="1"/>
  <c r="J302" i="28"/>
  <c r="N302" i="28" s="1"/>
  <c r="J303" i="28"/>
  <c r="N303" i="28" s="1"/>
  <c r="J304" i="28"/>
  <c r="N304" i="28" s="1"/>
  <c r="J305" i="28"/>
  <c r="N305" i="28" s="1"/>
  <c r="J306" i="28"/>
  <c r="N306" i="28" s="1"/>
  <c r="R306" i="28" s="1"/>
  <c r="V306" i="28" s="1"/>
  <c r="J307" i="28"/>
  <c r="N307" i="28" s="1"/>
  <c r="J308" i="28"/>
  <c r="N308" i="28" s="1"/>
  <c r="J309" i="28"/>
  <c r="N309" i="28" s="1"/>
  <c r="J310" i="28"/>
  <c r="N310" i="28" s="1"/>
  <c r="J311" i="28"/>
  <c r="N311" i="28" s="1"/>
  <c r="J312" i="28"/>
  <c r="N312" i="28" s="1"/>
  <c r="R312" i="28" s="1"/>
  <c r="V312" i="28" s="1"/>
  <c r="J313" i="28"/>
  <c r="N313" i="28" s="1"/>
  <c r="J314" i="28"/>
  <c r="N314" i="28" s="1"/>
  <c r="J315" i="28"/>
  <c r="N315" i="28" s="1"/>
  <c r="J316" i="28"/>
  <c r="N316" i="28" s="1"/>
  <c r="J317" i="28"/>
  <c r="N317" i="28" s="1"/>
  <c r="J318" i="28"/>
  <c r="N318" i="28" s="1"/>
  <c r="J319" i="28"/>
  <c r="N319" i="28" s="1"/>
  <c r="J320" i="28"/>
  <c r="N320" i="28" s="1"/>
  <c r="AB320" i="28" s="1"/>
  <c r="AF320" i="28" s="1"/>
  <c r="J321" i="28"/>
  <c r="N321" i="28" s="1"/>
  <c r="J322" i="28"/>
  <c r="N322" i="28" s="1"/>
  <c r="J323" i="28"/>
  <c r="N323" i="28" s="1"/>
  <c r="J324" i="28"/>
  <c r="N324" i="28" s="1"/>
  <c r="J325" i="28"/>
  <c r="N325" i="28" s="1"/>
  <c r="J326" i="28"/>
  <c r="N326" i="28" s="1"/>
  <c r="J327" i="28"/>
  <c r="N327" i="28" s="1"/>
  <c r="J328" i="28"/>
  <c r="N328" i="28" s="1"/>
  <c r="J329" i="28"/>
  <c r="N329" i="28" s="1"/>
  <c r="J330" i="28"/>
  <c r="N330" i="28" s="1"/>
  <c r="J331" i="28"/>
  <c r="N331" i="28" s="1"/>
  <c r="J332" i="28"/>
  <c r="N332" i="28" s="1"/>
  <c r="J333" i="28"/>
  <c r="N333" i="28" s="1"/>
  <c r="J334" i="28"/>
  <c r="N334" i="28" s="1"/>
  <c r="J335" i="28"/>
  <c r="N335" i="28" s="1"/>
  <c r="J336" i="28"/>
  <c r="N336" i="28" s="1"/>
  <c r="R336" i="28" s="1"/>
  <c r="V336" i="28" s="1"/>
  <c r="J337" i="28"/>
  <c r="N337" i="28" s="1"/>
  <c r="J338" i="28"/>
  <c r="N338" i="28" s="1"/>
  <c r="J339" i="28"/>
  <c r="N339" i="28" s="1"/>
  <c r="J340" i="28"/>
  <c r="N340" i="28" s="1"/>
  <c r="J341" i="28"/>
  <c r="N341" i="28" s="1"/>
  <c r="J342" i="28"/>
  <c r="N342" i="28" s="1"/>
  <c r="J343" i="28"/>
  <c r="N343" i="28" s="1"/>
  <c r="J344" i="28"/>
  <c r="N344" i="28" s="1"/>
  <c r="J345" i="28"/>
  <c r="N345" i="28" s="1"/>
  <c r="J346" i="28"/>
  <c r="N346" i="28" s="1"/>
  <c r="J347" i="28"/>
  <c r="N347" i="28" s="1"/>
  <c r="J348" i="28"/>
  <c r="N348" i="28" s="1"/>
  <c r="J349" i="28"/>
  <c r="N349" i="28" s="1"/>
  <c r="J350" i="28"/>
  <c r="N350" i="28" s="1"/>
  <c r="J351" i="28"/>
  <c r="N351" i="28" s="1"/>
  <c r="J352" i="28"/>
  <c r="N352" i="28" s="1"/>
  <c r="J355" i="28"/>
  <c r="N355" i="28" s="1"/>
  <c r="J356" i="28"/>
  <c r="N356" i="28" s="1"/>
  <c r="J357" i="28"/>
  <c r="N357" i="28" s="1"/>
  <c r="J358" i="28"/>
  <c r="N358" i="28" s="1"/>
  <c r="AB358" i="28" s="1"/>
  <c r="AF358" i="28" s="1"/>
  <c r="J359" i="28"/>
  <c r="N359" i="28" s="1"/>
  <c r="R359" i="28" s="1"/>
  <c r="V359" i="28" s="1"/>
  <c r="J362" i="28"/>
  <c r="N362" i="28" s="1"/>
  <c r="J363" i="28"/>
  <c r="N363" i="28" s="1"/>
  <c r="J364" i="28"/>
  <c r="N364" i="28" s="1"/>
  <c r="J365" i="28"/>
  <c r="N365" i="28" s="1"/>
  <c r="J366" i="28"/>
  <c r="N366" i="28" s="1"/>
  <c r="J367" i="28"/>
  <c r="N367" i="28" s="1"/>
  <c r="J368" i="28"/>
  <c r="N368" i="28" s="1"/>
  <c r="J369" i="28"/>
  <c r="N369" i="28" s="1"/>
  <c r="J370" i="28"/>
  <c r="N370" i="28" s="1"/>
  <c r="R370" i="28" s="1"/>
  <c r="V370" i="28" s="1"/>
  <c r="J371" i="28"/>
  <c r="N371" i="28" s="1"/>
  <c r="R371" i="28" s="1"/>
  <c r="V371" i="28" s="1"/>
  <c r="J372" i="28"/>
  <c r="N372" i="28" s="1"/>
  <c r="J373" i="28"/>
  <c r="N373" i="28" s="1"/>
  <c r="J374" i="28"/>
  <c r="N374" i="28" s="1"/>
  <c r="J375" i="28"/>
  <c r="N375" i="28" s="1"/>
  <c r="J378" i="28"/>
  <c r="N378" i="28" s="1"/>
  <c r="J379" i="28"/>
  <c r="N379" i="28" s="1"/>
  <c r="J380" i="28"/>
  <c r="N380" i="28" s="1"/>
  <c r="J381" i="28"/>
  <c r="N381" i="28" s="1"/>
  <c r="J382" i="28"/>
  <c r="N382" i="28" s="1"/>
  <c r="J383" i="28"/>
  <c r="N383" i="28" s="1"/>
  <c r="R383" i="28" s="1"/>
  <c r="V383" i="28" s="1"/>
  <c r="J384" i="28"/>
  <c r="N384" i="28" s="1"/>
  <c r="AB384" i="28" s="1"/>
  <c r="AF384" i="28" s="1"/>
  <c r="J385" i="28"/>
  <c r="N385" i="28" s="1"/>
  <c r="AB385" i="28" s="1"/>
  <c r="AF385" i="28" s="1"/>
  <c r="J386" i="28"/>
  <c r="N386" i="28" s="1"/>
  <c r="J387" i="28"/>
  <c r="N387" i="28" s="1"/>
  <c r="J388" i="28"/>
  <c r="N388" i="28" s="1"/>
  <c r="J389" i="28"/>
  <c r="N389" i="28" s="1"/>
  <c r="J390" i="28"/>
  <c r="N390" i="28" s="1"/>
  <c r="J391" i="28"/>
  <c r="N391" i="28" s="1"/>
  <c r="J393" i="28"/>
  <c r="N393" i="28" s="1"/>
  <c r="J394" i="28"/>
  <c r="N394" i="28" s="1"/>
  <c r="J395" i="28"/>
  <c r="N395" i="28" s="1"/>
  <c r="J396" i="28"/>
  <c r="N396" i="28" s="1"/>
  <c r="J397" i="28"/>
  <c r="N397" i="28" s="1"/>
  <c r="J398" i="28"/>
  <c r="N398" i="28" s="1"/>
  <c r="J401" i="28"/>
  <c r="N401" i="28" s="1"/>
  <c r="J402" i="28"/>
  <c r="N402" i="28" s="1"/>
  <c r="J403" i="28"/>
  <c r="N403" i="28" s="1"/>
  <c r="J404" i="28"/>
  <c r="N404" i="28" s="1"/>
  <c r="J405" i="28"/>
  <c r="N405" i="28" s="1"/>
  <c r="J406" i="28"/>
  <c r="N406" i="28" s="1"/>
  <c r="AB406" i="28" s="1"/>
  <c r="AF406" i="28" s="1"/>
  <c r="J407" i="28"/>
  <c r="N407" i="28" s="1"/>
  <c r="R407" i="28" s="1"/>
  <c r="V407" i="28" s="1"/>
  <c r="J408" i="28"/>
  <c r="N408" i="28" s="1"/>
  <c r="J409" i="28"/>
  <c r="N409" i="28" s="1"/>
  <c r="R409" i="28" s="1"/>
  <c r="V409" i="28" s="1"/>
  <c r="J410" i="28"/>
  <c r="N410" i="28" s="1"/>
  <c r="J411" i="28"/>
  <c r="N411" i="28" s="1"/>
  <c r="J412" i="28"/>
  <c r="N412" i="28" s="1"/>
  <c r="J413" i="28"/>
  <c r="N413" i="28" s="1"/>
  <c r="J414" i="28"/>
  <c r="N414" i="28" s="1"/>
  <c r="J415" i="28"/>
  <c r="N415" i="28" s="1"/>
  <c r="R415" i="28" s="1"/>
  <c r="V415" i="28" s="1"/>
  <c r="J416" i="28"/>
  <c r="N416" i="28" s="1"/>
  <c r="J417" i="28"/>
  <c r="N417" i="28" s="1"/>
  <c r="J418" i="28"/>
  <c r="N418" i="28" s="1"/>
  <c r="J419" i="28"/>
  <c r="N419" i="28" s="1"/>
  <c r="AB419" i="28" s="1"/>
  <c r="AF419" i="28" s="1"/>
  <c r="J420" i="28"/>
  <c r="N420" i="28" s="1"/>
  <c r="J421" i="28"/>
  <c r="N421" i="28" s="1"/>
  <c r="R421" i="28" s="1"/>
  <c r="V421" i="28" s="1"/>
  <c r="J422" i="28"/>
  <c r="N422" i="28" s="1"/>
  <c r="R422" i="28" s="1"/>
  <c r="V422" i="28" s="1"/>
  <c r="J423" i="28"/>
  <c r="N423" i="28" s="1"/>
  <c r="AB423" i="28" s="1"/>
  <c r="AF423" i="28" s="1"/>
  <c r="J424" i="28"/>
  <c r="N424" i="28" s="1"/>
  <c r="AB424" i="28" s="1"/>
  <c r="AF424" i="28" s="1"/>
  <c r="J425" i="28"/>
  <c r="N425" i="28" s="1"/>
  <c r="J426" i="28"/>
  <c r="N426" i="28" s="1"/>
  <c r="J427" i="28"/>
  <c r="N427" i="28" s="1"/>
  <c r="J428" i="28"/>
  <c r="N428" i="28" s="1"/>
  <c r="J429" i="28"/>
  <c r="N429" i="28" s="1"/>
  <c r="J431" i="28"/>
  <c r="N431" i="28" s="1"/>
  <c r="J433" i="28"/>
  <c r="N433" i="28" s="1"/>
  <c r="AB433" i="28" s="1"/>
  <c r="AF433" i="28" s="1"/>
  <c r="J434" i="28"/>
  <c r="N434" i="28" s="1"/>
  <c r="J435" i="28"/>
  <c r="N435" i="28" s="1"/>
  <c r="J437" i="28"/>
  <c r="N437" i="28" s="1"/>
  <c r="J438" i="28"/>
  <c r="N438" i="28" s="1"/>
  <c r="J439" i="28"/>
  <c r="N439" i="28" s="1"/>
  <c r="R439" i="28" s="1"/>
  <c r="V439" i="28" s="1"/>
  <c r="J440" i="28"/>
  <c r="N440" i="28" s="1"/>
  <c r="J441" i="28"/>
  <c r="N441" i="28" s="1"/>
  <c r="J442" i="28"/>
  <c r="N442" i="28" s="1"/>
  <c r="J443" i="28"/>
  <c r="N443" i="28" s="1"/>
  <c r="R443" i="28" s="1"/>
  <c r="V443" i="28" s="1"/>
  <c r="J444" i="28"/>
  <c r="N444" i="28" s="1"/>
  <c r="J445" i="28"/>
  <c r="N445" i="28" s="1"/>
  <c r="J446" i="28"/>
  <c r="N446" i="28" s="1"/>
  <c r="J449" i="28"/>
  <c r="N449" i="28" s="1"/>
  <c r="J450" i="28"/>
  <c r="N450" i="28" s="1"/>
  <c r="J453" i="28"/>
  <c r="N453" i="28" s="1"/>
  <c r="J454" i="28"/>
  <c r="N454" i="28" s="1"/>
  <c r="J455" i="28"/>
  <c r="N455" i="28" s="1"/>
  <c r="J456" i="28"/>
  <c r="N456" i="28" s="1"/>
  <c r="AB456" i="28" s="1"/>
  <c r="AF456" i="28" s="1"/>
  <c r="J459" i="28"/>
  <c r="N459" i="28" s="1"/>
  <c r="J475" i="28"/>
  <c r="N475" i="28" s="1"/>
  <c r="J476" i="28"/>
  <c r="N476" i="28" s="1"/>
  <c r="J481" i="28"/>
  <c r="N481" i="28" s="1"/>
  <c r="J482" i="28"/>
  <c r="N482" i="28" s="1"/>
  <c r="J483" i="28"/>
  <c r="N483" i="28" s="1"/>
  <c r="J484" i="28"/>
  <c r="N484" i="28" s="1"/>
  <c r="J485" i="28"/>
  <c r="N485" i="28" s="1"/>
  <c r="J486" i="28"/>
  <c r="N486" i="28" s="1"/>
  <c r="J487" i="28"/>
  <c r="N487" i="28" s="1"/>
  <c r="J488" i="28"/>
  <c r="N488" i="28" s="1"/>
  <c r="J489" i="28"/>
  <c r="N489" i="28" s="1"/>
  <c r="J490" i="28"/>
  <c r="N490" i="28" s="1"/>
  <c r="R490" i="28" s="1"/>
  <c r="V490" i="28" s="1"/>
  <c r="J491" i="28"/>
  <c r="N491" i="28" s="1"/>
  <c r="J492" i="28"/>
  <c r="N492" i="28" s="1"/>
  <c r="J493" i="28"/>
  <c r="N493" i="28" s="1"/>
  <c r="J494" i="28"/>
  <c r="N494" i="28" s="1"/>
  <c r="J495" i="28"/>
  <c r="N495" i="28" s="1"/>
  <c r="J496" i="28"/>
  <c r="N496" i="28" s="1"/>
  <c r="J497" i="28"/>
  <c r="N497" i="28" s="1"/>
  <c r="J498" i="28"/>
  <c r="N498" i="28" s="1"/>
  <c r="J499" i="28"/>
  <c r="N499" i="28" s="1"/>
  <c r="J500" i="28"/>
  <c r="N500" i="28" s="1"/>
  <c r="J501" i="28"/>
  <c r="N501" i="28" s="1"/>
  <c r="J502" i="28"/>
  <c r="N502" i="28" s="1"/>
  <c r="J503" i="28"/>
  <c r="N503" i="28" s="1"/>
  <c r="J504" i="28"/>
  <c r="N504" i="28" s="1"/>
  <c r="J505" i="28"/>
  <c r="N505" i="28" s="1"/>
  <c r="J506" i="28"/>
  <c r="N506" i="28" s="1"/>
  <c r="J507" i="28"/>
  <c r="N507" i="28" s="1"/>
  <c r="J508" i="28"/>
  <c r="N508" i="28" s="1"/>
  <c r="J509" i="28"/>
  <c r="N509" i="28" s="1"/>
  <c r="J510" i="28"/>
  <c r="N510" i="28" s="1"/>
  <c r="J511" i="28"/>
  <c r="N511" i="28" s="1"/>
  <c r="AB511" i="28" s="1"/>
  <c r="AF511" i="28" s="1"/>
  <c r="J512" i="28"/>
  <c r="N512" i="28" s="1"/>
  <c r="AB512" i="28" s="1"/>
  <c r="AF512" i="28" s="1"/>
  <c r="J513" i="28"/>
  <c r="N513" i="28" s="1"/>
  <c r="J514" i="28"/>
  <c r="N514" i="28" s="1"/>
  <c r="J515" i="28"/>
  <c r="N515" i="28" s="1"/>
  <c r="J516" i="28"/>
  <c r="N516" i="28" s="1"/>
  <c r="J517" i="28"/>
  <c r="N517" i="28" s="1"/>
  <c r="J518" i="28"/>
  <c r="N518" i="28" s="1"/>
  <c r="J519" i="28"/>
  <c r="N519" i="28" s="1"/>
  <c r="J520" i="28"/>
  <c r="N520" i="28" s="1"/>
  <c r="J521" i="28"/>
  <c r="N521" i="28" s="1"/>
  <c r="R521" i="28" s="1"/>
  <c r="V521" i="28" s="1"/>
  <c r="J522" i="28"/>
  <c r="N522" i="28" s="1"/>
  <c r="J523" i="28"/>
  <c r="N523" i="28" s="1"/>
  <c r="J524" i="28"/>
  <c r="N524" i="28" s="1"/>
  <c r="J525" i="28"/>
  <c r="N525" i="28" s="1"/>
  <c r="J526" i="28"/>
  <c r="N526" i="28" s="1"/>
  <c r="J527" i="28"/>
  <c r="N527" i="28" s="1"/>
  <c r="J528" i="28"/>
  <c r="N528" i="28" s="1"/>
  <c r="J529" i="28"/>
  <c r="N529" i="28" s="1"/>
  <c r="R529" i="28" s="1"/>
  <c r="V529" i="28" s="1"/>
  <c r="J530" i="28"/>
  <c r="N530" i="28" s="1"/>
  <c r="J531" i="28"/>
  <c r="N531" i="28" s="1"/>
  <c r="J532" i="28"/>
  <c r="N532" i="28" s="1"/>
  <c r="J533" i="28"/>
  <c r="N533" i="28" s="1"/>
  <c r="J534" i="28"/>
  <c r="N534" i="28" s="1"/>
  <c r="R534" i="28" s="1"/>
  <c r="V534" i="28" s="1"/>
  <c r="J535" i="28"/>
  <c r="N535" i="28" s="1"/>
  <c r="J536" i="28"/>
  <c r="N536" i="28" s="1"/>
  <c r="J537" i="28"/>
  <c r="N537" i="28" s="1"/>
  <c r="J538" i="28"/>
  <c r="N538" i="28" s="1"/>
  <c r="R538" i="28" s="1"/>
  <c r="V538" i="28" s="1"/>
  <c r="J539" i="28"/>
  <c r="N539" i="28" s="1"/>
  <c r="J540" i="28"/>
  <c r="N540" i="28" s="1"/>
  <c r="J541" i="28"/>
  <c r="N541" i="28" s="1"/>
  <c r="J542" i="28"/>
  <c r="N542" i="28" s="1"/>
  <c r="J543" i="28"/>
  <c r="N543" i="28" s="1"/>
  <c r="J544" i="28"/>
  <c r="N544" i="28" s="1"/>
  <c r="J545" i="28"/>
  <c r="N545" i="28" s="1"/>
  <c r="J546" i="28"/>
  <c r="N546" i="28" s="1"/>
  <c r="J547" i="28"/>
  <c r="N547" i="28" s="1"/>
  <c r="AB547" i="28" s="1"/>
  <c r="AF547" i="28" s="1"/>
  <c r="J548" i="28"/>
  <c r="N548" i="28" s="1"/>
  <c r="AB548" i="28" s="1"/>
  <c r="AF548" i="28" s="1"/>
  <c r="J549" i="28"/>
  <c r="N549" i="28" s="1"/>
  <c r="J550" i="28"/>
  <c r="N550" i="28" s="1"/>
  <c r="J551" i="28"/>
  <c r="N551" i="28" s="1"/>
  <c r="AB409" i="28" l="1"/>
  <c r="AF409" i="28" s="1"/>
  <c r="AB444" i="28"/>
  <c r="AF444" i="28" s="1"/>
  <c r="R444" i="28"/>
  <c r="V444" i="28" s="1"/>
  <c r="R433" i="28"/>
  <c r="V433" i="28" s="1"/>
  <c r="R423" i="28"/>
  <c r="V423" i="28" s="1"/>
  <c r="AB539" i="28"/>
  <c r="AF539" i="28" s="1"/>
  <c r="AB527" i="28"/>
  <c r="AF527" i="28" s="1"/>
  <c r="AB475" i="28"/>
  <c r="AF475" i="28" s="1"/>
  <c r="R419" i="28"/>
  <c r="V419" i="28" s="1"/>
  <c r="AB319" i="28"/>
  <c r="AF319" i="28" s="1"/>
  <c r="AB374" i="28"/>
  <c r="AF374" i="28" s="1"/>
  <c r="AB362" i="28"/>
  <c r="AF362" i="28" s="1"/>
  <c r="AB292" i="28"/>
  <c r="AF292" i="28" s="1"/>
  <c r="AB233" i="28"/>
  <c r="AF233" i="28" s="1"/>
  <c r="AB226" i="28"/>
  <c r="AF226" i="28" s="1"/>
  <c r="AB205" i="28"/>
  <c r="AF205" i="28" s="1"/>
  <c r="AB199" i="28"/>
  <c r="AF199" i="28" s="1"/>
  <c r="AB187" i="28"/>
  <c r="AF187" i="28" s="1"/>
  <c r="AB163" i="28"/>
  <c r="AF163" i="28" s="1"/>
  <c r="AB151" i="28"/>
  <c r="AF151" i="28" s="1"/>
  <c r="AB139" i="28"/>
  <c r="AF139" i="28" s="1"/>
  <c r="AB133" i="28"/>
  <c r="AF133" i="28" s="1"/>
  <c r="AB127" i="28"/>
  <c r="AF127" i="28" s="1"/>
  <c r="AB121" i="28"/>
  <c r="AF121" i="28" s="1"/>
  <c r="AB103" i="28"/>
  <c r="AF103" i="28" s="1"/>
  <c r="AB39" i="28"/>
  <c r="AF39" i="28" s="1"/>
  <c r="AB295" i="28"/>
  <c r="AF295" i="28" s="1"/>
  <c r="R295" i="28"/>
  <c r="V295" i="28" s="1"/>
  <c r="R289" i="28"/>
  <c r="V289" i="28" s="1"/>
  <c r="AB289" i="28"/>
  <c r="AF289" i="28" s="1"/>
  <c r="AB276" i="28"/>
  <c r="AF276" i="28" s="1"/>
  <c r="R276" i="28"/>
  <c r="V276" i="28" s="1"/>
  <c r="AB382" i="28"/>
  <c r="AF382" i="28" s="1"/>
  <c r="R382" i="28"/>
  <c r="V382" i="28" s="1"/>
  <c r="R385" i="28"/>
  <c r="V385" i="28" s="1"/>
  <c r="R102" i="28"/>
  <c r="V102" i="28" s="1"/>
  <c r="AB245" i="28"/>
  <c r="R384" i="28"/>
  <c r="V384" i="28" s="1"/>
  <c r="R320" i="28"/>
  <c r="V320" i="28" s="1"/>
  <c r="R250" i="28"/>
  <c r="V250" i="28" s="1"/>
  <c r="AB296" i="28"/>
  <c r="AF296" i="28" s="1"/>
  <c r="R319" i="28"/>
  <c r="V319" i="28" s="1"/>
  <c r="R191" i="28"/>
  <c r="V191" i="28" s="1"/>
  <c r="AB371" i="28"/>
  <c r="AF371" i="28" s="1"/>
  <c r="AB370" i="28"/>
  <c r="AF370" i="28" s="1"/>
  <c r="AB312" i="28"/>
  <c r="AF312" i="28" s="1"/>
  <c r="AB306" i="28"/>
  <c r="AF306" i="28" s="1"/>
  <c r="AB248" i="28"/>
  <c r="AF248" i="28" s="1"/>
  <c r="AB207" i="28"/>
  <c r="AF207" i="28" s="1"/>
  <c r="R294" i="28"/>
  <c r="V294" i="28" s="1"/>
  <c r="R151" i="28"/>
  <c r="V151" i="28" s="1"/>
  <c r="AB74" i="28"/>
  <c r="AF74" i="28" s="1"/>
  <c r="R358" i="28"/>
  <c r="V358" i="28" s="1"/>
  <c r="R284" i="28"/>
  <c r="V284" i="28" s="1"/>
  <c r="R103" i="28"/>
  <c r="V103" i="28" s="1"/>
  <c r="AB57" i="28"/>
  <c r="AF57" i="28" s="1"/>
  <c r="R57" i="28"/>
  <c r="V57" i="28" s="1"/>
  <c r="AB161" i="28"/>
  <c r="AF161" i="28" s="1"/>
  <c r="R161" i="28"/>
  <c r="V161" i="28" s="1"/>
  <c r="AB42" i="28"/>
  <c r="AF42" i="28" s="1"/>
  <c r="R42" i="28"/>
  <c r="V42" i="28" s="1"/>
  <c r="AB211" i="28"/>
  <c r="AF211" i="28" s="1"/>
  <c r="AB175" i="28"/>
  <c r="AF175" i="28" s="1"/>
  <c r="AB91" i="28"/>
  <c r="AF91" i="28" s="1"/>
  <c r="AB235" i="28"/>
  <c r="AF235" i="28" s="1"/>
  <c r="R113" i="28"/>
  <c r="V113" i="28" s="1"/>
  <c r="R37" i="28"/>
  <c r="V37" i="28" s="1"/>
  <c r="AB78" i="28"/>
  <c r="AF78" i="28" s="1"/>
  <c r="AB70" i="28"/>
  <c r="AF70" i="28" s="1"/>
  <c r="AB17" i="28"/>
  <c r="AF17" i="28" s="1"/>
  <c r="AB87" i="28"/>
  <c r="AF87" i="28" s="1"/>
  <c r="R251" i="28"/>
  <c r="V251" i="28" s="1"/>
  <c r="R199" i="28"/>
  <c r="V199" i="28" s="1"/>
  <c r="R77" i="28"/>
  <c r="V77" i="28" s="1"/>
  <c r="AB16" i="28"/>
  <c r="AF16" i="28" s="1"/>
  <c r="R127" i="28"/>
  <c r="V127" i="28" s="1"/>
  <c r="AB125" i="28"/>
  <c r="AF125" i="28" s="1"/>
  <c r="AB131" i="28"/>
  <c r="AF131" i="28" s="1"/>
  <c r="AB115" i="28"/>
  <c r="AF115" i="28" s="1"/>
  <c r="R139" i="28"/>
  <c r="V139" i="28" s="1"/>
  <c r="R163" i="28"/>
  <c r="V163" i="28" s="1"/>
  <c r="R162" i="28"/>
  <c r="V162" i="28" s="1"/>
  <c r="AB167" i="28"/>
  <c r="AF167" i="28" s="1"/>
  <c r="AB366" i="28"/>
  <c r="AF366" i="28" s="1"/>
  <c r="AB336" i="28"/>
  <c r="AF336" i="28" s="1"/>
  <c r="AB314" i="28"/>
  <c r="AF314" i="28" s="1"/>
  <c r="AB239" i="28"/>
  <c r="AF239" i="28" s="1"/>
  <c r="AB189" i="28"/>
  <c r="AF189" i="28" s="1"/>
  <c r="AB183" i="28"/>
  <c r="AF183" i="28" s="1"/>
  <c r="AB159" i="28"/>
  <c r="AF159" i="28" s="1"/>
  <c r="AB153" i="28"/>
  <c r="AF153" i="28" s="1"/>
  <c r="AB147" i="28"/>
  <c r="AF147" i="28" s="1"/>
  <c r="AB141" i="28"/>
  <c r="AF141" i="28" s="1"/>
  <c r="AB135" i="28"/>
  <c r="AF135" i="28" s="1"/>
  <c r="AB111" i="28"/>
  <c r="AF111" i="28" s="1"/>
  <c r="AB105" i="28"/>
  <c r="AF105" i="28" s="1"/>
  <c r="AB544" i="28"/>
  <c r="AF544" i="28" s="1"/>
  <c r="AB514" i="28"/>
  <c r="AF514" i="28" s="1"/>
  <c r="AB508" i="28"/>
  <c r="AF508" i="28" s="1"/>
  <c r="AB367" i="28"/>
  <c r="AF367" i="28" s="1"/>
  <c r="AB359" i="28"/>
  <c r="AF359" i="28" s="1"/>
  <c r="AB327" i="28"/>
  <c r="AF327" i="28" s="1"/>
  <c r="AB227" i="28"/>
  <c r="AF227" i="28" s="1"/>
  <c r="AB140" i="28"/>
  <c r="AF140" i="28" s="1"/>
  <c r="AB72" i="28"/>
  <c r="AF72" i="28" s="1"/>
  <c r="AB443" i="28"/>
  <c r="AF443" i="28" s="1"/>
  <c r="AB510" i="28"/>
  <c r="AF510" i="28" s="1"/>
  <c r="AB422" i="28"/>
  <c r="AF422" i="28" s="1"/>
  <c r="AB410" i="28"/>
  <c r="AF410" i="28" s="1"/>
  <c r="AB396" i="28"/>
  <c r="AF396" i="28" s="1"/>
  <c r="AB383" i="28"/>
  <c r="AF383" i="28" s="1"/>
  <c r="AB335" i="28"/>
  <c r="AF335" i="28" s="1"/>
  <c r="AB206" i="28"/>
  <c r="AF206" i="28" s="1"/>
  <c r="AB41" i="28"/>
  <c r="AF41" i="28" s="1"/>
  <c r="AB21" i="28"/>
  <c r="AF21" i="28" s="1"/>
  <c r="AB476" i="28"/>
  <c r="AF476" i="28" s="1"/>
  <c r="AB491" i="28"/>
  <c r="AF491" i="28" s="1"/>
  <c r="R491" i="28"/>
  <c r="V491" i="28" s="1"/>
  <c r="R476" i="28"/>
  <c r="V476" i="28" s="1"/>
  <c r="R547" i="28"/>
  <c r="V547" i="28" s="1"/>
  <c r="R527" i="28"/>
  <c r="V527" i="28" s="1"/>
  <c r="AB543" i="28"/>
  <c r="AF543" i="28" s="1"/>
  <c r="R510" i="28"/>
  <c r="V510" i="28" s="1"/>
  <c r="AB542" i="28"/>
  <c r="AF542" i="28" s="1"/>
  <c r="R508" i="28"/>
  <c r="V508" i="28" s="1"/>
  <c r="AB538" i="28"/>
  <c r="AF538" i="28" s="1"/>
  <c r="AB534" i="28"/>
  <c r="AF534" i="28" s="1"/>
  <c r="AB521" i="28"/>
  <c r="AF521" i="28" s="1"/>
  <c r="AB168" i="28"/>
  <c r="AF168" i="28" s="1"/>
  <c r="R168" i="28"/>
  <c r="V168" i="28" s="1"/>
  <c r="AB230" i="28"/>
  <c r="AF230" i="28" s="1"/>
  <c r="R230" i="28"/>
  <c r="V230" i="28" s="1"/>
  <c r="R484" i="28"/>
  <c r="V484" i="28" s="1"/>
  <c r="AB484" i="28"/>
  <c r="AF484" i="28" s="1"/>
  <c r="AB315" i="28"/>
  <c r="AF315" i="28" s="1"/>
  <c r="R315" i="28"/>
  <c r="V315" i="28" s="1"/>
  <c r="AB126" i="28"/>
  <c r="AF126" i="28" s="1"/>
  <c r="R126" i="28"/>
  <c r="V126" i="28" s="1"/>
  <c r="AB531" i="28"/>
  <c r="AF531" i="28" s="1"/>
  <c r="R531" i="28"/>
  <c r="V531" i="28" s="1"/>
  <c r="R507" i="28"/>
  <c r="V507" i="28" s="1"/>
  <c r="AB507" i="28"/>
  <c r="AF507" i="28" s="1"/>
  <c r="AB338" i="28"/>
  <c r="AF338" i="28" s="1"/>
  <c r="R338" i="28"/>
  <c r="V338" i="28" s="1"/>
  <c r="R10" i="28"/>
  <c r="V10" i="28" s="1"/>
  <c r="AB10" i="28"/>
  <c r="AF10" i="28" s="1"/>
  <c r="AB530" i="28"/>
  <c r="AF530" i="28" s="1"/>
  <c r="R530" i="28"/>
  <c r="V530" i="28" s="1"/>
  <c r="AB494" i="28"/>
  <c r="AF494" i="28" s="1"/>
  <c r="R494" i="28"/>
  <c r="V494" i="28" s="1"/>
  <c r="AB418" i="28"/>
  <c r="AF418" i="28" s="1"/>
  <c r="R418" i="28"/>
  <c r="V418" i="28" s="1"/>
  <c r="R379" i="28"/>
  <c r="V379" i="28" s="1"/>
  <c r="AB379" i="28"/>
  <c r="AF379" i="28" s="1"/>
  <c r="AB526" i="28"/>
  <c r="AF526" i="28" s="1"/>
  <c r="R526" i="28"/>
  <c r="V526" i="28" s="1"/>
  <c r="R144" i="28"/>
  <c r="V144" i="28" s="1"/>
  <c r="AB144" i="28"/>
  <c r="AF144" i="28" s="1"/>
  <c r="AB413" i="28"/>
  <c r="AF413" i="28" s="1"/>
  <c r="R413" i="28"/>
  <c r="V413" i="28" s="1"/>
  <c r="AB22" i="28"/>
  <c r="AF22" i="28" s="1"/>
  <c r="R22" i="28"/>
  <c r="V22" i="28" s="1"/>
  <c r="AB492" i="28"/>
  <c r="AF492" i="28" s="1"/>
  <c r="R492" i="28"/>
  <c r="V492" i="28" s="1"/>
  <c r="AB404" i="28"/>
  <c r="AF404" i="28" s="1"/>
  <c r="R404" i="28"/>
  <c r="V404" i="28" s="1"/>
  <c r="AB299" i="28"/>
  <c r="AF299" i="28" s="1"/>
  <c r="R299" i="28"/>
  <c r="V299" i="28" s="1"/>
  <c r="R194" i="28"/>
  <c r="V194" i="28" s="1"/>
  <c r="AB194" i="28"/>
  <c r="AF194" i="28" s="1"/>
  <c r="R158" i="28"/>
  <c r="V158" i="28" s="1"/>
  <c r="AB158" i="28"/>
  <c r="AF158" i="28" s="1"/>
  <c r="AB98" i="28"/>
  <c r="AF98" i="28" s="1"/>
  <c r="R98" i="28"/>
  <c r="V98" i="28" s="1"/>
  <c r="AB414" i="28"/>
  <c r="AF414" i="28" s="1"/>
  <c r="R414" i="28"/>
  <c r="V414" i="28" s="1"/>
  <c r="AB440" i="28"/>
  <c r="AF440" i="28" s="1"/>
  <c r="R440" i="28"/>
  <c r="V440" i="28" s="1"/>
  <c r="AB63" i="28"/>
  <c r="AF63" i="28" s="1"/>
  <c r="R63" i="28"/>
  <c r="V63" i="28" s="1"/>
  <c r="AB381" i="28"/>
  <c r="AF381" i="28" s="1"/>
  <c r="R381" i="28"/>
  <c r="V381" i="28" s="1"/>
  <c r="AB528" i="28"/>
  <c r="AF528" i="28" s="1"/>
  <c r="R528" i="28"/>
  <c r="V528" i="28" s="1"/>
  <c r="AB516" i="28"/>
  <c r="AF516" i="28" s="1"/>
  <c r="R516" i="28"/>
  <c r="V516" i="28" s="1"/>
  <c r="AB347" i="28"/>
  <c r="AF347" i="28" s="1"/>
  <c r="R347" i="28"/>
  <c r="V347" i="28" s="1"/>
  <c r="AB110" i="28"/>
  <c r="AF110" i="28" s="1"/>
  <c r="R110" i="28"/>
  <c r="V110" i="28" s="1"/>
  <c r="AB442" i="28"/>
  <c r="AF442" i="28" s="1"/>
  <c r="R442" i="28"/>
  <c r="V442" i="28" s="1"/>
  <c r="AB322" i="28"/>
  <c r="AF322" i="28" s="1"/>
  <c r="R322" i="28"/>
  <c r="V322" i="28" s="1"/>
  <c r="AB193" i="28"/>
  <c r="AF193" i="28" s="1"/>
  <c r="R193" i="28"/>
  <c r="V193" i="28" s="1"/>
  <c r="AB157" i="28"/>
  <c r="AF157" i="28" s="1"/>
  <c r="R157" i="28"/>
  <c r="V157" i="28" s="1"/>
  <c r="R192" i="28"/>
  <c r="V192" i="28" s="1"/>
  <c r="AB192" i="28"/>
  <c r="AF192" i="28" s="1"/>
  <c r="AB425" i="28"/>
  <c r="AF425" i="28" s="1"/>
  <c r="R425" i="28"/>
  <c r="V425" i="28" s="1"/>
  <c r="AB536" i="28"/>
  <c r="AF536" i="28" s="1"/>
  <c r="R536" i="28"/>
  <c r="V536" i="28" s="1"/>
  <c r="AB488" i="28"/>
  <c r="AF488" i="28" s="1"/>
  <c r="R488" i="28"/>
  <c r="V488" i="28" s="1"/>
  <c r="AB15" i="28"/>
  <c r="AF15" i="28" s="1"/>
  <c r="R15" i="28"/>
  <c r="V15" i="28" s="1"/>
  <c r="R128" i="28"/>
  <c r="V128" i="28" s="1"/>
  <c r="AB128" i="28"/>
  <c r="AF128" i="28" s="1"/>
  <c r="AB450" i="28"/>
  <c r="AF450" i="28" s="1"/>
  <c r="R450" i="28"/>
  <c r="V450" i="28" s="1"/>
  <c r="R368" i="28"/>
  <c r="V368" i="28" s="1"/>
  <c r="AB368" i="28"/>
  <c r="AF368" i="28" s="1"/>
  <c r="AB316" i="28"/>
  <c r="AF316" i="28" s="1"/>
  <c r="R316" i="28"/>
  <c r="V316" i="28" s="1"/>
  <c r="AB481" i="28"/>
  <c r="AF481" i="28" s="1"/>
  <c r="R481" i="28"/>
  <c r="V481" i="28" s="1"/>
  <c r="AB246" i="28"/>
  <c r="AF246" i="28" s="1"/>
  <c r="R246" i="28"/>
  <c r="V246" i="28" s="1"/>
  <c r="AB181" i="28"/>
  <c r="AF181" i="28" s="1"/>
  <c r="R181" i="28"/>
  <c r="V181" i="28" s="1"/>
  <c r="AB85" i="28"/>
  <c r="AF85" i="28" s="1"/>
  <c r="R85" i="28"/>
  <c r="V85" i="28" s="1"/>
  <c r="AB486" i="28"/>
  <c r="AF486" i="28" s="1"/>
  <c r="R486" i="28"/>
  <c r="V486" i="28" s="1"/>
  <c r="AB388" i="28"/>
  <c r="AF388" i="28" s="1"/>
  <c r="R388" i="28"/>
  <c r="V388" i="28" s="1"/>
  <c r="R406" i="28"/>
  <c r="V406" i="28" s="1"/>
  <c r="R226" i="28"/>
  <c r="V226" i="28" s="1"/>
  <c r="AB256" i="28"/>
  <c r="AF256" i="28" s="1"/>
  <c r="R256" i="28"/>
  <c r="V256" i="28" s="1"/>
  <c r="AB218" i="28"/>
  <c r="AF218" i="28" s="1"/>
  <c r="R218" i="28"/>
  <c r="V218" i="28" s="1"/>
  <c r="R120" i="28"/>
  <c r="V120" i="28" s="1"/>
  <c r="AB120" i="28"/>
  <c r="AF120" i="28" s="1"/>
  <c r="AB80" i="28"/>
  <c r="AF80" i="28" s="1"/>
  <c r="R80" i="28"/>
  <c r="V80" i="28" s="1"/>
  <c r="AB485" i="28"/>
  <c r="AF485" i="28" s="1"/>
  <c r="R485" i="28"/>
  <c r="V485" i="28" s="1"/>
  <c r="AB255" i="28"/>
  <c r="AF255" i="28" s="1"/>
  <c r="R255" i="28"/>
  <c r="V255" i="28" s="1"/>
  <c r="R544" i="28"/>
  <c r="V544" i="28" s="1"/>
  <c r="R275" i="28"/>
  <c r="V275" i="28" s="1"/>
  <c r="AB420" i="28"/>
  <c r="AF420" i="28" s="1"/>
  <c r="R420" i="28"/>
  <c r="V420" i="28" s="1"/>
  <c r="R408" i="28"/>
  <c r="V408" i="28" s="1"/>
  <c r="AB408" i="28"/>
  <c r="AF408" i="28" s="1"/>
  <c r="AB356" i="28"/>
  <c r="AF356" i="28" s="1"/>
  <c r="R356" i="28"/>
  <c r="V356" i="28" s="1"/>
  <c r="AB330" i="28"/>
  <c r="AF330" i="28" s="1"/>
  <c r="R330" i="28"/>
  <c r="V330" i="28" s="1"/>
  <c r="AB318" i="28"/>
  <c r="AF318" i="28" s="1"/>
  <c r="R318" i="28"/>
  <c r="V318" i="28" s="1"/>
  <c r="AB64" i="28"/>
  <c r="AF64" i="28" s="1"/>
  <c r="R64" i="28"/>
  <c r="V64" i="28" s="1"/>
  <c r="AB43" i="28"/>
  <c r="AF43" i="28" s="1"/>
  <c r="R43" i="28"/>
  <c r="V43" i="28" s="1"/>
  <c r="AB535" i="28"/>
  <c r="AF535" i="28" s="1"/>
  <c r="R535" i="28"/>
  <c r="V535" i="28" s="1"/>
  <c r="AB345" i="28"/>
  <c r="AF345" i="28" s="1"/>
  <c r="R345" i="28"/>
  <c r="V345" i="28" s="1"/>
  <c r="R288" i="28"/>
  <c r="V288" i="28" s="1"/>
  <c r="AB288" i="28"/>
  <c r="AF288" i="28" s="1"/>
  <c r="AB208" i="28"/>
  <c r="AF208" i="28" s="1"/>
  <c r="R208" i="28"/>
  <c r="V208" i="28" s="1"/>
  <c r="AB34" i="28"/>
  <c r="AF34" i="28" s="1"/>
  <c r="R34" i="28"/>
  <c r="V34" i="28" s="1"/>
  <c r="R543" i="28"/>
  <c r="V543" i="28" s="1"/>
  <c r="R335" i="28"/>
  <c r="V335" i="28" s="1"/>
  <c r="R133" i="28"/>
  <c r="V133" i="28" s="1"/>
  <c r="AB298" i="28"/>
  <c r="AF298" i="28" s="1"/>
  <c r="AB174" i="28"/>
  <c r="AF174" i="28" s="1"/>
  <c r="R549" i="28"/>
  <c r="AB537" i="28"/>
  <c r="AF537" i="28" s="1"/>
  <c r="R537" i="28"/>
  <c r="V537" i="28" s="1"/>
  <c r="AB525" i="28"/>
  <c r="AF525" i="28" s="1"/>
  <c r="R525" i="28"/>
  <c r="V525" i="28" s="1"/>
  <c r="AB513" i="28"/>
  <c r="AF513" i="28" s="1"/>
  <c r="R513" i="28"/>
  <c r="V513" i="28" s="1"/>
  <c r="AB501" i="28"/>
  <c r="AF501" i="28" s="1"/>
  <c r="R501" i="28"/>
  <c r="V501" i="28" s="1"/>
  <c r="AB489" i="28"/>
  <c r="AF489" i="28" s="1"/>
  <c r="R489" i="28"/>
  <c r="V489" i="28" s="1"/>
  <c r="AB431" i="28"/>
  <c r="AF431" i="28" s="1"/>
  <c r="R431" i="28"/>
  <c r="V431" i="28" s="1"/>
  <c r="AB369" i="28"/>
  <c r="AF369" i="28" s="1"/>
  <c r="R369" i="28"/>
  <c r="V369" i="28" s="1"/>
  <c r="AB317" i="28"/>
  <c r="AF317" i="28" s="1"/>
  <c r="R317" i="28"/>
  <c r="V317" i="28" s="1"/>
  <c r="AB254" i="28"/>
  <c r="AF254" i="28" s="1"/>
  <c r="R254" i="28"/>
  <c r="V254" i="28" s="1"/>
  <c r="AB241" i="28"/>
  <c r="AF241" i="28" s="1"/>
  <c r="R241" i="28"/>
  <c r="V241" i="28" s="1"/>
  <c r="AB190" i="28"/>
  <c r="AF190" i="28" s="1"/>
  <c r="R190" i="28"/>
  <c r="V190" i="28" s="1"/>
  <c r="AB166" i="28"/>
  <c r="AF166" i="28" s="1"/>
  <c r="R166" i="28"/>
  <c r="V166" i="28" s="1"/>
  <c r="AB154" i="28"/>
  <c r="AF154" i="28" s="1"/>
  <c r="R154" i="28"/>
  <c r="V154" i="28" s="1"/>
  <c r="AB130" i="28"/>
  <c r="AF130" i="28" s="1"/>
  <c r="R130" i="28"/>
  <c r="V130" i="28" s="1"/>
  <c r="AB118" i="28"/>
  <c r="AF118" i="28" s="1"/>
  <c r="R118" i="28"/>
  <c r="V118" i="28" s="1"/>
  <c r="AB94" i="28"/>
  <c r="AF94" i="28" s="1"/>
  <c r="R94" i="28"/>
  <c r="V94" i="28" s="1"/>
  <c r="AB11" i="28"/>
  <c r="AF11" i="28" s="1"/>
  <c r="R11" i="28"/>
  <c r="V11" i="28" s="1"/>
  <c r="AB503" i="28"/>
  <c r="AF503" i="28" s="1"/>
  <c r="R503" i="28"/>
  <c r="V503" i="28" s="1"/>
  <c r="AB446" i="28"/>
  <c r="AF446" i="28" s="1"/>
  <c r="R446" i="28"/>
  <c r="V446" i="28" s="1"/>
  <c r="AB285" i="28"/>
  <c r="AF285" i="28" s="1"/>
  <c r="R285" i="28"/>
  <c r="V285" i="28" s="1"/>
  <c r="AB73" i="28"/>
  <c r="AF73" i="28" s="1"/>
  <c r="R73" i="28"/>
  <c r="V73" i="28" s="1"/>
  <c r="R542" i="28"/>
  <c r="V542" i="28" s="1"/>
  <c r="R327" i="28"/>
  <c r="V327" i="28" s="1"/>
  <c r="R206" i="28"/>
  <c r="V206" i="28" s="1"/>
  <c r="AB490" i="28"/>
  <c r="AF490" i="28" s="1"/>
  <c r="AB156" i="28"/>
  <c r="AF156" i="28" s="1"/>
  <c r="AB387" i="28"/>
  <c r="AF387" i="28" s="1"/>
  <c r="R387" i="28"/>
  <c r="V387" i="28" s="1"/>
  <c r="AB170" i="28"/>
  <c r="AF170" i="28" s="1"/>
  <c r="R170" i="28"/>
  <c r="V170" i="28" s="1"/>
  <c r="AB393" i="28"/>
  <c r="AF393" i="28" s="1"/>
  <c r="R393" i="28"/>
  <c r="V393" i="28" s="1"/>
  <c r="AB328" i="28"/>
  <c r="AF328" i="28" s="1"/>
  <c r="R328" i="28"/>
  <c r="V328" i="28" s="1"/>
  <c r="AB177" i="28"/>
  <c r="AF177" i="28" s="1"/>
  <c r="R177" i="28"/>
  <c r="V177" i="28" s="1"/>
  <c r="R117" i="28"/>
  <c r="V117" i="28" s="1"/>
  <c r="AB117" i="28"/>
  <c r="AF117" i="28" s="1"/>
  <c r="AB502" i="28"/>
  <c r="AF502" i="28" s="1"/>
  <c r="R502" i="28"/>
  <c r="V502" i="28" s="1"/>
  <c r="AB378" i="28"/>
  <c r="AF378" i="28" s="1"/>
  <c r="R378" i="28"/>
  <c r="V378" i="28" s="1"/>
  <c r="AB202" i="28"/>
  <c r="AF202" i="28" s="1"/>
  <c r="R202" i="28"/>
  <c r="V202" i="28" s="1"/>
  <c r="AB482" i="28"/>
  <c r="AF482" i="28" s="1"/>
  <c r="R482" i="28"/>
  <c r="V482" i="28" s="1"/>
  <c r="AB541" i="28"/>
  <c r="AF541" i="28" s="1"/>
  <c r="R541" i="28"/>
  <c r="V541" i="28" s="1"/>
  <c r="AB411" i="28"/>
  <c r="AF411" i="28" s="1"/>
  <c r="R411" i="28"/>
  <c r="V411" i="28" s="1"/>
  <c r="AB122" i="28"/>
  <c r="AF122" i="28" s="1"/>
  <c r="R122" i="28"/>
  <c r="V122" i="28" s="1"/>
  <c r="AB304" i="28"/>
  <c r="AF304" i="28" s="1"/>
  <c r="R304" i="28"/>
  <c r="V304" i="28" s="1"/>
  <c r="AB165" i="28"/>
  <c r="AF165" i="28" s="1"/>
  <c r="R165" i="28"/>
  <c r="V165" i="28" s="1"/>
  <c r="AB519" i="28"/>
  <c r="AF519" i="28" s="1"/>
  <c r="R519" i="28"/>
  <c r="V519" i="28" s="1"/>
  <c r="R412" i="28"/>
  <c r="V412" i="28" s="1"/>
  <c r="AB412" i="28"/>
  <c r="AF412" i="28" s="1"/>
  <c r="AB435" i="28"/>
  <c r="AF435" i="28" s="1"/>
  <c r="R435" i="28"/>
  <c r="V435" i="28" s="1"/>
  <c r="AB146" i="28"/>
  <c r="AF146" i="28" s="1"/>
  <c r="R146" i="28"/>
  <c r="V146" i="28" s="1"/>
  <c r="AB201" i="28"/>
  <c r="AF201" i="28" s="1"/>
  <c r="R201" i="28"/>
  <c r="V201" i="28" s="1"/>
  <c r="AB129" i="28"/>
  <c r="AF129" i="28" s="1"/>
  <c r="R129" i="28"/>
  <c r="V129" i="28" s="1"/>
  <c r="AB160" i="28"/>
  <c r="AF160" i="28" s="1"/>
  <c r="R160" i="28"/>
  <c r="V160" i="28" s="1"/>
  <c r="AB524" i="28"/>
  <c r="AF524" i="28" s="1"/>
  <c r="R524" i="28"/>
  <c r="V524" i="28" s="1"/>
  <c r="AB340" i="28"/>
  <c r="AF340" i="28" s="1"/>
  <c r="R340" i="28"/>
  <c r="V340" i="28" s="1"/>
  <c r="AB280" i="28"/>
  <c r="AF280" i="28" s="1"/>
  <c r="R280" i="28"/>
  <c r="V280" i="28" s="1"/>
  <c r="AB213" i="28"/>
  <c r="AF213" i="28" s="1"/>
  <c r="R213" i="28"/>
  <c r="V213" i="28" s="1"/>
  <c r="AB23" i="28"/>
  <c r="AF23" i="28" s="1"/>
  <c r="R23" i="28"/>
  <c r="V23" i="28" s="1"/>
  <c r="AB282" i="28"/>
  <c r="AF282" i="28" s="1"/>
  <c r="R282" i="28"/>
  <c r="V282" i="28" s="1"/>
  <c r="R27" i="28"/>
  <c r="V27" i="28" s="1"/>
  <c r="AB27" i="28"/>
  <c r="AF27" i="28" s="1"/>
  <c r="R205" i="28"/>
  <c r="V205" i="28" s="1"/>
  <c r="AB132" i="28"/>
  <c r="AF132" i="28" s="1"/>
  <c r="AB405" i="28"/>
  <c r="AF405" i="28" s="1"/>
  <c r="R405" i="28"/>
  <c r="V405" i="28" s="1"/>
  <c r="R351" i="28"/>
  <c r="V351" i="28" s="1"/>
  <c r="AB351" i="28"/>
  <c r="AF351" i="28" s="1"/>
  <c r="AB303" i="28"/>
  <c r="AF303" i="28" s="1"/>
  <c r="R303" i="28"/>
  <c r="V303" i="28" s="1"/>
  <c r="AB279" i="28"/>
  <c r="AF279" i="28" s="1"/>
  <c r="R279" i="28"/>
  <c r="V279" i="28" s="1"/>
  <c r="AB264" i="28"/>
  <c r="AF264" i="28" s="1"/>
  <c r="R264" i="28"/>
  <c r="V264" i="28" s="1"/>
  <c r="AB188" i="28"/>
  <c r="AF188" i="28" s="1"/>
  <c r="AB164" i="28"/>
  <c r="AF164" i="28" s="1"/>
  <c r="AB281" i="28"/>
  <c r="AF281" i="28" s="1"/>
  <c r="R281" i="28"/>
  <c r="V281" i="28" s="1"/>
  <c r="R424" i="28"/>
  <c r="V424" i="28" s="1"/>
  <c r="AB498" i="28"/>
  <c r="AF498" i="28" s="1"/>
  <c r="R498" i="28"/>
  <c r="V498" i="28" s="1"/>
  <c r="AB428" i="28"/>
  <c r="AF428" i="28" s="1"/>
  <c r="R428" i="28"/>
  <c r="V428" i="28" s="1"/>
  <c r="AB416" i="28"/>
  <c r="AF416" i="28" s="1"/>
  <c r="R416" i="28"/>
  <c r="V416" i="28" s="1"/>
  <c r="AB391" i="28"/>
  <c r="AF391" i="28" s="1"/>
  <c r="R391" i="28"/>
  <c r="V391" i="28" s="1"/>
  <c r="AB350" i="28"/>
  <c r="AF350" i="28" s="1"/>
  <c r="R350" i="28"/>
  <c r="V350" i="28" s="1"/>
  <c r="AB326" i="28"/>
  <c r="AF326" i="28" s="1"/>
  <c r="R326" i="28"/>
  <c r="V326" i="28" s="1"/>
  <c r="AB302" i="28"/>
  <c r="AF302" i="28" s="1"/>
  <c r="R302" i="28"/>
  <c r="V302" i="28" s="1"/>
  <c r="AB290" i="28"/>
  <c r="AF290" i="28" s="1"/>
  <c r="R290" i="28"/>
  <c r="V290" i="28" s="1"/>
  <c r="AB263" i="28"/>
  <c r="AF263" i="28" s="1"/>
  <c r="R263" i="28"/>
  <c r="V263" i="28" s="1"/>
  <c r="AB238" i="28"/>
  <c r="AF238" i="28" s="1"/>
  <c r="R238" i="28"/>
  <c r="V238" i="28" s="1"/>
  <c r="AB225" i="28"/>
  <c r="AF225" i="28" s="1"/>
  <c r="R225" i="28"/>
  <c r="V225" i="28" s="1"/>
  <c r="AB38" i="28"/>
  <c r="AF38" i="28" s="1"/>
  <c r="R38" i="28"/>
  <c r="V38" i="28" s="1"/>
  <c r="AB497" i="28"/>
  <c r="AF497" i="28" s="1"/>
  <c r="R497" i="28"/>
  <c r="V497" i="28" s="1"/>
  <c r="AB108" i="28"/>
  <c r="AF108" i="28" s="1"/>
  <c r="R108" i="28"/>
  <c r="V108" i="28" s="1"/>
  <c r="AB69" i="28"/>
  <c r="AF69" i="28" s="1"/>
  <c r="R69" i="28"/>
  <c r="V69" i="28" s="1"/>
  <c r="R475" i="28"/>
  <c r="V475" i="28" s="1"/>
  <c r="R374" i="28"/>
  <c r="V374" i="28" s="1"/>
  <c r="R249" i="28"/>
  <c r="V249" i="28" s="1"/>
  <c r="R121" i="28"/>
  <c r="V121" i="28" s="1"/>
  <c r="R36" i="28"/>
  <c r="V36" i="28" s="1"/>
  <c r="AB453" i="28"/>
  <c r="AF453" i="28" s="1"/>
  <c r="R453" i="28"/>
  <c r="V453" i="28" s="1"/>
  <c r="AB390" i="28"/>
  <c r="AF390" i="28" s="1"/>
  <c r="R390" i="28"/>
  <c r="V390" i="28" s="1"/>
  <c r="R349" i="28"/>
  <c r="V349" i="28" s="1"/>
  <c r="AB349" i="28"/>
  <c r="AF349" i="28" s="1"/>
  <c r="AB237" i="28"/>
  <c r="AF237" i="28" s="1"/>
  <c r="R237" i="28"/>
  <c r="V237" i="28" s="1"/>
  <c r="AB224" i="28"/>
  <c r="AF224" i="28" s="1"/>
  <c r="R224" i="28"/>
  <c r="V224" i="28" s="1"/>
  <c r="AB210" i="28"/>
  <c r="AF210" i="28" s="1"/>
  <c r="R210" i="28"/>
  <c r="V210" i="28" s="1"/>
  <c r="AB198" i="28"/>
  <c r="AF198" i="28" s="1"/>
  <c r="R198" i="28"/>
  <c r="V198" i="28" s="1"/>
  <c r="AB186" i="28"/>
  <c r="AF186" i="28" s="1"/>
  <c r="R186" i="28"/>
  <c r="V186" i="28" s="1"/>
  <c r="AB150" i="28"/>
  <c r="AF150" i="28" s="1"/>
  <c r="R150" i="28"/>
  <c r="V150" i="28" s="1"/>
  <c r="AB138" i="28"/>
  <c r="AF138" i="28" s="1"/>
  <c r="R138" i="28"/>
  <c r="V138" i="28" s="1"/>
  <c r="AB114" i="28"/>
  <c r="AF114" i="28" s="1"/>
  <c r="R114" i="28"/>
  <c r="V114" i="28" s="1"/>
  <c r="AB90" i="28"/>
  <c r="AF90" i="28" s="1"/>
  <c r="R90" i="28"/>
  <c r="V90" i="28" s="1"/>
  <c r="AB551" i="28"/>
  <c r="AF551" i="28" s="1"/>
  <c r="R551" i="28"/>
  <c r="V551" i="28" s="1"/>
  <c r="AB403" i="28"/>
  <c r="AF403" i="28" s="1"/>
  <c r="R403" i="28"/>
  <c r="V403" i="28" s="1"/>
  <c r="R514" i="28"/>
  <c r="V514" i="28" s="1"/>
  <c r="R367" i="28"/>
  <c r="V367" i="28" s="1"/>
  <c r="R314" i="28"/>
  <c r="V314" i="28" s="1"/>
  <c r="R197" i="28"/>
  <c r="V197" i="28" s="1"/>
  <c r="R153" i="28"/>
  <c r="V153" i="28" s="1"/>
  <c r="R72" i="28"/>
  <c r="V72" i="28" s="1"/>
  <c r="AB421" i="28"/>
  <c r="AF421" i="28" s="1"/>
  <c r="AB92" i="28"/>
  <c r="AF92" i="28" s="1"/>
  <c r="AB258" i="28"/>
  <c r="AF258" i="28" s="1"/>
  <c r="R258" i="28"/>
  <c r="V258" i="28" s="1"/>
  <c r="AB86" i="28"/>
  <c r="AF86" i="28" s="1"/>
  <c r="R86" i="28"/>
  <c r="V86" i="28" s="1"/>
  <c r="AB500" i="28"/>
  <c r="AF500" i="28" s="1"/>
  <c r="R500" i="28"/>
  <c r="V500" i="28" s="1"/>
  <c r="AB352" i="28"/>
  <c r="AF352" i="28" s="1"/>
  <c r="R352" i="28"/>
  <c r="V352" i="28" s="1"/>
  <c r="AB76" i="28"/>
  <c r="AF76" i="28" s="1"/>
  <c r="R76" i="28"/>
  <c r="V76" i="28" s="1"/>
  <c r="AB342" i="28"/>
  <c r="AF342" i="28" s="1"/>
  <c r="R342" i="28"/>
  <c r="V342" i="28" s="1"/>
  <c r="AF245" i="28"/>
  <c r="R245" i="28"/>
  <c r="V245" i="28" s="1"/>
  <c r="R116" i="28"/>
  <c r="V116" i="28" s="1"/>
  <c r="AB116" i="28"/>
  <c r="AF116" i="28" s="1"/>
  <c r="R39" i="28"/>
  <c r="V39" i="28" s="1"/>
  <c r="AB441" i="28"/>
  <c r="AF441" i="28" s="1"/>
  <c r="R441" i="28"/>
  <c r="V441" i="28" s="1"/>
  <c r="AB417" i="28"/>
  <c r="AF417" i="28" s="1"/>
  <c r="R417" i="28"/>
  <c r="V417" i="28" s="1"/>
  <c r="R380" i="28"/>
  <c r="V380" i="28" s="1"/>
  <c r="AB380" i="28"/>
  <c r="AF380" i="28" s="1"/>
  <c r="AB339" i="28"/>
  <c r="AF339" i="28" s="1"/>
  <c r="R339" i="28"/>
  <c r="V339" i="28" s="1"/>
  <c r="AB200" i="28"/>
  <c r="AF200" i="28" s="1"/>
  <c r="R200" i="28"/>
  <c r="V200" i="28" s="1"/>
  <c r="AB152" i="28"/>
  <c r="AF152" i="28" s="1"/>
  <c r="R152" i="28"/>
  <c r="V152" i="28" s="1"/>
  <c r="AB313" i="28"/>
  <c r="AF313" i="28" s="1"/>
  <c r="R313" i="28"/>
  <c r="V313" i="28" s="1"/>
  <c r="AB242" i="28"/>
  <c r="AF242" i="28" s="1"/>
  <c r="R242" i="28"/>
  <c r="V242" i="28" s="1"/>
  <c r="AB532" i="28"/>
  <c r="AF532" i="28" s="1"/>
  <c r="R532" i="28"/>
  <c r="V532" i="28" s="1"/>
  <c r="AB520" i="28"/>
  <c r="AF520" i="28" s="1"/>
  <c r="R520" i="28"/>
  <c r="V520" i="28" s="1"/>
  <c r="AB496" i="28"/>
  <c r="AF496" i="28" s="1"/>
  <c r="R496" i="28"/>
  <c r="V496" i="28" s="1"/>
  <c r="AB438" i="28"/>
  <c r="AF438" i="28" s="1"/>
  <c r="R438" i="28"/>
  <c r="V438" i="28" s="1"/>
  <c r="AB426" i="28"/>
  <c r="AF426" i="28" s="1"/>
  <c r="R426" i="28"/>
  <c r="V426" i="28" s="1"/>
  <c r="AB402" i="28"/>
  <c r="AF402" i="28" s="1"/>
  <c r="R402" i="28"/>
  <c r="V402" i="28" s="1"/>
  <c r="AB389" i="28"/>
  <c r="AF389" i="28" s="1"/>
  <c r="R389" i="28"/>
  <c r="V389" i="28" s="1"/>
  <c r="R324" i="28"/>
  <c r="V324" i="28" s="1"/>
  <c r="AB324" i="28"/>
  <c r="AF324" i="28" s="1"/>
  <c r="AB185" i="28"/>
  <c r="AF185" i="28" s="1"/>
  <c r="R185" i="28"/>
  <c r="V185" i="28" s="1"/>
  <c r="AB89" i="28"/>
  <c r="AF89" i="28" s="1"/>
  <c r="R89" i="28"/>
  <c r="V89" i="28" s="1"/>
  <c r="R550" i="28"/>
  <c r="V550" i="28" s="1"/>
  <c r="AB550" i="28"/>
  <c r="AF550" i="28" s="1"/>
  <c r="AB398" i="28"/>
  <c r="AF398" i="28" s="1"/>
  <c r="R398" i="28"/>
  <c r="V398" i="28" s="1"/>
  <c r="R331" i="28"/>
  <c r="V331" i="28" s="1"/>
  <c r="AB331" i="28"/>
  <c r="AF331" i="28" s="1"/>
  <c r="AB229" i="28"/>
  <c r="AF229" i="28" s="1"/>
  <c r="R229" i="28"/>
  <c r="V229" i="28" s="1"/>
  <c r="AB106" i="28"/>
  <c r="AF106" i="28" s="1"/>
  <c r="R106" i="28"/>
  <c r="V106" i="28" s="1"/>
  <c r="R512" i="28"/>
  <c r="V512" i="28" s="1"/>
  <c r="R366" i="28"/>
  <c r="V366" i="28" s="1"/>
  <c r="R239" i="28"/>
  <c r="V239" i="28" s="1"/>
  <c r="R18" i="28"/>
  <c r="V18" i="28" s="1"/>
  <c r="AB401" i="28"/>
  <c r="AF401" i="28" s="1"/>
  <c r="R401" i="28"/>
  <c r="V401" i="28" s="1"/>
  <c r="AB375" i="28"/>
  <c r="AF375" i="28" s="1"/>
  <c r="R375" i="28"/>
  <c r="V375" i="28" s="1"/>
  <c r="AB363" i="28"/>
  <c r="AF363" i="28" s="1"/>
  <c r="R363" i="28"/>
  <c r="V363" i="28" s="1"/>
  <c r="AB323" i="28"/>
  <c r="AF323" i="28" s="1"/>
  <c r="R323" i="28"/>
  <c r="V323" i="28" s="1"/>
  <c r="AB311" i="28"/>
  <c r="AF311" i="28" s="1"/>
  <c r="R311" i="28"/>
  <c r="V311" i="28" s="1"/>
  <c r="AB287" i="28"/>
  <c r="AF287" i="28" s="1"/>
  <c r="R287" i="28"/>
  <c r="V287" i="28" s="1"/>
  <c r="AB546" i="28"/>
  <c r="AF546" i="28" s="1"/>
  <c r="R546" i="28"/>
  <c r="V546" i="28" s="1"/>
  <c r="AB397" i="28"/>
  <c r="AF397" i="28" s="1"/>
  <c r="R397" i="28"/>
  <c r="V397" i="28" s="1"/>
  <c r="AB365" i="28"/>
  <c r="AF365" i="28" s="1"/>
  <c r="R365" i="28"/>
  <c r="V365" i="28" s="1"/>
  <c r="AB300" i="28"/>
  <c r="AF300" i="28" s="1"/>
  <c r="R300" i="28"/>
  <c r="V300" i="28" s="1"/>
  <c r="AB266" i="28"/>
  <c r="AF266" i="28" s="1"/>
  <c r="R266" i="28"/>
  <c r="V266" i="28" s="1"/>
  <c r="AB228" i="28"/>
  <c r="AF228" i="28" s="1"/>
  <c r="R228" i="28"/>
  <c r="V228" i="28" s="1"/>
  <c r="R143" i="28"/>
  <c r="V143" i="28" s="1"/>
  <c r="AB143" i="28"/>
  <c r="AF143" i="28" s="1"/>
  <c r="AB104" i="28"/>
  <c r="AF104" i="28" s="1"/>
  <c r="R104" i="28"/>
  <c r="V104" i="28" s="1"/>
  <c r="R511" i="28"/>
  <c r="V511" i="28" s="1"/>
  <c r="R362" i="28"/>
  <c r="V362" i="28" s="1"/>
  <c r="R233" i="28"/>
  <c r="V233" i="28" s="1"/>
  <c r="R189" i="28"/>
  <c r="V189" i="28" s="1"/>
  <c r="AB518" i="28"/>
  <c r="AF518" i="28" s="1"/>
  <c r="R518" i="28"/>
  <c r="V518" i="28" s="1"/>
  <c r="AB346" i="28"/>
  <c r="AF346" i="28" s="1"/>
  <c r="R346" i="28"/>
  <c r="V346" i="28" s="1"/>
  <c r="AB334" i="28"/>
  <c r="AF334" i="28" s="1"/>
  <c r="R334" i="28"/>
  <c r="V334" i="28" s="1"/>
  <c r="AB310" i="28"/>
  <c r="AF310" i="28" s="1"/>
  <c r="R310" i="28"/>
  <c r="V310" i="28" s="1"/>
  <c r="AB286" i="28"/>
  <c r="AF286" i="28" s="1"/>
  <c r="R286" i="28"/>
  <c r="V286" i="28" s="1"/>
  <c r="R274" i="28"/>
  <c r="V274" i="28" s="1"/>
  <c r="AB274" i="28"/>
  <c r="AF274" i="28" s="1"/>
  <c r="R247" i="28"/>
  <c r="V247" i="28" s="1"/>
  <c r="AB247" i="28"/>
  <c r="AF247" i="28" s="1"/>
  <c r="AB48" i="28"/>
  <c r="AF48" i="28" s="1"/>
  <c r="R48" i="28"/>
  <c r="V48" i="28" s="1"/>
  <c r="AB545" i="28"/>
  <c r="AF545" i="28" s="1"/>
  <c r="R545" i="28"/>
  <c r="V545" i="28" s="1"/>
  <c r="AB515" i="28"/>
  <c r="AF515" i="28" s="1"/>
  <c r="R515" i="28"/>
  <c r="V515" i="28" s="1"/>
  <c r="AB429" i="28"/>
  <c r="AF429" i="28" s="1"/>
  <c r="R429" i="28"/>
  <c r="V429" i="28" s="1"/>
  <c r="AB395" i="28"/>
  <c r="AF395" i="28" s="1"/>
  <c r="R395" i="28"/>
  <c r="V395" i="28" s="1"/>
  <c r="AB364" i="28"/>
  <c r="AF364" i="28" s="1"/>
  <c r="R364" i="28"/>
  <c r="V364" i="28" s="1"/>
  <c r="AB265" i="28"/>
  <c r="AF265" i="28" s="1"/>
  <c r="R265" i="28"/>
  <c r="V265" i="28" s="1"/>
  <c r="R178" i="28"/>
  <c r="V178" i="28" s="1"/>
  <c r="AB178" i="28"/>
  <c r="AF178" i="28" s="1"/>
  <c r="R142" i="28"/>
  <c r="V142" i="28" s="1"/>
  <c r="AB142" i="28"/>
  <c r="AF142" i="28" s="1"/>
  <c r="AB44" i="28"/>
  <c r="AF44" i="28" s="1"/>
  <c r="R44" i="28"/>
  <c r="V44" i="28" s="1"/>
  <c r="R456" i="28"/>
  <c r="V456" i="28" s="1"/>
  <c r="R410" i="28"/>
  <c r="V410" i="28" s="1"/>
  <c r="R292" i="28"/>
  <c r="V292" i="28" s="1"/>
  <c r="R231" i="28"/>
  <c r="V231" i="28" s="1"/>
  <c r="R141" i="28"/>
  <c r="V141" i="28" s="1"/>
  <c r="AB493" i="28"/>
  <c r="AF493" i="28" s="1"/>
  <c r="R493" i="28"/>
  <c r="V493" i="28" s="1"/>
  <c r="AB134" i="28"/>
  <c r="AF134" i="28" s="1"/>
  <c r="R134" i="28"/>
  <c r="V134" i="28" s="1"/>
  <c r="AB68" i="28"/>
  <c r="AF68" i="28" s="1"/>
  <c r="R68" i="28"/>
  <c r="V68" i="28" s="1"/>
  <c r="AB487" i="28"/>
  <c r="AF487" i="28" s="1"/>
  <c r="R487" i="28"/>
  <c r="V487" i="28" s="1"/>
  <c r="AB427" i="28"/>
  <c r="AF427" i="28" s="1"/>
  <c r="R427" i="28"/>
  <c r="V427" i="28" s="1"/>
  <c r="AB394" i="28"/>
  <c r="AF394" i="28" s="1"/>
  <c r="R394" i="28"/>
  <c r="V394" i="28" s="1"/>
  <c r="AB297" i="28"/>
  <c r="AF297" i="28" s="1"/>
  <c r="R297" i="28"/>
  <c r="V297" i="28" s="1"/>
  <c r="AB262" i="28"/>
  <c r="AF262" i="28" s="1"/>
  <c r="R262" i="28"/>
  <c r="V262" i="28" s="1"/>
  <c r="AB176" i="28"/>
  <c r="AF176" i="28" s="1"/>
  <c r="R176" i="28"/>
  <c r="V176" i="28" s="1"/>
  <c r="AB93" i="28"/>
  <c r="AF93" i="28" s="1"/>
  <c r="R93" i="28"/>
  <c r="V93" i="28" s="1"/>
  <c r="R548" i="28"/>
  <c r="V548" i="28" s="1"/>
  <c r="R227" i="28"/>
  <c r="V227" i="28" s="1"/>
  <c r="R140" i="28"/>
  <c r="V140" i="28" s="1"/>
  <c r="R105" i="28"/>
  <c r="V105" i="28" s="1"/>
  <c r="R483" i="28"/>
  <c r="V483" i="28" s="1"/>
  <c r="AB483" i="28"/>
  <c r="AF483" i="28" s="1"/>
  <c r="AB505" i="28"/>
  <c r="AF505" i="28" s="1"/>
  <c r="R505" i="28"/>
  <c r="V505" i="28" s="1"/>
  <c r="AB182" i="28"/>
  <c r="AF182" i="28" s="1"/>
  <c r="R182" i="28"/>
  <c r="V182" i="28" s="1"/>
  <c r="AB46" i="28"/>
  <c r="AF46" i="28" s="1"/>
  <c r="R46" i="28"/>
  <c r="V46" i="28" s="1"/>
  <c r="AB540" i="28"/>
  <c r="AF540" i="28" s="1"/>
  <c r="R540" i="28"/>
  <c r="V540" i="28" s="1"/>
  <c r="AB219" i="28"/>
  <c r="AF219" i="28" s="1"/>
  <c r="R219" i="28"/>
  <c r="V219" i="28" s="1"/>
  <c r="AB97" i="28"/>
  <c r="AF97" i="28" s="1"/>
  <c r="R97" i="28"/>
  <c r="V97" i="28" s="1"/>
  <c r="AB455" i="28"/>
  <c r="AF455" i="28" s="1"/>
  <c r="R455" i="28"/>
  <c r="V455" i="28" s="1"/>
  <c r="AB529" i="28"/>
  <c r="AF529" i="28" s="1"/>
  <c r="R437" i="28"/>
  <c r="V437" i="28" s="1"/>
  <c r="AB437" i="28"/>
  <c r="AF437" i="28" s="1"/>
  <c r="R506" i="28"/>
  <c r="V506" i="28" s="1"/>
  <c r="AB506" i="28"/>
  <c r="AF506" i="28" s="1"/>
  <c r="AB212" i="28"/>
  <c r="AF212" i="28" s="1"/>
  <c r="R212" i="28"/>
  <c r="V212" i="28" s="1"/>
  <c r="AB495" i="28"/>
  <c r="AF495" i="28" s="1"/>
  <c r="R495" i="28"/>
  <c r="V495" i="28" s="1"/>
  <c r="R449" i="28"/>
  <c r="V449" i="28" s="1"/>
  <c r="AB449" i="28"/>
  <c r="AF449" i="28" s="1"/>
  <c r="AB517" i="28"/>
  <c r="AF517" i="28" s="1"/>
  <c r="R517" i="28"/>
  <c r="V517" i="28" s="1"/>
  <c r="AB270" i="28"/>
  <c r="AF270" i="28" s="1"/>
  <c r="R270" i="28"/>
  <c r="V270" i="28" s="1"/>
  <c r="AB504" i="28"/>
  <c r="AF504" i="28" s="1"/>
  <c r="R504" i="28"/>
  <c r="V504" i="28" s="1"/>
  <c r="AB257" i="28"/>
  <c r="AF257" i="28" s="1"/>
  <c r="R257" i="28"/>
  <c r="V257" i="28" s="1"/>
  <c r="AB169" i="28"/>
  <c r="AF169" i="28" s="1"/>
  <c r="R169" i="28"/>
  <c r="V169" i="28" s="1"/>
  <c r="AB145" i="28"/>
  <c r="AF145" i="28" s="1"/>
  <c r="R145" i="28"/>
  <c r="V145" i="28" s="1"/>
  <c r="AB109" i="28"/>
  <c r="AF109" i="28" s="1"/>
  <c r="R109" i="28"/>
  <c r="V109" i="28" s="1"/>
  <c r="AB45" i="28"/>
  <c r="AF45" i="28" s="1"/>
  <c r="R45" i="28"/>
  <c r="V45" i="28" s="1"/>
  <c r="AB348" i="28"/>
  <c r="AF348" i="28" s="1"/>
  <c r="R348" i="28"/>
  <c r="V348" i="28" s="1"/>
  <c r="AB261" i="28"/>
  <c r="AF261" i="28" s="1"/>
  <c r="R261" i="28"/>
  <c r="V261" i="28" s="1"/>
  <c r="AB268" i="28"/>
  <c r="AF268" i="28" s="1"/>
  <c r="R268" i="28"/>
  <c r="V268" i="28" s="1"/>
  <c r="AB243" i="28"/>
  <c r="AF243" i="28" s="1"/>
  <c r="R243" i="28"/>
  <c r="V243" i="28" s="1"/>
  <c r="AB204" i="28"/>
  <c r="AF204" i="28" s="1"/>
  <c r="R204" i="28"/>
  <c r="V204" i="28" s="1"/>
  <c r="AB180" i="28"/>
  <c r="AF180" i="28" s="1"/>
  <c r="R180" i="28"/>
  <c r="V180" i="28" s="1"/>
  <c r="AB96" i="28"/>
  <c r="AF96" i="28" s="1"/>
  <c r="R96" i="28"/>
  <c r="V96" i="28" s="1"/>
  <c r="AB65" i="28"/>
  <c r="AF65" i="28" s="1"/>
  <c r="R65" i="28"/>
  <c r="V65" i="28" s="1"/>
  <c r="AB454" i="28"/>
  <c r="AF454" i="28" s="1"/>
  <c r="R454" i="28"/>
  <c r="V454" i="28" s="1"/>
  <c r="R209" i="28"/>
  <c r="V209" i="28" s="1"/>
  <c r="AB209" i="28"/>
  <c r="AF209" i="28" s="1"/>
  <c r="R386" i="28"/>
  <c r="V386" i="28" s="1"/>
  <c r="AB386" i="28"/>
  <c r="AF386" i="28" s="1"/>
  <c r="AB333" i="28"/>
  <c r="AF333" i="28" s="1"/>
  <c r="R333" i="28"/>
  <c r="V333" i="28" s="1"/>
  <c r="AB309" i="28"/>
  <c r="AF309" i="28" s="1"/>
  <c r="R309" i="28"/>
  <c r="V309" i="28" s="1"/>
  <c r="R149" i="28"/>
  <c r="V149" i="28" s="1"/>
  <c r="AB149" i="28"/>
  <c r="AF149" i="28" s="1"/>
  <c r="AB305" i="28"/>
  <c r="AF305" i="28" s="1"/>
  <c r="R305" i="28"/>
  <c r="V305" i="28" s="1"/>
  <c r="AB20" i="28"/>
  <c r="AF20" i="28" s="1"/>
  <c r="R20" i="28"/>
  <c r="V20" i="28" s="1"/>
  <c r="AB434" i="28"/>
  <c r="AF434" i="28" s="1"/>
  <c r="R434" i="28"/>
  <c r="V434" i="28" s="1"/>
  <c r="AB372" i="28"/>
  <c r="AF372" i="28" s="1"/>
  <c r="R372" i="28"/>
  <c r="V372" i="28" s="1"/>
  <c r="AB344" i="28"/>
  <c r="AF344" i="28" s="1"/>
  <c r="R344" i="28"/>
  <c r="V344" i="28" s="1"/>
  <c r="R332" i="28"/>
  <c r="V332" i="28" s="1"/>
  <c r="AB332" i="28"/>
  <c r="AF332" i="28" s="1"/>
  <c r="AB308" i="28"/>
  <c r="AF308" i="28" s="1"/>
  <c r="R308" i="28"/>
  <c r="V308" i="28" s="1"/>
  <c r="AB260" i="28"/>
  <c r="AF260" i="28" s="1"/>
  <c r="R260" i="28"/>
  <c r="V260" i="28" s="1"/>
  <c r="AB222" i="28"/>
  <c r="AF222" i="28" s="1"/>
  <c r="R222" i="28"/>
  <c r="V222" i="28" s="1"/>
  <c r="AB196" i="28"/>
  <c r="AF196" i="28" s="1"/>
  <c r="R196" i="28"/>
  <c r="V196" i="28" s="1"/>
  <c r="AB184" i="28"/>
  <c r="AF184" i="28" s="1"/>
  <c r="R184" i="28"/>
  <c r="V184" i="28" s="1"/>
  <c r="AB172" i="28"/>
  <c r="AF172" i="28" s="1"/>
  <c r="R172" i="28"/>
  <c r="V172" i="28" s="1"/>
  <c r="AB148" i="28"/>
  <c r="AF148" i="28" s="1"/>
  <c r="R148" i="28"/>
  <c r="V148" i="28" s="1"/>
  <c r="AB136" i="28"/>
  <c r="AF136" i="28" s="1"/>
  <c r="R136" i="28"/>
  <c r="V136" i="28" s="1"/>
  <c r="AB112" i="28"/>
  <c r="AF112" i="28" s="1"/>
  <c r="R112" i="28"/>
  <c r="V112" i="28" s="1"/>
  <c r="AB100" i="28"/>
  <c r="AF100" i="28" s="1"/>
  <c r="R100" i="28"/>
  <c r="V100" i="28" s="1"/>
  <c r="AB25" i="28"/>
  <c r="AF25" i="28" s="1"/>
  <c r="R25" i="28"/>
  <c r="V25" i="28" s="1"/>
  <c r="AB13" i="28"/>
  <c r="AF13" i="28" s="1"/>
  <c r="R13" i="28"/>
  <c r="V13" i="28" s="1"/>
  <c r="AB499" i="28"/>
  <c r="AF499" i="28" s="1"/>
  <c r="R499" i="28"/>
  <c r="V499" i="28" s="1"/>
  <c r="AB355" i="28"/>
  <c r="AF355" i="28" s="1"/>
  <c r="R355" i="28"/>
  <c r="V355" i="28" s="1"/>
  <c r="AB329" i="28"/>
  <c r="AF329" i="28" s="1"/>
  <c r="R329" i="28"/>
  <c r="V329" i="28" s="1"/>
  <c r="R277" i="28"/>
  <c r="V277" i="28" s="1"/>
  <c r="AB277" i="28"/>
  <c r="AF277" i="28" s="1"/>
  <c r="AB88" i="28"/>
  <c r="AF88" i="28" s="1"/>
  <c r="R88" i="28"/>
  <c r="V88" i="28" s="1"/>
  <c r="R396" i="28"/>
  <c r="V396" i="28" s="1"/>
  <c r="AB523" i="28"/>
  <c r="AF523" i="28" s="1"/>
  <c r="R523" i="28"/>
  <c r="V523" i="28" s="1"/>
  <c r="AB236" i="28"/>
  <c r="AF236" i="28" s="1"/>
  <c r="R236" i="28"/>
  <c r="V236" i="28" s="1"/>
  <c r="AB137" i="28"/>
  <c r="AF137" i="28" s="1"/>
  <c r="R137" i="28"/>
  <c r="V137" i="28" s="1"/>
  <c r="AB101" i="28"/>
  <c r="AF101" i="28" s="1"/>
  <c r="R101" i="28"/>
  <c r="V101" i="28" s="1"/>
  <c r="AB14" i="28"/>
  <c r="AF14" i="28" s="1"/>
  <c r="R14" i="28"/>
  <c r="V14" i="28" s="1"/>
  <c r="AB522" i="28"/>
  <c r="AF522" i="28" s="1"/>
  <c r="R522" i="28"/>
  <c r="V522" i="28" s="1"/>
  <c r="AB459" i="28"/>
  <c r="AF459" i="28" s="1"/>
  <c r="R459" i="28"/>
  <c r="V459" i="28" s="1"/>
  <c r="R533" i="28"/>
  <c r="V533" i="28" s="1"/>
  <c r="AB533" i="28"/>
  <c r="AF533" i="28" s="1"/>
  <c r="R509" i="28"/>
  <c r="V509" i="28" s="1"/>
  <c r="AB509" i="28"/>
  <c r="AF509" i="28" s="1"/>
  <c r="AB445" i="28"/>
  <c r="AF445" i="28" s="1"/>
  <c r="R445" i="28"/>
  <c r="V445" i="28" s="1"/>
  <c r="AB357" i="28"/>
  <c r="AF357" i="28" s="1"/>
  <c r="R357" i="28"/>
  <c r="V357" i="28" s="1"/>
  <c r="AB307" i="28"/>
  <c r="AF307" i="28" s="1"/>
  <c r="R307" i="28"/>
  <c r="V307" i="28" s="1"/>
  <c r="AB283" i="28"/>
  <c r="AF283" i="28" s="1"/>
  <c r="R283" i="28"/>
  <c r="V283" i="28" s="1"/>
  <c r="AB259" i="28"/>
  <c r="AF259" i="28" s="1"/>
  <c r="R259" i="28"/>
  <c r="V259" i="28" s="1"/>
  <c r="AB234" i="28"/>
  <c r="AF234" i="28" s="1"/>
  <c r="R234" i="28"/>
  <c r="V234" i="28" s="1"/>
  <c r="AB221" i="28"/>
  <c r="AF221" i="28" s="1"/>
  <c r="R221" i="28"/>
  <c r="V221" i="28" s="1"/>
  <c r="AB24" i="28"/>
  <c r="AF24" i="28" s="1"/>
  <c r="R24" i="28"/>
  <c r="V24" i="28" s="1"/>
  <c r="R301" i="28"/>
  <c r="V301" i="28" s="1"/>
  <c r="AB301" i="28"/>
  <c r="AF301" i="28" s="1"/>
  <c r="AB179" i="28"/>
  <c r="AF179" i="28" s="1"/>
  <c r="R179" i="28"/>
  <c r="V179" i="28" s="1"/>
  <c r="AB267" i="28"/>
  <c r="AF267" i="28" s="1"/>
  <c r="R267" i="28"/>
  <c r="V267" i="28" s="1"/>
  <c r="AB217" i="28"/>
  <c r="AF217" i="28" s="1"/>
  <c r="R217" i="28"/>
  <c r="V217" i="28" s="1"/>
  <c r="AB49" i="28"/>
  <c r="AF49" i="28" s="1"/>
  <c r="R49" i="28"/>
  <c r="V49" i="28" s="1"/>
  <c r="AB373" i="28"/>
  <c r="AF373" i="28" s="1"/>
  <c r="R373" i="28"/>
  <c r="V373" i="28" s="1"/>
  <c r="AB343" i="28"/>
  <c r="AF343" i="28" s="1"/>
  <c r="R343" i="28"/>
  <c r="V343" i="28" s="1"/>
  <c r="AB321" i="28"/>
  <c r="AF321" i="28" s="1"/>
  <c r="R321" i="28"/>
  <c r="V321" i="28" s="1"/>
  <c r="AB173" i="28"/>
  <c r="AF173" i="28" s="1"/>
  <c r="R173" i="28"/>
  <c r="V173" i="28" s="1"/>
  <c r="AB107" i="28"/>
  <c r="AF107" i="28" s="1"/>
  <c r="R107" i="28"/>
  <c r="V107" i="28" s="1"/>
  <c r="R291" i="28"/>
  <c r="V291" i="28" s="1"/>
  <c r="AB124" i="28"/>
  <c r="AF124" i="28" s="1"/>
  <c r="R124" i="28"/>
  <c r="V124" i="28" s="1"/>
  <c r="AB35" i="28"/>
  <c r="AF35" i="28" s="1"/>
  <c r="R35" i="28"/>
  <c r="V35" i="28" s="1"/>
  <c r="AB240" i="28"/>
  <c r="AF240" i="28" s="1"/>
  <c r="R240" i="28"/>
  <c r="V240" i="28" s="1"/>
  <c r="AB293" i="28"/>
  <c r="AF293" i="28" s="1"/>
  <c r="R293" i="28"/>
  <c r="V293" i="28" s="1"/>
  <c r="AB269" i="28"/>
  <c r="AF269" i="28" s="1"/>
  <c r="R269" i="28"/>
  <c r="V269" i="28" s="1"/>
  <c r="AB220" i="28"/>
  <c r="AF220" i="28" s="1"/>
  <c r="R220" i="28"/>
  <c r="V220" i="28" s="1"/>
  <c r="AB195" i="28"/>
  <c r="AF195" i="28" s="1"/>
  <c r="R195" i="28"/>
  <c r="V195" i="28" s="1"/>
  <c r="AB171" i="28"/>
  <c r="AF171" i="28" s="1"/>
  <c r="R171" i="28"/>
  <c r="V171" i="28" s="1"/>
  <c r="AB123" i="28"/>
  <c r="AF123" i="28" s="1"/>
  <c r="R123" i="28"/>
  <c r="V123" i="28" s="1"/>
  <c r="AB99" i="28"/>
  <c r="AF99" i="28" s="1"/>
  <c r="R99" i="28"/>
  <c r="V99" i="28" s="1"/>
  <c r="AB203" i="28"/>
  <c r="AF203" i="28" s="1"/>
  <c r="R539" i="28"/>
  <c r="V539" i="28" s="1"/>
  <c r="R8" i="28"/>
  <c r="V8" i="28" s="1"/>
  <c r="AB253" i="28"/>
  <c r="AF253" i="28" s="1"/>
  <c r="R253" i="28"/>
  <c r="V253" i="28" s="1"/>
  <c r="AB9" i="28"/>
  <c r="AF9" i="28" s="1"/>
  <c r="AB415" i="28"/>
  <c r="AF415" i="28" s="1"/>
  <c r="AB337" i="28"/>
  <c r="AF337" i="28" s="1"/>
  <c r="R337" i="28"/>
  <c r="V337" i="28" s="1"/>
  <c r="AB119" i="28"/>
  <c r="AF119" i="28" s="1"/>
  <c r="AB95" i="28"/>
  <c r="AF95" i="28" s="1"/>
  <c r="R87" i="28"/>
  <c r="V87" i="28" s="1"/>
  <c r="AB252" i="28"/>
  <c r="AF252" i="28" s="1"/>
  <c r="AB439" i="28"/>
  <c r="AF439" i="28" s="1"/>
  <c r="AB341" i="28"/>
  <c r="AF341" i="28" s="1"/>
  <c r="R341" i="28"/>
  <c r="V341" i="28" s="1"/>
  <c r="AB325" i="28"/>
  <c r="AF325" i="28" s="1"/>
  <c r="R325" i="28"/>
  <c r="V325" i="28" s="1"/>
  <c r="R155" i="28"/>
  <c r="V155" i="28" s="1"/>
  <c r="AB407" i="28"/>
  <c r="AF407" i="28" s="1"/>
  <c r="AB66" i="28"/>
  <c r="AF66" i="28" s="1"/>
  <c r="R223" i="28"/>
  <c r="V223" i="28" s="1"/>
  <c r="R187" i="28"/>
  <c r="V187" i="28" s="1"/>
  <c r="T103" i="9" l="1"/>
  <c r="S82" i="26"/>
  <c r="S130" i="26" l="1"/>
  <c r="R130" i="26"/>
  <c r="S114" i="26"/>
  <c r="R112" i="26"/>
  <c r="R110" i="26"/>
  <c r="R108" i="26"/>
  <c r="R106" i="26"/>
  <c r="R104" i="26"/>
  <c r="R102" i="26"/>
  <c r="R100" i="26"/>
  <c r="R98" i="26"/>
  <c r="S94" i="26"/>
  <c r="R91" i="26"/>
  <c r="R89" i="26"/>
  <c r="R87" i="26"/>
  <c r="R85" i="26"/>
  <c r="S83" i="26"/>
  <c r="R80" i="26"/>
  <c r="R78" i="26"/>
  <c r="R83" i="26" s="1"/>
  <c r="S75" i="26"/>
  <c r="R73" i="26"/>
  <c r="R71" i="26"/>
  <c r="R69" i="26"/>
  <c r="R67" i="26"/>
  <c r="R65" i="26"/>
  <c r="R63" i="26"/>
  <c r="R61" i="26"/>
  <c r="R59" i="26"/>
  <c r="R54" i="26"/>
  <c r="R52" i="26"/>
  <c r="S50" i="26"/>
  <c r="S57" i="26" s="1"/>
  <c r="R48" i="26"/>
  <c r="R50" i="26" s="1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S18" i="26" s="1"/>
  <c r="R11" i="26"/>
  <c r="R9" i="26"/>
  <c r="R94" i="26" l="1"/>
  <c r="R82" i="26"/>
  <c r="R114" i="26"/>
  <c r="R75" i="26"/>
  <c r="R45" i="26"/>
  <c r="R12" i="26"/>
  <c r="R18" i="26" s="1"/>
  <c r="S13" i="26"/>
  <c r="S19" i="26"/>
  <c r="R57" i="26"/>
  <c r="R51" i="26"/>
  <c r="R56" i="26"/>
  <c r="S56" i="26"/>
  <c r="S51" i="26"/>
  <c r="U110" i="17"/>
  <c r="R19" i="26" l="1"/>
  <c r="R13" i="26"/>
  <c r="S37" i="27"/>
  <c r="S35" i="27"/>
  <c r="S27" i="27"/>
  <c r="S29" i="27"/>
  <c r="S28" i="27"/>
  <c r="S20" i="27"/>
  <c r="S19" i="27"/>
  <c r="S18" i="27"/>
  <c r="S36" i="27" l="1"/>
  <c r="S39" i="27" s="1"/>
  <c r="R36" i="27"/>
  <c r="R39" i="27" s="1"/>
  <c r="R27" i="27"/>
  <c r="R33" i="27" s="1"/>
  <c r="S26" i="27"/>
  <c r="S33" i="27" s="1"/>
  <c r="S22" i="27"/>
  <c r="S21" i="27"/>
  <c r="S24" i="27" s="1"/>
  <c r="R21" i="27"/>
  <c r="R20" i="27"/>
  <c r="R19" i="27"/>
  <c r="R18" i="27"/>
  <c r="R24" i="27" l="1"/>
  <c r="R117" i="17"/>
  <c r="R115" i="17"/>
  <c r="R119" i="17" s="1"/>
  <c r="S87" i="17"/>
  <c r="R87" i="17"/>
  <c r="S86" i="17"/>
  <c r="R86" i="17"/>
  <c r="S85" i="17"/>
  <c r="R85" i="17"/>
  <c r="S84" i="17"/>
  <c r="R84" i="17"/>
  <c r="S83" i="17"/>
  <c r="R83" i="17"/>
  <c r="S79" i="17"/>
  <c r="R79" i="17"/>
  <c r="S74" i="17"/>
  <c r="R74" i="17"/>
  <c r="S67" i="17"/>
  <c r="S69" i="17" s="1"/>
  <c r="R67" i="17"/>
  <c r="R69" i="17" s="1"/>
  <c r="R61" i="17"/>
  <c r="S59" i="17"/>
  <c r="S60" i="17" s="1"/>
  <c r="R58" i="17"/>
  <c r="R57" i="17"/>
  <c r="R55" i="17"/>
  <c r="S52" i="17"/>
  <c r="S53" i="17" s="1"/>
  <c r="R52" i="17"/>
  <c r="S49" i="17"/>
  <c r="R48" i="17"/>
  <c r="S47" i="17"/>
  <c r="R46" i="17"/>
  <c r="S44" i="17"/>
  <c r="S45" i="17" s="1"/>
  <c r="R44" i="17"/>
  <c r="S43" i="17"/>
  <c r="S41" i="17"/>
  <c r="S39" i="17"/>
  <c r="S26" i="17"/>
  <c r="R26" i="17"/>
  <c r="S22" i="17"/>
  <c r="S16" i="17" s="1"/>
  <c r="R21" i="17"/>
  <c r="R22" i="17" s="1"/>
  <c r="R31" i="17" s="1"/>
  <c r="R19" i="17"/>
  <c r="R18" i="17"/>
  <c r="R16" i="17"/>
  <c r="R30" i="17" s="1"/>
  <c r="R15" i="17"/>
  <c r="S14" i="17"/>
  <c r="S12" i="17"/>
  <c r="R11" i="17"/>
  <c r="S9" i="17"/>
  <c r="S116" i="17" s="1"/>
  <c r="R9" i="17"/>
  <c r="R33" i="17" l="1"/>
  <c r="S11" i="17"/>
  <c r="S13" i="17"/>
  <c r="S15" i="17" s="1"/>
  <c r="R59" i="17"/>
  <c r="R62" i="17" s="1"/>
  <c r="R50" i="17"/>
  <c r="R114" i="17" s="1"/>
  <c r="S62" i="17"/>
  <c r="R116" i="17"/>
  <c r="S30" i="17"/>
  <c r="S32" i="17"/>
  <c r="S31" i="17"/>
  <c r="S34" i="17"/>
  <c r="S33" i="17"/>
  <c r="S117" i="17"/>
  <c r="R34" i="17"/>
  <c r="S50" i="17"/>
  <c r="R32" i="17"/>
  <c r="T17" i="49"/>
  <c r="T18" i="49" s="1"/>
  <c r="T11" i="49"/>
  <c r="S11" i="49"/>
  <c r="T9" i="49"/>
  <c r="T8" i="49"/>
  <c r="R60" i="17" l="1"/>
  <c r="R118" i="17"/>
  <c r="R54" i="17"/>
  <c r="S54" i="17"/>
  <c r="S114" i="17"/>
  <c r="S118" i="17" s="1"/>
  <c r="S51" i="17"/>
  <c r="S55" i="17" l="1"/>
  <c r="S115" i="17"/>
  <c r="S119" i="17" s="1"/>
  <c r="S121" i="90"/>
  <c r="S116" i="90"/>
  <c r="S111" i="90"/>
  <c r="S110" i="90"/>
  <c r="S109" i="90"/>
  <c r="S108" i="90"/>
  <c r="S107" i="90"/>
  <c r="S106" i="90"/>
  <c r="S99" i="90"/>
  <c r="S90" i="90"/>
  <c r="S114" i="90" l="1"/>
  <c r="S126" i="90"/>
  <c r="S30" i="15"/>
  <c r="S29" i="15"/>
  <c r="S28" i="15"/>
  <c r="S24" i="15"/>
  <c r="S23" i="15"/>
  <c r="S22" i="15"/>
  <c r="S21" i="15"/>
  <c r="S20" i="15"/>
  <c r="R18" i="15"/>
  <c r="S17" i="15"/>
  <c r="S14" i="15"/>
  <c r="R11" i="15"/>
  <c r="R12" i="15" s="1"/>
  <c r="S10" i="15"/>
  <c r="S9" i="15"/>
  <c r="R9" i="15"/>
  <c r="S8" i="15"/>
  <c r="R8" i="15"/>
  <c r="S7" i="15"/>
  <c r="S6" i="15"/>
  <c r="S5" i="15"/>
  <c r="U4" i="50"/>
  <c r="U5" i="50"/>
  <c r="U6" i="50"/>
  <c r="U7" i="50"/>
  <c r="U8" i="50"/>
  <c r="U9" i="50"/>
  <c r="U10" i="50"/>
  <c r="U11" i="50"/>
  <c r="U12" i="50"/>
  <c r="U13" i="50"/>
  <c r="U14" i="50"/>
  <c r="U15" i="50"/>
  <c r="U16" i="50"/>
  <c r="U17" i="50"/>
  <c r="U18" i="50"/>
  <c r="U19" i="50"/>
  <c r="U20" i="50"/>
  <c r="U21" i="50"/>
  <c r="U22" i="50"/>
  <c r="U23" i="50"/>
  <c r="U24" i="50"/>
  <c r="U25" i="50"/>
  <c r="U26" i="50"/>
  <c r="U27" i="50"/>
  <c r="U29" i="50"/>
  <c r="U30" i="50"/>
  <c r="U31" i="50"/>
  <c r="U32" i="50"/>
  <c r="U33" i="50"/>
  <c r="U34" i="50"/>
  <c r="U35" i="50"/>
  <c r="U36" i="50"/>
  <c r="U37" i="50"/>
  <c r="U38" i="50"/>
  <c r="U40" i="50"/>
  <c r="U41" i="50"/>
  <c r="U42" i="50"/>
  <c r="U43" i="50"/>
  <c r="U44" i="50"/>
  <c r="U45" i="50"/>
  <c r="U46" i="50"/>
  <c r="U48" i="50"/>
  <c r="U49" i="50"/>
  <c r="U50" i="50"/>
  <c r="U51" i="50"/>
  <c r="U52" i="50"/>
  <c r="U53" i="50"/>
  <c r="U54" i="50"/>
  <c r="U79" i="50"/>
  <c r="U124" i="50" s="1"/>
  <c r="U91" i="50"/>
  <c r="U134" i="50" s="1"/>
  <c r="U99" i="50"/>
  <c r="U100" i="50"/>
  <c r="U109" i="50"/>
  <c r="U110" i="50"/>
  <c r="U111" i="50"/>
  <c r="U123" i="50"/>
  <c r="U133" i="50"/>
  <c r="U137" i="50"/>
  <c r="U138" i="50"/>
  <c r="U140" i="50"/>
  <c r="O27" i="72"/>
  <c r="S27" i="72" s="1"/>
  <c r="K27" i="72"/>
  <c r="Y27" i="72" s="1"/>
  <c r="K28" i="72"/>
  <c r="Y28" i="72" s="1"/>
  <c r="AU31" i="71"/>
  <c r="AW31" i="71"/>
  <c r="AY31" i="71"/>
  <c r="BA31" i="71"/>
  <c r="CU31" i="71" s="1"/>
  <c r="BE31" i="71"/>
  <c r="BI31" i="71"/>
  <c r="BS31" i="71"/>
  <c r="CC31" i="71" s="1"/>
  <c r="BW31" i="71"/>
  <c r="CA31" i="71"/>
  <c r="CG31" i="71"/>
  <c r="CK31" i="71"/>
  <c r="CO31" i="71"/>
  <c r="X31" i="71"/>
  <c r="AR31" i="71" s="1"/>
  <c r="CQ31" i="71" l="1"/>
  <c r="BC31" i="71"/>
  <c r="BG31" i="71" s="1"/>
  <c r="BK31" i="71" s="1"/>
  <c r="CS31" i="71"/>
  <c r="BO31" i="71"/>
  <c r="BQ31" i="71" s="1"/>
  <c r="BU31" i="71" s="1"/>
  <c r="BY31" i="71" s="1"/>
  <c r="CE31" i="71" s="1"/>
  <c r="CI31" i="71" s="1"/>
  <c r="CM31" i="71" s="1"/>
  <c r="U135" i="50"/>
  <c r="U55" i="50"/>
  <c r="U120" i="50" s="1"/>
  <c r="U47" i="50"/>
  <c r="U116" i="50" s="1"/>
  <c r="U39" i="50"/>
  <c r="U106" i="50" s="1"/>
  <c r="U112" i="50"/>
  <c r="U136" i="50"/>
  <c r="S31" i="15"/>
  <c r="U125" i="50"/>
  <c r="U126" i="50"/>
  <c r="X17" i="71"/>
  <c r="BI7" i="71"/>
  <c r="BI8" i="71"/>
  <c r="BI9" i="71"/>
  <c r="S68" i="90" s="1"/>
  <c r="BI10" i="71"/>
  <c r="BI11" i="71"/>
  <c r="BI12" i="71"/>
  <c r="BI13" i="71"/>
  <c r="BI14" i="71"/>
  <c r="BI15" i="71"/>
  <c r="BI16" i="71"/>
  <c r="BI17" i="71"/>
  <c r="BI18" i="71"/>
  <c r="BI19" i="71"/>
  <c r="S69" i="90" s="1"/>
  <c r="BI20" i="71"/>
  <c r="S70" i="90" s="1"/>
  <c r="BI21" i="71"/>
  <c r="S71" i="90" s="1"/>
  <c r="BI22" i="71"/>
  <c r="S72" i="90" s="1"/>
  <c r="BI23" i="71"/>
  <c r="BI24" i="71"/>
  <c r="BI25" i="71"/>
  <c r="S73" i="90" s="1"/>
  <c r="BI26" i="71"/>
  <c r="BI27" i="71"/>
  <c r="BI28" i="71"/>
  <c r="BI29" i="71"/>
  <c r="BI30" i="71"/>
  <c r="BI32" i="71"/>
  <c r="BI33" i="71"/>
  <c r="BI34" i="71"/>
  <c r="S74" i="90" s="1"/>
  <c r="BI35" i="71"/>
  <c r="S75" i="90" s="1"/>
  <c r="BI36" i="71"/>
  <c r="BI37" i="71"/>
  <c r="BI38" i="71"/>
  <c r="BI39" i="71"/>
  <c r="S76" i="90" s="1"/>
  <c r="BI40" i="71"/>
  <c r="S77" i="90" s="1"/>
  <c r="BI41" i="71"/>
  <c r="S78" i="90" s="1"/>
  <c r="BI42" i="71"/>
  <c r="BI43" i="71"/>
  <c r="S79" i="90" s="1"/>
  <c r="BI44" i="71"/>
  <c r="S80" i="90" s="1"/>
  <c r="BI45" i="71"/>
  <c r="S81" i="90" s="1"/>
  <c r="BI46" i="71"/>
  <c r="S82" i="90" s="1"/>
  <c r="BI47" i="71"/>
  <c r="S83" i="90" s="1"/>
  <c r="BI48" i="71"/>
  <c r="BI49" i="71"/>
  <c r="BI50" i="71"/>
  <c r="BI51" i="71"/>
  <c r="S84" i="90" s="1"/>
  <c r="BI52" i="71"/>
  <c r="BF177" i="45"/>
  <c r="BD177" i="45"/>
  <c r="BB177" i="45"/>
  <c r="BA177" i="45"/>
  <c r="AZ177" i="45"/>
  <c r="AX177" i="45"/>
  <c r="AW177" i="45"/>
  <c r="AV177" i="45"/>
  <c r="AT177" i="45"/>
  <c r="AS177" i="45"/>
  <c r="AR177" i="45"/>
  <c r="AP177" i="45"/>
  <c r="AN177" i="45"/>
  <c r="AM177" i="45"/>
  <c r="AL177" i="45"/>
  <c r="AJ177" i="45"/>
  <c r="AI177" i="45"/>
  <c r="AH177" i="45"/>
  <c r="AF177" i="45"/>
  <c r="AE177" i="45"/>
  <c r="AD177" i="45"/>
  <c r="AB177" i="45"/>
  <c r="Z177" i="45"/>
  <c r="V177" i="45"/>
  <c r="T177" i="45"/>
  <c r="R177" i="45"/>
  <c r="Q177" i="45"/>
  <c r="P177" i="45"/>
  <c r="N177" i="45"/>
  <c r="M177" i="45"/>
  <c r="L177" i="45"/>
  <c r="J177" i="45"/>
  <c r="I177" i="45"/>
  <c r="H177" i="45"/>
  <c r="G177" i="45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60" i="38"/>
  <c r="X59" i="38"/>
  <c r="X58" i="38"/>
  <c r="X57" i="38"/>
  <c r="X56" i="38"/>
  <c r="W55" i="38"/>
  <c r="W53" i="38"/>
  <c r="X52" i="38"/>
  <c r="W52" i="38"/>
  <c r="W47" i="38"/>
  <c r="W46" i="38"/>
  <c r="W45" i="38"/>
  <c r="W44" i="38"/>
  <c r="X43" i="38"/>
  <c r="X92" i="38" s="1"/>
  <c r="W42" i="38"/>
  <c r="X41" i="38"/>
  <c r="W41" i="38"/>
  <c r="W39" i="38"/>
  <c r="W38" i="38"/>
  <c r="W37" i="38"/>
  <c r="W36" i="38"/>
  <c r="W35" i="38" s="1"/>
  <c r="X35" i="38"/>
  <c r="X84" i="38" s="1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X19" i="38"/>
  <c r="W15" i="38"/>
  <c r="W14" i="38"/>
  <c r="X13" i="38"/>
  <c r="X62" i="38" s="1"/>
  <c r="W12" i="38"/>
  <c r="W11" i="38"/>
  <c r="W10" i="38"/>
  <c r="W9" i="38"/>
  <c r="W8" i="38"/>
  <c r="W7" i="38"/>
  <c r="X6" i="38"/>
  <c r="W43" i="38" l="1"/>
  <c r="W89" i="38"/>
  <c r="W13" i="38"/>
  <c r="X40" i="38"/>
  <c r="X89" i="38" s="1"/>
  <c r="X18" i="38"/>
  <c r="X17" i="38" s="1"/>
  <c r="X66" i="38" s="1"/>
  <c r="U92" i="50"/>
  <c r="W67" i="38"/>
  <c r="X90" i="38"/>
  <c r="X16" i="38"/>
  <c r="X65" i="38" s="1"/>
  <c r="X55" i="38"/>
  <c r="W40" i="38"/>
  <c r="W19" i="38"/>
  <c r="W18" i="38" s="1"/>
  <c r="W65" i="38"/>
  <c r="W6" i="38"/>
  <c r="W16" i="38" s="1"/>
  <c r="X68" i="38"/>
  <c r="W17" i="38" l="1"/>
  <c r="X67" i="38"/>
  <c r="W66" i="38"/>
  <c r="W98" i="38"/>
  <c r="W49" i="38"/>
  <c r="X49" i="38"/>
  <c r="X98" i="38"/>
  <c r="T28" i="22" l="1"/>
  <c r="T24" i="22"/>
  <c r="T26" i="22" s="1"/>
  <c r="T23" i="22"/>
  <c r="T14" i="22"/>
  <c r="T10" i="22"/>
  <c r="T12" i="22" s="1"/>
  <c r="T9" i="22"/>
  <c r="S72" i="45"/>
  <c r="S86" i="45"/>
  <c r="W86" i="45" s="1"/>
  <c r="S89" i="45"/>
  <c r="W89" i="45" s="1"/>
  <c r="W72" i="45" l="1"/>
  <c r="N19" i="11"/>
  <c r="R19" i="11" l="1"/>
  <c r="V19" i="11" s="1"/>
  <c r="AB19" i="11"/>
  <c r="U126" i="45"/>
  <c r="U157" i="45"/>
  <c r="U156" i="45"/>
  <c r="U154" i="45"/>
  <c r="U148" i="45"/>
  <c r="U155" i="45" s="1"/>
  <c r="U143" i="45"/>
  <c r="T143" i="45"/>
  <c r="U142" i="45"/>
  <c r="T142" i="45"/>
  <c r="U141" i="45"/>
  <c r="T141" i="45"/>
  <c r="U140" i="45"/>
  <c r="T140" i="45"/>
  <c r="U138" i="45"/>
  <c r="T138" i="45"/>
  <c r="U136" i="45"/>
  <c r="T136" i="45"/>
  <c r="U134" i="45"/>
  <c r="T134" i="45"/>
  <c r="U131" i="45"/>
  <c r="U132" i="45" s="1"/>
  <c r="T131" i="45"/>
  <c r="T132" i="45" s="1"/>
  <c r="U109" i="45"/>
  <c r="U159" i="45" s="1"/>
  <c r="U108" i="45"/>
  <c r="T108" i="45"/>
  <c r="T144" i="45" s="1"/>
  <c r="U107" i="45"/>
  <c r="U158" i="45" s="1"/>
  <c r="T91" i="11"/>
  <c r="T89" i="11"/>
  <c r="T83" i="11"/>
  <c r="T84" i="11" s="1"/>
  <c r="T78" i="11"/>
  <c r="S78" i="11"/>
  <c r="T77" i="11"/>
  <c r="S77" i="11"/>
  <c r="T76" i="11"/>
  <c r="S76" i="11"/>
  <c r="T75" i="11"/>
  <c r="S75" i="11"/>
  <c r="T73" i="11"/>
  <c r="S73" i="11"/>
  <c r="T71" i="11"/>
  <c r="S71" i="11"/>
  <c r="T69" i="11"/>
  <c r="S69" i="11"/>
  <c r="S67" i="11"/>
  <c r="T66" i="11"/>
  <c r="T67" i="11" s="1"/>
  <c r="S66" i="11"/>
  <c r="T64" i="11"/>
  <c r="T61" i="11" s="1"/>
  <c r="T59" i="11"/>
  <c r="T57" i="11"/>
  <c r="T85" i="11" s="1"/>
  <c r="T56" i="11"/>
  <c r="S56" i="11"/>
  <c r="S58" i="11" s="1"/>
  <c r="T55" i="11"/>
  <c r="T92" i="11" s="1"/>
  <c r="T190" i="10"/>
  <c r="T188" i="10"/>
  <c r="T182" i="10"/>
  <c r="T183" i="10" s="1"/>
  <c r="T177" i="10"/>
  <c r="S177" i="10"/>
  <c r="T176" i="10"/>
  <c r="S176" i="10"/>
  <c r="T175" i="10"/>
  <c r="S175" i="10"/>
  <c r="T174" i="10"/>
  <c r="S174" i="10"/>
  <c r="T172" i="10"/>
  <c r="S172" i="10"/>
  <c r="T170" i="10"/>
  <c r="S170" i="10"/>
  <c r="T168" i="10"/>
  <c r="S168" i="10"/>
  <c r="T165" i="10"/>
  <c r="T166" i="10" s="1"/>
  <c r="S165" i="10"/>
  <c r="S166" i="10" s="1"/>
  <c r="T155" i="10"/>
  <c r="T192" i="10" s="1"/>
  <c r="S154" i="10"/>
  <c r="S178" i="10" s="1"/>
  <c r="T154" i="10"/>
  <c r="T153" i="10"/>
  <c r="S153" i="10" l="1"/>
  <c r="S173" i="10"/>
  <c r="S161" i="10"/>
  <c r="U124" i="45"/>
  <c r="U125" i="45" s="1"/>
  <c r="U119" i="50"/>
  <c r="U121" i="50" s="1"/>
  <c r="T139" i="45"/>
  <c r="U105" i="50"/>
  <c r="U108" i="50" s="1"/>
  <c r="U113" i="50" s="1"/>
  <c r="T201" i="10"/>
  <c r="T58" i="11"/>
  <c r="U115" i="50"/>
  <c r="U117" i="50" s="1"/>
  <c r="T123" i="45"/>
  <c r="U177" i="45"/>
  <c r="U160" i="45"/>
  <c r="S55" i="11"/>
  <c r="S79" i="11"/>
  <c r="S74" i="11"/>
  <c r="S98" i="11"/>
  <c r="T79" i="11"/>
  <c r="U144" i="45"/>
  <c r="U139" i="45"/>
  <c r="U123" i="45"/>
  <c r="U162" i="45"/>
  <c r="T107" i="45"/>
  <c r="U149" i="45"/>
  <c r="T124" i="45"/>
  <c r="U150" i="45"/>
  <c r="T90" i="11"/>
  <c r="T60" i="11"/>
  <c r="T74" i="11"/>
  <c r="T96" i="11"/>
  <c r="T93" i="11"/>
  <c r="T94" i="11" s="1"/>
  <c r="T189" i="10"/>
  <c r="T195" i="10" s="1"/>
  <c r="T184" i="10"/>
  <c r="T173" i="10"/>
  <c r="T191" i="10"/>
  <c r="T193" i="10" s="1"/>
  <c r="T197" i="10"/>
  <c r="T178" i="10"/>
  <c r="T161" i="10"/>
  <c r="T3" i="8"/>
  <c r="U107" i="50" l="1"/>
  <c r="T147" i="9"/>
  <c r="T148" i="9" s="1"/>
  <c r="S101" i="9"/>
  <c r="T99" i="9"/>
  <c r="S99" i="9"/>
  <c r="T98" i="9"/>
  <c r="S98" i="9"/>
  <c r="T97" i="9"/>
  <c r="S97" i="9"/>
  <c r="T93" i="9"/>
  <c r="S76" i="9"/>
  <c r="S74" i="9"/>
  <c r="T60" i="9"/>
  <c r="T57" i="9"/>
  <c r="T62" i="9" s="1"/>
  <c r="S53" i="9"/>
  <c r="S52" i="9"/>
  <c r="S47" i="9"/>
  <c r="T46" i="9"/>
  <c r="T36" i="9"/>
  <c r="T35" i="9"/>
  <c r="T47" i="9" s="1"/>
  <c r="T34" i="9"/>
  <c r="T31" i="9"/>
  <c r="T25" i="9"/>
  <c r="S24" i="9"/>
  <c r="S22" i="9"/>
  <c r="S25" i="9" s="1"/>
  <c r="S88" i="9" s="1"/>
  <c r="T19" i="9"/>
  <c r="T10" i="9"/>
  <c r="T5" i="9"/>
  <c r="T89" i="9" l="1"/>
  <c r="S132" i="26"/>
  <c r="T33" i="22"/>
  <c r="T48" i="9"/>
  <c r="T49" i="9" s="1"/>
  <c r="T72" i="9" s="1"/>
  <c r="S89" i="90"/>
  <c r="U129" i="50"/>
  <c r="T37" i="9"/>
  <c r="T100" i="9"/>
  <c r="T94" i="9"/>
  <c r="S18" i="15" s="1"/>
  <c r="T90" i="9"/>
  <c r="T91" i="9" s="1"/>
  <c r="T96" i="9"/>
  <c r="T14" i="9"/>
  <c r="S77" i="9"/>
  <c r="T87" i="9" l="1"/>
  <c r="T83" i="9"/>
  <c r="T52" i="9"/>
  <c r="T85" i="9"/>
  <c r="T82" i="9"/>
  <c r="T53" i="9"/>
  <c r="T86" i="9"/>
  <c r="T75" i="9"/>
  <c r="T80" i="9"/>
  <c r="T73" i="9"/>
  <c r="T74" i="9" s="1"/>
  <c r="T84" i="9"/>
  <c r="T81" i="9"/>
  <c r="T78" i="9"/>
  <c r="T76" i="9"/>
  <c r="T77" i="9" l="1"/>
  <c r="T79" i="9" s="1"/>
  <c r="T109" i="8" l="1"/>
  <c r="T110" i="8" s="1"/>
  <c r="T52" i="8" s="1"/>
  <c r="T94" i="8"/>
  <c r="T91" i="8"/>
  <c r="S91" i="8"/>
  <c r="T89" i="8"/>
  <c r="S89" i="8"/>
  <c r="T88" i="8"/>
  <c r="S88" i="8"/>
  <c r="S87" i="8"/>
  <c r="S82" i="8"/>
  <c r="T80" i="8"/>
  <c r="T76" i="8"/>
  <c r="S75" i="8"/>
  <c r="S74" i="8"/>
  <c r="S73" i="8"/>
  <c r="S72" i="8"/>
  <c r="S71" i="8"/>
  <c r="T68" i="8"/>
  <c r="T69" i="8" s="1"/>
  <c r="T66" i="8"/>
  <c r="T67" i="8" s="1"/>
  <c r="T73" i="8" s="1"/>
  <c r="T64" i="8"/>
  <c r="T65" i="8" s="1"/>
  <c r="T10" i="49" s="1"/>
  <c r="T12" i="49" s="1"/>
  <c r="T61" i="8"/>
  <c r="T58" i="8"/>
  <c r="T62" i="8" s="1"/>
  <c r="S52" i="8"/>
  <c r="T49" i="8"/>
  <c r="S49" i="8"/>
  <c r="S47" i="8"/>
  <c r="S46" i="8"/>
  <c r="S45" i="8"/>
  <c r="S44" i="8"/>
  <c r="S43" i="8"/>
  <c r="S41" i="8"/>
  <c r="S40" i="8"/>
  <c r="S39" i="8"/>
  <c r="T26" i="8"/>
  <c r="T17" i="8"/>
  <c r="S17" i="8"/>
  <c r="S15" i="8"/>
  <c r="S14" i="8"/>
  <c r="T13" i="8"/>
  <c r="T16" i="8" s="1"/>
  <c r="T6" i="8"/>
  <c r="S6" i="8"/>
  <c r="S28" i="8" l="1"/>
  <c r="S69" i="8" s="1"/>
  <c r="S23" i="8"/>
  <c r="S8" i="49" s="1"/>
  <c r="S29" i="8"/>
  <c r="T47" i="8"/>
  <c r="T6" i="49"/>
  <c r="S24" i="8"/>
  <c r="S9" i="49" s="1"/>
  <c r="S27" i="8"/>
  <c r="S6" i="49"/>
  <c r="S92" i="8"/>
  <c r="S42" i="8"/>
  <c r="T82" i="8"/>
  <c r="T39" i="8"/>
  <c r="T45" i="8"/>
  <c r="T92" i="8"/>
  <c r="T111" i="8"/>
  <c r="T112" i="8" s="1"/>
  <c r="T53" i="8" s="1"/>
  <c r="S59" i="8"/>
  <c r="S63" i="8" s="1"/>
  <c r="T34" i="8"/>
  <c r="T72" i="8"/>
  <c r="T36" i="8"/>
  <c r="T74" i="8"/>
  <c r="S25" i="8"/>
  <c r="S30" i="8"/>
  <c r="S36" i="8"/>
  <c r="S50" i="8"/>
  <c r="S31" i="8"/>
  <c r="T40" i="8"/>
  <c r="T43" i="8"/>
  <c r="T46" i="8"/>
  <c r="T50" i="8"/>
  <c r="T59" i="8"/>
  <c r="S65" i="8"/>
  <c r="S85" i="8"/>
  <c r="T86" i="8"/>
  <c r="T37" i="8"/>
  <c r="T41" i="8"/>
  <c r="T44" i="8"/>
  <c r="S35" i="8" l="1"/>
  <c r="T78" i="8"/>
  <c r="S6" i="26"/>
  <c r="S34" i="8"/>
  <c r="S10" i="49"/>
  <c r="S26" i="8"/>
  <c r="S17" i="49"/>
  <c r="S18" i="49" s="1"/>
  <c r="S12" i="49"/>
  <c r="T42" i="8"/>
  <c r="S67" i="8"/>
  <c r="S37" i="8" s="1"/>
  <c r="T63" i="8"/>
  <c r="S109" i="8"/>
  <c r="S111" i="8" l="1"/>
  <c r="S110" i="8"/>
  <c r="T35" i="8"/>
  <c r="T70" i="8"/>
  <c r="T71" i="8"/>
  <c r="S112" i="8" l="1"/>
  <c r="S113" i="7" l="1"/>
  <c r="S112" i="7"/>
  <c r="S111" i="7"/>
  <c r="S110" i="7"/>
  <c r="S109" i="7"/>
  <c r="S108" i="7"/>
  <c r="S107" i="7"/>
  <c r="S106" i="7"/>
  <c r="S85" i="7"/>
  <c r="T84" i="7"/>
  <c r="S84" i="7"/>
  <c r="T82" i="7"/>
  <c r="S82" i="7"/>
  <c r="T73" i="7"/>
  <c r="S73" i="7"/>
  <c r="S71" i="7"/>
  <c r="T69" i="7"/>
  <c r="T71" i="7" s="1"/>
  <c r="S69" i="7"/>
  <c r="T65" i="7"/>
  <c r="T81" i="7" s="1"/>
  <c r="S65" i="7"/>
  <c r="S81" i="7" s="1"/>
  <c r="T54" i="7"/>
  <c r="T96" i="7" s="1"/>
  <c r="S35" i="7"/>
  <c r="S102" i="7" s="1"/>
  <c r="T20" i="7"/>
  <c r="S49" i="39" s="1"/>
  <c r="S20" i="7"/>
  <c r="S39" i="7" s="1"/>
  <c r="S49" i="7" s="1"/>
  <c r="S61" i="39"/>
  <c r="T43" i="22" s="1"/>
  <c r="S60" i="39"/>
  <c r="T42" i="22" s="1"/>
  <c r="S48" i="39"/>
  <c r="S47" i="39"/>
  <c r="S46" i="39"/>
  <c r="S43" i="39"/>
  <c r="S42" i="39"/>
  <c r="S8" i="39"/>
  <c r="S22" i="39" s="1"/>
  <c r="T58" i="7" l="1"/>
  <c r="T27" i="7"/>
  <c r="T92" i="7" s="1"/>
  <c r="T31" i="7"/>
  <c r="T98" i="7" s="1"/>
  <c r="S29" i="7"/>
  <c r="S94" i="7" s="1"/>
  <c r="S53" i="7"/>
  <c r="S59" i="7"/>
  <c r="S101" i="7" s="1"/>
  <c r="S23" i="7"/>
  <c r="S30" i="7"/>
  <c r="S95" i="7" s="1"/>
  <c r="S54" i="7"/>
  <c r="S96" i="7" s="1"/>
  <c r="S60" i="7"/>
  <c r="S26" i="7"/>
  <c r="S91" i="7" s="1"/>
  <c r="S32" i="7"/>
  <c r="S99" i="7" s="1"/>
  <c r="S56" i="7"/>
  <c r="S24" i="7"/>
  <c r="S89" i="7" s="1"/>
  <c r="S27" i="7"/>
  <c r="S92" i="7" s="1"/>
  <c r="S33" i="7"/>
  <c r="S97" i="7" s="1"/>
  <c r="S57" i="7"/>
  <c r="S66" i="7"/>
  <c r="S76" i="7"/>
  <c r="T24" i="7"/>
  <c r="T28" i="7"/>
  <c r="T93" i="7" s="1"/>
  <c r="T35" i="7"/>
  <c r="T102" i="7" s="1"/>
  <c r="T55" i="7"/>
  <c r="T83" i="7"/>
  <c r="T25" i="7"/>
  <c r="T32" i="7"/>
  <c r="T99" i="7" s="1"/>
  <c r="T52" i="7"/>
  <c r="T59" i="7"/>
  <c r="T101" i="7" s="1"/>
  <c r="T67" i="7"/>
  <c r="T74" i="7"/>
  <c r="T22" i="7"/>
  <c r="T87" i="7" s="1"/>
  <c r="T29" i="7"/>
  <c r="T94" i="7" s="1"/>
  <c r="T56" i="7"/>
  <c r="T26" i="7"/>
  <c r="T91" i="7" s="1"/>
  <c r="T33" i="7"/>
  <c r="T97" i="7" s="1"/>
  <c r="T53" i="7"/>
  <c r="T60" i="7"/>
  <c r="T76" i="7"/>
  <c r="T23" i="7"/>
  <c r="T30" i="7"/>
  <c r="T95" i="7" s="1"/>
  <c r="T34" i="7"/>
  <c r="T90" i="7" s="1"/>
  <c r="T57" i="7"/>
  <c r="S83" i="7"/>
  <c r="S23" i="39"/>
  <c r="S24" i="39" s="1"/>
  <c r="T39" i="7"/>
  <c r="T49" i="7" s="1"/>
  <c r="S22" i="7"/>
  <c r="S25" i="7"/>
  <c r="S28" i="7"/>
  <c r="S93" i="7" s="1"/>
  <c r="S31" i="7"/>
  <c r="S98" i="7" s="1"/>
  <c r="S34" i="7"/>
  <c r="S90" i="7" s="1"/>
  <c r="S52" i="7"/>
  <c r="S55" i="7"/>
  <c r="S58" i="7"/>
  <c r="S74" i="7"/>
  <c r="S50" i="39"/>
  <c r="S51" i="39" s="1"/>
  <c r="S45" i="39"/>
  <c r="T36" i="7" l="1"/>
  <c r="T51" i="7" s="1"/>
  <c r="S88" i="7"/>
  <c r="T88" i="7"/>
  <c r="T89" i="7"/>
  <c r="S100" i="7"/>
  <c r="T100" i="7"/>
  <c r="S87" i="7"/>
  <c r="S36" i="7"/>
  <c r="S51" i="7" s="1"/>
  <c r="T75" i="7"/>
  <c r="T61" i="7"/>
  <c r="T103" i="7" l="1"/>
  <c r="S103" i="7"/>
  <c r="S75" i="7"/>
  <c r="S61" i="7"/>
  <c r="T223" i="6" l="1"/>
  <c r="S223" i="6"/>
  <c r="T222" i="6"/>
  <c r="S222" i="6"/>
  <c r="S199" i="6"/>
  <c r="T198" i="6"/>
  <c r="S198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31" i="6"/>
  <c r="S131" i="6"/>
  <c r="T130" i="6"/>
  <c r="S130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S34" i="39" s="1"/>
  <c r="T45" i="6"/>
  <c r="S41" i="6"/>
  <c r="T34" i="6"/>
  <c r="T33" i="6"/>
  <c r="T32" i="6"/>
  <c r="T29" i="6"/>
  <c r="T26" i="6"/>
  <c r="S24" i="6"/>
  <c r="S26" i="6" s="1"/>
  <c r="T23" i="6"/>
  <c r="S18" i="6"/>
  <c r="S25" i="6" s="1"/>
  <c r="S17" i="6"/>
  <c r="S168" i="6" s="1"/>
  <c r="S16" i="6"/>
  <c r="S15" i="6"/>
  <c r="T9" i="6"/>
  <c r="T8" i="6"/>
  <c r="S7" i="6"/>
  <c r="T121" i="6" l="1"/>
  <c r="T125" i="6" s="1"/>
  <c r="S121" i="6"/>
  <c r="S125" i="6" s="1"/>
  <c r="S175" i="6" s="1"/>
  <c r="S138" i="6"/>
  <c r="S133" i="6"/>
  <c r="S172" i="6"/>
  <c r="T172" i="6"/>
  <c r="S173" i="6"/>
  <c r="T138" i="6"/>
  <c r="T57" i="6"/>
  <c r="T35" i="6"/>
  <c r="S27" i="6"/>
  <c r="S163" i="6"/>
  <c r="S84" i="6"/>
  <c r="T173" i="6"/>
  <c r="T175" i="6"/>
  <c r="S21" i="6"/>
  <c r="S30" i="6"/>
  <c r="S103" i="6"/>
  <c r="S107" i="6" s="1"/>
  <c r="S150" i="6" s="1"/>
  <c r="S19" i="6"/>
  <c r="S81" i="6" s="1"/>
  <c r="S22" i="6"/>
  <c r="S31" i="6"/>
  <c r="T103" i="6"/>
  <c r="T107" i="6" s="1"/>
  <c r="T133" i="6"/>
  <c r="S194" i="6"/>
  <c r="S28" i="6"/>
  <c r="S188" i="6"/>
  <c r="S87" i="77"/>
  <c r="R87" i="77"/>
  <c r="S86" i="77"/>
  <c r="S85" i="77"/>
  <c r="S84" i="77" s="1"/>
  <c r="S82" i="77"/>
  <c r="R82" i="77"/>
  <c r="S76" i="77"/>
  <c r="S75" i="77"/>
  <c r="S74" i="77" s="1"/>
  <c r="R74" i="77"/>
  <c r="S72" i="77"/>
  <c r="R72" i="77"/>
  <c r="S64" i="77"/>
  <c r="R64" i="77"/>
  <c r="S47" i="77"/>
  <c r="R47" i="77"/>
  <c r="S36" i="77"/>
  <c r="R36" i="77"/>
  <c r="S32" i="77"/>
  <c r="R32" i="77"/>
  <c r="S26" i="77"/>
  <c r="R26" i="77"/>
  <c r="S21" i="77"/>
  <c r="R21" i="77"/>
  <c r="S13" i="77"/>
  <c r="R13" i="77"/>
  <c r="S7" i="77"/>
  <c r="R7" i="77"/>
  <c r="T28" i="28"/>
  <c r="T50" i="28" s="1"/>
  <c r="S479" i="28"/>
  <c r="T436" i="28"/>
  <c r="T432" i="28"/>
  <c r="T400" i="28"/>
  <c r="T399" i="28"/>
  <c r="T392" i="28"/>
  <c r="T471" i="28" s="1"/>
  <c r="S392" i="28"/>
  <c r="T376" i="28"/>
  <c r="T377" i="28" s="1"/>
  <c r="T278" i="28"/>
  <c r="T467" i="28" s="1"/>
  <c r="S278" i="28"/>
  <c r="T272" i="28"/>
  <c r="S272" i="28"/>
  <c r="T271" i="28"/>
  <c r="T273" i="28" s="1"/>
  <c r="S271" i="28"/>
  <c r="T232" i="28"/>
  <c r="T463" i="28" s="1"/>
  <c r="S232" i="28"/>
  <c r="T215" i="28"/>
  <c r="T214" i="28"/>
  <c r="T216" i="28" s="1"/>
  <c r="T82" i="28"/>
  <c r="T81" i="28"/>
  <c r="T79" i="28"/>
  <c r="T75" i="28"/>
  <c r="T71" i="28"/>
  <c r="T67" i="28"/>
  <c r="S54" i="28"/>
  <c r="S53" i="28"/>
  <c r="S52" i="28"/>
  <c r="T47" i="28"/>
  <c r="T40" i="28"/>
  <c r="T32" i="28"/>
  <c r="T54" i="28" s="1"/>
  <c r="T31" i="28"/>
  <c r="T53" i="28" s="1"/>
  <c r="T30" i="28"/>
  <c r="T52" i="28" s="1"/>
  <c r="T29" i="28"/>
  <c r="T51" i="28" s="1"/>
  <c r="T26" i="28"/>
  <c r="S21" i="28"/>
  <c r="S26" i="28" s="1"/>
  <c r="T19" i="28"/>
  <c r="T59" i="28" s="1"/>
  <c r="S14" i="28"/>
  <c r="S19" i="28" s="1"/>
  <c r="T12" i="28"/>
  <c r="T58" i="28" s="1"/>
  <c r="S7" i="28"/>
  <c r="S235" i="73"/>
  <c r="S233" i="73"/>
  <c r="S224" i="73"/>
  <c r="S215" i="73"/>
  <c r="S209" i="73"/>
  <c r="S190" i="73"/>
  <c r="S179" i="73"/>
  <c r="S188" i="73" s="1"/>
  <c r="S133" i="73"/>
  <c r="S131" i="73"/>
  <c r="S129" i="73"/>
  <c r="S136" i="73" s="1"/>
  <c r="S125" i="73"/>
  <c r="S121" i="73"/>
  <c r="S114" i="73"/>
  <c r="S11" i="15" s="1"/>
  <c r="S12" i="15" s="1"/>
  <c r="S13" i="15" s="1"/>
  <c r="S108" i="73"/>
  <c r="S102" i="73"/>
  <c r="S65" i="73"/>
  <c r="S58" i="73"/>
  <c r="S53" i="73"/>
  <c r="S48" i="73"/>
  <c r="S34" i="73"/>
  <c r="S23" i="73"/>
  <c r="S16" i="73"/>
  <c r="S14" i="73"/>
  <c r="S8" i="73"/>
  <c r="S6" i="73"/>
  <c r="W79" i="59"/>
  <c r="W78" i="59"/>
  <c r="W77" i="59"/>
  <c r="V76" i="59"/>
  <c r="V75" i="59"/>
  <c r="W74" i="59"/>
  <c r="V74" i="59"/>
  <c r="W73" i="59"/>
  <c r="V73" i="59"/>
  <c r="W70" i="59"/>
  <c r="V70" i="59"/>
  <c r="W69" i="59"/>
  <c r="V69" i="59"/>
  <c r="W66" i="59"/>
  <c r="V66" i="59"/>
  <c r="W65" i="59"/>
  <c r="V65" i="59"/>
  <c r="W62" i="59"/>
  <c r="V62" i="59"/>
  <c r="W61" i="59"/>
  <c r="V61" i="59"/>
  <c r="W60" i="59"/>
  <c r="W59" i="59"/>
  <c r="V59" i="59"/>
  <c r="W58" i="59"/>
  <c r="V58" i="59"/>
  <c r="V55" i="59"/>
  <c r="V54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V44" i="59" s="1"/>
  <c r="W41" i="59"/>
  <c r="V41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V22" i="59"/>
  <c r="W20" i="59"/>
  <c r="W19" i="59"/>
  <c r="W18" i="59"/>
  <c r="W17" i="59"/>
  <c r="W16" i="59"/>
  <c r="V16" i="59"/>
  <c r="V15" i="59"/>
  <c r="W12" i="59"/>
  <c r="V12" i="59"/>
  <c r="V11" i="59"/>
  <c r="V10" i="59"/>
  <c r="V9" i="59"/>
  <c r="V8" i="59"/>
  <c r="V6" i="59"/>
  <c r="S54" i="36"/>
  <c r="S53" i="36"/>
  <c r="S51" i="36"/>
  <c r="S49" i="36"/>
  <c r="S48" i="36"/>
  <c r="S50" i="36" s="1"/>
  <c r="T46" i="36"/>
  <c r="T54" i="36" s="1"/>
  <c r="T44" i="36"/>
  <c r="T52" i="36" s="1"/>
  <c r="T43" i="36"/>
  <c r="T51" i="36" s="1"/>
  <c r="T41" i="36"/>
  <c r="T49" i="36" s="1"/>
  <c r="T40" i="36"/>
  <c r="T48" i="36" s="1"/>
  <c r="T39" i="36"/>
  <c r="T17" i="36" s="1"/>
  <c r="W55" i="59" s="1"/>
  <c r="T38" i="36"/>
  <c r="T32" i="36"/>
  <c r="S29" i="36"/>
  <c r="R7" i="15" s="1"/>
  <c r="S28" i="36"/>
  <c r="R6" i="15" s="1"/>
  <c r="S27" i="36"/>
  <c r="R5" i="15" s="1"/>
  <c r="T26" i="36"/>
  <c r="T24" i="36"/>
  <c r="W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V64" i="59" s="1"/>
  <c r="S17" i="36"/>
  <c r="S90" i="9" s="1"/>
  <c r="T16" i="36"/>
  <c r="S16" i="36"/>
  <c r="S13" i="36"/>
  <c r="V40" i="59" s="1"/>
  <c r="T12" i="36"/>
  <c r="W39" i="59" s="1"/>
  <c r="T11" i="36"/>
  <c r="W38" i="59" s="1"/>
  <c r="T10" i="36"/>
  <c r="S9" i="36"/>
  <c r="S8" i="36"/>
  <c r="S7" i="36"/>
  <c r="S5" i="36"/>
  <c r="S13" i="49" s="1"/>
  <c r="S14" i="49" s="1"/>
  <c r="S15" i="49" s="1"/>
  <c r="S16" i="49" s="1"/>
  <c r="S19" i="49" s="1"/>
  <c r="S20" i="49" s="1"/>
  <c r="T28" i="21"/>
  <c r="S27" i="21"/>
  <c r="T24" i="21"/>
  <c r="T25" i="21" s="1"/>
  <c r="T18" i="21"/>
  <c r="T15" i="21"/>
  <c r="T12" i="21"/>
  <c r="S12" i="21"/>
  <c r="S15" i="21" s="1"/>
  <c r="S34" i="35"/>
  <c r="U98" i="50" s="1"/>
  <c r="U101" i="50" s="1"/>
  <c r="U102" i="50" s="1"/>
  <c r="S23" i="35"/>
  <c r="S13" i="8" s="1"/>
  <c r="S16" i="8" s="1"/>
  <c r="S18" i="35"/>
  <c r="S40" i="36" s="1"/>
  <c r="S16" i="35"/>
  <c r="V79" i="59" l="1"/>
  <c r="R17" i="15"/>
  <c r="R14" i="15" s="1"/>
  <c r="R15" i="15" s="1"/>
  <c r="S5" i="9"/>
  <c r="S41" i="36"/>
  <c r="S42" i="36" s="1"/>
  <c r="S38" i="36"/>
  <c r="S89" i="9"/>
  <c r="S91" i="9" s="1"/>
  <c r="V77" i="59"/>
  <c r="S32" i="36"/>
  <c r="S39" i="36" s="1"/>
  <c r="S43" i="36"/>
  <c r="S45" i="36" s="1"/>
  <c r="V78" i="59"/>
  <c r="S46" i="36"/>
  <c r="R79" i="77"/>
  <c r="T447" i="28"/>
  <c r="T448" i="28" s="1"/>
  <c r="T473" i="28" s="1"/>
  <c r="T430" i="28"/>
  <c r="S5" i="73"/>
  <c r="S117" i="90"/>
  <c r="S119" i="90" s="1"/>
  <c r="U139" i="50"/>
  <c r="U141" i="50" s="1"/>
  <c r="U142" i="50" s="1"/>
  <c r="T469" i="28"/>
  <c r="T466" i="28"/>
  <c r="T83" i="28"/>
  <c r="T84" i="28" s="1"/>
  <c r="T50" i="36"/>
  <c r="T18" i="36"/>
  <c r="W56" i="59" s="1"/>
  <c r="T53" i="36"/>
  <c r="W49" i="59"/>
  <c r="T13" i="36"/>
  <c r="W40" i="59" s="1"/>
  <c r="T174" i="6"/>
  <c r="T8" i="36" s="1"/>
  <c r="W9" i="59" s="1"/>
  <c r="T139" i="6"/>
  <c r="T143" i="6" s="1"/>
  <c r="T199" i="6" s="1"/>
  <c r="W54" i="59"/>
  <c r="T45" i="36"/>
  <c r="T42" i="36"/>
  <c r="W37" i="59"/>
  <c r="W44" i="59"/>
  <c r="V49" i="59"/>
  <c r="S139" i="6"/>
  <c r="S143" i="6" s="1"/>
  <c r="S206" i="6" s="1"/>
  <c r="W22" i="59"/>
  <c r="S174" i="6"/>
  <c r="S148" i="6"/>
  <c r="S147" i="6"/>
  <c r="S149" i="6" s="1"/>
  <c r="S32" i="6"/>
  <c r="S29" i="6"/>
  <c r="T150" i="6"/>
  <c r="T148" i="6"/>
  <c r="W15" i="59" s="1"/>
  <c r="S34" i="6"/>
  <c r="S33" i="6"/>
  <c r="S35" i="6" s="1"/>
  <c r="S23" i="6"/>
  <c r="T147" i="6"/>
  <c r="T465" i="28"/>
  <c r="T468" i="28"/>
  <c r="T33" i="28"/>
  <c r="T470" i="28"/>
  <c r="T60" i="28"/>
  <c r="T464" i="28"/>
  <c r="T462" i="28"/>
  <c r="S60" i="28"/>
  <c r="S73" i="28" s="1"/>
  <c r="S468" i="28" s="1"/>
  <c r="S377" i="28"/>
  <c r="S470" i="28" s="1"/>
  <c r="T480" i="28"/>
  <c r="T55" i="28"/>
  <c r="T477" i="28" s="1"/>
  <c r="T461" i="28"/>
  <c r="T457" i="28"/>
  <c r="T458" i="28"/>
  <c r="S12" i="28"/>
  <c r="S59" i="28"/>
  <c r="S69" i="28" s="1"/>
  <c r="S273" i="28"/>
  <c r="T460" i="28"/>
  <c r="S117" i="73"/>
  <c r="S119" i="73"/>
  <c r="T20" i="21"/>
  <c r="S22" i="21"/>
  <c r="T479" i="28" l="1"/>
  <c r="S69" i="9"/>
  <c r="R132" i="26"/>
  <c r="S33" i="22"/>
  <c r="S70" i="9"/>
  <c r="S95" i="9"/>
  <c r="S56" i="9"/>
  <c r="S65" i="9"/>
  <c r="S64" i="9"/>
  <c r="S55" i="9"/>
  <c r="S59" i="9"/>
  <c r="S66" i="9"/>
  <c r="S92" i="9"/>
  <c r="S63" i="9"/>
  <c r="S67" i="9"/>
  <c r="S7" i="9"/>
  <c r="S58" i="9"/>
  <c r="S61" i="9"/>
  <c r="S100" i="9"/>
  <c r="S27" i="9"/>
  <c r="S68" i="9"/>
  <c r="S19" i="9"/>
  <c r="S79" i="77"/>
  <c r="S123" i="90"/>
  <c r="T474" i="28"/>
  <c r="T19" i="36"/>
  <c r="W57" i="59" s="1"/>
  <c r="S205" i="6"/>
  <c r="S203" i="6"/>
  <c r="S216" i="6"/>
  <c r="S219" i="6" s="1"/>
  <c r="S210" i="6"/>
  <c r="S212" i="6"/>
  <c r="S214" i="6" s="1"/>
  <c r="S215" i="6" s="1"/>
  <c r="S220" i="6" s="1"/>
  <c r="S208" i="6"/>
  <c r="S211" i="6"/>
  <c r="S207" i="6"/>
  <c r="S204" i="6"/>
  <c r="S213" i="6"/>
  <c r="S209" i="6"/>
  <c r="T149" i="6"/>
  <c r="T7" i="36" s="1"/>
  <c r="W8" i="59" s="1"/>
  <c r="T211" i="6"/>
  <c r="T205" i="6"/>
  <c r="T217" i="6"/>
  <c r="T208" i="6"/>
  <c r="T218" i="6"/>
  <c r="T204" i="6"/>
  <c r="T203" i="6"/>
  <c r="T207" i="6"/>
  <c r="T206" i="6"/>
  <c r="T216" i="6"/>
  <c r="T213" i="6"/>
  <c r="T212" i="6"/>
  <c r="T210" i="6"/>
  <c r="T197" i="6"/>
  <c r="T472" i="28"/>
  <c r="T61" i="28"/>
  <c r="T62" i="28" s="1"/>
  <c r="T478" i="28" s="1"/>
  <c r="T56" i="28"/>
  <c r="S465" i="28"/>
  <c r="S464" i="28"/>
  <c r="S216" i="28"/>
  <c r="S462" i="28" s="1"/>
  <c r="S58" i="28"/>
  <c r="S469" i="28"/>
  <c r="T452" i="28"/>
  <c r="T451" i="28"/>
  <c r="S457" i="28"/>
  <c r="S458" i="28"/>
  <c r="S466" i="28"/>
  <c r="S21" i="22" l="1"/>
  <c r="S22" i="22" s="1"/>
  <c r="S24" i="22" s="1"/>
  <c r="S25" i="22" s="1"/>
  <c r="S27" i="22" s="1"/>
  <c r="S7" i="22"/>
  <c r="S8" i="22" s="1"/>
  <c r="S10" i="22" s="1"/>
  <c r="S11" i="22" s="1"/>
  <c r="S13" i="22" s="1"/>
  <c r="S57" i="9"/>
  <c r="S60" i="9"/>
  <c r="S62" i="9" s="1"/>
  <c r="T214" i="6"/>
  <c r="W11" i="59" s="1"/>
  <c r="T209" i="6"/>
  <c r="T219" i="6"/>
  <c r="S65" i="28"/>
  <c r="T215" i="6" l="1"/>
  <c r="T220" i="6" s="1"/>
  <c r="S461" i="28"/>
  <c r="S460" i="28"/>
  <c r="T9" i="36" l="1"/>
  <c r="W10" i="59" s="1"/>
  <c r="T47" i="35"/>
  <c r="T46" i="35"/>
  <c r="T45" i="35"/>
  <c r="T44" i="35"/>
  <c r="T43" i="35"/>
  <c r="T42" i="35"/>
  <c r="S42" i="35"/>
  <c r="S41" i="35"/>
  <c r="T40" i="35"/>
  <c r="T39" i="35"/>
  <c r="S39" i="35"/>
  <c r="T36" i="35"/>
  <c r="T48" i="35" s="1"/>
  <c r="S36" i="35"/>
  <c r="S33" i="35"/>
  <c r="T32" i="35"/>
  <c r="T31" i="35"/>
  <c r="T30" i="35"/>
  <c r="T26" i="35"/>
  <c r="S26" i="35"/>
  <c r="S21" i="35"/>
  <c r="S26" i="9" s="1"/>
  <c r="T20" i="35"/>
  <c r="S20" i="35"/>
  <c r="T19" i="35"/>
  <c r="S19" i="35"/>
  <c r="T14" i="35"/>
  <c r="T5" i="36" s="1"/>
  <c r="T13" i="49" s="1"/>
  <c r="T14" i="49" s="1"/>
  <c r="T15" i="49" s="1"/>
  <c r="T16" i="49" s="1"/>
  <c r="T19" i="49" s="1"/>
  <c r="T20" i="49" s="1"/>
  <c r="T13" i="35"/>
  <c r="T11" i="35"/>
  <c r="T10" i="6" s="1"/>
  <c r="S10" i="35"/>
  <c r="S9" i="35"/>
  <c r="S8" i="35"/>
  <c r="T7" i="35"/>
  <c r="T6" i="6" s="1"/>
  <c r="T6" i="35"/>
  <c r="T5" i="6" s="1"/>
  <c r="S14" i="35" l="1"/>
  <c r="S9" i="6"/>
  <c r="S11" i="35"/>
  <c r="S10" i="6" s="1"/>
  <c r="S8" i="6"/>
  <c r="S48" i="35"/>
  <c r="S49" i="35" s="1"/>
  <c r="S55" i="35" s="1"/>
  <c r="S28" i="28"/>
  <c r="S26" i="21"/>
  <c r="S28" i="21" s="1"/>
  <c r="S33" i="36"/>
  <c r="S34" i="36" s="1"/>
  <c r="S35" i="36" s="1"/>
  <c r="S36" i="36" s="1"/>
  <c r="S30" i="36" s="1"/>
  <c r="V80" i="59" s="1"/>
  <c r="T33" i="35"/>
  <c r="T37" i="35" s="1"/>
  <c r="T98" i="11"/>
  <c r="T33" i="36"/>
  <c r="T34" i="36" s="1"/>
  <c r="T35" i="36" s="1"/>
  <c r="T36" i="36" s="1"/>
  <c r="T30" i="36" s="1"/>
  <c r="W80" i="59" s="1"/>
  <c r="T16" i="6"/>
  <c r="T18" i="6"/>
  <c r="T17" i="6"/>
  <c r="T15" i="6"/>
  <c r="T7" i="6"/>
  <c r="T15" i="35"/>
  <c r="W6" i="59"/>
  <c r="S37" i="35"/>
  <c r="T8" i="35"/>
  <c r="S13" i="35"/>
  <c r="S15" i="35"/>
  <c r="T41" i="35"/>
  <c r="T49" i="35" s="1"/>
  <c r="O111" i="90"/>
  <c r="O110" i="90"/>
  <c r="O109" i="90"/>
  <c r="O108" i="90"/>
  <c r="O107" i="90"/>
  <c r="O106" i="90"/>
  <c r="K111" i="90"/>
  <c r="K110" i="90"/>
  <c r="K109" i="90"/>
  <c r="K108" i="90"/>
  <c r="K107" i="90"/>
  <c r="K106" i="90"/>
  <c r="G111" i="90"/>
  <c r="G110" i="90"/>
  <c r="G109" i="90"/>
  <c r="G108" i="90"/>
  <c r="G107" i="90"/>
  <c r="G106" i="90"/>
  <c r="E107" i="90"/>
  <c r="E108" i="90"/>
  <c r="E109" i="90"/>
  <c r="E110" i="90"/>
  <c r="E111" i="90"/>
  <c r="E106" i="90"/>
  <c r="Q112" i="90"/>
  <c r="Q113" i="90"/>
  <c r="K69" i="90"/>
  <c r="G69" i="90"/>
  <c r="E69" i="90"/>
  <c r="S33" i="28" l="1"/>
  <c r="S50" i="28"/>
  <c r="S55" i="28" s="1"/>
  <c r="S477" i="28" s="1"/>
  <c r="T25" i="36"/>
  <c r="W76" i="59" s="1"/>
  <c r="U95" i="50"/>
  <c r="U93" i="50" s="1"/>
  <c r="T55" i="35"/>
  <c r="T194" i="6"/>
  <c r="T189" i="6"/>
  <c r="T164" i="6"/>
  <c r="T168" i="6"/>
  <c r="T19" i="6"/>
  <c r="S448" i="28" l="1"/>
  <c r="S61" i="28"/>
  <c r="T40" i="6"/>
  <c r="T39" i="6"/>
  <c r="T38" i="6"/>
  <c r="T37" i="6"/>
  <c r="T84" i="6"/>
  <c r="T81" i="6"/>
  <c r="Q128" i="45"/>
  <c r="P104" i="10"/>
  <c r="Z104" i="10" s="1"/>
  <c r="P87" i="10"/>
  <c r="Z87" i="10" s="1"/>
  <c r="P65" i="10"/>
  <c r="Z65" i="10" s="1"/>
  <c r="P22" i="10"/>
  <c r="P30" i="10"/>
  <c r="Z30" i="10" s="1"/>
  <c r="P37" i="10"/>
  <c r="Z37" i="10" s="1"/>
  <c r="S77" i="28" l="1"/>
  <c r="S62" i="28"/>
  <c r="S478" i="28" s="1"/>
  <c r="P200" i="10"/>
  <c r="Z22" i="10"/>
  <c r="S474" i="28"/>
  <c r="S452" i="28"/>
  <c r="S451" i="28"/>
  <c r="T41" i="6"/>
  <c r="M90" i="77"/>
  <c r="L90" i="77"/>
  <c r="M89" i="77"/>
  <c r="L89" i="77"/>
  <c r="Z89" i="77" s="1"/>
  <c r="S473" i="28" l="1"/>
  <c r="S81" i="28"/>
  <c r="S472" i="28"/>
  <c r="P90" i="77"/>
  <c r="T90" i="77" s="1"/>
  <c r="Z90" i="77"/>
  <c r="Q89" i="77"/>
  <c r="U89" i="77" s="1"/>
  <c r="AA89" i="77"/>
  <c r="Q90" i="77"/>
  <c r="U90" i="77" s="1"/>
  <c r="AA90" i="77"/>
  <c r="P89" i="77"/>
  <c r="T89" i="77" s="1"/>
  <c r="BE224" i="73" l="1"/>
  <c r="BD224" i="73"/>
  <c r="BC224" i="73"/>
  <c r="BB224" i="73"/>
  <c r="BA224" i="73"/>
  <c r="AZ224" i="73"/>
  <c r="AY224" i="73"/>
  <c r="AX224" i="73"/>
  <c r="AW224" i="73"/>
  <c r="AV224" i="73"/>
  <c r="AU224" i="73"/>
  <c r="AT224" i="73"/>
  <c r="AS224" i="73"/>
  <c r="AR224" i="73"/>
  <c r="AQ224" i="73"/>
  <c r="AP224" i="73"/>
  <c r="AO224" i="73"/>
  <c r="AN224" i="73"/>
  <c r="AM224" i="73"/>
  <c r="AL224" i="73"/>
  <c r="AK224" i="73"/>
  <c r="AJ224" i="73"/>
  <c r="AI224" i="73"/>
  <c r="AH224" i="73"/>
  <c r="AG224" i="73"/>
  <c r="AF224" i="73"/>
  <c r="AE224" i="73"/>
  <c r="AD224" i="73"/>
  <c r="AC224" i="73"/>
  <c r="AB224" i="73"/>
  <c r="X224" i="73"/>
  <c r="V224" i="73"/>
  <c r="T224" i="73"/>
  <c r="R224" i="73"/>
  <c r="P224" i="73"/>
  <c r="O224" i="73"/>
  <c r="Y224" i="73" s="1"/>
  <c r="N224" i="73"/>
  <c r="L224" i="73"/>
  <c r="K224" i="73"/>
  <c r="J224" i="73"/>
  <c r="H224" i="73"/>
  <c r="G224" i="73"/>
  <c r="E224" i="73"/>
  <c r="BE235" i="73"/>
  <c r="BD235" i="73"/>
  <c r="BC235" i="73"/>
  <c r="BB235" i="73"/>
  <c r="BA235" i="73"/>
  <c r="AZ235" i="73"/>
  <c r="AY235" i="73"/>
  <c r="AX235" i="73"/>
  <c r="AW235" i="73"/>
  <c r="AV235" i="73"/>
  <c r="AU235" i="73"/>
  <c r="AT235" i="73"/>
  <c r="AS235" i="73"/>
  <c r="AR235" i="73"/>
  <c r="AQ235" i="73"/>
  <c r="AP235" i="73"/>
  <c r="AO235" i="73"/>
  <c r="AN235" i="73"/>
  <c r="AM235" i="73"/>
  <c r="AL235" i="73"/>
  <c r="AK235" i="73"/>
  <c r="AJ235" i="73"/>
  <c r="AI235" i="73"/>
  <c r="AH235" i="73"/>
  <c r="AG235" i="73"/>
  <c r="AF235" i="73"/>
  <c r="AE235" i="73"/>
  <c r="AD235" i="73"/>
  <c r="AC235" i="73"/>
  <c r="AB235" i="73"/>
  <c r="X235" i="73"/>
  <c r="V235" i="73"/>
  <c r="T235" i="73"/>
  <c r="R235" i="73"/>
  <c r="P235" i="73"/>
  <c r="O235" i="73"/>
  <c r="Y235" i="73" s="1"/>
  <c r="N235" i="73"/>
  <c r="L235" i="73"/>
  <c r="K235" i="73"/>
  <c r="J235" i="73"/>
  <c r="H235" i="73"/>
  <c r="G235" i="73"/>
  <c r="E235" i="73"/>
  <c r="BE233" i="73"/>
  <c r="BD233" i="73"/>
  <c r="BC233" i="73"/>
  <c r="BB233" i="73"/>
  <c r="BA233" i="73"/>
  <c r="AZ233" i="73"/>
  <c r="AY233" i="73"/>
  <c r="AX233" i="73"/>
  <c r="AW233" i="73"/>
  <c r="AV233" i="73"/>
  <c r="AU233" i="73"/>
  <c r="AT233" i="73"/>
  <c r="AS233" i="73"/>
  <c r="AR233" i="73"/>
  <c r="AQ233" i="73"/>
  <c r="AP233" i="73"/>
  <c r="AO233" i="73"/>
  <c r="AN233" i="73"/>
  <c r="AM233" i="73"/>
  <c r="AL233" i="73"/>
  <c r="AK233" i="73"/>
  <c r="AJ233" i="73"/>
  <c r="AI233" i="73"/>
  <c r="AH233" i="73"/>
  <c r="AG233" i="73"/>
  <c r="AF233" i="73"/>
  <c r="AE233" i="73"/>
  <c r="AD233" i="73"/>
  <c r="AC233" i="73"/>
  <c r="AB233" i="73"/>
  <c r="X233" i="73"/>
  <c r="V233" i="73"/>
  <c r="T233" i="73"/>
  <c r="R233" i="73"/>
  <c r="P233" i="73"/>
  <c r="O233" i="73"/>
  <c r="Y233" i="73" s="1"/>
  <c r="N233" i="73"/>
  <c r="L233" i="73"/>
  <c r="K233" i="73"/>
  <c r="J233" i="73"/>
  <c r="H233" i="73"/>
  <c r="G233" i="73"/>
  <c r="E233" i="73"/>
  <c r="Q4" i="83" l="1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0" i="83"/>
  <c r="Q21" i="83"/>
  <c r="Q22" i="83"/>
  <c r="Q23" i="83"/>
  <c r="Q24" i="83"/>
  <c r="Q25" i="83"/>
  <c r="Q26" i="83"/>
  <c r="Q27" i="83"/>
  <c r="Q29" i="83"/>
  <c r="Q30" i="83"/>
  <c r="Q31" i="83"/>
  <c r="Q32" i="83"/>
  <c r="Q33" i="83"/>
  <c r="Q34" i="83"/>
  <c r="Q35" i="83"/>
  <c r="Q36" i="83"/>
  <c r="Q37" i="83"/>
  <c r="Q39" i="83"/>
  <c r="Q40" i="83"/>
  <c r="Q41" i="83"/>
  <c r="Q42" i="83"/>
  <c r="Q43" i="83"/>
  <c r="Q44" i="83"/>
  <c r="Q46" i="83"/>
  <c r="Q47" i="83"/>
  <c r="Q48" i="83"/>
  <c r="Q49" i="83"/>
  <c r="Q50" i="83"/>
  <c r="Q52" i="83"/>
  <c r="Q53" i="83"/>
  <c r="Q54" i="83"/>
  <c r="Q55" i="83"/>
  <c r="Q56" i="83"/>
  <c r="Q57" i="83"/>
  <c r="Q58" i="83"/>
  <c r="Q59" i="83"/>
  <c r="Q60" i="83"/>
  <c r="Q61" i="83"/>
  <c r="Q62" i="83"/>
  <c r="Q63" i="83"/>
  <c r="Q64" i="83"/>
  <c r="Q65" i="83"/>
  <c r="Q66" i="83"/>
  <c r="Q67" i="83"/>
  <c r="Q68" i="83"/>
  <c r="Q70" i="83"/>
  <c r="Q71" i="83"/>
  <c r="Q72" i="83"/>
  <c r="Q73" i="83"/>
  <c r="Q74" i="83"/>
  <c r="Q69" i="83" l="1"/>
  <c r="Q75" i="83"/>
  <c r="Q51" i="83"/>
  <c r="Q38" i="83"/>
  <c r="Q45" i="83"/>
  <c r="P147" i="9"/>
  <c r="P148" i="9"/>
  <c r="Q76" i="83" l="1"/>
  <c r="R109" i="9"/>
  <c r="N87" i="77" l="1"/>
  <c r="X87" i="77" s="1"/>
  <c r="BE209" i="73"/>
  <c r="BD209" i="73"/>
  <c r="BC209" i="73"/>
  <c r="BB209" i="73"/>
  <c r="BA209" i="73"/>
  <c r="AZ209" i="73"/>
  <c r="AY209" i="73"/>
  <c r="AX209" i="73"/>
  <c r="AW209" i="73"/>
  <c r="AV209" i="73"/>
  <c r="AU209" i="73"/>
  <c r="AT209" i="73"/>
  <c r="AS209" i="73"/>
  <c r="AR209" i="73"/>
  <c r="AQ209" i="73"/>
  <c r="AP209" i="73"/>
  <c r="AO209" i="73"/>
  <c r="AN209" i="73"/>
  <c r="AM209" i="73"/>
  <c r="AL209" i="73"/>
  <c r="AK209" i="73"/>
  <c r="AJ209" i="73"/>
  <c r="AI209" i="73"/>
  <c r="AH209" i="73"/>
  <c r="AG209" i="73"/>
  <c r="AF209" i="73"/>
  <c r="AE209" i="73"/>
  <c r="AD209" i="73"/>
  <c r="AC209" i="73"/>
  <c r="AB209" i="73"/>
  <c r="X209" i="73"/>
  <c r="V209" i="73"/>
  <c r="T209" i="73"/>
  <c r="R209" i="73"/>
  <c r="P209" i="73"/>
  <c r="O209" i="73"/>
  <c r="Y209" i="73" s="1"/>
  <c r="N209" i="73"/>
  <c r="L209" i="73"/>
  <c r="K209" i="73"/>
  <c r="J209" i="73"/>
  <c r="H209" i="73"/>
  <c r="G209" i="73"/>
  <c r="E209" i="73"/>
  <c r="P55" i="77"/>
  <c r="T55" i="77" s="1"/>
  <c r="Q55" i="77"/>
  <c r="U55" i="77" s="1"/>
  <c r="P38" i="77"/>
  <c r="T38" i="77" s="1"/>
  <c r="Q38" i="77"/>
  <c r="U38" i="77" s="1"/>
  <c r="N47" i="77"/>
  <c r="X47" i="77" s="1"/>
  <c r="O47" i="77"/>
  <c r="Y47" i="77" s="1"/>
  <c r="P16" i="52" l="1"/>
  <c r="O16" i="52"/>
  <c r="P103" i="9"/>
  <c r="O82" i="26" l="1"/>
  <c r="O30" i="15" l="1"/>
  <c r="O29" i="15"/>
  <c r="O28" i="15"/>
  <c r="O24" i="15"/>
  <c r="O23" i="15"/>
  <c r="O22" i="15"/>
  <c r="O21" i="15"/>
  <c r="O20" i="15"/>
  <c r="N18" i="15"/>
  <c r="O17" i="15"/>
  <c r="O14" i="15"/>
  <c r="N11" i="15"/>
  <c r="N12" i="15" s="1"/>
  <c r="O10" i="15"/>
  <c r="O9" i="15"/>
  <c r="N9" i="15"/>
  <c r="O8" i="15"/>
  <c r="N8" i="15"/>
  <c r="O7" i="15"/>
  <c r="O6" i="15"/>
  <c r="O5" i="15"/>
  <c r="O31" i="15" l="1"/>
  <c r="O35" i="15" s="1"/>
  <c r="O15" i="15" s="1"/>
  <c r="O16" i="15" s="1"/>
  <c r="N117" i="17"/>
  <c r="N115" i="17"/>
  <c r="O87" i="17"/>
  <c r="O86" i="17"/>
  <c r="O85" i="17"/>
  <c r="O84" i="17"/>
  <c r="O83" i="17"/>
  <c r="N83" i="17"/>
  <c r="O79" i="17"/>
  <c r="N79" i="17"/>
  <c r="O74" i="17"/>
  <c r="N74" i="17"/>
  <c r="O67" i="17"/>
  <c r="O69" i="17" s="1"/>
  <c r="N67" i="17"/>
  <c r="N69" i="17" s="1"/>
  <c r="N61" i="17"/>
  <c r="O59" i="17"/>
  <c r="O60" i="17" s="1"/>
  <c r="N58" i="17"/>
  <c r="N57" i="17"/>
  <c r="N59" i="17" s="1"/>
  <c r="N55" i="17"/>
  <c r="O52" i="17"/>
  <c r="O53" i="17" s="1"/>
  <c r="N52" i="17"/>
  <c r="O49" i="17"/>
  <c r="N48" i="17"/>
  <c r="O47" i="17"/>
  <c r="N46" i="17"/>
  <c r="O44" i="17"/>
  <c r="O50" i="17" s="1"/>
  <c r="N44" i="17"/>
  <c r="O43" i="17"/>
  <c r="O41" i="17"/>
  <c r="O39" i="17"/>
  <c r="O26" i="17"/>
  <c r="O22" i="17"/>
  <c r="O16" i="17" s="1"/>
  <c r="O34" i="17" s="1"/>
  <c r="N21" i="17"/>
  <c r="N19" i="17"/>
  <c r="N18" i="17"/>
  <c r="N22" i="17" s="1"/>
  <c r="N16" i="17"/>
  <c r="N30" i="17" s="1"/>
  <c r="N15" i="17"/>
  <c r="O14" i="17"/>
  <c r="O12" i="17"/>
  <c r="O9" i="17"/>
  <c r="O11" i="17" s="1"/>
  <c r="N9" i="17"/>
  <c r="N11" i="17" s="1"/>
  <c r="O41" i="72"/>
  <c r="K29" i="72"/>
  <c r="Y29" i="72" s="1"/>
  <c r="O29" i="72"/>
  <c r="S29" i="72" s="1"/>
  <c r="BE7" i="71"/>
  <c r="BO7" i="71" s="1"/>
  <c r="BE8" i="71"/>
  <c r="BO8" i="71" s="1"/>
  <c r="BE9" i="71"/>
  <c r="BE10" i="71"/>
  <c r="BO10" i="71" s="1"/>
  <c r="BE11" i="71"/>
  <c r="BO11" i="71" s="1"/>
  <c r="BE12" i="71"/>
  <c r="BO12" i="71" s="1"/>
  <c r="BE13" i="71"/>
  <c r="BO13" i="71" s="1"/>
  <c r="BE14" i="71"/>
  <c r="BO14" i="71" s="1"/>
  <c r="BE15" i="71"/>
  <c r="BO15" i="71" s="1"/>
  <c r="BE16" i="71"/>
  <c r="BO16" i="71" s="1"/>
  <c r="BE17" i="71"/>
  <c r="BO17" i="71" s="1"/>
  <c r="BE18" i="71"/>
  <c r="BO18" i="71" s="1"/>
  <c r="BE19" i="71"/>
  <c r="BE20" i="71"/>
  <c r="BE21" i="71"/>
  <c r="BE22" i="71"/>
  <c r="BE23" i="71"/>
  <c r="BO23" i="71" s="1"/>
  <c r="BE24" i="71"/>
  <c r="BO24" i="71" s="1"/>
  <c r="BE25" i="71"/>
  <c r="BE26" i="71"/>
  <c r="BO26" i="71" s="1"/>
  <c r="BE27" i="71"/>
  <c r="BO27" i="71" s="1"/>
  <c r="BE28" i="71"/>
  <c r="BO28" i="71" s="1"/>
  <c r="BE29" i="71"/>
  <c r="BO29" i="71" s="1"/>
  <c r="BE30" i="71"/>
  <c r="BO30" i="71" s="1"/>
  <c r="BE32" i="71"/>
  <c r="BO32" i="71" s="1"/>
  <c r="BE33" i="71"/>
  <c r="BO33" i="71" s="1"/>
  <c r="BE34" i="71"/>
  <c r="BE35" i="71"/>
  <c r="BE36" i="71"/>
  <c r="BO36" i="71" s="1"/>
  <c r="BE37" i="71"/>
  <c r="BO37" i="71" s="1"/>
  <c r="BE38" i="71"/>
  <c r="BO38" i="71" s="1"/>
  <c r="BE39" i="71"/>
  <c r="BE40" i="71"/>
  <c r="BE41" i="71"/>
  <c r="BE42" i="71"/>
  <c r="BO42" i="71" s="1"/>
  <c r="BE43" i="71"/>
  <c r="BE44" i="71"/>
  <c r="BE45" i="71"/>
  <c r="BE46" i="71"/>
  <c r="BE47" i="71"/>
  <c r="BE48" i="71"/>
  <c r="BO48" i="71" s="1"/>
  <c r="BE49" i="71"/>
  <c r="BO49" i="71" s="1"/>
  <c r="BE50" i="71"/>
  <c r="BO50" i="71" s="1"/>
  <c r="BE51" i="71"/>
  <c r="BE52" i="71"/>
  <c r="BC19" i="71"/>
  <c r="BC17" i="71"/>
  <c r="BG17" i="71" s="1"/>
  <c r="BK17" i="71" s="1"/>
  <c r="AB17" i="71"/>
  <c r="AB19" i="71"/>
  <c r="I19" i="71"/>
  <c r="AQ17" i="71" l="1"/>
  <c r="AR17" i="71" s="1"/>
  <c r="AG17" i="71"/>
  <c r="AG19" i="71"/>
  <c r="AQ19" i="71"/>
  <c r="AR19" i="71" s="1"/>
  <c r="O82" i="90"/>
  <c r="BO46" i="71"/>
  <c r="O76" i="90"/>
  <c r="BO39" i="71"/>
  <c r="O73" i="90"/>
  <c r="BO25" i="71"/>
  <c r="O69" i="90"/>
  <c r="BO19" i="71"/>
  <c r="BQ19" i="71" s="1"/>
  <c r="O74" i="90"/>
  <c r="BO34" i="71"/>
  <c r="O68" i="90"/>
  <c r="BO9" i="71"/>
  <c r="O81" i="90"/>
  <c r="BO45" i="71"/>
  <c r="O79" i="90"/>
  <c r="BO43" i="71"/>
  <c r="O70" i="90"/>
  <c r="BO20" i="71"/>
  <c r="BQ17" i="71"/>
  <c r="X19" i="71"/>
  <c r="N19" i="71"/>
  <c r="O77" i="90"/>
  <c r="BO40" i="71"/>
  <c r="O71" i="90"/>
  <c r="BO21" i="71"/>
  <c r="O84" i="90"/>
  <c r="BO51" i="71"/>
  <c r="O80" i="90"/>
  <c r="BO44" i="71"/>
  <c r="BG19" i="71"/>
  <c r="BK19" i="71" s="1"/>
  <c r="O83" i="90"/>
  <c r="BO47" i="71"/>
  <c r="O78" i="90"/>
  <c r="BO41" i="71"/>
  <c r="O75" i="90"/>
  <c r="BO35" i="71"/>
  <c r="O72" i="90"/>
  <c r="BO22" i="71"/>
  <c r="O13" i="17"/>
  <c r="O15" i="17"/>
  <c r="O117" i="17"/>
  <c r="O62" i="17"/>
  <c r="N119" i="17"/>
  <c r="N50" i="17"/>
  <c r="N114" i="17" s="1"/>
  <c r="O33" i="17"/>
  <c r="N62" i="17"/>
  <c r="N60" i="17"/>
  <c r="O54" i="17"/>
  <c r="O114" i="17"/>
  <c r="O51" i="17"/>
  <c r="O55" i="17" s="1"/>
  <c r="N34" i="17"/>
  <c r="N31" i="17"/>
  <c r="N32" i="17"/>
  <c r="O32" i="17"/>
  <c r="O30" i="17"/>
  <c r="N116" i="17"/>
  <c r="O116" i="17"/>
  <c r="O31" i="17"/>
  <c r="O45" i="17"/>
  <c r="O118" i="17" l="1"/>
  <c r="N118" i="17"/>
  <c r="N54" i="17"/>
  <c r="O115" i="17"/>
  <c r="O119" i="17" s="1"/>
  <c r="O130" i="26" l="1"/>
  <c r="N130" i="26"/>
  <c r="O114" i="26"/>
  <c r="N112" i="26"/>
  <c r="N110" i="26"/>
  <c r="N108" i="26"/>
  <c r="N106" i="26"/>
  <c r="N104" i="26"/>
  <c r="N102" i="26"/>
  <c r="N100" i="26"/>
  <c r="N98" i="26"/>
  <c r="O94" i="26"/>
  <c r="N91" i="26"/>
  <c r="X91" i="26" s="1"/>
  <c r="N89" i="26"/>
  <c r="X89" i="26" s="1"/>
  <c r="N87" i="26"/>
  <c r="X87" i="26" s="1"/>
  <c r="N85" i="26"/>
  <c r="N86" i="17" s="1"/>
  <c r="O83" i="26"/>
  <c r="N80" i="26"/>
  <c r="N78" i="26"/>
  <c r="O75" i="26"/>
  <c r="N73" i="26"/>
  <c r="N71" i="26"/>
  <c r="N69" i="26"/>
  <c r="N67" i="26"/>
  <c r="N65" i="26"/>
  <c r="N63" i="26"/>
  <c r="N85" i="17" s="1"/>
  <c r="N61" i="26"/>
  <c r="N59" i="26"/>
  <c r="N54" i="26"/>
  <c r="N52" i="26"/>
  <c r="O50" i="26"/>
  <c r="O57" i="26" s="1"/>
  <c r="N48" i="26"/>
  <c r="N50" i="26" s="1"/>
  <c r="O45" i="26"/>
  <c r="N43" i="26"/>
  <c r="N41" i="26"/>
  <c r="N39" i="26"/>
  <c r="N37" i="26"/>
  <c r="N35" i="26"/>
  <c r="N33" i="26"/>
  <c r="N31" i="26"/>
  <c r="N29" i="26"/>
  <c r="N84" i="17" s="1"/>
  <c r="N27" i="26"/>
  <c r="N26" i="17" s="1"/>
  <c r="N33" i="17" s="1"/>
  <c r="N25" i="26"/>
  <c r="N23" i="26"/>
  <c r="N21" i="26"/>
  <c r="N17" i="26"/>
  <c r="N15" i="26"/>
  <c r="O12" i="26"/>
  <c r="O19" i="26" s="1"/>
  <c r="N11" i="26"/>
  <c r="N9" i="26"/>
  <c r="N114" i="26" l="1"/>
  <c r="N87" i="17"/>
  <c r="N83" i="26"/>
  <c r="N82" i="26"/>
  <c r="N94" i="26"/>
  <c r="N75" i="26"/>
  <c r="N45" i="26"/>
  <c r="N12" i="26"/>
  <c r="N19" i="26" s="1"/>
  <c r="N57" i="26"/>
  <c r="N51" i="26"/>
  <c r="N56" i="26"/>
  <c r="O18" i="26"/>
  <c r="O56" i="26"/>
  <c r="O13" i="26"/>
  <c r="O51" i="26"/>
  <c r="N13" i="26" l="1"/>
  <c r="N18" i="26"/>
  <c r="O37" i="27"/>
  <c r="O35" i="27"/>
  <c r="O27" i="27"/>
  <c r="O29" i="27"/>
  <c r="O28" i="27"/>
  <c r="O20" i="27"/>
  <c r="O19" i="27"/>
  <c r="O18" i="27"/>
  <c r="N36" i="27" l="1"/>
  <c r="N27" i="27"/>
  <c r="N21" i="27"/>
  <c r="N18" i="27"/>
  <c r="N20" i="27"/>
  <c r="N19" i="27"/>
  <c r="N39" i="27"/>
  <c r="O36" i="27"/>
  <c r="O39" i="27" s="1"/>
  <c r="N33" i="27"/>
  <c r="O26" i="27"/>
  <c r="O33" i="27" s="1"/>
  <c r="O22" i="27"/>
  <c r="O21" i="27"/>
  <c r="O24" i="27"/>
  <c r="N24" i="27" l="1"/>
  <c r="P28" i="22" l="1"/>
  <c r="P24" i="22"/>
  <c r="P26" i="22" s="1"/>
  <c r="P23" i="22"/>
  <c r="P14" i="22"/>
  <c r="P10" i="22"/>
  <c r="P12" i="22" s="1"/>
  <c r="P9" i="22"/>
  <c r="P46" i="35"/>
  <c r="Z46" i="35" s="1"/>
  <c r="L46" i="35"/>
  <c r="N46" i="35" s="1"/>
  <c r="R46" i="35" l="1"/>
  <c r="V46" i="35" s="1"/>
  <c r="AB46" i="35"/>
  <c r="O76" i="45" l="1"/>
  <c r="O68" i="45"/>
  <c r="AC68" i="45" s="1"/>
  <c r="O69" i="45"/>
  <c r="AC69" i="45" s="1"/>
  <c r="O70" i="45"/>
  <c r="AC70" i="45" s="1"/>
  <c r="S68" i="45"/>
  <c r="W68" i="45" s="1"/>
  <c r="AC76" i="45" l="1"/>
  <c r="O175" i="45"/>
  <c r="S69" i="45"/>
  <c r="W69" i="45" s="1"/>
  <c r="AC175" i="45"/>
  <c r="S76" i="45"/>
  <c r="S175" i="45" s="1"/>
  <c r="O34" i="35"/>
  <c r="W76" i="45" l="1"/>
  <c r="W175" i="45" s="1"/>
  <c r="T96" i="38"/>
  <c r="T95" i="38"/>
  <c r="T94" i="38"/>
  <c r="T93" i="38"/>
  <c r="S92" i="38"/>
  <c r="T91" i="38"/>
  <c r="S90" i="38"/>
  <c r="T88" i="38"/>
  <c r="T87" i="38"/>
  <c r="T86" i="38"/>
  <c r="T85" i="38"/>
  <c r="S84" i="38"/>
  <c r="T82" i="38"/>
  <c r="T81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S68" i="38"/>
  <c r="T64" i="38"/>
  <c r="T63" i="38"/>
  <c r="S62" i="38"/>
  <c r="T61" i="38"/>
  <c r="T60" i="38"/>
  <c r="T59" i="38"/>
  <c r="T58" i="38"/>
  <c r="T57" i="38"/>
  <c r="T56" i="38"/>
  <c r="S55" i="38"/>
  <c r="S53" i="38"/>
  <c r="T52" i="38"/>
  <c r="S52" i="38"/>
  <c r="S47" i="38"/>
  <c r="S46" i="38"/>
  <c r="S45" i="38"/>
  <c r="S44" i="38"/>
  <c r="T43" i="38"/>
  <c r="T92" i="38" s="1"/>
  <c r="S42" i="38"/>
  <c r="S41" i="38" s="1"/>
  <c r="T41" i="38"/>
  <c r="T90" i="38" s="1"/>
  <c r="S39" i="38"/>
  <c r="S38" i="38"/>
  <c r="S37" i="38"/>
  <c r="S36" i="38"/>
  <c r="S35" i="38" s="1"/>
  <c r="T35" i="38"/>
  <c r="T84" i="38" s="1"/>
  <c r="S33" i="38"/>
  <c r="S32" i="38"/>
  <c r="S31" i="38"/>
  <c r="S30" i="38"/>
  <c r="S29" i="38"/>
  <c r="S28" i="38"/>
  <c r="P138" i="45" s="1"/>
  <c r="S27" i="38"/>
  <c r="O73" i="11" s="1"/>
  <c r="S26" i="38"/>
  <c r="S25" i="38"/>
  <c r="S24" i="38"/>
  <c r="O99" i="9" s="1"/>
  <c r="S23" i="38"/>
  <c r="S22" i="38"/>
  <c r="S21" i="38"/>
  <c r="S20" i="38"/>
  <c r="T19" i="38"/>
  <c r="T68" i="38" s="1"/>
  <c r="S15" i="38"/>
  <c r="S14" i="38"/>
  <c r="T13" i="38"/>
  <c r="T62" i="38" s="1"/>
  <c r="S12" i="38"/>
  <c r="S11" i="38"/>
  <c r="S10" i="38"/>
  <c r="S9" i="38"/>
  <c r="S8" i="38"/>
  <c r="S7" i="38"/>
  <c r="T6" i="38"/>
  <c r="T55" i="38" s="1"/>
  <c r="O25" i="72"/>
  <c r="S25" i="72" s="1"/>
  <c r="O26" i="72"/>
  <c r="S26" i="72" s="1"/>
  <c r="O28" i="72"/>
  <c r="S28" i="72" s="1"/>
  <c r="O30" i="72"/>
  <c r="S30" i="72" s="1"/>
  <c r="O31" i="72"/>
  <c r="Q157" i="45"/>
  <c r="Q156" i="45"/>
  <c r="Q154" i="45"/>
  <c r="Q148" i="45"/>
  <c r="Q155" i="45" s="1"/>
  <c r="Q143" i="45"/>
  <c r="P143" i="45"/>
  <c r="Q142" i="45"/>
  <c r="P142" i="45"/>
  <c r="Q141" i="45"/>
  <c r="P141" i="45"/>
  <c r="Q140" i="45"/>
  <c r="P140" i="45"/>
  <c r="Q138" i="45"/>
  <c r="Q136" i="45"/>
  <c r="P136" i="45"/>
  <c r="Q134" i="45"/>
  <c r="P134" i="45"/>
  <c r="Q131" i="45"/>
  <c r="Q132" i="45" s="1"/>
  <c r="P131" i="45"/>
  <c r="P132" i="45" s="1"/>
  <c r="Q129" i="45"/>
  <c r="Q126" i="45" s="1"/>
  <c r="Q109" i="45"/>
  <c r="Q159" i="45" s="1"/>
  <c r="Q108" i="45"/>
  <c r="Q144" i="45" s="1"/>
  <c r="P108" i="45"/>
  <c r="P144" i="45" s="1"/>
  <c r="Q107" i="45"/>
  <c r="Q158" i="45" s="1"/>
  <c r="R43" i="11"/>
  <c r="P91" i="11"/>
  <c r="P89" i="11"/>
  <c r="P83" i="11"/>
  <c r="P84" i="11" s="1"/>
  <c r="P78" i="11"/>
  <c r="O78" i="11"/>
  <c r="P77" i="11"/>
  <c r="O77" i="11"/>
  <c r="P76" i="11"/>
  <c r="O76" i="11"/>
  <c r="P75" i="11"/>
  <c r="O75" i="11"/>
  <c r="P73" i="11"/>
  <c r="P71" i="11"/>
  <c r="O71" i="11"/>
  <c r="P69" i="11"/>
  <c r="O69" i="11"/>
  <c r="P66" i="11"/>
  <c r="P67" i="11" s="1"/>
  <c r="O66" i="11"/>
  <c r="O67" i="11" s="1"/>
  <c r="P64" i="11"/>
  <c r="P61" i="11" s="1"/>
  <c r="P59" i="11"/>
  <c r="P57" i="11"/>
  <c r="P93" i="11" s="1"/>
  <c r="P56" i="11"/>
  <c r="O56" i="11"/>
  <c r="O55" i="11" s="1"/>
  <c r="P55" i="11"/>
  <c r="P92" i="11" s="1"/>
  <c r="P190" i="10"/>
  <c r="P188" i="10"/>
  <c r="P182" i="10"/>
  <c r="P183" i="10" s="1"/>
  <c r="P177" i="10"/>
  <c r="O177" i="10"/>
  <c r="P176" i="10"/>
  <c r="O176" i="10"/>
  <c r="P175" i="10"/>
  <c r="O175" i="10"/>
  <c r="P174" i="10"/>
  <c r="O174" i="10"/>
  <c r="P172" i="10"/>
  <c r="O172" i="10"/>
  <c r="P170" i="10"/>
  <c r="O170" i="10"/>
  <c r="P168" i="10"/>
  <c r="O168" i="10"/>
  <c r="P165" i="10"/>
  <c r="P166" i="10" s="1"/>
  <c r="O165" i="10"/>
  <c r="O166" i="10" s="1"/>
  <c r="P155" i="10"/>
  <c r="P192" i="10" s="1"/>
  <c r="P154" i="10"/>
  <c r="P201" i="10" s="1"/>
  <c r="O154" i="10"/>
  <c r="O153" i="10" s="1"/>
  <c r="P153" i="10"/>
  <c r="O101" i="9"/>
  <c r="P99" i="9"/>
  <c r="P98" i="9"/>
  <c r="O98" i="9"/>
  <c r="P97" i="9"/>
  <c r="O97" i="9"/>
  <c r="P93" i="9"/>
  <c r="O76" i="9"/>
  <c r="O77" i="9" s="1"/>
  <c r="O74" i="9"/>
  <c r="P60" i="9"/>
  <c r="P57" i="9"/>
  <c r="O53" i="9"/>
  <c r="O52" i="9"/>
  <c r="O47" i="9"/>
  <c r="P46" i="9"/>
  <c r="P36" i="9"/>
  <c r="P48" i="9" s="1"/>
  <c r="P35" i="9"/>
  <c r="P47" i="9" s="1"/>
  <c r="P34" i="9"/>
  <c r="P31" i="9"/>
  <c r="P25" i="9"/>
  <c r="O24" i="9"/>
  <c r="O22" i="9"/>
  <c r="P19" i="9"/>
  <c r="P10" i="9"/>
  <c r="P5" i="9"/>
  <c r="P109" i="8"/>
  <c r="P111" i="8" s="1"/>
  <c r="P94" i="8"/>
  <c r="P91" i="8"/>
  <c r="O91" i="8"/>
  <c r="P89" i="8"/>
  <c r="O89" i="8"/>
  <c r="P88" i="8"/>
  <c r="O88" i="8"/>
  <c r="O87" i="8"/>
  <c r="O82" i="8"/>
  <c r="P80" i="8"/>
  <c r="P76" i="8"/>
  <c r="O75" i="8"/>
  <c r="O74" i="8"/>
  <c r="O73" i="8"/>
  <c r="O72" i="8"/>
  <c r="O71" i="8"/>
  <c r="P68" i="8"/>
  <c r="P69" i="8" s="1"/>
  <c r="P66" i="8"/>
  <c r="P67" i="8" s="1"/>
  <c r="P64" i="8"/>
  <c r="P65" i="8" s="1"/>
  <c r="P34" i="8" s="1"/>
  <c r="P61" i="8"/>
  <c r="P58" i="8"/>
  <c r="P62" i="8" s="1"/>
  <c r="O52" i="8"/>
  <c r="P49" i="8"/>
  <c r="O49" i="8"/>
  <c r="O47" i="8"/>
  <c r="O46" i="8"/>
  <c r="O45" i="8"/>
  <c r="O44" i="8"/>
  <c r="O43" i="8"/>
  <c r="O41" i="8"/>
  <c r="O40" i="8"/>
  <c r="O39" i="8"/>
  <c r="O42" i="8" s="1"/>
  <c r="P26" i="8"/>
  <c r="P17" i="8"/>
  <c r="O17" i="8"/>
  <c r="O15" i="8"/>
  <c r="O14" i="8"/>
  <c r="P13" i="8"/>
  <c r="P16" i="8" s="1"/>
  <c r="O13" i="8"/>
  <c r="P6" i="8"/>
  <c r="P40" i="8" s="1"/>
  <c r="O6" i="8"/>
  <c r="O113" i="7"/>
  <c r="O112" i="7"/>
  <c r="O111" i="7"/>
  <c r="O110" i="7"/>
  <c r="O109" i="7"/>
  <c r="O108" i="7"/>
  <c r="O107" i="7"/>
  <c r="O106" i="7"/>
  <c r="O85" i="7"/>
  <c r="P84" i="7"/>
  <c r="O84" i="7"/>
  <c r="P82" i="7"/>
  <c r="O82" i="7"/>
  <c r="P73" i="7"/>
  <c r="O73" i="7"/>
  <c r="P69" i="7"/>
  <c r="P71" i="7" s="1"/>
  <c r="O69" i="7"/>
  <c r="O71" i="7" s="1"/>
  <c r="P65" i="7"/>
  <c r="P81" i="7" s="1"/>
  <c r="O65" i="7"/>
  <c r="O76" i="7" s="1"/>
  <c r="P20" i="7"/>
  <c r="O49" i="39" s="1"/>
  <c r="O20" i="7"/>
  <c r="O39" i="7" s="1"/>
  <c r="O49" i="7" s="1"/>
  <c r="O61" i="39"/>
  <c r="O60" i="39"/>
  <c r="O48" i="39"/>
  <c r="O47" i="39"/>
  <c r="O46" i="39"/>
  <c r="O43" i="39"/>
  <c r="O42" i="39"/>
  <c r="O8" i="39"/>
  <c r="O22" i="39" s="1"/>
  <c r="P223" i="6"/>
  <c r="O223" i="6"/>
  <c r="P222" i="6"/>
  <c r="O222" i="6"/>
  <c r="O199" i="6"/>
  <c r="P198" i="6"/>
  <c r="O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O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O132" i="6"/>
  <c r="P131" i="6"/>
  <c r="O131" i="6"/>
  <c r="P130" i="6"/>
  <c r="O130" i="6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P45" i="6"/>
  <c r="O41" i="6"/>
  <c r="P34" i="6"/>
  <c r="P33" i="6"/>
  <c r="P32" i="6"/>
  <c r="P29" i="6"/>
  <c r="P26" i="6"/>
  <c r="P23" i="6"/>
  <c r="O18" i="6"/>
  <c r="O17" i="6"/>
  <c r="O30" i="6" s="1"/>
  <c r="O16" i="6"/>
  <c r="O15" i="6"/>
  <c r="P9" i="6"/>
  <c r="P8" i="6"/>
  <c r="O7" i="6"/>
  <c r="O87" i="77"/>
  <c r="Y87" i="77" s="1"/>
  <c r="O86" i="77"/>
  <c r="Y86" i="77" s="1"/>
  <c r="O85" i="77"/>
  <c r="Y85" i="77" s="1"/>
  <c r="O82" i="77"/>
  <c r="Y82" i="77" s="1"/>
  <c r="N82" i="77"/>
  <c r="X82" i="77" s="1"/>
  <c r="O78" i="77"/>
  <c r="Y78" i="77" s="1"/>
  <c r="O76" i="77"/>
  <c r="Y76" i="77" s="1"/>
  <c r="O75" i="77"/>
  <c r="N74" i="77"/>
  <c r="X74" i="77" s="1"/>
  <c r="O72" i="77"/>
  <c r="Y72" i="77" s="1"/>
  <c r="N72" i="77"/>
  <c r="X72" i="77" s="1"/>
  <c r="O64" i="77"/>
  <c r="Y64" i="77" s="1"/>
  <c r="N64" i="77"/>
  <c r="X64" i="77" s="1"/>
  <c r="O36" i="77"/>
  <c r="Y36" i="77" s="1"/>
  <c r="N36" i="77"/>
  <c r="X36" i="77" s="1"/>
  <c r="O32" i="77"/>
  <c r="Y32" i="77" s="1"/>
  <c r="N32" i="77"/>
  <c r="X32" i="77" s="1"/>
  <c r="O26" i="77"/>
  <c r="Y26" i="77" s="1"/>
  <c r="N26" i="77"/>
  <c r="X26" i="77" s="1"/>
  <c r="O21" i="77"/>
  <c r="Y21" i="77" s="1"/>
  <c r="N21" i="77"/>
  <c r="X21" i="77" s="1"/>
  <c r="O13" i="77"/>
  <c r="Y13" i="77" s="1"/>
  <c r="N13" i="77"/>
  <c r="X13" i="77" s="1"/>
  <c r="O7" i="77"/>
  <c r="Y7" i="77" s="1"/>
  <c r="N7" i="77"/>
  <c r="X7" i="77" s="1"/>
  <c r="O23" i="7" l="1"/>
  <c r="O29" i="7"/>
  <c r="O94" i="7" s="1"/>
  <c r="O32" i="7"/>
  <c r="O99" i="7" s="1"/>
  <c r="O29" i="8"/>
  <c r="S13" i="38"/>
  <c r="S67" i="38"/>
  <c r="P94" i="9"/>
  <c r="O18" i="15" s="1"/>
  <c r="O132" i="26"/>
  <c r="P33" i="22"/>
  <c r="O19" i="6"/>
  <c r="P14" i="9"/>
  <c r="Y75" i="77"/>
  <c r="O74" i="77"/>
  <c r="O98" i="11"/>
  <c r="O84" i="77"/>
  <c r="Y84" i="77" s="1"/>
  <c r="N79" i="77"/>
  <c r="X79" i="77" s="1"/>
  <c r="Y74" i="77"/>
  <c r="P74" i="8"/>
  <c r="P36" i="8"/>
  <c r="S89" i="38"/>
  <c r="S65" i="38"/>
  <c r="P56" i="7"/>
  <c r="O31" i="8"/>
  <c r="O24" i="8"/>
  <c r="O85" i="8"/>
  <c r="O92" i="8"/>
  <c r="O27" i="8"/>
  <c r="O59" i="8" s="1"/>
  <c r="O63" i="8" s="1"/>
  <c r="Q139" i="45"/>
  <c r="P184" i="10"/>
  <c r="P173" i="10"/>
  <c r="P62" i="9"/>
  <c r="P96" i="9"/>
  <c r="P90" i="9"/>
  <c r="P89" i="9"/>
  <c r="P91" i="9" s="1"/>
  <c r="P100" i="9"/>
  <c r="P37" i="9"/>
  <c r="P59" i="8"/>
  <c r="P133" i="6"/>
  <c r="P103" i="6"/>
  <c r="P107" i="6" s="1"/>
  <c r="P150" i="6" s="1"/>
  <c r="O34" i="39"/>
  <c r="P92" i="8"/>
  <c r="O56" i="7"/>
  <c r="O26" i="7"/>
  <c r="O91" i="7" s="1"/>
  <c r="O59" i="7"/>
  <c r="O101" i="7" s="1"/>
  <c r="O35" i="7"/>
  <c r="O102" i="7" s="1"/>
  <c r="O53" i="7"/>
  <c r="O83" i="7"/>
  <c r="O168" i="6"/>
  <c r="O163" i="6"/>
  <c r="O27" i="6"/>
  <c r="O50" i="8"/>
  <c r="O58" i="11"/>
  <c r="O79" i="11"/>
  <c r="O74" i="11"/>
  <c r="O178" i="10"/>
  <c r="O161" i="10"/>
  <c r="O173" i="10"/>
  <c r="O16" i="8"/>
  <c r="S43" i="38"/>
  <c r="S40" i="38" s="1"/>
  <c r="S17" i="38" s="1"/>
  <c r="S66" i="38"/>
  <c r="S19" i="38"/>
  <c r="S18" i="38" s="1"/>
  <c r="S6" i="38"/>
  <c r="S16" i="38" s="1"/>
  <c r="T18" i="38"/>
  <c r="T40" i="38"/>
  <c r="T89" i="38" s="1"/>
  <c r="T16" i="38"/>
  <c r="Q160" i="45"/>
  <c r="Q150" i="45"/>
  <c r="Q123" i="45"/>
  <c r="Q124" i="45"/>
  <c r="Q125" i="45" s="1"/>
  <c r="Q162" i="45"/>
  <c r="P123" i="45"/>
  <c r="P139" i="45"/>
  <c r="P107" i="45"/>
  <c r="Q149" i="45"/>
  <c r="P124" i="45"/>
  <c r="P90" i="11"/>
  <c r="P96" i="11" s="1"/>
  <c r="P85" i="11"/>
  <c r="P74" i="11"/>
  <c r="P60" i="11"/>
  <c r="P94" i="11"/>
  <c r="P58" i="11"/>
  <c r="P79" i="11"/>
  <c r="P189" i="10"/>
  <c r="P191" i="10"/>
  <c r="P197" i="10"/>
  <c r="P161" i="10"/>
  <c r="P178" i="10"/>
  <c r="O25" i="9"/>
  <c r="O88" i="9" s="1"/>
  <c r="P49" i="9"/>
  <c r="P72" i="9" s="1"/>
  <c r="P72" i="8"/>
  <c r="P73" i="8"/>
  <c r="P37" i="8"/>
  <c r="P43" i="8"/>
  <c r="P50" i="8"/>
  <c r="P86" i="8"/>
  <c r="P41" i="8"/>
  <c r="P44" i="8"/>
  <c r="P47" i="8"/>
  <c r="O23" i="8"/>
  <c r="O28" i="8"/>
  <c r="P110" i="8"/>
  <c r="P46" i="8"/>
  <c r="P39" i="8"/>
  <c r="P45" i="8"/>
  <c r="P63" i="8"/>
  <c r="P35" i="8" s="1"/>
  <c r="O25" i="8"/>
  <c r="O30" i="8"/>
  <c r="P82" i="8"/>
  <c r="P23" i="7"/>
  <c r="P29" i="7"/>
  <c r="P94" i="7" s="1"/>
  <c r="P35" i="7"/>
  <c r="P102" i="7" s="1"/>
  <c r="P57" i="7"/>
  <c r="P67" i="7"/>
  <c r="P24" i="7"/>
  <c r="P30" i="7"/>
  <c r="P95" i="7" s="1"/>
  <c r="P76" i="7"/>
  <c r="P53" i="7"/>
  <c r="P59" i="7"/>
  <c r="P101" i="7" s="1"/>
  <c r="P26" i="7"/>
  <c r="P91" i="7" s="1"/>
  <c r="P32" i="7"/>
  <c r="P99" i="7" s="1"/>
  <c r="P54" i="7"/>
  <c r="P96" i="7" s="1"/>
  <c r="P60" i="7"/>
  <c r="P83" i="7"/>
  <c r="P27" i="7"/>
  <c r="P92" i="7" s="1"/>
  <c r="P33" i="7"/>
  <c r="P97" i="7" s="1"/>
  <c r="O22" i="7"/>
  <c r="O25" i="7"/>
  <c r="O28" i="7"/>
  <c r="O93" i="7" s="1"/>
  <c r="O31" i="7"/>
  <c r="O98" i="7" s="1"/>
  <c r="O34" i="7"/>
  <c r="O90" i="7" s="1"/>
  <c r="O52" i="7"/>
  <c r="O88" i="7" s="1"/>
  <c r="O55" i="7"/>
  <c r="O58" i="7"/>
  <c r="O74" i="7"/>
  <c r="P22" i="7"/>
  <c r="P25" i="7"/>
  <c r="P28" i="7"/>
  <c r="P93" i="7" s="1"/>
  <c r="P31" i="7"/>
  <c r="P98" i="7" s="1"/>
  <c r="P34" i="7"/>
  <c r="P90" i="7" s="1"/>
  <c r="P39" i="7"/>
  <c r="P49" i="7" s="1"/>
  <c r="P52" i="7"/>
  <c r="P55" i="7"/>
  <c r="P58" i="7"/>
  <c r="P74" i="7"/>
  <c r="O81" i="7"/>
  <c r="O23" i="39"/>
  <c r="O24" i="39" s="1"/>
  <c r="O24" i="7"/>
  <c r="O27" i="7"/>
  <c r="O92" i="7" s="1"/>
  <c r="O30" i="7"/>
  <c r="O95" i="7" s="1"/>
  <c r="O33" i="7"/>
  <c r="O97" i="7" s="1"/>
  <c r="O54" i="7"/>
  <c r="O96" i="7" s="1"/>
  <c r="O57" i="7"/>
  <c r="O60" i="7"/>
  <c r="O66" i="7"/>
  <c r="O50" i="39"/>
  <c r="O51" i="39" s="1"/>
  <c r="O45" i="39"/>
  <c r="P138" i="6"/>
  <c r="P139" i="6" s="1"/>
  <c r="P143" i="6" s="1"/>
  <c r="P199" i="6" s="1"/>
  <c r="O121" i="6"/>
  <c r="O125" i="6" s="1"/>
  <c r="O172" i="6" s="1"/>
  <c r="P121" i="6"/>
  <c r="P125" i="6" s="1"/>
  <c r="P175" i="6" s="1"/>
  <c r="O133" i="6"/>
  <c r="P57" i="6"/>
  <c r="P35" i="6"/>
  <c r="O31" i="6"/>
  <c r="O32" i="6" s="1"/>
  <c r="O22" i="6"/>
  <c r="O84" i="6"/>
  <c r="O24" i="6"/>
  <c r="P147" i="6"/>
  <c r="O138" i="6"/>
  <c r="O188" i="6"/>
  <c r="O25" i="6"/>
  <c r="O21" i="6"/>
  <c r="O103" i="6"/>
  <c r="O107" i="6" s="1"/>
  <c r="O150" i="6" s="1"/>
  <c r="O81" i="6"/>
  <c r="O194" i="6"/>
  <c r="O28" i="6"/>
  <c r="O29" i="6" s="1"/>
  <c r="P195" i="10" l="1"/>
  <c r="O89" i="7"/>
  <c r="P78" i="8"/>
  <c r="O6" i="26"/>
  <c r="O35" i="8"/>
  <c r="O79" i="77"/>
  <c r="Y79" i="77" s="1"/>
  <c r="P148" i="6"/>
  <c r="P149" i="6" s="1"/>
  <c r="P89" i="7"/>
  <c r="P73" i="9"/>
  <c r="P74" i="9" s="1"/>
  <c r="P71" i="8"/>
  <c r="P42" i="8"/>
  <c r="O100" i="7"/>
  <c r="O175" i="6"/>
  <c r="S49" i="38"/>
  <c r="T65" i="38"/>
  <c r="T17" i="38"/>
  <c r="T66" i="38" s="1"/>
  <c r="T67" i="38"/>
  <c r="P193" i="10"/>
  <c r="P83" i="9"/>
  <c r="P81" i="9"/>
  <c r="P53" i="9"/>
  <c r="P87" i="9"/>
  <c r="P75" i="9"/>
  <c r="P76" i="9"/>
  <c r="P52" i="9"/>
  <c r="P84" i="9"/>
  <c r="P80" i="9"/>
  <c r="P82" i="9"/>
  <c r="P85" i="9"/>
  <c r="P86" i="9"/>
  <c r="P78" i="9"/>
  <c r="P52" i="8"/>
  <c r="P112" i="8"/>
  <c r="P53" i="8" s="1"/>
  <c r="O67" i="8"/>
  <c r="O37" i="8" s="1"/>
  <c r="O109" i="8"/>
  <c r="O110" i="8" s="1"/>
  <c r="O69" i="8"/>
  <c r="O36" i="8" s="1"/>
  <c r="O65" i="8"/>
  <c r="O34" i="8" s="1"/>
  <c r="O26" i="8"/>
  <c r="P70" i="8"/>
  <c r="P88" i="7"/>
  <c r="P36" i="7"/>
  <c r="P51" i="7" s="1"/>
  <c r="P87" i="7"/>
  <c r="O36" i="7"/>
  <c r="O51" i="7" s="1"/>
  <c r="O87" i="7"/>
  <c r="O103" i="7" s="1"/>
  <c r="P100" i="7"/>
  <c r="O173" i="6"/>
  <c r="O174" i="6" s="1"/>
  <c r="P172" i="6"/>
  <c r="P173" i="6"/>
  <c r="O139" i="6"/>
  <c r="O143" i="6" s="1"/>
  <c r="O212" i="6" s="1"/>
  <c r="P207" i="6"/>
  <c r="P210" i="6"/>
  <c r="P206" i="6"/>
  <c r="P212" i="6"/>
  <c r="O148" i="6"/>
  <c r="P197" i="6"/>
  <c r="O34" i="6"/>
  <c r="O33" i="6"/>
  <c r="O23" i="6"/>
  <c r="P203" i="6"/>
  <c r="P204" i="6"/>
  <c r="P213" i="6"/>
  <c r="P217" i="6"/>
  <c r="O26" i="6"/>
  <c r="P218" i="6"/>
  <c r="P211" i="6"/>
  <c r="P208" i="6"/>
  <c r="P205" i="6"/>
  <c r="P216" i="6"/>
  <c r="O147" i="6"/>
  <c r="P174" i="6" l="1"/>
  <c r="O216" i="6"/>
  <c r="O219" i="6" s="1"/>
  <c r="O211" i="6"/>
  <c r="O207" i="6"/>
  <c r="O213" i="6"/>
  <c r="O210" i="6"/>
  <c r="O208" i="6"/>
  <c r="O203" i="6"/>
  <c r="O205" i="6"/>
  <c r="O206" i="6"/>
  <c r="T49" i="38"/>
  <c r="P77" i="9"/>
  <c r="P79" i="9" s="1"/>
  <c r="O111" i="8"/>
  <c r="O112" i="8" s="1"/>
  <c r="P75" i="7"/>
  <c r="P61" i="7"/>
  <c r="O75" i="7"/>
  <c r="O61" i="7"/>
  <c r="P103" i="7"/>
  <c r="O204" i="6"/>
  <c r="P214" i="6"/>
  <c r="P219" i="6"/>
  <c r="O149" i="6"/>
  <c r="O35" i="6"/>
  <c r="P209" i="6"/>
  <c r="O214" i="6" l="1"/>
  <c r="O209" i="6"/>
  <c r="O215" i="6" s="1"/>
  <c r="O220" i="6" s="1"/>
  <c r="P215" i="6"/>
  <c r="P220" i="6" s="1"/>
  <c r="O479" i="28" l="1"/>
  <c r="P436" i="28"/>
  <c r="P432" i="28"/>
  <c r="P400" i="28"/>
  <c r="P399" i="28"/>
  <c r="P392" i="28"/>
  <c r="O392" i="28"/>
  <c r="P376" i="28"/>
  <c r="P278" i="28"/>
  <c r="O278" i="28"/>
  <c r="P272" i="28"/>
  <c r="O272" i="28"/>
  <c r="P271" i="28"/>
  <c r="O271" i="28"/>
  <c r="P232" i="28"/>
  <c r="O232" i="28"/>
  <c r="P215" i="28"/>
  <c r="P214" i="28"/>
  <c r="P216" i="28" s="1"/>
  <c r="P82" i="28"/>
  <c r="P81" i="28"/>
  <c r="P79" i="28"/>
  <c r="P75" i="28"/>
  <c r="P71" i="28"/>
  <c r="P67" i="28"/>
  <c r="O54" i="28"/>
  <c r="O53" i="28"/>
  <c r="O52" i="28"/>
  <c r="P47" i="28"/>
  <c r="P40" i="28"/>
  <c r="P32" i="28"/>
  <c r="P31" i="28"/>
  <c r="P30" i="28"/>
  <c r="P29" i="28"/>
  <c r="P28" i="28"/>
  <c r="P26" i="28"/>
  <c r="O21" i="28"/>
  <c r="O26" i="28" s="1"/>
  <c r="P19" i="28"/>
  <c r="O14" i="28"/>
  <c r="O19" i="28" s="1"/>
  <c r="P12" i="28"/>
  <c r="O7" i="28"/>
  <c r="P467" i="28" l="1"/>
  <c r="P377" i="28"/>
  <c r="P53" i="28"/>
  <c r="P471" i="28"/>
  <c r="P58" i="28"/>
  <c r="P51" i="28"/>
  <c r="P54" i="28"/>
  <c r="P463" i="28"/>
  <c r="P52" i="28"/>
  <c r="P50" i="28"/>
  <c r="P273" i="28"/>
  <c r="P430" i="28"/>
  <c r="P83" i="28"/>
  <c r="P84" i="28" s="1"/>
  <c r="P33" i="28"/>
  <c r="P447" i="28"/>
  <c r="P468" i="28"/>
  <c r="P464" i="28"/>
  <c r="P461" i="28"/>
  <c r="P59" i="28"/>
  <c r="O273" i="28"/>
  <c r="O466" i="28" s="1"/>
  <c r="O59" i="28"/>
  <c r="O69" i="28" s="1"/>
  <c r="P469" i="28"/>
  <c r="O60" i="28"/>
  <c r="O73" i="28" s="1"/>
  <c r="O468" i="28" s="1"/>
  <c r="O377" i="28"/>
  <c r="O470" i="28" s="1"/>
  <c r="P462" i="28"/>
  <c r="P60" i="28"/>
  <c r="P460" i="28"/>
  <c r="O12" i="28"/>
  <c r="P17" i="49"/>
  <c r="P18" i="49" s="1"/>
  <c r="O17" i="49"/>
  <c r="O18" i="49" s="1"/>
  <c r="P11" i="49"/>
  <c r="O11" i="49"/>
  <c r="O10" i="49"/>
  <c r="P9" i="49"/>
  <c r="O9" i="49"/>
  <c r="P8" i="49"/>
  <c r="O8" i="49"/>
  <c r="P6" i="49"/>
  <c r="O6" i="49"/>
  <c r="Q11" i="73"/>
  <c r="U11" i="73" s="1"/>
  <c r="Q13" i="73"/>
  <c r="U13" i="73" s="1"/>
  <c r="Q21" i="73"/>
  <c r="U21" i="73" s="1"/>
  <c r="Q22" i="73"/>
  <c r="U22" i="73" s="1"/>
  <c r="Q105" i="73"/>
  <c r="U105" i="73" s="1"/>
  <c r="Q139" i="73"/>
  <c r="Q189" i="73"/>
  <c r="U189" i="73" s="1"/>
  <c r="Q193" i="73"/>
  <c r="U193" i="73" s="1"/>
  <c r="Q200" i="73"/>
  <c r="U200" i="73" s="1"/>
  <c r="M92" i="73"/>
  <c r="Q92" i="73" s="1"/>
  <c r="U92" i="73" s="1"/>
  <c r="M93" i="73"/>
  <c r="O215" i="73"/>
  <c r="Y215" i="73" s="1"/>
  <c r="O190" i="73"/>
  <c r="O179" i="73"/>
  <c r="O188" i="73" s="1"/>
  <c r="O133" i="73"/>
  <c r="Y133" i="73" s="1"/>
  <c r="O131" i="73"/>
  <c r="Y131" i="73" s="1"/>
  <c r="O129" i="73"/>
  <c r="O125" i="73"/>
  <c r="O121" i="73"/>
  <c r="O114" i="73"/>
  <c r="O11" i="15" s="1"/>
  <c r="O12" i="15" s="1"/>
  <c r="O13" i="15" s="1"/>
  <c r="O108" i="73"/>
  <c r="O102" i="73"/>
  <c r="O65" i="73"/>
  <c r="O58" i="73"/>
  <c r="O53" i="73"/>
  <c r="O48" i="73"/>
  <c r="O34" i="73"/>
  <c r="O23" i="73"/>
  <c r="O16" i="73"/>
  <c r="O14" i="73"/>
  <c r="O8" i="73"/>
  <c r="O6" i="73" s="1"/>
  <c r="S79" i="59"/>
  <c r="S78" i="59"/>
  <c r="S77" i="59"/>
  <c r="R77" i="59"/>
  <c r="R76" i="59"/>
  <c r="R75" i="59"/>
  <c r="S74" i="59"/>
  <c r="R74" i="59"/>
  <c r="S73" i="59"/>
  <c r="R73" i="59"/>
  <c r="S70" i="59"/>
  <c r="R70" i="59"/>
  <c r="S69" i="59"/>
  <c r="R69" i="59"/>
  <c r="S66" i="59"/>
  <c r="R66" i="59"/>
  <c r="S65" i="59"/>
  <c r="R65" i="59"/>
  <c r="S62" i="59"/>
  <c r="R62" i="59"/>
  <c r="S61" i="59"/>
  <c r="R61" i="59"/>
  <c r="S60" i="59"/>
  <c r="S59" i="59"/>
  <c r="R59" i="59"/>
  <c r="S58" i="59"/>
  <c r="R58" i="59"/>
  <c r="R53" i="59"/>
  <c r="S52" i="59"/>
  <c r="R52" i="59"/>
  <c r="S51" i="59"/>
  <c r="R51" i="59"/>
  <c r="S50" i="59"/>
  <c r="R50" i="59"/>
  <c r="S48" i="59"/>
  <c r="R48" i="59"/>
  <c r="S47" i="59"/>
  <c r="R47" i="59"/>
  <c r="S46" i="59"/>
  <c r="R46" i="59"/>
  <c r="S45" i="59"/>
  <c r="R45" i="59"/>
  <c r="S43" i="59"/>
  <c r="R43" i="59"/>
  <c r="S42" i="59"/>
  <c r="R42" i="59"/>
  <c r="S41" i="59"/>
  <c r="R41" i="59"/>
  <c r="R39" i="59"/>
  <c r="R38" i="59"/>
  <c r="R37" i="59"/>
  <c r="S36" i="59"/>
  <c r="R36" i="59"/>
  <c r="S35" i="59"/>
  <c r="R35" i="59"/>
  <c r="S34" i="59"/>
  <c r="R34" i="59"/>
  <c r="S33" i="59"/>
  <c r="R33" i="59"/>
  <c r="S32" i="59"/>
  <c r="R32" i="59"/>
  <c r="S31" i="59"/>
  <c r="R31" i="59"/>
  <c r="S30" i="59"/>
  <c r="R30" i="59"/>
  <c r="S29" i="59"/>
  <c r="R29" i="59"/>
  <c r="S28" i="59"/>
  <c r="R28" i="59"/>
  <c r="S27" i="59"/>
  <c r="S26" i="59"/>
  <c r="S25" i="59"/>
  <c r="S24" i="59"/>
  <c r="S23" i="59"/>
  <c r="R23" i="59"/>
  <c r="S22" i="59"/>
  <c r="R22" i="59"/>
  <c r="S20" i="59"/>
  <c r="S19" i="59"/>
  <c r="S18" i="59"/>
  <c r="S17" i="59"/>
  <c r="S16" i="59"/>
  <c r="R16" i="59"/>
  <c r="S15" i="59"/>
  <c r="R15" i="59"/>
  <c r="S12" i="59"/>
  <c r="R12" i="59"/>
  <c r="S11" i="59"/>
  <c r="R11" i="59"/>
  <c r="O54" i="36"/>
  <c r="O53" i="36"/>
  <c r="O51" i="36"/>
  <c r="O49" i="36"/>
  <c r="O48" i="36"/>
  <c r="P46" i="36"/>
  <c r="P54" i="36" s="1"/>
  <c r="P44" i="36"/>
  <c r="P52" i="36" s="1"/>
  <c r="P43" i="36"/>
  <c r="P41" i="36"/>
  <c r="P49" i="36" s="1"/>
  <c r="P40" i="36"/>
  <c r="P48" i="36" s="1"/>
  <c r="P39" i="36"/>
  <c r="P17" i="36" s="1"/>
  <c r="S55" i="59" s="1"/>
  <c r="P38" i="36"/>
  <c r="P16" i="36" s="1"/>
  <c r="P32" i="36"/>
  <c r="O29" i="36"/>
  <c r="N7" i="15" s="1"/>
  <c r="O28" i="36"/>
  <c r="N6" i="15" s="1"/>
  <c r="O27" i="36"/>
  <c r="N5" i="15" s="1"/>
  <c r="P26" i="36"/>
  <c r="P24" i="36"/>
  <c r="S75" i="59" s="1"/>
  <c r="P23" i="36"/>
  <c r="S72" i="59" s="1"/>
  <c r="O23" i="36"/>
  <c r="R72" i="59" s="1"/>
  <c r="P22" i="36"/>
  <c r="S68" i="59" s="1"/>
  <c r="O22" i="36"/>
  <c r="R68" i="59" s="1"/>
  <c r="P21" i="36"/>
  <c r="S64" i="59" s="1"/>
  <c r="O21" i="36"/>
  <c r="R64" i="59" s="1"/>
  <c r="O17" i="36"/>
  <c r="O16" i="36"/>
  <c r="R54" i="59" s="1"/>
  <c r="O13" i="36"/>
  <c r="R40" i="59" s="1"/>
  <c r="P12" i="36"/>
  <c r="S39" i="59" s="1"/>
  <c r="P11" i="36"/>
  <c r="S38" i="59" s="1"/>
  <c r="P10" i="36"/>
  <c r="P9" i="36"/>
  <c r="S10" i="59" s="1"/>
  <c r="O9" i="36"/>
  <c r="R10" i="59" s="1"/>
  <c r="P8" i="36"/>
  <c r="S9" i="59" s="1"/>
  <c r="O8" i="36"/>
  <c r="R9" i="59" s="1"/>
  <c r="P7" i="36"/>
  <c r="S8" i="59" s="1"/>
  <c r="O7" i="36"/>
  <c r="R8" i="59" s="1"/>
  <c r="O5" i="36"/>
  <c r="R6" i="59" s="1"/>
  <c r="P28" i="21"/>
  <c r="O27" i="21"/>
  <c r="P24" i="21"/>
  <c r="P25" i="21" s="1"/>
  <c r="P18" i="21"/>
  <c r="P15" i="21"/>
  <c r="P12" i="21"/>
  <c r="O12" i="21"/>
  <c r="O22" i="21" s="1"/>
  <c r="P55" i="28" l="1"/>
  <c r="P477" i="28" s="1"/>
  <c r="R78" i="59"/>
  <c r="Q93" i="73"/>
  <c r="U93" i="73" s="1"/>
  <c r="AA93" i="73"/>
  <c r="O50" i="36"/>
  <c r="R79" i="59"/>
  <c r="P465" i="28"/>
  <c r="P458" i="28"/>
  <c r="P457" i="28"/>
  <c r="P61" i="28"/>
  <c r="P62" i="28" s="1"/>
  <c r="P480" i="28"/>
  <c r="P470" i="28"/>
  <c r="P472" i="28"/>
  <c r="P466" i="28"/>
  <c r="O119" i="73"/>
  <c r="O136" i="73"/>
  <c r="Y136" i="73" s="1"/>
  <c r="Q139" i="50"/>
  <c r="O5" i="73"/>
  <c r="P448" i="28"/>
  <c r="P479" i="28"/>
  <c r="O465" i="28"/>
  <c r="O90" i="9"/>
  <c r="R55" i="59"/>
  <c r="O13" i="49"/>
  <c r="O89" i="9"/>
  <c r="O91" i="9" s="1"/>
  <c r="P50" i="36"/>
  <c r="P13" i="36"/>
  <c r="S40" i="59" s="1"/>
  <c r="S37" i="59"/>
  <c r="P45" i="36"/>
  <c r="P42" i="36"/>
  <c r="S54" i="59"/>
  <c r="P18" i="36"/>
  <c r="S56" i="59" s="1"/>
  <c r="R49" i="59"/>
  <c r="S44" i="59"/>
  <c r="S49" i="59"/>
  <c r="R44" i="59"/>
  <c r="O12" i="49"/>
  <c r="O216" i="28"/>
  <c r="O462" i="28" s="1"/>
  <c r="O58" i="28"/>
  <c r="O457" i="28"/>
  <c r="O458" i="28"/>
  <c r="O469" i="28"/>
  <c r="O464" i="28"/>
  <c r="O117" i="73"/>
  <c r="P51" i="36"/>
  <c r="P53" i="36" s="1"/>
  <c r="P20" i="21"/>
  <c r="O15" i="21"/>
  <c r="O18" i="35"/>
  <c r="O16" i="35"/>
  <c r="P19" i="36" l="1"/>
  <c r="S57" i="59" s="1"/>
  <c r="N17" i="15"/>
  <c r="N14" i="15" s="1"/>
  <c r="N15" i="15" s="1"/>
  <c r="O5" i="9"/>
  <c r="O40" i="36"/>
  <c r="O41" i="36"/>
  <c r="O32" i="36"/>
  <c r="O19" i="9"/>
  <c r="O43" i="36"/>
  <c r="O45" i="36" s="1"/>
  <c r="O14" i="49"/>
  <c r="O15" i="49" s="1"/>
  <c r="O16" i="49" s="1"/>
  <c r="O19" i="49" s="1"/>
  <c r="O20" i="49" s="1"/>
  <c r="P56" i="28"/>
  <c r="O46" i="36"/>
  <c r="P474" i="28"/>
  <c r="P478" i="28"/>
  <c r="P473" i="28"/>
  <c r="P452" i="28"/>
  <c r="P451" i="28"/>
  <c r="O65" i="28"/>
  <c r="O42" i="35"/>
  <c r="O41" i="35"/>
  <c r="P40" i="35"/>
  <c r="P39" i="35"/>
  <c r="O39" i="35"/>
  <c r="O36" i="35"/>
  <c r="O33" i="35"/>
  <c r="P32" i="35"/>
  <c r="P31" i="35"/>
  <c r="P30" i="35"/>
  <c r="P26" i="35"/>
  <c r="P33" i="36" s="1"/>
  <c r="P34" i="36" s="1"/>
  <c r="P35" i="36" s="1"/>
  <c r="P36" i="36" s="1"/>
  <c r="P30" i="36" s="1"/>
  <c r="S80" i="59" s="1"/>
  <c r="O26" i="35"/>
  <c r="O21" i="35"/>
  <c r="O26" i="9" s="1"/>
  <c r="P20" i="35"/>
  <c r="O20" i="35"/>
  <c r="P19" i="35"/>
  <c r="O19" i="35"/>
  <c r="P14" i="35"/>
  <c r="P5" i="36" s="1"/>
  <c r="P13" i="35"/>
  <c r="P11" i="35"/>
  <c r="P10" i="6" s="1"/>
  <c r="O10" i="35"/>
  <c r="O9" i="35"/>
  <c r="O8" i="35"/>
  <c r="P7" i="35"/>
  <c r="P6" i="6" s="1"/>
  <c r="P6" i="35"/>
  <c r="O38" i="36" l="1"/>
  <c r="O39" i="36"/>
  <c r="O14" i="35"/>
  <c r="O9" i="6"/>
  <c r="O13" i="35"/>
  <c r="O15" i="35" s="1"/>
  <c r="O8" i="6"/>
  <c r="O42" i="36"/>
  <c r="O70" i="9"/>
  <c r="N132" i="26"/>
  <c r="O33" i="22"/>
  <c r="O100" i="9"/>
  <c r="O66" i="9"/>
  <c r="O59" i="9"/>
  <c r="O27" i="9"/>
  <c r="O92" i="9"/>
  <c r="O55" i="9"/>
  <c r="O57" i="9" s="1"/>
  <c r="O62" i="9" s="1"/>
  <c r="O67" i="9"/>
  <c r="O63" i="9"/>
  <c r="O64" i="9"/>
  <c r="O7" i="9"/>
  <c r="O61" i="9"/>
  <c r="O68" i="9"/>
  <c r="O58" i="9"/>
  <c r="O60" i="9" s="1"/>
  <c r="O65" i="9"/>
  <c r="O56" i="9"/>
  <c r="O95" i="9"/>
  <c r="O69" i="9"/>
  <c r="P16" i="6"/>
  <c r="P18" i="6"/>
  <c r="P8" i="35"/>
  <c r="P5" i="6"/>
  <c r="O48" i="35"/>
  <c r="O49" i="35" s="1"/>
  <c r="O28" i="28"/>
  <c r="O26" i="21"/>
  <c r="O28" i="21" s="1"/>
  <c r="O33" i="36"/>
  <c r="O34" i="36" s="1"/>
  <c r="O35" i="36" s="1"/>
  <c r="O36" i="36" s="1"/>
  <c r="O30" i="36" s="1"/>
  <c r="R80" i="59" s="1"/>
  <c r="P33" i="35"/>
  <c r="P41" i="35"/>
  <c r="P98" i="11"/>
  <c r="P15" i="35"/>
  <c r="S6" i="59"/>
  <c r="P13" i="49"/>
  <c r="O461" i="28"/>
  <c r="O460" i="28"/>
  <c r="O11" i="35"/>
  <c r="O10" i="6" s="1"/>
  <c r="O37" i="35"/>
  <c r="O55" i="35" l="1"/>
  <c r="O21" i="22"/>
  <c r="O22" i="22" s="1"/>
  <c r="O24" i="22" s="1"/>
  <c r="O25" i="22" s="1"/>
  <c r="O27" i="22" s="1"/>
  <c r="O7" i="22"/>
  <c r="P189" i="6"/>
  <c r="P194" i="6"/>
  <c r="P17" i="6"/>
  <c r="P15" i="6"/>
  <c r="P7" i="6"/>
  <c r="O33" i="28"/>
  <c r="O50" i="28"/>
  <c r="O55" i="28" s="1"/>
  <c r="O477" i="28" s="1"/>
  <c r="M4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5" i="83"/>
  <c r="M26" i="83"/>
  <c r="M29" i="83"/>
  <c r="M30" i="83"/>
  <c r="M32" i="83"/>
  <c r="M33" i="83"/>
  <c r="M34" i="83"/>
  <c r="M35" i="83"/>
  <c r="M36" i="83"/>
  <c r="M37" i="83"/>
  <c r="M39" i="83"/>
  <c r="M40" i="83"/>
  <c r="M41" i="83"/>
  <c r="M42" i="83"/>
  <c r="M43" i="83"/>
  <c r="M44" i="83"/>
  <c r="M46" i="83"/>
  <c r="M47" i="83"/>
  <c r="M48" i="83"/>
  <c r="M49" i="83"/>
  <c r="M50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8" i="83"/>
  <c r="M70" i="83"/>
  <c r="M71" i="83"/>
  <c r="M72" i="83"/>
  <c r="M73" i="83"/>
  <c r="M74" i="83"/>
  <c r="O8" i="22" l="1"/>
  <c r="O10" i="22"/>
  <c r="O11" i="22" s="1"/>
  <c r="O13" i="22" s="1"/>
  <c r="M75" i="83"/>
  <c r="M51" i="83"/>
  <c r="M45" i="83"/>
  <c r="P19" i="6"/>
  <c r="P168" i="6"/>
  <c r="P81" i="6"/>
  <c r="P164" i="6"/>
  <c r="O448" i="28"/>
  <c r="O61" i="28"/>
  <c r="M69" i="83"/>
  <c r="P40" i="6" l="1"/>
  <c r="P37" i="6"/>
  <c r="P38" i="6"/>
  <c r="P39" i="6"/>
  <c r="P84" i="6"/>
  <c r="O77" i="28"/>
  <c r="O452" i="28" s="1"/>
  <c r="O62" i="28"/>
  <c r="O478" i="28" s="1"/>
  <c r="O474" i="28"/>
  <c r="O451" i="28"/>
  <c r="L103" i="10"/>
  <c r="M31" i="83" s="1"/>
  <c r="L65" i="10"/>
  <c r="L22" i="10"/>
  <c r="L37" i="10"/>
  <c r="M24" i="83" s="1"/>
  <c r="L200" i="10" l="1"/>
  <c r="M27" i="83"/>
  <c r="M38" i="83" s="1"/>
  <c r="M76" i="83" s="1"/>
  <c r="P41" i="6"/>
  <c r="O473" i="28"/>
  <c r="O81" i="28"/>
  <c r="O472" i="28"/>
  <c r="L103" i="9"/>
  <c r="BE130" i="26" l="1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AE130" i="26"/>
  <c r="AD130" i="26"/>
  <c r="AC130" i="26"/>
  <c r="AB130" i="26"/>
  <c r="G130" i="26"/>
  <c r="E130" i="26"/>
  <c r="K130" i="26"/>
  <c r="M128" i="45" l="1"/>
  <c r="M5" i="50"/>
  <c r="M6" i="50"/>
  <c r="M7" i="50"/>
  <c r="M8" i="50"/>
  <c r="M9" i="50"/>
  <c r="M10" i="50"/>
  <c r="M11" i="50"/>
  <c r="M12" i="50"/>
  <c r="M13" i="50"/>
  <c r="M14" i="50"/>
  <c r="M15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9" i="50"/>
  <c r="M30" i="50"/>
  <c r="M31" i="50"/>
  <c r="M32" i="50"/>
  <c r="M33" i="50"/>
  <c r="M34" i="50"/>
  <c r="M35" i="50"/>
  <c r="M36" i="50"/>
  <c r="M37" i="50"/>
  <c r="M38" i="50"/>
  <c r="M4" i="50"/>
  <c r="M20" i="39" l="1"/>
  <c r="Q20" i="39" s="1"/>
  <c r="U20" i="39" s="1"/>
  <c r="AA20" i="39" s="1"/>
  <c r="E215" i="73"/>
  <c r="G215" i="73"/>
  <c r="K215" i="73"/>
  <c r="I7" i="52"/>
  <c r="J7" i="52"/>
  <c r="M7" i="52"/>
  <c r="Q7" i="52" s="1"/>
  <c r="U7" i="52" s="1"/>
  <c r="N7" i="52"/>
  <c r="R7" i="52" s="1"/>
  <c r="V7" i="52" s="1"/>
  <c r="Y7" i="52"/>
  <c r="Z7" i="52"/>
  <c r="AM7" i="52"/>
  <c r="AN7" i="52"/>
  <c r="BA7" i="52"/>
  <c r="BB7" i="52"/>
  <c r="J117" i="17"/>
  <c r="J115" i="17"/>
  <c r="K87" i="17"/>
  <c r="K86" i="17"/>
  <c r="K85" i="17"/>
  <c r="K84" i="17"/>
  <c r="K83" i="17"/>
  <c r="J83" i="17"/>
  <c r="K79" i="17"/>
  <c r="J79" i="17"/>
  <c r="K74" i="17"/>
  <c r="J74" i="17"/>
  <c r="K67" i="17"/>
  <c r="K69" i="17" s="1"/>
  <c r="J67" i="17"/>
  <c r="J69" i="17" s="1"/>
  <c r="J61" i="17"/>
  <c r="K59" i="17"/>
  <c r="K62" i="17" s="1"/>
  <c r="J58" i="17"/>
  <c r="J57" i="17"/>
  <c r="J55" i="17"/>
  <c r="K52" i="17"/>
  <c r="K53" i="17" s="1"/>
  <c r="J52" i="17"/>
  <c r="K49" i="17"/>
  <c r="J48" i="17"/>
  <c r="K47" i="17"/>
  <c r="J46" i="17"/>
  <c r="K44" i="17"/>
  <c r="K50" i="17" s="1"/>
  <c r="J44" i="17"/>
  <c r="K43" i="17"/>
  <c r="K41" i="17"/>
  <c r="K39" i="17"/>
  <c r="K26" i="17"/>
  <c r="K22" i="17"/>
  <c r="K16" i="17" s="1"/>
  <c r="J21" i="17"/>
  <c r="J19" i="17"/>
  <c r="J18" i="17"/>
  <c r="J16" i="17"/>
  <c r="J30" i="17" s="1"/>
  <c r="J15" i="17"/>
  <c r="K14" i="17"/>
  <c r="K12" i="17"/>
  <c r="K9" i="17"/>
  <c r="K13" i="17" s="1"/>
  <c r="J9" i="17"/>
  <c r="J11" i="17" s="1"/>
  <c r="BC7" i="52" l="1"/>
  <c r="J22" i="17"/>
  <c r="AB7" i="52"/>
  <c r="AF7" i="52" s="1"/>
  <c r="AJ7" i="52" s="1"/>
  <c r="AP7" i="52" s="1"/>
  <c r="AT7" i="52" s="1"/>
  <c r="AX7" i="52" s="1"/>
  <c r="BF7" i="52" s="1"/>
  <c r="AA7" i="52"/>
  <c r="AE7" i="52" s="1"/>
  <c r="AI7" i="52" s="1"/>
  <c r="AO7" i="52" s="1"/>
  <c r="AS7" i="52" s="1"/>
  <c r="AW7" i="52" s="1"/>
  <c r="BE7" i="52" s="1"/>
  <c r="K117" i="17"/>
  <c r="BD7" i="52"/>
  <c r="J50" i="17"/>
  <c r="J114" i="17" s="1"/>
  <c r="J59" i="17"/>
  <c r="J62" i="17" s="1"/>
  <c r="K60" i="17"/>
  <c r="J119" i="17"/>
  <c r="K32" i="17"/>
  <c r="K30" i="17"/>
  <c r="K33" i="17"/>
  <c r="J116" i="17"/>
  <c r="K114" i="17"/>
  <c r="K51" i="17"/>
  <c r="K55" i="17" s="1"/>
  <c r="K54" i="17"/>
  <c r="J32" i="17"/>
  <c r="J34" i="17"/>
  <c r="J31" i="17"/>
  <c r="K15" i="17"/>
  <c r="K116" i="17"/>
  <c r="K11" i="17"/>
  <c r="K31" i="17"/>
  <c r="K34" i="17"/>
  <c r="K45" i="17"/>
  <c r="M128" i="73"/>
  <c r="AA128" i="73" s="1"/>
  <c r="K37" i="27"/>
  <c r="K35" i="27"/>
  <c r="K27" i="27"/>
  <c r="K29" i="27"/>
  <c r="K28" i="27"/>
  <c r="K20" i="27"/>
  <c r="K19" i="27"/>
  <c r="K18" i="27"/>
  <c r="J60" i="17" l="1"/>
  <c r="Q128" i="73"/>
  <c r="U128" i="73" s="1"/>
  <c r="J54" i="17"/>
  <c r="J118" i="17"/>
  <c r="K118" i="17"/>
  <c r="K115" i="17"/>
  <c r="K119" i="17" s="1"/>
  <c r="J39" i="27"/>
  <c r="K39" i="27"/>
  <c r="K36" i="27"/>
  <c r="J28" i="27"/>
  <c r="J27" i="27"/>
  <c r="J33" i="27" s="1"/>
  <c r="K26" i="27"/>
  <c r="K33" i="27" s="1"/>
  <c r="K22" i="27"/>
  <c r="K21" i="27"/>
  <c r="K24" i="27"/>
  <c r="J18" i="27"/>
  <c r="J24" i="27" s="1"/>
  <c r="J130" i="26" l="1"/>
  <c r="K114" i="26"/>
  <c r="J112" i="26"/>
  <c r="J110" i="26"/>
  <c r="J108" i="26"/>
  <c r="J106" i="26"/>
  <c r="J104" i="26"/>
  <c r="J102" i="26"/>
  <c r="J100" i="26"/>
  <c r="J98" i="26"/>
  <c r="J87" i="17" s="1"/>
  <c r="K94" i="26"/>
  <c r="J91" i="26"/>
  <c r="J89" i="26"/>
  <c r="J87" i="26"/>
  <c r="J85" i="26"/>
  <c r="J86" i="17" s="1"/>
  <c r="K83" i="26"/>
  <c r="K82" i="26"/>
  <c r="J80" i="26"/>
  <c r="J78" i="26"/>
  <c r="K75" i="26"/>
  <c r="J73" i="26"/>
  <c r="J71" i="26"/>
  <c r="J69" i="26"/>
  <c r="J67" i="26"/>
  <c r="J65" i="26"/>
  <c r="J63" i="26"/>
  <c r="J85" i="17" s="1"/>
  <c r="J61" i="26"/>
  <c r="J59" i="26"/>
  <c r="J54" i="26"/>
  <c r="J52" i="26"/>
  <c r="K50" i="26"/>
  <c r="K57" i="26" s="1"/>
  <c r="J48" i="26"/>
  <c r="J50" i="26" s="1"/>
  <c r="K45" i="26"/>
  <c r="J43" i="26"/>
  <c r="J41" i="26"/>
  <c r="J39" i="26"/>
  <c r="J37" i="26"/>
  <c r="J35" i="26"/>
  <c r="J33" i="26"/>
  <c r="J31" i="26"/>
  <c r="J29" i="26"/>
  <c r="J84" i="17" s="1"/>
  <c r="J27" i="26"/>
  <c r="J26" i="17" s="1"/>
  <c r="J33" i="17" s="1"/>
  <c r="J25" i="26"/>
  <c r="J23" i="26"/>
  <c r="J21" i="26"/>
  <c r="J17" i="26"/>
  <c r="J15" i="26"/>
  <c r="K12" i="26"/>
  <c r="K19" i="26" s="1"/>
  <c r="J11" i="26"/>
  <c r="J9" i="26"/>
  <c r="O62" i="50"/>
  <c r="K30" i="72"/>
  <c r="Y30" i="72" s="1"/>
  <c r="K25" i="72"/>
  <c r="Y25" i="72" s="1"/>
  <c r="K26" i="72"/>
  <c r="Y26" i="72" s="1"/>
  <c r="K31" i="72"/>
  <c r="Y31" i="72" s="1"/>
  <c r="J12" i="26" l="1"/>
  <c r="J13" i="26" s="1"/>
  <c r="J83" i="26"/>
  <c r="J114" i="26"/>
  <c r="J82" i="26"/>
  <c r="J94" i="26"/>
  <c r="J75" i="26"/>
  <c r="J45" i="26"/>
  <c r="J57" i="26"/>
  <c r="J51" i="26"/>
  <c r="J56" i="26"/>
  <c r="K18" i="26"/>
  <c r="K56" i="26"/>
  <c r="K13" i="26"/>
  <c r="K51" i="26"/>
  <c r="AU50" i="71"/>
  <c r="AY50" i="71" s="1"/>
  <c r="AW50" i="71"/>
  <c r="BA50" i="71"/>
  <c r="BS50" i="71"/>
  <c r="BW50" i="71"/>
  <c r="CA50" i="71"/>
  <c r="CG50" i="71"/>
  <c r="CK50" i="71"/>
  <c r="CO50" i="71"/>
  <c r="AB50" i="71"/>
  <c r="I50" i="71"/>
  <c r="AU45" i="71"/>
  <c r="AW45" i="71"/>
  <c r="G81" i="90" s="1"/>
  <c r="BA45" i="71"/>
  <c r="K81" i="90" s="1"/>
  <c r="AB45" i="71"/>
  <c r="I45" i="71"/>
  <c r="BA7" i="71"/>
  <c r="BA8" i="71"/>
  <c r="BA9" i="71"/>
  <c r="K68" i="90" s="1"/>
  <c r="BA10" i="71"/>
  <c r="BA11" i="71"/>
  <c r="BA12" i="71"/>
  <c r="BA13" i="71"/>
  <c r="BA14" i="71"/>
  <c r="BA15" i="71"/>
  <c r="BA16" i="71"/>
  <c r="BA18" i="71"/>
  <c r="BA20" i="71"/>
  <c r="K70" i="90" s="1"/>
  <c r="BA21" i="71"/>
  <c r="K71" i="90" s="1"/>
  <c r="BA22" i="71"/>
  <c r="K72" i="90" s="1"/>
  <c r="BA23" i="71"/>
  <c r="BA24" i="71"/>
  <c r="BA25" i="71"/>
  <c r="K73" i="90" s="1"/>
  <c r="BA26" i="71"/>
  <c r="BA27" i="71"/>
  <c r="BA28" i="71"/>
  <c r="BA29" i="71"/>
  <c r="BA30" i="71"/>
  <c r="BA32" i="71"/>
  <c r="BA33" i="71"/>
  <c r="BA34" i="71"/>
  <c r="K74" i="90" s="1"/>
  <c r="BA35" i="71"/>
  <c r="K75" i="90" s="1"/>
  <c r="BA36" i="71"/>
  <c r="BA37" i="71"/>
  <c r="BA38" i="71"/>
  <c r="BA39" i="71"/>
  <c r="K76" i="90" s="1"/>
  <c r="BA40" i="71"/>
  <c r="K77" i="90" s="1"/>
  <c r="BA41" i="71"/>
  <c r="K78" i="90" s="1"/>
  <c r="BA42" i="71"/>
  <c r="BA43" i="71"/>
  <c r="K79" i="90" s="1"/>
  <c r="BA44" i="71"/>
  <c r="K80" i="90" s="1"/>
  <c r="BA46" i="71"/>
  <c r="K82" i="90" s="1"/>
  <c r="BA47" i="71"/>
  <c r="K83" i="90" s="1"/>
  <c r="BA48" i="71"/>
  <c r="BA49" i="71"/>
  <c r="BA51" i="71"/>
  <c r="K84" i="90" s="1"/>
  <c r="AY45" i="71" l="1"/>
  <c r="E81" i="90"/>
  <c r="AG45" i="71"/>
  <c r="AQ45" i="71"/>
  <c r="AR45" i="71" s="1"/>
  <c r="AG50" i="71"/>
  <c r="AQ50" i="71"/>
  <c r="J19" i="26"/>
  <c r="J18" i="26"/>
  <c r="CC50" i="71"/>
  <c r="CU50" i="71"/>
  <c r="CQ50" i="71"/>
  <c r="X45" i="71"/>
  <c r="N45" i="71"/>
  <c r="X50" i="71"/>
  <c r="N50" i="71"/>
  <c r="BC50" i="71"/>
  <c r="BC45" i="71"/>
  <c r="BQ50" i="71" l="1"/>
  <c r="BU50" i="71" s="1"/>
  <c r="BY50" i="71" s="1"/>
  <c r="CE50" i="71" s="1"/>
  <c r="CI50" i="71" s="1"/>
  <c r="CM50" i="71" s="1"/>
  <c r="BG50" i="71"/>
  <c r="BK50" i="71" s="1"/>
  <c r="AR50" i="71"/>
  <c r="BQ45" i="71"/>
  <c r="BG45" i="71"/>
  <c r="BK45" i="71" s="1"/>
  <c r="CS50" i="71"/>
  <c r="L28" i="22"/>
  <c r="L24" i="22"/>
  <c r="L26" i="22" s="1"/>
  <c r="L23" i="22"/>
  <c r="L14" i="22"/>
  <c r="L10" i="22"/>
  <c r="L12" i="22" s="1"/>
  <c r="L9" i="22"/>
  <c r="K17" i="15"/>
  <c r="M33" i="15"/>
  <c r="Q33" i="15" s="1"/>
  <c r="U33" i="15" s="1"/>
  <c r="Y33" i="15"/>
  <c r="AA33" i="15" s="1"/>
  <c r="AE33" i="15" s="1"/>
  <c r="AI33" i="15" s="1"/>
  <c r="AO33" i="15" s="1"/>
  <c r="AS33" i="15" s="1"/>
  <c r="AW33" i="15" s="1"/>
  <c r="BE33" i="15" s="1"/>
  <c r="AM33" i="15"/>
  <c r="BA33" i="15"/>
  <c r="K30" i="15"/>
  <c r="K29" i="15"/>
  <c r="K28" i="15"/>
  <c r="K24" i="15"/>
  <c r="K23" i="15"/>
  <c r="K22" i="15"/>
  <c r="K21" i="15"/>
  <c r="K20" i="15"/>
  <c r="J18" i="15"/>
  <c r="K14" i="15"/>
  <c r="J11" i="15"/>
  <c r="J12" i="15" s="1"/>
  <c r="K10" i="15"/>
  <c r="K9" i="15"/>
  <c r="J9" i="15"/>
  <c r="K8" i="15"/>
  <c r="J8" i="15"/>
  <c r="K7" i="15"/>
  <c r="K6" i="15"/>
  <c r="K5" i="15"/>
  <c r="BC33" i="15" l="1"/>
  <c r="K31" i="15"/>
  <c r="K35" i="15"/>
  <c r="K15" i="15" l="1"/>
  <c r="K16" i="15" s="1"/>
  <c r="L47" i="35"/>
  <c r="H47" i="35"/>
  <c r="F47" i="35"/>
  <c r="P47" i="35"/>
  <c r="Z47" i="35" s="1"/>
  <c r="P45" i="35"/>
  <c r="P44" i="35"/>
  <c r="P43" i="35"/>
  <c r="L3" i="8"/>
  <c r="P42" i="35" l="1"/>
  <c r="P96" i="38"/>
  <c r="P95" i="38"/>
  <c r="P94" i="38"/>
  <c r="P93" i="38"/>
  <c r="O92" i="38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5" i="38"/>
  <c r="O53" i="38"/>
  <c r="P52" i="38"/>
  <c r="O52" i="38"/>
  <c r="O47" i="38"/>
  <c r="O46" i="38"/>
  <c r="O45" i="38"/>
  <c r="O44" i="38"/>
  <c r="P43" i="38"/>
  <c r="P92" i="38" s="1"/>
  <c r="O42" i="38"/>
  <c r="O41" i="38" s="1"/>
  <c r="P41" i="38"/>
  <c r="P90" i="38" s="1"/>
  <c r="O39" i="38"/>
  <c r="O38" i="38"/>
  <c r="O37" i="38"/>
  <c r="O36" i="38"/>
  <c r="P35" i="38"/>
  <c r="P84" i="38" s="1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O15" i="38"/>
  <c r="O14" i="38"/>
  <c r="P13" i="38"/>
  <c r="P62" i="38" s="1"/>
  <c r="O12" i="38"/>
  <c r="O11" i="38"/>
  <c r="O10" i="38"/>
  <c r="O9" i="38"/>
  <c r="O8" i="38"/>
  <c r="O7" i="38"/>
  <c r="P6" i="38"/>
  <c r="K105" i="45"/>
  <c r="O105" i="45"/>
  <c r="K73" i="45"/>
  <c r="K74" i="45"/>
  <c r="K75" i="45"/>
  <c r="O73" i="45"/>
  <c r="O74" i="45"/>
  <c r="AC74" i="45" s="1"/>
  <c r="O75" i="45"/>
  <c r="AC75" i="45" s="1"/>
  <c r="O60" i="45"/>
  <c r="AC60" i="45" s="1"/>
  <c r="P16" i="38" l="1"/>
  <c r="O89" i="38"/>
  <c r="AC73" i="45"/>
  <c r="O176" i="45"/>
  <c r="N47" i="35" s="1"/>
  <c r="K176" i="45"/>
  <c r="J47" i="35" s="1"/>
  <c r="S105" i="45"/>
  <c r="W105" i="45" s="1"/>
  <c r="AC105" i="45"/>
  <c r="S75" i="45"/>
  <c r="W75" i="45" s="1"/>
  <c r="S74" i="45"/>
  <c r="W74" i="45" s="1"/>
  <c r="S60" i="45"/>
  <c r="W60" i="45" s="1"/>
  <c r="S73" i="45"/>
  <c r="O43" i="38"/>
  <c r="O40" i="38"/>
  <c r="O67" i="38"/>
  <c r="O66" i="38" s="1"/>
  <c r="O65" i="38"/>
  <c r="P18" i="38"/>
  <c r="P67" i="38" s="1"/>
  <c r="O35" i="38"/>
  <c r="O19" i="38"/>
  <c r="O13" i="38"/>
  <c r="O6" i="38"/>
  <c r="P68" i="38"/>
  <c r="P55" i="38"/>
  <c r="P65" i="38"/>
  <c r="P40" i="38"/>
  <c r="S176" i="45" l="1"/>
  <c r="O18" i="38"/>
  <c r="O98" i="38"/>
  <c r="R47" i="35"/>
  <c r="V47" i="35" s="1"/>
  <c r="AB47" i="35"/>
  <c r="AC176" i="45"/>
  <c r="W73" i="45"/>
  <c r="W176" i="45" s="1"/>
  <c r="O17" i="38"/>
  <c r="O16" i="38"/>
  <c r="P89" i="38"/>
  <c r="P17" i="38"/>
  <c r="O49" i="38" l="1"/>
  <c r="P66" i="38"/>
  <c r="P98" i="38" s="1"/>
  <c r="P49" i="38"/>
  <c r="O47" i="45" l="1"/>
  <c r="K47" i="45"/>
  <c r="S47" i="45" l="1"/>
  <c r="W47" i="45" s="1"/>
  <c r="AC47" i="45"/>
  <c r="BA49" i="83"/>
  <c r="AW49" i="83"/>
  <c r="AS49" i="83"/>
  <c r="AM49" i="83"/>
  <c r="AI49" i="83"/>
  <c r="AE49" i="83"/>
  <c r="Y49" i="83"/>
  <c r="U49" i="83"/>
  <c r="I49" i="83"/>
  <c r="G49" i="83"/>
  <c r="BA53" i="50"/>
  <c r="AW53" i="50"/>
  <c r="AS53" i="50"/>
  <c r="AM53" i="50"/>
  <c r="AI53" i="50"/>
  <c r="AE53" i="50"/>
  <c r="Y53" i="50"/>
  <c r="Q53" i="50"/>
  <c r="M53" i="50"/>
  <c r="I53" i="50"/>
  <c r="G53" i="50"/>
  <c r="O28" i="45"/>
  <c r="AC28" i="45" s="1"/>
  <c r="K28" i="45"/>
  <c r="O27" i="45"/>
  <c r="AC27" i="45" s="1"/>
  <c r="K27" i="45"/>
  <c r="N53" i="11"/>
  <c r="N118" i="10"/>
  <c r="N119" i="10"/>
  <c r="N121" i="10"/>
  <c r="J121" i="10"/>
  <c r="N8" i="10"/>
  <c r="N9" i="10"/>
  <c r="N10" i="10"/>
  <c r="N11" i="10"/>
  <c r="N12" i="10"/>
  <c r="N14" i="10"/>
  <c r="N15" i="10"/>
  <c r="N16" i="10"/>
  <c r="N17" i="10"/>
  <c r="N18" i="10"/>
  <c r="N19" i="10"/>
  <c r="N20" i="10"/>
  <c r="N24" i="10"/>
  <c r="N25" i="10"/>
  <c r="N26" i="10"/>
  <c r="N27" i="10"/>
  <c r="N28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5" i="10"/>
  <c r="N56" i="10"/>
  <c r="N57" i="10"/>
  <c r="N59" i="10"/>
  <c r="N60" i="10"/>
  <c r="N61" i="10"/>
  <c r="N62" i="10"/>
  <c r="N63" i="10"/>
  <c r="N64" i="10"/>
  <c r="N66" i="10"/>
  <c r="N67" i="10"/>
  <c r="N68" i="10"/>
  <c r="N69" i="10"/>
  <c r="N70" i="10"/>
  <c r="N71" i="10"/>
  <c r="N72" i="10"/>
  <c r="N73" i="10"/>
  <c r="N75" i="10"/>
  <c r="N76" i="10"/>
  <c r="N77" i="10"/>
  <c r="N78" i="10"/>
  <c r="N79" i="10"/>
  <c r="N80" i="10"/>
  <c r="N81" i="10"/>
  <c r="N82" i="10"/>
  <c r="N83" i="10"/>
  <c r="N85" i="10"/>
  <c r="N86" i="10"/>
  <c r="N87" i="10"/>
  <c r="N89" i="10"/>
  <c r="N90" i="10"/>
  <c r="N91" i="10"/>
  <c r="N94" i="10"/>
  <c r="N95" i="10"/>
  <c r="N96" i="10"/>
  <c r="N97" i="10"/>
  <c r="N98" i="10"/>
  <c r="N99" i="10"/>
  <c r="N100" i="10"/>
  <c r="N101" i="10"/>
  <c r="N102" i="10"/>
  <c r="N104" i="10"/>
  <c r="N105" i="10"/>
  <c r="N106" i="10"/>
  <c r="N107" i="10"/>
  <c r="N108" i="10"/>
  <c r="N110" i="10"/>
  <c r="N111" i="10"/>
  <c r="N112" i="10"/>
  <c r="N114" i="10"/>
  <c r="N116" i="10"/>
  <c r="N117" i="10"/>
  <c r="N120" i="10"/>
  <c r="N122" i="10"/>
  <c r="N123" i="10"/>
  <c r="R123" i="10" s="1"/>
  <c r="V123" i="10" s="1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R147" i="10" s="1"/>
  <c r="V147" i="10" s="1"/>
  <c r="N148" i="10"/>
  <c r="N149" i="10"/>
  <c r="N150" i="10"/>
  <c r="N151" i="10"/>
  <c r="R151" i="10" s="1"/>
  <c r="N152" i="10"/>
  <c r="R152" i="10" s="1"/>
  <c r="R141" i="10" l="1"/>
  <c r="V141" i="10" s="1"/>
  <c r="AB141" i="10"/>
  <c r="R102" i="10"/>
  <c r="V102" i="10" s="1"/>
  <c r="AB102" i="10"/>
  <c r="R73" i="10"/>
  <c r="V73" i="10" s="1"/>
  <c r="AB73" i="10"/>
  <c r="R37" i="10"/>
  <c r="V37" i="10" s="1"/>
  <c r="AB37" i="10"/>
  <c r="R16" i="10"/>
  <c r="V16" i="10" s="1"/>
  <c r="AB16" i="10"/>
  <c r="R124" i="10"/>
  <c r="V124" i="10" s="1"/>
  <c r="AB124" i="10"/>
  <c r="R111" i="10"/>
  <c r="V111" i="10" s="1"/>
  <c r="AB111" i="10"/>
  <c r="R101" i="10"/>
  <c r="V101" i="10" s="1"/>
  <c r="AB101" i="10"/>
  <c r="R91" i="10"/>
  <c r="V91" i="10" s="1"/>
  <c r="AB91" i="10"/>
  <c r="R81" i="10"/>
  <c r="V81" i="10" s="1"/>
  <c r="AB81" i="10"/>
  <c r="R72" i="10"/>
  <c r="V72" i="10" s="1"/>
  <c r="AB72" i="10"/>
  <c r="R63" i="10"/>
  <c r="V63" i="10" s="1"/>
  <c r="AB63" i="10"/>
  <c r="R52" i="10"/>
  <c r="V52" i="10" s="1"/>
  <c r="AB52" i="10"/>
  <c r="R44" i="10"/>
  <c r="V44" i="10" s="1"/>
  <c r="AB44" i="10"/>
  <c r="R36" i="10"/>
  <c r="V36" i="10" s="1"/>
  <c r="AB36" i="10"/>
  <c r="R26" i="10"/>
  <c r="V26" i="10" s="1"/>
  <c r="AB26" i="10"/>
  <c r="R15" i="10"/>
  <c r="V15" i="10" s="1"/>
  <c r="AB15" i="10"/>
  <c r="R121" i="10"/>
  <c r="V121" i="10" s="1"/>
  <c r="AB121" i="10"/>
  <c r="R149" i="10"/>
  <c r="V149" i="10" s="1"/>
  <c r="R112" i="10"/>
  <c r="V112" i="10" s="1"/>
  <c r="AB112" i="10"/>
  <c r="R94" i="10"/>
  <c r="V94" i="10" s="1"/>
  <c r="AB94" i="10"/>
  <c r="R55" i="10"/>
  <c r="V55" i="10" s="1"/>
  <c r="AB55" i="10"/>
  <c r="R27" i="10"/>
  <c r="V27" i="10" s="1"/>
  <c r="AB27" i="10"/>
  <c r="R110" i="10"/>
  <c r="V110" i="10" s="1"/>
  <c r="AB110" i="10"/>
  <c r="R100" i="10"/>
  <c r="V100" i="10" s="1"/>
  <c r="AB100" i="10"/>
  <c r="R90" i="10"/>
  <c r="V90" i="10" s="1"/>
  <c r="AB90" i="10"/>
  <c r="R80" i="10"/>
  <c r="V80" i="10" s="1"/>
  <c r="AB80" i="10"/>
  <c r="R71" i="10"/>
  <c r="V71" i="10" s="1"/>
  <c r="AB71" i="10"/>
  <c r="R62" i="10"/>
  <c r="V62" i="10" s="1"/>
  <c r="AB62" i="10"/>
  <c r="R51" i="10"/>
  <c r="V51" i="10" s="1"/>
  <c r="AB51" i="10"/>
  <c r="R43" i="10"/>
  <c r="V43" i="10" s="1"/>
  <c r="AB43" i="10"/>
  <c r="R35" i="10"/>
  <c r="V35" i="10" s="1"/>
  <c r="AB35" i="10"/>
  <c r="R25" i="10"/>
  <c r="V25" i="10" s="1"/>
  <c r="AB25" i="10"/>
  <c r="R14" i="10"/>
  <c r="V14" i="10" s="1"/>
  <c r="AB14" i="10"/>
  <c r="R119" i="10"/>
  <c r="V119" i="10" s="1"/>
  <c r="AB119" i="10"/>
  <c r="R132" i="10"/>
  <c r="V132" i="10" s="1"/>
  <c r="AB132" i="10"/>
  <c r="R146" i="10"/>
  <c r="V146" i="10" s="1"/>
  <c r="AB146" i="10"/>
  <c r="R108" i="10"/>
  <c r="V108" i="10" s="1"/>
  <c r="AB108" i="10"/>
  <c r="R70" i="10"/>
  <c r="V70" i="10" s="1"/>
  <c r="AB70" i="10"/>
  <c r="R34" i="10"/>
  <c r="V34" i="10" s="1"/>
  <c r="AB34" i="10"/>
  <c r="R145" i="10"/>
  <c r="V145" i="10" s="1"/>
  <c r="AB145" i="10"/>
  <c r="R98" i="10"/>
  <c r="V98" i="10" s="1"/>
  <c r="AB98" i="10"/>
  <c r="R60" i="10"/>
  <c r="V60" i="10" s="1"/>
  <c r="AB60" i="10"/>
  <c r="R20" i="10"/>
  <c r="V20" i="10" s="1"/>
  <c r="AB20" i="10"/>
  <c r="R148" i="10"/>
  <c r="V148" i="10" s="1"/>
  <c r="R131" i="10"/>
  <c r="V131" i="10" s="1"/>
  <c r="AB131" i="10"/>
  <c r="R138" i="10"/>
  <c r="V138" i="10" s="1"/>
  <c r="AB138" i="10"/>
  <c r="R99" i="10"/>
  <c r="V99" i="10" s="1"/>
  <c r="AB99" i="10"/>
  <c r="R42" i="10"/>
  <c r="V42" i="10" s="1"/>
  <c r="AB42" i="10"/>
  <c r="R118" i="10"/>
  <c r="V118" i="10" s="1"/>
  <c r="AB118" i="10"/>
  <c r="R120" i="10"/>
  <c r="V120" i="10" s="1"/>
  <c r="AB120" i="10"/>
  <c r="R49" i="10"/>
  <c r="V49" i="10" s="1"/>
  <c r="AB49" i="10"/>
  <c r="R125" i="10"/>
  <c r="V125" i="10" s="1"/>
  <c r="AB125" i="10"/>
  <c r="R82" i="10"/>
  <c r="V82" i="10" s="1"/>
  <c r="AB82" i="10"/>
  <c r="R45" i="10"/>
  <c r="V45" i="10" s="1"/>
  <c r="AB45" i="10"/>
  <c r="R130" i="10"/>
  <c r="V130" i="10" s="1"/>
  <c r="AB130" i="10"/>
  <c r="R89" i="10"/>
  <c r="V89" i="10" s="1"/>
  <c r="AB89" i="10"/>
  <c r="R61" i="10"/>
  <c r="V61" i="10" s="1"/>
  <c r="AB61" i="10"/>
  <c r="R24" i="10"/>
  <c r="V24" i="10" s="1"/>
  <c r="AB24" i="10"/>
  <c r="R129" i="10"/>
  <c r="V129" i="10" s="1"/>
  <c r="AB129" i="10"/>
  <c r="R87" i="10"/>
  <c r="V87" i="10" s="1"/>
  <c r="AB87" i="10"/>
  <c r="R69" i="10"/>
  <c r="V69" i="10" s="1"/>
  <c r="AB69" i="10"/>
  <c r="R41" i="10"/>
  <c r="V41" i="10" s="1"/>
  <c r="AB41" i="10"/>
  <c r="R11" i="10"/>
  <c r="V11" i="10" s="1"/>
  <c r="AB11" i="10"/>
  <c r="R144" i="10"/>
  <c r="V144" i="10" s="1"/>
  <c r="AB144" i="10"/>
  <c r="R136" i="10"/>
  <c r="V136" i="10" s="1"/>
  <c r="AB136" i="10"/>
  <c r="R117" i="10"/>
  <c r="V117" i="10" s="1"/>
  <c r="AB117" i="10"/>
  <c r="R97" i="10"/>
  <c r="V97" i="10" s="1"/>
  <c r="AB97" i="10"/>
  <c r="R77" i="10"/>
  <c r="V77" i="10" s="1"/>
  <c r="AB77" i="10"/>
  <c r="R59" i="10"/>
  <c r="V59" i="10" s="1"/>
  <c r="AB59" i="10"/>
  <c r="R40" i="10"/>
  <c r="V40" i="10" s="1"/>
  <c r="AB40" i="10"/>
  <c r="R10" i="10"/>
  <c r="V10" i="10" s="1"/>
  <c r="AB10" i="10"/>
  <c r="R143" i="10"/>
  <c r="V143" i="10" s="1"/>
  <c r="AB143" i="10"/>
  <c r="R135" i="10"/>
  <c r="V135" i="10" s="1"/>
  <c r="AB135" i="10"/>
  <c r="R127" i="10"/>
  <c r="V127" i="10" s="1"/>
  <c r="AB127" i="10"/>
  <c r="R116" i="10"/>
  <c r="V116" i="10" s="1"/>
  <c r="AB116" i="10"/>
  <c r="R105" i="10"/>
  <c r="V105" i="10" s="1"/>
  <c r="AB105" i="10"/>
  <c r="R96" i="10"/>
  <c r="V96" i="10" s="1"/>
  <c r="AB96" i="10"/>
  <c r="R85" i="10"/>
  <c r="V85" i="10" s="1"/>
  <c r="AB85" i="10"/>
  <c r="R76" i="10"/>
  <c r="V76" i="10" s="1"/>
  <c r="AB76" i="10"/>
  <c r="R67" i="10"/>
  <c r="V67" i="10" s="1"/>
  <c r="AB67" i="10"/>
  <c r="R57" i="10"/>
  <c r="V57" i="10" s="1"/>
  <c r="AB57" i="10"/>
  <c r="R47" i="10"/>
  <c r="V47" i="10" s="1"/>
  <c r="AB47" i="10"/>
  <c r="R39" i="10"/>
  <c r="V39" i="10" s="1"/>
  <c r="AB39" i="10"/>
  <c r="R31" i="10"/>
  <c r="V31" i="10" s="1"/>
  <c r="AB31" i="10"/>
  <c r="R18" i="10"/>
  <c r="V18" i="10" s="1"/>
  <c r="AB18" i="10"/>
  <c r="R9" i="10"/>
  <c r="V9" i="10" s="1"/>
  <c r="AB9" i="10"/>
  <c r="R133" i="10"/>
  <c r="V133" i="10" s="1"/>
  <c r="AB133" i="10"/>
  <c r="R64" i="10"/>
  <c r="V64" i="10" s="1"/>
  <c r="AB64" i="10"/>
  <c r="R140" i="10"/>
  <c r="V140" i="10" s="1"/>
  <c r="AB140" i="10"/>
  <c r="R139" i="10"/>
  <c r="V139" i="10" s="1"/>
  <c r="AB139" i="10"/>
  <c r="R122" i="10"/>
  <c r="V122" i="10" s="1"/>
  <c r="AB122" i="10"/>
  <c r="R79" i="10"/>
  <c r="V79" i="10" s="1"/>
  <c r="AB79" i="10"/>
  <c r="R50" i="10"/>
  <c r="V50" i="10" s="1"/>
  <c r="AB50" i="10"/>
  <c r="R12" i="10"/>
  <c r="V12" i="10" s="1"/>
  <c r="AB12" i="10"/>
  <c r="R137" i="10"/>
  <c r="V137" i="10" s="1"/>
  <c r="AB137" i="10"/>
  <c r="R107" i="10"/>
  <c r="V107" i="10" s="1"/>
  <c r="AB107" i="10"/>
  <c r="R78" i="10"/>
  <c r="V78" i="10" s="1"/>
  <c r="AB78" i="10"/>
  <c r="R33" i="10"/>
  <c r="V33" i="10" s="1"/>
  <c r="AB33" i="10"/>
  <c r="R128" i="10"/>
  <c r="V128" i="10" s="1"/>
  <c r="AB128" i="10"/>
  <c r="R106" i="10"/>
  <c r="V106" i="10" s="1"/>
  <c r="AB106" i="10"/>
  <c r="R86" i="10"/>
  <c r="V86" i="10" s="1"/>
  <c r="AB86" i="10"/>
  <c r="R68" i="10"/>
  <c r="V68" i="10" s="1"/>
  <c r="AB68" i="10"/>
  <c r="R48" i="10"/>
  <c r="V48" i="10" s="1"/>
  <c r="AB48" i="10"/>
  <c r="R32" i="10"/>
  <c r="V32" i="10" s="1"/>
  <c r="AB32" i="10"/>
  <c r="R19" i="10"/>
  <c r="V19" i="10" s="1"/>
  <c r="AB19" i="10"/>
  <c r="R150" i="10"/>
  <c r="V150" i="10" s="1"/>
  <c r="R142" i="10"/>
  <c r="V142" i="10" s="1"/>
  <c r="AB142" i="10"/>
  <c r="R134" i="10"/>
  <c r="V134" i="10" s="1"/>
  <c r="AB134" i="10"/>
  <c r="R126" i="10"/>
  <c r="V126" i="10" s="1"/>
  <c r="AB126" i="10"/>
  <c r="R114" i="10"/>
  <c r="V114" i="10" s="1"/>
  <c r="AB114" i="10"/>
  <c r="R104" i="10"/>
  <c r="V104" i="10" s="1"/>
  <c r="AB104" i="10"/>
  <c r="R95" i="10"/>
  <c r="V95" i="10" s="1"/>
  <c r="AB95" i="10"/>
  <c r="R83" i="10"/>
  <c r="V83" i="10" s="1"/>
  <c r="AB83" i="10"/>
  <c r="R75" i="10"/>
  <c r="V75" i="10" s="1"/>
  <c r="AB75" i="10"/>
  <c r="R66" i="10"/>
  <c r="V66" i="10" s="1"/>
  <c r="AB66" i="10"/>
  <c r="R56" i="10"/>
  <c r="V56" i="10" s="1"/>
  <c r="AB56" i="10"/>
  <c r="R46" i="10"/>
  <c r="V46" i="10" s="1"/>
  <c r="AB46" i="10"/>
  <c r="R38" i="10"/>
  <c r="V38" i="10" s="1"/>
  <c r="AB38" i="10"/>
  <c r="R28" i="10"/>
  <c r="V28" i="10" s="1"/>
  <c r="AB28" i="10"/>
  <c r="R17" i="10"/>
  <c r="V17" i="10" s="1"/>
  <c r="AB17" i="10"/>
  <c r="R8" i="10"/>
  <c r="V8" i="10" s="1"/>
  <c r="AB8" i="10"/>
  <c r="R53" i="11"/>
  <c r="V53" i="11" s="1"/>
  <c r="AB53" i="11"/>
  <c r="S27" i="45"/>
  <c r="W27" i="45" s="1"/>
  <c r="S28" i="45"/>
  <c r="W28" i="45" s="1"/>
  <c r="BC49" i="83"/>
  <c r="AA53" i="50"/>
  <c r="K49" i="83"/>
  <c r="AO49" i="83"/>
  <c r="AA49" i="83"/>
  <c r="O49" i="83"/>
  <c r="K53" i="50"/>
  <c r="AO53" i="50"/>
  <c r="BC53" i="50"/>
  <c r="O53" i="50"/>
  <c r="BE49" i="83" l="1"/>
  <c r="S49" i="83"/>
  <c r="W49" i="83" s="1"/>
  <c r="AC49" i="83"/>
  <c r="AG49" i="83" s="1"/>
  <c r="AK49" i="83" s="1"/>
  <c r="AQ49" i="83" s="1"/>
  <c r="AU49" i="83" s="1"/>
  <c r="AY49" i="83" s="1"/>
  <c r="BG49" i="83" s="1"/>
  <c r="BE53" i="50"/>
  <c r="S53" i="50"/>
  <c r="W53" i="50" s="1"/>
  <c r="AC53" i="50"/>
  <c r="AG53" i="50" s="1"/>
  <c r="AK53" i="50" s="1"/>
  <c r="AQ53" i="50" s="1"/>
  <c r="AU53" i="50" s="1"/>
  <c r="AY53" i="50" s="1"/>
  <c r="BG53" i="50" s="1"/>
  <c r="M62" i="39" l="1"/>
  <c r="Q62" i="39" s="1"/>
  <c r="L91" i="11" l="1"/>
  <c r="L89" i="11"/>
  <c r="L83" i="11"/>
  <c r="L84" i="11" s="1"/>
  <c r="L78" i="11"/>
  <c r="K78" i="11"/>
  <c r="L77" i="11"/>
  <c r="K77" i="11"/>
  <c r="L76" i="11"/>
  <c r="K76" i="11"/>
  <c r="L75" i="11"/>
  <c r="K75" i="11"/>
  <c r="L73" i="11"/>
  <c r="K73" i="11"/>
  <c r="L71" i="11"/>
  <c r="K71" i="11"/>
  <c r="L69" i="11"/>
  <c r="K69" i="11"/>
  <c r="L66" i="11"/>
  <c r="L67" i="11" s="1"/>
  <c r="K66" i="11"/>
  <c r="K67" i="11" s="1"/>
  <c r="L64" i="11"/>
  <c r="L61" i="11" s="1"/>
  <c r="L59" i="11"/>
  <c r="L57" i="11"/>
  <c r="L85" i="11" s="1"/>
  <c r="L56" i="11"/>
  <c r="L79" i="11" s="1"/>
  <c r="K56" i="11"/>
  <c r="K98" i="11" s="1"/>
  <c r="L55" i="11"/>
  <c r="L92" i="11" s="1"/>
  <c r="L190" i="10"/>
  <c r="L188" i="10"/>
  <c r="L182" i="10"/>
  <c r="L183" i="10" s="1"/>
  <c r="L177" i="10"/>
  <c r="K177" i="10"/>
  <c r="L176" i="10"/>
  <c r="K176" i="10"/>
  <c r="L175" i="10"/>
  <c r="K175" i="10"/>
  <c r="L174" i="10"/>
  <c r="K174" i="10"/>
  <c r="L172" i="10"/>
  <c r="K172" i="10"/>
  <c r="L170" i="10"/>
  <c r="K170" i="10"/>
  <c r="L168" i="10"/>
  <c r="K168" i="10"/>
  <c r="L165" i="10"/>
  <c r="L166" i="10" s="1"/>
  <c r="K165" i="10"/>
  <c r="K166" i="10" s="1"/>
  <c r="L155" i="10"/>
  <c r="L192" i="10" s="1"/>
  <c r="K154" i="10"/>
  <c r="K153" i="10" s="1"/>
  <c r="L154" i="10"/>
  <c r="L201" i="10" s="1"/>
  <c r="L153" i="10"/>
  <c r="L90" i="11" l="1"/>
  <c r="K79" i="11"/>
  <c r="K55" i="11"/>
  <c r="K74" i="11"/>
  <c r="K58" i="11"/>
  <c r="L74" i="11"/>
  <c r="L58" i="11"/>
  <c r="L60" i="11"/>
  <c r="K173" i="10"/>
  <c r="K178" i="10"/>
  <c r="K161" i="10"/>
  <c r="L96" i="11"/>
  <c r="L93" i="11"/>
  <c r="L94" i="11" s="1"/>
  <c r="L189" i="10"/>
  <c r="L195" i="10" s="1"/>
  <c r="L184" i="10"/>
  <c r="L173" i="10"/>
  <c r="L191" i="10"/>
  <c r="L193" i="10" s="1"/>
  <c r="L197" i="10"/>
  <c r="L178" i="10"/>
  <c r="L161" i="10"/>
  <c r="L147" i="9"/>
  <c r="L148" i="9" s="1"/>
  <c r="K101" i="9"/>
  <c r="L99" i="9"/>
  <c r="K99" i="9"/>
  <c r="L98" i="9"/>
  <c r="K98" i="9"/>
  <c r="L97" i="9"/>
  <c r="K97" i="9"/>
  <c r="L93" i="9"/>
  <c r="K76" i="9"/>
  <c r="K77" i="9" s="1"/>
  <c r="K74" i="9"/>
  <c r="L60" i="9"/>
  <c r="L57" i="9"/>
  <c r="K53" i="9"/>
  <c r="K52" i="9"/>
  <c r="K47" i="9"/>
  <c r="L46" i="9"/>
  <c r="L36" i="9"/>
  <c r="L48" i="9" s="1"/>
  <c r="L35" i="9"/>
  <c r="L47" i="9" s="1"/>
  <c r="L34" i="9"/>
  <c r="L31" i="9"/>
  <c r="L25" i="9"/>
  <c r="K24" i="9"/>
  <c r="K22" i="9"/>
  <c r="K25" i="9" s="1"/>
  <c r="K88" i="9" s="1"/>
  <c r="L19" i="9"/>
  <c r="L10" i="9"/>
  <c r="L5" i="9"/>
  <c r="L62" i="9" l="1"/>
  <c r="L96" i="9"/>
  <c r="K132" i="26"/>
  <c r="L33" i="22"/>
  <c r="L37" i="9"/>
  <c r="L49" i="9"/>
  <c r="L87" i="9" s="1"/>
  <c r="L14" i="9"/>
  <c r="L100" i="9"/>
  <c r="L89" i="9"/>
  <c r="L94" i="9"/>
  <c r="K18" i="15" s="1"/>
  <c r="L90" i="9"/>
  <c r="L109" i="8"/>
  <c r="L111" i="8" s="1"/>
  <c r="L94" i="8"/>
  <c r="L91" i="8"/>
  <c r="K91" i="8"/>
  <c r="L89" i="8"/>
  <c r="K89" i="8"/>
  <c r="L88" i="8"/>
  <c r="K88" i="8"/>
  <c r="K87" i="8"/>
  <c r="K82" i="8"/>
  <c r="L80" i="8"/>
  <c r="L76" i="8"/>
  <c r="K75" i="8"/>
  <c r="K74" i="8"/>
  <c r="K73" i="8"/>
  <c r="K72" i="8"/>
  <c r="K71" i="8"/>
  <c r="L68" i="8"/>
  <c r="L69" i="8" s="1"/>
  <c r="L66" i="8"/>
  <c r="L67" i="8" s="1"/>
  <c r="L73" i="8" s="1"/>
  <c r="L64" i="8"/>
  <c r="L65" i="8" s="1"/>
  <c r="L61" i="8"/>
  <c r="L58" i="8"/>
  <c r="L59" i="8" s="1"/>
  <c r="K52" i="8"/>
  <c r="L49" i="8"/>
  <c r="K49" i="8"/>
  <c r="K47" i="8"/>
  <c r="K46" i="8"/>
  <c r="K45" i="8"/>
  <c r="K44" i="8"/>
  <c r="K43" i="8"/>
  <c r="K41" i="8"/>
  <c r="K40" i="8"/>
  <c r="K39" i="8"/>
  <c r="K42" i="8" s="1"/>
  <c r="L26" i="8"/>
  <c r="L17" i="8"/>
  <c r="K17" i="8"/>
  <c r="K15" i="8"/>
  <c r="K14" i="8"/>
  <c r="L13" i="8"/>
  <c r="L16" i="8" s="1"/>
  <c r="L6" i="8"/>
  <c r="L86" i="8" s="1"/>
  <c r="L86" i="9" l="1"/>
  <c r="L53" i="9"/>
  <c r="L91" i="9"/>
  <c r="L82" i="8"/>
  <c r="L92" i="8"/>
  <c r="L39" i="8"/>
  <c r="L45" i="8"/>
  <c r="L75" i="9"/>
  <c r="L84" i="9"/>
  <c r="L72" i="9"/>
  <c r="L76" i="9"/>
  <c r="L52" i="9"/>
  <c r="L85" i="9"/>
  <c r="L73" i="9"/>
  <c r="L82" i="9"/>
  <c r="L80" i="9"/>
  <c r="L81" i="9"/>
  <c r="L83" i="9"/>
  <c r="L78" i="9"/>
  <c r="L110" i="8"/>
  <c r="L112" i="8" s="1"/>
  <c r="L53" i="8" s="1"/>
  <c r="L36" i="8"/>
  <c r="L74" i="8"/>
  <c r="L63" i="8"/>
  <c r="L72" i="8"/>
  <c r="L34" i="8"/>
  <c r="L37" i="8"/>
  <c r="L41" i="8"/>
  <c r="L44" i="8"/>
  <c r="L47" i="8"/>
  <c r="L62" i="8"/>
  <c r="L40" i="8"/>
  <c r="L43" i="8"/>
  <c r="L46" i="8"/>
  <c r="L50" i="8"/>
  <c r="L78" i="8" l="1"/>
  <c r="K6" i="26"/>
  <c r="L77" i="9"/>
  <c r="L74" i="9"/>
  <c r="L52" i="8"/>
  <c r="L42" i="8"/>
  <c r="L35" i="8"/>
  <c r="L70" i="8"/>
  <c r="L71" i="8"/>
  <c r="L79" i="9" l="1"/>
  <c r="M17" i="7"/>
  <c r="N17" i="7"/>
  <c r="M18" i="7"/>
  <c r="Q18" i="7" s="1"/>
  <c r="N18" i="7"/>
  <c r="R18" i="7" s="1"/>
  <c r="K113" i="7"/>
  <c r="K112" i="7"/>
  <c r="K111" i="7"/>
  <c r="K110" i="7"/>
  <c r="K109" i="7"/>
  <c r="K108" i="7"/>
  <c r="K107" i="7"/>
  <c r="K106" i="7"/>
  <c r="K85" i="7"/>
  <c r="L84" i="7"/>
  <c r="K84" i="7"/>
  <c r="L82" i="7"/>
  <c r="K82" i="7"/>
  <c r="L73" i="7"/>
  <c r="K73" i="7"/>
  <c r="L69" i="7"/>
  <c r="L71" i="7" s="1"/>
  <c r="K69" i="7"/>
  <c r="K71" i="7" s="1"/>
  <c r="L65" i="7"/>
  <c r="K65" i="7"/>
  <c r="K58" i="7" s="1"/>
  <c r="L20" i="7"/>
  <c r="L39" i="7" s="1"/>
  <c r="L49" i="7" s="1"/>
  <c r="K20" i="7"/>
  <c r="K39" i="7" s="1"/>
  <c r="K49" i="7" s="1"/>
  <c r="AB17" i="7" l="1"/>
  <c r="R17" i="7"/>
  <c r="V17" i="7" s="1"/>
  <c r="AA17" i="7"/>
  <c r="Q17" i="7"/>
  <c r="U17" i="7" s="1"/>
  <c r="K29" i="7"/>
  <c r="K94" i="7" s="1"/>
  <c r="L83" i="7"/>
  <c r="K32" i="7"/>
  <c r="K99" i="7" s="1"/>
  <c r="K56" i="7"/>
  <c r="K35" i="7"/>
  <c r="K102" i="7" s="1"/>
  <c r="K83" i="7"/>
  <c r="K26" i="7"/>
  <c r="K91" i="7" s="1"/>
  <c r="K23" i="7"/>
  <c r="K53" i="7"/>
  <c r="L29" i="7"/>
  <c r="L94" i="7" s="1"/>
  <c r="L53" i="7"/>
  <c r="L23" i="7"/>
  <c r="L32" i="7"/>
  <c r="L99" i="7" s="1"/>
  <c r="L56" i="7"/>
  <c r="L26" i="7"/>
  <c r="L91" i="7" s="1"/>
  <c r="L35" i="7"/>
  <c r="L102" i="7" s="1"/>
  <c r="L59" i="7"/>
  <c r="L101" i="7" s="1"/>
  <c r="L81" i="7"/>
  <c r="K27" i="7"/>
  <c r="K92" i="7" s="1"/>
  <c r="K33" i="7"/>
  <c r="K97" i="7" s="1"/>
  <c r="K57" i="7"/>
  <c r="L24" i="7"/>
  <c r="L27" i="7"/>
  <c r="L92" i="7" s="1"/>
  <c r="L30" i="7"/>
  <c r="L95" i="7" s="1"/>
  <c r="L33" i="7"/>
  <c r="L97" i="7" s="1"/>
  <c r="L54" i="7"/>
  <c r="L96" i="7" s="1"/>
  <c r="L57" i="7"/>
  <c r="L60" i="7"/>
  <c r="L67" i="7"/>
  <c r="L76" i="7"/>
  <c r="K81" i="7"/>
  <c r="K25" i="7"/>
  <c r="K34" i="7"/>
  <c r="K90" i="7" s="1"/>
  <c r="K55" i="7"/>
  <c r="K74" i="7"/>
  <c r="K59" i="7"/>
  <c r="K101" i="7" s="1"/>
  <c r="K24" i="7"/>
  <c r="K30" i="7"/>
  <c r="K95" i="7" s="1"/>
  <c r="K54" i="7"/>
  <c r="K96" i="7" s="1"/>
  <c r="K60" i="7"/>
  <c r="K66" i="7"/>
  <c r="K76" i="7"/>
  <c r="K22" i="7"/>
  <c r="K28" i="7"/>
  <c r="K93" i="7" s="1"/>
  <c r="K31" i="7"/>
  <c r="K98" i="7" s="1"/>
  <c r="K52" i="7"/>
  <c r="L22" i="7"/>
  <c r="L25" i="7"/>
  <c r="L28" i="7"/>
  <c r="L93" i="7" s="1"/>
  <c r="L31" i="7"/>
  <c r="L98" i="7" s="1"/>
  <c r="L34" i="7"/>
  <c r="L90" i="7" s="1"/>
  <c r="L52" i="7"/>
  <c r="L55" i="7"/>
  <c r="L58" i="7"/>
  <c r="L74" i="7"/>
  <c r="K61" i="39"/>
  <c r="K60" i="39"/>
  <c r="K49" i="39"/>
  <c r="K48" i="39"/>
  <c r="K47" i="39"/>
  <c r="K46" i="39"/>
  <c r="K43" i="39"/>
  <c r="K42" i="39"/>
  <c r="K8" i="39"/>
  <c r="K22" i="39" s="1"/>
  <c r="K198" i="6"/>
  <c r="E198" i="6"/>
  <c r="G198" i="6"/>
  <c r="Y130" i="6"/>
  <c r="Z130" i="6"/>
  <c r="AC130" i="6"/>
  <c r="AD130" i="6"/>
  <c r="AG130" i="6"/>
  <c r="AH130" i="6"/>
  <c r="AK130" i="6"/>
  <c r="AL130" i="6"/>
  <c r="AQ130" i="6"/>
  <c r="AR130" i="6"/>
  <c r="AU130" i="6"/>
  <c r="AV130" i="6"/>
  <c r="AY130" i="6"/>
  <c r="AZ130" i="6"/>
  <c r="Z131" i="6"/>
  <c r="AC131" i="6"/>
  <c r="AM131" i="6" s="1"/>
  <c r="AD131" i="6"/>
  <c r="AG131" i="6"/>
  <c r="AH131" i="6"/>
  <c r="AK131" i="6"/>
  <c r="AL131" i="6"/>
  <c r="AQ131" i="6"/>
  <c r="AR131" i="6"/>
  <c r="AU131" i="6"/>
  <c r="AV131" i="6"/>
  <c r="AY131" i="6"/>
  <c r="AZ131" i="6"/>
  <c r="M112" i="6"/>
  <c r="Q112" i="6" s="1"/>
  <c r="U112" i="6" s="1"/>
  <c r="N112" i="6"/>
  <c r="R112" i="6" s="1"/>
  <c r="V112" i="6" s="1"/>
  <c r="Y112" i="6"/>
  <c r="Z112" i="6"/>
  <c r="AB112" i="6" s="1"/>
  <c r="AF112" i="6" s="1"/>
  <c r="AJ112" i="6" s="1"/>
  <c r="AP112" i="6" s="1"/>
  <c r="AT112" i="6" s="1"/>
  <c r="AX112" i="6" s="1"/>
  <c r="BF112" i="6" s="1"/>
  <c r="AM112" i="6"/>
  <c r="BC112" i="6" s="1"/>
  <c r="AN112" i="6"/>
  <c r="BD112" i="6" s="1"/>
  <c r="BA112" i="6"/>
  <c r="BB112" i="6"/>
  <c r="M94" i="6"/>
  <c r="N94" i="6"/>
  <c r="Q94" i="6"/>
  <c r="U94" i="6" s="1"/>
  <c r="Y94" i="6"/>
  <c r="Z94" i="6"/>
  <c r="AM94" i="6"/>
  <c r="AN94" i="6"/>
  <c r="BA94" i="6"/>
  <c r="BB94" i="6"/>
  <c r="L223" i="6"/>
  <c r="K223" i="6"/>
  <c r="L222" i="6"/>
  <c r="K222" i="6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30" i="6"/>
  <c r="K130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103" i="6" s="1"/>
  <c r="K107" i="6" s="1"/>
  <c r="K150" i="6" s="1"/>
  <c r="K85" i="6"/>
  <c r="K83" i="6"/>
  <c r="K82" i="6"/>
  <c r="K80" i="6"/>
  <c r="K79" i="6"/>
  <c r="L77" i="6"/>
  <c r="K77" i="6"/>
  <c r="L69" i="6"/>
  <c r="K69" i="6"/>
  <c r="L66" i="6"/>
  <c r="K66" i="6"/>
  <c r="L54" i="6"/>
  <c r="L51" i="6"/>
  <c r="L48" i="6"/>
  <c r="L45" i="6"/>
  <c r="K41" i="6"/>
  <c r="L34" i="6"/>
  <c r="L33" i="6"/>
  <c r="L32" i="6"/>
  <c r="L29" i="6"/>
  <c r="L26" i="6"/>
  <c r="L23" i="6"/>
  <c r="K18" i="6"/>
  <c r="K31" i="6" s="1"/>
  <c r="K17" i="6"/>
  <c r="K30" i="6" s="1"/>
  <c r="K16" i="6"/>
  <c r="K15" i="6"/>
  <c r="L9" i="6"/>
  <c r="L8" i="6"/>
  <c r="K7" i="6"/>
  <c r="K34" i="35"/>
  <c r="K23" i="35"/>
  <c r="K13" i="8" s="1"/>
  <c r="K16" i="8" s="1"/>
  <c r="K18" i="35"/>
  <c r="K17" i="35"/>
  <c r="K6" i="8" s="1"/>
  <c r="K16" i="35"/>
  <c r="BA131" i="6" l="1"/>
  <c r="J17" i="15"/>
  <c r="J14" i="15" s="1"/>
  <c r="J15" i="15" s="1"/>
  <c r="K5" i="9"/>
  <c r="BA130" i="6"/>
  <c r="K85" i="8"/>
  <c r="K23" i="8"/>
  <c r="K65" i="8" s="1"/>
  <c r="K34" i="8" s="1"/>
  <c r="K30" i="8"/>
  <c r="K67" i="8" s="1"/>
  <c r="K37" i="8" s="1"/>
  <c r="K50" i="8"/>
  <c r="K29" i="8"/>
  <c r="K92" i="8"/>
  <c r="K28" i="8"/>
  <c r="K24" i="8"/>
  <c r="K25" i="8"/>
  <c r="K31" i="8"/>
  <c r="K27" i="8"/>
  <c r="K34" i="39"/>
  <c r="BB130" i="6"/>
  <c r="AB94" i="6"/>
  <c r="AF94" i="6" s="1"/>
  <c r="AJ94" i="6" s="1"/>
  <c r="AP94" i="6" s="1"/>
  <c r="AT94" i="6" s="1"/>
  <c r="AX94" i="6" s="1"/>
  <c r="BF94" i="6" s="1"/>
  <c r="BD94" i="6"/>
  <c r="AM130" i="6"/>
  <c r="BC130" i="6" s="1"/>
  <c r="BC94" i="6"/>
  <c r="AA112" i="6"/>
  <c r="AE112" i="6" s="1"/>
  <c r="AI112" i="6" s="1"/>
  <c r="AO112" i="6" s="1"/>
  <c r="AS112" i="6" s="1"/>
  <c r="AW112" i="6" s="1"/>
  <c r="BE112" i="6" s="1"/>
  <c r="BB131" i="6"/>
  <c r="Y131" i="6"/>
  <c r="K32" i="6"/>
  <c r="AA94" i="6"/>
  <c r="AE94" i="6" s="1"/>
  <c r="AI94" i="6" s="1"/>
  <c r="AO94" i="6" s="1"/>
  <c r="AS94" i="6" s="1"/>
  <c r="AW94" i="6" s="1"/>
  <c r="BE94" i="6" s="1"/>
  <c r="AN131" i="6"/>
  <c r="AN130" i="6"/>
  <c r="L100" i="7"/>
  <c r="K89" i="7"/>
  <c r="K45" i="39"/>
  <c r="L103" i="6"/>
  <c r="L107" i="6" s="1"/>
  <c r="L150" i="6" s="1"/>
  <c r="R94" i="6"/>
  <c r="V94" i="6" s="1"/>
  <c r="K88" i="7"/>
  <c r="L88" i="7"/>
  <c r="L89" i="7"/>
  <c r="K23" i="39"/>
  <c r="K24" i="39" s="1"/>
  <c r="K36" i="7"/>
  <c r="K51" i="7" s="1"/>
  <c r="K87" i="7"/>
  <c r="K100" i="7"/>
  <c r="K50" i="39"/>
  <c r="K51" i="39" s="1"/>
  <c r="L87" i="7"/>
  <c r="L36" i="7"/>
  <c r="L51" i="7" s="1"/>
  <c r="BC131" i="6"/>
  <c r="BD130" i="6"/>
  <c r="L121" i="6"/>
  <c r="L125" i="6" s="1"/>
  <c r="L175" i="6" s="1"/>
  <c r="L57" i="6"/>
  <c r="L35" i="6"/>
  <c r="K28" i="6"/>
  <c r="K163" i="6"/>
  <c r="K24" i="6"/>
  <c r="K19" i="6"/>
  <c r="K81" i="6" s="1"/>
  <c r="K148" i="6"/>
  <c r="K27" i="6"/>
  <c r="K29" i="6" s="1"/>
  <c r="K121" i="6"/>
  <c r="K125" i="6" s="1"/>
  <c r="K175" i="6" s="1"/>
  <c r="K147" i="6"/>
  <c r="K138" i="6"/>
  <c r="K168" i="6"/>
  <c r="K194" i="6"/>
  <c r="K25" i="6"/>
  <c r="L138" i="6"/>
  <c r="K188" i="6"/>
  <c r="K21" i="6"/>
  <c r="K133" i="6"/>
  <c r="K22" i="6"/>
  <c r="L133" i="6"/>
  <c r="K26" i="8" l="1"/>
  <c r="K109" i="8"/>
  <c r="K111" i="8" s="1"/>
  <c r="K59" i="8"/>
  <c r="K63" i="8" s="1"/>
  <c r="K35" i="8" s="1"/>
  <c r="K110" i="8"/>
  <c r="K112" i="8" s="1"/>
  <c r="BD131" i="6"/>
  <c r="K69" i="8"/>
  <c r="K36" i="8"/>
  <c r="K27" i="9"/>
  <c r="K59" i="9"/>
  <c r="K56" i="9"/>
  <c r="K100" i="9"/>
  <c r="K7" i="9"/>
  <c r="K55" i="9"/>
  <c r="K57" i="9" s="1"/>
  <c r="K95" i="9"/>
  <c r="K70" i="9"/>
  <c r="K61" i="9"/>
  <c r="K68" i="9"/>
  <c r="K58" i="9"/>
  <c r="K60" i="9" s="1"/>
  <c r="K64" i="9"/>
  <c r="K69" i="9"/>
  <c r="K65" i="9"/>
  <c r="K66" i="9"/>
  <c r="K67" i="9"/>
  <c r="K63" i="9"/>
  <c r="K92" i="9"/>
  <c r="J132" i="26"/>
  <c r="K33" i="22"/>
  <c r="K34" i="6"/>
  <c r="K84" i="6"/>
  <c r="L103" i="7"/>
  <c r="L148" i="6"/>
  <c r="L147" i="6"/>
  <c r="L139" i="6"/>
  <c r="L143" i="6" s="1"/>
  <c r="L199" i="6" s="1"/>
  <c r="K103" i="7"/>
  <c r="K61" i="7"/>
  <c r="K75" i="7"/>
  <c r="L61" i="7"/>
  <c r="L75" i="7"/>
  <c r="K149" i="6"/>
  <c r="K172" i="6"/>
  <c r="L172" i="6"/>
  <c r="K173" i="6"/>
  <c r="L173" i="6"/>
  <c r="K26" i="6"/>
  <c r="K139" i="6"/>
  <c r="K143" i="6" s="1"/>
  <c r="K33" i="6"/>
  <c r="K35" i="6" s="1"/>
  <c r="K23" i="6"/>
  <c r="K62" i="9" l="1"/>
  <c r="K21" i="22"/>
  <c r="K22" i="22" s="1"/>
  <c r="K24" i="22" s="1"/>
  <c r="K25" i="22" s="1"/>
  <c r="K27" i="22" s="1"/>
  <c r="K7" i="22"/>
  <c r="K8" i="22" s="1"/>
  <c r="K10" i="22" s="1"/>
  <c r="K11" i="22" s="1"/>
  <c r="K13" i="22" s="1"/>
  <c r="L149" i="6"/>
  <c r="K174" i="6"/>
  <c r="L174" i="6"/>
  <c r="L213" i="6"/>
  <c r="L216" i="6"/>
  <c r="L197" i="6"/>
  <c r="L208" i="6"/>
  <c r="L206" i="6"/>
  <c r="L212" i="6"/>
  <c r="L210" i="6"/>
  <c r="L205" i="6"/>
  <c r="L204" i="6"/>
  <c r="L207" i="6"/>
  <c r="L218" i="6"/>
  <c r="L203" i="6"/>
  <c r="L211" i="6"/>
  <c r="L217" i="6"/>
  <c r="K204" i="6"/>
  <c r="K203" i="6"/>
  <c r="K206" i="6"/>
  <c r="K211" i="6"/>
  <c r="K207" i="6"/>
  <c r="K205" i="6"/>
  <c r="K208" i="6"/>
  <c r="K210" i="6"/>
  <c r="K212" i="6"/>
  <c r="K213" i="6"/>
  <c r="K216" i="6"/>
  <c r="K219" i="6" s="1"/>
  <c r="L214" i="6" l="1"/>
  <c r="L209" i="6"/>
  <c r="K209" i="6"/>
  <c r="K214" i="6"/>
  <c r="L219" i="6"/>
  <c r="L215" i="6" l="1"/>
  <c r="L220" i="6" s="1"/>
  <c r="K215" i="6"/>
  <c r="K220" i="6" s="1"/>
  <c r="L16" i="77" l="1"/>
  <c r="Z16" i="77" s="1"/>
  <c r="M16" i="77"/>
  <c r="AA16" i="77" s="1"/>
  <c r="L17" i="77"/>
  <c r="Z17" i="77" s="1"/>
  <c r="M17" i="77"/>
  <c r="AA17" i="77" s="1"/>
  <c r="L18" i="77"/>
  <c r="Z18" i="77" s="1"/>
  <c r="M18" i="77"/>
  <c r="AA18" i="77" s="1"/>
  <c r="J74" i="77"/>
  <c r="K87" i="77"/>
  <c r="K86" i="77"/>
  <c r="K85" i="77"/>
  <c r="K82" i="77"/>
  <c r="J82" i="77"/>
  <c r="K78" i="77"/>
  <c r="K76" i="77"/>
  <c r="K75" i="77"/>
  <c r="K74" i="77" s="1"/>
  <c r="K72" i="77"/>
  <c r="J72" i="77"/>
  <c r="K64" i="77"/>
  <c r="J64" i="77"/>
  <c r="K47" i="77"/>
  <c r="J47" i="77"/>
  <c r="K36" i="77"/>
  <c r="J36" i="77"/>
  <c r="K32" i="77"/>
  <c r="J32" i="77"/>
  <c r="K26" i="77"/>
  <c r="J26" i="77"/>
  <c r="K21" i="77"/>
  <c r="J21" i="77"/>
  <c r="K13" i="77"/>
  <c r="J13" i="77"/>
  <c r="K7" i="77"/>
  <c r="J7" i="77"/>
  <c r="L28" i="28"/>
  <c r="L12" i="28"/>
  <c r="L58" i="28" s="1"/>
  <c r="K479" i="28"/>
  <c r="L436" i="28"/>
  <c r="L432" i="28"/>
  <c r="L400" i="28"/>
  <c r="L399" i="28"/>
  <c r="L392" i="28"/>
  <c r="L471" i="28" s="1"/>
  <c r="K392" i="28"/>
  <c r="L376" i="28"/>
  <c r="L377" i="28" s="1"/>
  <c r="L278" i="28"/>
  <c r="L467" i="28" s="1"/>
  <c r="K278" i="28"/>
  <c r="L272" i="28"/>
  <c r="K272" i="28"/>
  <c r="L271" i="28"/>
  <c r="K271" i="28"/>
  <c r="L232" i="28"/>
  <c r="L463" i="28" s="1"/>
  <c r="K232" i="28"/>
  <c r="L215" i="28"/>
  <c r="L214" i="28"/>
  <c r="L82" i="28"/>
  <c r="L81" i="28"/>
  <c r="L79" i="28"/>
  <c r="L75" i="28"/>
  <c r="L71" i="28"/>
  <c r="L67" i="28"/>
  <c r="K54" i="28"/>
  <c r="K53" i="28"/>
  <c r="K52" i="28"/>
  <c r="L47" i="28"/>
  <c r="L40" i="28"/>
  <c r="L32" i="28"/>
  <c r="L54" i="28" s="1"/>
  <c r="L31" i="28"/>
  <c r="L53" i="28" s="1"/>
  <c r="L30" i="28"/>
  <c r="L52" i="28" s="1"/>
  <c r="L29" i="28"/>
  <c r="L51" i="28" s="1"/>
  <c r="L50" i="28"/>
  <c r="L26" i="28"/>
  <c r="K21" i="28"/>
  <c r="K26" i="28" s="1"/>
  <c r="L19" i="28"/>
  <c r="K14" i="28"/>
  <c r="K19" i="28" s="1"/>
  <c r="K7" i="28"/>
  <c r="L17" i="49"/>
  <c r="L18" i="49" s="1"/>
  <c r="L11" i="49"/>
  <c r="K11" i="49"/>
  <c r="L9" i="49"/>
  <c r="L8" i="49"/>
  <c r="L6" i="49"/>
  <c r="M194" i="73"/>
  <c r="Q194" i="73" s="1"/>
  <c r="U194" i="73" s="1"/>
  <c r="M132" i="73"/>
  <c r="AA132" i="73" s="1"/>
  <c r="M70" i="73"/>
  <c r="Q70" i="73" s="1"/>
  <c r="U70" i="73" s="1"/>
  <c r="M71" i="73"/>
  <c r="Q71" i="73" s="1"/>
  <c r="U71" i="73" s="1"/>
  <c r="M72" i="73"/>
  <c r="Q72" i="73" s="1"/>
  <c r="U72" i="73" s="1"/>
  <c r="M73" i="73"/>
  <c r="Q73" i="73" s="1"/>
  <c r="U73" i="73" s="1"/>
  <c r="M74" i="73"/>
  <c r="Q74" i="73" s="1"/>
  <c r="U74" i="73" s="1"/>
  <c r="M75" i="73"/>
  <c r="Q75" i="73" s="1"/>
  <c r="U75" i="73" s="1"/>
  <c r="K190" i="73"/>
  <c r="K179" i="73"/>
  <c r="K188" i="73" s="1"/>
  <c r="K133" i="73"/>
  <c r="K131" i="73"/>
  <c r="K129" i="73"/>
  <c r="K125" i="73"/>
  <c r="K121" i="73"/>
  <c r="K114" i="73"/>
  <c r="K11" i="15" s="1"/>
  <c r="K12" i="15" s="1"/>
  <c r="K13" i="15" s="1"/>
  <c r="K108" i="73"/>
  <c r="K102" i="73"/>
  <c r="K65" i="73"/>
  <c r="K58" i="73"/>
  <c r="K53" i="73"/>
  <c r="K48" i="73"/>
  <c r="K34" i="73"/>
  <c r="K23" i="73"/>
  <c r="K16" i="73"/>
  <c r="K14" i="73"/>
  <c r="M139" i="50" s="1"/>
  <c r="K8" i="73"/>
  <c r="K6" i="73" s="1"/>
  <c r="O79" i="59"/>
  <c r="O78" i="59"/>
  <c r="N78" i="59"/>
  <c r="O77" i="59"/>
  <c r="N76" i="59"/>
  <c r="N75" i="59"/>
  <c r="O70" i="59"/>
  <c r="O69" i="59"/>
  <c r="N69" i="59"/>
  <c r="O66" i="59"/>
  <c r="O65" i="59"/>
  <c r="N65" i="59"/>
  <c r="O62" i="59"/>
  <c r="N62" i="59"/>
  <c r="O61" i="59"/>
  <c r="N61" i="59"/>
  <c r="O60" i="59"/>
  <c r="O59" i="59"/>
  <c r="N59" i="59"/>
  <c r="O58" i="59"/>
  <c r="N58" i="59"/>
  <c r="N53" i="59"/>
  <c r="O52" i="59"/>
  <c r="N52" i="59"/>
  <c r="O51" i="59"/>
  <c r="N51" i="59"/>
  <c r="O50" i="59"/>
  <c r="N50" i="59"/>
  <c r="O48" i="59"/>
  <c r="N48" i="59"/>
  <c r="O47" i="59"/>
  <c r="N47" i="59"/>
  <c r="O46" i="59"/>
  <c r="N46" i="59"/>
  <c r="O45" i="59"/>
  <c r="N45" i="59"/>
  <c r="O43" i="59"/>
  <c r="N43" i="59"/>
  <c r="O42" i="59"/>
  <c r="N42" i="59"/>
  <c r="N44" i="59" s="1"/>
  <c r="O41" i="59"/>
  <c r="N41" i="59"/>
  <c r="N39" i="59"/>
  <c r="N38" i="59"/>
  <c r="N37" i="59"/>
  <c r="O36" i="59"/>
  <c r="N36" i="59"/>
  <c r="O35" i="59"/>
  <c r="N35" i="59"/>
  <c r="O34" i="59"/>
  <c r="N34" i="59"/>
  <c r="O33" i="59"/>
  <c r="N33" i="59"/>
  <c r="O32" i="59"/>
  <c r="N32" i="59"/>
  <c r="O31" i="59"/>
  <c r="N31" i="59"/>
  <c r="O30" i="59"/>
  <c r="N30" i="59"/>
  <c r="O29" i="59"/>
  <c r="N29" i="59"/>
  <c r="O28" i="59"/>
  <c r="N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O11" i="59"/>
  <c r="N11" i="59"/>
  <c r="K54" i="36"/>
  <c r="K46" i="36" s="1"/>
  <c r="K53" i="36"/>
  <c r="K51" i="36"/>
  <c r="K43" i="36" s="1"/>
  <c r="K45" i="36" s="1"/>
  <c r="K49" i="36"/>
  <c r="K41" i="36" s="1"/>
  <c r="K48" i="36"/>
  <c r="L46" i="36"/>
  <c r="L54" i="36" s="1"/>
  <c r="L44" i="36"/>
  <c r="L52" i="36" s="1"/>
  <c r="L43" i="36"/>
  <c r="L51" i="36" s="1"/>
  <c r="L41" i="36"/>
  <c r="L49" i="36" s="1"/>
  <c r="L40" i="36"/>
  <c r="L48" i="36" s="1"/>
  <c r="K40" i="36"/>
  <c r="L39" i="36"/>
  <c r="L17" i="36" s="1"/>
  <c r="O55" i="59" s="1"/>
  <c r="L38" i="36"/>
  <c r="L32" i="36"/>
  <c r="K32" i="36"/>
  <c r="K29" i="36"/>
  <c r="J7" i="15" s="1"/>
  <c r="K28" i="36"/>
  <c r="J6" i="15" s="1"/>
  <c r="K27" i="36"/>
  <c r="J5" i="15" s="1"/>
  <c r="L26" i="36"/>
  <c r="K23" i="36"/>
  <c r="N72" i="59" s="1"/>
  <c r="L22" i="36"/>
  <c r="O68" i="59" s="1"/>
  <c r="K22" i="36"/>
  <c r="N68" i="59" s="1"/>
  <c r="L21" i="36"/>
  <c r="O64" i="59" s="1"/>
  <c r="K21" i="36"/>
  <c r="N64" i="59" s="1"/>
  <c r="K17" i="36"/>
  <c r="K90" i="9" s="1"/>
  <c r="K19" i="9" s="1"/>
  <c r="L16" i="36"/>
  <c r="O54" i="59" s="1"/>
  <c r="K16" i="36"/>
  <c r="K13" i="36"/>
  <c r="N40" i="59" s="1"/>
  <c r="L12" i="36"/>
  <c r="O39" i="59" s="1"/>
  <c r="L11" i="36"/>
  <c r="O38" i="59" s="1"/>
  <c r="L10" i="36"/>
  <c r="O37" i="59" s="1"/>
  <c r="L9" i="36"/>
  <c r="O10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K13" i="49" s="1"/>
  <c r="L28" i="21"/>
  <c r="K27" i="21"/>
  <c r="K26" i="21"/>
  <c r="K28" i="21" s="1"/>
  <c r="L24" i="21"/>
  <c r="L25" i="21" s="1"/>
  <c r="L18" i="21"/>
  <c r="L15" i="21"/>
  <c r="L12" i="21"/>
  <c r="K12" i="21"/>
  <c r="K22" i="21" s="1"/>
  <c r="K42" i="35"/>
  <c r="K41" i="35"/>
  <c r="L40" i="35"/>
  <c r="L39" i="35"/>
  <c r="L36" i="35"/>
  <c r="L48" i="35" s="1"/>
  <c r="K36" i="35"/>
  <c r="K48" i="35" s="1"/>
  <c r="L31" i="35"/>
  <c r="L30" i="35"/>
  <c r="L26" i="35"/>
  <c r="L33" i="36" s="1"/>
  <c r="L34" i="36" s="1"/>
  <c r="K26" i="35"/>
  <c r="K33" i="36" s="1"/>
  <c r="K34" i="36" s="1"/>
  <c r="K21" i="35"/>
  <c r="K26" i="9" s="1"/>
  <c r="L20" i="35"/>
  <c r="K20" i="35"/>
  <c r="L19" i="35"/>
  <c r="K19" i="35"/>
  <c r="L14" i="35"/>
  <c r="L5" i="36" s="1"/>
  <c r="L13" i="49" s="1"/>
  <c r="L13" i="35"/>
  <c r="L15" i="35" s="1"/>
  <c r="L11" i="35"/>
  <c r="L10" i="6" s="1"/>
  <c r="K10" i="35"/>
  <c r="K9" i="35"/>
  <c r="K8" i="35"/>
  <c r="L7" i="35"/>
  <c r="L6" i="6" s="1"/>
  <c r="L6" i="35"/>
  <c r="L5" i="6" s="1"/>
  <c r="K14" i="35" l="1"/>
  <c r="K9" i="6"/>
  <c r="N79" i="59"/>
  <c r="L8" i="35"/>
  <c r="N77" i="59"/>
  <c r="K84" i="77"/>
  <c r="K11" i="35"/>
  <c r="K10" i="6" s="1"/>
  <c r="K8" i="6"/>
  <c r="N49" i="59"/>
  <c r="Q18" i="77"/>
  <c r="U18" i="77" s="1"/>
  <c r="P18" i="77"/>
  <c r="T18" i="77" s="1"/>
  <c r="Q17" i="77"/>
  <c r="U17" i="77" s="1"/>
  <c r="P17" i="77"/>
  <c r="T17" i="77" s="1"/>
  <c r="Q16" i="77"/>
  <c r="U16" i="77" s="1"/>
  <c r="P16" i="77"/>
  <c r="T16" i="77" s="1"/>
  <c r="K136" i="73"/>
  <c r="K119" i="73"/>
  <c r="Q132" i="73"/>
  <c r="U132" i="73" s="1"/>
  <c r="M131" i="73"/>
  <c r="L273" i="28"/>
  <c r="L466" i="28" s="1"/>
  <c r="L216" i="28"/>
  <c r="L461" i="28" s="1"/>
  <c r="K42" i="36"/>
  <c r="K50" i="36"/>
  <c r="K79" i="77"/>
  <c r="K5" i="73"/>
  <c r="L447" i="28"/>
  <c r="L479" i="28" s="1"/>
  <c r="L469" i="28"/>
  <c r="L83" i="28"/>
  <c r="L84" i="28" s="1"/>
  <c r="L33" i="28"/>
  <c r="L472" i="28" s="1"/>
  <c r="L430" i="28"/>
  <c r="L470" i="28"/>
  <c r="L59" i="28"/>
  <c r="K38" i="36"/>
  <c r="K89" i="9"/>
  <c r="K91" i="9" s="1"/>
  <c r="N6" i="59"/>
  <c r="N54" i="59"/>
  <c r="N55" i="59"/>
  <c r="K39" i="36"/>
  <c r="L50" i="36"/>
  <c r="L53" i="36"/>
  <c r="L19" i="36" s="1"/>
  <c r="O57" i="59" s="1"/>
  <c r="L35" i="36"/>
  <c r="L36" i="36" s="1"/>
  <c r="L30" i="36" s="1"/>
  <c r="O80" i="59" s="1"/>
  <c r="L13" i="36"/>
  <c r="O40" i="59" s="1"/>
  <c r="L16" i="6"/>
  <c r="L18" i="6"/>
  <c r="L17" i="6"/>
  <c r="L15" i="6"/>
  <c r="L7" i="6"/>
  <c r="L41" i="35"/>
  <c r="L98" i="11"/>
  <c r="L42" i="36"/>
  <c r="L45" i="36"/>
  <c r="L18" i="36"/>
  <c r="O56" i="59" s="1"/>
  <c r="O49" i="59"/>
  <c r="O44" i="59"/>
  <c r="O6" i="59"/>
  <c r="K28" i="28"/>
  <c r="K33" i="28" s="1"/>
  <c r="K13" i="35"/>
  <c r="K15" i="35" s="1"/>
  <c r="J79" i="77"/>
  <c r="L468" i="28"/>
  <c r="L60" i="28"/>
  <c r="K377" i="28"/>
  <c r="K470" i="28" s="1"/>
  <c r="K60" i="28"/>
  <c r="K73" i="28" s="1"/>
  <c r="L55" i="28"/>
  <c r="L477" i="28" s="1"/>
  <c r="L460" i="28"/>
  <c r="L464" i="28"/>
  <c r="K59" i="28"/>
  <c r="K69" i="28" s="1"/>
  <c r="K464" i="28" s="1"/>
  <c r="K273" i="28"/>
  <c r="K12" i="28"/>
  <c r="K117" i="73"/>
  <c r="K35" i="36"/>
  <c r="K36" i="36" s="1"/>
  <c r="K30" i="36" s="1"/>
  <c r="N80" i="59" s="1"/>
  <c r="L20" i="21"/>
  <c r="K15" i="21"/>
  <c r="Q131" i="73" l="1"/>
  <c r="U131" i="73" s="1"/>
  <c r="AA131" i="73"/>
  <c r="L61" i="28"/>
  <c r="L448" i="28"/>
  <c r="L474" i="28" s="1"/>
  <c r="L465" i="28"/>
  <c r="L457" i="28"/>
  <c r="L458" i="28"/>
  <c r="L462" i="28"/>
  <c r="K469" i="28"/>
  <c r="L480" i="28"/>
  <c r="L62" i="28"/>
  <c r="L478" i="28" s="1"/>
  <c r="L189" i="6"/>
  <c r="L194" i="6"/>
  <c r="L168" i="6"/>
  <c r="L19" i="6"/>
  <c r="L81" i="6" s="1"/>
  <c r="L164" i="6"/>
  <c r="K61" i="28"/>
  <c r="K77" i="28" s="1"/>
  <c r="K448" i="28"/>
  <c r="K451" i="28" s="1"/>
  <c r="K50" i="28"/>
  <c r="K55" i="28" s="1"/>
  <c r="K477" i="28" s="1"/>
  <c r="L56" i="28"/>
  <c r="K58" i="28"/>
  <c r="K216" i="28"/>
  <c r="K462" i="28" s="1"/>
  <c r="K458" i="28"/>
  <c r="K457" i="28"/>
  <c r="K466" i="28"/>
  <c r="K468" i="28"/>
  <c r="K465" i="28"/>
  <c r="L473" i="28"/>
  <c r="K472" i="28"/>
  <c r="H115" i="10"/>
  <c r="N115" i="10" s="1"/>
  <c r="H88" i="10"/>
  <c r="N88" i="10" s="1"/>
  <c r="H92" i="10"/>
  <c r="N92" i="10" s="1"/>
  <c r="H93" i="10"/>
  <c r="N93" i="10" s="1"/>
  <c r="H84" i="10"/>
  <c r="N84" i="10" s="1"/>
  <c r="J129" i="10"/>
  <c r="J130" i="10"/>
  <c r="H65" i="10"/>
  <c r="H58" i="10"/>
  <c r="H13" i="10"/>
  <c r="H23" i="10"/>
  <c r="H21" i="10"/>
  <c r="N21" i="10" s="1"/>
  <c r="H22" i="10"/>
  <c r="H30" i="10"/>
  <c r="N30" i="10" s="1"/>
  <c r="R92" i="10" l="1"/>
  <c r="V92" i="10" s="1"/>
  <c r="AB92" i="10"/>
  <c r="R88" i="10"/>
  <c r="V88" i="10" s="1"/>
  <c r="AB88" i="10"/>
  <c r="H200" i="10"/>
  <c r="R115" i="10"/>
  <c r="V115" i="10" s="1"/>
  <c r="AB115" i="10"/>
  <c r="R30" i="10"/>
  <c r="V30" i="10" s="1"/>
  <c r="AB30" i="10"/>
  <c r="R84" i="10"/>
  <c r="V84" i="10" s="1"/>
  <c r="AB84" i="10"/>
  <c r="R21" i="10"/>
  <c r="V21" i="10" s="1"/>
  <c r="AB21" i="10"/>
  <c r="R93" i="10"/>
  <c r="V93" i="10" s="1"/>
  <c r="AB93" i="10"/>
  <c r="L452" i="28"/>
  <c r="L451" i="28"/>
  <c r="L84" i="6"/>
  <c r="L38" i="6"/>
  <c r="L40" i="6"/>
  <c r="L39" i="6"/>
  <c r="L37" i="6"/>
  <c r="K452" i="28"/>
  <c r="K474" i="28"/>
  <c r="K473" i="28"/>
  <c r="K62" i="28"/>
  <c r="K478" i="28" s="1"/>
  <c r="K65" i="28"/>
  <c r="L41" i="6" l="1"/>
  <c r="K81" i="28"/>
  <c r="K461" i="28"/>
  <c r="K460" i="28"/>
  <c r="AW7" i="71"/>
  <c r="AW8" i="71"/>
  <c r="AY8" i="71" s="1"/>
  <c r="AW9" i="71"/>
  <c r="G68" i="90" s="1"/>
  <c r="AW10" i="71"/>
  <c r="AW11" i="71"/>
  <c r="AW12" i="71"/>
  <c r="AW13" i="71"/>
  <c r="AW14" i="71"/>
  <c r="AW15" i="71"/>
  <c r="AW16" i="71"/>
  <c r="AW18" i="71"/>
  <c r="AW20" i="71"/>
  <c r="G70" i="90" s="1"/>
  <c r="AW21" i="71"/>
  <c r="G71" i="90" s="1"/>
  <c r="AW22" i="71"/>
  <c r="AW23" i="71"/>
  <c r="AW24" i="71"/>
  <c r="AW25" i="71"/>
  <c r="G73" i="90" s="1"/>
  <c r="AW26" i="71"/>
  <c r="AW27" i="71"/>
  <c r="AW28" i="71"/>
  <c r="AW29" i="71"/>
  <c r="AW30" i="71"/>
  <c r="AW32" i="71"/>
  <c r="AW33" i="71"/>
  <c r="AW34" i="71"/>
  <c r="G74" i="90" s="1"/>
  <c r="AW35" i="71"/>
  <c r="AW36" i="71"/>
  <c r="AW37" i="71"/>
  <c r="AW38" i="71"/>
  <c r="AW39" i="71"/>
  <c r="G76" i="90" s="1"/>
  <c r="AW40" i="71"/>
  <c r="G77" i="90" s="1"/>
  <c r="AW41" i="71"/>
  <c r="AW42" i="71"/>
  <c r="AW43" i="71"/>
  <c r="G79" i="90" s="1"/>
  <c r="AW44" i="71"/>
  <c r="G80" i="90" s="1"/>
  <c r="AW46" i="71"/>
  <c r="G82" i="90" s="1"/>
  <c r="AW47" i="71"/>
  <c r="G83" i="90" s="1"/>
  <c r="AW48" i="71"/>
  <c r="AW49" i="71"/>
  <c r="AW51" i="71"/>
  <c r="G84" i="90" s="1"/>
  <c r="AW52" i="71"/>
  <c r="AW54" i="71"/>
  <c r="G86" i="90" s="1"/>
  <c r="AW55" i="71"/>
  <c r="G87" i="90" s="1"/>
  <c r="AU7" i="71"/>
  <c r="AU8" i="71"/>
  <c r="AU9" i="71"/>
  <c r="AU10" i="71"/>
  <c r="AU11" i="71"/>
  <c r="BC11" i="71" s="1"/>
  <c r="AU12" i="71"/>
  <c r="BC12" i="71" s="1"/>
  <c r="AU13" i="71"/>
  <c r="BC13" i="71" s="1"/>
  <c r="AU14" i="71"/>
  <c r="AU15" i="71"/>
  <c r="AU16" i="71"/>
  <c r="AU18" i="71"/>
  <c r="AU20" i="71"/>
  <c r="AU21" i="71"/>
  <c r="AU22" i="71"/>
  <c r="E72" i="90" s="1"/>
  <c r="AU23" i="71"/>
  <c r="BC23" i="71" s="1"/>
  <c r="AU24" i="71"/>
  <c r="AU25" i="71"/>
  <c r="AU26" i="71"/>
  <c r="AU27" i="71"/>
  <c r="AU28" i="71"/>
  <c r="AU29" i="71"/>
  <c r="BC29" i="71" s="1"/>
  <c r="AU30" i="71"/>
  <c r="AU32" i="71"/>
  <c r="BC32" i="71" s="1"/>
  <c r="AU33" i="71"/>
  <c r="BC33" i="71" s="1"/>
  <c r="AU34" i="71"/>
  <c r="AU35" i="71"/>
  <c r="E75" i="90" s="1"/>
  <c r="AU36" i="71"/>
  <c r="AU37" i="71"/>
  <c r="AU38" i="71"/>
  <c r="BC38" i="71" s="1"/>
  <c r="AU39" i="71"/>
  <c r="AU40" i="71"/>
  <c r="AU41" i="71"/>
  <c r="E78" i="90" s="1"/>
  <c r="AU42" i="71"/>
  <c r="AU43" i="71"/>
  <c r="AU44" i="71"/>
  <c r="AU46" i="71"/>
  <c r="AU47" i="71"/>
  <c r="AU48" i="71"/>
  <c r="AU49" i="71"/>
  <c r="BC49" i="71" s="1"/>
  <c r="AU51" i="71"/>
  <c r="AU52" i="71"/>
  <c r="AU54" i="71"/>
  <c r="AU55" i="71"/>
  <c r="AO52" i="71"/>
  <c r="AO54" i="71"/>
  <c r="AO55" i="71"/>
  <c r="AK52" i="71"/>
  <c r="AK54" i="71"/>
  <c r="AK55" i="71"/>
  <c r="AF52" i="71"/>
  <c r="AF54" i="71"/>
  <c r="AF55" i="71"/>
  <c r="AB7" i="71"/>
  <c r="AB8" i="71"/>
  <c r="AB9" i="71"/>
  <c r="AB10" i="71"/>
  <c r="AB11" i="71"/>
  <c r="AB12" i="71"/>
  <c r="AB13" i="71"/>
  <c r="AB14" i="71"/>
  <c r="AB15" i="71"/>
  <c r="AB16" i="71"/>
  <c r="AB18" i="71"/>
  <c r="AB20" i="71"/>
  <c r="AB21" i="71"/>
  <c r="AB22" i="71"/>
  <c r="AB23" i="71"/>
  <c r="AB24" i="71"/>
  <c r="AB25" i="71"/>
  <c r="AB26" i="71"/>
  <c r="AB27" i="71"/>
  <c r="AB28" i="71"/>
  <c r="AB29" i="71"/>
  <c r="AB30" i="71"/>
  <c r="AB32" i="71"/>
  <c r="AB33" i="71"/>
  <c r="AB34" i="71"/>
  <c r="AB35" i="71"/>
  <c r="AB36" i="71"/>
  <c r="AB37" i="71"/>
  <c r="AB38" i="71"/>
  <c r="AB39" i="71"/>
  <c r="AB40" i="71"/>
  <c r="AB41" i="71"/>
  <c r="AB42" i="71"/>
  <c r="AB43" i="71"/>
  <c r="AB44" i="71"/>
  <c r="AB46" i="71"/>
  <c r="AB47" i="71"/>
  <c r="AB48" i="71"/>
  <c r="AB49" i="71"/>
  <c r="AB51" i="71"/>
  <c r="AB52" i="71"/>
  <c r="AB54" i="71"/>
  <c r="AB55" i="71"/>
  <c r="I7" i="71"/>
  <c r="I8" i="71"/>
  <c r="I9" i="71"/>
  <c r="I10" i="71"/>
  <c r="I11" i="71"/>
  <c r="I12" i="71"/>
  <c r="I13" i="71"/>
  <c r="I14" i="71"/>
  <c r="I15" i="71"/>
  <c r="I16" i="71"/>
  <c r="I18" i="71"/>
  <c r="I20" i="71"/>
  <c r="I21" i="71"/>
  <c r="I22" i="71"/>
  <c r="I23" i="71"/>
  <c r="I24" i="71"/>
  <c r="I25" i="71"/>
  <c r="I26" i="71"/>
  <c r="I27" i="71"/>
  <c r="I28" i="71"/>
  <c r="I29" i="71"/>
  <c r="I30" i="71"/>
  <c r="I32" i="71"/>
  <c r="I33" i="71"/>
  <c r="I34" i="71"/>
  <c r="I35" i="71"/>
  <c r="I36" i="71"/>
  <c r="I37" i="71"/>
  <c r="I38" i="71"/>
  <c r="I39" i="71"/>
  <c r="I40" i="71"/>
  <c r="I41" i="71"/>
  <c r="I42" i="71"/>
  <c r="I43" i="71"/>
  <c r="I44" i="71"/>
  <c r="I46" i="71"/>
  <c r="I47" i="71"/>
  <c r="I48" i="71"/>
  <c r="I49" i="71"/>
  <c r="I51" i="71"/>
  <c r="I52" i="71"/>
  <c r="I54" i="71"/>
  <c r="I55" i="71"/>
  <c r="AW6" i="71"/>
  <c r="AU6" i="71"/>
  <c r="I6" i="71"/>
  <c r="AG46" i="71" l="1"/>
  <c r="AQ46" i="71"/>
  <c r="AG10" i="71"/>
  <c r="AQ10" i="71"/>
  <c r="AG36" i="71"/>
  <c r="AQ36" i="71"/>
  <c r="AG16" i="71"/>
  <c r="AQ16" i="71"/>
  <c r="AR16" i="71" s="1"/>
  <c r="AY14" i="71"/>
  <c r="AG20" i="71"/>
  <c r="AQ20" i="71"/>
  <c r="AG9" i="71"/>
  <c r="AQ9" i="71"/>
  <c r="AR9" i="71" s="1"/>
  <c r="AG43" i="71"/>
  <c r="AQ43" i="71"/>
  <c r="AR43" i="71" s="1"/>
  <c r="X6" i="71"/>
  <c r="N6" i="71"/>
  <c r="AG25" i="71"/>
  <c r="AQ25" i="71"/>
  <c r="AG33" i="71"/>
  <c r="AQ33" i="71"/>
  <c r="AR33" i="71" s="1"/>
  <c r="AG40" i="71"/>
  <c r="AQ40" i="71"/>
  <c r="AQ23" i="71"/>
  <c r="AR23" i="71" s="1"/>
  <c r="AG23" i="71"/>
  <c r="BC27" i="71"/>
  <c r="BC18" i="71"/>
  <c r="BQ18" i="71" s="1"/>
  <c r="AY48" i="71"/>
  <c r="AG28" i="71"/>
  <c r="AQ28" i="71"/>
  <c r="AG27" i="71"/>
  <c r="AQ27" i="71"/>
  <c r="AR27" i="71" s="1"/>
  <c r="AQ35" i="71"/>
  <c r="AG35" i="71"/>
  <c r="AG8" i="71"/>
  <c r="AQ8" i="71"/>
  <c r="AQ42" i="71"/>
  <c r="AR42" i="71" s="1"/>
  <c r="AG42" i="71"/>
  <c r="AG15" i="71"/>
  <c r="AQ15" i="71"/>
  <c r="AG7" i="71"/>
  <c r="AQ7" i="71"/>
  <c r="AG51" i="71"/>
  <c r="AQ51" i="71"/>
  <c r="AR51" i="71" s="1"/>
  <c r="AG24" i="71"/>
  <c r="AQ24" i="71"/>
  <c r="AR24" i="71" s="1"/>
  <c r="AG32" i="71"/>
  <c r="AQ32" i="71"/>
  <c r="AR32" i="71" s="1"/>
  <c r="BC36" i="71"/>
  <c r="AG48" i="71"/>
  <c r="AQ48" i="71"/>
  <c r="AG39" i="71"/>
  <c r="AQ39" i="71"/>
  <c r="AQ30" i="71"/>
  <c r="AG30" i="71"/>
  <c r="AG22" i="71"/>
  <c r="AQ22" i="71"/>
  <c r="AQ12" i="71"/>
  <c r="AG12" i="71"/>
  <c r="BC26" i="71"/>
  <c r="BQ26" i="71" s="1"/>
  <c r="AG37" i="71"/>
  <c r="AQ37" i="71"/>
  <c r="AG44" i="71"/>
  <c r="AQ44" i="71"/>
  <c r="AR44" i="71" s="1"/>
  <c r="AQ18" i="71"/>
  <c r="AG18" i="71"/>
  <c r="AG26" i="71"/>
  <c r="AQ26" i="71"/>
  <c r="AQ34" i="71"/>
  <c r="AR34" i="71" s="1"/>
  <c r="AG34" i="71"/>
  <c r="AQ41" i="71"/>
  <c r="AR41" i="71" s="1"/>
  <c r="AG41" i="71"/>
  <c r="AQ14" i="71"/>
  <c r="AG14" i="71"/>
  <c r="AG49" i="71"/>
  <c r="AQ49" i="71"/>
  <c r="AG13" i="71"/>
  <c r="AQ13" i="71"/>
  <c r="AQ47" i="71"/>
  <c r="AR47" i="71" s="1"/>
  <c r="AG47" i="71"/>
  <c r="AG38" i="71"/>
  <c r="AQ38" i="71"/>
  <c r="AG29" i="71"/>
  <c r="AQ29" i="71"/>
  <c r="AQ21" i="71"/>
  <c r="AG21" i="71"/>
  <c r="AQ11" i="71"/>
  <c r="AR11" i="71" s="1"/>
  <c r="AG11" i="71"/>
  <c r="AY52" i="71"/>
  <c r="BC42" i="71"/>
  <c r="BC15" i="71"/>
  <c r="AY7" i="71"/>
  <c r="AY28" i="71"/>
  <c r="X44" i="71"/>
  <c r="N44" i="71"/>
  <c r="BG27" i="71"/>
  <c r="BK27" i="71" s="1"/>
  <c r="BQ27" i="71"/>
  <c r="X51" i="71"/>
  <c r="N51" i="71"/>
  <c r="X43" i="71"/>
  <c r="N43" i="71"/>
  <c r="X37" i="71"/>
  <c r="N37" i="71"/>
  <c r="X30" i="71"/>
  <c r="N30" i="71"/>
  <c r="X24" i="71"/>
  <c r="N24" i="71"/>
  <c r="X16" i="71"/>
  <c r="N16" i="71"/>
  <c r="X10" i="71"/>
  <c r="N10" i="71"/>
  <c r="BG33" i="71"/>
  <c r="BK33" i="71" s="1"/>
  <c r="BQ33" i="71"/>
  <c r="BG12" i="71"/>
  <c r="BK12" i="71" s="1"/>
  <c r="BQ12" i="71"/>
  <c r="N32" i="71"/>
  <c r="X32" i="71"/>
  <c r="BG13" i="71"/>
  <c r="BK13" i="71" s="1"/>
  <c r="BQ13" i="71"/>
  <c r="X42" i="71"/>
  <c r="N42" i="71"/>
  <c r="X29" i="71"/>
  <c r="N29" i="71"/>
  <c r="X23" i="71"/>
  <c r="N23" i="71"/>
  <c r="X15" i="71"/>
  <c r="N15" i="71"/>
  <c r="X9" i="71"/>
  <c r="N9" i="71"/>
  <c r="BG38" i="71"/>
  <c r="BK38" i="71" s="1"/>
  <c r="BQ38" i="71"/>
  <c r="BG32" i="71"/>
  <c r="BK32" i="71" s="1"/>
  <c r="BQ32" i="71"/>
  <c r="BG18" i="71"/>
  <c r="BK18" i="71" s="1"/>
  <c r="BG11" i="71"/>
  <c r="BK11" i="71" s="1"/>
  <c r="BQ11" i="71"/>
  <c r="X25" i="71"/>
  <c r="N25" i="71"/>
  <c r="X36" i="71"/>
  <c r="N36" i="71"/>
  <c r="X48" i="71"/>
  <c r="N48" i="71"/>
  <c r="X41" i="71"/>
  <c r="N41" i="71"/>
  <c r="X35" i="71"/>
  <c r="N35" i="71"/>
  <c r="X28" i="71"/>
  <c r="N28" i="71"/>
  <c r="X22" i="71"/>
  <c r="N22" i="71"/>
  <c r="X14" i="71"/>
  <c r="N14" i="71"/>
  <c r="X8" i="71"/>
  <c r="N8" i="71"/>
  <c r="X52" i="71"/>
  <c r="N52" i="71"/>
  <c r="X18" i="71"/>
  <c r="N18" i="71"/>
  <c r="X55" i="71"/>
  <c r="N55" i="71"/>
  <c r="X34" i="71"/>
  <c r="N34" i="71"/>
  <c r="X21" i="71"/>
  <c r="N21" i="71"/>
  <c r="X13" i="71"/>
  <c r="N13" i="71"/>
  <c r="X7" i="71"/>
  <c r="N7" i="71"/>
  <c r="BG49" i="71"/>
  <c r="BK49" i="71" s="1"/>
  <c r="BQ49" i="71"/>
  <c r="BG42" i="71"/>
  <c r="BK42" i="71" s="1"/>
  <c r="BQ42" i="71"/>
  <c r="BG36" i="71"/>
  <c r="BK36" i="71" s="1"/>
  <c r="BQ36" i="71"/>
  <c r="BG29" i="71"/>
  <c r="BK29" i="71" s="1"/>
  <c r="BQ29" i="71"/>
  <c r="BG23" i="71"/>
  <c r="BK23" i="71" s="1"/>
  <c r="BQ23" i="71"/>
  <c r="BG15" i="71"/>
  <c r="BK15" i="71" s="1"/>
  <c r="BQ15" i="71"/>
  <c r="X38" i="71"/>
  <c r="N38" i="71"/>
  <c r="X11" i="71"/>
  <c r="N11" i="71"/>
  <c r="X49" i="71"/>
  <c r="N49" i="71"/>
  <c r="X47" i="71"/>
  <c r="N47" i="71"/>
  <c r="X40" i="71"/>
  <c r="N40" i="71"/>
  <c r="X27" i="71"/>
  <c r="N27" i="71"/>
  <c r="X54" i="71"/>
  <c r="N54" i="71"/>
  <c r="X46" i="71"/>
  <c r="N46" i="71"/>
  <c r="X39" i="71"/>
  <c r="N39" i="71"/>
  <c r="X33" i="71"/>
  <c r="N33" i="71"/>
  <c r="X26" i="71"/>
  <c r="N26" i="71"/>
  <c r="X20" i="71"/>
  <c r="N20" i="71"/>
  <c r="X12" i="71"/>
  <c r="N12" i="71"/>
  <c r="AY55" i="71"/>
  <c r="E87" i="90"/>
  <c r="BC47" i="71"/>
  <c r="E83" i="90"/>
  <c r="BC40" i="71"/>
  <c r="E77" i="90"/>
  <c r="BC34" i="71"/>
  <c r="E74" i="90"/>
  <c r="BC21" i="71"/>
  <c r="E71" i="90"/>
  <c r="AY41" i="71"/>
  <c r="G78" i="90"/>
  <c r="AY35" i="71"/>
  <c r="G75" i="90"/>
  <c r="AY22" i="71"/>
  <c r="G72" i="90"/>
  <c r="AY54" i="71"/>
  <c r="E86" i="90"/>
  <c r="BC46" i="71"/>
  <c r="E82" i="90"/>
  <c r="BC39" i="71"/>
  <c r="E76" i="90"/>
  <c r="BC20" i="71"/>
  <c r="E70" i="90"/>
  <c r="AP55" i="71"/>
  <c r="BC44" i="71"/>
  <c r="E80" i="90"/>
  <c r="BC25" i="71"/>
  <c r="E73" i="90"/>
  <c r="BC51" i="71"/>
  <c r="E84" i="90"/>
  <c r="BC43" i="71"/>
  <c r="E79" i="90"/>
  <c r="BC37" i="71"/>
  <c r="BC30" i="71"/>
  <c r="BC24" i="71"/>
  <c r="BC16" i="71"/>
  <c r="BC10" i="71"/>
  <c r="BC9" i="71"/>
  <c r="E68" i="90"/>
  <c r="AG55" i="71"/>
  <c r="AG52" i="71"/>
  <c r="AP52" i="71"/>
  <c r="AQ54" i="71"/>
  <c r="AR54" i="71" s="1"/>
  <c r="AG54" i="71"/>
  <c r="AP54" i="71"/>
  <c r="AY49" i="71"/>
  <c r="AY42" i="71"/>
  <c r="AY36" i="71"/>
  <c r="AQ55" i="71"/>
  <c r="AY34" i="71"/>
  <c r="AY27" i="71"/>
  <c r="AY21" i="71"/>
  <c r="AY13" i="71"/>
  <c r="AQ52" i="71"/>
  <c r="AR52" i="71" s="1"/>
  <c r="AY47" i="71"/>
  <c r="AY40" i="71"/>
  <c r="AY33" i="71"/>
  <c r="AY26" i="71"/>
  <c r="AY20" i="71"/>
  <c r="AY12" i="71"/>
  <c r="AY46" i="71"/>
  <c r="AY39" i="71"/>
  <c r="AY32" i="71"/>
  <c r="AY25" i="71"/>
  <c r="AY18" i="71"/>
  <c r="AY11" i="71"/>
  <c r="AY44" i="71"/>
  <c r="AY38" i="71"/>
  <c r="AY30" i="71"/>
  <c r="AY24" i="71"/>
  <c r="AY16" i="71"/>
  <c r="AY10" i="71"/>
  <c r="BC48" i="71"/>
  <c r="BC41" i="71"/>
  <c r="BC35" i="71"/>
  <c r="BC28" i="71"/>
  <c r="BC22" i="71"/>
  <c r="BC14" i="71"/>
  <c r="BC8" i="71"/>
  <c r="AY51" i="71"/>
  <c r="AY43" i="71"/>
  <c r="AY37" i="71"/>
  <c r="AY29" i="71"/>
  <c r="AY23" i="71"/>
  <c r="AY15" i="71"/>
  <c r="AY9" i="71"/>
  <c r="AY6" i="71"/>
  <c r="AR37" i="71" l="1"/>
  <c r="AR39" i="71"/>
  <c r="AR15" i="71"/>
  <c r="AR40" i="71"/>
  <c r="AR13" i="71"/>
  <c r="AR30" i="71"/>
  <c r="AR28" i="71"/>
  <c r="AR21" i="71"/>
  <c r="AR29" i="71"/>
  <c r="AR26" i="71"/>
  <c r="AR8" i="71"/>
  <c r="AR10" i="71"/>
  <c r="AR20" i="71"/>
  <c r="BG26" i="71"/>
  <c r="BK26" i="71" s="1"/>
  <c r="AR38" i="71"/>
  <c r="AR12" i="71"/>
  <c r="AR7" i="71"/>
  <c r="AR46" i="71"/>
  <c r="AR36" i="71"/>
  <c r="AR49" i="71"/>
  <c r="AR48" i="71"/>
  <c r="AR25" i="71"/>
  <c r="AR14" i="71"/>
  <c r="AR18" i="71"/>
  <c r="AR22" i="71"/>
  <c r="AR35" i="71"/>
  <c r="AR55" i="71"/>
  <c r="BG24" i="71"/>
  <c r="BK24" i="71" s="1"/>
  <c r="BQ24" i="71"/>
  <c r="BG39" i="71"/>
  <c r="BK39" i="71" s="1"/>
  <c r="BQ39" i="71"/>
  <c r="BG30" i="71"/>
  <c r="BK30" i="71" s="1"/>
  <c r="BQ30" i="71"/>
  <c r="BG21" i="71"/>
  <c r="BK21" i="71" s="1"/>
  <c r="BQ21" i="71"/>
  <c r="BG41" i="71"/>
  <c r="BK41" i="71" s="1"/>
  <c r="BQ41" i="71"/>
  <c r="BG37" i="71"/>
  <c r="BK37" i="71" s="1"/>
  <c r="BQ37" i="71"/>
  <c r="BG46" i="71"/>
  <c r="BK46" i="71" s="1"/>
  <c r="BQ46" i="71"/>
  <c r="BG28" i="71"/>
  <c r="BK28" i="71" s="1"/>
  <c r="BQ28" i="71"/>
  <c r="BG8" i="71"/>
  <c r="BK8" i="71" s="1"/>
  <c r="BQ8" i="71"/>
  <c r="BG48" i="71"/>
  <c r="BK48" i="71" s="1"/>
  <c r="BQ48" i="71"/>
  <c r="BG25" i="71"/>
  <c r="BK25" i="71" s="1"/>
  <c r="BQ25" i="71"/>
  <c r="BG34" i="71"/>
  <c r="BK34" i="71" s="1"/>
  <c r="BQ34" i="71"/>
  <c r="BG9" i="71"/>
  <c r="BK9" i="71" s="1"/>
  <c r="BQ9" i="71"/>
  <c r="BG10" i="71"/>
  <c r="BK10" i="71" s="1"/>
  <c r="BQ10" i="71"/>
  <c r="BG43" i="71"/>
  <c r="BK43" i="71" s="1"/>
  <c r="BQ43" i="71"/>
  <c r="BG20" i="71"/>
  <c r="BK20" i="71" s="1"/>
  <c r="BQ20" i="71"/>
  <c r="BG51" i="71"/>
  <c r="BK51" i="71" s="1"/>
  <c r="BQ51" i="71"/>
  <c r="BG35" i="71"/>
  <c r="BK35" i="71" s="1"/>
  <c r="BQ35" i="71"/>
  <c r="BG47" i="71"/>
  <c r="BK47" i="71" s="1"/>
  <c r="BQ47" i="71"/>
  <c r="BG14" i="71"/>
  <c r="BK14" i="71" s="1"/>
  <c r="BQ14" i="71"/>
  <c r="BG22" i="71"/>
  <c r="BK22" i="71" s="1"/>
  <c r="BQ22" i="71"/>
  <c r="BG16" i="71"/>
  <c r="BK16" i="71" s="1"/>
  <c r="BQ16" i="71"/>
  <c r="BG44" i="71"/>
  <c r="BK44" i="71" s="1"/>
  <c r="BQ44" i="71"/>
  <c r="BG40" i="71"/>
  <c r="BK40" i="71" s="1"/>
  <c r="BQ40" i="71"/>
  <c r="F105" i="90"/>
  <c r="G105" i="90"/>
  <c r="H105" i="90"/>
  <c r="I105" i="90"/>
  <c r="J105" i="90"/>
  <c r="K105" i="90"/>
  <c r="L105" i="90"/>
  <c r="M105" i="90"/>
  <c r="N105" i="90"/>
  <c r="O105" i="90"/>
  <c r="P105" i="90"/>
  <c r="Q105" i="90"/>
  <c r="R105" i="90"/>
  <c r="S105" i="90"/>
  <c r="T105" i="90"/>
  <c r="U105" i="90"/>
  <c r="V105" i="90"/>
  <c r="W105" i="90"/>
  <c r="X105" i="90"/>
  <c r="Y105" i="90"/>
  <c r="Z105" i="90"/>
  <c r="AA105" i="90"/>
  <c r="AB105" i="90"/>
  <c r="AC105" i="90"/>
  <c r="AD105" i="90"/>
  <c r="AE105" i="90"/>
  <c r="AF105" i="90"/>
  <c r="AG105" i="90"/>
  <c r="AH105" i="90"/>
  <c r="AI105" i="90"/>
  <c r="AJ105" i="90"/>
  <c r="AK105" i="90"/>
  <c r="AL105" i="90"/>
  <c r="AM105" i="90"/>
  <c r="AN105" i="90"/>
  <c r="AO105" i="90"/>
  <c r="AP105" i="90"/>
  <c r="AQ105" i="90"/>
  <c r="AR105" i="90"/>
  <c r="AS105" i="90"/>
  <c r="AT105" i="90"/>
  <c r="AU105" i="90"/>
  <c r="AV105" i="90"/>
  <c r="AW105" i="90"/>
  <c r="AX105" i="90"/>
  <c r="AY105" i="90"/>
  <c r="AZ105" i="90"/>
  <c r="BA105" i="90"/>
  <c r="BB105" i="90"/>
  <c r="BC105" i="90"/>
  <c r="BD105" i="90"/>
  <c r="BE105" i="90"/>
  <c r="E105" i="90"/>
  <c r="J109" i="9" l="1"/>
  <c r="G5" i="83" l="1"/>
  <c r="G6" i="83"/>
  <c r="G7" i="83"/>
  <c r="G8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32" i="83"/>
  <c r="G33" i="83"/>
  <c r="G34" i="83"/>
  <c r="G35" i="83"/>
  <c r="G36" i="83"/>
  <c r="G37" i="83"/>
  <c r="F82" i="77"/>
  <c r="G82" i="77"/>
  <c r="I206" i="73" l="1"/>
  <c r="I207" i="73"/>
  <c r="M207" i="73" s="1"/>
  <c r="M77" i="77" s="1"/>
  <c r="AA77" i="77" s="1"/>
  <c r="I208" i="73"/>
  <c r="M208" i="73" s="1"/>
  <c r="I210" i="73"/>
  <c r="I211" i="73"/>
  <c r="M211" i="73" s="1"/>
  <c r="I212" i="73"/>
  <c r="M212" i="73" s="1"/>
  <c r="I213" i="73"/>
  <c r="M213" i="73" s="1"/>
  <c r="I214" i="73"/>
  <c r="M214" i="73" s="1"/>
  <c r="I215" i="73"/>
  <c r="M215" i="73" s="1"/>
  <c r="I216" i="73"/>
  <c r="M216" i="73" s="1"/>
  <c r="I217" i="73"/>
  <c r="M217" i="73" s="1"/>
  <c r="I218" i="73"/>
  <c r="M218" i="73" s="1"/>
  <c r="I219" i="73"/>
  <c r="M219" i="73" s="1"/>
  <c r="I220" i="73"/>
  <c r="M220" i="73" s="1"/>
  <c r="I221" i="73"/>
  <c r="M221" i="73" s="1"/>
  <c r="I222" i="73"/>
  <c r="M222" i="73" s="1"/>
  <c r="I223" i="73"/>
  <c r="M223" i="73" s="1"/>
  <c r="I225" i="73"/>
  <c r="I226" i="73"/>
  <c r="M226" i="73" s="1"/>
  <c r="I227" i="73"/>
  <c r="M227" i="73" s="1"/>
  <c r="I228" i="73"/>
  <c r="M228" i="73" s="1"/>
  <c r="I229" i="73"/>
  <c r="M229" i="73" s="1"/>
  <c r="I230" i="73"/>
  <c r="M230" i="73" s="1"/>
  <c r="I231" i="73"/>
  <c r="M231" i="73" s="1"/>
  <c r="I232" i="73"/>
  <c r="M232" i="73" s="1"/>
  <c r="I234" i="73"/>
  <c r="I236" i="73"/>
  <c r="I237" i="73"/>
  <c r="M237" i="73" s="1"/>
  <c r="I238" i="73"/>
  <c r="I239" i="73"/>
  <c r="I240" i="73"/>
  <c r="I241" i="73"/>
  <c r="I205" i="73"/>
  <c r="M205" i="73" s="1"/>
  <c r="Q222" i="73" l="1"/>
  <c r="U222" i="73" s="1"/>
  <c r="AA222" i="73"/>
  <c r="Q230" i="73"/>
  <c r="U230" i="73" s="1"/>
  <c r="AA230" i="73"/>
  <c r="Q213" i="73"/>
  <c r="U213" i="73" s="1"/>
  <c r="AA213" i="73"/>
  <c r="Q220" i="73"/>
  <c r="U220" i="73" s="1"/>
  <c r="AA220" i="73"/>
  <c r="Q228" i="73"/>
  <c r="U228" i="73" s="1"/>
  <c r="AA228" i="73"/>
  <c r="Q227" i="73"/>
  <c r="U227" i="73" s="1"/>
  <c r="AA227" i="73"/>
  <c r="Q226" i="73"/>
  <c r="U226" i="73" s="1"/>
  <c r="AA226" i="73"/>
  <c r="Q231" i="73"/>
  <c r="U231" i="73" s="1"/>
  <c r="AA231" i="73"/>
  <c r="Q214" i="73"/>
  <c r="U214" i="73" s="1"/>
  <c r="AA214" i="73"/>
  <c r="Q221" i="73"/>
  <c r="U221" i="73" s="1"/>
  <c r="AA221" i="73"/>
  <c r="Q229" i="73"/>
  <c r="U229" i="73" s="1"/>
  <c r="AA229" i="73"/>
  <c r="Q212" i="73"/>
  <c r="U212" i="73" s="1"/>
  <c r="AA212" i="73"/>
  <c r="Q219" i="73"/>
  <c r="U219" i="73" s="1"/>
  <c r="AA219" i="73"/>
  <c r="Q237" i="73"/>
  <c r="U237" i="73" s="1"/>
  <c r="AA237" i="73"/>
  <c r="Q218" i="73"/>
  <c r="U218" i="73" s="1"/>
  <c r="AA218" i="73"/>
  <c r="Q217" i="73"/>
  <c r="U217" i="73" s="1"/>
  <c r="AA217" i="73"/>
  <c r="Q216" i="73"/>
  <c r="U216" i="73" s="1"/>
  <c r="AA216" i="73"/>
  <c r="Q232" i="73"/>
  <c r="U232" i="73" s="1"/>
  <c r="AA232" i="73"/>
  <c r="Q223" i="73"/>
  <c r="U223" i="73" s="1"/>
  <c r="AA223" i="73"/>
  <c r="Q215" i="73"/>
  <c r="U215" i="73" s="1"/>
  <c r="AA215" i="73"/>
  <c r="Q211" i="73"/>
  <c r="U211" i="73" s="1"/>
  <c r="AA211" i="73"/>
  <c r="Q207" i="73"/>
  <c r="U207" i="73" s="1"/>
  <c r="AA207" i="73"/>
  <c r="Q205" i="73"/>
  <c r="U205" i="73" s="1"/>
  <c r="AA205" i="73"/>
  <c r="Q208" i="73"/>
  <c r="U208" i="73" s="1"/>
  <c r="AA208" i="73"/>
  <c r="M206" i="73"/>
  <c r="AA206" i="73" s="1"/>
  <c r="I204" i="73"/>
  <c r="M225" i="73"/>
  <c r="AA225" i="73" s="1"/>
  <c r="I224" i="73"/>
  <c r="M234" i="73"/>
  <c r="AA234" i="73" s="1"/>
  <c r="I233" i="73"/>
  <c r="M236" i="73"/>
  <c r="AA236" i="73" s="1"/>
  <c r="I235" i="73"/>
  <c r="M210" i="73"/>
  <c r="AA210" i="73" s="1"/>
  <c r="I209" i="73"/>
  <c r="H103" i="9"/>
  <c r="H188" i="6"/>
  <c r="H163" i="6"/>
  <c r="M209" i="73" l="1"/>
  <c r="AA209" i="73" s="1"/>
  <c r="Q210" i="73"/>
  <c r="Q209" i="73" s="1"/>
  <c r="U209" i="73" s="1"/>
  <c r="Q206" i="73"/>
  <c r="M204" i="73"/>
  <c r="AA204" i="73" s="1"/>
  <c r="Q225" i="73"/>
  <c r="M224" i="73"/>
  <c r="AA224" i="73" s="1"/>
  <c r="Q234" i="73"/>
  <c r="M233" i="73"/>
  <c r="AA233" i="73" s="1"/>
  <c r="U210" i="73"/>
  <c r="Q236" i="73"/>
  <c r="M235" i="73"/>
  <c r="AA235" i="73" s="1"/>
  <c r="K62" i="50"/>
  <c r="U206" i="73" l="1"/>
  <c r="U204" i="73" s="1"/>
  <c r="Q204" i="73"/>
  <c r="Q235" i="73"/>
  <c r="U235" i="73" s="1"/>
  <c r="U236" i="73"/>
  <c r="U234" i="73"/>
  <c r="Q233" i="73"/>
  <c r="U233" i="73" s="1"/>
  <c r="U225" i="73"/>
  <c r="Q224" i="73"/>
  <c r="U224" i="73" s="1"/>
  <c r="F130" i="26" l="1"/>
  <c r="G114" i="26"/>
  <c r="F112" i="26"/>
  <c r="F110" i="26"/>
  <c r="F108" i="26"/>
  <c r="F106" i="26"/>
  <c r="F104" i="26"/>
  <c r="F102" i="26"/>
  <c r="F100" i="26"/>
  <c r="F98" i="26"/>
  <c r="F87" i="17" s="1"/>
  <c r="G94" i="26"/>
  <c r="F91" i="26"/>
  <c r="F89" i="26"/>
  <c r="F87" i="26"/>
  <c r="F85" i="26"/>
  <c r="F86" i="17" s="1"/>
  <c r="G83" i="26"/>
  <c r="G82" i="26"/>
  <c r="F80" i="26"/>
  <c r="F78" i="26"/>
  <c r="G75" i="26"/>
  <c r="F73" i="26"/>
  <c r="F71" i="26"/>
  <c r="F69" i="26"/>
  <c r="F67" i="26"/>
  <c r="F65" i="26"/>
  <c r="F63" i="26"/>
  <c r="F85" i="17" s="1"/>
  <c r="F61" i="26"/>
  <c r="F59" i="26"/>
  <c r="F54" i="26"/>
  <c r="F52" i="26"/>
  <c r="G50" i="26"/>
  <c r="G57" i="26" s="1"/>
  <c r="F48" i="26"/>
  <c r="F50" i="26" s="1"/>
  <c r="G45" i="26"/>
  <c r="F43" i="26"/>
  <c r="F41" i="26"/>
  <c r="F39" i="26"/>
  <c r="F37" i="26"/>
  <c r="F35" i="26"/>
  <c r="F33" i="26"/>
  <c r="F31" i="26"/>
  <c r="F29" i="26"/>
  <c r="F84" i="17" s="1"/>
  <c r="F27" i="26"/>
  <c r="F26" i="17" s="1"/>
  <c r="F25" i="26"/>
  <c r="F23" i="26"/>
  <c r="F21" i="26"/>
  <c r="F17" i="26"/>
  <c r="F15" i="26"/>
  <c r="G12" i="26"/>
  <c r="G19" i="26" s="1"/>
  <c r="F11" i="26"/>
  <c r="F9" i="26"/>
  <c r="F117" i="17"/>
  <c r="F115" i="17"/>
  <c r="G87" i="17"/>
  <c r="G86" i="17"/>
  <c r="G85" i="17"/>
  <c r="G84" i="17"/>
  <c r="G83" i="17"/>
  <c r="F83" i="17"/>
  <c r="G79" i="17"/>
  <c r="F79" i="17"/>
  <c r="G74" i="17"/>
  <c r="F74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F52" i="17"/>
  <c r="G49" i="17"/>
  <c r="F48" i="17"/>
  <c r="G47" i="17"/>
  <c r="F46" i="17"/>
  <c r="G44" i="17"/>
  <c r="G50" i="17" s="1"/>
  <c r="F44" i="17"/>
  <c r="G43" i="17"/>
  <c r="G41" i="17"/>
  <c r="G39" i="17"/>
  <c r="G26" i="17"/>
  <c r="G22" i="17"/>
  <c r="G16" i="17" s="1"/>
  <c r="G34" i="17" s="1"/>
  <c r="F21" i="17"/>
  <c r="F19" i="17"/>
  <c r="F18" i="17"/>
  <c r="F22" i="17" s="1"/>
  <c r="F16" i="17"/>
  <c r="F30" i="17" s="1"/>
  <c r="F15" i="17"/>
  <c r="G14" i="17"/>
  <c r="G12" i="17"/>
  <c r="G9" i="17"/>
  <c r="G11" i="17" s="1"/>
  <c r="F9" i="17"/>
  <c r="F11" i="17" s="1"/>
  <c r="F33" i="17" l="1"/>
  <c r="G13" i="17"/>
  <c r="G117" i="17"/>
  <c r="G15" i="17"/>
  <c r="F114" i="26"/>
  <c r="F82" i="26"/>
  <c r="F94" i="26"/>
  <c r="F83" i="26"/>
  <c r="F75" i="26"/>
  <c r="F45" i="26"/>
  <c r="F12" i="26"/>
  <c r="F19" i="26" s="1"/>
  <c r="F57" i="26"/>
  <c r="F51" i="26"/>
  <c r="F56" i="26"/>
  <c r="G13" i="26"/>
  <c r="G18" i="26"/>
  <c r="G56" i="26"/>
  <c r="G51" i="26"/>
  <c r="F50" i="17"/>
  <c r="F114" i="17" s="1"/>
  <c r="G62" i="17"/>
  <c r="G33" i="17"/>
  <c r="F119" i="17"/>
  <c r="G54" i="17"/>
  <c r="G114" i="17"/>
  <c r="G118" i="17" s="1"/>
  <c r="G51" i="17"/>
  <c r="G55" i="17" s="1"/>
  <c r="F62" i="17"/>
  <c r="F60" i="17"/>
  <c r="F34" i="17"/>
  <c r="F31" i="17"/>
  <c r="F32" i="17"/>
  <c r="G32" i="17"/>
  <c r="G30" i="17"/>
  <c r="F116" i="17"/>
  <c r="G116" i="17"/>
  <c r="G31" i="17"/>
  <c r="G45" i="17"/>
  <c r="G37" i="27"/>
  <c r="G35" i="27"/>
  <c r="G28" i="27"/>
  <c r="G29" i="27"/>
  <c r="G27" i="27"/>
  <c r="G26" i="27"/>
  <c r="G20" i="27"/>
  <c r="G19" i="27"/>
  <c r="G18" i="27"/>
  <c r="F13" i="26" l="1"/>
  <c r="F18" i="26"/>
  <c r="F54" i="17"/>
  <c r="F118" i="17"/>
  <c r="G115" i="17"/>
  <c r="G119" i="17" s="1"/>
  <c r="F39" i="27"/>
  <c r="G36" i="27"/>
  <c r="G39" i="27"/>
  <c r="F28" i="27"/>
  <c r="F27" i="27"/>
  <c r="G33" i="27"/>
  <c r="G22" i="27"/>
  <c r="G21" i="27"/>
  <c r="G24" i="27"/>
  <c r="F18" i="27"/>
  <c r="F24" i="27" s="1"/>
  <c r="F33" i="27" l="1"/>
  <c r="H28" i="22"/>
  <c r="H24" i="22"/>
  <c r="H26" i="22" s="1"/>
  <c r="H23" i="22"/>
  <c r="H14" i="22"/>
  <c r="H10" i="22"/>
  <c r="H12" i="22" s="1"/>
  <c r="H9" i="22"/>
  <c r="I33" i="15"/>
  <c r="G30" i="15"/>
  <c r="G29" i="15"/>
  <c r="G28" i="15"/>
  <c r="G24" i="15"/>
  <c r="G23" i="15"/>
  <c r="G22" i="15"/>
  <c r="G21" i="15"/>
  <c r="G20" i="15"/>
  <c r="F18" i="15"/>
  <c r="G17" i="15"/>
  <c r="G14" i="15"/>
  <c r="F11" i="15"/>
  <c r="F12" i="15" s="1"/>
  <c r="G10" i="15"/>
  <c r="G9" i="15"/>
  <c r="F9" i="15"/>
  <c r="G8" i="15"/>
  <c r="F8" i="15"/>
  <c r="G7" i="15"/>
  <c r="G6" i="15"/>
  <c r="G5" i="15"/>
  <c r="G31" i="15" l="1"/>
  <c r="G35" i="15" s="1"/>
  <c r="G15" i="15" s="1"/>
  <c r="G16" i="15" s="1"/>
  <c r="L96" i="38" l="1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K68" i="38"/>
  <c r="L64" i="38"/>
  <c r="L63" i="38"/>
  <c r="K62" i="38"/>
  <c r="L61" i="38"/>
  <c r="L60" i="38"/>
  <c r="L59" i="38"/>
  <c r="L58" i="38"/>
  <c r="L57" i="38"/>
  <c r="L56" i="38"/>
  <c r="K55" i="38"/>
  <c r="K53" i="38"/>
  <c r="L52" i="38"/>
  <c r="K52" i="38"/>
  <c r="K47" i="38"/>
  <c r="K46" i="38"/>
  <c r="K45" i="38"/>
  <c r="K44" i="38"/>
  <c r="L43" i="38"/>
  <c r="L92" i="38" s="1"/>
  <c r="K42" i="38"/>
  <c r="K41" i="38" s="1"/>
  <c r="L41" i="38"/>
  <c r="L90" i="38" s="1"/>
  <c r="K39" i="38"/>
  <c r="K38" i="38"/>
  <c r="K37" i="38"/>
  <c r="K36" i="38"/>
  <c r="L35" i="38"/>
  <c r="L84" i="38" s="1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L68" i="38" s="1"/>
  <c r="K15" i="38"/>
  <c r="K14" i="38"/>
  <c r="K13" i="38" s="1"/>
  <c r="L13" i="38"/>
  <c r="L62" i="38" s="1"/>
  <c r="K12" i="38"/>
  <c r="K11" i="38"/>
  <c r="K10" i="38"/>
  <c r="K9" i="38"/>
  <c r="K8" i="38"/>
  <c r="K7" i="38"/>
  <c r="L6" i="38"/>
  <c r="G131" i="73"/>
  <c r="F131" i="73"/>
  <c r="E131" i="73"/>
  <c r="I132" i="73"/>
  <c r="I93" i="73"/>
  <c r="I94" i="73"/>
  <c r="I67" i="73"/>
  <c r="I68" i="73"/>
  <c r="I69" i="73"/>
  <c r="I70" i="73"/>
  <c r="I71" i="73"/>
  <c r="I72" i="73"/>
  <c r="I73" i="73"/>
  <c r="I74" i="73"/>
  <c r="I75" i="73"/>
  <c r="I76" i="73"/>
  <c r="I77" i="73"/>
  <c r="I78" i="73"/>
  <c r="I79" i="73"/>
  <c r="I80" i="73"/>
  <c r="I81" i="73"/>
  <c r="I82" i="73"/>
  <c r="I83" i="73"/>
  <c r="I84" i="73"/>
  <c r="I85" i="73"/>
  <c r="I86" i="73"/>
  <c r="I87" i="73"/>
  <c r="I88" i="73"/>
  <c r="I89" i="73"/>
  <c r="I90" i="73"/>
  <c r="I91" i="73"/>
  <c r="K65" i="38" l="1"/>
  <c r="I131" i="73"/>
  <c r="K67" i="38"/>
  <c r="L18" i="38"/>
  <c r="L67" i="38" s="1"/>
  <c r="L16" i="38"/>
  <c r="L65" i="38" s="1"/>
  <c r="K89" i="38"/>
  <c r="K66" i="38" s="1"/>
  <c r="K98" i="38" s="1"/>
  <c r="K43" i="38"/>
  <c r="K40" i="38" s="1"/>
  <c r="K35" i="38"/>
  <c r="K19" i="38"/>
  <c r="K6" i="38"/>
  <c r="K16" i="38" s="1"/>
  <c r="L55" i="38"/>
  <c r="L40" i="38"/>
  <c r="K18" i="38" l="1"/>
  <c r="K17" i="38" s="1"/>
  <c r="K49" i="38" s="1"/>
  <c r="L17" i="38"/>
  <c r="L89" i="38"/>
  <c r="I19" i="39"/>
  <c r="I20" i="39"/>
  <c r="I21" i="39"/>
  <c r="I59" i="39"/>
  <c r="L66" i="38" l="1"/>
  <c r="L98" i="38" s="1"/>
  <c r="L49" i="38"/>
  <c r="G28" i="72"/>
  <c r="G31" i="72"/>
  <c r="G26" i="72"/>
  <c r="J146" i="10" l="1"/>
  <c r="J147" i="10"/>
  <c r="J148" i="10"/>
  <c r="J84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1" i="10"/>
  <c r="J24" i="10"/>
  <c r="J25" i="10"/>
  <c r="J26" i="10"/>
  <c r="J27" i="10"/>
  <c r="J28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5" i="10"/>
  <c r="J56" i="10"/>
  <c r="J57" i="10"/>
  <c r="J59" i="10"/>
  <c r="J60" i="10"/>
  <c r="J61" i="10"/>
  <c r="J62" i="10"/>
  <c r="J63" i="10"/>
  <c r="J64" i="10"/>
  <c r="J66" i="10"/>
  <c r="J67" i="10"/>
  <c r="J68" i="10"/>
  <c r="J69" i="10"/>
  <c r="J70" i="10"/>
  <c r="J71" i="10"/>
  <c r="J72" i="10"/>
  <c r="J73" i="10"/>
  <c r="J75" i="10"/>
  <c r="J76" i="10"/>
  <c r="J77" i="10"/>
  <c r="J78" i="10"/>
  <c r="J79" i="10"/>
  <c r="J80" i="10"/>
  <c r="J81" i="10"/>
  <c r="J82" i="10"/>
  <c r="J83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4" i="10"/>
  <c r="J105" i="10"/>
  <c r="J106" i="10"/>
  <c r="J107" i="10"/>
  <c r="J108" i="10"/>
  <c r="J110" i="10"/>
  <c r="J111" i="10"/>
  <c r="J112" i="10"/>
  <c r="J114" i="10"/>
  <c r="J115" i="10"/>
  <c r="J116" i="10"/>
  <c r="J117" i="10"/>
  <c r="H147" i="9" l="1"/>
  <c r="H148" i="9" s="1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7" i="7"/>
  <c r="J47" i="7"/>
  <c r="AE97" i="7"/>
  <c r="AI97" i="7"/>
  <c r="AM97" i="7"/>
  <c r="AO97" i="7"/>
  <c r="AS97" i="7"/>
  <c r="AW97" i="7"/>
  <c r="BA97" i="7"/>
  <c r="BC97" i="7"/>
  <c r="BE97" i="7"/>
  <c r="I17" i="7"/>
  <c r="J17" i="7"/>
  <c r="H3" i="8" l="1"/>
  <c r="I157" i="45" l="1"/>
  <c r="I156" i="45"/>
  <c r="I154" i="45"/>
  <c r="I148" i="45"/>
  <c r="I155" i="45" s="1"/>
  <c r="I143" i="45"/>
  <c r="H143" i="45"/>
  <c r="I142" i="45"/>
  <c r="H142" i="45"/>
  <c r="I141" i="45"/>
  <c r="H141" i="45"/>
  <c r="I140" i="45"/>
  <c r="H140" i="45"/>
  <c r="I138" i="45"/>
  <c r="H138" i="45"/>
  <c r="I136" i="45"/>
  <c r="H136" i="45"/>
  <c r="I134" i="45"/>
  <c r="H134" i="45"/>
  <c r="I131" i="45"/>
  <c r="I132" i="45" s="1"/>
  <c r="H131" i="45"/>
  <c r="H132" i="45" s="1"/>
  <c r="I129" i="45"/>
  <c r="I126" i="45" s="1"/>
  <c r="I109" i="45"/>
  <c r="I159" i="45" s="1"/>
  <c r="I108" i="45"/>
  <c r="I144" i="45" s="1"/>
  <c r="H108" i="45"/>
  <c r="H144" i="45" s="1"/>
  <c r="I107" i="45"/>
  <c r="I158" i="45" s="1"/>
  <c r="I160" i="45" l="1"/>
  <c r="I139" i="45"/>
  <c r="H123" i="45"/>
  <c r="H107" i="45"/>
  <c r="H139" i="45"/>
  <c r="H124" i="45"/>
  <c r="I124" i="45"/>
  <c r="I125" i="45" s="1"/>
  <c r="I123" i="45"/>
  <c r="I162" i="45"/>
  <c r="I149" i="45"/>
  <c r="I150" i="45"/>
  <c r="H91" i="11"/>
  <c r="H89" i="11"/>
  <c r="H83" i="11"/>
  <c r="H84" i="11" s="1"/>
  <c r="H78" i="11"/>
  <c r="G78" i="11"/>
  <c r="H77" i="11"/>
  <c r="G77" i="11"/>
  <c r="H76" i="11"/>
  <c r="G76" i="11"/>
  <c r="H75" i="11"/>
  <c r="G75" i="11"/>
  <c r="H73" i="11"/>
  <c r="G73" i="11"/>
  <c r="H71" i="11"/>
  <c r="G71" i="11"/>
  <c r="H69" i="11"/>
  <c r="G69" i="11"/>
  <c r="H66" i="11"/>
  <c r="H67" i="11" s="1"/>
  <c r="G66" i="11"/>
  <c r="G67" i="11" s="1"/>
  <c r="H64" i="11"/>
  <c r="H61" i="11" s="1"/>
  <c r="H59" i="11"/>
  <c r="H57" i="11"/>
  <c r="H85" i="11" s="1"/>
  <c r="H56" i="11"/>
  <c r="H79" i="11" s="1"/>
  <c r="G56" i="11"/>
  <c r="G79" i="11" s="1"/>
  <c r="H55" i="11"/>
  <c r="H92" i="11" s="1"/>
  <c r="H190" i="10"/>
  <c r="H188" i="10"/>
  <c r="H182" i="10"/>
  <c r="H183" i="10" s="1"/>
  <c r="H177" i="10"/>
  <c r="G177" i="10"/>
  <c r="H176" i="10"/>
  <c r="G176" i="10"/>
  <c r="H175" i="10"/>
  <c r="G175" i="10"/>
  <c r="H174" i="10"/>
  <c r="G174" i="10"/>
  <c r="H172" i="10"/>
  <c r="G172" i="10"/>
  <c r="H170" i="10"/>
  <c r="G170" i="10"/>
  <c r="H168" i="10"/>
  <c r="G168" i="10"/>
  <c r="H165" i="10"/>
  <c r="H166" i="10" s="1"/>
  <c r="G165" i="10"/>
  <c r="G166" i="10" s="1"/>
  <c r="H155" i="10"/>
  <c r="H184" i="10" s="1"/>
  <c r="H154" i="10"/>
  <c r="H201" i="10" s="1"/>
  <c r="G154" i="10"/>
  <c r="G178" i="10" s="1"/>
  <c r="H153" i="10"/>
  <c r="G58" i="11" l="1"/>
  <c r="G173" i="10"/>
  <c r="G55" i="11"/>
  <c r="G98" i="11"/>
  <c r="G153" i="10"/>
  <c r="H74" i="11"/>
  <c r="G74" i="11"/>
  <c r="H173" i="10"/>
  <c r="G161" i="10"/>
  <c r="H90" i="11"/>
  <c r="H96" i="11" s="1"/>
  <c r="H60" i="11"/>
  <c r="H58" i="11"/>
  <c r="H93" i="11"/>
  <c r="H94" i="11" s="1"/>
  <c r="H189" i="10"/>
  <c r="H191" i="10"/>
  <c r="H197" i="10"/>
  <c r="H192" i="10"/>
  <c r="H178" i="10"/>
  <c r="H161" i="10"/>
  <c r="G52" i="9"/>
  <c r="G101" i="9"/>
  <c r="H99" i="9"/>
  <c r="G99" i="9"/>
  <c r="H98" i="9"/>
  <c r="G98" i="9"/>
  <c r="H97" i="9"/>
  <c r="G97" i="9"/>
  <c r="H93" i="9"/>
  <c r="G76" i="9"/>
  <c r="G77" i="9" s="1"/>
  <c r="G74" i="9"/>
  <c r="H60" i="9"/>
  <c r="H57" i="9"/>
  <c r="G53" i="9"/>
  <c r="G47" i="9"/>
  <c r="H46" i="9"/>
  <c r="H36" i="9"/>
  <c r="H48" i="9" s="1"/>
  <c r="H35" i="9"/>
  <c r="H47" i="9" s="1"/>
  <c r="H34" i="9"/>
  <c r="H31" i="9"/>
  <c r="H25" i="9"/>
  <c r="G24" i="9"/>
  <c r="G22" i="9"/>
  <c r="H19" i="9"/>
  <c r="H10" i="9"/>
  <c r="H5" i="9"/>
  <c r="J11" i="8"/>
  <c r="H109" i="8"/>
  <c r="H111" i="8" s="1"/>
  <c r="H94" i="8"/>
  <c r="H91" i="8"/>
  <c r="G91" i="8"/>
  <c r="H89" i="8"/>
  <c r="G89" i="8"/>
  <c r="H88" i="8"/>
  <c r="G88" i="8"/>
  <c r="G87" i="8"/>
  <c r="G82" i="8"/>
  <c r="H80" i="8"/>
  <c r="H76" i="8"/>
  <c r="G75" i="8"/>
  <c r="G74" i="8"/>
  <c r="G73" i="8"/>
  <c r="G72" i="8"/>
  <c r="G71" i="8"/>
  <c r="H68" i="8"/>
  <c r="H69" i="8" s="1"/>
  <c r="H36" i="8" s="1"/>
  <c r="H66" i="8"/>
  <c r="H67" i="8" s="1"/>
  <c r="H73" i="8" s="1"/>
  <c r="H64" i="8"/>
  <c r="H65" i="8" s="1"/>
  <c r="H61" i="8"/>
  <c r="H58" i="8"/>
  <c r="H59" i="8" s="1"/>
  <c r="G52" i="8"/>
  <c r="H49" i="8"/>
  <c r="G49" i="8"/>
  <c r="G47" i="8"/>
  <c r="G46" i="8"/>
  <c r="G45" i="8"/>
  <c r="G44" i="8"/>
  <c r="G43" i="8"/>
  <c r="G41" i="8"/>
  <c r="G40" i="8"/>
  <c r="G39" i="8"/>
  <c r="G42" i="8" s="1"/>
  <c r="H26" i="8"/>
  <c r="H17" i="8"/>
  <c r="G17" i="8"/>
  <c r="G15" i="8"/>
  <c r="G14" i="8"/>
  <c r="H13" i="8"/>
  <c r="G13" i="8"/>
  <c r="H6" i="8"/>
  <c r="H86" i="8" s="1"/>
  <c r="G6" i="8"/>
  <c r="G50" i="8" s="1"/>
  <c r="H195" i="10" l="1"/>
  <c r="H37" i="9"/>
  <c r="G27" i="8"/>
  <c r="G29" i="8"/>
  <c r="G85" i="8"/>
  <c r="G92" i="8"/>
  <c r="G31" i="8"/>
  <c r="G16" i="8"/>
  <c r="G24" i="8"/>
  <c r="H14" i="9"/>
  <c r="H89" i="9"/>
  <c r="G132" i="26"/>
  <c r="H33" i="22"/>
  <c r="G25" i="9"/>
  <c r="G88" i="9" s="1"/>
  <c r="H72" i="8"/>
  <c r="H34" i="8"/>
  <c r="H193" i="10"/>
  <c r="H49" i="9"/>
  <c r="H76" i="9" s="1"/>
  <c r="H94" i="9"/>
  <c r="G18" i="15" s="1"/>
  <c r="H90" i="9"/>
  <c r="H96" i="9"/>
  <c r="H100" i="9"/>
  <c r="H74" i="8"/>
  <c r="H16" i="8"/>
  <c r="H92" i="8"/>
  <c r="H62" i="9"/>
  <c r="H110" i="8"/>
  <c r="H52" i="8" s="1"/>
  <c r="H63" i="8"/>
  <c r="H35" i="8" s="1"/>
  <c r="H37" i="8"/>
  <c r="H44" i="8"/>
  <c r="H47" i="8"/>
  <c r="H62" i="8"/>
  <c r="G23" i="8"/>
  <c r="G28" i="8"/>
  <c r="H39" i="8"/>
  <c r="H45" i="8"/>
  <c r="G25" i="8"/>
  <c r="G30" i="8"/>
  <c r="G59" i="8"/>
  <c r="G63" i="8" s="1"/>
  <c r="G35" i="8" s="1"/>
  <c r="H40" i="8"/>
  <c r="H43" i="8"/>
  <c r="H46" i="8"/>
  <c r="H50" i="8"/>
  <c r="H82" i="8"/>
  <c r="H41" i="8"/>
  <c r="H78" i="8" l="1"/>
  <c r="G6" i="26"/>
  <c r="H91" i="9"/>
  <c r="H83" i="9"/>
  <c r="H52" i="9"/>
  <c r="H86" i="9"/>
  <c r="H84" i="9"/>
  <c r="H81" i="9"/>
  <c r="H72" i="9"/>
  <c r="H87" i="9"/>
  <c r="H78" i="9"/>
  <c r="H53" i="9"/>
  <c r="H73" i="9"/>
  <c r="H82" i="9"/>
  <c r="H85" i="9"/>
  <c r="H80" i="9"/>
  <c r="H75" i="9"/>
  <c r="H77" i="9" s="1"/>
  <c r="H42" i="8"/>
  <c r="H112" i="8"/>
  <c r="H53" i="8" s="1"/>
  <c r="G67" i="8"/>
  <c r="G37" i="8" s="1"/>
  <c r="G69" i="8"/>
  <c r="G36" i="8"/>
  <c r="G65" i="8"/>
  <c r="G34" i="8" s="1"/>
  <c r="G26" i="8"/>
  <c r="G109" i="8"/>
  <c r="G110" i="8" s="1"/>
  <c r="H70" i="8"/>
  <c r="H71" i="8"/>
  <c r="H74" i="9" l="1"/>
  <c r="H79" i="9" s="1"/>
  <c r="G111" i="8"/>
  <c r="G112" i="8" s="1"/>
  <c r="G113" i="7" l="1"/>
  <c r="G112" i="7"/>
  <c r="G111" i="7"/>
  <c r="G110" i="7"/>
  <c r="G109" i="7"/>
  <c r="G108" i="7"/>
  <c r="G107" i="7"/>
  <c r="G106" i="7"/>
  <c r="G85" i="7"/>
  <c r="H84" i="7"/>
  <c r="G84" i="7"/>
  <c r="H82" i="7"/>
  <c r="G82" i="7"/>
  <c r="H73" i="7"/>
  <c r="G73" i="7"/>
  <c r="H69" i="7"/>
  <c r="H71" i="7" s="1"/>
  <c r="G69" i="7"/>
  <c r="G71" i="7" s="1"/>
  <c r="H65" i="7"/>
  <c r="H58" i="7" s="1"/>
  <c r="G65" i="7"/>
  <c r="G55" i="7" s="1"/>
  <c r="G32" i="7"/>
  <c r="G99" i="7" s="1"/>
  <c r="G29" i="7"/>
  <c r="G94" i="7" s="1"/>
  <c r="G28" i="7"/>
  <c r="G93" i="7" s="1"/>
  <c r="G26" i="7"/>
  <c r="G91" i="7" s="1"/>
  <c r="H20" i="7"/>
  <c r="H39" i="7" s="1"/>
  <c r="H49" i="7" s="1"/>
  <c r="G20" i="7"/>
  <c r="G39" i="7" s="1"/>
  <c r="G49" i="7" s="1"/>
  <c r="I62" i="39"/>
  <c r="G61" i="39"/>
  <c r="G60" i="39"/>
  <c r="G48" i="39"/>
  <c r="G47" i="39"/>
  <c r="G46" i="39"/>
  <c r="G43" i="39"/>
  <c r="G42" i="39"/>
  <c r="G8" i="39"/>
  <c r="G22" i="39" s="1"/>
  <c r="G52" i="7" l="1"/>
  <c r="G22" i="7"/>
  <c r="G87" i="7" s="1"/>
  <c r="G23" i="7"/>
  <c r="G24" i="7"/>
  <c r="G25" i="7"/>
  <c r="H35" i="7"/>
  <c r="H102" i="7" s="1"/>
  <c r="H55" i="7"/>
  <c r="H29" i="7"/>
  <c r="H94" i="7" s="1"/>
  <c r="G81" i="7"/>
  <c r="G33" i="7"/>
  <c r="G97" i="7" s="1"/>
  <c r="H74" i="7"/>
  <c r="H23" i="7"/>
  <c r="H56" i="7"/>
  <c r="H24" i="7"/>
  <c r="H53" i="7"/>
  <c r="H76" i="7"/>
  <c r="H33" i="7"/>
  <c r="H97" i="7" s="1"/>
  <c r="H28" i="7"/>
  <c r="H93" i="7" s="1"/>
  <c r="H32" i="7"/>
  <c r="H99" i="7" s="1"/>
  <c r="H54" i="7"/>
  <c r="H96" i="7" s="1"/>
  <c r="H59" i="7"/>
  <c r="H101" i="7" s="1"/>
  <c r="H26" i="7"/>
  <c r="H91" i="7" s="1"/>
  <c r="H30" i="7"/>
  <c r="H95" i="7" s="1"/>
  <c r="H22" i="7"/>
  <c r="H87" i="7" s="1"/>
  <c r="H25" i="7"/>
  <c r="H34" i="7"/>
  <c r="H90" i="7" s="1"/>
  <c r="H60" i="7"/>
  <c r="H27" i="7"/>
  <c r="H92" i="7" s="1"/>
  <c r="H31" i="7"/>
  <c r="H98" i="7" s="1"/>
  <c r="H52" i="7"/>
  <c r="H88" i="7" s="1"/>
  <c r="H57" i="7"/>
  <c r="G58" i="7"/>
  <c r="G27" i="7"/>
  <c r="G92" i="7" s="1"/>
  <c r="G34" i="7"/>
  <c r="G90" i="7" s="1"/>
  <c r="G56" i="7"/>
  <c r="G66" i="7"/>
  <c r="G30" i="7"/>
  <c r="G95" i="7" s="1"/>
  <c r="G53" i="7"/>
  <c r="G89" i="7" s="1"/>
  <c r="G59" i="7"/>
  <c r="G101" i="7" s="1"/>
  <c r="G76" i="7"/>
  <c r="G31" i="7"/>
  <c r="G98" i="7" s="1"/>
  <c r="G35" i="7"/>
  <c r="G102" i="7" s="1"/>
  <c r="G54" i="7"/>
  <c r="G96" i="7" s="1"/>
  <c r="G57" i="7"/>
  <c r="G60" i="7"/>
  <c r="G100" i="7"/>
  <c r="G83" i="7"/>
  <c r="G74" i="7"/>
  <c r="H83" i="7"/>
  <c r="G23" i="39"/>
  <c r="G24" i="39" s="1"/>
  <c r="G88" i="7"/>
  <c r="G50" i="39"/>
  <c r="G45" i="39"/>
  <c r="H81" i="7"/>
  <c r="G49" i="39"/>
  <c r="H67" i="7"/>
  <c r="I112" i="6"/>
  <c r="J112" i="6"/>
  <c r="I94" i="6"/>
  <c r="J94" i="6"/>
  <c r="I95" i="6"/>
  <c r="J95" i="6"/>
  <c r="H100" i="7" l="1"/>
  <c r="G103" i="7"/>
  <c r="H89" i="7"/>
  <c r="H36" i="7"/>
  <c r="H51" i="7" s="1"/>
  <c r="G51" i="39"/>
  <c r="G36" i="7"/>
  <c r="G51" i="7" s="1"/>
  <c r="G61" i="7" s="1"/>
  <c r="H103" i="7"/>
  <c r="H223" i="6"/>
  <c r="G223" i="6"/>
  <c r="H222" i="6"/>
  <c r="G222" i="6"/>
  <c r="G199" i="6"/>
  <c r="H198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G134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G34" i="39" s="1"/>
  <c r="H45" i="6"/>
  <c r="G41" i="6"/>
  <c r="H34" i="6"/>
  <c r="H33" i="6"/>
  <c r="H32" i="6"/>
  <c r="H29" i="6"/>
  <c r="H26" i="6"/>
  <c r="H23" i="6"/>
  <c r="G18" i="6"/>
  <c r="G188" i="6" s="1"/>
  <c r="G17" i="6"/>
  <c r="G30" i="6" s="1"/>
  <c r="G16" i="6"/>
  <c r="G15" i="6"/>
  <c r="H9" i="6"/>
  <c r="H8" i="6"/>
  <c r="G7" i="6"/>
  <c r="G22" i="6" l="1"/>
  <c r="H138" i="6"/>
  <c r="G75" i="7"/>
  <c r="H61" i="7"/>
  <c r="H75" i="7"/>
  <c r="G121" i="6"/>
  <c r="G125" i="6" s="1"/>
  <c r="G175" i="6" s="1"/>
  <c r="G133" i="6"/>
  <c r="H103" i="6"/>
  <c r="H107" i="6" s="1"/>
  <c r="H150" i="6" s="1"/>
  <c r="G138" i="6"/>
  <c r="H57" i="6"/>
  <c r="H35" i="6"/>
  <c r="G31" i="6"/>
  <c r="G32" i="6" s="1"/>
  <c r="G27" i="6"/>
  <c r="G168" i="6"/>
  <c r="G163" i="6"/>
  <c r="G24" i="6"/>
  <c r="H133" i="6"/>
  <c r="G28" i="6"/>
  <c r="H121" i="6"/>
  <c r="H125" i="6" s="1"/>
  <c r="H175" i="6" s="1"/>
  <c r="G25" i="6"/>
  <c r="G21" i="6"/>
  <c r="G103" i="6"/>
  <c r="G107" i="6" s="1"/>
  <c r="G150" i="6" s="1"/>
  <c r="G194" i="6"/>
  <c r="G19" i="6"/>
  <c r="G81" i="6" s="1"/>
  <c r="H5" i="77"/>
  <c r="I5" i="77"/>
  <c r="H6" i="77"/>
  <c r="I6" i="77"/>
  <c r="H8" i="77"/>
  <c r="I8" i="77"/>
  <c r="H9" i="77"/>
  <c r="I9" i="77"/>
  <c r="H10" i="77"/>
  <c r="I10" i="77"/>
  <c r="H11" i="77"/>
  <c r="I11" i="77"/>
  <c r="H12" i="77"/>
  <c r="I12" i="77"/>
  <c r="H14" i="77"/>
  <c r="I14" i="77"/>
  <c r="H15" i="77"/>
  <c r="I15" i="77"/>
  <c r="H16" i="77"/>
  <c r="I16" i="77"/>
  <c r="H17" i="77"/>
  <c r="I17" i="77"/>
  <c r="H19" i="77"/>
  <c r="I19" i="77"/>
  <c r="H20" i="77"/>
  <c r="I20" i="77"/>
  <c r="H22" i="77"/>
  <c r="I22" i="77"/>
  <c r="H23" i="77"/>
  <c r="I23" i="77"/>
  <c r="H24" i="77"/>
  <c r="I24" i="77"/>
  <c r="H25" i="77"/>
  <c r="I25" i="77"/>
  <c r="H27" i="77"/>
  <c r="I27" i="77"/>
  <c r="H28" i="77"/>
  <c r="I28" i="77"/>
  <c r="H29" i="77"/>
  <c r="I29" i="77"/>
  <c r="H30" i="77"/>
  <c r="I30" i="77"/>
  <c r="H31" i="77"/>
  <c r="I31" i="77"/>
  <c r="H33" i="77"/>
  <c r="I33" i="77"/>
  <c r="H34" i="77"/>
  <c r="I34" i="77"/>
  <c r="H35" i="77"/>
  <c r="I35" i="77"/>
  <c r="H37" i="77"/>
  <c r="I37" i="77"/>
  <c r="H39" i="77"/>
  <c r="I39" i="77"/>
  <c r="H40" i="77"/>
  <c r="I40" i="77"/>
  <c r="H41" i="77"/>
  <c r="I41" i="77"/>
  <c r="H42" i="77"/>
  <c r="I42" i="77"/>
  <c r="H43" i="77"/>
  <c r="I43" i="77"/>
  <c r="H44" i="77"/>
  <c r="I44" i="77"/>
  <c r="H45" i="77"/>
  <c r="I45" i="77"/>
  <c r="H46" i="77"/>
  <c r="I46" i="77"/>
  <c r="H48" i="77"/>
  <c r="I48" i="77"/>
  <c r="H49" i="77"/>
  <c r="I49" i="77"/>
  <c r="H50" i="77"/>
  <c r="I50" i="77"/>
  <c r="H51" i="77"/>
  <c r="I51" i="77"/>
  <c r="H52" i="77"/>
  <c r="I52" i="77"/>
  <c r="H53" i="77"/>
  <c r="I53" i="77"/>
  <c r="H54" i="77"/>
  <c r="I54" i="77"/>
  <c r="H56" i="77"/>
  <c r="I56" i="77"/>
  <c r="H57" i="77"/>
  <c r="I57" i="77"/>
  <c r="H58" i="77"/>
  <c r="I58" i="77"/>
  <c r="H59" i="77"/>
  <c r="I59" i="77"/>
  <c r="H60" i="77"/>
  <c r="I60" i="77"/>
  <c r="H61" i="77"/>
  <c r="I61" i="77"/>
  <c r="H62" i="77"/>
  <c r="I62" i="77"/>
  <c r="H63" i="77"/>
  <c r="I63" i="77"/>
  <c r="H65" i="77"/>
  <c r="I65" i="77"/>
  <c r="H66" i="77"/>
  <c r="I66" i="77"/>
  <c r="H67" i="77"/>
  <c r="I67" i="77"/>
  <c r="H68" i="77"/>
  <c r="I68" i="77"/>
  <c r="H69" i="77"/>
  <c r="I69" i="77"/>
  <c r="H73" i="77"/>
  <c r="I73" i="77"/>
  <c r="H74" i="77"/>
  <c r="H75" i="77"/>
  <c r="H76" i="77"/>
  <c r="H78" i="77"/>
  <c r="H80" i="77"/>
  <c r="I80" i="77"/>
  <c r="H70" i="77"/>
  <c r="I70" i="77"/>
  <c r="H82" i="77"/>
  <c r="H83" i="77"/>
  <c r="I83" i="77"/>
  <c r="H84" i="77"/>
  <c r="H85" i="77"/>
  <c r="H86" i="77"/>
  <c r="H87" i="77"/>
  <c r="H88" i="77"/>
  <c r="I88" i="77"/>
  <c r="H89" i="77"/>
  <c r="I89" i="77"/>
  <c r="H90" i="77"/>
  <c r="I90" i="77"/>
  <c r="G87" i="77"/>
  <c r="G86" i="77"/>
  <c r="G85" i="77"/>
  <c r="G78" i="77"/>
  <c r="G76" i="77"/>
  <c r="G75" i="77"/>
  <c r="G72" i="77"/>
  <c r="F72" i="77"/>
  <c r="G64" i="77"/>
  <c r="F64" i="77"/>
  <c r="G47" i="77"/>
  <c r="F47" i="77"/>
  <c r="G36" i="77"/>
  <c r="F36" i="77"/>
  <c r="G32" i="77"/>
  <c r="F32" i="77"/>
  <c r="G26" i="77"/>
  <c r="F26" i="77"/>
  <c r="G21" i="77"/>
  <c r="F21" i="77"/>
  <c r="G13" i="77"/>
  <c r="F13" i="77"/>
  <c r="G7" i="77"/>
  <c r="F7" i="77"/>
  <c r="G29" i="6" l="1"/>
  <c r="G74" i="77"/>
  <c r="H139" i="6"/>
  <c r="F79" i="77"/>
  <c r="G139" i="6"/>
  <c r="G143" i="6" s="1"/>
  <c r="G213" i="6" s="1"/>
  <c r="G84" i="77"/>
  <c r="H147" i="6"/>
  <c r="G173" i="6"/>
  <c r="G172" i="6"/>
  <c r="G210" i="6"/>
  <c r="G205" i="6"/>
  <c r="G212" i="6"/>
  <c r="H148" i="6"/>
  <c r="G84" i="6"/>
  <c r="G34" i="6"/>
  <c r="G26" i="6"/>
  <c r="H172" i="6"/>
  <c r="H173" i="6"/>
  <c r="G148" i="6"/>
  <c r="G33" i="6"/>
  <c r="G23" i="6"/>
  <c r="H143" i="6"/>
  <c r="H199" i="6" s="1"/>
  <c r="G147" i="6"/>
  <c r="G479" i="28"/>
  <c r="H436" i="28"/>
  <c r="H432" i="28"/>
  <c r="H400" i="28"/>
  <c r="H399" i="28"/>
  <c r="H392" i="28"/>
  <c r="H471" i="28" s="1"/>
  <c r="G392" i="28"/>
  <c r="H376" i="28"/>
  <c r="H377" i="28" s="1"/>
  <c r="H278" i="28"/>
  <c r="H467" i="28" s="1"/>
  <c r="G278" i="28"/>
  <c r="H272" i="28"/>
  <c r="G272" i="28"/>
  <c r="H271" i="28"/>
  <c r="G271" i="28"/>
  <c r="H232" i="28"/>
  <c r="H463" i="28" s="1"/>
  <c r="G232" i="28"/>
  <c r="H215" i="28"/>
  <c r="H214" i="28"/>
  <c r="H82" i="28"/>
  <c r="H81" i="28"/>
  <c r="H79" i="28"/>
  <c r="H75" i="28"/>
  <c r="H71" i="28"/>
  <c r="H67" i="28"/>
  <c r="G54" i="28"/>
  <c r="G53" i="28"/>
  <c r="G52" i="28"/>
  <c r="H47" i="28"/>
  <c r="H40" i="28"/>
  <c r="H32" i="28"/>
  <c r="H54" i="28" s="1"/>
  <c r="H31" i="28"/>
  <c r="H53" i="28" s="1"/>
  <c r="H30" i="28"/>
  <c r="H52" i="28" s="1"/>
  <c r="H29" i="28"/>
  <c r="H51" i="28" s="1"/>
  <c r="H28" i="28"/>
  <c r="H50" i="28" s="1"/>
  <c r="H26" i="28"/>
  <c r="G21" i="28"/>
  <c r="G26" i="28" s="1"/>
  <c r="H19" i="28"/>
  <c r="G14" i="28"/>
  <c r="G19" i="28" s="1"/>
  <c r="G273" i="28" s="1"/>
  <c r="H12" i="28"/>
  <c r="H58" i="28" s="1"/>
  <c r="G7" i="28"/>
  <c r="G204" i="6" l="1"/>
  <c r="G216" i="6"/>
  <c r="G219" i="6" s="1"/>
  <c r="G206" i="6"/>
  <c r="G203" i="6"/>
  <c r="G208" i="6"/>
  <c r="H468" i="28"/>
  <c r="G211" i="6"/>
  <c r="G214" i="6" s="1"/>
  <c r="G207" i="6"/>
  <c r="G209" i="6" s="1"/>
  <c r="G215" i="6" s="1"/>
  <c r="G220" i="6" s="1"/>
  <c r="G174" i="6"/>
  <c r="H273" i="28"/>
  <c r="H457" i="28" s="1"/>
  <c r="G79" i="77"/>
  <c r="G35" i="6"/>
  <c r="H216" i="28"/>
  <c r="H462" i="28" s="1"/>
  <c r="H447" i="28"/>
  <c r="H479" i="28"/>
  <c r="H33" i="28"/>
  <c r="H472" i="28" s="1"/>
  <c r="H470" i="28"/>
  <c r="H60" i="28"/>
  <c r="H149" i="6"/>
  <c r="G149" i="6"/>
  <c r="H218" i="6"/>
  <c r="H211" i="6"/>
  <c r="H205" i="6"/>
  <c r="H217" i="6"/>
  <c r="H216" i="6"/>
  <c r="H213" i="6"/>
  <c r="H210" i="6"/>
  <c r="H207" i="6"/>
  <c r="H204" i="6"/>
  <c r="H208" i="6"/>
  <c r="H203" i="6"/>
  <c r="H212" i="6"/>
  <c r="H206" i="6"/>
  <c r="H197" i="6"/>
  <c r="H174" i="6"/>
  <c r="H83" i="28"/>
  <c r="H84" i="28" s="1"/>
  <c r="H464" i="28"/>
  <c r="H430" i="28"/>
  <c r="H480" i="28" s="1"/>
  <c r="H59" i="28"/>
  <c r="H469" i="28"/>
  <c r="G458" i="28"/>
  <c r="G60" i="28"/>
  <c r="G73" i="28" s="1"/>
  <c r="G377" i="28"/>
  <c r="G470" i="28" s="1"/>
  <c r="H55" i="28"/>
  <c r="H460" i="28"/>
  <c r="G12" i="28"/>
  <c r="G59" i="28"/>
  <c r="G69" i="28" s="1"/>
  <c r="G465" i="28" s="1"/>
  <c r="G466" i="28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H466" i="28" l="1"/>
  <c r="H465" i="28"/>
  <c r="H458" i="28"/>
  <c r="H461" i="28"/>
  <c r="H61" i="28"/>
  <c r="H62" i="28" s="1"/>
  <c r="H448" i="28"/>
  <c r="H474" i="28" s="1"/>
  <c r="G12" i="49"/>
  <c r="H219" i="6"/>
  <c r="H209" i="6"/>
  <c r="H214" i="6"/>
  <c r="K11" i="59" s="1"/>
  <c r="G469" i="28"/>
  <c r="G457" i="28"/>
  <c r="G216" i="28"/>
  <c r="G462" i="28" s="1"/>
  <c r="G58" i="28"/>
  <c r="G464" i="28"/>
  <c r="H56" i="28"/>
  <c r="G468" i="28"/>
  <c r="G190" i="73"/>
  <c r="G179" i="73"/>
  <c r="G188" i="73" s="1"/>
  <c r="G133" i="73"/>
  <c r="G129" i="73"/>
  <c r="G125" i="73"/>
  <c r="G121" i="73"/>
  <c r="G136" i="73" s="1"/>
  <c r="G114" i="73"/>
  <c r="G11" i="15" s="1"/>
  <c r="G12" i="15" s="1"/>
  <c r="G13" i="15" s="1"/>
  <c r="G108" i="73"/>
  <c r="G102" i="73"/>
  <c r="G65" i="73"/>
  <c r="G58" i="73"/>
  <c r="G53" i="73"/>
  <c r="G48" i="73"/>
  <c r="G34" i="73"/>
  <c r="G23" i="73"/>
  <c r="G16" i="73"/>
  <c r="G14" i="73"/>
  <c r="I139" i="50" s="1"/>
  <c r="G8" i="73"/>
  <c r="G6" i="73" s="1"/>
  <c r="K79" i="59"/>
  <c r="K78" i="59"/>
  <c r="J78" i="59"/>
  <c r="K77" i="59"/>
  <c r="J76" i="59"/>
  <c r="J75" i="59"/>
  <c r="K74" i="59"/>
  <c r="J74" i="59"/>
  <c r="K73" i="59"/>
  <c r="J73" i="59"/>
  <c r="K70" i="59"/>
  <c r="J70" i="59"/>
  <c r="K69" i="59"/>
  <c r="J69" i="59"/>
  <c r="K66" i="59"/>
  <c r="J66" i="59"/>
  <c r="K65" i="59"/>
  <c r="J65" i="59"/>
  <c r="K62" i="59"/>
  <c r="J62" i="59"/>
  <c r="K61" i="59"/>
  <c r="J61" i="59"/>
  <c r="K60" i="59"/>
  <c r="K59" i="59"/>
  <c r="J59" i="59"/>
  <c r="K58" i="59"/>
  <c r="J58" i="59"/>
  <c r="J53" i="59"/>
  <c r="K52" i="59"/>
  <c r="J52" i="59"/>
  <c r="K51" i="59"/>
  <c r="J51" i="59"/>
  <c r="K50" i="59"/>
  <c r="J50" i="59"/>
  <c r="K48" i="59"/>
  <c r="J48" i="59"/>
  <c r="K47" i="59"/>
  <c r="J47" i="59"/>
  <c r="K46" i="59"/>
  <c r="J46" i="59"/>
  <c r="K45" i="59"/>
  <c r="J45" i="59"/>
  <c r="K43" i="59"/>
  <c r="J43" i="59"/>
  <c r="K42" i="59"/>
  <c r="J42" i="59"/>
  <c r="K41" i="59"/>
  <c r="J41" i="59"/>
  <c r="J40" i="59"/>
  <c r="J39" i="59"/>
  <c r="J38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J23" i="59"/>
  <c r="K22" i="59"/>
  <c r="J22" i="59"/>
  <c r="K20" i="59"/>
  <c r="K19" i="59"/>
  <c r="K18" i="59"/>
  <c r="K17" i="59"/>
  <c r="K16" i="59"/>
  <c r="J16" i="59"/>
  <c r="K15" i="59"/>
  <c r="J15" i="59"/>
  <c r="K12" i="59"/>
  <c r="J12" i="59"/>
  <c r="J11" i="59"/>
  <c r="G54" i="36"/>
  <c r="G53" i="36"/>
  <c r="G51" i="36"/>
  <c r="G49" i="36"/>
  <c r="G48" i="36"/>
  <c r="H46" i="36"/>
  <c r="H54" i="36" s="1"/>
  <c r="H44" i="36"/>
  <c r="H52" i="36" s="1"/>
  <c r="H43" i="36"/>
  <c r="H51" i="36" s="1"/>
  <c r="H41" i="36"/>
  <c r="H49" i="36" s="1"/>
  <c r="H40" i="36"/>
  <c r="H48" i="36" s="1"/>
  <c r="H39" i="36"/>
  <c r="H17" i="36" s="1"/>
  <c r="K55" i="59" s="1"/>
  <c r="H38" i="36"/>
  <c r="H16" i="36" s="1"/>
  <c r="H32" i="36"/>
  <c r="G29" i="36"/>
  <c r="F7" i="15" s="1"/>
  <c r="G28" i="36"/>
  <c r="F6" i="15" s="1"/>
  <c r="G27" i="36"/>
  <c r="F5" i="15" s="1"/>
  <c r="H26" i="36"/>
  <c r="H24" i="36"/>
  <c r="K75" i="59" s="1"/>
  <c r="H23" i="36"/>
  <c r="K72" i="59" s="1"/>
  <c r="G23" i="36"/>
  <c r="J72" i="59" s="1"/>
  <c r="H22" i="36"/>
  <c r="K68" i="59" s="1"/>
  <c r="G22" i="36"/>
  <c r="J68" i="59" s="1"/>
  <c r="H21" i="36"/>
  <c r="K64" i="59" s="1"/>
  <c r="G21" i="36"/>
  <c r="J64" i="59" s="1"/>
  <c r="G17" i="36"/>
  <c r="G90" i="9" s="1"/>
  <c r="G16" i="36"/>
  <c r="J54" i="59" s="1"/>
  <c r="G13" i="36"/>
  <c r="H12" i="36"/>
  <c r="K39" i="59" s="1"/>
  <c r="H11" i="36"/>
  <c r="K38" i="59" s="1"/>
  <c r="H10" i="36"/>
  <c r="K37" i="59" s="1"/>
  <c r="G9" i="36"/>
  <c r="J10" i="59" s="1"/>
  <c r="H8" i="36"/>
  <c r="K9" i="59" s="1"/>
  <c r="G8" i="36"/>
  <c r="J9" i="59" s="1"/>
  <c r="H7" i="36"/>
  <c r="K8" i="59" s="1"/>
  <c r="G7" i="36"/>
  <c r="J8" i="59" s="1"/>
  <c r="G5" i="36"/>
  <c r="G13" i="49" s="1"/>
  <c r="H18" i="21"/>
  <c r="H28" i="21"/>
  <c r="G27" i="21"/>
  <c r="H24" i="21"/>
  <c r="H25" i="21" s="1"/>
  <c r="H15" i="21"/>
  <c r="H12" i="21"/>
  <c r="H477" i="28" s="1"/>
  <c r="G12" i="21"/>
  <c r="G15" i="21" s="1"/>
  <c r="J49" i="59" l="1"/>
  <c r="J44" i="59"/>
  <c r="J79" i="59"/>
  <c r="J77" i="59"/>
  <c r="H452" i="28"/>
  <c r="H451" i="28"/>
  <c r="H473" i="28"/>
  <c r="J6" i="59"/>
  <c r="H53" i="36"/>
  <c r="K44" i="59"/>
  <c r="G89" i="9"/>
  <c r="G91" i="9" s="1"/>
  <c r="J55" i="59"/>
  <c r="G50" i="36"/>
  <c r="G14" i="49"/>
  <c r="G15" i="49" s="1"/>
  <c r="G16" i="49" s="1"/>
  <c r="G19" i="49" s="1"/>
  <c r="G20" i="49" s="1"/>
  <c r="G5" i="73"/>
  <c r="H478" i="28"/>
  <c r="H18" i="36"/>
  <c r="K56" i="59" s="1"/>
  <c r="H50" i="36"/>
  <c r="H19" i="36" s="1"/>
  <c r="K57" i="59" s="1"/>
  <c r="H42" i="36"/>
  <c r="K54" i="59"/>
  <c r="K49" i="59"/>
  <c r="H13" i="36"/>
  <c r="K40" i="59" s="1"/>
  <c r="H215" i="6"/>
  <c r="H220" i="6" s="1"/>
  <c r="G65" i="28"/>
  <c r="G117" i="73"/>
  <c r="H45" i="36"/>
  <c r="H20" i="21"/>
  <c r="G22" i="21"/>
  <c r="G18" i="35"/>
  <c r="G16" i="35"/>
  <c r="F17" i="15" l="1"/>
  <c r="F14" i="15" s="1"/>
  <c r="F15" i="15" s="1"/>
  <c r="G5" i="9"/>
  <c r="G41" i="36"/>
  <c r="G46" i="36"/>
  <c r="G32" i="36"/>
  <c r="G40" i="36"/>
  <c r="G42" i="36" s="1"/>
  <c r="G43" i="36"/>
  <c r="G45" i="36" s="1"/>
  <c r="H9" i="36"/>
  <c r="K10" i="59" s="1"/>
  <c r="G461" i="28"/>
  <c r="G460" i="28"/>
  <c r="H30" i="35"/>
  <c r="G42" i="35"/>
  <c r="G41" i="35"/>
  <c r="H40" i="35"/>
  <c r="H39" i="35"/>
  <c r="G39" i="35"/>
  <c r="H36" i="35"/>
  <c r="H48" i="35" s="1"/>
  <c r="G36" i="35"/>
  <c r="G28" i="28" s="1"/>
  <c r="G33" i="35"/>
  <c r="H32" i="35"/>
  <c r="H31" i="35"/>
  <c r="H98" i="11" s="1"/>
  <c r="H26" i="35"/>
  <c r="H33" i="36" s="1"/>
  <c r="H34" i="36" s="1"/>
  <c r="H35" i="36" s="1"/>
  <c r="H36" i="36" s="1"/>
  <c r="H30" i="36" s="1"/>
  <c r="K80" i="59" s="1"/>
  <c r="G26" i="35"/>
  <c r="G21" i="35"/>
  <c r="G26" i="9" s="1"/>
  <c r="H20" i="35"/>
  <c r="G20" i="35"/>
  <c r="H19" i="35"/>
  <c r="G19" i="35"/>
  <c r="H14" i="35"/>
  <c r="H5" i="36" s="1"/>
  <c r="G14" i="35"/>
  <c r="H13" i="35"/>
  <c r="H11" i="35"/>
  <c r="H10" i="6" s="1"/>
  <c r="G10" i="35"/>
  <c r="G9" i="6" s="1"/>
  <c r="G9" i="35"/>
  <c r="G8" i="35"/>
  <c r="H7" i="35"/>
  <c r="H6" i="6" s="1"/>
  <c r="H6" i="35"/>
  <c r="H5" i="6" s="1"/>
  <c r="G26" i="21" l="1"/>
  <c r="G28" i="21" s="1"/>
  <c r="G33" i="36"/>
  <c r="G34" i="36" s="1"/>
  <c r="G38" i="36"/>
  <c r="G39" i="36"/>
  <c r="G35" i="36"/>
  <c r="G36" i="36" s="1"/>
  <c r="G30" i="36" s="1"/>
  <c r="J80" i="59" s="1"/>
  <c r="G100" i="9"/>
  <c r="G95" i="9"/>
  <c r="G64" i="9"/>
  <c r="G66" i="9"/>
  <c r="G92" i="9"/>
  <c r="G68" i="9"/>
  <c r="G63" i="9"/>
  <c r="G69" i="9"/>
  <c r="G7" i="9"/>
  <c r="G70" i="9"/>
  <c r="G56" i="9"/>
  <c r="G33" i="22"/>
  <c r="G59" i="9"/>
  <c r="G27" i="9"/>
  <c r="G58" i="9"/>
  <c r="G60" i="9" s="1"/>
  <c r="G61" i="9"/>
  <c r="G55" i="9"/>
  <c r="F132" i="26"/>
  <c r="G65" i="9"/>
  <c r="G67" i="9"/>
  <c r="G19" i="9"/>
  <c r="H8" i="35"/>
  <c r="G13" i="35"/>
  <c r="G15" i="35" s="1"/>
  <c r="G8" i="6"/>
  <c r="G33" i="28"/>
  <c r="G50" i="28"/>
  <c r="G55" i="28" s="1"/>
  <c r="G477" i="28" s="1"/>
  <c r="H41" i="35"/>
  <c r="H16" i="6"/>
  <c r="H18" i="6"/>
  <c r="H15" i="6"/>
  <c r="H7" i="6"/>
  <c r="H17" i="6"/>
  <c r="H33" i="35"/>
  <c r="H37" i="35" s="1"/>
  <c r="H25" i="36" s="1"/>
  <c r="K76" i="59" s="1"/>
  <c r="H15" i="35"/>
  <c r="H13" i="49"/>
  <c r="K6" i="59"/>
  <c r="G37" i="35"/>
  <c r="G48" i="35"/>
  <c r="G49" i="35" s="1"/>
  <c r="G11" i="35"/>
  <c r="G10" i="6" s="1"/>
  <c r="G57" i="9" l="1"/>
  <c r="G62" i="9"/>
  <c r="G7" i="22"/>
  <c r="G8" i="22" s="1"/>
  <c r="G10" i="22" s="1"/>
  <c r="G11" i="22" s="1"/>
  <c r="G13" i="22" s="1"/>
  <c r="G21" i="22"/>
  <c r="G22" i="22" s="1"/>
  <c r="G24" i="22" s="1"/>
  <c r="G25" i="22" s="1"/>
  <c r="G27" i="22" s="1"/>
  <c r="G448" i="28"/>
  <c r="G61" i="28"/>
  <c r="H189" i="6"/>
  <c r="H194" i="6"/>
  <c r="H168" i="6"/>
  <c r="H164" i="6"/>
  <c r="H19" i="6"/>
  <c r="H84" i="6" s="1"/>
  <c r="H81" i="6"/>
  <c r="G55" i="35"/>
  <c r="G77" i="28" l="1"/>
  <c r="G62" i="28"/>
  <c r="G478" i="28" s="1"/>
  <c r="G474" i="28"/>
  <c r="G451" i="28"/>
  <c r="G452" i="28"/>
  <c r="H40" i="6"/>
  <c r="H37" i="6"/>
  <c r="H38" i="6"/>
  <c r="H39" i="6"/>
  <c r="E87" i="77"/>
  <c r="I87" i="77" l="1"/>
  <c r="G473" i="28"/>
  <c r="G81" i="28"/>
  <c r="G472" i="28"/>
  <c r="H41" i="6"/>
  <c r="E28" i="15"/>
  <c r="E29" i="15"/>
  <c r="E30" i="15"/>
  <c r="G56" i="50"/>
  <c r="D20" i="35"/>
  <c r="D19" i="35"/>
  <c r="D16" i="35"/>
  <c r="D34" i="35"/>
  <c r="D18" i="35"/>
  <c r="F3" i="8" l="1"/>
  <c r="E79" i="17" l="1"/>
  <c r="D79" i="17"/>
  <c r="E74" i="17"/>
  <c r="D74" i="17"/>
  <c r="D91" i="8" l="1"/>
  <c r="D84" i="7" l="1"/>
  <c r="G17" i="59"/>
  <c r="E21" i="77" l="1"/>
  <c r="I21" i="77" l="1"/>
  <c r="F113" i="10"/>
  <c r="F109" i="10"/>
  <c r="F103" i="10"/>
  <c r="F74" i="10"/>
  <c r="F53" i="10"/>
  <c r="F58" i="10"/>
  <c r="F54" i="10"/>
  <c r="F65" i="10"/>
  <c r="F23" i="10"/>
  <c r="F29" i="10"/>
  <c r="F22" i="10"/>
  <c r="F13" i="10"/>
  <c r="F200" i="10" l="1"/>
  <c r="N13" i="10"/>
  <c r="G25" i="83"/>
  <c r="J13" i="10"/>
  <c r="N22" i="10"/>
  <c r="G27" i="83"/>
  <c r="J22" i="10"/>
  <c r="N29" i="10"/>
  <c r="G26" i="83"/>
  <c r="J29" i="10"/>
  <c r="N109" i="10"/>
  <c r="J109" i="10"/>
  <c r="N58" i="10"/>
  <c r="G9" i="83"/>
  <c r="J58" i="10"/>
  <c r="N53" i="10"/>
  <c r="J53" i="10"/>
  <c r="N74" i="10"/>
  <c r="J74" i="10"/>
  <c r="N23" i="10"/>
  <c r="G29" i="83"/>
  <c r="J23" i="10"/>
  <c r="N103" i="10"/>
  <c r="G31" i="83"/>
  <c r="J103" i="10"/>
  <c r="N65" i="10"/>
  <c r="G24" i="83"/>
  <c r="J65" i="10"/>
  <c r="N54" i="10"/>
  <c r="G30" i="83"/>
  <c r="J54" i="10"/>
  <c r="N113" i="10"/>
  <c r="J113" i="10"/>
  <c r="N65" i="82"/>
  <c r="M65" i="82"/>
  <c r="F65" i="82"/>
  <c r="L65" i="82"/>
  <c r="H65" i="82"/>
  <c r="G65" i="82"/>
  <c r="R53" i="10" l="1"/>
  <c r="V53" i="10" s="1"/>
  <c r="AB53" i="10"/>
  <c r="R29" i="10"/>
  <c r="V29" i="10" s="1"/>
  <c r="AB29" i="10"/>
  <c r="R113" i="10"/>
  <c r="V113" i="10" s="1"/>
  <c r="AB113" i="10"/>
  <c r="R103" i="10"/>
  <c r="V103" i="10" s="1"/>
  <c r="AB103" i="10"/>
  <c r="R58" i="10"/>
  <c r="V58" i="10" s="1"/>
  <c r="AB58" i="10"/>
  <c r="R22" i="10"/>
  <c r="V22" i="10" s="1"/>
  <c r="AB22" i="10"/>
  <c r="R54" i="10"/>
  <c r="V54" i="10" s="1"/>
  <c r="AB54" i="10"/>
  <c r="R23" i="10"/>
  <c r="V23" i="10" s="1"/>
  <c r="AB23" i="10"/>
  <c r="R109" i="10"/>
  <c r="V109" i="10" s="1"/>
  <c r="AB109" i="10"/>
  <c r="R65" i="10"/>
  <c r="V65" i="10" s="1"/>
  <c r="AB65" i="10"/>
  <c r="R74" i="10"/>
  <c r="V74" i="10" s="1"/>
  <c r="AB74" i="10"/>
  <c r="R13" i="10"/>
  <c r="V13" i="10" s="1"/>
  <c r="AB13" i="10"/>
  <c r="F103" i="9"/>
  <c r="D85" i="26" l="1"/>
  <c r="D91" i="26"/>
  <c r="D89" i="26"/>
  <c r="D87" i="26"/>
  <c r="D94" i="26" l="1"/>
  <c r="D82" i="7"/>
  <c r="E37" i="27" l="1"/>
  <c r="E35" i="27"/>
  <c r="E29" i="27"/>
  <c r="E27" i="27"/>
  <c r="E20" i="27"/>
  <c r="E19" i="27"/>
  <c r="E18" i="27"/>
  <c r="D30" i="27" l="1"/>
  <c r="D27" i="27"/>
  <c r="D21" i="27"/>
  <c r="D18" i="27"/>
  <c r="F83" i="11" l="1"/>
  <c r="F95" i="9" l="1"/>
  <c r="D99" i="9" l="1"/>
  <c r="F88" i="8"/>
  <c r="D17" i="8" l="1"/>
  <c r="D14" i="8"/>
  <c r="D193" i="6" l="1"/>
  <c r="D167" i="6"/>
  <c r="D130" i="6"/>
  <c r="E130" i="6"/>
  <c r="F130" i="6"/>
  <c r="M130" i="6" l="1"/>
  <c r="I130" i="6"/>
  <c r="N130" i="6"/>
  <c r="J130" i="6"/>
  <c r="E23" i="35"/>
  <c r="E34" i="35"/>
  <c r="E18" i="35"/>
  <c r="E16" i="35"/>
  <c r="R130" i="6" l="1"/>
  <c r="V130" i="6" s="1"/>
  <c r="AB130" i="6"/>
  <c r="AF130" i="6" s="1"/>
  <c r="AJ130" i="6" s="1"/>
  <c r="AP130" i="6" s="1"/>
  <c r="AT130" i="6" s="1"/>
  <c r="AX130" i="6" s="1"/>
  <c r="BF130" i="6" s="1"/>
  <c r="Q130" i="6"/>
  <c r="U130" i="6" s="1"/>
  <c r="AA130" i="6"/>
  <c r="AE130" i="6" s="1"/>
  <c r="AI130" i="6" s="1"/>
  <c r="AO130" i="6" s="1"/>
  <c r="AS130" i="6" s="1"/>
  <c r="AW130" i="6" s="1"/>
  <c r="BE130" i="6" s="1"/>
  <c r="N18" i="88"/>
  <c r="M18" i="88"/>
  <c r="L18" i="88"/>
  <c r="K18" i="88"/>
  <c r="J18" i="88"/>
  <c r="I18" i="88"/>
  <c r="H18" i="88"/>
  <c r="G18" i="88"/>
  <c r="F18" i="88"/>
  <c r="E18" i="88"/>
  <c r="D18" i="88"/>
  <c r="D59" i="93" l="1"/>
  <c r="M57" i="93"/>
  <c r="G57" i="93"/>
  <c r="D55" i="93"/>
  <c r="L54" i="93"/>
  <c r="K54" i="93"/>
  <c r="I54" i="93"/>
  <c r="L53" i="93"/>
  <c r="M51" i="93"/>
  <c r="K51" i="93"/>
  <c r="L50" i="93"/>
  <c r="I50" i="93"/>
  <c r="G50" i="93"/>
  <c r="E50" i="93"/>
  <c r="M49" i="93"/>
  <c r="K47" i="93"/>
  <c r="G47" i="93"/>
  <c r="I46" i="93"/>
  <c r="E46" i="93"/>
  <c r="D46" i="93"/>
  <c r="M45" i="93"/>
  <c r="K45" i="93"/>
  <c r="M39" i="93"/>
  <c r="M59" i="93" s="1"/>
  <c r="L39" i="93"/>
  <c r="L59" i="93" s="1"/>
  <c r="K39" i="93"/>
  <c r="K59" i="93" s="1"/>
  <c r="I39" i="93"/>
  <c r="G39" i="93"/>
  <c r="G59" i="93" s="1"/>
  <c r="E39" i="93"/>
  <c r="E59" i="93" s="1"/>
  <c r="D39" i="93"/>
  <c r="M38" i="93"/>
  <c r="M58" i="93" s="1"/>
  <c r="L38" i="93"/>
  <c r="L58" i="93" s="1"/>
  <c r="K38" i="93"/>
  <c r="I38" i="93"/>
  <c r="I58" i="93" s="1"/>
  <c r="G38" i="93"/>
  <c r="G58" i="93" s="1"/>
  <c r="E38" i="93"/>
  <c r="E58" i="93" s="1"/>
  <c r="D38" i="93"/>
  <c r="D58" i="93" s="1"/>
  <c r="M37" i="93"/>
  <c r="L37" i="93"/>
  <c r="K37" i="93"/>
  <c r="K57" i="93" s="1"/>
  <c r="I37" i="93"/>
  <c r="I57" i="93" s="1"/>
  <c r="G37" i="93"/>
  <c r="E37" i="93"/>
  <c r="D37" i="93"/>
  <c r="D57" i="93" s="1"/>
  <c r="M35" i="93"/>
  <c r="M55" i="93" s="1"/>
  <c r="L35" i="93"/>
  <c r="L55" i="93" s="1"/>
  <c r="K35" i="93"/>
  <c r="K55" i="93" s="1"/>
  <c r="I35" i="93"/>
  <c r="I55" i="93" s="1"/>
  <c r="G35" i="93"/>
  <c r="G36" i="93" s="1"/>
  <c r="E35" i="93"/>
  <c r="E36" i="93" s="1"/>
  <c r="D35" i="93"/>
  <c r="M34" i="93"/>
  <c r="M54" i="93" s="1"/>
  <c r="L34" i="93"/>
  <c r="K34" i="93"/>
  <c r="I34" i="93"/>
  <c r="G34" i="93"/>
  <c r="G54" i="93" s="1"/>
  <c r="E34" i="93"/>
  <c r="E54" i="93" s="1"/>
  <c r="D34" i="93"/>
  <c r="D54" i="93" s="1"/>
  <c r="M33" i="93"/>
  <c r="M36" i="93" s="1"/>
  <c r="L33" i="93"/>
  <c r="K33" i="93"/>
  <c r="K53" i="93" s="1"/>
  <c r="I33" i="93"/>
  <c r="G33" i="93"/>
  <c r="G53" i="93" s="1"/>
  <c r="E33" i="93"/>
  <c r="E53" i="93" s="1"/>
  <c r="D33" i="93"/>
  <c r="D36" i="93" s="1"/>
  <c r="K32" i="93"/>
  <c r="M31" i="93"/>
  <c r="L31" i="93"/>
  <c r="L51" i="93" s="1"/>
  <c r="K31" i="93"/>
  <c r="I31" i="93"/>
  <c r="I51" i="93" s="1"/>
  <c r="G31" i="93"/>
  <c r="G51" i="93" s="1"/>
  <c r="E31" i="93"/>
  <c r="E51" i="93" s="1"/>
  <c r="D31" i="93"/>
  <c r="D51" i="93" s="1"/>
  <c r="M30" i="93"/>
  <c r="M32" i="93" s="1"/>
  <c r="L30" i="93"/>
  <c r="K30" i="93"/>
  <c r="K50" i="93" s="1"/>
  <c r="I30" i="93"/>
  <c r="G30" i="93"/>
  <c r="E30" i="93"/>
  <c r="D30" i="93"/>
  <c r="M29" i="93"/>
  <c r="L29" i="93"/>
  <c r="L49" i="93" s="1"/>
  <c r="L52" i="93" s="1"/>
  <c r="K29" i="93"/>
  <c r="K49" i="93" s="1"/>
  <c r="I29" i="93"/>
  <c r="I49" i="93" s="1"/>
  <c r="I52" i="93" s="1"/>
  <c r="G29" i="93"/>
  <c r="G49" i="93" s="1"/>
  <c r="E29" i="93"/>
  <c r="D29" i="93"/>
  <c r="D49" i="93" s="1"/>
  <c r="G28" i="93"/>
  <c r="M27" i="93"/>
  <c r="M47" i="93" s="1"/>
  <c r="L27" i="93"/>
  <c r="L47" i="93" s="1"/>
  <c r="K27" i="93"/>
  <c r="I27" i="93"/>
  <c r="G27" i="93"/>
  <c r="E27" i="93"/>
  <c r="E47" i="93" s="1"/>
  <c r="D27" i="93"/>
  <c r="D47" i="93" s="1"/>
  <c r="M26" i="93"/>
  <c r="M46" i="93" s="1"/>
  <c r="L26" i="93"/>
  <c r="L46" i="93" s="1"/>
  <c r="K26" i="93"/>
  <c r="K28" i="93" s="1"/>
  <c r="I26" i="93"/>
  <c r="G26" i="93"/>
  <c r="G46" i="93" s="1"/>
  <c r="E26" i="93"/>
  <c r="D26" i="93"/>
  <c r="M25" i="93"/>
  <c r="L25" i="93"/>
  <c r="K25" i="93"/>
  <c r="I25" i="93"/>
  <c r="I45" i="93" s="1"/>
  <c r="G25" i="93"/>
  <c r="G45" i="93" s="1"/>
  <c r="E25" i="93"/>
  <c r="D25" i="93"/>
  <c r="D45" i="93" s="1"/>
  <c r="D21" i="93"/>
  <c r="M20" i="93"/>
  <c r="M21" i="93" s="1"/>
  <c r="L20" i="93"/>
  <c r="L21" i="93" s="1"/>
  <c r="K20" i="93"/>
  <c r="I20" i="93"/>
  <c r="G20" i="93"/>
  <c r="E20" i="93"/>
  <c r="D20" i="93"/>
  <c r="M16" i="93"/>
  <c r="L16" i="93"/>
  <c r="K16" i="93"/>
  <c r="I16" i="93"/>
  <c r="G16" i="93"/>
  <c r="E16" i="93"/>
  <c r="D16" i="93"/>
  <c r="M12" i="93"/>
  <c r="L12" i="93"/>
  <c r="K12" i="93"/>
  <c r="I12" i="93"/>
  <c r="G12" i="93"/>
  <c r="E12" i="93"/>
  <c r="D12" i="93"/>
  <c r="M8" i="93"/>
  <c r="L8" i="93"/>
  <c r="K8" i="93"/>
  <c r="I8" i="93"/>
  <c r="G8" i="93"/>
  <c r="E8" i="93"/>
  <c r="D8" i="93"/>
  <c r="G52" i="93" l="1"/>
  <c r="D48" i="93"/>
  <c r="K56" i="93"/>
  <c r="D53" i="93"/>
  <c r="D56" i="93" s="1"/>
  <c r="M48" i="93"/>
  <c r="L28" i="93"/>
  <c r="K40" i="93"/>
  <c r="G55" i="93"/>
  <c r="G56" i="93" s="1"/>
  <c r="K21" i="93"/>
  <c r="M28" i="93"/>
  <c r="L40" i="93"/>
  <c r="E40" i="93"/>
  <c r="D32" i="93"/>
  <c r="E21" i="93"/>
  <c r="E28" i="93"/>
  <c r="L36" i="93"/>
  <c r="E45" i="93"/>
  <c r="M53" i="93"/>
  <c r="M56" i="93" s="1"/>
  <c r="E32" i="93"/>
  <c r="I36" i="93"/>
  <c r="D28" i="93"/>
  <c r="G32" i="93"/>
  <c r="K36" i="93"/>
  <c r="G21" i="93"/>
  <c r="I28" i="93"/>
  <c r="I32" i="93"/>
  <c r="I21" i="93"/>
  <c r="G60" i="93"/>
  <c r="G40" i="93"/>
  <c r="M60" i="93"/>
  <c r="I40" i="93"/>
  <c r="I41" i="93" s="1"/>
  <c r="D60" i="93"/>
  <c r="D40" i="93"/>
  <c r="M40" i="93"/>
  <c r="M41" i="93" s="1"/>
  <c r="E57" i="93"/>
  <c r="E60" i="93" s="1"/>
  <c r="K52" i="93"/>
  <c r="K41" i="93"/>
  <c r="E48" i="93"/>
  <c r="G48" i="93"/>
  <c r="L56" i="93"/>
  <c r="L32" i="93"/>
  <c r="L45" i="93"/>
  <c r="L48" i="93" s="1"/>
  <c r="K46" i="93"/>
  <c r="K48" i="93" s="1"/>
  <c r="I47" i="93"/>
  <c r="I48" i="93" s="1"/>
  <c r="E49" i="93"/>
  <c r="E52" i="93" s="1"/>
  <c r="D50" i="93"/>
  <c r="D52" i="93" s="1"/>
  <c r="M50" i="93"/>
  <c r="M52" i="93" s="1"/>
  <c r="I53" i="93"/>
  <c r="I56" i="93" s="1"/>
  <c r="E55" i="93"/>
  <c r="E56" i="93" s="1"/>
  <c r="L57" i="93"/>
  <c r="L60" i="93" s="1"/>
  <c r="K58" i="93"/>
  <c r="K60" i="93" s="1"/>
  <c r="I59" i="93"/>
  <c r="I60" i="93" s="1"/>
  <c r="E41" i="93" l="1"/>
  <c r="L41" i="93"/>
  <c r="G41" i="93"/>
  <c r="G61" i="93"/>
  <c r="M61" i="93"/>
  <c r="D41" i="93"/>
  <c r="D61" i="93"/>
  <c r="K61" i="93"/>
  <c r="I61" i="93"/>
  <c r="E61" i="93"/>
  <c r="L61" i="93"/>
  <c r="BA153" i="73" l="1"/>
  <c r="BA154" i="73"/>
  <c r="BA155" i="73"/>
  <c r="BA156" i="73"/>
  <c r="BA157" i="73"/>
  <c r="BA158" i="73"/>
  <c r="BA159" i="73"/>
  <c r="BA160" i="73"/>
  <c r="BA161" i="73"/>
  <c r="BA162" i="73"/>
  <c r="H42" i="35" l="1"/>
  <c r="AL42" i="35"/>
  <c r="AV42" i="35"/>
  <c r="H43" i="35"/>
  <c r="L43" i="35"/>
  <c r="AD43" i="35"/>
  <c r="AH43" i="35"/>
  <c r="AL43" i="35"/>
  <c r="AR43" i="35"/>
  <c r="AV43" i="35"/>
  <c r="AZ43" i="35"/>
  <c r="H44" i="35"/>
  <c r="L44" i="35"/>
  <c r="AD44" i="35"/>
  <c r="AH44" i="35"/>
  <c r="AL44" i="35"/>
  <c r="AR44" i="35"/>
  <c r="AV44" i="35"/>
  <c r="AZ44" i="35"/>
  <c r="H45" i="35"/>
  <c r="L45" i="35"/>
  <c r="AD45" i="35"/>
  <c r="AH45" i="35"/>
  <c r="AL45" i="35"/>
  <c r="AR45" i="35"/>
  <c r="AV45" i="35"/>
  <c r="AZ45" i="35"/>
  <c r="F45" i="35"/>
  <c r="F44" i="35"/>
  <c r="F43" i="35"/>
  <c r="D21" i="72"/>
  <c r="E21" i="72"/>
  <c r="F21" i="72"/>
  <c r="H21" i="72"/>
  <c r="I21" i="72"/>
  <c r="J21" i="72"/>
  <c r="L21" i="72"/>
  <c r="M21" i="72"/>
  <c r="N21" i="72"/>
  <c r="P21" i="72"/>
  <c r="Q21" i="72"/>
  <c r="R21" i="72"/>
  <c r="T21" i="72"/>
  <c r="U21" i="72"/>
  <c r="V21" i="72"/>
  <c r="X21" i="72"/>
  <c r="Z21" i="72"/>
  <c r="AA21" i="72"/>
  <c r="AB21" i="72"/>
  <c r="AD21" i="72"/>
  <c r="AE21" i="72"/>
  <c r="AF21" i="72"/>
  <c r="AH21" i="72"/>
  <c r="AI21" i="72"/>
  <c r="AJ21" i="72"/>
  <c r="AL21" i="72"/>
  <c r="AN21" i="72"/>
  <c r="AO21" i="72"/>
  <c r="AP21" i="72"/>
  <c r="AR21" i="72"/>
  <c r="AS21" i="72"/>
  <c r="AT21" i="72"/>
  <c r="AV21" i="72"/>
  <c r="AX21" i="72"/>
  <c r="AZ21" i="72"/>
  <c r="BB21" i="72"/>
  <c r="L42" i="35" l="1"/>
  <c r="L49" i="35" s="1"/>
  <c r="AD42" i="35"/>
  <c r="AR42" i="35"/>
  <c r="AZ42" i="35"/>
  <c r="AH42" i="35"/>
  <c r="H49" i="35"/>
  <c r="F42" i="35"/>
  <c r="AY8" i="72"/>
  <c r="AY9" i="72"/>
  <c r="AY10" i="72"/>
  <c r="AY11" i="72"/>
  <c r="AY12" i="72"/>
  <c r="AY13" i="72"/>
  <c r="AY15" i="72"/>
  <c r="AY16" i="72"/>
  <c r="AY17" i="72"/>
  <c r="AY18" i="72"/>
  <c r="AY20" i="72"/>
  <c r="AY22" i="72"/>
  <c r="AY23" i="72"/>
  <c r="AY35" i="72"/>
  <c r="AY36" i="72"/>
  <c r="AY37" i="72"/>
  <c r="AY41" i="72"/>
  <c r="AY43" i="72"/>
  <c r="AK8" i="72"/>
  <c r="AK9" i="72"/>
  <c r="BA9" i="72" s="1"/>
  <c r="AK10" i="72"/>
  <c r="AK11" i="72"/>
  <c r="AK12" i="72"/>
  <c r="AK13" i="72"/>
  <c r="BA13" i="72" s="1"/>
  <c r="AK15" i="72"/>
  <c r="BA15" i="72" s="1"/>
  <c r="AK16" i="72"/>
  <c r="AK17" i="72"/>
  <c r="AK18" i="72"/>
  <c r="AK19" i="72"/>
  <c r="AK20" i="72"/>
  <c r="AK22" i="72"/>
  <c r="BA22" i="72" s="1"/>
  <c r="AK23" i="72"/>
  <c r="AK24" i="72"/>
  <c r="AK31" i="72"/>
  <c r="AK32" i="72"/>
  <c r="AK33" i="72"/>
  <c r="AK35" i="72"/>
  <c r="AK36" i="72"/>
  <c r="AK37" i="72"/>
  <c r="AK38" i="72"/>
  <c r="AK40" i="72"/>
  <c r="AK41" i="72"/>
  <c r="AK43" i="72"/>
  <c r="W8" i="72"/>
  <c r="W9" i="72"/>
  <c r="W10" i="72"/>
  <c r="W11" i="72"/>
  <c r="W12" i="72"/>
  <c r="W13" i="72"/>
  <c r="W15" i="72"/>
  <c r="W16" i="72"/>
  <c r="W17" i="72"/>
  <c r="W18" i="72"/>
  <c r="W19" i="72"/>
  <c r="W20" i="72"/>
  <c r="W22" i="72"/>
  <c r="W23" i="72"/>
  <c r="W24" i="72"/>
  <c r="AC31" i="72"/>
  <c r="AG31" i="72" s="1"/>
  <c r="AM31" i="72" s="1"/>
  <c r="AQ31" i="72" s="1"/>
  <c r="AU31" i="72" s="1"/>
  <c r="W32" i="72"/>
  <c r="W33" i="72"/>
  <c r="W35" i="72"/>
  <c r="W36" i="72"/>
  <c r="W37" i="72"/>
  <c r="W38" i="72"/>
  <c r="W40" i="72"/>
  <c r="W41" i="72"/>
  <c r="W43" i="72"/>
  <c r="O8" i="72"/>
  <c r="S8" i="72" s="1"/>
  <c r="O9" i="72"/>
  <c r="S9" i="72" s="1"/>
  <c r="O10" i="72"/>
  <c r="S10" i="72" s="1"/>
  <c r="O11" i="72"/>
  <c r="S11" i="72" s="1"/>
  <c r="O12" i="72"/>
  <c r="S12" i="72" s="1"/>
  <c r="O13" i="72"/>
  <c r="S13" i="72" s="1"/>
  <c r="O15" i="72"/>
  <c r="S15" i="72" s="1"/>
  <c r="O16" i="72"/>
  <c r="S16" i="72" s="1"/>
  <c r="O17" i="72"/>
  <c r="S17" i="72" s="1"/>
  <c r="O18" i="72"/>
  <c r="S18" i="72" s="1"/>
  <c r="O19" i="72"/>
  <c r="O20" i="72"/>
  <c r="S20" i="72" s="1"/>
  <c r="O22" i="72"/>
  <c r="S22" i="72" s="1"/>
  <c r="O23" i="72"/>
  <c r="S23" i="72" s="1"/>
  <c r="O24" i="72"/>
  <c r="S24" i="72" s="1"/>
  <c r="S31" i="72"/>
  <c r="O32" i="72"/>
  <c r="S32" i="72" s="1"/>
  <c r="O33" i="72"/>
  <c r="S33" i="72" s="1"/>
  <c r="O35" i="72"/>
  <c r="S35" i="72" s="1"/>
  <c r="O36" i="72"/>
  <c r="S36" i="72" s="1"/>
  <c r="O37" i="72"/>
  <c r="S37" i="72" s="1"/>
  <c r="O38" i="72"/>
  <c r="S38" i="72" s="1"/>
  <c r="O40" i="72"/>
  <c r="S40" i="72" s="1"/>
  <c r="S41" i="72"/>
  <c r="O43" i="72"/>
  <c r="S43" i="72" s="1"/>
  <c r="K8" i="72"/>
  <c r="K9" i="72"/>
  <c r="K10" i="72"/>
  <c r="K11" i="72"/>
  <c r="K12" i="72"/>
  <c r="K13" i="72"/>
  <c r="K15" i="72"/>
  <c r="K16" i="72"/>
  <c r="Y16" i="72" s="1"/>
  <c r="AC16" i="72" s="1"/>
  <c r="AG16" i="72" s="1"/>
  <c r="AM16" i="72" s="1"/>
  <c r="AQ16" i="72" s="1"/>
  <c r="AU16" i="72" s="1"/>
  <c r="BC16" i="72" s="1"/>
  <c r="K17" i="72"/>
  <c r="K18" i="72"/>
  <c r="K19" i="72"/>
  <c r="K20" i="72"/>
  <c r="K22" i="72"/>
  <c r="K23" i="72"/>
  <c r="K24" i="72"/>
  <c r="K32" i="72"/>
  <c r="K33" i="72"/>
  <c r="K35" i="72"/>
  <c r="Y35" i="72" s="1"/>
  <c r="AC35" i="72" s="1"/>
  <c r="AG35" i="72" s="1"/>
  <c r="AM35" i="72" s="1"/>
  <c r="AQ35" i="72" s="1"/>
  <c r="AU35" i="72" s="1"/>
  <c r="BC35" i="72" s="1"/>
  <c r="K36" i="72"/>
  <c r="Y36" i="72" s="1"/>
  <c r="AC36" i="72" s="1"/>
  <c r="AG36" i="72" s="1"/>
  <c r="AM36" i="72" s="1"/>
  <c r="AQ36" i="72" s="1"/>
  <c r="AU36" i="72" s="1"/>
  <c r="BC36" i="72" s="1"/>
  <c r="K37" i="72"/>
  <c r="K38" i="72"/>
  <c r="K40" i="72"/>
  <c r="K41" i="72"/>
  <c r="K43" i="72"/>
  <c r="Y43" i="72" s="1"/>
  <c r="AC43" i="72" s="1"/>
  <c r="AG43" i="72" s="1"/>
  <c r="AM43" i="72" s="1"/>
  <c r="AQ43" i="72" s="1"/>
  <c r="AU43" i="72" s="1"/>
  <c r="BC43" i="72" s="1"/>
  <c r="G8" i="72"/>
  <c r="G9" i="72"/>
  <c r="G10" i="72"/>
  <c r="G11" i="72"/>
  <c r="G12" i="72"/>
  <c r="G13" i="72"/>
  <c r="G15" i="72"/>
  <c r="G16" i="72"/>
  <c r="G17" i="72"/>
  <c r="G18" i="72"/>
  <c r="G19" i="72"/>
  <c r="G20" i="72"/>
  <c r="G22" i="72"/>
  <c r="G23" i="72"/>
  <c r="G24" i="72"/>
  <c r="G32" i="72"/>
  <c r="G33" i="72"/>
  <c r="G35" i="72"/>
  <c r="G36" i="72"/>
  <c r="G37" i="72"/>
  <c r="G38" i="72"/>
  <c r="G40" i="72"/>
  <c r="G41" i="72"/>
  <c r="G43" i="72"/>
  <c r="Y13" i="72" l="1"/>
  <c r="AC13" i="72" s="1"/>
  <c r="AG13" i="72" s="1"/>
  <c r="AM13" i="72" s="1"/>
  <c r="AQ13" i="72" s="1"/>
  <c r="AU13" i="72" s="1"/>
  <c r="BC13" i="72" s="1"/>
  <c r="BA8" i="72"/>
  <c r="Y23" i="72"/>
  <c r="AC23" i="72" s="1"/>
  <c r="AG23" i="72" s="1"/>
  <c r="AM23" i="72" s="1"/>
  <c r="AQ23" i="72" s="1"/>
  <c r="AU23" i="72" s="1"/>
  <c r="BC23" i="72" s="1"/>
  <c r="BA41" i="72"/>
  <c r="BA20" i="72"/>
  <c r="Y12" i="72"/>
  <c r="AC12" i="72" s="1"/>
  <c r="AG12" i="72" s="1"/>
  <c r="AM12" i="72" s="1"/>
  <c r="AQ12" i="72" s="1"/>
  <c r="AU12" i="72" s="1"/>
  <c r="BC12" i="72" s="1"/>
  <c r="Y18" i="72"/>
  <c r="AC18" i="72" s="1"/>
  <c r="AG18" i="72" s="1"/>
  <c r="AM18" i="72" s="1"/>
  <c r="AQ18" i="72" s="1"/>
  <c r="AU18" i="72" s="1"/>
  <c r="BC18" i="72" s="1"/>
  <c r="Y11" i="72"/>
  <c r="AC11" i="72" s="1"/>
  <c r="AG11" i="72" s="1"/>
  <c r="AM11" i="72" s="1"/>
  <c r="AQ11" i="72" s="1"/>
  <c r="AU11" i="72" s="1"/>
  <c r="BC11" i="72" s="1"/>
  <c r="BA37" i="72"/>
  <c r="BA18" i="72"/>
  <c r="BA12" i="72"/>
  <c r="Y37" i="72"/>
  <c r="AC37" i="72" s="1"/>
  <c r="AG37" i="72" s="1"/>
  <c r="AM37" i="72" s="1"/>
  <c r="AQ37" i="72" s="1"/>
  <c r="AU37" i="72" s="1"/>
  <c r="BC37" i="72" s="1"/>
  <c r="Y24" i="72"/>
  <c r="AC24" i="72" s="1"/>
  <c r="AG24" i="72" s="1"/>
  <c r="AM24" i="72" s="1"/>
  <c r="AQ24" i="72" s="1"/>
  <c r="AU24" i="72" s="1"/>
  <c r="Y17" i="72"/>
  <c r="AC17" i="72" s="1"/>
  <c r="AG17" i="72" s="1"/>
  <c r="AM17" i="72" s="1"/>
  <c r="AQ17" i="72" s="1"/>
  <c r="AU17" i="72" s="1"/>
  <c r="BC17" i="72" s="1"/>
  <c r="Y9" i="72"/>
  <c r="AC9" i="72" s="1"/>
  <c r="AG9" i="72" s="1"/>
  <c r="AM9" i="72" s="1"/>
  <c r="AQ9" i="72" s="1"/>
  <c r="AU9" i="72" s="1"/>
  <c r="BC9" i="72" s="1"/>
  <c r="Y22" i="72"/>
  <c r="AC22" i="72" s="1"/>
  <c r="AG22" i="72" s="1"/>
  <c r="AM22" i="72" s="1"/>
  <c r="AQ22" i="72" s="1"/>
  <c r="AU22" i="72" s="1"/>
  <c r="BC22" i="72" s="1"/>
  <c r="Y15" i="72"/>
  <c r="AC15" i="72" s="1"/>
  <c r="AG15" i="72" s="1"/>
  <c r="AM15" i="72" s="1"/>
  <c r="AQ15" i="72" s="1"/>
  <c r="AU15" i="72" s="1"/>
  <c r="BC15" i="72" s="1"/>
  <c r="Y41" i="72"/>
  <c r="AC41" i="72" s="1"/>
  <c r="AG41" i="72" s="1"/>
  <c r="AM41" i="72" s="1"/>
  <c r="AQ41" i="72" s="1"/>
  <c r="AU41" i="72" s="1"/>
  <c r="BC41" i="72" s="1"/>
  <c r="Y8" i="72"/>
  <c r="AC8" i="72" s="1"/>
  <c r="AG8" i="72" s="1"/>
  <c r="AM8" i="72" s="1"/>
  <c r="AQ8" i="72" s="1"/>
  <c r="AU8" i="72" s="1"/>
  <c r="BC8" i="72" s="1"/>
  <c r="Y20" i="72"/>
  <c r="AC20" i="72" s="1"/>
  <c r="AG20" i="72" s="1"/>
  <c r="AM20" i="72" s="1"/>
  <c r="AQ20" i="72" s="1"/>
  <c r="AU20" i="72" s="1"/>
  <c r="BC20" i="72" s="1"/>
  <c r="BA43" i="72"/>
  <c r="BA36" i="72"/>
  <c r="BA17" i="72"/>
  <c r="BA11" i="72"/>
  <c r="Y33" i="72"/>
  <c r="AC33" i="72" s="1"/>
  <c r="AG33" i="72" s="1"/>
  <c r="AM33" i="72" s="1"/>
  <c r="AQ33" i="72" s="1"/>
  <c r="AU33" i="72" s="1"/>
  <c r="Y40" i="72"/>
  <c r="AC40" i="72" s="1"/>
  <c r="AG40" i="72" s="1"/>
  <c r="AM40" i="72" s="1"/>
  <c r="AQ40" i="72" s="1"/>
  <c r="AU40" i="72" s="1"/>
  <c r="Y32" i="72"/>
  <c r="AC32" i="72" s="1"/>
  <c r="AG32" i="72" s="1"/>
  <c r="AM32" i="72" s="1"/>
  <c r="AQ32" i="72" s="1"/>
  <c r="AU32" i="72" s="1"/>
  <c r="Y38" i="72"/>
  <c r="AC38" i="72" s="1"/>
  <c r="AG38" i="72" s="1"/>
  <c r="AM38" i="72" s="1"/>
  <c r="AQ38" i="72" s="1"/>
  <c r="AU38" i="72" s="1"/>
  <c r="BA35" i="72"/>
  <c r="BA23" i="72"/>
  <c r="BA16" i="72"/>
  <c r="BA10" i="72"/>
  <c r="K21" i="72"/>
  <c r="AK21" i="72"/>
  <c r="G21" i="72"/>
  <c r="O21" i="72"/>
  <c r="Y10" i="72"/>
  <c r="AC10" i="72" s="1"/>
  <c r="AG10" i="72" s="1"/>
  <c r="AM10" i="72" s="1"/>
  <c r="AQ10" i="72" s="1"/>
  <c r="AU10" i="72" s="1"/>
  <c r="BC10" i="72" s="1"/>
  <c r="S19" i="72"/>
  <c r="S21" i="72" s="1"/>
  <c r="W21" i="72"/>
  <c r="Y19" i="72"/>
  <c r="AP44" i="72"/>
  <c r="AR44" i="72"/>
  <c r="AT44" i="72"/>
  <c r="AV44" i="72"/>
  <c r="AX44" i="72"/>
  <c r="AZ44" i="72"/>
  <c r="BB44" i="72"/>
  <c r="Y21" i="72" l="1"/>
  <c r="AC19" i="72"/>
  <c r="AC21" i="72" l="1"/>
  <c r="AG19" i="72"/>
  <c r="AW40" i="72"/>
  <c r="AW38" i="72"/>
  <c r="AW33" i="72"/>
  <c r="AW32" i="72"/>
  <c r="AW31" i="72"/>
  <c r="AW24" i="72"/>
  <c r="AW19" i="72"/>
  <c r="AY24" i="72" l="1"/>
  <c r="BA24" i="72" s="1"/>
  <c r="BC24" i="72"/>
  <c r="AY31" i="72"/>
  <c r="BA31" i="72" s="1"/>
  <c r="BC31" i="72"/>
  <c r="AY32" i="72"/>
  <c r="BA32" i="72" s="1"/>
  <c r="BC32" i="72"/>
  <c r="AY33" i="72"/>
  <c r="BA33" i="72" s="1"/>
  <c r="BC33" i="72"/>
  <c r="AY38" i="72"/>
  <c r="BA38" i="72" s="1"/>
  <c r="BC38" i="72"/>
  <c r="AW21" i="72"/>
  <c r="AY19" i="72"/>
  <c r="AY40" i="72"/>
  <c r="BA40" i="72" s="1"/>
  <c r="BC40" i="72"/>
  <c r="AG21" i="72"/>
  <c r="AM19" i="72"/>
  <c r="AY21" i="72" l="1"/>
  <c r="BA19" i="72"/>
  <c r="BA21" i="72" s="1"/>
  <c r="AM21" i="72"/>
  <c r="AQ19" i="72"/>
  <c r="D128" i="50"/>
  <c r="D127" i="50"/>
  <c r="U127" i="50" s="1"/>
  <c r="BA54" i="71"/>
  <c r="K86" i="90" s="1"/>
  <c r="BE54" i="71"/>
  <c r="O86" i="90" s="1"/>
  <c r="BI54" i="71"/>
  <c r="S86" i="90" s="1"/>
  <c r="BS54" i="71"/>
  <c r="BW54" i="71"/>
  <c r="CA54" i="71"/>
  <c r="CG54" i="71"/>
  <c r="CK54" i="71"/>
  <c r="CO54" i="71"/>
  <c r="BZ76" i="99"/>
  <c r="CT74" i="99"/>
  <c r="CR74" i="99"/>
  <c r="CP74" i="99"/>
  <c r="CN74" i="99"/>
  <c r="CN76" i="99" s="1"/>
  <c r="CL74" i="99"/>
  <c r="CJ74" i="99"/>
  <c r="CJ76" i="99" s="1"/>
  <c r="CH74" i="99"/>
  <c r="CF74" i="99"/>
  <c r="CF76" i="99" s="1"/>
  <c r="CD74" i="99"/>
  <c r="CB74" i="99"/>
  <c r="BZ74" i="99"/>
  <c r="BX74" i="99"/>
  <c r="BV74" i="99"/>
  <c r="BV76" i="99" s="1"/>
  <c r="BT74" i="99"/>
  <c r="BR74" i="99"/>
  <c r="BP74" i="99"/>
  <c r="BN74" i="99"/>
  <c r="BL74" i="99"/>
  <c r="BJ74" i="99"/>
  <c r="BH74" i="99"/>
  <c r="BF74" i="99"/>
  <c r="BD74" i="99"/>
  <c r="BB74" i="99"/>
  <c r="AZ74" i="99"/>
  <c r="AX74" i="99"/>
  <c r="AN74" i="99"/>
  <c r="AM74" i="99"/>
  <c r="AL74" i="99"/>
  <c r="AJ74" i="99"/>
  <c r="AI74" i="99"/>
  <c r="AH74" i="99"/>
  <c r="AE74" i="99"/>
  <c r="AD74" i="99"/>
  <c r="AC74" i="99"/>
  <c r="AA74" i="99"/>
  <c r="Z74" i="99"/>
  <c r="Y74" i="99"/>
  <c r="U74" i="99"/>
  <c r="T74" i="99"/>
  <c r="S74" i="99"/>
  <c r="Q74" i="99"/>
  <c r="P74" i="99"/>
  <c r="O74" i="99"/>
  <c r="L74" i="99"/>
  <c r="K74" i="99"/>
  <c r="K76" i="99" s="1"/>
  <c r="J74" i="99"/>
  <c r="J76" i="99" s="1"/>
  <c r="H74" i="99"/>
  <c r="H76" i="99" s="1"/>
  <c r="G74" i="99"/>
  <c r="G76" i="99" s="1"/>
  <c r="F74" i="99"/>
  <c r="F76" i="99" s="1"/>
  <c r="CO73" i="99"/>
  <c r="CK73" i="99"/>
  <c r="CG73" i="99"/>
  <c r="CA73" i="99"/>
  <c r="CC73" i="99" s="1"/>
  <c r="BW73" i="99"/>
  <c r="BS73" i="99"/>
  <c r="BM73" i="99"/>
  <c r="BI73" i="99"/>
  <c r="BE73" i="99"/>
  <c r="BO73" i="99" s="1"/>
  <c r="BA73" i="99"/>
  <c r="AY73" i="99"/>
  <c r="AW73" i="99"/>
  <c r="AU73" i="99"/>
  <c r="AQ73" i="99"/>
  <c r="AO73" i="99"/>
  <c r="AK73" i="99"/>
  <c r="AP73" i="99" s="1"/>
  <c r="AF73" i="99"/>
  <c r="AB73" i="99"/>
  <c r="AG73" i="99" s="1"/>
  <c r="X73" i="99"/>
  <c r="V73" i="99"/>
  <c r="R73" i="99"/>
  <c r="W73" i="99" s="1"/>
  <c r="M73" i="99"/>
  <c r="I73" i="99"/>
  <c r="CO72" i="99"/>
  <c r="CK72" i="99"/>
  <c r="CQ72" i="99" s="1"/>
  <c r="CG72" i="99"/>
  <c r="CA72" i="99"/>
  <c r="BW72" i="99"/>
  <c r="BS72" i="99"/>
  <c r="CC72" i="99" s="1"/>
  <c r="CS72" i="99" s="1"/>
  <c r="BM72" i="99"/>
  <c r="BI72" i="99"/>
  <c r="BE72" i="99"/>
  <c r="BA72" i="99"/>
  <c r="AW72" i="99"/>
  <c r="AU72" i="99"/>
  <c r="AQ72" i="99"/>
  <c r="AR72" i="99" s="1"/>
  <c r="AP72" i="99"/>
  <c r="AO72" i="99"/>
  <c r="AK72" i="99"/>
  <c r="AF72" i="99"/>
  <c r="AB72" i="99"/>
  <c r="X72" i="99"/>
  <c r="V72" i="99"/>
  <c r="R72" i="99"/>
  <c r="W72" i="99" s="1"/>
  <c r="M72" i="99"/>
  <c r="I72" i="99"/>
  <c r="CO71" i="99"/>
  <c r="CK71" i="99"/>
  <c r="CG71" i="99"/>
  <c r="CA71" i="99"/>
  <c r="BW71" i="99"/>
  <c r="BS71" i="99"/>
  <c r="BM71" i="99"/>
  <c r="BI71" i="99"/>
  <c r="BO71" i="99" s="1"/>
  <c r="BQ71" i="99" s="1"/>
  <c r="BU71" i="99" s="1"/>
  <c r="BY71" i="99" s="1"/>
  <c r="BE71" i="99"/>
  <c r="BA71" i="99"/>
  <c r="AY71" i="99"/>
  <c r="AW71" i="99"/>
  <c r="AU71" i="99"/>
  <c r="BC71" i="99" s="1"/>
  <c r="BG71" i="99" s="1"/>
  <c r="BK71" i="99" s="1"/>
  <c r="AQ71" i="99"/>
  <c r="AR71" i="99" s="1"/>
  <c r="AO71" i="99"/>
  <c r="AK71" i="99"/>
  <c r="AP71" i="99" s="1"/>
  <c r="AF71" i="99"/>
  <c r="AB71" i="99"/>
  <c r="AG71" i="99" s="1"/>
  <c r="X71" i="99"/>
  <c r="W71" i="99"/>
  <c r="V71" i="99"/>
  <c r="R71" i="99"/>
  <c r="M71" i="99"/>
  <c r="I71" i="99"/>
  <c r="N71" i="99" s="1"/>
  <c r="CO70" i="99"/>
  <c r="CK70" i="99"/>
  <c r="CG70" i="99"/>
  <c r="CQ70" i="99" s="1"/>
  <c r="CA70" i="99"/>
  <c r="BW70" i="99"/>
  <c r="BS70" i="99"/>
  <c r="CC70" i="99" s="1"/>
  <c r="CS70" i="99" s="1"/>
  <c r="BM70" i="99"/>
  <c r="BI70" i="99"/>
  <c r="BE70" i="99"/>
  <c r="BO70" i="99" s="1"/>
  <c r="BA70" i="99"/>
  <c r="AW70" i="99"/>
  <c r="AU70" i="99"/>
  <c r="AQ70" i="99"/>
  <c r="AR70" i="99" s="1"/>
  <c r="AP70" i="99"/>
  <c r="AO70" i="99"/>
  <c r="AK70" i="99"/>
  <c r="AF70" i="99"/>
  <c r="AB70" i="99"/>
  <c r="X70" i="99"/>
  <c r="V70" i="99"/>
  <c r="R70" i="99"/>
  <c r="W70" i="99" s="1"/>
  <c r="N70" i="99"/>
  <c r="M70" i="99"/>
  <c r="I70" i="99"/>
  <c r="CO69" i="99"/>
  <c r="CK69" i="99"/>
  <c r="CG69" i="99"/>
  <c r="CA69" i="99"/>
  <c r="BW69" i="99"/>
  <c r="BS69" i="99"/>
  <c r="BM69" i="99"/>
  <c r="BI69" i="99"/>
  <c r="BE69" i="99"/>
  <c r="BA69" i="99"/>
  <c r="AW69" i="99"/>
  <c r="AU69" i="99"/>
  <c r="AY69" i="99" s="1"/>
  <c r="AQ69" i="99"/>
  <c r="AR69" i="99" s="1"/>
  <c r="AO69" i="99"/>
  <c r="AK69" i="99"/>
  <c r="AP69" i="99" s="1"/>
  <c r="AF69" i="99"/>
  <c r="AB69" i="99"/>
  <c r="X69" i="99"/>
  <c r="V69" i="99"/>
  <c r="R69" i="99"/>
  <c r="W69" i="99" s="1"/>
  <c r="M69" i="99"/>
  <c r="I69" i="99"/>
  <c r="N69" i="99" s="1"/>
  <c r="CO68" i="99"/>
  <c r="CK68" i="99"/>
  <c r="CG68" i="99"/>
  <c r="CQ68" i="99" s="1"/>
  <c r="CA68" i="99"/>
  <c r="BW68" i="99"/>
  <c r="BS68" i="99"/>
  <c r="BO68" i="99"/>
  <c r="BM68" i="99"/>
  <c r="BI68" i="99"/>
  <c r="BE68" i="99"/>
  <c r="BA68" i="99"/>
  <c r="AW68" i="99"/>
  <c r="AU68" i="99"/>
  <c r="AQ68" i="99"/>
  <c r="AR68" i="99" s="1"/>
  <c r="AO68" i="99"/>
  <c r="AP68" i="99" s="1"/>
  <c r="AK68" i="99"/>
  <c r="AF68" i="99"/>
  <c r="AB68" i="99"/>
  <c r="X68" i="99"/>
  <c r="V68" i="99"/>
  <c r="R68" i="99"/>
  <c r="M68" i="99"/>
  <c r="N68" i="99" s="1"/>
  <c r="I68" i="99"/>
  <c r="CO67" i="99"/>
  <c r="CK67" i="99"/>
  <c r="CG67" i="99"/>
  <c r="CA67" i="99"/>
  <c r="BW67" i="99"/>
  <c r="BS67" i="99"/>
  <c r="BM67" i="99"/>
  <c r="CU67" i="99" s="1"/>
  <c r="BI67" i="99"/>
  <c r="BE67" i="99"/>
  <c r="BA67" i="99"/>
  <c r="AW67" i="99"/>
  <c r="AU67" i="99"/>
  <c r="BC67" i="99" s="1"/>
  <c r="BG67" i="99" s="1"/>
  <c r="BK67" i="99" s="1"/>
  <c r="AQ67" i="99"/>
  <c r="AO67" i="99"/>
  <c r="AK67" i="99"/>
  <c r="AP67" i="99" s="1"/>
  <c r="AG67" i="99"/>
  <c r="AF67" i="99"/>
  <c r="AB67" i="99"/>
  <c r="X67" i="99"/>
  <c r="AR67" i="99" s="1"/>
  <c r="V67" i="99"/>
  <c r="R67" i="99"/>
  <c r="W67" i="99" s="1"/>
  <c r="M67" i="99"/>
  <c r="I67" i="99"/>
  <c r="N67" i="99" s="1"/>
  <c r="CO66" i="99"/>
  <c r="CQ66" i="99" s="1"/>
  <c r="CK66" i="99"/>
  <c r="CG66" i="99"/>
  <c r="CA66" i="99"/>
  <c r="BW66" i="99"/>
  <c r="BS66" i="99"/>
  <c r="BM66" i="99"/>
  <c r="BI66" i="99"/>
  <c r="BO66" i="99" s="1"/>
  <c r="BE66" i="99"/>
  <c r="BA66" i="99"/>
  <c r="AW66" i="99"/>
  <c r="AU66" i="99"/>
  <c r="AQ66" i="99"/>
  <c r="AR66" i="99" s="1"/>
  <c r="AO66" i="99"/>
  <c r="AK66" i="99"/>
  <c r="AP66" i="99" s="1"/>
  <c r="AF66" i="99"/>
  <c r="AB66" i="99"/>
  <c r="X66" i="99"/>
  <c r="V66" i="99"/>
  <c r="R66" i="99"/>
  <c r="W66" i="99" s="1"/>
  <c r="M66" i="99"/>
  <c r="I66" i="99"/>
  <c r="N66" i="99" s="1"/>
  <c r="CO65" i="99"/>
  <c r="CK65" i="99"/>
  <c r="CG65" i="99"/>
  <c r="CA65" i="99"/>
  <c r="BW65" i="99"/>
  <c r="CC65" i="99" s="1"/>
  <c r="BS65" i="99"/>
  <c r="BM65" i="99"/>
  <c r="BO65" i="99" s="1"/>
  <c r="BI65" i="99"/>
  <c r="BE65" i="99"/>
  <c r="BA65" i="99"/>
  <c r="AW65" i="99"/>
  <c r="BC65" i="99" s="1"/>
  <c r="AU65" i="99"/>
  <c r="AY65" i="99" s="1"/>
  <c r="AQ65" i="99"/>
  <c r="AP65" i="99"/>
  <c r="AO65" i="99"/>
  <c r="AK65" i="99"/>
  <c r="AF65" i="99"/>
  <c r="AB65" i="99"/>
  <c r="AG65" i="99" s="1"/>
  <c r="X65" i="99"/>
  <c r="AR65" i="99" s="1"/>
  <c r="V65" i="99"/>
  <c r="R65" i="99"/>
  <c r="W65" i="99" s="1"/>
  <c r="M65" i="99"/>
  <c r="I65" i="99"/>
  <c r="CO64" i="99"/>
  <c r="CK64" i="99"/>
  <c r="CG64" i="99"/>
  <c r="CQ64" i="99" s="1"/>
  <c r="CA64" i="99"/>
  <c r="BW64" i="99"/>
  <c r="BS64" i="99"/>
  <c r="BM64" i="99"/>
  <c r="BI64" i="99"/>
  <c r="BE64" i="99"/>
  <c r="BA64" i="99"/>
  <c r="AW64" i="99"/>
  <c r="AU64" i="99"/>
  <c r="AQ64" i="99"/>
  <c r="AP64" i="99"/>
  <c r="AO64" i="99"/>
  <c r="AK64" i="99"/>
  <c r="AF64" i="99"/>
  <c r="AB64" i="99"/>
  <c r="AG64" i="99" s="1"/>
  <c r="X64" i="99"/>
  <c r="AR64" i="99" s="1"/>
  <c r="V64" i="99"/>
  <c r="R64" i="99"/>
  <c r="M64" i="99"/>
  <c r="N64" i="99" s="1"/>
  <c r="I64" i="99"/>
  <c r="CO63" i="99"/>
  <c r="CK63" i="99"/>
  <c r="CG63" i="99"/>
  <c r="CA63" i="99"/>
  <c r="BW63" i="99"/>
  <c r="BS63" i="99"/>
  <c r="BM63" i="99"/>
  <c r="BI63" i="99"/>
  <c r="BE63" i="99"/>
  <c r="BA63" i="99"/>
  <c r="AW63" i="99"/>
  <c r="AU63" i="99"/>
  <c r="AQ63" i="99"/>
  <c r="AO63" i="99"/>
  <c r="AK63" i="99"/>
  <c r="AP63" i="99" s="1"/>
  <c r="AF63" i="99"/>
  <c r="AB63" i="99"/>
  <c r="X63" i="99"/>
  <c r="V63" i="99"/>
  <c r="R63" i="99"/>
  <c r="M63" i="99"/>
  <c r="N63" i="99" s="1"/>
  <c r="I63" i="99"/>
  <c r="CO62" i="99"/>
  <c r="CK62" i="99"/>
  <c r="CG62" i="99"/>
  <c r="CA62" i="99"/>
  <c r="BW62" i="99"/>
  <c r="BS62" i="99"/>
  <c r="CC62" i="99" s="1"/>
  <c r="BM62" i="99"/>
  <c r="BI62" i="99"/>
  <c r="BE62" i="99"/>
  <c r="BA62" i="99"/>
  <c r="AW62" i="99"/>
  <c r="AU62" i="99"/>
  <c r="BC62" i="99" s="1"/>
  <c r="BG62" i="99" s="1"/>
  <c r="BK62" i="99" s="1"/>
  <c r="AQ62" i="99"/>
  <c r="AO62" i="99"/>
  <c r="AK62" i="99"/>
  <c r="AF62" i="99"/>
  <c r="AB62" i="99"/>
  <c r="AG62" i="99" s="1"/>
  <c r="X62" i="99"/>
  <c r="V62" i="99"/>
  <c r="R62" i="99"/>
  <c r="M62" i="99"/>
  <c r="N62" i="99" s="1"/>
  <c r="I62" i="99"/>
  <c r="CO61" i="99"/>
  <c r="CK61" i="99"/>
  <c r="CG61" i="99"/>
  <c r="CA61" i="99"/>
  <c r="BW61" i="99"/>
  <c r="BS61" i="99"/>
  <c r="CC61" i="99" s="1"/>
  <c r="BM61" i="99"/>
  <c r="BI61" i="99"/>
  <c r="BE61" i="99"/>
  <c r="BA61" i="99"/>
  <c r="AW61" i="99"/>
  <c r="AU61" i="99"/>
  <c r="BC61" i="99" s="1"/>
  <c r="BG61" i="99" s="1"/>
  <c r="BK61" i="99" s="1"/>
  <c r="AQ61" i="99"/>
  <c r="AO61" i="99"/>
  <c r="AP61" i="99" s="1"/>
  <c r="AK61" i="99"/>
  <c r="AF61" i="99"/>
  <c r="AB61" i="99"/>
  <c r="AG61" i="99" s="1"/>
  <c r="X61" i="99"/>
  <c r="V61" i="99"/>
  <c r="W61" i="99" s="1"/>
  <c r="R61" i="99"/>
  <c r="M61" i="99"/>
  <c r="I61" i="99"/>
  <c r="N61" i="99" s="1"/>
  <c r="CO60" i="99"/>
  <c r="CK60" i="99"/>
  <c r="CG60" i="99"/>
  <c r="CA60" i="99"/>
  <c r="BW60" i="99"/>
  <c r="BS60" i="99"/>
  <c r="BM60" i="99"/>
  <c r="BO60" i="99" s="1"/>
  <c r="BI60" i="99"/>
  <c r="BE60" i="99"/>
  <c r="BA60" i="99"/>
  <c r="AW60" i="99"/>
  <c r="AU60" i="99"/>
  <c r="BC60" i="99" s="1"/>
  <c r="BG60" i="99" s="1"/>
  <c r="BK60" i="99" s="1"/>
  <c r="AR60" i="99"/>
  <c r="AQ60" i="99"/>
  <c r="AO60" i="99"/>
  <c r="AK60" i="99"/>
  <c r="AP60" i="99" s="1"/>
  <c r="AF60" i="99"/>
  <c r="AB60" i="99"/>
  <c r="X60" i="99"/>
  <c r="V60" i="99"/>
  <c r="R60" i="99"/>
  <c r="M60" i="99"/>
  <c r="I60" i="99"/>
  <c r="N60" i="99" s="1"/>
  <c r="CO59" i="99"/>
  <c r="CK59" i="99"/>
  <c r="CG59" i="99"/>
  <c r="CA59" i="99"/>
  <c r="CC59" i="99" s="1"/>
  <c r="BW59" i="99"/>
  <c r="BS59" i="99"/>
  <c r="BM59" i="99"/>
  <c r="BI59" i="99"/>
  <c r="BE59" i="99"/>
  <c r="BA59" i="99"/>
  <c r="BC59" i="99" s="1"/>
  <c r="AW59" i="99"/>
  <c r="AU59" i="99"/>
  <c r="AY59" i="99" s="1"/>
  <c r="AQ59" i="99"/>
  <c r="AO59" i="99"/>
  <c r="AK59" i="99"/>
  <c r="AG59" i="99"/>
  <c r="AF59" i="99"/>
  <c r="AB59" i="99"/>
  <c r="X59" i="99"/>
  <c r="AR59" i="99" s="1"/>
  <c r="V59" i="99"/>
  <c r="R59" i="99"/>
  <c r="W59" i="99" s="1"/>
  <c r="M59" i="99"/>
  <c r="N59" i="99" s="1"/>
  <c r="I59" i="99"/>
  <c r="CO58" i="99"/>
  <c r="CK58" i="99"/>
  <c r="CG58" i="99"/>
  <c r="CQ58" i="99" s="1"/>
  <c r="CA58" i="99"/>
  <c r="BW58" i="99"/>
  <c r="BS58" i="99"/>
  <c r="BM58" i="99"/>
  <c r="BI58" i="99"/>
  <c r="BE58" i="99"/>
  <c r="BO58" i="99" s="1"/>
  <c r="BA58" i="99"/>
  <c r="AW58" i="99"/>
  <c r="AU58" i="99"/>
  <c r="AQ58" i="99"/>
  <c r="AR58" i="99" s="1"/>
  <c r="AO58" i="99"/>
  <c r="AK58" i="99"/>
  <c r="AP58" i="99" s="1"/>
  <c r="AF58" i="99"/>
  <c r="AB58" i="99"/>
  <c r="X58" i="99"/>
  <c r="V58" i="99"/>
  <c r="R58" i="99"/>
  <c r="W58" i="99" s="1"/>
  <c r="M58" i="99"/>
  <c r="I58" i="99"/>
  <c r="N58" i="99" s="1"/>
  <c r="CO57" i="99"/>
  <c r="CK57" i="99"/>
  <c r="CG57" i="99"/>
  <c r="CA57" i="99"/>
  <c r="BW57" i="99"/>
  <c r="CC57" i="99" s="1"/>
  <c r="BS57" i="99"/>
  <c r="BM57" i="99"/>
  <c r="BI57" i="99"/>
  <c r="BE57" i="99"/>
  <c r="BO57" i="99" s="1"/>
  <c r="BA57" i="99"/>
  <c r="AW57" i="99"/>
  <c r="BC57" i="99" s="1"/>
  <c r="AU57" i="99"/>
  <c r="AQ57" i="99"/>
  <c r="AO57" i="99"/>
  <c r="AK57" i="99"/>
  <c r="AP57" i="99" s="1"/>
  <c r="AF57" i="99"/>
  <c r="AB57" i="99"/>
  <c r="X57" i="99"/>
  <c r="AR57" i="99" s="1"/>
  <c r="V57" i="99"/>
  <c r="R57" i="99"/>
  <c r="W57" i="99" s="1"/>
  <c r="M57" i="99"/>
  <c r="I57" i="99"/>
  <c r="CO56" i="99"/>
  <c r="CK56" i="99"/>
  <c r="CG56" i="99"/>
  <c r="CA56" i="99"/>
  <c r="BW56" i="99"/>
  <c r="BS56" i="99"/>
  <c r="BM56" i="99"/>
  <c r="BI56" i="99"/>
  <c r="BE56" i="99"/>
  <c r="BA56" i="99"/>
  <c r="AW56" i="99"/>
  <c r="AU56" i="99"/>
  <c r="AQ56" i="99"/>
  <c r="AO56" i="99"/>
  <c r="AK56" i="99"/>
  <c r="AP56" i="99" s="1"/>
  <c r="AF56" i="99"/>
  <c r="AB56" i="99"/>
  <c r="X56" i="99"/>
  <c r="AR56" i="99" s="1"/>
  <c r="V56" i="99"/>
  <c r="R56" i="99"/>
  <c r="W56" i="99" s="1"/>
  <c r="M56" i="99"/>
  <c r="N56" i="99" s="1"/>
  <c r="I56" i="99"/>
  <c r="CO55" i="99"/>
  <c r="CK55" i="99"/>
  <c r="CG55" i="99"/>
  <c r="CA55" i="99"/>
  <c r="BW55" i="99"/>
  <c r="BS55" i="99"/>
  <c r="BM55" i="99"/>
  <c r="BI55" i="99"/>
  <c r="BE55" i="99"/>
  <c r="BO55" i="99" s="1"/>
  <c r="BA55" i="99"/>
  <c r="AW55" i="99"/>
  <c r="BC55" i="99" s="1"/>
  <c r="BG55" i="99" s="1"/>
  <c r="BK55" i="99" s="1"/>
  <c r="AU55" i="99"/>
  <c r="AQ55" i="99"/>
  <c r="AO55" i="99"/>
  <c r="AK55" i="99"/>
  <c r="AG55" i="99"/>
  <c r="AF55" i="99"/>
  <c r="AB55" i="99"/>
  <c r="X55" i="99"/>
  <c r="AR55" i="99" s="1"/>
  <c r="V55" i="99"/>
  <c r="R55" i="99"/>
  <c r="M55" i="99"/>
  <c r="N55" i="99" s="1"/>
  <c r="I55" i="99"/>
  <c r="CO54" i="99"/>
  <c r="CK54" i="99"/>
  <c r="CG54" i="99"/>
  <c r="CC54" i="99"/>
  <c r="CA54" i="99"/>
  <c r="BW54" i="99"/>
  <c r="BS54" i="99"/>
  <c r="BM54" i="99"/>
  <c r="BI54" i="99"/>
  <c r="BE54" i="99"/>
  <c r="BA54" i="99"/>
  <c r="BC54" i="99" s="1"/>
  <c r="AW54" i="99"/>
  <c r="AU54" i="99"/>
  <c r="AQ54" i="99"/>
  <c r="AO54" i="99"/>
  <c r="AK54" i="99"/>
  <c r="AF54" i="99"/>
  <c r="AB54" i="99"/>
  <c r="X54" i="99"/>
  <c r="AR54" i="99" s="1"/>
  <c r="V54" i="99"/>
  <c r="R54" i="99"/>
  <c r="M54" i="99"/>
  <c r="N54" i="99" s="1"/>
  <c r="I54" i="99"/>
  <c r="CO53" i="99"/>
  <c r="CK53" i="99"/>
  <c r="CG53" i="99"/>
  <c r="CC53" i="99"/>
  <c r="CA53" i="99"/>
  <c r="BW53" i="99"/>
  <c r="BS53" i="99"/>
  <c r="BM53" i="99"/>
  <c r="BI53" i="99"/>
  <c r="BE53" i="99"/>
  <c r="BC53" i="99"/>
  <c r="BG53" i="99" s="1"/>
  <c r="BK53" i="99" s="1"/>
  <c r="BA53" i="99"/>
  <c r="AW53" i="99"/>
  <c r="AU53" i="99"/>
  <c r="AQ53" i="99"/>
  <c r="AP53" i="99"/>
  <c r="AO53" i="99"/>
  <c r="AK53" i="99"/>
  <c r="AF53" i="99"/>
  <c r="AB53" i="99"/>
  <c r="X53" i="99"/>
  <c r="V53" i="99"/>
  <c r="W53" i="99" s="1"/>
  <c r="R53" i="99"/>
  <c r="M53" i="99"/>
  <c r="I53" i="99"/>
  <c r="CO52" i="99"/>
  <c r="CK52" i="99"/>
  <c r="CG52" i="99"/>
  <c r="CA52" i="99"/>
  <c r="BW52" i="99"/>
  <c r="BS52" i="99"/>
  <c r="BM52" i="99"/>
  <c r="BI52" i="99"/>
  <c r="BO52" i="99" s="1"/>
  <c r="BE52" i="99"/>
  <c r="BA52" i="99"/>
  <c r="AW52" i="99"/>
  <c r="AU52" i="99"/>
  <c r="BC52" i="99" s="1"/>
  <c r="BG52" i="99" s="1"/>
  <c r="BK52" i="99" s="1"/>
  <c r="AR52" i="99"/>
  <c r="AQ52" i="99"/>
  <c r="AO52" i="99"/>
  <c r="AK52" i="99"/>
  <c r="AF52" i="99"/>
  <c r="AB52" i="99"/>
  <c r="X52" i="99"/>
  <c r="V52" i="99"/>
  <c r="R52" i="99"/>
  <c r="M52" i="99"/>
  <c r="I52" i="99"/>
  <c r="N52" i="99" s="1"/>
  <c r="CO51" i="99"/>
  <c r="CK51" i="99"/>
  <c r="CG51" i="99"/>
  <c r="CA51" i="99"/>
  <c r="BW51" i="99"/>
  <c r="BS51" i="99"/>
  <c r="CC51" i="99" s="1"/>
  <c r="BM51" i="99"/>
  <c r="BI51" i="99"/>
  <c r="BE51" i="99"/>
  <c r="BA51" i="99"/>
  <c r="AW51" i="99"/>
  <c r="BC51" i="99" s="1"/>
  <c r="BG51" i="99" s="1"/>
  <c r="AU51" i="99"/>
  <c r="CU51" i="99" s="1"/>
  <c r="AQ51" i="99"/>
  <c r="AR51" i="99" s="1"/>
  <c r="AO51" i="99"/>
  <c r="AK51" i="99"/>
  <c r="AP51" i="99" s="1"/>
  <c r="AF51" i="99"/>
  <c r="AB51" i="99"/>
  <c r="AG51" i="99" s="1"/>
  <c r="X51" i="99"/>
  <c r="V51" i="99"/>
  <c r="R51" i="99"/>
  <c r="W51" i="99" s="1"/>
  <c r="N51" i="99"/>
  <c r="M51" i="99"/>
  <c r="I51" i="99"/>
  <c r="CQ50" i="99"/>
  <c r="CO50" i="99"/>
  <c r="CK50" i="99"/>
  <c r="CG50" i="99"/>
  <c r="CA50" i="99"/>
  <c r="BW50" i="99"/>
  <c r="BS50" i="99"/>
  <c r="BM50" i="99"/>
  <c r="BO50" i="99" s="1"/>
  <c r="BI50" i="99"/>
  <c r="BE50" i="99"/>
  <c r="BA50" i="99"/>
  <c r="AW50" i="99"/>
  <c r="AU50" i="99"/>
  <c r="BC50" i="99" s="1"/>
  <c r="BG50" i="99" s="1"/>
  <c r="BK50" i="99" s="1"/>
  <c r="AQ50" i="99"/>
  <c r="AR50" i="99" s="1"/>
  <c r="AO50" i="99"/>
  <c r="AK50" i="99"/>
  <c r="AF50" i="99"/>
  <c r="AB50" i="99"/>
  <c r="X50" i="99"/>
  <c r="V50" i="99"/>
  <c r="R50" i="99"/>
  <c r="W50" i="99" s="1"/>
  <c r="M50" i="99"/>
  <c r="I50" i="99"/>
  <c r="N50" i="99" s="1"/>
  <c r="CO49" i="99"/>
  <c r="CK49" i="99"/>
  <c r="CG49" i="99"/>
  <c r="CA49" i="99"/>
  <c r="BW49" i="99"/>
  <c r="BS49" i="99"/>
  <c r="BM49" i="99"/>
  <c r="BI49" i="99"/>
  <c r="BE49" i="99"/>
  <c r="BO49" i="99" s="1"/>
  <c r="BA49" i="99"/>
  <c r="AW49" i="99"/>
  <c r="AU49" i="99"/>
  <c r="CU49" i="99" s="1"/>
  <c r="AQ49" i="99"/>
  <c r="AO49" i="99"/>
  <c r="AK49" i="99"/>
  <c r="AP49" i="99" s="1"/>
  <c r="AF49" i="99"/>
  <c r="AB49" i="99"/>
  <c r="X49" i="99"/>
  <c r="AR49" i="99" s="1"/>
  <c r="V49" i="99"/>
  <c r="R49" i="99"/>
  <c r="W49" i="99" s="1"/>
  <c r="M49" i="99"/>
  <c r="I49" i="99"/>
  <c r="N49" i="99" s="1"/>
  <c r="CO48" i="99"/>
  <c r="CK48" i="99"/>
  <c r="CG48" i="99"/>
  <c r="CA48" i="99"/>
  <c r="BW48" i="99"/>
  <c r="BS48" i="99"/>
  <c r="BM48" i="99"/>
  <c r="BI48" i="99"/>
  <c r="BE48" i="99"/>
  <c r="BA48" i="99"/>
  <c r="AW48" i="99"/>
  <c r="AU48" i="99"/>
  <c r="AQ48" i="99"/>
  <c r="AO48" i="99"/>
  <c r="AK48" i="99"/>
  <c r="AP48" i="99" s="1"/>
  <c r="AF48" i="99"/>
  <c r="AB48" i="99"/>
  <c r="AG48" i="99" s="1"/>
  <c r="X48" i="99"/>
  <c r="V48" i="99"/>
  <c r="R48" i="99"/>
  <c r="W48" i="99" s="1"/>
  <c r="M48" i="99"/>
  <c r="I48" i="99"/>
  <c r="N48" i="99" s="1"/>
  <c r="CO47" i="99"/>
  <c r="CK47" i="99"/>
  <c r="CG47" i="99"/>
  <c r="CA47" i="99"/>
  <c r="BW47" i="99"/>
  <c r="CC47" i="99" s="1"/>
  <c r="BS47" i="99"/>
  <c r="BM47" i="99"/>
  <c r="BI47" i="99"/>
  <c r="BE47" i="99"/>
  <c r="BA47" i="99"/>
  <c r="AW47" i="99"/>
  <c r="AU47" i="99"/>
  <c r="AQ47" i="99"/>
  <c r="AO47" i="99"/>
  <c r="AK47" i="99"/>
  <c r="AP47" i="99" s="1"/>
  <c r="AF47" i="99"/>
  <c r="AG47" i="99" s="1"/>
  <c r="AB47" i="99"/>
  <c r="X47" i="99"/>
  <c r="AR47" i="99" s="1"/>
  <c r="V47" i="99"/>
  <c r="R47" i="99"/>
  <c r="M47" i="99"/>
  <c r="N47" i="99" s="1"/>
  <c r="I47" i="99"/>
  <c r="CO46" i="99"/>
  <c r="CK46" i="99"/>
  <c r="CG46" i="99"/>
  <c r="CA46" i="99"/>
  <c r="CC46" i="99" s="1"/>
  <c r="BW46" i="99"/>
  <c r="BS46" i="99"/>
  <c r="BM46" i="99"/>
  <c r="BI46" i="99"/>
  <c r="BE46" i="99"/>
  <c r="BO46" i="99" s="1"/>
  <c r="BA46" i="99"/>
  <c r="AW46" i="99"/>
  <c r="BC46" i="99" s="1"/>
  <c r="AU46" i="99"/>
  <c r="AQ46" i="99"/>
  <c r="AO46" i="99"/>
  <c r="AK46" i="99"/>
  <c r="AF46" i="99"/>
  <c r="AB46" i="99"/>
  <c r="X46" i="99"/>
  <c r="AR46" i="99" s="1"/>
  <c r="V46" i="99"/>
  <c r="R46" i="99"/>
  <c r="M46" i="99"/>
  <c r="I46" i="99"/>
  <c r="CO45" i="99"/>
  <c r="CK45" i="99"/>
  <c r="CG45" i="99"/>
  <c r="CA45" i="99"/>
  <c r="CC45" i="99" s="1"/>
  <c r="BW45" i="99"/>
  <c r="BS45" i="99"/>
  <c r="BM45" i="99"/>
  <c r="BI45" i="99"/>
  <c r="BE45" i="99"/>
  <c r="BO45" i="99" s="1"/>
  <c r="BA45" i="99"/>
  <c r="AW45" i="99"/>
  <c r="AY45" i="99" s="1"/>
  <c r="AU45" i="99"/>
  <c r="AQ45" i="99"/>
  <c r="AO45" i="99"/>
  <c r="AK45" i="99"/>
  <c r="AP45" i="99" s="1"/>
  <c r="AF45" i="99"/>
  <c r="AB45" i="99"/>
  <c r="AG45" i="99" s="1"/>
  <c r="X45" i="99"/>
  <c r="V45" i="99"/>
  <c r="R45" i="99"/>
  <c r="M45" i="99"/>
  <c r="I45" i="99"/>
  <c r="N45" i="99" s="1"/>
  <c r="CO44" i="99"/>
  <c r="CK44" i="99"/>
  <c r="CG44" i="99"/>
  <c r="CA44" i="99"/>
  <c r="BW44" i="99"/>
  <c r="BS44" i="99"/>
  <c r="CC44" i="99" s="1"/>
  <c r="BM44" i="99"/>
  <c r="BI44" i="99"/>
  <c r="BE44" i="99"/>
  <c r="BA44" i="99"/>
  <c r="BC44" i="99" s="1"/>
  <c r="BG44" i="99" s="1"/>
  <c r="AW44" i="99"/>
  <c r="AU44" i="99"/>
  <c r="AR44" i="99"/>
  <c r="AQ44" i="99"/>
  <c r="AP44" i="99"/>
  <c r="AO44" i="99"/>
  <c r="AK44" i="99"/>
  <c r="AF44" i="99"/>
  <c r="AB44" i="99"/>
  <c r="X44" i="99"/>
  <c r="V44" i="99"/>
  <c r="R44" i="99"/>
  <c r="M44" i="99"/>
  <c r="I44" i="99"/>
  <c r="CO43" i="99"/>
  <c r="CK43" i="99"/>
  <c r="CG43" i="99"/>
  <c r="CA43" i="99"/>
  <c r="BW43" i="99"/>
  <c r="BS43" i="99"/>
  <c r="CC43" i="99" s="1"/>
  <c r="BM43" i="99"/>
  <c r="BI43" i="99"/>
  <c r="BO43" i="99" s="1"/>
  <c r="BE43" i="99"/>
  <c r="BA43" i="99"/>
  <c r="AY43" i="99"/>
  <c r="AW43" i="99"/>
  <c r="AU43" i="99"/>
  <c r="BC43" i="99" s="1"/>
  <c r="BG43" i="99" s="1"/>
  <c r="AR43" i="99"/>
  <c r="AQ43" i="99"/>
  <c r="AO43" i="99"/>
  <c r="AK43" i="99"/>
  <c r="AP43" i="99" s="1"/>
  <c r="AF43" i="99"/>
  <c r="AB43" i="99"/>
  <c r="AG43" i="99" s="1"/>
  <c r="X43" i="99"/>
  <c r="W43" i="99"/>
  <c r="V43" i="99"/>
  <c r="R43" i="99"/>
  <c r="M43" i="99"/>
  <c r="I43" i="99"/>
  <c r="CO42" i="99"/>
  <c r="CK42" i="99"/>
  <c r="CG42" i="99"/>
  <c r="CQ42" i="99" s="1"/>
  <c r="CA42" i="99"/>
  <c r="BW42" i="99"/>
  <c r="BS42" i="99"/>
  <c r="CC42" i="99" s="1"/>
  <c r="BM42" i="99"/>
  <c r="BI42" i="99"/>
  <c r="BE42" i="99"/>
  <c r="BO42" i="99" s="1"/>
  <c r="BA42" i="99"/>
  <c r="AW42" i="99"/>
  <c r="AU42" i="99"/>
  <c r="AQ42" i="99"/>
  <c r="AR42" i="99" s="1"/>
  <c r="AO42" i="99"/>
  <c r="AK42" i="99"/>
  <c r="AP42" i="99" s="1"/>
  <c r="AF42" i="99"/>
  <c r="AB42" i="99"/>
  <c r="X42" i="99"/>
  <c r="V42" i="99"/>
  <c r="R42" i="99"/>
  <c r="W42" i="99" s="1"/>
  <c r="M42" i="99"/>
  <c r="I42" i="99"/>
  <c r="N42" i="99" s="1"/>
  <c r="CO41" i="99"/>
  <c r="CK41" i="99"/>
  <c r="CG41" i="99"/>
  <c r="CA41" i="99"/>
  <c r="BW41" i="99"/>
  <c r="BS41" i="99"/>
  <c r="BM41" i="99"/>
  <c r="BI41" i="99"/>
  <c r="BE41" i="99"/>
  <c r="BO41" i="99" s="1"/>
  <c r="BA41" i="99"/>
  <c r="CU41" i="99" s="1"/>
  <c r="AW41" i="99"/>
  <c r="AU41" i="99"/>
  <c r="AR41" i="99"/>
  <c r="AQ41" i="99"/>
  <c r="AO41" i="99"/>
  <c r="AP41" i="99" s="1"/>
  <c r="AK41" i="99"/>
  <c r="AF41" i="99"/>
  <c r="AB41" i="99"/>
  <c r="AG41" i="99" s="1"/>
  <c r="X41" i="99"/>
  <c r="V41" i="99"/>
  <c r="R41" i="99"/>
  <c r="M41" i="99"/>
  <c r="I41" i="99"/>
  <c r="N41" i="99" s="1"/>
  <c r="CO40" i="99"/>
  <c r="CK40" i="99"/>
  <c r="CG40" i="99"/>
  <c r="CA40" i="99"/>
  <c r="BW40" i="99"/>
  <c r="BS40" i="99"/>
  <c r="BM40" i="99"/>
  <c r="BI40" i="99"/>
  <c r="BE40" i="99"/>
  <c r="BC40" i="99"/>
  <c r="BA40" i="99"/>
  <c r="AW40" i="99"/>
  <c r="AU40" i="99"/>
  <c r="AY40" i="99" s="1"/>
  <c r="AQ40" i="99"/>
  <c r="AO40" i="99"/>
  <c r="AP40" i="99" s="1"/>
  <c r="AK40" i="99"/>
  <c r="AF40" i="99"/>
  <c r="AB40" i="99"/>
  <c r="X40" i="99"/>
  <c r="V40" i="99"/>
  <c r="R40" i="99"/>
  <c r="W40" i="99" s="1"/>
  <c r="M40" i="99"/>
  <c r="I40" i="99"/>
  <c r="CO39" i="99"/>
  <c r="CQ39" i="99" s="1"/>
  <c r="CK39" i="99"/>
  <c r="CG39" i="99"/>
  <c r="CA39" i="99"/>
  <c r="BW39" i="99"/>
  <c r="BS39" i="99"/>
  <c r="CC39" i="99" s="1"/>
  <c r="BM39" i="99"/>
  <c r="BI39" i="99"/>
  <c r="BO39" i="99" s="1"/>
  <c r="BE39" i="99"/>
  <c r="BA39" i="99"/>
  <c r="AW39" i="99"/>
  <c r="AU39" i="99"/>
  <c r="BC39" i="99" s="1"/>
  <c r="AQ39" i="99"/>
  <c r="AO39" i="99"/>
  <c r="AK39" i="99"/>
  <c r="AF39" i="99"/>
  <c r="AB39" i="99"/>
  <c r="AG39" i="99" s="1"/>
  <c r="X39" i="99"/>
  <c r="V39" i="99"/>
  <c r="R39" i="99"/>
  <c r="W39" i="99" s="1"/>
  <c r="M39" i="99"/>
  <c r="I39" i="99"/>
  <c r="CO38" i="99"/>
  <c r="CK38" i="99"/>
  <c r="CG38" i="99"/>
  <c r="CA38" i="99"/>
  <c r="BW38" i="99"/>
  <c r="BS38" i="99"/>
  <c r="BM38" i="99"/>
  <c r="BO38" i="99" s="1"/>
  <c r="BI38" i="99"/>
  <c r="BE38" i="99"/>
  <c r="BA38" i="99"/>
  <c r="AW38" i="99"/>
  <c r="AU38" i="99"/>
  <c r="BC38" i="99" s="1"/>
  <c r="BG38" i="99" s="1"/>
  <c r="BK38" i="99" s="1"/>
  <c r="AQ38" i="99"/>
  <c r="AO38" i="99"/>
  <c r="AP38" i="99" s="1"/>
  <c r="AK38" i="99"/>
  <c r="AF38" i="99"/>
  <c r="AG38" i="99" s="1"/>
  <c r="AB38" i="99"/>
  <c r="X38" i="99"/>
  <c r="AR38" i="99" s="1"/>
  <c r="W38" i="99"/>
  <c r="V38" i="99"/>
  <c r="R38" i="99"/>
  <c r="M38" i="99"/>
  <c r="I38" i="99"/>
  <c r="CO37" i="99"/>
  <c r="CK37" i="99"/>
  <c r="CG37" i="99"/>
  <c r="CQ37" i="99" s="1"/>
  <c r="CA37" i="99"/>
  <c r="BW37" i="99"/>
  <c r="BS37" i="99"/>
  <c r="BM37" i="99"/>
  <c r="BI37" i="99"/>
  <c r="BE37" i="99"/>
  <c r="BO37" i="99" s="1"/>
  <c r="BA37" i="99"/>
  <c r="AW37" i="99"/>
  <c r="AU37" i="99"/>
  <c r="AQ37" i="99"/>
  <c r="AO37" i="99"/>
  <c r="AK37" i="99"/>
  <c r="AF37" i="99"/>
  <c r="AB37" i="99"/>
  <c r="X37" i="99"/>
  <c r="AR37" i="99" s="1"/>
  <c r="V37" i="99"/>
  <c r="R37" i="99"/>
  <c r="W37" i="99" s="1"/>
  <c r="M37" i="99"/>
  <c r="N37" i="99" s="1"/>
  <c r="I37" i="99"/>
  <c r="CO36" i="99"/>
  <c r="CK36" i="99"/>
  <c r="CG36" i="99"/>
  <c r="CA36" i="99"/>
  <c r="CC36" i="99" s="1"/>
  <c r="BW36" i="99"/>
  <c r="BS36" i="99"/>
  <c r="BM36" i="99"/>
  <c r="BI36" i="99"/>
  <c r="BE36" i="99"/>
  <c r="BC36" i="99"/>
  <c r="BA36" i="99"/>
  <c r="AY36" i="99"/>
  <c r="AW36" i="99"/>
  <c r="AU36" i="99"/>
  <c r="AQ36" i="99"/>
  <c r="AO36" i="99"/>
  <c r="AK36" i="99"/>
  <c r="AF36" i="99"/>
  <c r="AB36" i="99"/>
  <c r="X36" i="99"/>
  <c r="V36" i="99"/>
  <c r="R36" i="99"/>
  <c r="W36" i="99" s="1"/>
  <c r="M36" i="99"/>
  <c r="I36" i="99"/>
  <c r="N36" i="99" s="1"/>
  <c r="CO35" i="99"/>
  <c r="CK35" i="99"/>
  <c r="CG35" i="99"/>
  <c r="CA35" i="99"/>
  <c r="BW35" i="99"/>
  <c r="BS35" i="99"/>
  <c r="BM35" i="99"/>
  <c r="BI35" i="99"/>
  <c r="BE35" i="99"/>
  <c r="BO35" i="99" s="1"/>
  <c r="BC35" i="99"/>
  <c r="BG35" i="99" s="1"/>
  <c r="BK35" i="99" s="1"/>
  <c r="BA35" i="99"/>
  <c r="AW35" i="99"/>
  <c r="AY35" i="99" s="1"/>
  <c r="AU35" i="99"/>
  <c r="AQ35" i="99"/>
  <c r="AR35" i="99" s="1"/>
  <c r="AO35" i="99"/>
  <c r="AP35" i="99" s="1"/>
  <c r="AK35" i="99"/>
  <c r="AF35" i="99"/>
  <c r="AB35" i="99"/>
  <c r="X35" i="99"/>
  <c r="V35" i="99"/>
  <c r="R35" i="99"/>
  <c r="W35" i="99" s="1"/>
  <c r="M35" i="99"/>
  <c r="N35" i="99" s="1"/>
  <c r="I35" i="99"/>
  <c r="CO34" i="99"/>
  <c r="CK34" i="99"/>
  <c r="CG34" i="99"/>
  <c r="CA34" i="99"/>
  <c r="BW34" i="99"/>
  <c r="BS34" i="99"/>
  <c r="CC34" i="99" s="1"/>
  <c r="BM34" i="99"/>
  <c r="BI34" i="99"/>
  <c r="BE34" i="99"/>
  <c r="BA34" i="99"/>
  <c r="AY34" i="99"/>
  <c r="AW34" i="99"/>
  <c r="AU34" i="99"/>
  <c r="AQ34" i="99"/>
  <c r="AO34" i="99"/>
  <c r="AK34" i="99"/>
  <c r="AP34" i="99" s="1"/>
  <c r="AF34" i="99"/>
  <c r="AG34" i="99" s="1"/>
  <c r="AB34" i="99"/>
  <c r="X34" i="99"/>
  <c r="V34" i="99"/>
  <c r="R34" i="99"/>
  <c r="W34" i="99" s="1"/>
  <c r="M34" i="99"/>
  <c r="I34" i="99"/>
  <c r="CO33" i="99"/>
  <c r="CK33" i="99"/>
  <c r="CG33" i="99"/>
  <c r="CQ33" i="99" s="1"/>
  <c r="CA33" i="99"/>
  <c r="BW33" i="99"/>
  <c r="BS33" i="99"/>
  <c r="BM33" i="99"/>
  <c r="BI33" i="99"/>
  <c r="BE33" i="99"/>
  <c r="BA33" i="99"/>
  <c r="AW33" i="99"/>
  <c r="AU33" i="99"/>
  <c r="AR33" i="99"/>
  <c r="AQ33" i="99"/>
  <c r="AO33" i="99"/>
  <c r="AP33" i="99" s="1"/>
  <c r="AK33" i="99"/>
  <c r="AF33" i="99"/>
  <c r="AB33" i="99"/>
  <c r="X33" i="99"/>
  <c r="W33" i="99"/>
  <c r="V33" i="99"/>
  <c r="R33" i="99"/>
  <c r="M33" i="99"/>
  <c r="N33" i="99" s="1"/>
  <c r="I33" i="99"/>
  <c r="CO32" i="99"/>
  <c r="CK32" i="99"/>
  <c r="CG32" i="99"/>
  <c r="CC32" i="99"/>
  <c r="CA32" i="99"/>
  <c r="BW32" i="99"/>
  <c r="BS32" i="99"/>
  <c r="BM32" i="99"/>
  <c r="BI32" i="99"/>
  <c r="BE32" i="99"/>
  <c r="BA32" i="99"/>
  <c r="AW32" i="99"/>
  <c r="AU32" i="99"/>
  <c r="AQ32" i="99"/>
  <c r="AO32" i="99"/>
  <c r="AK32" i="99"/>
  <c r="AG32" i="99"/>
  <c r="AF32" i="99"/>
  <c r="AB32" i="99"/>
  <c r="X32" i="99"/>
  <c r="V32" i="99"/>
  <c r="R32" i="99"/>
  <c r="W32" i="99" s="1"/>
  <c r="M32" i="99"/>
  <c r="I32" i="99"/>
  <c r="CO31" i="99"/>
  <c r="CK31" i="99"/>
  <c r="CG31" i="99"/>
  <c r="CA31" i="99"/>
  <c r="BW31" i="99"/>
  <c r="BS31" i="99"/>
  <c r="BM31" i="99"/>
  <c r="BI31" i="99"/>
  <c r="BE31" i="99"/>
  <c r="BO31" i="99" s="1"/>
  <c r="BA31" i="99"/>
  <c r="AW31" i="99"/>
  <c r="AU31" i="99"/>
  <c r="BC31" i="99" s="1"/>
  <c r="BG31" i="99" s="1"/>
  <c r="BK31" i="99" s="1"/>
  <c r="AQ31" i="99"/>
  <c r="AO31" i="99"/>
  <c r="AP31" i="99" s="1"/>
  <c r="AK31" i="99"/>
  <c r="AF31" i="99"/>
  <c r="AB31" i="99"/>
  <c r="AG31" i="99" s="1"/>
  <c r="X31" i="99"/>
  <c r="W31" i="99"/>
  <c r="V31" i="99"/>
  <c r="R31" i="99"/>
  <c r="M31" i="99"/>
  <c r="I31" i="99"/>
  <c r="CO30" i="99"/>
  <c r="CK30" i="99"/>
  <c r="CG30" i="99"/>
  <c r="CA30" i="99"/>
  <c r="BW30" i="99"/>
  <c r="BS30" i="99"/>
  <c r="BM30" i="99"/>
  <c r="BI30" i="99"/>
  <c r="BE30" i="99"/>
  <c r="BA30" i="99"/>
  <c r="AW30" i="99"/>
  <c r="AU30" i="99"/>
  <c r="AQ30" i="99"/>
  <c r="AO30" i="99"/>
  <c r="AK30" i="99"/>
  <c r="AF30" i="99"/>
  <c r="AB30" i="99"/>
  <c r="AG30" i="99" s="1"/>
  <c r="X30" i="99"/>
  <c r="V30" i="99"/>
  <c r="R30" i="99"/>
  <c r="W30" i="99" s="1"/>
  <c r="M30" i="99"/>
  <c r="I30" i="99"/>
  <c r="CO29" i="99"/>
  <c r="CK29" i="99"/>
  <c r="CG29" i="99"/>
  <c r="CA29" i="99"/>
  <c r="BW29" i="99"/>
  <c r="BS29" i="99"/>
  <c r="CC29" i="99" s="1"/>
  <c r="BM29" i="99"/>
  <c r="BI29" i="99"/>
  <c r="BO29" i="99" s="1"/>
  <c r="BE29" i="99"/>
  <c r="BA29" i="99"/>
  <c r="AW29" i="99"/>
  <c r="AU29" i="99"/>
  <c r="BC29" i="99" s="1"/>
  <c r="AQ29" i="99"/>
  <c r="AO29" i="99"/>
  <c r="AK29" i="99"/>
  <c r="AF29" i="99"/>
  <c r="AB29" i="99"/>
  <c r="AG29" i="99" s="1"/>
  <c r="X29" i="99"/>
  <c r="V29" i="99"/>
  <c r="R29" i="99"/>
  <c r="W29" i="99" s="1"/>
  <c r="M29" i="99"/>
  <c r="I29" i="99"/>
  <c r="N29" i="99" s="1"/>
  <c r="CO28" i="99"/>
  <c r="CK28" i="99"/>
  <c r="CG28" i="99"/>
  <c r="CA28" i="99"/>
  <c r="BW28" i="99"/>
  <c r="BS28" i="99"/>
  <c r="CC28" i="99" s="1"/>
  <c r="BM28" i="99"/>
  <c r="BI28" i="99"/>
  <c r="BE28" i="99"/>
  <c r="BA28" i="99"/>
  <c r="AW28" i="99"/>
  <c r="AU28" i="99"/>
  <c r="AQ28" i="99"/>
  <c r="AO28" i="99"/>
  <c r="AK28" i="99"/>
  <c r="AP28" i="99" s="1"/>
  <c r="AF28" i="99"/>
  <c r="AB28" i="99"/>
  <c r="AG28" i="99" s="1"/>
  <c r="X28" i="99"/>
  <c r="V28" i="99"/>
  <c r="R28" i="99"/>
  <c r="M28" i="99"/>
  <c r="I28" i="99"/>
  <c r="N28" i="99" s="1"/>
  <c r="CO27" i="99"/>
  <c r="CK27" i="99"/>
  <c r="CG27" i="99"/>
  <c r="CA27" i="99"/>
  <c r="BW27" i="99"/>
  <c r="BS27" i="99"/>
  <c r="BM27" i="99"/>
  <c r="BO27" i="99" s="1"/>
  <c r="BI27" i="99"/>
  <c r="BE27" i="99"/>
  <c r="BA27" i="99"/>
  <c r="AW27" i="99"/>
  <c r="AU27" i="99"/>
  <c r="BC27" i="99" s="1"/>
  <c r="BG27" i="99" s="1"/>
  <c r="BK27" i="99" s="1"/>
  <c r="AQ27" i="99"/>
  <c r="AO27" i="99"/>
  <c r="AK27" i="99"/>
  <c r="AF27" i="99"/>
  <c r="AB27" i="99"/>
  <c r="AG27" i="99" s="1"/>
  <c r="X27" i="99"/>
  <c r="V27" i="99"/>
  <c r="W27" i="99" s="1"/>
  <c r="R27" i="99"/>
  <c r="M27" i="99"/>
  <c r="I27" i="99"/>
  <c r="N27" i="99" s="1"/>
  <c r="CO26" i="99"/>
  <c r="CK26" i="99"/>
  <c r="CG26" i="99"/>
  <c r="CA26" i="99"/>
  <c r="BW26" i="99"/>
  <c r="BS26" i="99"/>
  <c r="BM26" i="99"/>
  <c r="BI26" i="99"/>
  <c r="BE26" i="99"/>
  <c r="BA26" i="99"/>
  <c r="AW26" i="99"/>
  <c r="AU26" i="99"/>
  <c r="AQ26" i="99"/>
  <c r="AO26" i="99"/>
  <c r="AK26" i="99"/>
  <c r="AF26" i="99"/>
  <c r="AB26" i="99"/>
  <c r="AG26" i="99" s="1"/>
  <c r="X26" i="99"/>
  <c r="V26" i="99"/>
  <c r="R26" i="99"/>
  <c r="W26" i="99" s="1"/>
  <c r="M26" i="99"/>
  <c r="I26" i="99"/>
  <c r="CO25" i="99"/>
  <c r="CK25" i="99"/>
  <c r="CG25" i="99"/>
  <c r="CA25" i="99"/>
  <c r="BW25" i="99"/>
  <c r="BS25" i="99"/>
  <c r="CC25" i="99" s="1"/>
  <c r="BM25" i="99"/>
  <c r="BI25" i="99"/>
  <c r="BO25" i="99" s="1"/>
  <c r="BE25" i="99"/>
  <c r="BA25" i="99"/>
  <c r="AW25" i="99"/>
  <c r="BC25" i="99" s="1"/>
  <c r="AU25" i="99"/>
  <c r="AQ25" i="99"/>
  <c r="AO25" i="99"/>
  <c r="AP25" i="99" s="1"/>
  <c r="AK25" i="99"/>
  <c r="AF25" i="99"/>
  <c r="AB25" i="99"/>
  <c r="X25" i="99"/>
  <c r="AR25" i="99" s="1"/>
  <c r="W25" i="99"/>
  <c r="V25" i="99"/>
  <c r="R25" i="99"/>
  <c r="M25" i="99"/>
  <c r="I25" i="99"/>
  <c r="CO24" i="99"/>
  <c r="CK24" i="99"/>
  <c r="CG24" i="99"/>
  <c r="CA24" i="99"/>
  <c r="BW24" i="99"/>
  <c r="BS24" i="99"/>
  <c r="BM24" i="99"/>
  <c r="BI24" i="99"/>
  <c r="BE24" i="99"/>
  <c r="BA24" i="99"/>
  <c r="AW24" i="99"/>
  <c r="AU24" i="99"/>
  <c r="AY24" i="99" s="1"/>
  <c r="AQ24" i="99"/>
  <c r="AO24" i="99"/>
  <c r="AK24" i="99"/>
  <c r="AP24" i="99" s="1"/>
  <c r="AF24" i="99"/>
  <c r="AB24" i="99"/>
  <c r="AG24" i="99" s="1"/>
  <c r="X24" i="99"/>
  <c r="W24" i="99"/>
  <c r="V24" i="99"/>
  <c r="R24" i="99"/>
  <c r="M24" i="99"/>
  <c r="I24" i="99"/>
  <c r="CO23" i="99"/>
  <c r="CK23" i="99"/>
  <c r="CG23" i="99"/>
  <c r="CA23" i="99"/>
  <c r="BW23" i="99"/>
  <c r="BS23" i="99"/>
  <c r="BM23" i="99"/>
  <c r="BI23" i="99"/>
  <c r="BE23" i="99"/>
  <c r="BA23" i="99"/>
  <c r="BC23" i="99" s="1"/>
  <c r="BG23" i="99" s="1"/>
  <c r="BK23" i="99" s="1"/>
  <c r="AW23" i="99"/>
  <c r="AU23" i="99"/>
  <c r="AY23" i="99" s="1"/>
  <c r="AQ23" i="99"/>
  <c r="AO23" i="99"/>
  <c r="AP23" i="99" s="1"/>
  <c r="AK23" i="99"/>
  <c r="AF23" i="99"/>
  <c r="AG23" i="99" s="1"/>
  <c r="AB23" i="99"/>
  <c r="X23" i="99"/>
  <c r="AR23" i="99" s="1"/>
  <c r="V23" i="99"/>
  <c r="R23" i="99"/>
  <c r="W23" i="99" s="1"/>
  <c r="M23" i="99"/>
  <c r="I23" i="99"/>
  <c r="CO22" i="99"/>
  <c r="CK22" i="99"/>
  <c r="CG22" i="99"/>
  <c r="CA22" i="99"/>
  <c r="BW22" i="99"/>
  <c r="BS22" i="99"/>
  <c r="BM22" i="99"/>
  <c r="BI22" i="99"/>
  <c r="BO22" i="99" s="1"/>
  <c r="BE22" i="99"/>
  <c r="BA22" i="99"/>
  <c r="AW22" i="99"/>
  <c r="AU22" i="99"/>
  <c r="AQ22" i="99"/>
  <c r="AO22" i="99"/>
  <c r="AP22" i="99" s="1"/>
  <c r="AK22" i="99"/>
  <c r="AG22" i="99"/>
  <c r="AF22" i="99"/>
  <c r="AB22" i="99"/>
  <c r="X22" i="99"/>
  <c r="V22" i="99"/>
  <c r="R22" i="99"/>
  <c r="W22" i="99" s="1"/>
  <c r="M22" i="99"/>
  <c r="I22" i="99"/>
  <c r="CO21" i="99"/>
  <c r="CK21" i="99"/>
  <c r="CG21" i="99"/>
  <c r="CA21" i="99"/>
  <c r="BW21" i="99"/>
  <c r="BS21" i="99"/>
  <c r="CC21" i="99" s="1"/>
  <c r="BM21" i="99"/>
  <c r="BI21" i="99"/>
  <c r="BE21" i="99"/>
  <c r="BA21" i="99"/>
  <c r="AW21" i="99"/>
  <c r="AU21" i="99"/>
  <c r="AY21" i="99" s="1"/>
  <c r="AQ21" i="99"/>
  <c r="AP21" i="99"/>
  <c r="AO21" i="99"/>
  <c r="AK21" i="99"/>
  <c r="AF21" i="99"/>
  <c r="AB21" i="99"/>
  <c r="X21" i="99"/>
  <c r="V21" i="99"/>
  <c r="R21" i="99"/>
  <c r="W21" i="99" s="1"/>
  <c r="M21" i="99"/>
  <c r="I21" i="99"/>
  <c r="CU20" i="99"/>
  <c r="CO20" i="99"/>
  <c r="CK20" i="99"/>
  <c r="CG20" i="99"/>
  <c r="CQ20" i="99" s="1"/>
  <c r="CA20" i="99"/>
  <c r="BW20" i="99"/>
  <c r="BS20" i="99"/>
  <c r="BM20" i="99"/>
  <c r="BI20" i="99"/>
  <c r="BE20" i="99"/>
  <c r="BA20" i="99"/>
  <c r="AW20" i="99"/>
  <c r="AU20" i="99"/>
  <c r="AQ20" i="99"/>
  <c r="AO20" i="99"/>
  <c r="AK20" i="99"/>
  <c r="AF20" i="99"/>
  <c r="AB20" i="99"/>
  <c r="X20" i="99"/>
  <c r="V20" i="99"/>
  <c r="R20" i="99"/>
  <c r="M20" i="99"/>
  <c r="N20" i="99" s="1"/>
  <c r="I20" i="99"/>
  <c r="CO19" i="99"/>
  <c r="CK19" i="99"/>
  <c r="CQ19" i="99" s="1"/>
  <c r="CG19" i="99"/>
  <c r="CA19" i="99"/>
  <c r="BW19" i="99"/>
  <c r="BS19" i="99"/>
  <c r="CC19" i="99" s="1"/>
  <c r="BM19" i="99"/>
  <c r="BI19" i="99"/>
  <c r="BE19" i="99"/>
  <c r="BO19" i="99" s="1"/>
  <c r="BA19" i="99"/>
  <c r="AW19" i="99"/>
  <c r="AU19" i="99"/>
  <c r="AQ19" i="99"/>
  <c r="AP19" i="99"/>
  <c r="AO19" i="99"/>
  <c r="AK19" i="99"/>
  <c r="AF19" i="99"/>
  <c r="AG19" i="99" s="1"/>
  <c r="AB19" i="99"/>
  <c r="X19" i="99"/>
  <c r="AR19" i="99" s="1"/>
  <c r="V19" i="99"/>
  <c r="R19" i="99"/>
  <c r="M19" i="99"/>
  <c r="N19" i="99" s="1"/>
  <c r="I19" i="99"/>
  <c r="CO18" i="99"/>
  <c r="CK18" i="99"/>
  <c r="CG18" i="99"/>
  <c r="CA18" i="99"/>
  <c r="BW18" i="99"/>
  <c r="BS18" i="99"/>
  <c r="BM18" i="99"/>
  <c r="BI18" i="99"/>
  <c r="BE18" i="99"/>
  <c r="BA18" i="99"/>
  <c r="AW18" i="99"/>
  <c r="AU18" i="99"/>
  <c r="AY18" i="99" s="1"/>
  <c r="AQ18" i="99"/>
  <c r="AO18" i="99"/>
  <c r="AK18" i="99"/>
  <c r="AP18" i="99" s="1"/>
  <c r="AF18" i="99"/>
  <c r="AB18" i="99"/>
  <c r="X18" i="99"/>
  <c r="AR18" i="99" s="1"/>
  <c r="V18" i="99"/>
  <c r="R18" i="99"/>
  <c r="W18" i="99" s="1"/>
  <c r="M18" i="99"/>
  <c r="I18" i="99"/>
  <c r="CO17" i="99"/>
  <c r="CK17" i="99"/>
  <c r="CG17" i="99"/>
  <c r="CA17" i="99"/>
  <c r="BW17" i="99"/>
  <c r="CC17" i="99" s="1"/>
  <c r="BS17" i="99"/>
  <c r="BM17" i="99"/>
  <c r="BI17" i="99"/>
  <c r="BE17" i="99"/>
  <c r="BO17" i="99" s="1"/>
  <c r="BA17" i="99"/>
  <c r="AW17" i="99"/>
  <c r="BC17" i="99" s="1"/>
  <c r="BG17" i="99" s="1"/>
  <c r="BK17" i="99" s="1"/>
  <c r="AU17" i="99"/>
  <c r="AQ17" i="99"/>
  <c r="AO17" i="99"/>
  <c r="AK17" i="99"/>
  <c r="AF17" i="99"/>
  <c r="AB17" i="99"/>
  <c r="X17" i="99"/>
  <c r="AR17" i="99" s="1"/>
  <c r="V17" i="99"/>
  <c r="R17" i="99"/>
  <c r="M17" i="99"/>
  <c r="I17" i="99"/>
  <c r="N17" i="99" s="1"/>
  <c r="CO16" i="99"/>
  <c r="CK16" i="99"/>
  <c r="CG16" i="99"/>
  <c r="CA16" i="99"/>
  <c r="BW16" i="99"/>
  <c r="BS16" i="99"/>
  <c r="CC16" i="99" s="1"/>
  <c r="BM16" i="99"/>
  <c r="BI16" i="99"/>
  <c r="BE16" i="99"/>
  <c r="BA16" i="99"/>
  <c r="AW16" i="99"/>
  <c r="AU16" i="99"/>
  <c r="AQ16" i="99"/>
  <c r="AO16" i="99"/>
  <c r="AK16" i="99"/>
  <c r="AP16" i="99" s="1"/>
  <c r="AF16" i="99"/>
  <c r="AB16" i="99"/>
  <c r="X16" i="99"/>
  <c r="AR16" i="99" s="1"/>
  <c r="V16" i="99"/>
  <c r="R16" i="99"/>
  <c r="W16" i="99" s="1"/>
  <c r="M16" i="99"/>
  <c r="I16" i="99"/>
  <c r="N16" i="99" s="1"/>
  <c r="CO15" i="99"/>
  <c r="CK15" i="99"/>
  <c r="CQ15" i="99" s="1"/>
  <c r="CG15" i="99"/>
  <c r="CA15" i="99"/>
  <c r="BW15" i="99"/>
  <c r="CC15" i="99" s="1"/>
  <c r="BS15" i="99"/>
  <c r="BM15" i="99"/>
  <c r="BI15" i="99"/>
  <c r="BE15" i="99"/>
  <c r="BA15" i="99"/>
  <c r="CU15" i="99" s="1"/>
  <c r="AW15" i="99"/>
  <c r="AU15" i="99"/>
  <c r="AY15" i="99" s="1"/>
  <c r="AQ15" i="99"/>
  <c r="AO15" i="99"/>
  <c r="AP15" i="99" s="1"/>
  <c r="AK15" i="99"/>
  <c r="AF15" i="99"/>
  <c r="AB15" i="99"/>
  <c r="X15" i="99"/>
  <c r="V15" i="99"/>
  <c r="W15" i="99" s="1"/>
  <c r="R15" i="99"/>
  <c r="M15" i="99"/>
  <c r="N15" i="99" s="1"/>
  <c r="I15" i="99"/>
  <c r="CO14" i="99"/>
  <c r="CK14" i="99"/>
  <c r="CG14" i="99"/>
  <c r="CA14" i="99"/>
  <c r="BW14" i="99"/>
  <c r="BS14" i="99"/>
  <c r="BM14" i="99"/>
  <c r="BI14" i="99"/>
  <c r="BE14" i="99"/>
  <c r="BA14" i="99"/>
  <c r="CU14" i="99" s="1"/>
  <c r="AW14" i="99"/>
  <c r="AU14" i="99"/>
  <c r="AY14" i="99" s="1"/>
  <c r="AQ14" i="99"/>
  <c r="AO14" i="99"/>
  <c r="AK14" i="99"/>
  <c r="AF14" i="99"/>
  <c r="AB14" i="99"/>
  <c r="X14" i="99"/>
  <c r="AR14" i="99" s="1"/>
  <c r="V14" i="99"/>
  <c r="W14" i="99" s="1"/>
  <c r="R14" i="99"/>
  <c r="N14" i="99"/>
  <c r="M14" i="99"/>
  <c r="I14" i="99"/>
  <c r="CO13" i="99"/>
  <c r="CK13" i="99"/>
  <c r="CG13" i="99"/>
  <c r="CA13" i="99"/>
  <c r="BW13" i="99"/>
  <c r="BS13" i="99"/>
  <c r="CC13" i="99" s="1"/>
  <c r="BM13" i="99"/>
  <c r="BI13" i="99"/>
  <c r="BE13" i="99"/>
  <c r="BA13" i="99"/>
  <c r="AW13" i="99"/>
  <c r="AU13" i="99"/>
  <c r="AQ13" i="99"/>
  <c r="AO13" i="99"/>
  <c r="AP13" i="99" s="1"/>
  <c r="AK13" i="99"/>
  <c r="AF13" i="99"/>
  <c r="AB13" i="99"/>
  <c r="X13" i="99"/>
  <c r="AR13" i="99" s="1"/>
  <c r="V13" i="99"/>
  <c r="R13" i="99"/>
  <c r="W13" i="99" s="1"/>
  <c r="M13" i="99"/>
  <c r="I13" i="99"/>
  <c r="N13" i="99" s="1"/>
  <c r="CO12" i="99"/>
  <c r="CK12" i="99"/>
  <c r="CG12" i="99"/>
  <c r="CA12" i="99"/>
  <c r="BW12" i="99"/>
  <c r="BS12" i="99"/>
  <c r="CC12" i="99" s="1"/>
  <c r="BM12" i="99"/>
  <c r="BI12" i="99"/>
  <c r="BE12" i="99"/>
  <c r="BA12" i="99"/>
  <c r="BC12" i="99" s="1"/>
  <c r="BG12" i="99" s="1"/>
  <c r="AW12" i="99"/>
  <c r="AU12" i="99"/>
  <c r="AY12" i="99" s="1"/>
  <c r="AQ12" i="99"/>
  <c r="AO12" i="99"/>
  <c r="AK12" i="99"/>
  <c r="AP12" i="99" s="1"/>
  <c r="AF12" i="99"/>
  <c r="AB12" i="99"/>
  <c r="X12" i="99"/>
  <c r="AR12" i="99" s="1"/>
  <c r="V12" i="99"/>
  <c r="R12" i="99"/>
  <c r="W12" i="99" s="1"/>
  <c r="M12" i="99"/>
  <c r="I12" i="99"/>
  <c r="N12" i="99" s="1"/>
  <c r="CO11" i="99"/>
  <c r="CK11" i="99"/>
  <c r="CG11" i="99"/>
  <c r="CA11" i="99"/>
  <c r="BW11" i="99"/>
  <c r="CC11" i="99" s="1"/>
  <c r="BS11" i="99"/>
  <c r="BM11" i="99"/>
  <c r="BI11" i="99"/>
  <c r="BE11" i="99"/>
  <c r="BA11" i="99"/>
  <c r="AW11" i="99"/>
  <c r="AU11" i="99"/>
  <c r="BC11" i="99" s="1"/>
  <c r="BG11" i="99" s="1"/>
  <c r="BK11" i="99" s="1"/>
  <c r="AQ11" i="99"/>
  <c r="AP11" i="99"/>
  <c r="AO11" i="99"/>
  <c r="AK11" i="99"/>
  <c r="AF11" i="99"/>
  <c r="AB11" i="99"/>
  <c r="AG11" i="99" s="1"/>
  <c r="X11" i="99"/>
  <c r="AR11" i="99" s="1"/>
  <c r="V11" i="99"/>
  <c r="W11" i="99" s="1"/>
  <c r="R11" i="99"/>
  <c r="M11" i="99"/>
  <c r="I11" i="99"/>
  <c r="N11" i="99" s="1"/>
  <c r="CO10" i="99"/>
  <c r="CK10" i="99"/>
  <c r="CG10" i="99"/>
  <c r="CQ10" i="99" s="1"/>
  <c r="CA10" i="99"/>
  <c r="BW10" i="99"/>
  <c r="BS10" i="99"/>
  <c r="BM10" i="99"/>
  <c r="BI10" i="99"/>
  <c r="BE10" i="99"/>
  <c r="BA10" i="99"/>
  <c r="AW10" i="99"/>
  <c r="BC10" i="99" s="1"/>
  <c r="AU10" i="99"/>
  <c r="AQ10" i="99"/>
  <c r="AR10" i="99" s="1"/>
  <c r="AO10" i="99"/>
  <c r="AK10" i="99"/>
  <c r="AP10" i="99" s="1"/>
  <c r="AF10" i="99"/>
  <c r="AB10" i="99"/>
  <c r="X10" i="99"/>
  <c r="V10" i="99"/>
  <c r="W10" i="99" s="1"/>
  <c r="R10" i="99"/>
  <c r="N10" i="99"/>
  <c r="M10" i="99"/>
  <c r="I10" i="99"/>
  <c r="CO9" i="99"/>
  <c r="CK9" i="99"/>
  <c r="CG9" i="99"/>
  <c r="CA9" i="99"/>
  <c r="BW9" i="99"/>
  <c r="BS9" i="99"/>
  <c r="BM9" i="99"/>
  <c r="BI9" i="99"/>
  <c r="BE9" i="99"/>
  <c r="BA9" i="99"/>
  <c r="AW9" i="99"/>
  <c r="AU9" i="99"/>
  <c r="AQ9" i="99"/>
  <c r="AP9" i="99"/>
  <c r="AO9" i="99"/>
  <c r="AK9" i="99"/>
  <c r="AF9" i="99"/>
  <c r="AB9" i="99"/>
  <c r="X9" i="99"/>
  <c r="AR9" i="99" s="1"/>
  <c r="V9" i="99"/>
  <c r="R9" i="99"/>
  <c r="W9" i="99" s="1"/>
  <c r="M9" i="99"/>
  <c r="N9" i="99" s="1"/>
  <c r="I9" i="99"/>
  <c r="CO8" i="99"/>
  <c r="CK8" i="99"/>
  <c r="CG8" i="99"/>
  <c r="CA8" i="99"/>
  <c r="BW8" i="99"/>
  <c r="CC8" i="99" s="1"/>
  <c r="BS8" i="99"/>
  <c r="BM8" i="99"/>
  <c r="BI8" i="99"/>
  <c r="BE8" i="99"/>
  <c r="BA8" i="99"/>
  <c r="AW8" i="99"/>
  <c r="AY8" i="99" s="1"/>
  <c r="AU8" i="99"/>
  <c r="AQ8" i="99"/>
  <c r="AO8" i="99"/>
  <c r="AK8" i="99"/>
  <c r="AF8" i="99"/>
  <c r="AG8" i="99" s="1"/>
  <c r="AB8" i="99"/>
  <c r="X8" i="99"/>
  <c r="V8" i="99"/>
  <c r="W8" i="99" s="1"/>
  <c r="R8" i="99"/>
  <c r="M8" i="99"/>
  <c r="I8" i="99"/>
  <c r="CO7" i="99"/>
  <c r="CK7" i="99"/>
  <c r="CG7" i="99"/>
  <c r="CA7" i="99"/>
  <c r="BW7" i="99"/>
  <c r="BS7" i="99"/>
  <c r="BM7" i="99"/>
  <c r="BI7" i="99"/>
  <c r="BE7" i="99"/>
  <c r="BO7" i="99" s="1"/>
  <c r="BA7" i="99"/>
  <c r="AW7" i="99"/>
  <c r="AU7" i="99"/>
  <c r="BC7" i="99" s="1"/>
  <c r="AQ7" i="99"/>
  <c r="AO7" i="99"/>
  <c r="AK7" i="99"/>
  <c r="AP7" i="99" s="1"/>
  <c r="AF7" i="99"/>
  <c r="AB7" i="99"/>
  <c r="AG7" i="99" s="1"/>
  <c r="X7" i="99"/>
  <c r="AR7" i="99" s="1"/>
  <c r="V7" i="99"/>
  <c r="R7" i="99"/>
  <c r="W7" i="99" s="1"/>
  <c r="M7" i="99"/>
  <c r="N7" i="99" s="1"/>
  <c r="I7" i="99"/>
  <c r="CO6" i="99"/>
  <c r="CK6" i="99"/>
  <c r="CG6" i="99"/>
  <c r="CA6" i="99"/>
  <c r="BW6" i="99"/>
  <c r="BS6" i="99"/>
  <c r="BM6" i="99"/>
  <c r="BI6" i="99"/>
  <c r="BE6" i="99"/>
  <c r="BO6" i="99" s="1"/>
  <c r="BA6" i="99"/>
  <c r="AW6" i="99"/>
  <c r="AU6" i="99"/>
  <c r="AQ6" i="99"/>
  <c r="AP6" i="99"/>
  <c r="AO6" i="99"/>
  <c r="AK6" i="99"/>
  <c r="AF6" i="99"/>
  <c r="AB6" i="99"/>
  <c r="X6" i="99"/>
  <c r="V6" i="99"/>
  <c r="R6" i="99"/>
  <c r="N6" i="99"/>
  <c r="M6" i="99"/>
  <c r="I6" i="99"/>
  <c r="CO55" i="71"/>
  <c r="CK55" i="71"/>
  <c r="CG55" i="71"/>
  <c r="CA55" i="71"/>
  <c r="BW55" i="71"/>
  <c r="BS55" i="71"/>
  <c r="BM55" i="71"/>
  <c r="W87" i="90" s="1"/>
  <c r="BI55" i="71"/>
  <c r="S87" i="90" s="1"/>
  <c r="BE55" i="71"/>
  <c r="O87" i="90" s="1"/>
  <c r="BA55" i="71"/>
  <c r="K87" i="90" s="1"/>
  <c r="BG59" i="99" l="1"/>
  <c r="CQ7" i="99"/>
  <c r="AP8" i="99"/>
  <c r="BO9" i="99"/>
  <c r="AG10" i="99"/>
  <c r="AY10" i="99"/>
  <c r="AG12" i="99"/>
  <c r="CQ12" i="99"/>
  <c r="AG13" i="99"/>
  <c r="AG14" i="99"/>
  <c r="BO14" i="99"/>
  <c r="AG15" i="99"/>
  <c r="BO15" i="99"/>
  <c r="CQ16" i="99"/>
  <c r="AG17" i="99"/>
  <c r="W19" i="99"/>
  <c r="AY25" i="99"/>
  <c r="AP29" i="99"/>
  <c r="N30" i="99"/>
  <c r="AP30" i="99"/>
  <c r="CC30" i="99"/>
  <c r="CS30" i="99" s="1"/>
  <c r="BC32" i="99"/>
  <c r="CU34" i="99"/>
  <c r="AG36" i="99"/>
  <c r="CQ36" i="99"/>
  <c r="CS36" i="99" s="1"/>
  <c r="AG37" i="99"/>
  <c r="N39" i="99"/>
  <c r="AP39" i="99"/>
  <c r="N40" i="99"/>
  <c r="CU43" i="99"/>
  <c r="CQ44" i="99"/>
  <c r="BC45" i="99"/>
  <c r="BO47" i="99"/>
  <c r="AG49" i="99"/>
  <c r="BC49" i="99"/>
  <c r="AP50" i="99"/>
  <c r="AY51" i="99"/>
  <c r="BO53" i="99"/>
  <c r="AG54" i="99"/>
  <c r="CQ54" i="99"/>
  <c r="AG56" i="99"/>
  <c r="AG57" i="99"/>
  <c r="AY57" i="99"/>
  <c r="AP59" i="99"/>
  <c r="CC60" i="99"/>
  <c r="CS60" i="99" s="1"/>
  <c r="BO61" i="99"/>
  <c r="BO62" i="99"/>
  <c r="W64" i="99"/>
  <c r="CQ73" i="99"/>
  <c r="BK34" i="99"/>
  <c r="BQ43" i="99"/>
  <c r="BU43" i="99" s="1"/>
  <c r="BY43" i="99" s="1"/>
  <c r="CE43" i="99" s="1"/>
  <c r="CS73" i="99"/>
  <c r="N8" i="99"/>
  <c r="CU12" i="99"/>
  <c r="AP14" i="99"/>
  <c r="BO16" i="99"/>
  <c r="CC18" i="99"/>
  <c r="W20" i="99"/>
  <c r="AY20" i="99"/>
  <c r="CC20" i="99"/>
  <c r="CS20" i="99" s="1"/>
  <c r="BO21" i="99"/>
  <c r="AG25" i="99"/>
  <c r="AY27" i="99"/>
  <c r="W28" i="99"/>
  <c r="CQ31" i="99"/>
  <c r="AG33" i="99"/>
  <c r="CQ35" i="99"/>
  <c r="AY38" i="99"/>
  <c r="N44" i="99"/>
  <c r="AG46" i="99"/>
  <c r="AY49" i="99"/>
  <c r="CC49" i="99"/>
  <c r="N53" i="99"/>
  <c r="BO56" i="99"/>
  <c r="CU57" i="99"/>
  <c r="CC63" i="99"/>
  <c r="CC64" i="99"/>
  <c r="CS64" i="99" s="1"/>
  <c r="AY67" i="99"/>
  <c r="CC67" i="99"/>
  <c r="W68" i="99"/>
  <c r="N72" i="99"/>
  <c r="BO72" i="99"/>
  <c r="N73" i="99"/>
  <c r="BK12" i="99"/>
  <c r="AR34" i="99"/>
  <c r="CU36" i="99"/>
  <c r="CS39" i="99"/>
  <c r="BK44" i="99"/>
  <c r="U128" i="50"/>
  <c r="U130" i="50" s="1"/>
  <c r="U131" i="50" s="1"/>
  <c r="CC6" i="99"/>
  <c r="CU7" i="99"/>
  <c r="CC9" i="99"/>
  <c r="AP17" i="99"/>
  <c r="CQ17" i="99"/>
  <c r="CS17" i="99" s="1"/>
  <c r="AG18" i="99"/>
  <c r="AR20" i="99"/>
  <c r="CU22" i="99"/>
  <c r="CU24" i="99"/>
  <c r="N32" i="99"/>
  <c r="AP32" i="99"/>
  <c r="AP36" i="99"/>
  <c r="AP37" i="99"/>
  <c r="CC38" i="99"/>
  <c r="N43" i="99"/>
  <c r="BO44" i="99"/>
  <c r="CC52" i="99"/>
  <c r="BO54" i="99"/>
  <c r="BQ54" i="99" s="1"/>
  <c r="BU54" i="99" s="1"/>
  <c r="BY54" i="99" s="1"/>
  <c r="CE54" i="99" s="1"/>
  <c r="CI54" i="99" s="1"/>
  <c r="CM54" i="99" s="1"/>
  <c r="AP55" i="99"/>
  <c r="N57" i="99"/>
  <c r="BO59" i="99"/>
  <c r="BQ59" i="99" s="1"/>
  <c r="BU59" i="99" s="1"/>
  <c r="BY59" i="99" s="1"/>
  <c r="CE59" i="99" s="1"/>
  <c r="CI59" i="99" s="1"/>
  <c r="CM59" i="99" s="1"/>
  <c r="AR61" i="99"/>
  <c r="AY61" i="99"/>
  <c r="W63" i="99"/>
  <c r="BC63" i="99"/>
  <c r="BG63" i="99" s="1"/>
  <c r="BK63" i="99" s="1"/>
  <c r="CC69" i="99"/>
  <c r="CU9" i="99"/>
  <c r="BO10" i="99"/>
  <c r="AY11" i="99"/>
  <c r="CS12" i="99"/>
  <c r="CS15" i="99"/>
  <c r="BC18" i="99"/>
  <c r="BG18" i="99" s="1"/>
  <c r="BK18" i="99" s="1"/>
  <c r="BC20" i="99"/>
  <c r="BG20" i="99" s="1"/>
  <c r="BK20" i="99" s="1"/>
  <c r="BO23" i="99"/>
  <c r="CU28" i="99"/>
  <c r="AY31" i="99"/>
  <c r="BC34" i="99"/>
  <c r="BG34" i="99" s="1"/>
  <c r="AR39" i="99"/>
  <c r="CU59" i="99"/>
  <c r="CQ60" i="99"/>
  <c r="AR62" i="99"/>
  <c r="AR63" i="99"/>
  <c r="CU65" i="99"/>
  <c r="AG68" i="99"/>
  <c r="X74" i="99"/>
  <c r="AR8" i="99"/>
  <c r="BC8" i="99"/>
  <c r="BG8" i="99" s="1"/>
  <c r="BK8" i="99" s="1"/>
  <c r="CQ8" i="99"/>
  <c r="CS8" i="99" s="1"/>
  <c r="AY9" i="99"/>
  <c r="CQ9" i="99"/>
  <c r="BC13" i="99"/>
  <c r="BO18" i="99"/>
  <c r="CQ18" i="99"/>
  <c r="AG20" i="99"/>
  <c r="BC21" i="99"/>
  <c r="BQ21" i="99" s="1"/>
  <c r="BU21" i="99" s="1"/>
  <c r="BY21" i="99" s="1"/>
  <c r="CE21" i="99" s="1"/>
  <c r="CI21" i="99" s="1"/>
  <c r="CM21" i="99" s="1"/>
  <c r="CC24" i="99"/>
  <c r="AP27" i="99"/>
  <c r="AP74" i="99" s="1"/>
  <c r="BO28" i="99"/>
  <c r="CU30" i="99"/>
  <c r="BO33" i="99"/>
  <c r="BO34" i="99"/>
  <c r="AR40" i="99"/>
  <c r="CC40" i="99"/>
  <c r="CS40" i="99" s="1"/>
  <c r="W41" i="99"/>
  <c r="CC41" i="99"/>
  <c r="W45" i="99"/>
  <c r="N46" i="99"/>
  <c r="CC48" i="99"/>
  <c r="BO51" i="99"/>
  <c r="AR53" i="99"/>
  <c r="AY53" i="99"/>
  <c r="BO63" i="99"/>
  <c r="CU71" i="99"/>
  <c r="CU11" i="99"/>
  <c r="V74" i="99"/>
  <c r="AW74" i="99"/>
  <c r="AW76" i="99" s="1"/>
  <c r="BA74" i="99"/>
  <c r="BA76" i="99" s="1"/>
  <c r="BO8" i="99"/>
  <c r="CC10" i="99"/>
  <c r="CS10" i="99" s="1"/>
  <c r="CQ13" i="99"/>
  <c r="CS13" i="99" s="1"/>
  <c r="AR15" i="99"/>
  <c r="CU16" i="99"/>
  <c r="N18" i="99"/>
  <c r="AP20" i="99"/>
  <c r="AG21" i="99"/>
  <c r="CQ22" i="99"/>
  <c r="AP26" i="99"/>
  <c r="AG35" i="99"/>
  <c r="CU35" i="99"/>
  <c r="AG40" i="99"/>
  <c r="CQ40" i="99"/>
  <c r="AG44" i="99"/>
  <c r="AR45" i="99"/>
  <c r="W46" i="99"/>
  <c r="W47" i="99"/>
  <c r="AR48" i="99"/>
  <c r="CQ48" i="99"/>
  <c r="CS48" i="99" s="1"/>
  <c r="AP52" i="99"/>
  <c r="W55" i="99"/>
  <c r="CC55" i="99"/>
  <c r="CC56" i="99"/>
  <c r="CS56" i="99" s="1"/>
  <c r="AG63" i="99"/>
  <c r="N65" i="99"/>
  <c r="AG69" i="99"/>
  <c r="BC69" i="99"/>
  <c r="BQ69" i="99" s="1"/>
  <c r="BU69" i="99" s="1"/>
  <c r="BY69" i="99" s="1"/>
  <c r="CE69" i="99" s="1"/>
  <c r="CI69" i="99" s="1"/>
  <c r="CM69" i="99" s="1"/>
  <c r="AG72" i="99"/>
  <c r="BC72" i="99"/>
  <c r="BQ72" i="99" s="1"/>
  <c r="BU72" i="99" s="1"/>
  <c r="BY72" i="99" s="1"/>
  <c r="CE72" i="99" s="1"/>
  <c r="CI72" i="99" s="1"/>
  <c r="CM72" i="99" s="1"/>
  <c r="AR73" i="99"/>
  <c r="S88" i="90"/>
  <c r="S95" i="90" s="1"/>
  <c r="AQ21" i="72"/>
  <c r="AU19" i="72"/>
  <c r="CQ54" i="71"/>
  <c r="BM54" i="71"/>
  <c r="CC54" i="71"/>
  <c r="BC54" i="71"/>
  <c r="CU55" i="71"/>
  <c r="BO55" i="71"/>
  <c r="CQ55" i="71"/>
  <c r="BQ18" i="99"/>
  <c r="BU18" i="99" s="1"/>
  <c r="BY18" i="99" s="1"/>
  <c r="CE18" i="99" s="1"/>
  <c r="CI18" i="99" s="1"/>
  <c r="CM18" i="99" s="1"/>
  <c r="BQ10" i="99"/>
  <c r="BU10" i="99" s="1"/>
  <c r="BY10" i="99" s="1"/>
  <c r="CE10" i="99" s="1"/>
  <c r="CI10" i="99" s="1"/>
  <c r="CM10" i="99" s="1"/>
  <c r="BG10" i="99"/>
  <c r="BK10" i="99" s="1"/>
  <c r="CS11" i="99"/>
  <c r="BG13" i="99"/>
  <c r="BK13" i="99" s="1"/>
  <c r="CS18" i="99"/>
  <c r="CI7" i="99"/>
  <c r="CM7" i="99" s="1"/>
  <c r="CS19" i="99"/>
  <c r="BG7" i="99"/>
  <c r="BK7" i="99" s="1"/>
  <c r="BQ7" i="99"/>
  <c r="BU7" i="99" s="1"/>
  <c r="BY7" i="99" s="1"/>
  <c r="CE7" i="99" s="1"/>
  <c r="BQ8" i="99"/>
  <c r="BU8" i="99" s="1"/>
  <c r="BY8" i="99" s="1"/>
  <c r="CE8" i="99" s="1"/>
  <c r="BQ25" i="99"/>
  <c r="BU25" i="99" s="1"/>
  <c r="BY25" i="99" s="1"/>
  <c r="CE25" i="99" s="1"/>
  <c r="CI25" i="99" s="1"/>
  <c r="CM25" i="99" s="1"/>
  <c r="BG25" i="99"/>
  <c r="BK25" i="99" s="1"/>
  <c r="CI8" i="99"/>
  <c r="CM8" i="99" s="1"/>
  <c r="BO11" i="99"/>
  <c r="BQ11" i="99" s="1"/>
  <c r="BU11" i="99" s="1"/>
  <c r="BY11" i="99" s="1"/>
  <c r="CE11" i="99" s="1"/>
  <c r="CI11" i="99" s="1"/>
  <c r="CM11" i="99" s="1"/>
  <c r="BC26" i="99"/>
  <c r="AY26" i="99"/>
  <c r="AF74" i="99"/>
  <c r="AG9" i="99"/>
  <c r="AG16" i="99"/>
  <c r="N21" i="99"/>
  <c r="N24" i="99"/>
  <c r="N26" i="99"/>
  <c r="CU26" i="99"/>
  <c r="CU29" i="99"/>
  <c r="AR31" i="99"/>
  <c r="BQ31" i="99"/>
  <c r="BU31" i="99" s="1"/>
  <c r="BY31" i="99" s="1"/>
  <c r="CE31" i="99" s="1"/>
  <c r="CI31" i="99" s="1"/>
  <c r="CM31" i="99" s="1"/>
  <c r="AG53" i="99"/>
  <c r="AB74" i="99"/>
  <c r="BC9" i="99"/>
  <c r="AG6" i="99"/>
  <c r="BQ17" i="99"/>
  <c r="BU17" i="99" s="1"/>
  <c r="BY17" i="99" s="1"/>
  <c r="CE17" i="99" s="1"/>
  <c r="CI17" i="99" s="1"/>
  <c r="CM17" i="99" s="1"/>
  <c r="CQ24" i="99"/>
  <c r="BO26" i="99"/>
  <c r="CU27" i="99"/>
  <c r="AY29" i="99"/>
  <c r="CQ32" i="99"/>
  <c r="CS32" i="99" s="1"/>
  <c r="CC35" i="99"/>
  <c r="BE74" i="99"/>
  <c r="BE76" i="99" s="1"/>
  <c r="BO12" i="99"/>
  <c r="BQ12" i="99" s="1"/>
  <c r="BU12" i="99" s="1"/>
  <c r="BY12" i="99" s="1"/>
  <c r="CE12" i="99" s="1"/>
  <c r="CI12" i="99" s="1"/>
  <c r="CM12" i="99" s="1"/>
  <c r="AY7" i="99"/>
  <c r="CQ34" i="99"/>
  <c r="CS34" i="99" s="1"/>
  <c r="CI34" i="99"/>
  <c r="CM34" i="99" s="1"/>
  <c r="BQ35" i="99"/>
  <c r="BU35" i="99" s="1"/>
  <c r="BY35" i="99" s="1"/>
  <c r="CE35" i="99" s="1"/>
  <c r="CI35" i="99" s="1"/>
  <c r="CM35" i="99" s="1"/>
  <c r="AK74" i="99"/>
  <c r="BI74" i="99"/>
  <c r="BI76" i="99" s="1"/>
  <c r="CG74" i="99"/>
  <c r="CG76" i="99" s="1"/>
  <c r="CQ6" i="99"/>
  <c r="AO74" i="99"/>
  <c r="CC7" i="99"/>
  <c r="CS7" i="99" s="1"/>
  <c r="CU13" i="99"/>
  <c r="AY13" i="99"/>
  <c r="CC14" i="99"/>
  <c r="N23" i="99"/>
  <c r="BC24" i="99"/>
  <c r="CQ29" i="99"/>
  <c r="CS29" i="99" s="1"/>
  <c r="CQ30" i="99"/>
  <c r="BQ34" i="99"/>
  <c r="BU34" i="99" s="1"/>
  <c r="BY34" i="99" s="1"/>
  <c r="CE34" i="99" s="1"/>
  <c r="AY39" i="99"/>
  <c r="CU39" i="99"/>
  <c r="BQ45" i="99"/>
  <c r="BU45" i="99" s="1"/>
  <c r="BY45" i="99" s="1"/>
  <c r="CE45" i="99" s="1"/>
  <c r="CI45" i="99" s="1"/>
  <c r="CM45" i="99" s="1"/>
  <c r="BG45" i="99"/>
  <c r="BK45" i="99" s="1"/>
  <c r="CQ14" i="99"/>
  <c r="I74" i="99"/>
  <c r="BM74" i="99"/>
  <c r="BM76" i="99" s="1"/>
  <c r="CK74" i="99"/>
  <c r="CK76" i="99" s="1"/>
  <c r="CU8" i="99"/>
  <c r="CQ21" i="99"/>
  <c r="CS21" i="99" s="1"/>
  <c r="BQ29" i="99"/>
  <c r="BU29" i="99" s="1"/>
  <c r="BY29" i="99" s="1"/>
  <c r="CE29" i="99" s="1"/>
  <c r="CI29" i="99" s="1"/>
  <c r="CM29" i="99" s="1"/>
  <c r="BG29" i="99"/>
  <c r="BK29" i="99" s="1"/>
  <c r="BQ32" i="99"/>
  <c r="BU32" i="99" s="1"/>
  <c r="BY32" i="99" s="1"/>
  <c r="CE32" i="99" s="1"/>
  <c r="CI32" i="99" s="1"/>
  <c r="CM32" i="99" s="1"/>
  <c r="BC37" i="99"/>
  <c r="AY37" i="99"/>
  <c r="BG46" i="99"/>
  <c r="BK46" i="99" s="1"/>
  <c r="BQ46" i="99"/>
  <c r="BU46" i="99" s="1"/>
  <c r="BY46" i="99" s="1"/>
  <c r="CE46" i="99" s="1"/>
  <c r="CI46" i="99" s="1"/>
  <c r="CM46" i="99" s="1"/>
  <c r="CS16" i="99"/>
  <c r="CU23" i="99"/>
  <c r="BO24" i="99"/>
  <c r="M74" i="99"/>
  <c r="AQ74" i="99"/>
  <c r="BC14" i="99"/>
  <c r="CU17" i="99"/>
  <c r="CU18" i="99"/>
  <c r="BC19" i="99"/>
  <c r="CU19" i="99"/>
  <c r="AY19" i="99"/>
  <c r="AR21" i="99"/>
  <c r="CC22" i="99"/>
  <c r="AR24" i="99"/>
  <c r="CC26" i="99"/>
  <c r="CQ27" i="99"/>
  <c r="BC30" i="99"/>
  <c r="AY30" i="99"/>
  <c r="BO32" i="99"/>
  <c r="BC6" i="99"/>
  <c r="CU10" i="99"/>
  <c r="CO74" i="99"/>
  <c r="CO76" i="99" s="1"/>
  <c r="CU25" i="99"/>
  <c r="AR27" i="99"/>
  <c r="BQ27" i="99"/>
  <c r="BU27" i="99" s="1"/>
  <c r="BY27" i="99" s="1"/>
  <c r="CE27" i="99" s="1"/>
  <c r="CI27" i="99" s="1"/>
  <c r="CM27" i="99" s="1"/>
  <c r="AR29" i="99"/>
  <c r="BG32" i="99"/>
  <c r="BK32" i="99" s="1"/>
  <c r="BG39" i="99"/>
  <c r="BK39" i="99" s="1"/>
  <c r="BQ39" i="99"/>
  <c r="BU39" i="99" s="1"/>
  <c r="BY39" i="99" s="1"/>
  <c r="CE39" i="99" s="1"/>
  <c r="CI39" i="99" s="1"/>
  <c r="CM39" i="99" s="1"/>
  <c r="CS42" i="99"/>
  <c r="CS44" i="99"/>
  <c r="CU40" i="99"/>
  <c r="BO40" i="99"/>
  <c r="BQ40" i="99" s="1"/>
  <c r="BU40" i="99" s="1"/>
  <c r="BY40" i="99" s="1"/>
  <c r="CE40" i="99" s="1"/>
  <c r="CI40" i="99" s="1"/>
  <c r="CM40" i="99" s="1"/>
  <c r="CA74" i="99"/>
  <c r="CA76" i="99" s="1"/>
  <c r="AR6" i="99"/>
  <c r="BO13" i="99"/>
  <c r="BQ13" i="99" s="1"/>
  <c r="BU13" i="99" s="1"/>
  <c r="BY13" i="99" s="1"/>
  <c r="CE13" i="99" s="1"/>
  <c r="CI13" i="99" s="1"/>
  <c r="CM13" i="99" s="1"/>
  <c r="BC15" i="99"/>
  <c r="BC16" i="99"/>
  <c r="W17" i="99"/>
  <c r="N25" i="99"/>
  <c r="N31" i="99"/>
  <c r="BC33" i="99"/>
  <c r="BO36" i="99"/>
  <c r="BQ36" i="99" s="1"/>
  <c r="BU36" i="99" s="1"/>
  <c r="BY36" i="99" s="1"/>
  <c r="CE36" i="99" s="1"/>
  <c r="CI36" i="99" s="1"/>
  <c r="CM36" i="99" s="1"/>
  <c r="CQ56" i="99"/>
  <c r="BO30" i="99"/>
  <c r="CU31" i="99"/>
  <c r="CU6" i="99"/>
  <c r="CU21" i="99"/>
  <c r="BQ23" i="99"/>
  <c r="BU23" i="99" s="1"/>
  <c r="BY23" i="99" s="1"/>
  <c r="CE23" i="99" s="1"/>
  <c r="CI23" i="99" s="1"/>
  <c r="CM23" i="99" s="1"/>
  <c r="BC28" i="99"/>
  <c r="CQ28" i="99"/>
  <c r="CS28" i="99" s="1"/>
  <c r="W6" i="99"/>
  <c r="AY6" i="99"/>
  <c r="BW74" i="99"/>
  <c r="BW76" i="99" s="1"/>
  <c r="CQ11" i="99"/>
  <c r="AY16" i="99"/>
  <c r="BO20" i="99"/>
  <c r="N22" i="99"/>
  <c r="BC22" i="99"/>
  <c r="AY22" i="99"/>
  <c r="CQ23" i="99"/>
  <c r="CQ25" i="99"/>
  <c r="CS25" i="99" s="1"/>
  <c r="CQ26" i="99"/>
  <c r="CU37" i="99"/>
  <c r="BG40" i="99"/>
  <c r="BK40" i="99" s="1"/>
  <c r="BC41" i="99"/>
  <c r="AY41" i="99"/>
  <c r="CQ63" i="99"/>
  <c r="CS63" i="99" s="1"/>
  <c r="BG72" i="99"/>
  <c r="BK72" i="99" s="1"/>
  <c r="BG54" i="99"/>
  <c r="BK54" i="99" s="1"/>
  <c r="CQ55" i="99"/>
  <c r="CS55" i="99" s="1"/>
  <c r="CC66" i="99"/>
  <c r="CS66" i="99" s="1"/>
  <c r="CU68" i="99"/>
  <c r="AY68" i="99"/>
  <c r="BC68" i="99"/>
  <c r="CC23" i="99"/>
  <c r="CC27" i="99"/>
  <c r="CS27" i="99" s="1"/>
  <c r="CC31" i="99"/>
  <c r="CS31" i="99" s="1"/>
  <c r="CU33" i="99"/>
  <c r="BQ38" i="99"/>
  <c r="BU38" i="99" s="1"/>
  <c r="BY38" i="99" s="1"/>
  <c r="CE38" i="99" s="1"/>
  <c r="CI38" i="99" s="1"/>
  <c r="CM38" i="99" s="1"/>
  <c r="CQ38" i="99"/>
  <c r="CS38" i="99" s="1"/>
  <c r="CU42" i="99"/>
  <c r="AY42" i="99"/>
  <c r="BC42" i="99"/>
  <c r="BC47" i="99"/>
  <c r="CU47" i="99"/>
  <c r="CQ52" i="99"/>
  <c r="CS52" i="99" s="1"/>
  <c r="CC58" i="99"/>
  <c r="CS58" i="99" s="1"/>
  <c r="BQ63" i="99"/>
  <c r="BU63" i="99" s="1"/>
  <c r="BY63" i="99" s="1"/>
  <c r="CE63" i="99" s="1"/>
  <c r="CI63" i="99" s="1"/>
  <c r="CM63" i="99" s="1"/>
  <c r="R74" i="99"/>
  <c r="AU74" i="99"/>
  <c r="AU76" i="99" s="1"/>
  <c r="BS74" i="99"/>
  <c r="BS76" i="99" s="1"/>
  <c r="AY17" i="99"/>
  <c r="AR22" i="99"/>
  <c r="AR26" i="99"/>
  <c r="AR30" i="99"/>
  <c r="CC33" i="99"/>
  <c r="CS33" i="99" s="1"/>
  <c r="N34" i="99"/>
  <c r="CU38" i="99"/>
  <c r="CQ43" i="99"/>
  <c r="CS43" i="99" s="1"/>
  <c r="CI43" i="99"/>
  <c r="CM43" i="99" s="1"/>
  <c r="AY47" i="99"/>
  <c r="CQ47" i="99"/>
  <c r="CS47" i="99" s="1"/>
  <c r="BQ50" i="99"/>
  <c r="BU50" i="99" s="1"/>
  <c r="BY50" i="99" s="1"/>
  <c r="CE50" i="99" s="1"/>
  <c r="CI50" i="99" s="1"/>
  <c r="CM50" i="99" s="1"/>
  <c r="BQ55" i="99"/>
  <c r="BU55" i="99" s="1"/>
  <c r="BY55" i="99" s="1"/>
  <c r="CE55" i="99" s="1"/>
  <c r="CI55" i="99" s="1"/>
  <c r="CM55" i="99" s="1"/>
  <c r="CC50" i="99"/>
  <c r="CS50" i="99" s="1"/>
  <c r="BQ65" i="99"/>
  <c r="BU65" i="99" s="1"/>
  <c r="BY65" i="99" s="1"/>
  <c r="CE65" i="99" s="1"/>
  <c r="CI65" i="99" s="1"/>
  <c r="CM65" i="99" s="1"/>
  <c r="BG65" i="99"/>
  <c r="BK65" i="99" s="1"/>
  <c r="CU32" i="99"/>
  <c r="AR36" i="99"/>
  <c r="BK43" i="99"/>
  <c r="AP46" i="99"/>
  <c r="BQ57" i="99"/>
  <c r="BU57" i="99" s="1"/>
  <c r="BY57" i="99" s="1"/>
  <c r="CE57" i="99" s="1"/>
  <c r="CI57" i="99" s="1"/>
  <c r="CM57" i="99" s="1"/>
  <c r="BG57" i="99"/>
  <c r="BK57" i="99" s="1"/>
  <c r="BO64" i="99"/>
  <c r="CQ45" i="99"/>
  <c r="CS45" i="99" s="1"/>
  <c r="BC66" i="99"/>
  <c r="BC70" i="99"/>
  <c r="AY28" i="99"/>
  <c r="AY32" i="99"/>
  <c r="AY33" i="99"/>
  <c r="BG36" i="99"/>
  <c r="BK36" i="99" s="1"/>
  <c r="CU48" i="99"/>
  <c r="AY48" i="99"/>
  <c r="BC48" i="99"/>
  <c r="AP54" i="99"/>
  <c r="BC58" i="99"/>
  <c r="AP62" i="99"/>
  <c r="CU73" i="99"/>
  <c r="BC73" i="99"/>
  <c r="CQ46" i="99"/>
  <c r="CS46" i="99" s="1"/>
  <c r="CQ53" i="99"/>
  <c r="CS53" i="99" s="1"/>
  <c r="CC68" i="99"/>
  <c r="CS68" i="99" s="1"/>
  <c r="AR28" i="99"/>
  <c r="AR32" i="99"/>
  <c r="CC37" i="99"/>
  <c r="CS37" i="99" s="1"/>
  <c r="N38" i="99"/>
  <c r="BQ51" i="99"/>
  <c r="BU51" i="99" s="1"/>
  <c r="BY51" i="99" s="1"/>
  <c r="CE51" i="99" s="1"/>
  <c r="CI51" i="99" s="1"/>
  <c r="CM51" i="99" s="1"/>
  <c r="BQ53" i="99"/>
  <c r="BU53" i="99" s="1"/>
  <c r="BY53" i="99" s="1"/>
  <c r="CE53" i="99" s="1"/>
  <c r="CI53" i="99" s="1"/>
  <c r="CM53" i="99" s="1"/>
  <c r="CS54" i="99"/>
  <c r="CC71" i="99"/>
  <c r="BO48" i="99"/>
  <c r="CU69" i="99"/>
  <c r="CE71" i="99"/>
  <c r="CI71" i="99" s="1"/>
  <c r="CM71" i="99" s="1"/>
  <c r="CU44" i="99"/>
  <c r="AY44" i="99"/>
  <c r="CU52" i="99"/>
  <c r="AY52" i="99"/>
  <c r="CU60" i="99"/>
  <c r="AY60" i="99"/>
  <c r="BQ61" i="99"/>
  <c r="BU61" i="99" s="1"/>
  <c r="BY61" i="99" s="1"/>
  <c r="CE61" i="99" s="1"/>
  <c r="BQ62" i="99"/>
  <c r="BU62" i="99" s="1"/>
  <c r="BY62" i="99" s="1"/>
  <c r="CE62" i="99" s="1"/>
  <c r="CI62" i="99" s="1"/>
  <c r="CM62" i="99" s="1"/>
  <c r="CQ62" i="99"/>
  <c r="CS62" i="99" s="1"/>
  <c r="CU45" i="99"/>
  <c r="CU53" i="99"/>
  <c r="CU61" i="99"/>
  <c r="CQ41" i="99"/>
  <c r="AG42" i="99"/>
  <c r="W44" i="99"/>
  <c r="CQ49" i="99"/>
  <c r="CS49" i="99" s="1"/>
  <c r="AG50" i="99"/>
  <c r="W52" i="99"/>
  <c r="CQ57" i="99"/>
  <c r="CS57" i="99" s="1"/>
  <c r="AG58" i="99"/>
  <c r="W60" i="99"/>
  <c r="CQ65" i="99"/>
  <c r="CS65" i="99" s="1"/>
  <c r="AG66" i="99"/>
  <c r="AG70" i="99"/>
  <c r="CQ71" i="99"/>
  <c r="CU46" i="99"/>
  <c r="AY46" i="99"/>
  <c r="CU54" i="99"/>
  <c r="AY54" i="99"/>
  <c r="CU62" i="99"/>
  <c r="AY62" i="99"/>
  <c r="CQ69" i="99"/>
  <c r="CU55" i="99"/>
  <c r="CU63" i="99"/>
  <c r="CQ67" i="99"/>
  <c r="CS67" i="99" s="1"/>
  <c r="BK51" i="99"/>
  <c r="CQ51" i="99"/>
  <c r="CS51" i="99" s="1"/>
  <c r="AG52" i="99"/>
  <c r="W54" i="99"/>
  <c r="BK59" i="99"/>
  <c r="CQ59" i="99"/>
  <c r="CS59" i="99" s="1"/>
  <c r="AG60" i="99"/>
  <c r="W62" i="99"/>
  <c r="CU56" i="99"/>
  <c r="AY56" i="99"/>
  <c r="CU64" i="99"/>
  <c r="AY64" i="99"/>
  <c r="AY55" i="99"/>
  <c r="AY63" i="99"/>
  <c r="BO69" i="99"/>
  <c r="CQ61" i="99"/>
  <c r="CS61" i="99" s="1"/>
  <c r="CI61" i="99"/>
  <c r="CM61" i="99" s="1"/>
  <c r="BO67" i="99"/>
  <c r="BQ67" i="99" s="1"/>
  <c r="BU67" i="99" s="1"/>
  <c r="BY67" i="99" s="1"/>
  <c r="CE67" i="99" s="1"/>
  <c r="CI67" i="99" s="1"/>
  <c r="CM67" i="99" s="1"/>
  <c r="CU72" i="99"/>
  <c r="AY72" i="99"/>
  <c r="BQ44" i="99"/>
  <c r="BU44" i="99" s="1"/>
  <c r="BY44" i="99" s="1"/>
  <c r="CE44" i="99" s="1"/>
  <c r="CI44" i="99" s="1"/>
  <c r="CM44" i="99" s="1"/>
  <c r="CU50" i="99"/>
  <c r="AY50" i="99"/>
  <c r="BQ52" i="99"/>
  <c r="BU52" i="99" s="1"/>
  <c r="BY52" i="99" s="1"/>
  <c r="CE52" i="99" s="1"/>
  <c r="CI52" i="99" s="1"/>
  <c r="CM52" i="99" s="1"/>
  <c r="BC56" i="99"/>
  <c r="CU58" i="99"/>
  <c r="AY58" i="99"/>
  <c r="BQ60" i="99"/>
  <c r="BU60" i="99" s="1"/>
  <c r="BY60" i="99" s="1"/>
  <c r="CE60" i="99" s="1"/>
  <c r="CI60" i="99" s="1"/>
  <c r="CM60" i="99" s="1"/>
  <c r="BC64" i="99"/>
  <c r="CU66" i="99"/>
  <c r="AY66" i="99"/>
  <c r="CU70" i="99"/>
  <c r="AY70" i="99"/>
  <c r="CC55" i="71"/>
  <c r="BC55" i="71"/>
  <c r="CU54" i="71" l="1"/>
  <c r="W86" i="90"/>
  <c r="W88" i="90" s="1"/>
  <c r="W95" i="90" s="1"/>
  <c r="CS22" i="99"/>
  <c r="BG49" i="99"/>
  <c r="BK49" i="99" s="1"/>
  <c r="BQ49" i="99"/>
  <c r="BU49" i="99" s="1"/>
  <c r="BY49" i="99" s="1"/>
  <c r="CE49" i="99" s="1"/>
  <c r="CI49" i="99" s="1"/>
  <c r="CM49" i="99" s="1"/>
  <c r="CS41" i="99"/>
  <c r="CS6" i="99"/>
  <c r="CS24" i="99"/>
  <c r="S101" i="90"/>
  <c r="S125" i="90"/>
  <c r="S128" i="90" s="1"/>
  <c r="BG21" i="99"/>
  <c r="BK21" i="99" s="1"/>
  <c r="BG69" i="99"/>
  <c r="BK69" i="99" s="1"/>
  <c r="W74" i="99"/>
  <c r="BQ20" i="99"/>
  <c r="BU20" i="99" s="1"/>
  <c r="BY20" i="99" s="1"/>
  <c r="CE20" i="99" s="1"/>
  <c r="CI20" i="99" s="1"/>
  <c r="CM20" i="99" s="1"/>
  <c r="N74" i="99"/>
  <c r="CS69" i="99"/>
  <c r="CS23" i="99"/>
  <c r="CS35" i="99"/>
  <c r="CS54" i="71"/>
  <c r="CS9" i="99"/>
  <c r="AU21" i="72"/>
  <c r="BC19" i="72"/>
  <c r="BC21" i="72" s="1"/>
  <c r="BO54" i="71"/>
  <c r="BQ54" i="71" s="1"/>
  <c r="BU54" i="71" s="1"/>
  <c r="BY54" i="71" s="1"/>
  <c r="CE54" i="71" s="1"/>
  <c r="CI54" i="71" s="1"/>
  <c r="CM54" i="71" s="1"/>
  <c r="BG54" i="71"/>
  <c r="BK54" i="71" s="1"/>
  <c r="CS55" i="71"/>
  <c r="BG48" i="99"/>
  <c r="BK48" i="99" s="1"/>
  <c r="BQ48" i="99"/>
  <c r="BU48" i="99" s="1"/>
  <c r="BY48" i="99" s="1"/>
  <c r="CE48" i="99" s="1"/>
  <c r="CI48" i="99" s="1"/>
  <c r="CM48" i="99" s="1"/>
  <c r="BQ22" i="99"/>
  <c r="BU22" i="99" s="1"/>
  <c r="BY22" i="99" s="1"/>
  <c r="CE22" i="99" s="1"/>
  <c r="CI22" i="99" s="1"/>
  <c r="CM22" i="99" s="1"/>
  <c r="BG22" i="99"/>
  <c r="BK22" i="99" s="1"/>
  <c r="AG74" i="99"/>
  <c r="BG16" i="99"/>
  <c r="BK16" i="99" s="1"/>
  <c r="BQ16" i="99"/>
  <c r="BU16" i="99" s="1"/>
  <c r="BY16" i="99" s="1"/>
  <c r="CE16" i="99" s="1"/>
  <c r="CI16" i="99" s="1"/>
  <c r="CM16" i="99" s="1"/>
  <c r="BG70" i="99"/>
  <c r="BK70" i="99" s="1"/>
  <c r="BQ70" i="99"/>
  <c r="BU70" i="99" s="1"/>
  <c r="BY70" i="99" s="1"/>
  <c r="CE70" i="99" s="1"/>
  <c r="CI70" i="99" s="1"/>
  <c r="CM70" i="99" s="1"/>
  <c r="BG41" i="99"/>
  <c r="BK41" i="99" s="1"/>
  <c r="BQ41" i="99"/>
  <c r="BU41" i="99" s="1"/>
  <c r="BY41" i="99" s="1"/>
  <c r="CE41" i="99" s="1"/>
  <c r="CI41" i="99" s="1"/>
  <c r="CM41" i="99" s="1"/>
  <c r="BG15" i="99"/>
  <c r="BK15" i="99" s="1"/>
  <c r="BQ15" i="99"/>
  <c r="BU15" i="99" s="1"/>
  <c r="BY15" i="99" s="1"/>
  <c r="CE15" i="99" s="1"/>
  <c r="CI15" i="99" s="1"/>
  <c r="CM15" i="99" s="1"/>
  <c r="BG14" i="99"/>
  <c r="BK14" i="99" s="1"/>
  <c r="BQ14" i="99"/>
  <c r="BU14" i="99" s="1"/>
  <c r="BY14" i="99" s="1"/>
  <c r="CE14" i="99" s="1"/>
  <c r="CI14" i="99" s="1"/>
  <c r="CM14" i="99" s="1"/>
  <c r="BG9" i="99"/>
  <c r="BK9" i="99" s="1"/>
  <c r="BQ9" i="99"/>
  <c r="BU9" i="99" s="1"/>
  <c r="BY9" i="99" s="1"/>
  <c r="CE9" i="99" s="1"/>
  <c r="CI9" i="99" s="1"/>
  <c r="CM9" i="99" s="1"/>
  <c r="CC74" i="99"/>
  <c r="BG68" i="99"/>
  <c r="BK68" i="99" s="1"/>
  <c r="BQ68" i="99"/>
  <c r="BU68" i="99" s="1"/>
  <c r="BY68" i="99" s="1"/>
  <c r="CE68" i="99" s="1"/>
  <c r="CI68" i="99" s="1"/>
  <c r="CM68" i="99" s="1"/>
  <c r="BQ47" i="99"/>
  <c r="BU47" i="99" s="1"/>
  <c r="BY47" i="99" s="1"/>
  <c r="CE47" i="99" s="1"/>
  <c r="CI47" i="99" s="1"/>
  <c r="CM47" i="99" s="1"/>
  <c r="BG47" i="99"/>
  <c r="BK47" i="99" s="1"/>
  <c r="BC74" i="99"/>
  <c r="BQ6" i="99"/>
  <c r="BG6" i="99"/>
  <c r="BG37" i="99"/>
  <c r="BK37" i="99" s="1"/>
  <c r="BQ37" i="99"/>
  <c r="BU37" i="99" s="1"/>
  <c r="BY37" i="99" s="1"/>
  <c r="CE37" i="99" s="1"/>
  <c r="CI37" i="99" s="1"/>
  <c r="CM37" i="99" s="1"/>
  <c r="CS14" i="99"/>
  <c r="CU74" i="99"/>
  <c r="BG58" i="99"/>
  <c r="BK58" i="99" s="1"/>
  <c r="BQ58" i="99"/>
  <c r="BU58" i="99" s="1"/>
  <c r="BY58" i="99" s="1"/>
  <c r="CE58" i="99" s="1"/>
  <c r="CI58" i="99" s="1"/>
  <c r="CM58" i="99" s="1"/>
  <c r="BG66" i="99"/>
  <c r="BK66" i="99" s="1"/>
  <c r="BQ66" i="99"/>
  <c r="BU66" i="99" s="1"/>
  <c r="BY66" i="99" s="1"/>
  <c r="CE66" i="99" s="1"/>
  <c r="CI66" i="99" s="1"/>
  <c r="CM66" i="99" s="1"/>
  <c r="BQ30" i="99"/>
  <c r="BU30" i="99" s="1"/>
  <c r="BY30" i="99" s="1"/>
  <c r="CE30" i="99" s="1"/>
  <c r="CI30" i="99" s="1"/>
  <c r="CM30" i="99" s="1"/>
  <c r="BG30" i="99"/>
  <c r="BK30" i="99" s="1"/>
  <c r="BQ73" i="99"/>
  <c r="BU73" i="99" s="1"/>
  <c r="BY73" i="99" s="1"/>
  <c r="CE73" i="99" s="1"/>
  <c r="CI73" i="99" s="1"/>
  <c r="CM73" i="99" s="1"/>
  <c r="BG73" i="99"/>
  <c r="BK73" i="99" s="1"/>
  <c r="BQ28" i="99"/>
  <c r="BU28" i="99" s="1"/>
  <c r="BY28" i="99" s="1"/>
  <c r="CE28" i="99" s="1"/>
  <c r="CI28" i="99" s="1"/>
  <c r="CM28" i="99" s="1"/>
  <c r="BG28" i="99"/>
  <c r="BK28" i="99" s="1"/>
  <c r="BG19" i="99"/>
  <c r="BK19" i="99" s="1"/>
  <c r="BQ19" i="99"/>
  <c r="BU19" i="99" s="1"/>
  <c r="BY19" i="99" s="1"/>
  <c r="CE19" i="99" s="1"/>
  <c r="CI19" i="99" s="1"/>
  <c r="CM19" i="99" s="1"/>
  <c r="BG64" i="99"/>
  <c r="BK64" i="99" s="1"/>
  <c r="BQ64" i="99"/>
  <c r="BU64" i="99" s="1"/>
  <c r="BY64" i="99" s="1"/>
  <c r="CE64" i="99" s="1"/>
  <c r="CI64" i="99" s="1"/>
  <c r="CM64" i="99" s="1"/>
  <c r="BG42" i="99"/>
  <c r="BK42" i="99" s="1"/>
  <c r="BQ42" i="99"/>
  <c r="BU42" i="99" s="1"/>
  <c r="BY42" i="99" s="1"/>
  <c r="CE42" i="99" s="1"/>
  <c r="CI42" i="99" s="1"/>
  <c r="CM42" i="99" s="1"/>
  <c r="BG56" i="99"/>
  <c r="BK56" i="99" s="1"/>
  <c r="BQ56" i="99"/>
  <c r="BU56" i="99" s="1"/>
  <c r="BY56" i="99" s="1"/>
  <c r="CE56" i="99" s="1"/>
  <c r="CI56" i="99" s="1"/>
  <c r="CM56" i="99" s="1"/>
  <c r="CS71" i="99"/>
  <c r="AR74" i="99"/>
  <c r="BQ24" i="99"/>
  <c r="BU24" i="99" s="1"/>
  <c r="BY24" i="99" s="1"/>
  <c r="CE24" i="99" s="1"/>
  <c r="CI24" i="99" s="1"/>
  <c r="CM24" i="99" s="1"/>
  <c r="BG24" i="99"/>
  <c r="BK24" i="99" s="1"/>
  <c r="BG33" i="99"/>
  <c r="BK33" i="99" s="1"/>
  <c r="BQ33" i="99"/>
  <c r="BU33" i="99" s="1"/>
  <c r="BY33" i="99" s="1"/>
  <c r="CE33" i="99" s="1"/>
  <c r="CI33" i="99" s="1"/>
  <c r="CM33" i="99" s="1"/>
  <c r="CS26" i="99"/>
  <c r="CQ74" i="99"/>
  <c r="BO74" i="99"/>
  <c r="AY74" i="99"/>
  <c r="BQ26" i="99"/>
  <c r="BU26" i="99" s="1"/>
  <c r="BY26" i="99" s="1"/>
  <c r="CE26" i="99" s="1"/>
  <c r="CI26" i="99" s="1"/>
  <c r="CM26" i="99" s="1"/>
  <c r="BG26" i="99"/>
  <c r="BK26" i="99" s="1"/>
  <c r="BQ55" i="71"/>
  <c r="BU55" i="71" s="1"/>
  <c r="BY55" i="71" s="1"/>
  <c r="CE55" i="71" s="1"/>
  <c r="CI55" i="71" s="1"/>
  <c r="CM55" i="71" s="1"/>
  <c r="BG55" i="71"/>
  <c r="BK55" i="71" s="1"/>
  <c r="CS74" i="99" l="1"/>
  <c r="W101" i="90"/>
  <c r="W125" i="90"/>
  <c r="W128" i="90" s="1"/>
  <c r="BG74" i="99"/>
  <c r="BK6" i="99"/>
  <c r="BK74" i="99" s="1"/>
  <c r="BQ74" i="99"/>
  <c r="BU6" i="99"/>
  <c r="BU74" i="99" l="1"/>
  <c r="BY6" i="99"/>
  <c r="BY74" i="99" l="1"/>
  <c r="CE6" i="99"/>
  <c r="CE74" i="99" l="1"/>
  <c r="CI6" i="99"/>
  <c r="CI74" i="99" l="1"/>
  <c r="CM6" i="99"/>
  <c r="CM74" i="99" s="1"/>
  <c r="BA6" i="71" l="1"/>
  <c r="BE6" i="71"/>
  <c r="BI6" i="71"/>
  <c r="BM6" i="71"/>
  <c r="BS6" i="71"/>
  <c r="BW6" i="71"/>
  <c r="CA6" i="71"/>
  <c r="CG6" i="71"/>
  <c r="CK6" i="71"/>
  <c r="CO6" i="71"/>
  <c r="BS7" i="71"/>
  <c r="BW7" i="71"/>
  <c r="CA7" i="71"/>
  <c r="CG7" i="71"/>
  <c r="CK7" i="71"/>
  <c r="CO7" i="71"/>
  <c r="BS11" i="71"/>
  <c r="BW11" i="71"/>
  <c r="CA11" i="71"/>
  <c r="CG11" i="71"/>
  <c r="CK11" i="71"/>
  <c r="CO11" i="71"/>
  <c r="BS12" i="71"/>
  <c r="BW12" i="71"/>
  <c r="CA12" i="71"/>
  <c r="CG12" i="71"/>
  <c r="CK12" i="71"/>
  <c r="CO12" i="71"/>
  <c r="BS14" i="71"/>
  <c r="BW14" i="71"/>
  <c r="CA14" i="71"/>
  <c r="CG14" i="71"/>
  <c r="CK14" i="71"/>
  <c r="CO14" i="71"/>
  <c r="BS15" i="71"/>
  <c r="BW15" i="71"/>
  <c r="CA15" i="71"/>
  <c r="CG15" i="71"/>
  <c r="CK15" i="71"/>
  <c r="CO15" i="71"/>
  <c r="BS16" i="71"/>
  <c r="BW16" i="71"/>
  <c r="CA16" i="71"/>
  <c r="CG16" i="71"/>
  <c r="CK16" i="71"/>
  <c r="CO16" i="71"/>
  <c r="BS18" i="71"/>
  <c r="BW18" i="71"/>
  <c r="CA18" i="71"/>
  <c r="CG18" i="71"/>
  <c r="CK18" i="71"/>
  <c r="CO18" i="71"/>
  <c r="BS20" i="71"/>
  <c r="BW20" i="71"/>
  <c r="CA20" i="71"/>
  <c r="CG20" i="71"/>
  <c r="CK20" i="71"/>
  <c r="CO20" i="71"/>
  <c r="BS21" i="71"/>
  <c r="BW21" i="71"/>
  <c r="CA21" i="71"/>
  <c r="CG21" i="71"/>
  <c r="CK21" i="71"/>
  <c r="CO21" i="71"/>
  <c r="BS22" i="71"/>
  <c r="BW22" i="71"/>
  <c r="CA22" i="71"/>
  <c r="CG22" i="71"/>
  <c r="CK22" i="71"/>
  <c r="CO22" i="71"/>
  <c r="BS23" i="71"/>
  <c r="BW23" i="71"/>
  <c r="CA23" i="71"/>
  <c r="CG23" i="71"/>
  <c r="CK23" i="71"/>
  <c r="CO23" i="71"/>
  <c r="BS24" i="71"/>
  <c r="BW24" i="71"/>
  <c r="CA24" i="71"/>
  <c r="CG24" i="71"/>
  <c r="CK24" i="71"/>
  <c r="CO24" i="71"/>
  <c r="BS25" i="71"/>
  <c r="BW25" i="71"/>
  <c r="CA25" i="71"/>
  <c r="CG25" i="71"/>
  <c r="CK25" i="71"/>
  <c r="CO25" i="71"/>
  <c r="BS26" i="71"/>
  <c r="BW26" i="71"/>
  <c r="CA26" i="71"/>
  <c r="CG26" i="71"/>
  <c r="CK26" i="71"/>
  <c r="CO26" i="71"/>
  <c r="BS27" i="71"/>
  <c r="BW27" i="71"/>
  <c r="CA27" i="71"/>
  <c r="CG27" i="71"/>
  <c r="CK27" i="71"/>
  <c r="CO27" i="71"/>
  <c r="BS28" i="71"/>
  <c r="BW28" i="71"/>
  <c r="CA28" i="71"/>
  <c r="CG28" i="71"/>
  <c r="CK28" i="71"/>
  <c r="CO28" i="71"/>
  <c r="BS29" i="71"/>
  <c r="BW29" i="71"/>
  <c r="CA29" i="71"/>
  <c r="CG29" i="71"/>
  <c r="CK29" i="71"/>
  <c r="CO29" i="71"/>
  <c r="BS30" i="71"/>
  <c r="BW30" i="71"/>
  <c r="CA30" i="71"/>
  <c r="CG30" i="71"/>
  <c r="CK30" i="71"/>
  <c r="CO30" i="71"/>
  <c r="BS32" i="71"/>
  <c r="BW32" i="71"/>
  <c r="CA32" i="71"/>
  <c r="CG32" i="71"/>
  <c r="CK32" i="71"/>
  <c r="CO32" i="71"/>
  <c r="BS33" i="71"/>
  <c r="BW33" i="71"/>
  <c r="CA33" i="71"/>
  <c r="CG33" i="71"/>
  <c r="CK33" i="71"/>
  <c r="CO33" i="71"/>
  <c r="BS34" i="71"/>
  <c r="BW34" i="71"/>
  <c r="CA34" i="71"/>
  <c r="CG34" i="71"/>
  <c r="CK34" i="71"/>
  <c r="CO34" i="71"/>
  <c r="BS36" i="71"/>
  <c r="BW36" i="71"/>
  <c r="CA36" i="71"/>
  <c r="CG36" i="71"/>
  <c r="CK36" i="71"/>
  <c r="CO36" i="71"/>
  <c r="BS37" i="71"/>
  <c r="BW37" i="71"/>
  <c r="CA37" i="71"/>
  <c r="CG37" i="71"/>
  <c r="CK37" i="71"/>
  <c r="CO37" i="71"/>
  <c r="BS38" i="71"/>
  <c r="BW38" i="71"/>
  <c r="CA38" i="71"/>
  <c r="CG38" i="71"/>
  <c r="CK38" i="71"/>
  <c r="CO38" i="71"/>
  <c r="BS40" i="71"/>
  <c r="BW40" i="71"/>
  <c r="CA40" i="71"/>
  <c r="CG40" i="71"/>
  <c r="CK40" i="71"/>
  <c r="CO40" i="71"/>
  <c r="BS41" i="71"/>
  <c r="BW41" i="71"/>
  <c r="CA41" i="71"/>
  <c r="CG41" i="71"/>
  <c r="CK41" i="71"/>
  <c r="CO41" i="71"/>
  <c r="BS42" i="71"/>
  <c r="BW42" i="71"/>
  <c r="CA42" i="71"/>
  <c r="CG42" i="71"/>
  <c r="CK42" i="71"/>
  <c r="CO42" i="71"/>
  <c r="BS46" i="71"/>
  <c r="BW46" i="71"/>
  <c r="CA46" i="71"/>
  <c r="CG46" i="71"/>
  <c r="CK46" i="71"/>
  <c r="CO46" i="71"/>
  <c r="BS47" i="71"/>
  <c r="BW47" i="71"/>
  <c r="CA47" i="71"/>
  <c r="CG47" i="71"/>
  <c r="CK47" i="71"/>
  <c r="CO47" i="71"/>
  <c r="BS48" i="71"/>
  <c r="BW48" i="71"/>
  <c r="CA48" i="71"/>
  <c r="CG48" i="71"/>
  <c r="CK48" i="71"/>
  <c r="CO48" i="71"/>
  <c r="BS49" i="71"/>
  <c r="BW49" i="71"/>
  <c r="CA49" i="71"/>
  <c r="CG49" i="71"/>
  <c r="CK49" i="71"/>
  <c r="CO49" i="71"/>
  <c r="BA52" i="71"/>
  <c r="BS52" i="71"/>
  <c r="BW52" i="71"/>
  <c r="CA52" i="71"/>
  <c r="CG52" i="71"/>
  <c r="CK52" i="71"/>
  <c r="CO52" i="71"/>
  <c r="AO6" i="71"/>
  <c r="CQ15" i="71" l="1"/>
  <c r="CQ7" i="71"/>
  <c r="CC49" i="71"/>
  <c r="CC46" i="71"/>
  <c r="CC38" i="71"/>
  <c r="CC33" i="71"/>
  <c r="CC24" i="71"/>
  <c r="CC20" i="71"/>
  <c r="CC18" i="71"/>
  <c r="CQ40" i="71"/>
  <c r="CQ38" i="71"/>
  <c r="CQ34" i="71"/>
  <c r="CC37" i="71"/>
  <c r="CU34" i="71"/>
  <c r="CC14" i="71"/>
  <c r="CQ28" i="71"/>
  <c r="CQ25" i="71"/>
  <c r="CU15" i="71"/>
  <c r="CC28" i="71"/>
  <c r="CC27" i="71"/>
  <c r="CU25" i="71"/>
  <c r="CQ6" i="71"/>
  <c r="CU7" i="71"/>
  <c r="CC42" i="71"/>
  <c r="CC41" i="71"/>
  <c r="CC12" i="71"/>
  <c r="CQ21" i="71"/>
  <c r="CQ33" i="71"/>
  <c r="CQ20" i="71"/>
  <c r="CC23" i="71"/>
  <c r="CC22" i="71"/>
  <c r="BO6" i="71"/>
  <c r="CQ47" i="71"/>
  <c r="CQ29" i="71"/>
  <c r="CC52" i="71"/>
  <c r="CC32" i="71"/>
  <c r="CC30" i="71"/>
  <c r="CC11" i="71"/>
  <c r="CQ52" i="71"/>
  <c r="CC6" i="71"/>
  <c r="CQ37" i="71"/>
  <c r="CU33" i="71"/>
  <c r="CC29" i="71"/>
  <c r="CQ27" i="71"/>
  <c r="CQ26" i="71"/>
  <c r="CU24" i="71"/>
  <c r="CC21" i="71"/>
  <c r="CQ18" i="71"/>
  <c r="CQ16" i="71"/>
  <c r="CU14" i="71"/>
  <c r="CC7" i="71"/>
  <c r="CQ14" i="71"/>
  <c r="CQ46" i="71"/>
  <c r="CC36" i="71"/>
  <c r="CC26" i="71"/>
  <c r="CQ24" i="71"/>
  <c r="CC16" i="71"/>
  <c r="CU40" i="71"/>
  <c r="CU29" i="71"/>
  <c r="CU21" i="71"/>
  <c r="CU6" i="71"/>
  <c r="CC48" i="71"/>
  <c r="BO52" i="71"/>
  <c r="CQ42" i="71"/>
  <c r="CC34" i="71"/>
  <c r="CQ32" i="71"/>
  <c r="CQ30" i="71"/>
  <c r="CU28" i="71"/>
  <c r="CC25" i="71"/>
  <c r="CQ23" i="71"/>
  <c r="CQ22" i="71"/>
  <c r="CU20" i="71"/>
  <c r="CC15" i="71"/>
  <c r="CQ12" i="71"/>
  <c r="CQ11" i="71"/>
  <c r="BC52" i="71"/>
  <c r="CQ49" i="71"/>
  <c r="CU47" i="71"/>
  <c r="CC40" i="71"/>
  <c r="CC47" i="71"/>
  <c r="CQ36" i="71"/>
  <c r="CU52" i="71"/>
  <c r="CQ48" i="71"/>
  <c r="CQ41" i="71"/>
  <c r="CU38" i="71"/>
  <c r="CU46" i="71"/>
  <c r="CU49" i="71"/>
  <c r="CU42" i="71"/>
  <c r="CU37" i="71"/>
  <c r="CU32" i="71"/>
  <c r="CU27" i="71"/>
  <c r="CU23" i="71"/>
  <c r="CU18" i="71"/>
  <c r="CU12" i="71"/>
  <c r="CU48" i="71"/>
  <c r="CU41" i="71"/>
  <c r="CU36" i="71"/>
  <c r="CU30" i="71"/>
  <c r="CU26" i="71"/>
  <c r="CU22" i="71"/>
  <c r="CU16" i="71"/>
  <c r="CU11" i="71"/>
  <c r="BC7" i="71"/>
  <c r="BC6" i="71"/>
  <c r="BG7" i="71" l="1"/>
  <c r="BK7" i="71" s="1"/>
  <c r="BQ7" i="71"/>
  <c r="BU46" i="71"/>
  <c r="BY46" i="71" s="1"/>
  <c r="CE46" i="71" s="1"/>
  <c r="CI46" i="71" s="1"/>
  <c r="CM46" i="71" s="1"/>
  <c r="CS15" i="71"/>
  <c r="CS40" i="71"/>
  <c r="CS20" i="71"/>
  <c r="CS37" i="71"/>
  <c r="CS18" i="71"/>
  <c r="BU37" i="71"/>
  <c r="BY37" i="71" s="1"/>
  <c r="CE37" i="71" s="1"/>
  <c r="CI37" i="71" s="1"/>
  <c r="CM37" i="71" s="1"/>
  <c r="CS25" i="71"/>
  <c r="CS24" i="71"/>
  <c r="CS23" i="71"/>
  <c r="CS46" i="71"/>
  <c r="BU18" i="71"/>
  <c r="BY18" i="71" s="1"/>
  <c r="CE18" i="71" s="1"/>
  <c r="CI18" i="71" s="1"/>
  <c r="CM18" i="71" s="1"/>
  <c r="CS7" i="71"/>
  <c r="CS49" i="71"/>
  <c r="BU15" i="71"/>
  <c r="BY15" i="71" s="1"/>
  <c r="CE15" i="71" s="1"/>
  <c r="CI15" i="71" s="1"/>
  <c r="CM15" i="71" s="1"/>
  <c r="CS48" i="71"/>
  <c r="CS38" i="71"/>
  <c r="CS33" i="71"/>
  <c r="BU32" i="71"/>
  <c r="BY32" i="71" s="1"/>
  <c r="CE32" i="71" s="1"/>
  <c r="CI32" i="71" s="1"/>
  <c r="CM32" i="71" s="1"/>
  <c r="BU40" i="71"/>
  <c r="BY40" i="71" s="1"/>
  <c r="CE40" i="71" s="1"/>
  <c r="CI40" i="71" s="1"/>
  <c r="CM40" i="71" s="1"/>
  <c r="CS14" i="71"/>
  <c r="BU49" i="71"/>
  <c r="BY49" i="71" s="1"/>
  <c r="CE49" i="71" s="1"/>
  <c r="CI49" i="71" s="1"/>
  <c r="CM49" i="71" s="1"/>
  <c r="CS21" i="71"/>
  <c r="BU38" i="71"/>
  <c r="BY38" i="71" s="1"/>
  <c r="CE38" i="71" s="1"/>
  <c r="CI38" i="71" s="1"/>
  <c r="CM38" i="71" s="1"/>
  <c r="CS28" i="71"/>
  <c r="CS34" i="71"/>
  <c r="BU25" i="71"/>
  <c r="BY25" i="71" s="1"/>
  <c r="CE25" i="71" s="1"/>
  <c r="CI25" i="71" s="1"/>
  <c r="CM25" i="71" s="1"/>
  <c r="CS41" i="71"/>
  <c r="CS42" i="71"/>
  <c r="BU21" i="71"/>
  <c r="BY21" i="71" s="1"/>
  <c r="CE21" i="71" s="1"/>
  <c r="CI21" i="71" s="1"/>
  <c r="CM21" i="71" s="1"/>
  <c r="CS52" i="71"/>
  <c r="BU34" i="71"/>
  <c r="BY34" i="71" s="1"/>
  <c r="CE34" i="71" s="1"/>
  <c r="CI34" i="71" s="1"/>
  <c r="CM34" i="71" s="1"/>
  <c r="CS16" i="71"/>
  <c r="BQ52" i="71"/>
  <c r="BU52" i="71" s="1"/>
  <c r="BY52" i="71" s="1"/>
  <c r="CE52" i="71" s="1"/>
  <c r="CI52" i="71" s="1"/>
  <c r="CM52" i="71" s="1"/>
  <c r="CS22" i="71"/>
  <c r="CS27" i="71"/>
  <c r="CS47" i="71"/>
  <c r="BG52" i="71"/>
  <c r="BK52" i="71" s="1"/>
  <c r="CS29" i="71"/>
  <c r="CS12" i="71"/>
  <c r="CS36" i="71"/>
  <c r="BU47" i="71"/>
  <c r="BY47" i="71" s="1"/>
  <c r="CE47" i="71" s="1"/>
  <c r="CI47" i="71" s="1"/>
  <c r="CM47" i="71" s="1"/>
  <c r="CS11" i="71"/>
  <c r="CS26" i="71"/>
  <c r="BU27" i="71"/>
  <c r="BY27" i="71" s="1"/>
  <c r="CE27" i="71" s="1"/>
  <c r="CI27" i="71" s="1"/>
  <c r="CM27" i="71" s="1"/>
  <c r="BU42" i="71"/>
  <c r="BY42" i="71" s="1"/>
  <c r="CE42" i="71" s="1"/>
  <c r="CI42" i="71" s="1"/>
  <c r="CM42" i="71" s="1"/>
  <c r="BU29" i="71"/>
  <c r="BY29" i="71" s="1"/>
  <c r="CE29" i="71" s="1"/>
  <c r="CI29" i="71" s="1"/>
  <c r="CM29" i="71" s="1"/>
  <c r="CS30" i="71"/>
  <c r="CS6" i="71"/>
  <c r="BU12" i="71"/>
  <c r="BY12" i="71" s="1"/>
  <c r="CE12" i="71" s="1"/>
  <c r="CI12" i="71" s="1"/>
  <c r="CM12" i="71" s="1"/>
  <c r="CS32" i="71"/>
  <c r="BU23" i="71"/>
  <c r="BY23" i="71" s="1"/>
  <c r="CE23" i="71" s="1"/>
  <c r="CI23" i="71" s="1"/>
  <c r="CM23" i="71" s="1"/>
  <c r="BU33" i="71"/>
  <c r="BY33" i="71" s="1"/>
  <c r="CE33" i="71" s="1"/>
  <c r="CI33" i="71" s="1"/>
  <c r="CM33" i="71" s="1"/>
  <c r="BU7" i="71"/>
  <c r="BY7" i="71" s="1"/>
  <c r="CE7" i="71" s="1"/>
  <c r="CI7" i="71" s="1"/>
  <c r="CM7" i="71" s="1"/>
  <c r="BU26" i="71"/>
  <c r="BY26" i="71" s="1"/>
  <c r="CE26" i="71" s="1"/>
  <c r="CI26" i="71" s="1"/>
  <c r="CM26" i="71" s="1"/>
  <c r="BU36" i="71"/>
  <c r="BY36" i="71" s="1"/>
  <c r="CE36" i="71" s="1"/>
  <c r="CI36" i="71" s="1"/>
  <c r="CM36" i="71" s="1"/>
  <c r="BU41" i="71"/>
  <c r="BY41" i="71" s="1"/>
  <c r="CE41" i="71" s="1"/>
  <c r="CI41" i="71" s="1"/>
  <c r="CM41" i="71" s="1"/>
  <c r="BU14" i="71"/>
  <c r="BY14" i="71" s="1"/>
  <c r="CE14" i="71" s="1"/>
  <c r="CI14" i="71" s="1"/>
  <c r="CM14" i="71" s="1"/>
  <c r="BU30" i="71"/>
  <c r="BY30" i="71" s="1"/>
  <c r="CE30" i="71" s="1"/>
  <c r="CI30" i="71" s="1"/>
  <c r="CM30" i="71" s="1"/>
  <c r="BU48" i="71"/>
  <c r="BY48" i="71" s="1"/>
  <c r="CE48" i="71" s="1"/>
  <c r="CI48" i="71" s="1"/>
  <c r="CM48" i="71" s="1"/>
  <c r="BG6" i="71"/>
  <c r="BK6" i="71" s="1"/>
  <c r="BQ6" i="71"/>
  <c r="BU6" i="71" s="1"/>
  <c r="BY6" i="71" s="1"/>
  <c r="CE6" i="71" s="1"/>
  <c r="CI6" i="71" s="1"/>
  <c r="CM6" i="71" s="1"/>
  <c r="BU20" i="71"/>
  <c r="BY20" i="71" s="1"/>
  <c r="CE20" i="71" s="1"/>
  <c r="CI20" i="71" s="1"/>
  <c r="CM20" i="71" s="1"/>
  <c r="BU24" i="71"/>
  <c r="BY24" i="71" s="1"/>
  <c r="CE24" i="71" s="1"/>
  <c r="CI24" i="71" s="1"/>
  <c r="CM24" i="71" s="1"/>
  <c r="BU11" i="71"/>
  <c r="BY11" i="71" s="1"/>
  <c r="CE11" i="71" s="1"/>
  <c r="CI11" i="71" s="1"/>
  <c r="CM11" i="71" s="1"/>
  <c r="BU28" i="71"/>
  <c r="BY28" i="71" s="1"/>
  <c r="CE28" i="71" s="1"/>
  <c r="CI28" i="71" s="1"/>
  <c r="CM28" i="71" s="1"/>
  <c r="BU16" i="71"/>
  <c r="BY16" i="71" s="1"/>
  <c r="CE16" i="71" s="1"/>
  <c r="CI16" i="71" s="1"/>
  <c r="CM16" i="71" s="1"/>
  <c r="BU22" i="71"/>
  <c r="BY22" i="71" s="1"/>
  <c r="CE22" i="71" s="1"/>
  <c r="CI22" i="71" s="1"/>
  <c r="CM22" i="71" s="1"/>
  <c r="AK6" i="71" l="1"/>
  <c r="AP6" i="71" s="1"/>
  <c r="AF6" i="71"/>
  <c r="AB6" i="71"/>
  <c r="AQ6" i="71" s="1"/>
  <c r="AR6" i="71" s="1"/>
  <c r="BA69" i="77"/>
  <c r="AZ69" i="77"/>
  <c r="AM69" i="77"/>
  <c r="AL69" i="77"/>
  <c r="M69" i="77"/>
  <c r="AA69" i="77" s="1"/>
  <c r="L69" i="77"/>
  <c r="Z69" i="77" s="1"/>
  <c r="BA68" i="77"/>
  <c r="AZ68" i="77"/>
  <c r="AM68" i="77"/>
  <c r="AL68" i="77"/>
  <c r="M68" i="77"/>
  <c r="AA68" i="77" s="1"/>
  <c r="L68" i="77"/>
  <c r="Z68" i="77" s="1"/>
  <c r="BA67" i="77"/>
  <c r="AZ67" i="77"/>
  <c r="AM67" i="77"/>
  <c r="AL67" i="77"/>
  <c r="M67" i="77"/>
  <c r="AA67" i="77" s="1"/>
  <c r="L67" i="77"/>
  <c r="Z67" i="77" s="1"/>
  <c r="BA66" i="77"/>
  <c r="AZ66" i="77"/>
  <c r="AM66" i="77"/>
  <c r="AL66" i="77"/>
  <c r="M66" i="77"/>
  <c r="AA66" i="77" s="1"/>
  <c r="L66" i="77"/>
  <c r="Z66" i="77" s="1"/>
  <c r="BA65" i="77"/>
  <c r="AZ65" i="77"/>
  <c r="AM65" i="77"/>
  <c r="AL65" i="77"/>
  <c r="M65" i="77"/>
  <c r="AA65" i="77" s="1"/>
  <c r="L65" i="77"/>
  <c r="Z65" i="77" s="1"/>
  <c r="AY64" i="77"/>
  <c r="AX64" i="77"/>
  <c r="AU64" i="77"/>
  <c r="AT64" i="77"/>
  <c r="AQ64" i="77"/>
  <c r="AP64" i="77"/>
  <c r="AK64" i="77"/>
  <c r="AJ64" i="77"/>
  <c r="AG64" i="77"/>
  <c r="AF64" i="77"/>
  <c r="AC64" i="77"/>
  <c r="AB64" i="77"/>
  <c r="E64" i="77"/>
  <c r="D64" i="77"/>
  <c r="BA63" i="77"/>
  <c r="AZ63" i="77"/>
  <c r="AM63" i="77"/>
  <c r="AL63" i="77"/>
  <c r="M63" i="77"/>
  <c r="AA63" i="77" s="1"/>
  <c r="L63" i="77"/>
  <c r="Z63" i="77" s="1"/>
  <c r="BA62" i="77"/>
  <c r="AZ62" i="77"/>
  <c r="AM62" i="77"/>
  <c r="AL62" i="77"/>
  <c r="M62" i="77"/>
  <c r="AA62" i="77" s="1"/>
  <c r="L62" i="77"/>
  <c r="Z62" i="77" s="1"/>
  <c r="BA61" i="77"/>
  <c r="AZ61" i="77"/>
  <c r="AM61" i="77"/>
  <c r="AL61" i="77"/>
  <c r="M61" i="77"/>
  <c r="AA61" i="77" s="1"/>
  <c r="L61" i="77"/>
  <c r="Z61" i="77" s="1"/>
  <c r="BA60" i="77"/>
  <c r="AZ60" i="77"/>
  <c r="AM60" i="77"/>
  <c r="AL60" i="77"/>
  <c r="M60" i="77"/>
  <c r="AA60" i="77" s="1"/>
  <c r="L60" i="77"/>
  <c r="Z60" i="77" s="1"/>
  <c r="BA59" i="77"/>
  <c r="AZ59" i="77"/>
  <c r="AM59" i="77"/>
  <c r="AL59" i="77"/>
  <c r="M59" i="77"/>
  <c r="AA59" i="77" s="1"/>
  <c r="L59" i="77"/>
  <c r="Z59" i="77" s="1"/>
  <c r="BA58" i="77"/>
  <c r="AZ58" i="77"/>
  <c r="AM58" i="77"/>
  <c r="AL58" i="77"/>
  <c r="M58" i="77"/>
  <c r="AA58" i="77" s="1"/>
  <c r="L58" i="77"/>
  <c r="Z58" i="77" s="1"/>
  <c r="BA57" i="77"/>
  <c r="AZ57" i="77"/>
  <c r="AM57" i="77"/>
  <c r="AL57" i="77"/>
  <c r="M57" i="77"/>
  <c r="AA57" i="77" s="1"/>
  <c r="L57" i="77"/>
  <c r="Z57" i="77" s="1"/>
  <c r="BA56" i="77"/>
  <c r="AZ56" i="77"/>
  <c r="AM56" i="77"/>
  <c r="AL56" i="77"/>
  <c r="M56" i="77"/>
  <c r="AA56" i="77" s="1"/>
  <c r="L56" i="77"/>
  <c r="Z56" i="77" s="1"/>
  <c r="BA54" i="77"/>
  <c r="AZ54" i="77"/>
  <c r="AM54" i="77"/>
  <c r="AL54" i="77"/>
  <c r="BB54" i="77" s="1"/>
  <c r="M54" i="77"/>
  <c r="AA54" i="77" s="1"/>
  <c r="L54" i="77"/>
  <c r="Z54" i="77" s="1"/>
  <c r="BA53" i="77"/>
  <c r="AZ53" i="77"/>
  <c r="AM53" i="77"/>
  <c r="AL53" i="77"/>
  <c r="M53" i="77"/>
  <c r="AA53" i="77" s="1"/>
  <c r="L53" i="77"/>
  <c r="Z53" i="77" s="1"/>
  <c r="BA52" i="77"/>
  <c r="AZ52" i="77"/>
  <c r="AM52" i="77"/>
  <c r="AL52" i="77"/>
  <c r="M52" i="77"/>
  <c r="AA52" i="77" s="1"/>
  <c r="L52" i="77"/>
  <c r="Z52" i="77" s="1"/>
  <c r="BA51" i="77"/>
  <c r="AZ51" i="77"/>
  <c r="AM51" i="77"/>
  <c r="AL51" i="77"/>
  <c r="M51" i="77"/>
  <c r="AA51" i="77" s="1"/>
  <c r="L51" i="77"/>
  <c r="Z51" i="77" s="1"/>
  <c r="BA50" i="77"/>
  <c r="AZ50" i="77"/>
  <c r="AM50" i="77"/>
  <c r="AL50" i="77"/>
  <c r="M50" i="77"/>
  <c r="AA50" i="77" s="1"/>
  <c r="L50" i="77"/>
  <c r="Z50" i="77" s="1"/>
  <c r="BA49" i="77"/>
  <c r="AZ49" i="77"/>
  <c r="AM49" i="77"/>
  <c r="AL49" i="77"/>
  <c r="M49" i="77"/>
  <c r="AA49" i="77" s="1"/>
  <c r="L49" i="77"/>
  <c r="Z49" i="77" s="1"/>
  <c r="BA48" i="77"/>
  <c r="AZ48" i="77"/>
  <c r="AM48" i="77"/>
  <c r="AL48" i="77"/>
  <c r="M48" i="77"/>
  <c r="AA48" i="77" s="1"/>
  <c r="L48" i="77"/>
  <c r="Z48" i="77" s="1"/>
  <c r="AY47" i="77"/>
  <c r="AX47" i="77"/>
  <c r="AU47" i="77"/>
  <c r="AT47" i="77"/>
  <c r="AQ47" i="77"/>
  <c r="AP47" i="77"/>
  <c r="AK47" i="77"/>
  <c r="AJ47" i="77"/>
  <c r="AG47" i="77"/>
  <c r="AF47" i="77"/>
  <c r="AC47" i="77"/>
  <c r="AB47" i="77"/>
  <c r="E47" i="77"/>
  <c r="D47" i="77"/>
  <c r="BA46" i="77"/>
  <c r="AZ46" i="77"/>
  <c r="AM46" i="77"/>
  <c r="AL46" i="77"/>
  <c r="M46" i="77"/>
  <c r="AA46" i="77" s="1"/>
  <c r="L46" i="77"/>
  <c r="Z46" i="77" s="1"/>
  <c r="BA45" i="77"/>
  <c r="AZ45" i="77"/>
  <c r="AM45" i="77"/>
  <c r="AL45" i="77"/>
  <c r="M45" i="77"/>
  <c r="AA45" i="77" s="1"/>
  <c r="L45" i="77"/>
  <c r="Z45" i="77" s="1"/>
  <c r="BA44" i="77"/>
  <c r="AZ44" i="77"/>
  <c r="AM44" i="77"/>
  <c r="AL44" i="77"/>
  <c r="M44" i="77"/>
  <c r="AA44" i="77" s="1"/>
  <c r="L44" i="77"/>
  <c r="Z44" i="77" s="1"/>
  <c r="BA43" i="77"/>
  <c r="AZ43" i="77"/>
  <c r="AM43" i="77"/>
  <c r="AL43" i="77"/>
  <c r="M43" i="77"/>
  <c r="AA43" i="77" s="1"/>
  <c r="L43" i="77"/>
  <c r="Z43" i="77" s="1"/>
  <c r="BA42" i="77"/>
  <c r="AZ42" i="77"/>
  <c r="AM42" i="77"/>
  <c r="AL42" i="77"/>
  <c r="M42" i="77"/>
  <c r="AA42" i="77" s="1"/>
  <c r="L42" i="77"/>
  <c r="Z42" i="77" s="1"/>
  <c r="BA41" i="77"/>
  <c r="AZ41" i="77"/>
  <c r="AM41" i="77"/>
  <c r="AL41" i="77"/>
  <c r="M41" i="77"/>
  <c r="AA41" i="77" s="1"/>
  <c r="L41" i="77"/>
  <c r="Z41" i="77" s="1"/>
  <c r="BA40" i="77"/>
  <c r="AZ40" i="77"/>
  <c r="AM40" i="77"/>
  <c r="AL40" i="77"/>
  <c r="M40" i="77"/>
  <c r="AA40" i="77" s="1"/>
  <c r="L40" i="77"/>
  <c r="Z40" i="77" s="1"/>
  <c r="BA39" i="77"/>
  <c r="AZ39" i="77"/>
  <c r="AM39" i="77"/>
  <c r="AL39" i="77"/>
  <c r="M39" i="77"/>
  <c r="AA39" i="77" s="1"/>
  <c r="L39" i="77"/>
  <c r="Z39" i="77" s="1"/>
  <c r="BA37" i="77"/>
  <c r="AZ37" i="77"/>
  <c r="AM37" i="77"/>
  <c r="AL37" i="77"/>
  <c r="M37" i="77"/>
  <c r="AA37" i="77" s="1"/>
  <c r="L37" i="77"/>
  <c r="Z37" i="77" s="1"/>
  <c r="AY36" i="77"/>
  <c r="AX36" i="77"/>
  <c r="AU36" i="77"/>
  <c r="AT36" i="77"/>
  <c r="AQ36" i="77"/>
  <c r="AP36" i="77"/>
  <c r="AK36" i="77"/>
  <c r="AJ36" i="77"/>
  <c r="AG36" i="77"/>
  <c r="AF36" i="77"/>
  <c r="AC36" i="77"/>
  <c r="AB36" i="77"/>
  <c r="E36" i="77"/>
  <c r="D36" i="77"/>
  <c r="BA35" i="77"/>
  <c r="AZ35" i="77"/>
  <c r="AM35" i="77"/>
  <c r="AL35" i="77"/>
  <c r="M35" i="77"/>
  <c r="AA35" i="77" s="1"/>
  <c r="L35" i="77"/>
  <c r="Z35" i="77" s="1"/>
  <c r="BA34" i="77"/>
  <c r="AZ34" i="77"/>
  <c r="AM34" i="77"/>
  <c r="AL34" i="77"/>
  <c r="M34" i="77"/>
  <c r="AA34" i="77" s="1"/>
  <c r="L34" i="77"/>
  <c r="Z34" i="77" s="1"/>
  <c r="BA33" i="77"/>
  <c r="AZ33" i="77"/>
  <c r="AM33" i="77"/>
  <c r="AL33" i="77"/>
  <c r="M33" i="77"/>
  <c r="AA33" i="77" s="1"/>
  <c r="L33" i="77"/>
  <c r="Z33" i="77" s="1"/>
  <c r="AY32" i="77"/>
  <c r="AX32" i="77"/>
  <c r="AU32" i="77"/>
  <c r="AT32" i="77"/>
  <c r="AQ32" i="77"/>
  <c r="AP32" i="77"/>
  <c r="AK32" i="77"/>
  <c r="AJ32" i="77"/>
  <c r="AG32" i="77"/>
  <c r="AF32" i="77"/>
  <c r="AC32" i="77"/>
  <c r="AB32" i="77"/>
  <c r="E32" i="77"/>
  <c r="D32" i="77"/>
  <c r="BA31" i="77"/>
  <c r="AZ31" i="77"/>
  <c r="AM31" i="77"/>
  <c r="AL31" i="77"/>
  <c r="M31" i="77"/>
  <c r="AA31" i="77" s="1"/>
  <c r="L31" i="77"/>
  <c r="Z31" i="77" s="1"/>
  <c r="BA30" i="77"/>
  <c r="AZ30" i="77"/>
  <c r="AM30" i="77"/>
  <c r="AL30" i="77"/>
  <c r="M30" i="77"/>
  <c r="AA30" i="77" s="1"/>
  <c r="L30" i="77"/>
  <c r="Z30" i="77" s="1"/>
  <c r="BA29" i="77"/>
  <c r="AZ29" i="77"/>
  <c r="AM29" i="77"/>
  <c r="AL29" i="77"/>
  <c r="M29" i="77"/>
  <c r="AA29" i="77" s="1"/>
  <c r="L29" i="77"/>
  <c r="Z29" i="77" s="1"/>
  <c r="BA28" i="77"/>
  <c r="AZ28" i="77"/>
  <c r="AM28" i="77"/>
  <c r="AL28" i="77"/>
  <c r="M28" i="77"/>
  <c r="AA28" i="77" s="1"/>
  <c r="L28" i="77"/>
  <c r="Z28" i="77" s="1"/>
  <c r="BA27" i="77"/>
  <c r="AZ27" i="77"/>
  <c r="AM27" i="77"/>
  <c r="AL27" i="77"/>
  <c r="M27" i="77"/>
  <c r="AA27" i="77" s="1"/>
  <c r="L27" i="77"/>
  <c r="Z27" i="77" s="1"/>
  <c r="AY26" i="77"/>
  <c r="AX26" i="77"/>
  <c r="AU26" i="77"/>
  <c r="AT26" i="77"/>
  <c r="AQ26" i="77"/>
  <c r="AP26" i="77"/>
  <c r="AK26" i="77"/>
  <c r="AJ26" i="77"/>
  <c r="AG26" i="77"/>
  <c r="AF26" i="77"/>
  <c r="AC26" i="77"/>
  <c r="AB26" i="77"/>
  <c r="E26" i="77"/>
  <c r="D26" i="77"/>
  <c r="BA25" i="77"/>
  <c r="AZ25" i="77"/>
  <c r="AM25" i="77"/>
  <c r="AL25" i="77"/>
  <c r="M25" i="77"/>
  <c r="AA25" i="77" s="1"/>
  <c r="L25" i="77"/>
  <c r="Z25" i="77" s="1"/>
  <c r="BA24" i="77"/>
  <c r="AZ24" i="77"/>
  <c r="AM24" i="77"/>
  <c r="AL24" i="77"/>
  <c r="M24" i="77"/>
  <c r="AA24" i="77" s="1"/>
  <c r="L24" i="77"/>
  <c r="Z24" i="77" s="1"/>
  <c r="BA23" i="77"/>
  <c r="AZ23" i="77"/>
  <c r="AM23" i="77"/>
  <c r="AL23" i="77"/>
  <c r="M23" i="77"/>
  <c r="AA23" i="77" s="1"/>
  <c r="L23" i="77"/>
  <c r="Z23" i="77" s="1"/>
  <c r="BA22" i="77"/>
  <c r="AZ22" i="77"/>
  <c r="AM22" i="77"/>
  <c r="AL22" i="77"/>
  <c r="M22" i="77"/>
  <c r="AA22" i="77" s="1"/>
  <c r="L22" i="77"/>
  <c r="Z22" i="77" s="1"/>
  <c r="AY21" i="77"/>
  <c r="AX21" i="77"/>
  <c r="AU21" i="77"/>
  <c r="AT21" i="77"/>
  <c r="AQ21" i="77"/>
  <c r="AP21" i="77"/>
  <c r="AK21" i="77"/>
  <c r="AJ21" i="77"/>
  <c r="AG21" i="77"/>
  <c r="AF21" i="77"/>
  <c r="AC21" i="77"/>
  <c r="AB21" i="77"/>
  <c r="D21" i="77"/>
  <c r="BA20" i="77"/>
  <c r="AZ20" i="77"/>
  <c r="AM20" i="77"/>
  <c r="AL20" i="77"/>
  <c r="M20" i="77"/>
  <c r="AA20" i="77" s="1"/>
  <c r="L20" i="77"/>
  <c r="Z20" i="77" s="1"/>
  <c r="BA19" i="77"/>
  <c r="AZ19" i="77"/>
  <c r="AM19" i="77"/>
  <c r="AL19" i="77"/>
  <c r="M19" i="77"/>
  <c r="AA19" i="77" s="1"/>
  <c r="L19" i="77"/>
  <c r="Z19" i="77" s="1"/>
  <c r="BA15" i="77"/>
  <c r="AZ15" i="77"/>
  <c r="AM15" i="77"/>
  <c r="AL15" i="77"/>
  <c r="M15" i="77"/>
  <c r="AA15" i="77" s="1"/>
  <c r="L15" i="77"/>
  <c r="Z15" i="77" s="1"/>
  <c r="BA14" i="77"/>
  <c r="AZ14" i="77"/>
  <c r="AM14" i="77"/>
  <c r="AL14" i="77"/>
  <c r="M14" i="77"/>
  <c r="AA14" i="77" s="1"/>
  <c r="L14" i="77"/>
  <c r="Z14" i="77" s="1"/>
  <c r="AY13" i="77"/>
  <c r="AX13" i="77"/>
  <c r="AU13" i="77"/>
  <c r="AT13" i="77"/>
  <c r="AQ13" i="77"/>
  <c r="AP13" i="77"/>
  <c r="AK13" i="77"/>
  <c r="AJ13" i="77"/>
  <c r="AG13" i="77"/>
  <c r="AF13" i="77"/>
  <c r="AC13" i="77"/>
  <c r="AB13" i="77"/>
  <c r="E13" i="77"/>
  <c r="D13" i="77"/>
  <c r="BA12" i="77"/>
  <c r="AZ12" i="77"/>
  <c r="AM12" i="77"/>
  <c r="AL12" i="77"/>
  <c r="M12" i="77"/>
  <c r="AA12" i="77" s="1"/>
  <c r="L12" i="77"/>
  <c r="Z12" i="77" s="1"/>
  <c r="BA11" i="77"/>
  <c r="AZ11" i="77"/>
  <c r="AM11" i="77"/>
  <c r="AL11" i="77"/>
  <c r="M11" i="77"/>
  <c r="AA11" i="77" s="1"/>
  <c r="L11" i="77"/>
  <c r="Z11" i="77" s="1"/>
  <c r="BA10" i="77"/>
  <c r="AZ10" i="77"/>
  <c r="AM10" i="77"/>
  <c r="AL10" i="77"/>
  <c r="M10" i="77"/>
  <c r="AA10" i="77" s="1"/>
  <c r="L10" i="77"/>
  <c r="Z10" i="77" s="1"/>
  <c r="BA9" i="77"/>
  <c r="AZ9" i="77"/>
  <c r="AM9" i="77"/>
  <c r="AL9" i="77"/>
  <c r="M9" i="77"/>
  <c r="AA9" i="77" s="1"/>
  <c r="L9" i="77"/>
  <c r="Z9" i="77" s="1"/>
  <c r="BA8" i="77"/>
  <c r="AZ8" i="77"/>
  <c r="AM8" i="77"/>
  <c r="AL8" i="77"/>
  <c r="M8" i="77"/>
  <c r="AA8" i="77" s="1"/>
  <c r="L8" i="77"/>
  <c r="Z8" i="77" s="1"/>
  <c r="AY7" i="77"/>
  <c r="AX7" i="77"/>
  <c r="AU7" i="77"/>
  <c r="AT7" i="77"/>
  <c r="AQ7" i="77"/>
  <c r="AP7" i="77"/>
  <c r="AK7" i="77"/>
  <c r="AJ7" i="77"/>
  <c r="AG7" i="77"/>
  <c r="AF7" i="77"/>
  <c r="AC7" i="77"/>
  <c r="AB7" i="77"/>
  <c r="E7" i="77"/>
  <c r="D7" i="77"/>
  <c r="BA6" i="77"/>
  <c r="AZ6" i="77"/>
  <c r="AM6" i="77"/>
  <c r="AL6" i="77"/>
  <c r="M6" i="77"/>
  <c r="AA6" i="77" s="1"/>
  <c r="L6" i="77"/>
  <c r="Z6" i="77" s="1"/>
  <c r="BA5" i="77"/>
  <c r="AZ5" i="77"/>
  <c r="AM5" i="77"/>
  <c r="AL5" i="77"/>
  <c r="M5" i="77"/>
  <c r="AA5" i="77" s="1"/>
  <c r="L5" i="77"/>
  <c r="Z5" i="77" s="1"/>
  <c r="BA4" i="77"/>
  <c r="AZ4" i="77"/>
  <c r="AM4" i="77"/>
  <c r="AL4" i="77"/>
  <c r="Y4" i="77"/>
  <c r="X4" i="77"/>
  <c r="M4" i="77"/>
  <c r="L4" i="77"/>
  <c r="I4" i="77"/>
  <c r="H4" i="77"/>
  <c r="BB68" i="77" l="1"/>
  <c r="P11" i="77"/>
  <c r="T11" i="77" s="1"/>
  <c r="P15" i="77"/>
  <c r="T15" i="77" s="1"/>
  <c r="H21" i="77"/>
  <c r="I32" i="77"/>
  <c r="I36" i="77"/>
  <c r="I47" i="77"/>
  <c r="I64" i="77"/>
  <c r="H7" i="77"/>
  <c r="P8" i="77"/>
  <c r="T8" i="77" s="1"/>
  <c r="I7" i="77"/>
  <c r="Q8" i="77"/>
  <c r="U8" i="77" s="1"/>
  <c r="Q11" i="77"/>
  <c r="U11" i="77" s="1"/>
  <c r="Q15" i="77"/>
  <c r="U15" i="77" s="1"/>
  <c r="H26" i="77"/>
  <c r="P5" i="77"/>
  <c r="T5" i="77" s="1"/>
  <c r="P9" i="77"/>
  <c r="T9" i="77" s="1"/>
  <c r="P12" i="77"/>
  <c r="T12" i="77" s="1"/>
  <c r="I26" i="77"/>
  <c r="Q9" i="77"/>
  <c r="U9" i="77" s="1"/>
  <c r="Q12" i="77"/>
  <c r="U12" i="77" s="1"/>
  <c r="Q5" i="77"/>
  <c r="U5" i="77" s="1"/>
  <c r="P6" i="77"/>
  <c r="T6" i="77" s="1"/>
  <c r="P10" i="77"/>
  <c r="T10" i="77" s="1"/>
  <c r="H13" i="77"/>
  <c r="P14" i="77"/>
  <c r="T14" i="77" s="1"/>
  <c r="Q6" i="77"/>
  <c r="U6" i="77" s="1"/>
  <c r="Q10" i="77"/>
  <c r="U10" i="77" s="1"/>
  <c r="I13" i="77"/>
  <c r="Q14" i="77"/>
  <c r="U14" i="77" s="1"/>
  <c r="H32" i="77"/>
  <c r="H36" i="77"/>
  <c r="H47" i="77"/>
  <c r="H64" i="77"/>
  <c r="BC24" i="77"/>
  <c r="BC48" i="77"/>
  <c r="BB52" i="77"/>
  <c r="BC30" i="77"/>
  <c r="BC25" i="77"/>
  <c r="Q27" i="77"/>
  <c r="U27" i="77" s="1"/>
  <c r="Q30" i="77"/>
  <c r="U30" i="77" s="1"/>
  <c r="Q33" i="77"/>
  <c r="U33" i="77" s="1"/>
  <c r="Q43" i="77"/>
  <c r="U43" i="77" s="1"/>
  <c r="Q46" i="77"/>
  <c r="U46" i="77" s="1"/>
  <c r="Q59" i="77"/>
  <c r="U59" i="77" s="1"/>
  <c r="Q62" i="77"/>
  <c r="U62" i="77" s="1"/>
  <c r="Q68" i="77"/>
  <c r="U68" i="77" s="1"/>
  <c r="P28" i="77"/>
  <c r="T28" i="77" s="1"/>
  <c r="P34" i="77"/>
  <c r="T34" i="77" s="1"/>
  <c r="P41" i="77"/>
  <c r="T41" i="77" s="1"/>
  <c r="P44" i="77"/>
  <c r="T44" i="77" s="1"/>
  <c r="P53" i="77"/>
  <c r="T53" i="77" s="1"/>
  <c r="P57" i="77"/>
  <c r="T57" i="77" s="1"/>
  <c r="P63" i="77"/>
  <c r="T63" i="77" s="1"/>
  <c r="P66" i="77"/>
  <c r="T66" i="77" s="1"/>
  <c r="P69" i="77"/>
  <c r="T69" i="77" s="1"/>
  <c r="P19" i="77"/>
  <c r="T19" i="77" s="1"/>
  <c r="Q28" i="77"/>
  <c r="U28" i="77" s="1"/>
  <c r="Q53" i="77"/>
  <c r="U53" i="77" s="1"/>
  <c r="Q63" i="77"/>
  <c r="U63" i="77" s="1"/>
  <c r="Q66" i="77"/>
  <c r="U66" i="77" s="1"/>
  <c r="P35" i="77"/>
  <c r="T35" i="77" s="1"/>
  <c r="P39" i="77"/>
  <c r="T39" i="77" s="1"/>
  <c r="P42" i="77"/>
  <c r="T42" i="77" s="1"/>
  <c r="P45" i="77"/>
  <c r="T45" i="77" s="1"/>
  <c r="P48" i="77"/>
  <c r="T48" i="77" s="1"/>
  <c r="P61" i="77"/>
  <c r="T61" i="77" s="1"/>
  <c r="P67" i="77"/>
  <c r="T67" i="77" s="1"/>
  <c r="P20" i="77"/>
  <c r="T20" i="77" s="1"/>
  <c r="Q23" i="77"/>
  <c r="U23" i="77" s="1"/>
  <c r="Q42" i="77"/>
  <c r="U42" i="77" s="1"/>
  <c r="Q48" i="77"/>
  <c r="U48" i="77" s="1"/>
  <c r="Q54" i="77"/>
  <c r="U54" i="77" s="1"/>
  <c r="BC56" i="77"/>
  <c r="Q58" i="77"/>
  <c r="U58" i="77" s="1"/>
  <c r="Q61" i="77"/>
  <c r="U61" i="77" s="1"/>
  <c r="BC61" i="77"/>
  <c r="Q67" i="77"/>
  <c r="U67" i="77" s="1"/>
  <c r="BC68" i="77"/>
  <c r="Q20" i="77"/>
  <c r="U20" i="77" s="1"/>
  <c r="P24" i="77"/>
  <c r="T24" i="77" s="1"/>
  <c r="P27" i="77"/>
  <c r="T27" i="77" s="1"/>
  <c r="P30" i="77"/>
  <c r="T30" i="77" s="1"/>
  <c r="BB31" i="77"/>
  <c r="P40" i="77"/>
  <c r="T40" i="77" s="1"/>
  <c r="P43" i="77"/>
  <c r="T43" i="77" s="1"/>
  <c r="P52" i="77"/>
  <c r="T52" i="77" s="1"/>
  <c r="P59" i="77"/>
  <c r="T59" i="77" s="1"/>
  <c r="BB60" i="77"/>
  <c r="P65" i="77"/>
  <c r="T65" i="77" s="1"/>
  <c r="BB29" i="77"/>
  <c r="BC27" i="77"/>
  <c r="BC37" i="77"/>
  <c r="AE39" i="77"/>
  <c r="AI39" i="77" s="1"/>
  <c r="AO39" i="77" s="1"/>
  <c r="AS39" i="77" s="1"/>
  <c r="AW39" i="77" s="1"/>
  <c r="BE39" i="77" s="1"/>
  <c r="BC40" i="77"/>
  <c r="AE41" i="77"/>
  <c r="AI41" i="77" s="1"/>
  <c r="AO41" i="77" s="1"/>
  <c r="AS41" i="77" s="1"/>
  <c r="AW41" i="77" s="1"/>
  <c r="BE41" i="77" s="1"/>
  <c r="BB49" i="77"/>
  <c r="BB22" i="77"/>
  <c r="AD31" i="77"/>
  <c r="AH31" i="77" s="1"/>
  <c r="AN31" i="77" s="1"/>
  <c r="AR31" i="77" s="1"/>
  <c r="AV31" i="77" s="1"/>
  <c r="BD31" i="77" s="1"/>
  <c r="BB50" i="77"/>
  <c r="BC4" i="77"/>
  <c r="AD15" i="77"/>
  <c r="AH15" i="77" s="1"/>
  <c r="AN15" i="77" s="1"/>
  <c r="AR15" i="77" s="1"/>
  <c r="AV15" i="77" s="1"/>
  <c r="BD15" i="77" s="1"/>
  <c r="BB19" i="77"/>
  <c r="BB69" i="77"/>
  <c r="BC10" i="77"/>
  <c r="BB44" i="77"/>
  <c r="BC23" i="77"/>
  <c r="BC39" i="77"/>
  <c r="BB65" i="77"/>
  <c r="BB25" i="77"/>
  <c r="BB41" i="77"/>
  <c r="BB45" i="77"/>
  <c r="M7" i="77"/>
  <c r="AA7" i="77" s="1"/>
  <c r="BB6" i="77"/>
  <c r="BA7" i="77"/>
  <c r="BC20" i="77"/>
  <c r="AD59" i="77"/>
  <c r="AH59" i="77" s="1"/>
  <c r="AN59" i="77" s="1"/>
  <c r="AR59" i="77" s="1"/>
  <c r="AV59" i="77" s="1"/>
  <c r="BD59" i="77" s="1"/>
  <c r="BB9" i="77"/>
  <c r="AE44" i="77"/>
  <c r="AI44" i="77" s="1"/>
  <c r="AO44" i="77" s="1"/>
  <c r="AS44" i="77" s="1"/>
  <c r="AW44" i="77" s="1"/>
  <c r="BE44" i="77" s="1"/>
  <c r="AE51" i="77"/>
  <c r="AI51" i="77" s="1"/>
  <c r="AO51" i="77" s="1"/>
  <c r="AS51" i="77" s="1"/>
  <c r="AW51" i="77" s="1"/>
  <c r="BE51" i="77" s="1"/>
  <c r="BA21" i="77"/>
  <c r="AD37" i="77"/>
  <c r="AE30" i="77"/>
  <c r="AI30" i="77" s="1"/>
  <c r="AO30" i="77" s="1"/>
  <c r="AS30" i="77" s="1"/>
  <c r="AW30" i="77" s="1"/>
  <c r="BE30" i="77" s="1"/>
  <c r="AE37" i="77"/>
  <c r="AE52" i="77"/>
  <c r="AI52" i="77" s="1"/>
  <c r="AO52" i="77" s="1"/>
  <c r="AS52" i="77" s="1"/>
  <c r="AW52" i="77" s="1"/>
  <c r="BE52" i="77" s="1"/>
  <c r="BC5" i="77"/>
  <c r="AD12" i="77"/>
  <c r="AH12" i="77" s="1"/>
  <c r="AN12" i="77" s="1"/>
  <c r="AR12" i="77" s="1"/>
  <c r="AV12" i="77" s="1"/>
  <c r="BD12" i="77" s="1"/>
  <c r="AD52" i="77"/>
  <c r="AH52" i="77" s="1"/>
  <c r="AN52" i="77" s="1"/>
  <c r="AR52" i="77" s="1"/>
  <c r="AV52" i="77" s="1"/>
  <c r="BD52" i="77" s="1"/>
  <c r="AD61" i="77"/>
  <c r="AH61" i="77" s="1"/>
  <c r="AN61" i="77" s="1"/>
  <c r="AR61" i="77" s="1"/>
  <c r="AV61" i="77" s="1"/>
  <c r="BD61" i="77" s="1"/>
  <c r="BB10" i="77"/>
  <c r="AD11" i="77"/>
  <c r="AH11" i="77" s="1"/>
  <c r="AN11" i="77" s="1"/>
  <c r="AR11" i="77" s="1"/>
  <c r="AV11" i="77" s="1"/>
  <c r="BD11" i="77" s="1"/>
  <c r="AD60" i="77"/>
  <c r="AH60" i="77" s="1"/>
  <c r="AN60" i="77" s="1"/>
  <c r="AR60" i="77" s="1"/>
  <c r="AV60" i="77" s="1"/>
  <c r="BD60" i="77" s="1"/>
  <c r="M21" i="77"/>
  <c r="AA21" i="77" s="1"/>
  <c r="AD57" i="77"/>
  <c r="AH57" i="77" s="1"/>
  <c r="AN57" i="77" s="1"/>
  <c r="AR57" i="77" s="1"/>
  <c r="AV57" i="77" s="1"/>
  <c r="BD57" i="77" s="1"/>
  <c r="AD30" i="77"/>
  <c r="AH30" i="77" s="1"/>
  <c r="AN30" i="77" s="1"/>
  <c r="AR30" i="77" s="1"/>
  <c r="AV30" i="77" s="1"/>
  <c r="BD30" i="77" s="1"/>
  <c r="AD19" i="77"/>
  <c r="AE67" i="77"/>
  <c r="AI67" i="77" s="1"/>
  <c r="AO67" i="77" s="1"/>
  <c r="AS67" i="77" s="1"/>
  <c r="AW67" i="77" s="1"/>
  <c r="BE67" i="77" s="1"/>
  <c r="AD6" i="77"/>
  <c r="AH6" i="77" s="1"/>
  <c r="AN6" i="77" s="1"/>
  <c r="AR6" i="77" s="1"/>
  <c r="AV6" i="77" s="1"/>
  <c r="BD6" i="77" s="1"/>
  <c r="BC14" i="77"/>
  <c r="BB15" i="77"/>
  <c r="AE25" i="77"/>
  <c r="AI25" i="77" s="1"/>
  <c r="AO25" i="77" s="1"/>
  <c r="AS25" i="77" s="1"/>
  <c r="AW25" i="77" s="1"/>
  <c r="BE25" i="77" s="1"/>
  <c r="BB37" i="77"/>
  <c r="BC44" i="77"/>
  <c r="AE45" i="77"/>
  <c r="AI45" i="77" s="1"/>
  <c r="AO45" i="77" s="1"/>
  <c r="AS45" i="77" s="1"/>
  <c r="AW45" i="77" s="1"/>
  <c r="BE45" i="77" s="1"/>
  <c r="BB48" i="77"/>
  <c r="AD49" i="77"/>
  <c r="AH49" i="77" s="1"/>
  <c r="AN49" i="77" s="1"/>
  <c r="AR49" i="77" s="1"/>
  <c r="AV49" i="77" s="1"/>
  <c r="BD49" i="77" s="1"/>
  <c r="BB51" i="77"/>
  <c r="BA47" i="77"/>
  <c r="BB20" i="77"/>
  <c r="AD24" i="77"/>
  <c r="AH24" i="77" s="1"/>
  <c r="AN24" i="77" s="1"/>
  <c r="AR24" i="77" s="1"/>
  <c r="AV24" i="77" s="1"/>
  <c r="BD24" i="77" s="1"/>
  <c r="AL32" i="77"/>
  <c r="BC28" i="77"/>
  <c r="P37" i="77"/>
  <c r="T37" i="77" s="1"/>
  <c r="BB63" i="77"/>
  <c r="AM13" i="77"/>
  <c r="BC11" i="77"/>
  <c r="AD14" i="77"/>
  <c r="AH14" i="77" s="1"/>
  <c r="AN14" i="77" s="1"/>
  <c r="AR14" i="77" s="1"/>
  <c r="AV14" i="77" s="1"/>
  <c r="BD14" i="77" s="1"/>
  <c r="AM26" i="77"/>
  <c r="AD28" i="77"/>
  <c r="AH28" i="77" s="1"/>
  <c r="AN28" i="77" s="1"/>
  <c r="AR28" i="77" s="1"/>
  <c r="AV28" i="77" s="1"/>
  <c r="BD28" i="77" s="1"/>
  <c r="AE31" i="77"/>
  <c r="AI31" i="77" s="1"/>
  <c r="AO31" i="77" s="1"/>
  <c r="AS31" i="77" s="1"/>
  <c r="AW31" i="77" s="1"/>
  <c r="BE31" i="77" s="1"/>
  <c r="BC34" i="77"/>
  <c r="AD39" i="77"/>
  <c r="AH39" i="77" s="1"/>
  <c r="AN39" i="77" s="1"/>
  <c r="AR39" i="77" s="1"/>
  <c r="AV39" i="77" s="1"/>
  <c r="BD39" i="77" s="1"/>
  <c r="AE42" i="77"/>
  <c r="AI42" i="77" s="1"/>
  <c r="AO42" i="77" s="1"/>
  <c r="AS42" i="77" s="1"/>
  <c r="AW42" i="77" s="1"/>
  <c r="BE42" i="77" s="1"/>
  <c r="BB53" i="77"/>
  <c r="AE60" i="77"/>
  <c r="AI60" i="77" s="1"/>
  <c r="AO60" i="77" s="1"/>
  <c r="AS60" i="77" s="1"/>
  <c r="AW60" i="77" s="1"/>
  <c r="BE60" i="77" s="1"/>
  <c r="BB5" i="77"/>
  <c r="BB14" i="77"/>
  <c r="BC15" i="77"/>
  <c r="AD22" i="77"/>
  <c r="AH22" i="77" s="1"/>
  <c r="AN22" i="77" s="1"/>
  <c r="AR22" i="77" s="1"/>
  <c r="BB23" i="77"/>
  <c r="BB24" i="77"/>
  <c r="AZ32" i="77"/>
  <c r="AE28" i="77"/>
  <c r="AI28" i="77" s="1"/>
  <c r="AO28" i="77" s="1"/>
  <c r="AS28" i="77" s="1"/>
  <c r="AW28" i="77" s="1"/>
  <c r="BE28" i="77" s="1"/>
  <c r="BC29" i="77"/>
  <c r="BB33" i="77"/>
  <c r="BB39" i="77"/>
  <c r="AE40" i="77"/>
  <c r="AI40" i="77" s="1"/>
  <c r="AO40" i="77" s="1"/>
  <c r="AS40" i="77" s="1"/>
  <c r="AW40" i="77" s="1"/>
  <c r="BE40" i="77" s="1"/>
  <c r="BB43" i="77"/>
  <c r="AE48" i="77"/>
  <c r="AI48" i="77" s="1"/>
  <c r="AO48" i="77" s="1"/>
  <c r="AS48" i="77" s="1"/>
  <c r="AW48" i="77" s="1"/>
  <c r="BE48" i="77" s="1"/>
  <c r="BC49" i="77"/>
  <c r="BB57" i="77"/>
  <c r="AE12" i="77"/>
  <c r="AI12" i="77" s="1"/>
  <c r="AO12" i="77" s="1"/>
  <c r="AS12" i="77" s="1"/>
  <c r="AW12" i="77" s="1"/>
  <c r="BE12" i="77" s="1"/>
  <c r="L21" i="77"/>
  <c r="Z21" i="77" s="1"/>
  <c r="BA32" i="77"/>
  <c r="L47" i="77"/>
  <c r="Z47" i="77" s="1"/>
  <c r="AM32" i="77"/>
  <c r="BC6" i="77"/>
  <c r="L7" i="77"/>
  <c r="Z7" i="77" s="1"/>
  <c r="AD5" i="77"/>
  <c r="AH5" i="77" s="1"/>
  <c r="AN5" i="77" s="1"/>
  <c r="AR5" i="77" s="1"/>
  <c r="AV5" i="77" s="1"/>
  <c r="BD5" i="77" s="1"/>
  <c r="BC9" i="77"/>
  <c r="AZ13" i="77"/>
  <c r="AL21" i="77"/>
  <c r="BB27" i="77"/>
  <c r="P31" i="77"/>
  <c r="T31" i="77" s="1"/>
  <c r="AD41" i="77"/>
  <c r="AH41" i="77" s="1"/>
  <c r="AN41" i="77" s="1"/>
  <c r="AR41" i="77" s="1"/>
  <c r="AV41" i="77" s="1"/>
  <c r="BD41" i="77" s="1"/>
  <c r="BC57" i="77"/>
  <c r="P60" i="77"/>
  <c r="T60" i="77" s="1"/>
  <c r="BC69" i="77"/>
  <c r="AD20" i="77"/>
  <c r="AH20" i="77" s="1"/>
  <c r="AN20" i="77" s="1"/>
  <c r="AR20" i="77" s="1"/>
  <c r="AV20" i="77" s="1"/>
  <c r="BD20" i="77" s="1"/>
  <c r="AE27" i="77"/>
  <c r="AD33" i="77"/>
  <c r="AZ36" i="77"/>
  <c r="AD44" i="77"/>
  <c r="AH44" i="77" s="1"/>
  <c r="AN44" i="77" s="1"/>
  <c r="AR44" i="77" s="1"/>
  <c r="AV44" i="77" s="1"/>
  <c r="BD44" i="77" s="1"/>
  <c r="Q45" i="77"/>
  <c r="U45" i="77" s="1"/>
  <c r="AE46" i="77"/>
  <c r="AI46" i="77" s="1"/>
  <c r="AO46" i="77" s="1"/>
  <c r="AS46" i="77" s="1"/>
  <c r="AW46" i="77" s="1"/>
  <c r="BE46" i="77" s="1"/>
  <c r="AD48" i="77"/>
  <c r="AH48" i="77" s="1"/>
  <c r="AN48" i="77" s="1"/>
  <c r="AR48" i="77" s="1"/>
  <c r="AV48" i="77" s="1"/>
  <c r="BD48" i="77" s="1"/>
  <c r="BC52" i="77"/>
  <c r="AE53" i="77"/>
  <c r="AI53" i="77" s="1"/>
  <c r="AO53" i="77" s="1"/>
  <c r="AS53" i="77" s="1"/>
  <c r="AW53" i="77" s="1"/>
  <c r="BE53" i="77" s="1"/>
  <c r="BC59" i="77"/>
  <c r="Q60" i="77"/>
  <c r="U60" i="77" s="1"/>
  <c r="AD62" i="77"/>
  <c r="AH62" i="77" s="1"/>
  <c r="AN62" i="77" s="1"/>
  <c r="AR62" i="77" s="1"/>
  <c r="AV62" i="77" s="1"/>
  <c r="BD62" i="77" s="1"/>
  <c r="AD63" i="77"/>
  <c r="AH63" i="77" s="1"/>
  <c r="AN63" i="77" s="1"/>
  <c r="AR63" i="77" s="1"/>
  <c r="AV63" i="77" s="1"/>
  <c r="BD63" i="77" s="1"/>
  <c r="BC8" i="77"/>
  <c r="BC12" i="77"/>
  <c r="AE22" i="77"/>
  <c r="AI22" i="77" s="1"/>
  <c r="AO22" i="77" s="1"/>
  <c r="BA26" i="77"/>
  <c r="BB30" i="77"/>
  <c r="BB46" i="77"/>
  <c r="BC51" i="77"/>
  <c r="BC54" i="77"/>
  <c r="AD56" i="77"/>
  <c r="AH56" i="77" s="1"/>
  <c r="AN56" i="77" s="1"/>
  <c r="AR56" i="77" s="1"/>
  <c r="AV56" i="77" s="1"/>
  <c r="BD56" i="77" s="1"/>
  <c r="BB62" i="77"/>
  <c r="BB66" i="77"/>
  <c r="P4" i="77"/>
  <c r="T4" i="77" s="1"/>
  <c r="AD8" i="77"/>
  <c r="AH8" i="77" s="1"/>
  <c r="AN8" i="77" s="1"/>
  <c r="AR8" i="77" s="1"/>
  <c r="AV8" i="77" s="1"/>
  <c r="BD8" i="77" s="1"/>
  <c r="AZ21" i="77"/>
  <c r="AD23" i="77"/>
  <c r="AH23" i="77" s="1"/>
  <c r="AN23" i="77" s="1"/>
  <c r="AR23" i="77" s="1"/>
  <c r="AV23" i="77" s="1"/>
  <c r="BD23" i="77" s="1"/>
  <c r="AE24" i="77"/>
  <c r="AI24" i="77" s="1"/>
  <c r="AO24" i="77" s="1"/>
  <c r="AS24" i="77" s="1"/>
  <c r="AW24" i="77" s="1"/>
  <c r="BE24" i="77" s="1"/>
  <c r="P33" i="77"/>
  <c r="T33" i="77" s="1"/>
  <c r="BB35" i="77"/>
  <c r="BC43" i="77"/>
  <c r="BC50" i="77"/>
  <c r="BC53" i="77"/>
  <c r="BB58" i="77"/>
  <c r="BB59" i="77"/>
  <c r="P62" i="77"/>
  <c r="T62" i="77" s="1"/>
  <c r="BC62" i="77"/>
  <c r="AE66" i="77"/>
  <c r="AI66" i="77" s="1"/>
  <c r="AO66" i="77" s="1"/>
  <c r="AS66" i="77" s="1"/>
  <c r="AW66" i="77" s="1"/>
  <c r="BE66" i="77" s="1"/>
  <c r="BC66" i="77"/>
  <c r="AE59" i="77"/>
  <c r="AI59" i="77" s="1"/>
  <c r="AO59" i="77" s="1"/>
  <c r="AS59" i="77" s="1"/>
  <c r="AW59" i="77" s="1"/>
  <c r="BE59" i="77" s="1"/>
  <c r="AE62" i="77"/>
  <c r="AI62" i="77" s="1"/>
  <c r="AO62" i="77" s="1"/>
  <c r="AS62" i="77" s="1"/>
  <c r="AW62" i="77" s="1"/>
  <c r="BE62" i="77" s="1"/>
  <c r="Q52" i="77"/>
  <c r="U52" i="77" s="1"/>
  <c r="Q39" i="77"/>
  <c r="U39" i="77" s="1"/>
  <c r="AE43" i="77"/>
  <c r="AI43" i="77" s="1"/>
  <c r="AO43" i="77" s="1"/>
  <c r="AS43" i="77" s="1"/>
  <c r="AW43" i="77" s="1"/>
  <c r="BE43" i="77" s="1"/>
  <c r="AE33" i="77"/>
  <c r="M32" i="77"/>
  <c r="AA32" i="77" s="1"/>
  <c r="Q31" i="77"/>
  <c r="U31" i="77" s="1"/>
  <c r="Q25" i="77"/>
  <c r="U25" i="77" s="1"/>
  <c r="AE20" i="77"/>
  <c r="AI20" i="77" s="1"/>
  <c r="AO20" i="77" s="1"/>
  <c r="AS20" i="77" s="1"/>
  <c r="AW20" i="77" s="1"/>
  <c r="BE20" i="77" s="1"/>
  <c r="AE10" i="77"/>
  <c r="M13" i="77"/>
  <c r="AA13" i="77" s="1"/>
  <c r="AE8" i="77"/>
  <c r="AI8" i="77" s="1"/>
  <c r="AO8" i="77" s="1"/>
  <c r="AS8" i="77" s="1"/>
  <c r="AW8" i="77" s="1"/>
  <c r="BE8" i="77" s="1"/>
  <c r="Q4" i="77"/>
  <c r="U4" i="77" s="1"/>
  <c r="AE6" i="77"/>
  <c r="AI6" i="77" s="1"/>
  <c r="AO6" i="77" s="1"/>
  <c r="AS6" i="77" s="1"/>
  <c r="AW6" i="77" s="1"/>
  <c r="BE6" i="77" s="1"/>
  <c r="AE5" i="77"/>
  <c r="AI5" i="77" s="1"/>
  <c r="AO5" i="77" s="1"/>
  <c r="AS5" i="77" s="1"/>
  <c r="AW5" i="77" s="1"/>
  <c r="BE5" i="77" s="1"/>
  <c r="AG6" i="71"/>
  <c r="AD67" i="77"/>
  <c r="AH67" i="77" s="1"/>
  <c r="AN67" i="77" s="1"/>
  <c r="AR67" i="77" s="1"/>
  <c r="AV67" i="77" s="1"/>
  <c r="BD67" i="77" s="1"/>
  <c r="BB67" i="77"/>
  <c r="BC67" i="77"/>
  <c r="AE63" i="77"/>
  <c r="AI63" i="77" s="1"/>
  <c r="AO63" i="77" s="1"/>
  <c r="AS63" i="77" s="1"/>
  <c r="AW63" i="77" s="1"/>
  <c r="BE63" i="77" s="1"/>
  <c r="BC63" i="77"/>
  <c r="BB61" i="77"/>
  <c r="AE58" i="77"/>
  <c r="AI58" i="77" s="1"/>
  <c r="AO58" i="77" s="1"/>
  <c r="AS58" i="77" s="1"/>
  <c r="AW58" i="77" s="1"/>
  <c r="BE58" i="77" s="1"/>
  <c r="AZ64" i="77"/>
  <c r="AE50" i="77"/>
  <c r="AI50" i="77" s="1"/>
  <c r="AO50" i="77" s="1"/>
  <c r="AS50" i="77" s="1"/>
  <c r="AW50" i="77" s="1"/>
  <c r="BE50" i="77" s="1"/>
  <c r="BC46" i="77"/>
  <c r="AZ47" i="77"/>
  <c r="Q41" i="77"/>
  <c r="U41" i="77" s="1"/>
  <c r="BC41" i="77"/>
  <c r="AL26" i="77"/>
  <c r="P23" i="77"/>
  <c r="T23" i="77" s="1"/>
  <c r="P22" i="77"/>
  <c r="T22" i="77" s="1"/>
  <c r="Q29" i="77"/>
  <c r="U29" i="77" s="1"/>
  <c r="AD34" i="77"/>
  <c r="AH34" i="77" s="1"/>
  <c r="AN34" i="77" s="1"/>
  <c r="AR34" i="77" s="1"/>
  <c r="AV34" i="77" s="1"/>
  <c r="BD34" i="77" s="1"/>
  <c r="Q51" i="77"/>
  <c r="U51" i="77" s="1"/>
  <c r="AL7" i="77"/>
  <c r="BB4" i="77"/>
  <c r="BC33" i="77"/>
  <c r="AM36" i="77"/>
  <c r="AD9" i="77"/>
  <c r="AH9" i="77" s="1"/>
  <c r="AN9" i="77" s="1"/>
  <c r="AR9" i="77" s="1"/>
  <c r="AV9" i="77" s="1"/>
  <c r="BD9" i="77" s="1"/>
  <c r="P49" i="77"/>
  <c r="T49" i="77" s="1"/>
  <c r="P58" i="77"/>
  <c r="T58" i="77" s="1"/>
  <c r="AD58" i="77"/>
  <c r="AH58" i="77" s="1"/>
  <c r="AN58" i="77" s="1"/>
  <c r="AR58" i="77" s="1"/>
  <c r="AV58" i="77" s="1"/>
  <c r="BD58" i="77" s="1"/>
  <c r="M26" i="77"/>
  <c r="AA26" i="77" s="1"/>
  <c r="Q22" i="77"/>
  <c r="U22" i="77" s="1"/>
  <c r="BB34" i="77"/>
  <c r="AL36" i="77"/>
  <c r="AD35" i="77"/>
  <c r="AH35" i="77" s="1"/>
  <c r="AN35" i="77" s="1"/>
  <c r="AR35" i="77" s="1"/>
  <c r="AV35" i="77" s="1"/>
  <c r="BD35" i="77" s="1"/>
  <c r="Q37" i="77"/>
  <c r="U37" i="77" s="1"/>
  <c r="AE61" i="77"/>
  <c r="AI61" i="77" s="1"/>
  <c r="AO61" i="77" s="1"/>
  <c r="AS61" i="77" s="1"/>
  <c r="AW61" i="77" s="1"/>
  <c r="BE61" i="77" s="1"/>
  <c r="AM64" i="77"/>
  <c r="AE34" i="77"/>
  <c r="AI34" i="77" s="1"/>
  <c r="AO34" i="77" s="1"/>
  <c r="AS34" i="77" s="1"/>
  <c r="AW34" i="77" s="1"/>
  <c r="BE34" i="77" s="1"/>
  <c r="M36" i="77"/>
  <c r="AA36" i="77" s="1"/>
  <c r="Q34" i="77"/>
  <c r="U34" i="77" s="1"/>
  <c r="AE29" i="77"/>
  <c r="AI29" i="77" s="1"/>
  <c r="AO29" i="77" s="1"/>
  <c r="AS29" i="77" s="1"/>
  <c r="AW29" i="77" s="1"/>
  <c r="BE29" i="77" s="1"/>
  <c r="BA36" i="77"/>
  <c r="BB11" i="77"/>
  <c r="BC22" i="77"/>
  <c r="AZ7" i="77"/>
  <c r="Q50" i="77"/>
  <c r="U50" i="77" s="1"/>
  <c r="P29" i="77"/>
  <c r="T29" i="77" s="1"/>
  <c r="AD29" i="77"/>
  <c r="AH29" i="77" s="1"/>
  <c r="AN29" i="77" s="1"/>
  <c r="AR29" i="77" s="1"/>
  <c r="AV29" i="77" s="1"/>
  <c r="BD29" i="77" s="1"/>
  <c r="P50" i="77"/>
  <c r="T50" i="77" s="1"/>
  <c r="AD50" i="77"/>
  <c r="AH50" i="77" s="1"/>
  <c r="AN50" i="77" s="1"/>
  <c r="AR50" i="77" s="1"/>
  <c r="AV50" i="77" s="1"/>
  <c r="BD50" i="77" s="1"/>
  <c r="AL13" i="77"/>
  <c r="BA13" i="77"/>
  <c r="AE14" i="77"/>
  <c r="AI14" i="77" s="1"/>
  <c r="AO14" i="77" s="1"/>
  <c r="AS14" i="77" s="1"/>
  <c r="AW14" i="77" s="1"/>
  <c r="BE14" i="77" s="1"/>
  <c r="BC42" i="77"/>
  <c r="M47" i="77"/>
  <c r="AA47" i="77" s="1"/>
  <c r="AM21" i="77"/>
  <c r="BC19" i="77"/>
  <c r="BC31" i="77"/>
  <c r="BC35" i="77"/>
  <c r="L36" i="77"/>
  <c r="Z36" i="77" s="1"/>
  <c r="P54" i="77"/>
  <c r="T54" i="77" s="1"/>
  <c r="L64" i="77"/>
  <c r="Z64" i="77" s="1"/>
  <c r="Q69" i="77"/>
  <c r="U69" i="77" s="1"/>
  <c r="AE69" i="77"/>
  <c r="AI69" i="77" s="1"/>
  <c r="AO69" i="77" s="1"/>
  <c r="AS69" i="77" s="1"/>
  <c r="AW69" i="77" s="1"/>
  <c r="BE69" i="77" s="1"/>
  <c r="L32" i="77"/>
  <c r="Z32" i="77" s="1"/>
  <c r="M64" i="77"/>
  <c r="AA64" i="77" s="1"/>
  <c r="AD51" i="77"/>
  <c r="AH51" i="77" s="1"/>
  <c r="AN51" i="77" s="1"/>
  <c r="AR51" i="77" s="1"/>
  <c r="AV51" i="77" s="1"/>
  <c r="BD51" i="77" s="1"/>
  <c r="P51" i="77"/>
  <c r="T51" i="77" s="1"/>
  <c r="AA4" i="77"/>
  <c r="BA64" i="77"/>
  <c r="BC58" i="77"/>
  <c r="AE11" i="77"/>
  <c r="AI11" i="77" s="1"/>
  <c r="AO11" i="77" s="1"/>
  <c r="AS11" i="77" s="1"/>
  <c r="AW11" i="77" s="1"/>
  <c r="BE11" i="77" s="1"/>
  <c r="Q19" i="77"/>
  <c r="U19" i="77" s="1"/>
  <c r="Q35" i="77"/>
  <c r="U35" i="77" s="1"/>
  <c r="AE35" i="77"/>
  <c r="AI35" i="77" s="1"/>
  <c r="AO35" i="77" s="1"/>
  <c r="AS35" i="77" s="1"/>
  <c r="AW35" i="77" s="1"/>
  <c r="BE35" i="77" s="1"/>
  <c r="Q56" i="77"/>
  <c r="U56" i="77" s="1"/>
  <c r="AE56" i="77"/>
  <c r="AI56" i="77" s="1"/>
  <c r="AO56" i="77" s="1"/>
  <c r="AS56" i="77" s="1"/>
  <c r="AW56" i="77" s="1"/>
  <c r="BE56" i="77" s="1"/>
  <c r="AM7" i="77"/>
  <c r="L13" i="77"/>
  <c r="Z13" i="77" s="1"/>
  <c r="Q40" i="77"/>
  <c r="U40" i="77" s="1"/>
  <c r="AM47" i="77"/>
  <c r="AE49" i="77"/>
  <c r="AI49" i="77" s="1"/>
  <c r="AO49" i="77" s="1"/>
  <c r="AS49" i="77" s="1"/>
  <c r="AW49" i="77" s="1"/>
  <c r="BE49" i="77" s="1"/>
  <c r="Q49" i="77"/>
  <c r="U49" i="77" s="1"/>
  <c r="P56" i="77"/>
  <c r="T56" i="77" s="1"/>
  <c r="Q57" i="77"/>
  <c r="U57" i="77" s="1"/>
  <c r="AE57" i="77"/>
  <c r="AI57" i="77" s="1"/>
  <c r="AO57" i="77" s="1"/>
  <c r="AS57" i="77" s="1"/>
  <c r="AW57" i="77" s="1"/>
  <c r="BE57" i="77" s="1"/>
  <c r="AD25" i="77"/>
  <c r="AH25" i="77" s="1"/>
  <c r="AN25" i="77" s="1"/>
  <c r="AR25" i="77" s="1"/>
  <c r="AV25" i="77" s="1"/>
  <c r="BD25" i="77" s="1"/>
  <c r="P25" i="77"/>
  <c r="T25" i="77" s="1"/>
  <c r="Z4" i="77"/>
  <c r="BB8" i="77"/>
  <c r="AE23" i="77"/>
  <c r="AI23" i="77" s="1"/>
  <c r="AO23" i="77" s="1"/>
  <c r="AS23" i="77" s="1"/>
  <c r="AW23" i="77" s="1"/>
  <c r="BE23" i="77" s="1"/>
  <c r="Q24" i="77"/>
  <c r="U24" i="77" s="1"/>
  <c r="BC65" i="77"/>
  <c r="AD45" i="77"/>
  <c r="AH45" i="77" s="1"/>
  <c r="AN45" i="77" s="1"/>
  <c r="AR45" i="77" s="1"/>
  <c r="AV45" i="77" s="1"/>
  <c r="BD45" i="77" s="1"/>
  <c r="BC45" i="77"/>
  <c r="P46" i="77"/>
  <c r="T46" i="77" s="1"/>
  <c r="AD46" i="77"/>
  <c r="AH46" i="77" s="1"/>
  <c r="AN46" i="77" s="1"/>
  <c r="AR46" i="77" s="1"/>
  <c r="AV46" i="77" s="1"/>
  <c r="BD46" i="77" s="1"/>
  <c r="BB56" i="77"/>
  <c r="BC60" i="77"/>
  <c r="AE65" i="77"/>
  <c r="AI65" i="77" s="1"/>
  <c r="AO65" i="77" s="1"/>
  <c r="AS65" i="77" s="1"/>
  <c r="AW65" i="77" s="1"/>
  <c r="BE65" i="77" s="1"/>
  <c r="AE68" i="77"/>
  <c r="AI68" i="77" s="1"/>
  <c r="AO68" i="77" s="1"/>
  <c r="AS68" i="77" s="1"/>
  <c r="AW68" i="77" s="1"/>
  <c r="BE68" i="77" s="1"/>
  <c r="BB40" i="77"/>
  <c r="AE9" i="77"/>
  <c r="AI9" i="77" s="1"/>
  <c r="AO9" i="77" s="1"/>
  <c r="AS9" i="77" s="1"/>
  <c r="AW9" i="77" s="1"/>
  <c r="BE9" i="77" s="1"/>
  <c r="L26" i="77"/>
  <c r="Z26" i="77" s="1"/>
  <c r="AE15" i="77"/>
  <c r="AI15" i="77" s="1"/>
  <c r="AO15" i="77" s="1"/>
  <c r="AS15" i="77" s="1"/>
  <c r="AW15" i="77" s="1"/>
  <c r="BE15" i="77" s="1"/>
  <c r="BB28" i="77"/>
  <c r="AL47" i="77"/>
  <c r="AD40" i="77"/>
  <c r="AH40" i="77" s="1"/>
  <c r="AN40" i="77" s="1"/>
  <c r="AR40" i="77" s="1"/>
  <c r="AV40" i="77" s="1"/>
  <c r="BD40" i="77" s="1"/>
  <c r="Q44" i="77"/>
  <c r="U44" i="77" s="1"/>
  <c r="AL64" i="77"/>
  <c r="Q65" i="77"/>
  <c r="U65" i="77" s="1"/>
  <c r="BB12" i="77"/>
  <c r="AD43" i="77"/>
  <c r="AH43" i="77" s="1"/>
  <c r="AN43" i="77" s="1"/>
  <c r="AR43" i="77" s="1"/>
  <c r="AV43" i="77" s="1"/>
  <c r="BD43" i="77" s="1"/>
  <c r="AD66" i="77"/>
  <c r="AH66" i="77" s="1"/>
  <c r="AN66" i="77" s="1"/>
  <c r="AR66" i="77" s="1"/>
  <c r="AV66" i="77" s="1"/>
  <c r="BD66" i="77" s="1"/>
  <c r="P68" i="77"/>
  <c r="T68" i="77" s="1"/>
  <c r="AD68" i="77"/>
  <c r="AH68" i="77" s="1"/>
  <c r="AN68" i="77" s="1"/>
  <c r="AR68" i="77" s="1"/>
  <c r="AV68" i="77" s="1"/>
  <c r="BD68" i="77" s="1"/>
  <c r="AZ26" i="77"/>
  <c r="AD42" i="77"/>
  <c r="AH42" i="77" s="1"/>
  <c r="AN42" i="77" s="1"/>
  <c r="AR42" i="77" s="1"/>
  <c r="AV42" i="77" s="1"/>
  <c r="BD42" i="77" s="1"/>
  <c r="BB42" i="77"/>
  <c r="AD69" i="77"/>
  <c r="AH69" i="77" s="1"/>
  <c r="AN69" i="77" s="1"/>
  <c r="AR69" i="77" s="1"/>
  <c r="AV69" i="77" s="1"/>
  <c r="BD69" i="77" s="1"/>
  <c r="AD53" i="77"/>
  <c r="AH53" i="77" s="1"/>
  <c r="AN53" i="77" s="1"/>
  <c r="AR53" i="77" s="1"/>
  <c r="AV53" i="77" s="1"/>
  <c r="BD53" i="77" s="1"/>
  <c r="AD65" i="77"/>
  <c r="AH65" i="77" s="1"/>
  <c r="AN65" i="77" s="1"/>
  <c r="AR65" i="77" s="1"/>
  <c r="AV65" i="77" s="1"/>
  <c r="BD65" i="77" s="1"/>
  <c r="Q7" i="77" l="1"/>
  <c r="U7" i="77" s="1"/>
  <c r="P7" i="77"/>
  <c r="T7" i="77" s="1"/>
  <c r="Q13" i="77"/>
  <c r="U13" i="77" s="1"/>
  <c r="P13" i="77"/>
  <c r="T13" i="77" s="1"/>
  <c r="BB21" i="77"/>
  <c r="BC26" i="77"/>
  <c r="Q64" i="77"/>
  <c r="U64" i="77" s="1"/>
  <c r="P32" i="77"/>
  <c r="T32" i="77" s="1"/>
  <c r="Q26" i="77"/>
  <c r="U26" i="77" s="1"/>
  <c r="P21" i="77"/>
  <c r="T21" i="77" s="1"/>
  <c r="Q47" i="77"/>
  <c r="U47" i="77" s="1"/>
  <c r="Q32" i="77"/>
  <c r="U32" i="77" s="1"/>
  <c r="Q36" i="77"/>
  <c r="U36" i="77" s="1"/>
  <c r="Q21" i="77"/>
  <c r="U21" i="77" s="1"/>
  <c r="P26" i="77"/>
  <c r="T26" i="77" s="1"/>
  <c r="P36" i="77"/>
  <c r="T36" i="77" s="1"/>
  <c r="P64" i="77"/>
  <c r="T64" i="77" s="1"/>
  <c r="P47" i="77"/>
  <c r="T47" i="77" s="1"/>
  <c r="AD21" i="77"/>
  <c r="AH19" i="77"/>
  <c r="AH21" i="77" s="1"/>
  <c r="BC21" i="77"/>
  <c r="BC13" i="77"/>
  <c r="BC47" i="77"/>
  <c r="BC7" i="77"/>
  <c r="BB26" i="77"/>
  <c r="BB64" i="77"/>
  <c r="BC32" i="77"/>
  <c r="BB13" i="77"/>
  <c r="BB36" i="77"/>
  <c r="BB32" i="77"/>
  <c r="BB7" i="77"/>
  <c r="BB47" i="77"/>
  <c r="BC64" i="77"/>
  <c r="AD10" i="77"/>
  <c r="AI37" i="77"/>
  <c r="AE47" i="77"/>
  <c r="AD4" i="77"/>
  <c r="AE36" i="77"/>
  <c r="AI33" i="77"/>
  <c r="AE32" i="77"/>
  <c r="AI27" i="77"/>
  <c r="AE13" i="77"/>
  <c r="AI10" i="77"/>
  <c r="AD27" i="77"/>
  <c r="AE54" i="77"/>
  <c r="AE19" i="77"/>
  <c r="AO26" i="77"/>
  <c r="AS22" i="77"/>
  <c r="AD36" i="77"/>
  <c r="AH33" i="77"/>
  <c r="AH26" i="77"/>
  <c r="AH37" i="77"/>
  <c r="AD47" i="77"/>
  <c r="AR26" i="77"/>
  <c r="AV22" i="77"/>
  <c r="AE4" i="77"/>
  <c r="AI26" i="77"/>
  <c r="BC36" i="77"/>
  <c r="AN26" i="77"/>
  <c r="AD54" i="77"/>
  <c r="AE26" i="77"/>
  <c r="AD26" i="77"/>
  <c r="AN19" i="77" l="1"/>
  <c r="AN21" i="77" s="1"/>
  <c r="AD64" i="77"/>
  <c r="AH54" i="77"/>
  <c r="AD32" i="77"/>
  <c r="AH27" i="77"/>
  <c r="AO37" i="77"/>
  <c r="AI47" i="77"/>
  <c r="AH10" i="77"/>
  <c r="AD13" i="77"/>
  <c r="AI32" i="77"/>
  <c r="AO27" i="77"/>
  <c r="AE7" i="77"/>
  <c r="AI4" i="77"/>
  <c r="AH47" i="77"/>
  <c r="AN37" i="77"/>
  <c r="AH36" i="77"/>
  <c r="AN33" i="77"/>
  <c r="AW22" i="77"/>
  <c r="AS26" i="77"/>
  <c r="AO10" i="77"/>
  <c r="AI13" i="77"/>
  <c r="AI19" i="77"/>
  <c r="AE21" i="77"/>
  <c r="AI36" i="77"/>
  <c r="AO33" i="77"/>
  <c r="BD22" i="77"/>
  <c r="BD26" i="77" s="1"/>
  <c r="AV26" i="77"/>
  <c r="AI54" i="77"/>
  <c r="AE64" i="77"/>
  <c r="AH4" i="77"/>
  <c r="AD7" i="77"/>
  <c r="AR19" i="77" l="1"/>
  <c r="AV19" i="77" s="1"/>
  <c r="AH7" i="77"/>
  <c r="AN4" i="77"/>
  <c r="AW26" i="77"/>
  <c r="BE22" i="77"/>
  <c r="BE26" i="77" s="1"/>
  <c r="AH32" i="77"/>
  <c r="AN27" i="77"/>
  <c r="AI64" i="77"/>
  <c r="AO54" i="77"/>
  <c r="AH64" i="77"/>
  <c r="AN54" i="77"/>
  <c r="AS33" i="77"/>
  <c r="AO36" i="77"/>
  <c r="AO4" i="77"/>
  <c r="AI7" i="77"/>
  <c r="AS27" i="77"/>
  <c r="AO32" i="77"/>
  <c r="AO47" i="77"/>
  <c r="AS37" i="77"/>
  <c r="AR33" i="77"/>
  <c r="AN36" i="77"/>
  <c r="AR37" i="77"/>
  <c r="AN47" i="77"/>
  <c r="AO19" i="77"/>
  <c r="AI21" i="77"/>
  <c r="AS10" i="77"/>
  <c r="AO13" i="77"/>
  <c r="AH13" i="77"/>
  <c r="AN10" i="77"/>
  <c r="AR21" i="77" l="1"/>
  <c r="AN13" i="77"/>
  <c r="AR10" i="77"/>
  <c r="AW10" i="77"/>
  <c r="AS13" i="77"/>
  <c r="AR4" i="77"/>
  <c r="AN7" i="77"/>
  <c r="AO21" i="77"/>
  <c r="AS19" i="77"/>
  <c r="AS4" i="77"/>
  <c r="AO7" i="77"/>
  <c r="AR27" i="77"/>
  <c r="AN32" i="77"/>
  <c r="AS32" i="77"/>
  <c r="AW27" i="77"/>
  <c r="BD19" i="77"/>
  <c r="BD21" i="77" s="1"/>
  <c r="AV21" i="77"/>
  <c r="AV37" i="77"/>
  <c r="AR47" i="77"/>
  <c r="AS36" i="77"/>
  <c r="AW33" i="77"/>
  <c r="AN64" i="77"/>
  <c r="AR54" i="77"/>
  <c r="AR36" i="77"/>
  <c r="AV33" i="77"/>
  <c r="AW37" i="77"/>
  <c r="AS47" i="77"/>
  <c r="AO64" i="77"/>
  <c r="AS54" i="77"/>
  <c r="BD37" i="77" l="1"/>
  <c r="BD47" i="77" s="1"/>
  <c r="AV47" i="77"/>
  <c r="AW54" i="77"/>
  <c r="AS64" i="77"/>
  <c r="BE27" i="77"/>
  <c r="BE32" i="77" s="1"/>
  <c r="AW32" i="77"/>
  <c r="AW47" i="77"/>
  <c r="BE37" i="77"/>
  <c r="BE47" i="77" s="1"/>
  <c r="AV36" i="77"/>
  <c r="BD33" i="77"/>
  <c r="BD36" i="77" s="1"/>
  <c r="AV4" i="77"/>
  <c r="AR7" i="77"/>
  <c r="BE10" i="77"/>
  <c r="BE13" i="77" s="1"/>
  <c r="AW13" i="77"/>
  <c r="AR13" i="77"/>
  <c r="AV10" i="77"/>
  <c r="AV27" i="77"/>
  <c r="AR32" i="77"/>
  <c r="AV54" i="77"/>
  <c r="AR64" i="77"/>
  <c r="AS7" i="77"/>
  <c r="AW4" i="77"/>
  <c r="BE33" i="77"/>
  <c r="BE36" i="77" s="1"/>
  <c r="AW36" i="77"/>
  <c r="AS21" i="77"/>
  <c r="AW19" i="77"/>
  <c r="AW7" i="77" l="1"/>
  <c r="BE4" i="77"/>
  <c r="BE7" i="77" s="1"/>
  <c r="AV7" i="77"/>
  <c r="BD4" i="77"/>
  <c r="BD7" i="77" s="1"/>
  <c r="BD54" i="77"/>
  <c r="BD64" i="77" s="1"/>
  <c r="AV64" i="77"/>
  <c r="AV32" i="77"/>
  <c r="BD27" i="77"/>
  <c r="BD32" i="77" s="1"/>
  <c r="AV13" i="77"/>
  <c r="BD10" i="77"/>
  <c r="BD13" i="77" s="1"/>
  <c r="BE54" i="77"/>
  <c r="BE64" i="77" s="1"/>
  <c r="AW64" i="77"/>
  <c r="BE19" i="77"/>
  <c r="BE21" i="77" s="1"/>
  <c r="AW21" i="77"/>
  <c r="AZ10" i="11" l="1"/>
  <c r="AL27" i="11"/>
  <c r="AD30" i="11"/>
  <c r="AD37" i="10" l="1"/>
  <c r="AD139" i="10"/>
  <c r="AH30" i="10" l="1"/>
  <c r="AH23" i="10"/>
  <c r="K9" i="45" l="1"/>
  <c r="K10" i="45"/>
  <c r="K11" i="45"/>
  <c r="K12" i="45"/>
  <c r="K13" i="45"/>
  <c r="K14" i="45"/>
  <c r="K15" i="45"/>
  <c r="K16" i="45"/>
  <c r="K17" i="45"/>
  <c r="K18" i="45"/>
  <c r="K19" i="45"/>
  <c r="K20" i="45"/>
  <c r="K21" i="45"/>
  <c r="K22" i="45"/>
  <c r="K23" i="45"/>
  <c r="K24" i="45"/>
  <c r="K25" i="45"/>
  <c r="K26" i="45"/>
  <c r="K29" i="45"/>
  <c r="K30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8" i="45"/>
  <c r="K49" i="45"/>
  <c r="K50" i="45"/>
  <c r="K51" i="45"/>
  <c r="K52" i="45"/>
  <c r="K53" i="45"/>
  <c r="K54" i="45"/>
  <c r="K55" i="45"/>
  <c r="K56" i="45"/>
  <c r="K57" i="45"/>
  <c r="K58" i="45"/>
  <c r="K59" i="45"/>
  <c r="K61" i="45"/>
  <c r="K62" i="45"/>
  <c r="K63" i="45"/>
  <c r="K64" i="45"/>
  <c r="K65" i="45"/>
  <c r="K66" i="45"/>
  <c r="K67" i="45"/>
  <c r="K70" i="45"/>
  <c r="K71" i="45"/>
  <c r="K80" i="45"/>
  <c r="K81" i="45"/>
  <c r="K82" i="45"/>
  <c r="K83" i="45"/>
  <c r="K84" i="45"/>
  <c r="K85" i="45"/>
  <c r="K87" i="45"/>
  <c r="K88" i="45"/>
  <c r="K90" i="45"/>
  <c r="K91" i="45"/>
  <c r="K92" i="45"/>
  <c r="K93" i="45"/>
  <c r="K94" i="45"/>
  <c r="K95" i="45"/>
  <c r="K96" i="45"/>
  <c r="K97" i="45"/>
  <c r="K98" i="45"/>
  <c r="K99" i="45"/>
  <c r="K100" i="45"/>
  <c r="K101" i="45"/>
  <c r="K102" i="45"/>
  <c r="K103" i="45"/>
  <c r="K104" i="45"/>
  <c r="K106" i="45"/>
  <c r="BG22" i="45"/>
  <c r="BC9" i="45"/>
  <c r="BC10" i="45"/>
  <c r="BC11" i="45"/>
  <c r="BC12" i="45"/>
  <c r="BC13" i="45"/>
  <c r="BC14" i="45"/>
  <c r="BC15" i="45"/>
  <c r="BC16" i="45"/>
  <c r="BC17" i="45"/>
  <c r="BC18" i="45"/>
  <c r="BC19" i="45"/>
  <c r="BC20" i="45"/>
  <c r="BC21" i="45"/>
  <c r="BC22" i="45"/>
  <c r="BC23" i="45"/>
  <c r="BC24" i="45"/>
  <c r="BC25" i="45"/>
  <c r="BC26" i="45"/>
  <c r="BC29" i="45"/>
  <c r="BC30" i="45"/>
  <c r="BC31" i="45"/>
  <c r="BC32" i="45"/>
  <c r="BC33" i="45"/>
  <c r="BC34" i="45"/>
  <c r="BC35" i="45"/>
  <c r="BC36" i="45"/>
  <c r="BC37" i="45"/>
  <c r="BC38" i="45"/>
  <c r="BC39" i="45"/>
  <c r="BC40" i="45"/>
  <c r="BC41" i="45"/>
  <c r="BC42" i="45"/>
  <c r="BC43" i="45"/>
  <c r="BC44" i="45"/>
  <c r="BC45" i="45"/>
  <c r="BC46" i="45"/>
  <c r="BC48" i="45"/>
  <c r="BC49" i="45"/>
  <c r="BC50" i="45"/>
  <c r="BC51" i="45"/>
  <c r="BC52" i="45"/>
  <c r="BC53" i="45"/>
  <c r="BC54" i="45"/>
  <c r="BC55" i="45"/>
  <c r="BC56" i="45"/>
  <c r="BC57" i="45"/>
  <c r="BC58" i="45"/>
  <c r="BC59" i="45"/>
  <c r="BC61" i="45"/>
  <c r="BC62" i="45"/>
  <c r="BC63" i="45"/>
  <c r="BC64" i="45"/>
  <c r="BC65" i="45"/>
  <c r="BC66" i="45"/>
  <c r="BC67" i="45"/>
  <c r="BC70" i="45"/>
  <c r="BC71" i="45"/>
  <c r="BC80" i="45"/>
  <c r="BC81" i="45"/>
  <c r="BC82" i="45"/>
  <c r="BC83" i="45"/>
  <c r="BC84" i="45"/>
  <c r="BC85" i="45"/>
  <c r="BC87" i="45"/>
  <c r="BC88" i="45"/>
  <c r="BC90" i="45"/>
  <c r="BC91" i="45"/>
  <c r="BC92" i="45"/>
  <c r="BC93" i="45"/>
  <c r="BC94" i="45"/>
  <c r="BC95" i="45"/>
  <c r="BC96" i="45"/>
  <c r="BC97" i="45"/>
  <c r="BC98" i="45"/>
  <c r="BC99" i="45"/>
  <c r="BC100" i="45"/>
  <c r="BC101" i="45"/>
  <c r="BC102" i="45"/>
  <c r="BC103" i="45"/>
  <c r="BC104" i="45"/>
  <c r="BC106" i="45"/>
  <c r="AO9" i="45"/>
  <c r="AO10" i="45"/>
  <c r="AO11" i="45"/>
  <c r="BE11" i="45" s="1"/>
  <c r="AO12" i="45"/>
  <c r="BE12" i="45" s="1"/>
  <c r="AO13" i="45"/>
  <c r="BE13" i="45" s="1"/>
  <c r="AO14" i="45"/>
  <c r="AO15" i="45"/>
  <c r="AO16" i="45"/>
  <c r="AO17" i="45"/>
  <c r="AO18" i="45"/>
  <c r="AO19" i="45"/>
  <c r="AO20" i="45"/>
  <c r="BE20" i="45" s="1"/>
  <c r="AO21" i="45"/>
  <c r="BE21" i="45" s="1"/>
  <c r="AO22" i="45"/>
  <c r="AO23" i="45"/>
  <c r="BE23" i="45" s="1"/>
  <c r="AO24" i="45"/>
  <c r="AO25" i="45"/>
  <c r="AO26" i="45"/>
  <c r="AO29" i="45"/>
  <c r="BE29" i="45" s="1"/>
  <c r="AO30" i="45"/>
  <c r="AO31" i="45"/>
  <c r="AO32" i="45"/>
  <c r="AO33" i="45"/>
  <c r="AO34" i="45"/>
  <c r="BE34" i="45" s="1"/>
  <c r="AO35" i="45"/>
  <c r="BE35" i="45" s="1"/>
  <c r="AO36" i="45"/>
  <c r="AO37" i="45"/>
  <c r="BE37" i="45" s="1"/>
  <c r="AO38" i="45"/>
  <c r="BE38" i="45" s="1"/>
  <c r="AO39" i="45"/>
  <c r="BE39" i="45" s="1"/>
  <c r="AO40" i="45"/>
  <c r="AO41" i="45"/>
  <c r="BE41" i="45" s="1"/>
  <c r="AO42" i="45"/>
  <c r="AO43" i="45"/>
  <c r="AO44" i="45"/>
  <c r="BE44" i="45" s="1"/>
  <c r="AO45" i="45"/>
  <c r="BE45" i="45" s="1"/>
  <c r="AO46" i="45"/>
  <c r="BE46" i="45" s="1"/>
  <c r="AO48" i="45"/>
  <c r="BE48" i="45" s="1"/>
  <c r="AO49" i="45"/>
  <c r="AO50" i="45"/>
  <c r="AO51" i="45"/>
  <c r="BE51" i="45" s="1"/>
  <c r="AO52" i="45"/>
  <c r="BE52" i="45" s="1"/>
  <c r="AO53" i="45"/>
  <c r="AO54" i="45"/>
  <c r="AO55" i="45"/>
  <c r="AO56" i="45"/>
  <c r="AO57" i="45"/>
  <c r="AO58" i="45"/>
  <c r="AO59" i="45"/>
  <c r="BE59" i="45" s="1"/>
  <c r="AO61" i="45"/>
  <c r="BE61" i="45" s="1"/>
  <c r="AO62" i="45"/>
  <c r="AO63" i="45"/>
  <c r="BE63" i="45" s="1"/>
  <c r="AO64" i="45"/>
  <c r="BE64" i="45" s="1"/>
  <c r="AO65" i="45"/>
  <c r="BE65" i="45" s="1"/>
  <c r="AO66" i="45"/>
  <c r="AO67" i="45"/>
  <c r="BE67" i="45" s="1"/>
  <c r="AO70" i="45"/>
  <c r="AO71" i="45"/>
  <c r="AO80" i="45"/>
  <c r="AO81" i="45"/>
  <c r="BE81" i="45" s="1"/>
  <c r="AO82" i="45"/>
  <c r="AO83" i="45"/>
  <c r="BE83" i="45" s="1"/>
  <c r="AO84" i="45"/>
  <c r="AO85" i="45"/>
  <c r="BE85" i="45" s="1"/>
  <c r="AO87" i="45"/>
  <c r="BE87" i="45" s="1"/>
  <c r="AO88" i="45"/>
  <c r="BE88" i="45" s="1"/>
  <c r="AO90" i="45"/>
  <c r="AO91" i="45"/>
  <c r="BE91" i="45" s="1"/>
  <c r="AO92" i="45"/>
  <c r="AO93" i="45"/>
  <c r="AO94" i="45"/>
  <c r="AO95" i="45"/>
  <c r="AO96" i="45"/>
  <c r="AO97" i="45"/>
  <c r="BE97" i="45" s="1"/>
  <c r="AO98" i="45"/>
  <c r="BE98" i="45" s="1"/>
  <c r="AO99" i="45"/>
  <c r="BE99" i="45" s="1"/>
  <c r="AO100" i="45"/>
  <c r="BE100" i="45" s="1"/>
  <c r="AO101" i="45"/>
  <c r="BE101" i="45" s="1"/>
  <c r="AO102" i="45"/>
  <c r="AO103" i="45"/>
  <c r="BE103" i="45" s="1"/>
  <c r="AO104" i="45"/>
  <c r="AO106" i="45"/>
  <c r="O9" i="45"/>
  <c r="AC9" i="45" s="1"/>
  <c r="O10" i="45"/>
  <c r="AC10" i="45" s="1"/>
  <c r="O11" i="45"/>
  <c r="AC11" i="45" s="1"/>
  <c r="O12" i="45"/>
  <c r="AC12" i="45" s="1"/>
  <c r="O13" i="45"/>
  <c r="AC13" i="45" s="1"/>
  <c r="O14" i="45"/>
  <c r="AC14" i="45" s="1"/>
  <c r="O15" i="45"/>
  <c r="AC15" i="45" s="1"/>
  <c r="O16" i="45"/>
  <c r="AC16" i="45" s="1"/>
  <c r="O17" i="45"/>
  <c r="AC17" i="45" s="1"/>
  <c r="O18" i="45"/>
  <c r="AC18" i="45" s="1"/>
  <c r="O19" i="45"/>
  <c r="AC19" i="45" s="1"/>
  <c r="O20" i="45"/>
  <c r="AC20" i="45" s="1"/>
  <c r="O21" i="45"/>
  <c r="AC21" i="45" s="1"/>
  <c r="O22" i="45"/>
  <c r="AC22" i="45" s="1"/>
  <c r="O23" i="45"/>
  <c r="AC23" i="45" s="1"/>
  <c r="O24" i="45"/>
  <c r="AC24" i="45" s="1"/>
  <c r="O25" i="45"/>
  <c r="AC25" i="45" s="1"/>
  <c r="O26" i="45"/>
  <c r="AC26" i="45" s="1"/>
  <c r="O29" i="45"/>
  <c r="AC29" i="45" s="1"/>
  <c r="O30" i="45"/>
  <c r="AC30" i="45" s="1"/>
  <c r="O31" i="45"/>
  <c r="AC31" i="45" s="1"/>
  <c r="O32" i="45"/>
  <c r="AC32" i="45" s="1"/>
  <c r="O33" i="45"/>
  <c r="AC33" i="45" s="1"/>
  <c r="O34" i="45"/>
  <c r="AC34" i="45" s="1"/>
  <c r="O35" i="45"/>
  <c r="AC35" i="45" s="1"/>
  <c r="O36" i="45"/>
  <c r="AC36" i="45" s="1"/>
  <c r="O37" i="45"/>
  <c r="AC37" i="45" s="1"/>
  <c r="O38" i="45"/>
  <c r="AC38" i="45" s="1"/>
  <c r="O39" i="45"/>
  <c r="AC39" i="45" s="1"/>
  <c r="O40" i="45"/>
  <c r="AC40" i="45" s="1"/>
  <c r="O41" i="45"/>
  <c r="AC41" i="45" s="1"/>
  <c r="O42" i="45"/>
  <c r="AC42" i="45" s="1"/>
  <c r="O43" i="45"/>
  <c r="AC43" i="45" s="1"/>
  <c r="O44" i="45"/>
  <c r="AC44" i="45" s="1"/>
  <c r="O45" i="45"/>
  <c r="AC45" i="45" s="1"/>
  <c r="O46" i="45"/>
  <c r="AC46" i="45" s="1"/>
  <c r="O48" i="45"/>
  <c r="O49" i="45"/>
  <c r="AC49" i="45" s="1"/>
  <c r="O50" i="45"/>
  <c r="AC50" i="45" s="1"/>
  <c r="O51" i="45"/>
  <c r="AC51" i="45" s="1"/>
  <c r="O52" i="45"/>
  <c r="AC52" i="45" s="1"/>
  <c r="O53" i="45"/>
  <c r="AC53" i="45" s="1"/>
  <c r="O54" i="45"/>
  <c r="AC54" i="45" s="1"/>
  <c r="O55" i="45"/>
  <c r="AC55" i="45" s="1"/>
  <c r="O56" i="45"/>
  <c r="AC56" i="45" s="1"/>
  <c r="O57" i="45"/>
  <c r="AC57" i="45" s="1"/>
  <c r="O58" i="45"/>
  <c r="O59" i="45"/>
  <c r="AC59" i="45" s="1"/>
  <c r="O61" i="45"/>
  <c r="AC61" i="45" s="1"/>
  <c r="O62" i="45"/>
  <c r="AC62" i="45" s="1"/>
  <c r="O63" i="45"/>
  <c r="AC63" i="45" s="1"/>
  <c r="O64" i="45"/>
  <c r="AC64" i="45" s="1"/>
  <c r="O65" i="45"/>
  <c r="AC65" i="45" s="1"/>
  <c r="O66" i="45"/>
  <c r="AC66" i="45" s="1"/>
  <c r="O67" i="45"/>
  <c r="AC67" i="45" s="1"/>
  <c r="O71" i="45"/>
  <c r="AC71" i="45" s="1"/>
  <c r="O80" i="45"/>
  <c r="O81" i="45"/>
  <c r="AC81" i="45" s="1"/>
  <c r="O82" i="45"/>
  <c r="O83" i="45"/>
  <c r="AC83" i="45" s="1"/>
  <c r="O84" i="45"/>
  <c r="AC84" i="45" s="1"/>
  <c r="O85" i="45"/>
  <c r="AC85" i="45" s="1"/>
  <c r="O87" i="45"/>
  <c r="AC87" i="45" s="1"/>
  <c r="O88" i="45"/>
  <c r="O90" i="45"/>
  <c r="O91" i="45"/>
  <c r="AC91" i="45" s="1"/>
  <c r="O92" i="45"/>
  <c r="AC92" i="45" s="1"/>
  <c r="O93" i="45"/>
  <c r="AC93" i="45" s="1"/>
  <c r="O94" i="45"/>
  <c r="AC94" i="45" s="1"/>
  <c r="O95" i="45"/>
  <c r="AC95" i="45" s="1"/>
  <c r="O96" i="45"/>
  <c r="AC96" i="45" s="1"/>
  <c r="O97" i="45"/>
  <c r="AC97" i="45" s="1"/>
  <c r="O98" i="45"/>
  <c r="AC98" i="45" s="1"/>
  <c r="O99" i="45"/>
  <c r="AC99" i="45" s="1"/>
  <c r="O100" i="45"/>
  <c r="AC100" i="45" s="1"/>
  <c r="O101" i="45"/>
  <c r="AC101" i="45" s="1"/>
  <c r="O102" i="45"/>
  <c r="AC102" i="45" s="1"/>
  <c r="O103" i="45"/>
  <c r="AC103" i="45" s="1"/>
  <c r="O104" i="45"/>
  <c r="AC104" i="45" s="1"/>
  <c r="O106" i="45"/>
  <c r="BE25" i="45" l="1"/>
  <c r="K172" i="45"/>
  <c r="AC82" i="45"/>
  <c r="O173" i="45"/>
  <c r="BC173" i="45"/>
  <c r="AC90" i="45"/>
  <c r="S90" i="45"/>
  <c r="W90" i="45" s="1"/>
  <c r="AO174" i="45"/>
  <c r="BC174" i="45"/>
  <c r="K173" i="45"/>
  <c r="AC58" i="45"/>
  <c r="O172" i="45"/>
  <c r="S106" i="45"/>
  <c r="W106" i="45" s="1"/>
  <c r="AC106" i="45"/>
  <c r="AO172" i="45"/>
  <c r="K174" i="45"/>
  <c r="AO173" i="45"/>
  <c r="O174" i="45"/>
  <c r="AC80" i="45"/>
  <c r="AC174" i="45" s="1"/>
  <c r="AC88" i="45"/>
  <c r="S88" i="45"/>
  <c r="W88" i="45" s="1"/>
  <c r="S48" i="45"/>
  <c r="W48" i="45" s="1"/>
  <c r="AC48" i="45"/>
  <c r="BE57" i="45"/>
  <c r="BE32" i="45"/>
  <c r="BC172" i="45"/>
  <c r="S66" i="45"/>
  <c r="W66" i="45" s="1"/>
  <c r="S81" i="45"/>
  <c r="S87" i="45"/>
  <c r="W87" i="45" s="1"/>
  <c r="S80" i="45"/>
  <c r="S174" i="45" s="1"/>
  <c r="S91" i="45"/>
  <c r="W91" i="45" s="1"/>
  <c r="S96" i="45"/>
  <c r="W96" i="45" s="1"/>
  <c r="S103" i="45"/>
  <c r="W103" i="45" s="1"/>
  <c r="S101" i="45"/>
  <c r="W101" i="45" s="1"/>
  <c r="S100" i="45"/>
  <c r="W100" i="45" s="1"/>
  <c r="S94" i="45"/>
  <c r="W94" i="45" s="1"/>
  <c r="S97" i="45"/>
  <c r="W97" i="45" s="1"/>
  <c r="S95" i="45"/>
  <c r="W95" i="45" s="1"/>
  <c r="S99" i="45"/>
  <c r="W99" i="45" s="1"/>
  <c r="S93" i="45"/>
  <c r="W93" i="45" s="1"/>
  <c r="S102" i="45"/>
  <c r="W102" i="45" s="1"/>
  <c r="S104" i="45"/>
  <c r="W104" i="45" s="1"/>
  <c r="S98" i="45"/>
  <c r="W98" i="45" s="1"/>
  <c r="S92" i="45"/>
  <c r="W92" i="45" s="1"/>
  <c r="S40" i="45"/>
  <c r="W40" i="45" s="1"/>
  <c r="S34" i="45"/>
  <c r="W34" i="45" s="1"/>
  <c r="S26" i="45"/>
  <c r="W26" i="45" s="1"/>
  <c r="S20" i="45"/>
  <c r="W20" i="45" s="1"/>
  <c r="S14" i="45"/>
  <c r="W14" i="45" s="1"/>
  <c r="S65" i="45"/>
  <c r="W65" i="45" s="1"/>
  <c r="S33" i="45"/>
  <c r="W33" i="45" s="1"/>
  <c r="S25" i="45"/>
  <c r="W25" i="45" s="1"/>
  <c r="S19" i="45"/>
  <c r="W19" i="45" s="1"/>
  <c r="S13" i="45"/>
  <c r="W13" i="45" s="1"/>
  <c r="S53" i="45"/>
  <c r="W53" i="45" s="1"/>
  <c r="S58" i="45"/>
  <c r="S64" i="45"/>
  <c r="W64" i="45" s="1"/>
  <c r="S44" i="45"/>
  <c r="W44" i="45" s="1"/>
  <c r="S38" i="45"/>
  <c r="W38" i="45" s="1"/>
  <c r="S32" i="45"/>
  <c r="W32" i="45" s="1"/>
  <c r="S24" i="45"/>
  <c r="W24" i="45" s="1"/>
  <c r="S18" i="45"/>
  <c r="W18" i="45" s="1"/>
  <c r="S12" i="45"/>
  <c r="W12" i="45" s="1"/>
  <c r="S46" i="45"/>
  <c r="W46" i="45" s="1"/>
  <c r="S52" i="45"/>
  <c r="W52" i="45" s="1"/>
  <c r="S51" i="45"/>
  <c r="W51" i="45" s="1"/>
  <c r="S85" i="45"/>
  <c r="W85" i="45" s="1"/>
  <c r="S71" i="45"/>
  <c r="W71" i="45" s="1"/>
  <c r="S63" i="45"/>
  <c r="W63" i="45" s="1"/>
  <c r="S56" i="45"/>
  <c r="W56" i="45" s="1"/>
  <c r="S50" i="45"/>
  <c r="W50" i="45" s="1"/>
  <c r="S43" i="45"/>
  <c r="W43" i="45" s="1"/>
  <c r="S37" i="45"/>
  <c r="W37" i="45" s="1"/>
  <c r="S31" i="45"/>
  <c r="W31" i="45" s="1"/>
  <c r="S23" i="45"/>
  <c r="W23" i="45" s="1"/>
  <c r="S17" i="45"/>
  <c r="W17" i="45" s="1"/>
  <c r="S11" i="45"/>
  <c r="W11" i="45" s="1"/>
  <c r="S59" i="45"/>
  <c r="W59" i="45" s="1"/>
  <c r="S39" i="45"/>
  <c r="W39" i="45" s="1"/>
  <c r="S84" i="45"/>
  <c r="W84" i="45" s="1"/>
  <c r="S70" i="45"/>
  <c r="W70" i="45" s="1"/>
  <c r="S62" i="45"/>
  <c r="W62" i="45" s="1"/>
  <c r="S55" i="45"/>
  <c r="W55" i="45" s="1"/>
  <c r="S49" i="45"/>
  <c r="W49" i="45" s="1"/>
  <c r="S42" i="45"/>
  <c r="W42" i="45" s="1"/>
  <c r="S36" i="45"/>
  <c r="W36" i="45" s="1"/>
  <c r="S30" i="45"/>
  <c r="W30" i="45" s="1"/>
  <c r="S22" i="45"/>
  <c r="W22" i="45" s="1"/>
  <c r="S16" i="45"/>
  <c r="W16" i="45" s="1"/>
  <c r="S10" i="45"/>
  <c r="W10" i="45" s="1"/>
  <c r="BE9" i="45"/>
  <c r="S82" i="45"/>
  <c r="W81" i="45"/>
  <c r="S45" i="45"/>
  <c r="W45" i="45" s="1"/>
  <c r="S57" i="45"/>
  <c r="W57" i="45" s="1"/>
  <c r="S83" i="45"/>
  <c r="W83" i="45" s="1"/>
  <c r="S67" i="45"/>
  <c r="W67" i="45" s="1"/>
  <c r="S61" i="45"/>
  <c r="W61" i="45" s="1"/>
  <c r="S54" i="45"/>
  <c r="W54" i="45" s="1"/>
  <c r="S41" i="45"/>
  <c r="W41" i="45" s="1"/>
  <c r="S35" i="45"/>
  <c r="W35" i="45" s="1"/>
  <c r="S29" i="45"/>
  <c r="W29" i="45" s="1"/>
  <c r="S21" i="45"/>
  <c r="W21" i="45" s="1"/>
  <c r="S15" i="45"/>
  <c r="W15" i="45" s="1"/>
  <c r="S9" i="45"/>
  <c r="BE58" i="45"/>
  <c r="BE80" i="45"/>
  <c r="BE174" i="45" s="1"/>
  <c r="BE82" i="45"/>
  <c r="BE84" i="45"/>
  <c r="BE62" i="45"/>
  <c r="BE49" i="45"/>
  <c r="BE36" i="45"/>
  <c r="BE22" i="45"/>
  <c r="BE10" i="45"/>
  <c r="BE33" i="45"/>
  <c r="BE19" i="45"/>
  <c r="BE18" i="45"/>
  <c r="BE106" i="45"/>
  <c r="BE93" i="45"/>
  <c r="BE71" i="45"/>
  <c r="BE56" i="45"/>
  <c r="BE43" i="45"/>
  <c r="BE31" i="45"/>
  <c r="BE17" i="45"/>
  <c r="AC172" i="45"/>
  <c r="BE104" i="45"/>
  <c r="BE92" i="45"/>
  <c r="BE70" i="45"/>
  <c r="BE55" i="45"/>
  <c r="BE42" i="45"/>
  <c r="BE30" i="45"/>
  <c r="BE16" i="45"/>
  <c r="BE15" i="45"/>
  <c r="BE102" i="45"/>
  <c r="BE90" i="45"/>
  <c r="BE66" i="45"/>
  <c r="BE53" i="45"/>
  <c r="BE40" i="45"/>
  <c r="BE26" i="45"/>
  <c r="BE14" i="45"/>
  <c r="BE54" i="45"/>
  <c r="BE24" i="45"/>
  <c r="BE50" i="45"/>
  <c r="BE96" i="45"/>
  <c r="BE95" i="45"/>
  <c r="BE94" i="45"/>
  <c r="J8" i="11"/>
  <c r="J9" i="11"/>
  <c r="J10" i="11"/>
  <c r="J11" i="11"/>
  <c r="J12" i="11"/>
  <c r="J13" i="11"/>
  <c r="J14" i="11"/>
  <c r="J15" i="11"/>
  <c r="J16" i="11"/>
  <c r="J18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N9" i="11"/>
  <c r="N10" i="11"/>
  <c r="S173" i="45" l="1"/>
  <c r="S172" i="45"/>
  <c r="BE173" i="45"/>
  <c r="BE172" i="45"/>
  <c r="AC173" i="45"/>
  <c r="W58" i="45"/>
  <c r="W172" i="45" s="1"/>
  <c r="W9" i="45"/>
  <c r="R9" i="11"/>
  <c r="V9" i="11" s="1"/>
  <c r="AB9" i="11"/>
  <c r="R10" i="11"/>
  <c r="V10" i="11" s="1"/>
  <c r="AB10" i="11"/>
  <c r="W80" i="45"/>
  <c r="W174" i="45" s="1"/>
  <c r="W82" i="45"/>
  <c r="W173" i="45" s="1"/>
  <c r="F128" i="90"/>
  <c r="H128" i="90"/>
  <c r="J128" i="90"/>
  <c r="L128" i="90"/>
  <c r="N128" i="90"/>
  <c r="P128" i="90"/>
  <c r="R128" i="90"/>
  <c r="T128" i="90"/>
  <c r="V128" i="90"/>
  <c r="X128" i="90"/>
  <c r="Z128" i="90"/>
  <c r="AB128" i="90"/>
  <c r="AD128" i="90"/>
  <c r="AF128" i="90"/>
  <c r="AH128" i="90"/>
  <c r="AJ128" i="90"/>
  <c r="AL128" i="90"/>
  <c r="AN128" i="90"/>
  <c r="AP128" i="90"/>
  <c r="AR128" i="90"/>
  <c r="AT128" i="90"/>
  <c r="AV128" i="90"/>
  <c r="AX128" i="90"/>
  <c r="AZ128" i="90"/>
  <c r="BB128" i="90"/>
  <c r="BD128" i="90"/>
  <c r="F123" i="90"/>
  <c r="H123" i="90"/>
  <c r="J123" i="90"/>
  <c r="L123" i="90"/>
  <c r="N123" i="90"/>
  <c r="P123" i="90"/>
  <c r="R123" i="90"/>
  <c r="T123" i="90"/>
  <c r="V123" i="90"/>
  <c r="X123" i="90"/>
  <c r="Z123" i="90"/>
  <c r="AB123" i="90"/>
  <c r="AD123" i="90"/>
  <c r="AF123" i="90"/>
  <c r="AH123" i="90"/>
  <c r="AJ123" i="90"/>
  <c r="AL123" i="90"/>
  <c r="AN123" i="90"/>
  <c r="AP123" i="90"/>
  <c r="AR123" i="90"/>
  <c r="AT123" i="90"/>
  <c r="AV123" i="90"/>
  <c r="AX123" i="90"/>
  <c r="AZ123" i="90"/>
  <c r="BB123" i="90"/>
  <c r="BD123" i="90"/>
  <c r="F101" i="90"/>
  <c r="H101" i="90"/>
  <c r="J101" i="90"/>
  <c r="L101" i="90"/>
  <c r="N101" i="90"/>
  <c r="P101" i="90"/>
  <c r="R101" i="90"/>
  <c r="T101" i="90"/>
  <c r="V101" i="90"/>
  <c r="X101" i="90"/>
  <c r="Z101" i="90"/>
  <c r="AB101" i="90"/>
  <c r="AD101" i="90"/>
  <c r="AF101" i="90"/>
  <c r="AH101" i="90"/>
  <c r="AJ101" i="90"/>
  <c r="AL101" i="90"/>
  <c r="AN101" i="90"/>
  <c r="AP101" i="90"/>
  <c r="AR101" i="90"/>
  <c r="AT101" i="90"/>
  <c r="AV101" i="90"/>
  <c r="AX101" i="90"/>
  <c r="AZ101" i="90"/>
  <c r="BB101" i="90"/>
  <c r="BD101" i="90"/>
  <c r="BA93" i="90"/>
  <c r="AO93" i="90"/>
  <c r="AS93" i="90" s="1"/>
  <c r="AW93" i="90" s="1"/>
  <c r="AM93" i="90"/>
  <c r="BC93" i="90" s="1"/>
  <c r="AI93" i="90"/>
  <c r="AE93" i="90"/>
  <c r="AA93" i="90"/>
  <c r="Y93" i="90"/>
  <c r="U93" i="90"/>
  <c r="Q93" i="90"/>
  <c r="AY90" i="90"/>
  <c r="AU90" i="90"/>
  <c r="AQ90" i="90"/>
  <c r="AK90" i="90"/>
  <c r="AG90" i="90"/>
  <c r="AC90" i="90"/>
  <c r="O90" i="90"/>
  <c r="K90" i="90"/>
  <c r="G90" i="90"/>
  <c r="E90" i="90"/>
  <c r="M93" i="90"/>
  <c r="I93" i="90"/>
  <c r="I94" i="90"/>
  <c r="BA91" i="90"/>
  <c r="BA92" i="90"/>
  <c r="BA94" i="90"/>
  <c r="BA97" i="90"/>
  <c r="BA98" i="90"/>
  <c r="AO91" i="90"/>
  <c r="AS91" i="90" s="1"/>
  <c r="AW91" i="90" s="1"/>
  <c r="AO92" i="90"/>
  <c r="AS92" i="90" s="1"/>
  <c r="AW92" i="90" s="1"/>
  <c r="AO94" i="90"/>
  <c r="AS94" i="90" s="1"/>
  <c r="AW94" i="90" s="1"/>
  <c r="AO97" i="90"/>
  <c r="AS97" i="90" s="1"/>
  <c r="AW97" i="90" s="1"/>
  <c r="AO98" i="90"/>
  <c r="AS98" i="90" s="1"/>
  <c r="AW98" i="90" s="1"/>
  <c r="AM91" i="90"/>
  <c r="AM92" i="90"/>
  <c r="AM94" i="90"/>
  <c r="AM97" i="90"/>
  <c r="AM98" i="90"/>
  <c r="AI91" i="90"/>
  <c r="AI92" i="90"/>
  <c r="AI94" i="90"/>
  <c r="AI97" i="90"/>
  <c r="AI98" i="90"/>
  <c r="AE91" i="90"/>
  <c r="AE92" i="90"/>
  <c r="AE94" i="90"/>
  <c r="AE97" i="90"/>
  <c r="AE98" i="90"/>
  <c r="AA91" i="90"/>
  <c r="AA92" i="90"/>
  <c r="AA94" i="90"/>
  <c r="AA97" i="90"/>
  <c r="AA98" i="90"/>
  <c r="Y91" i="90"/>
  <c r="Y92" i="90"/>
  <c r="Y94" i="90"/>
  <c r="Y97" i="90"/>
  <c r="Y98" i="90"/>
  <c r="U91" i="90"/>
  <c r="U92" i="90"/>
  <c r="U94" i="90"/>
  <c r="U97" i="90"/>
  <c r="U98" i="90"/>
  <c r="Q91" i="90"/>
  <c r="Q92" i="90"/>
  <c r="Q94" i="90"/>
  <c r="Q97" i="90"/>
  <c r="Q98" i="90"/>
  <c r="M91" i="90"/>
  <c r="M92" i="90"/>
  <c r="M94" i="90"/>
  <c r="M97" i="90"/>
  <c r="M98" i="90"/>
  <c r="I97" i="90"/>
  <c r="I98" i="90"/>
  <c r="I91" i="90"/>
  <c r="I92" i="90"/>
  <c r="AY121" i="90"/>
  <c r="AY116" i="90"/>
  <c r="AY113" i="90"/>
  <c r="AY112" i="90"/>
  <c r="AY111" i="90"/>
  <c r="AY110" i="90"/>
  <c r="AY109" i="90"/>
  <c r="AY108" i="90"/>
  <c r="AY107" i="90"/>
  <c r="AY106" i="90"/>
  <c r="AU121" i="90"/>
  <c r="AU116" i="90"/>
  <c r="AU113" i="90"/>
  <c r="AU112" i="90"/>
  <c r="AU111" i="90"/>
  <c r="AU110" i="90"/>
  <c r="AU109" i="90"/>
  <c r="AU108" i="90"/>
  <c r="AU107" i="90"/>
  <c r="AU106" i="90"/>
  <c r="AQ121" i="90"/>
  <c r="AQ116" i="90"/>
  <c r="AQ113" i="90"/>
  <c r="AQ112" i="90"/>
  <c r="AQ111" i="90"/>
  <c r="AQ110" i="90"/>
  <c r="AQ109" i="90"/>
  <c r="AQ108" i="90"/>
  <c r="AQ107" i="90"/>
  <c r="AQ106" i="90"/>
  <c r="AK121" i="90"/>
  <c r="AK116" i="90"/>
  <c r="AK113" i="90"/>
  <c r="AK112" i="90"/>
  <c r="AK111" i="90"/>
  <c r="AK110" i="90"/>
  <c r="AK109" i="90"/>
  <c r="AK108" i="90"/>
  <c r="AK107" i="90"/>
  <c r="AK106" i="90"/>
  <c r="AG121" i="90"/>
  <c r="AG116" i="90"/>
  <c r="AG113" i="90"/>
  <c r="AG112" i="90"/>
  <c r="AG111" i="90"/>
  <c r="AG110" i="90"/>
  <c r="AG109" i="90"/>
  <c r="AG108" i="90"/>
  <c r="AG107" i="90"/>
  <c r="AG106" i="90"/>
  <c r="AC121" i="90"/>
  <c r="AC116" i="90"/>
  <c r="AC113" i="90"/>
  <c r="AC112" i="90"/>
  <c r="AC111" i="90"/>
  <c r="AC110" i="90"/>
  <c r="AC109" i="90"/>
  <c r="AC108" i="90"/>
  <c r="AC107" i="90"/>
  <c r="AC106" i="90"/>
  <c r="O121" i="90"/>
  <c r="O116" i="90"/>
  <c r="K121" i="90"/>
  <c r="K116" i="90"/>
  <c r="G116" i="90"/>
  <c r="AY99" i="90"/>
  <c r="AU99" i="90"/>
  <c r="AQ99" i="90"/>
  <c r="AK99" i="90"/>
  <c r="AG99" i="90"/>
  <c r="AC99" i="90"/>
  <c r="K99" i="90"/>
  <c r="K126" i="90" s="1"/>
  <c r="G99" i="90"/>
  <c r="G89" i="90"/>
  <c r="BF93" i="8"/>
  <c r="BD93" i="8"/>
  <c r="AX93" i="8"/>
  <c r="AT93" i="8"/>
  <c r="AP93" i="8"/>
  <c r="AN93" i="8"/>
  <c r="AJ93" i="8"/>
  <c r="BC94" i="90" l="1"/>
  <c r="BC92" i="90"/>
  <c r="BE92" i="90" s="1"/>
  <c r="M90" i="90"/>
  <c r="I90" i="90"/>
  <c r="M111" i="90"/>
  <c r="AO111" i="90"/>
  <c r="AS111" i="90" s="1"/>
  <c r="AW111" i="90" s="1"/>
  <c r="Q111" i="90"/>
  <c r="U111" i="90"/>
  <c r="Y111" i="90"/>
  <c r="AM111" i="90"/>
  <c r="BA111" i="90"/>
  <c r="BA110" i="90"/>
  <c r="Y112" i="90"/>
  <c r="BA112" i="90"/>
  <c r="AM108" i="90"/>
  <c r="AA111" i="90"/>
  <c r="Y109" i="90"/>
  <c r="BC98" i="90"/>
  <c r="BE98" i="90" s="1"/>
  <c r="BE93" i="90"/>
  <c r="BC91" i="90"/>
  <c r="BE91" i="90" s="1"/>
  <c r="BA90" i="90"/>
  <c r="AM90" i="90"/>
  <c r="AE90" i="90"/>
  <c r="U90" i="90"/>
  <c r="Y90" i="90"/>
  <c r="AA90" i="90"/>
  <c r="Q90" i="90"/>
  <c r="AI90" i="90"/>
  <c r="AO90" i="90"/>
  <c r="AS90" i="90" s="1"/>
  <c r="AW90" i="90" s="1"/>
  <c r="BA116" i="90"/>
  <c r="AM110" i="90"/>
  <c r="AM112" i="90"/>
  <c r="AO112" i="90"/>
  <c r="AS112" i="90" s="1"/>
  <c r="AW112" i="90" s="1"/>
  <c r="Y116" i="90"/>
  <c r="AM116" i="90"/>
  <c r="M112" i="90"/>
  <c r="AA112" i="90"/>
  <c r="G114" i="90"/>
  <c r="K114" i="90"/>
  <c r="Y121" i="90"/>
  <c r="AC126" i="90"/>
  <c r="AG126" i="90"/>
  <c r="AK126" i="90"/>
  <c r="AM121" i="90"/>
  <c r="AQ126" i="90"/>
  <c r="AU126" i="90"/>
  <c r="AY126" i="90"/>
  <c r="BA121" i="90"/>
  <c r="I111" i="90"/>
  <c r="AE111" i="90"/>
  <c r="BA109" i="90"/>
  <c r="I113" i="90"/>
  <c r="M113" i="90"/>
  <c r="AC114" i="90"/>
  <c r="AG114" i="90"/>
  <c r="AK114" i="90"/>
  <c r="AM106" i="90"/>
  <c r="AQ114" i="90"/>
  <c r="AY114" i="90"/>
  <c r="BA106" i="90"/>
  <c r="I112" i="90"/>
  <c r="Y106" i="90"/>
  <c r="AI112" i="90"/>
  <c r="AM99" i="90"/>
  <c r="O114" i="90"/>
  <c r="Y107" i="90"/>
  <c r="AM107" i="90"/>
  <c r="AU114" i="90"/>
  <c r="BA107" i="90"/>
  <c r="AA113" i="90"/>
  <c r="BC97" i="90"/>
  <c r="BE97" i="90" s="1"/>
  <c r="AM109" i="90"/>
  <c r="AE112" i="90"/>
  <c r="Y108" i="90"/>
  <c r="BA108" i="90"/>
  <c r="AI111" i="90"/>
  <c r="Y110" i="90"/>
  <c r="BA99" i="90"/>
  <c r="U112" i="90"/>
  <c r="U113" i="90"/>
  <c r="Y113" i="90"/>
  <c r="AE113" i="90"/>
  <c r="AI113" i="90"/>
  <c r="AM113" i="90"/>
  <c r="AO113" i="90"/>
  <c r="AS113" i="90" s="1"/>
  <c r="AW113" i="90" s="1"/>
  <c r="BA113" i="90"/>
  <c r="BE94" i="90"/>
  <c r="BC113" i="90" l="1"/>
  <c r="BE113" i="90" s="1"/>
  <c r="BC110" i="90"/>
  <c r="BC121" i="90"/>
  <c r="BC111" i="90"/>
  <c r="BE111" i="90" s="1"/>
  <c r="BC108" i="90"/>
  <c r="BC112" i="90"/>
  <c r="BE112" i="90" s="1"/>
  <c r="BC106" i="90"/>
  <c r="BC99" i="90"/>
  <c r="BC90" i="90"/>
  <c r="BE90" i="90" s="1"/>
  <c r="BC109" i="90"/>
  <c r="BA114" i="90"/>
  <c r="AM126" i="90"/>
  <c r="BC116" i="90"/>
  <c r="BC107" i="90"/>
  <c r="AM114" i="90"/>
  <c r="Y114" i="90"/>
  <c r="BA126" i="90"/>
  <c r="BC114" i="90" l="1"/>
  <c r="BC126" i="90"/>
  <c r="BF237" i="28" l="1"/>
  <c r="BB237" i="28"/>
  <c r="BD237" i="28" s="1"/>
  <c r="BB397" i="28"/>
  <c r="BF401" i="28"/>
  <c r="BF424" i="28"/>
  <c r="BB399" i="28"/>
  <c r="BB401" i="28"/>
  <c r="BB402" i="28"/>
  <c r="BB403" i="28"/>
  <c r="BB404" i="28"/>
  <c r="BB405" i="28"/>
  <c r="BB406" i="28"/>
  <c r="BB407" i="28"/>
  <c r="BB408" i="28"/>
  <c r="BB409" i="28"/>
  <c r="BB410" i="28"/>
  <c r="BB411" i="28"/>
  <c r="BB412" i="28"/>
  <c r="BB413" i="28"/>
  <c r="BB415" i="28"/>
  <c r="BB417" i="28"/>
  <c r="BB418" i="28"/>
  <c r="BB419" i="28"/>
  <c r="BB420" i="28"/>
  <c r="BB421" i="28"/>
  <c r="BB422" i="28"/>
  <c r="BB423" i="28"/>
  <c r="BB424" i="28"/>
  <c r="BD424" i="28" s="1"/>
  <c r="BB425" i="28"/>
  <c r="BB426" i="28"/>
  <c r="BB427" i="28"/>
  <c r="BB428" i="28"/>
  <c r="BB282" i="28"/>
  <c r="BB283" i="28"/>
  <c r="BB284" i="28"/>
  <c r="BD284" i="28" s="1"/>
  <c r="BB285" i="28"/>
  <c r="BB286" i="28"/>
  <c r="BB287" i="28"/>
  <c r="BB288" i="28"/>
  <c r="BB290" i="28"/>
  <c r="BB291" i="28"/>
  <c r="BB293" i="28"/>
  <c r="BB295" i="28"/>
  <c r="BB296" i="28"/>
  <c r="BB297" i="28"/>
  <c r="BB298" i="28"/>
  <c r="BB299" i="28"/>
  <c r="BB300" i="28"/>
  <c r="BB301" i="28"/>
  <c r="BB302" i="28"/>
  <c r="BB303" i="28"/>
  <c r="BB304" i="28"/>
  <c r="BB305" i="28"/>
  <c r="BB306" i="28"/>
  <c r="BB307" i="28"/>
  <c r="BB308" i="28"/>
  <c r="BB309" i="28"/>
  <c r="BB310" i="28"/>
  <c r="BB311" i="28"/>
  <c r="BB312" i="28"/>
  <c r="BB313" i="28"/>
  <c r="BB314" i="28"/>
  <c r="BB315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1" i="28"/>
  <c r="BB352" i="28"/>
  <c r="BB359" i="28"/>
  <c r="BB362" i="28"/>
  <c r="BB363" i="28"/>
  <c r="BB367" i="28"/>
  <c r="BB368" i="28"/>
  <c r="BB370" i="28"/>
  <c r="BB371" i="28"/>
  <c r="BB372" i="28"/>
  <c r="BB373" i="28"/>
  <c r="BB374" i="28"/>
  <c r="BB375" i="28"/>
  <c r="BB239" i="28"/>
  <c r="BB240" i="28"/>
  <c r="BB241" i="28"/>
  <c r="BB242" i="28"/>
  <c r="BB243" i="28"/>
  <c r="BB245" i="28"/>
  <c r="BB246" i="28"/>
  <c r="BB248" i="28"/>
  <c r="BB249" i="28"/>
  <c r="BB250" i="28"/>
  <c r="BB251" i="28"/>
  <c r="BB252" i="28"/>
  <c r="BB253" i="28"/>
  <c r="BB254" i="28"/>
  <c r="BB255" i="28"/>
  <c r="BB256" i="28"/>
  <c r="BB257" i="28"/>
  <c r="BB258" i="28"/>
  <c r="BB259" i="28"/>
  <c r="BB260" i="28"/>
  <c r="BB261" i="28"/>
  <c r="BB262" i="28"/>
  <c r="BB263" i="28"/>
  <c r="BB264" i="28"/>
  <c r="BB265" i="28"/>
  <c r="BB266" i="28"/>
  <c r="BB267" i="28"/>
  <c r="BB268" i="28"/>
  <c r="BB269" i="28"/>
  <c r="BB270" i="28"/>
  <c r="BB221" i="28"/>
  <c r="BB223" i="28"/>
  <c r="BB225" i="28"/>
  <c r="BB227" i="28"/>
  <c r="BB229" i="28"/>
  <c r="BB230" i="28"/>
  <c r="BF149" i="28"/>
  <c r="BB87" i="28"/>
  <c r="BB88" i="28"/>
  <c r="BB89" i="28"/>
  <c r="BB90" i="28"/>
  <c r="BB91" i="28"/>
  <c r="BB92" i="28"/>
  <c r="BB93" i="28"/>
  <c r="BB94" i="28"/>
  <c r="BB95" i="28"/>
  <c r="BB96" i="28"/>
  <c r="BB97" i="28"/>
  <c r="BB98" i="28"/>
  <c r="BB99" i="28"/>
  <c r="BB100" i="28"/>
  <c r="BB101" i="28"/>
  <c r="BB102" i="28"/>
  <c r="BB103" i="28"/>
  <c r="BB104" i="28"/>
  <c r="BB105" i="28"/>
  <c r="BB106" i="28"/>
  <c r="BB107" i="28"/>
  <c r="BB108" i="28"/>
  <c r="BB109" i="28"/>
  <c r="BB110" i="28"/>
  <c r="BB111" i="28"/>
  <c r="BB112" i="28"/>
  <c r="BB113" i="28"/>
  <c r="BB114" i="28"/>
  <c r="BB115" i="28"/>
  <c r="BB116" i="28"/>
  <c r="BB117" i="28"/>
  <c r="BB118" i="28"/>
  <c r="BB119" i="28"/>
  <c r="BB120" i="28"/>
  <c r="BB121" i="28"/>
  <c r="BB122" i="28"/>
  <c r="BB123" i="28"/>
  <c r="BB124" i="28"/>
  <c r="BB125" i="28"/>
  <c r="BB127" i="28"/>
  <c r="BB128" i="28"/>
  <c r="BB129" i="28"/>
  <c r="BB130" i="28"/>
  <c r="BB131" i="28"/>
  <c r="BB132" i="28"/>
  <c r="BB133" i="28"/>
  <c r="BB134" i="28"/>
  <c r="BB135" i="28"/>
  <c r="BB136" i="28"/>
  <c r="BB137" i="28"/>
  <c r="BD137" i="28" s="1"/>
  <c r="BB138" i="28"/>
  <c r="BB139" i="28"/>
  <c r="BB140" i="28"/>
  <c r="BB141" i="28"/>
  <c r="BB142" i="28"/>
  <c r="BB143" i="28"/>
  <c r="BB144" i="28"/>
  <c r="BB145" i="28"/>
  <c r="BB146" i="28"/>
  <c r="BB147" i="28"/>
  <c r="BB148" i="28"/>
  <c r="BB149" i="28"/>
  <c r="BD149" i="28" s="1"/>
  <c r="BB150" i="28"/>
  <c r="BB151" i="28"/>
  <c r="BB152" i="28"/>
  <c r="BB153" i="28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11" i="28"/>
  <c r="BB213" i="28"/>
  <c r="AM67" i="39"/>
  <c r="AM66" i="39"/>
  <c r="Y67" i="39"/>
  <c r="Y66" i="39"/>
  <c r="BA67" i="39"/>
  <c r="BA66" i="39"/>
  <c r="BC66" i="39" l="1"/>
  <c r="AA66" i="39"/>
  <c r="BE66" i="39" s="1"/>
  <c r="AA67" i="39"/>
  <c r="BC67" i="39"/>
  <c r="AZ3" i="8"/>
  <c r="AV3" i="8"/>
  <c r="AR3" i="8"/>
  <c r="BB3" i="8" l="1"/>
  <c r="BE67" i="39"/>
  <c r="AZ198" i="6"/>
  <c r="BB380" i="28"/>
  <c r="BB381" i="28"/>
  <c r="BD381" i="28" s="1"/>
  <c r="BB382" i="28"/>
  <c r="BB383" i="28"/>
  <c r="BB384" i="28"/>
  <c r="BB385" i="28"/>
  <c r="BB386" i="28"/>
  <c r="BD386" i="28" s="1"/>
  <c r="BB387" i="28"/>
  <c r="BB388" i="28"/>
  <c r="BB389" i="28"/>
  <c r="BB390" i="28"/>
  <c r="AN87" i="28"/>
  <c r="BD87" i="28" s="1"/>
  <c r="AJ87" i="28" l="1"/>
  <c r="AP87" i="28" s="1"/>
  <c r="AT87" i="28" s="1"/>
  <c r="AX87" i="28" s="1"/>
  <c r="BF87" i="28" s="1"/>
  <c r="J63" i="11" l="1"/>
  <c r="J62" i="11"/>
  <c r="AA128" i="45"/>
  <c r="AA127" i="45"/>
  <c r="K128" i="45"/>
  <c r="K127" i="45"/>
  <c r="BA129" i="45" l="1"/>
  <c r="AW129" i="45"/>
  <c r="AW126" i="45" s="1"/>
  <c r="AS129" i="45"/>
  <c r="AS126" i="45" s="1"/>
  <c r="AM129" i="45"/>
  <c r="AM126" i="45" s="1"/>
  <c r="AI129" i="45"/>
  <c r="AE129" i="45"/>
  <c r="AE126" i="45" s="1"/>
  <c r="M129" i="45"/>
  <c r="M126" i="45" s="1"/>
  <c r="G129" i="45"/>
  <c r="BC128" i="45"/>
  <c r="AO128" i="45"/>
  <c r="O128" i="45"/>
  <c r="BC127" i="45"/>
  <c r="AO127" i="45"/>
  <c r="O127" i="45"/>
  <c r="BA126" i="45"/>
  <c r="AZ64" i="11"/>
  <c r="AA129" i="45" l="1"/>
  <c r="BE128" i="45"/>
  <c r="AO129" i="45"/>
  <c r="S128" i="45"/>
  <c r="W128" i="45" s="1"/>
  <c r="AC128" i="45"/>
  <c r="AC127" i="45"/>
  <c r="AG127" i="45" s="1"/>
  <c r="AK127" i="45" s="1"/>
  <c r="G126" i="45"/>
  <c r="K129" i="45"/>
  <c r="K126" i="45" s="1"/>
  <c r="BC129" i="45"/>
  <c r="BC126" i="45" s="1"/>
  <c r="AI126" i="45"/>
  <c r="O129" i="45"/>
  <c r="S129" i="45" s="1"/>
  <c r="W129" i="45" s="1"/>
  <c r="AA126" i="45"/>
  <c r="BE127" i="45"/>
  <c r="S127" i="45"/>
  <c r="AY114" i="26"/>
  <c r="AX112" i="26"/>
  <c r="AX110" i="26"/>
  <c r="AX108" i="26"/>
  <c r="AX106" i="26"/>
  <c r="AX104" i="26"/>
  <c r="AX102" i="26"/>
  <c r="AX100" i="26"/>
  <c r="AX98" i="26"/>
  <c r="AY94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Y56" i="26" s="1"/>
  <c r="AX48" i="26"/>
  <c r="AX50" i="26" s="1"/>
  <c r="AX51" i="26" s="1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Y18" i="26" s="1"/>
  <c r="AX11" i="26"/>
  <c r="AX9" i="26"/>
  <c r="AZ103" i="9"/>
  <c r="BB163" i="6"/>
  <c r="BB165" i="6" s="1"/>
  <c r="BB188" i="6"/>
  <c r="BB190" i="6" s="1"/>
  <c r="BE129" i="45" l="1"/>
  <c r="AO126" i="45"/>
  <c r="AX83" i="26"/>
  <c r="AX114" i="26"/>
  <c r="AX82" i="26"/>
  <c r="AX75" i="26"/>
  <c r="AX56" i="26"/>
  <c r="AX57" i="26"/>
  <c r="AX45" i="26"/>
  <c r="AX12" i="26"/>
  <c r="AX18" i="26" s="1"/>
  <c r="AC129" i="45"/>
  <c r="AC126" i="45" s="1"/>
  <c r="AG128" i="45"/>
  <c r="AK128" i="45" s="1"/>
  <c r="AQ128" i="45" s="1"/>
  <c r="AU128" i="45" s="1"/>
  <c r="AY128" i="45" s="1"/>
  <c r="BG128" i="45" s="1"/>
  <c r="O126" i="45"/>
  <c r="BE126" i="45"/>
  <c r="S126" i="45"/>
  <c r="W127" i="45"/>
  <c r="W126" i="45" s="1"/>
  <c r="AY57" i="26"/>
  <c r="AY51" i="26"/>
  <c r="AY13" i="26"/>
  <c r="AY19" i="26"/>
  <c r="AX85" i="26"/>
  <c r="AX94" i="26" s="1"/>
  <c r="AG129" i="45" l="1"/>
  <c r="AK129" i="45" s="1"/>
  <c r="AQ129" i="45" s="1"/>
  <c r="AU129" i="45" s="1"/>
  <c r="AY129" i="45" s="1"/>
  <c r="BG129" i="45" s="1"/>
  <c r="AX19" i="26"/>
  <c r="AX13" i="26"/>
  <c r="AQ127" i="45"/>
  <c r="AU127" i="45" s="1"/>
  <c r="AY127" i="45" s="1"/>
  <c r="BG127" i="45" s="1"/>
  <c r="BA71" i="83"/>
  <c r="BA72" i="83"/>
  <c r="BA73" i="83"/>
  <c r="BA74" i="83"/>
  <c r="BA70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67" i="83"/>
  <c r="BA68" i="83"/>
  <c r="BA52" i="83"/>
  <c r="BA47" i="83"/>
  <c r="BA48" i="83"/>
  <c r="BA50" i="83"/>
  <c r="BA46" i="83"/>
  <c r="BA40" i="83"/>
  <c r="BA41" i="83"/>
  <c r="BA42" i="83"/>
  <c r="BA43" i="83"/>
  <c r="BA44" i="83"/>
  <c r="BA39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9" i="83"/>
  <c r="BA30" i="83"/>
  <c r="BA31" i="83"/>
  <c r="BA32" i="83"/>
  <c r="BA33" i="83"/>
  <c r="BA34" i="83"/>
  <c r="BA35" i="83"/>
  <c r="BA36" i="83"/>
  <c r="BA37" i="83"/>
  <c r="BA4" i="83"/>
  <c r="BA70" i="73"/>
  <c r="BA71" i="73"/>
  <c r="BA72" i="73"/>
  <c r="BA73" i="73"/>
  <c r="AG126" i="45" l="1"/>
  <c r="AK126" i="45"/>
  <c r="AQ126" i="45"/>
  <c r="BA45" i="83"/>
  <c r="BA75" i="83"/>
  <c r="BA69" i="83"/>
  <c r="BA51" i="83"/>
  <c r="BA38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43" i="38"/>
  <c r="BD92" i="38" s="1"/>
  <c r="BC42" i="38"/>
  <c r="BC41" i="38" s="1"/>
  <c r="BD41" i="38"/>
  <c r="BD90" i="38" s="1"/>
  <c r="BC39" i="38"/>
  <c r="BC38" i="38"/>
  <c r="BC37" i="38"/>
  <c r="BC36" i="38"/>
  <c r="BD35" i="38"/>
  <c r="BD84" i="38" s="1"/>
  <c r="BC33" i="38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D19" i="38"/>
  <c r="BD68" i="38" s="1"/>
  <c r="BC15" i="38"/>
  <c r="BC14" i="38"/>
  <c r="BC13" i="38" s="1"/>
  <c r="BD13" i="38"/>
  <c r="BD62" i="38" s="1"/>
  <c r="BC12" i="38"/>
  <c r="BC11" i="38"/>
  <c r="BC10" i="38"/>
  <c r="BC9" i="38"/>
  <c r="BC8" i="38"/>
  <c r="BC7" i="38"/>
  <c r="BD6" i="38"/>
  <c r="BC67" i="38" l="1"/>
  <c r="BC65" i="38"/>
  <c r="AU126" i="45"/>
  <c r="BA76" i="83"/>
  <c r="BD16" i="38"/>
  <c r="BD65" i="38" s="1"/>
  <c r="BC89" i="38"/>
  <c r="BC66" i="38" s="1"/>
  <c r="BC98" i="38" s="1"/>
  <c r="BC43" i="38"/>
  <c r="BC40" i="38" s="1"/>
  <c r="BC35" i="38"/>
  <c r="BC19" i="38"/>
  <c r="BC18" i="38" s="1"/>
  <c r="BC6" i="38"/>
  <c r="BC16" i="38" s="1"/>
  <c r="BD18" i="38"/>
  <c r="BD67" i="38" s="1"/>
  <c r="BD55" i="38"/>
  <c r="BD40" i="38"/>
  <c r="AN109" i="9"/>
  <c r="Z109" i="9"/>
  <c r="N109" i="9"/>
  <c r="BB109" i="9"/>
  <c r="BD109" i="9" l="1"/>
  <c r="BC17" i="38"/>
  <c r="AB109" i="9"/>
  <c r="AF109" i="9" s="1"/>
  <c r="AJ109" i="9" s="1"/>
  <c r="AP109" i="9" s="1"/>
  <c r="AT109" i="9" s="1"/>
  <c r="BG126" i="45"/>
  <c r="AY126" i="45"/>
  <c r="BC49" i="38"/>
  <c r="BD17" i="38"/>
  <c r="BD89" i="38"/>
  <c r="BA93" i="73"/>
  <c r="BA94" i="73"/>
  <c r="BD66" i="38" l="1"/>
  <c r="BD98" i="38" s="1"/>
  <c r="BD49" i="38"/>
  <c r="M50" i="82"/>
  <c r="N50" i="82"/>
  <c r="L50" i="82"/>
  <c r="G50" i="82"/>
  <c r="H50" i="82"/>
  <c r="F50" i="82"/>
  <c r="AX36" i="27" l="1"/>
  <c r="AX37" i="27"/>
  <c r="AX20" i="27"/>
  <c r="AY37" i="27" l="1"/>
  <c r="AY35" i="27"/>
  <c r="AY29" i="27"/>
  <c r="AY28" i="27"/>
  <c r="AY27" i="27"/>
  <c r="AY20" i="27"/>
  <c r="AY19" i="27"/>
  <c r="AY18" i="27"/>
  <c r="BA70" i="77" l="1"/>
  <c r="BA80" i="77"/>
  <c r="L86" i="77"/>
  <c r="Z86" i="77" s="1"/>
  <c r="M86" i="77"/>
  <c r="AA86" i="77" s="1"/>
  <c r="P86" i="77"/>
  <c r="T86" i="77" s="1"/>
  <c r="Q86" i="77"/>
  <c r="U86" i="77" s="1"/>
  <c r="AB86" i="77"/>
  <c r="AC86" i="77"/>
  <c r="AD86" i="77"/>
  <c r="AE86" i="77"/>
  <c r="AF86" i="77"/>
  <c r="AG86" i="77"/>
  <c r="AH86" i="77"/>
  <c r="AI86" i="77"/>
  <c r="AJ86" i="77"/>
  <c r="AK86" i="77"/>
  <c r="AL86" i="77"/>
  <c r="AM86" i="77"/>
  <c r="AN86" i="77"/>
  <c r="AO86" i="77"/>
  <c r="AP86" i="77"/>
  <c r="AQ86" i="77"/>
  <c r="AR86" i="77"/>
  <c r="AS86" i="77"/>
  <c r="AT86" i="77"/>
  <c r="AU86" i="77"/>
  <c r="AV86" i="77"/>
  <c r="AW86" i="77"/>
  <c r="AX86" i="77"/>
  <c r="AY86" i="77"/>
  <c r="AZ86" i="77"/>
  <c r="BA86" i="77"/>
  <c r="BB86" i="77"/>
  <c r="BC86" i="77"/>
  <c r="BD86" i="77"/>
  <c r="BE86" i="77"/>
  <c r="E86" i="77"/>
  <c r="L85" i="77"/>
  <c r="Z85" i="77" s="1"/>
  <c r="M85" i="77"/>
  <c r="AA85" i="77" s="1"/>
  <c r="P85" i="77"/>
  <c r="T85" i="77" s="1"/>
  <c r="Q85" i="77"/>
  <c r="U85" i="77" s="1"/>
  <c r="AB85" i="77"/>
  <c r="AC85" i="77"/>
  <c r="AD85" i="77"/>
  <c r="AE85" i="77"/>
  <c r="AF85" i="77"/>
  <c r="AG85" i="77"/>
  <c r="AH85" i="77"/>
  <c r="AI85" i="77"/>
  <c r="AJ85" i="77"/>
  <c r="AK85" i="77"/>
  <c r="AL85" i="77"/>
  <c r="AM85" i="77"/>
  <c r="AN85" i="77"/>
  <c r="AO85" i="77"/>
  <c r="AP85" i="77"/>
  <c r="AP84" i="77" s="1"/>
  <c r="AQ85" i="77"/>
  <c r="AR85" i="77"/>
  <c r="AS85" i="77"/>
  <c r="AT85" i="77"/>
  <c r="AU85" i="77"/>
  <c r="AV85" i="77"/>
  <c r="AW85" i="77"/>
  <c r="AX85" i="77"/>
  <c r="AY85" i="77"/>
  <c r="AZ85" i="77"/>
  <c r="BA85" i="77"/>
  <c r="BB85" i="77"/>
  <c r="BC85" i="77"/>
  <c r="BD85" i="77"/>
  <c r="BE85" i="77"/>
  <c r="E85" i="77"/>
  <c r="E76" i="77"/>
  <c r="L76" i="77"/>
  <c r="Z76" i="77" s="1"/>
  <c r="M76" i="77"/>
  <c r="AA76" i="77" s="1"/>
  <c r="P76" i="77"/>
  <c r="T76" i="77" s="1"/>
  <c r="Q76" i="77"/>
  <c r="U76" i="77" s="1"/>
  <c r="AB76" i="77"/>
  <c r="AC76" i="77"/>
  <c r="AD76" i="77"/>
  <c r="AE76" i="77"/>
  <c r="AF76" i="77"/>
  <c r="AG76" i="77"/>
  <c r="AH76" i="77"/>
  <c r="AI76" i="77"/>
  <c r="AJ76" i="77"/>
  <c r="AK76" i="77"/>
  <c r="AL76" i="77"/>
  <c r="AM76" i="77"/>
  <c r="AN76" i="77"/>
  <c r="AO76" i="77"/>
  <c r="AP76" i="77"/>
  <c r="AQ76" i="77"/>
  <c r="AR76" i="77"/>
  <c r="AS76" i="77"/>
  <c r="AT76" i="77"/>
  <c r="AU76" i="77"/>
  <c r="AV76" i="77"/>
  <c r="AW76" i="77"/>
  <c r="AX76" i="77"/>
  <c r="AY76" i="77"/>
  <c r="AZ76" i="77"/>
  <c r="BA76" i="77"/>
  <c r="BB76" i="77"/>
  <c r="BC76" i="77"/>
  <c r="BD76" i="77"/>
  <c r="BE76" i="77"/>
  <c r="E78" i="77"/>
  <c r="L78" i="77"/>
  <c r="Z78" i="77" s="1"/>
  <c r="M78" i="77"/>
  <c r="AA78" i="77" s="1"/>
  <c r="P78" i="77"/>
  <c r="T78" i="77" s="1"/>
  <c r="Q78" i="77"/>
  <c r="U78" i="77" s="1"/>
  <c r="AB78" i="77"/>
  <c r="AC78" i="77"/>
  <c r="AD78" i="77"/>
  <c r="AE78" i="77"/>
  <c r="AF78" i="77"/>
  <c r="AG78" i="77"/>
  <c r="AH78" i="77"/>
  <c r="AI78" i="77"/>
  <c r="AJ78" i="77"/>
  <c r="AK78" i="77"/>
  <c r="AL78" i="77"/>
  <c r="AM78" i="77"/>
  <c r="AN78" i="77"/>
  <c r="AO78" i="77"/>
  <c r="AP78" i="77"/>
  <c r="AQ78" i="77"/>
  <c r="AR78" i="77"/>
  <c r="AS78" i="77"/>
  <c r="AT78" i="77"/>
  <c r="AU78" i="77"/>
  <c r="AV78" i="77"/>
  <c r="AW78" i="77"/>
  <c r="AX78" i="77"/>
  <c r="AY78" i="77"/>
  <c r="AZ78" i="77"/>
  <c r="BA78" i="77"/>
  <c r="BB78" i="77"/>
  <c r="BC78" i="77"/>
  <c r="BD78" i="77"/>
  <c r="BE78" i="77"/>
  <c r="L75" i="77"/>
  <c r="Z75" i="77" s="1"/>
  <c r="M75" i="77"/>
  <c r="AA75" i="77" s="1"/>
  <c r="P75" i="77"/>
  <c r="T75" i="77" s="1"/>
  <c r="Q75" i="77"/>
  <c r="U75" i="77" s="1"/>
  <c r="AB75" i="77"/>
  <c r="AC75" i="77"/>
  <c r="AD75" i="77"/>
  <c r="AE75" i="77"/>
  <c r="AF75" i="77"/>
  <c r="AG75" i="77"/>
  <c r="AH75" i="77"/>
  <c r="AI75" i="77"/>
  <c r="AJ75" i="77"/>
  <c r="AK75" i="77"/>
  <c r="AL75" i="77"/>
  <c r="AM75" i="77"/>
  <c r="AN75" i="77"/>
  <c r="AO75" i="77"/>
  <c r="AP75" i="77"/>
  <c r="AQ75" i="77"/>
  <c r="AR75" i="77"/>
  <c r="AS75" i="77"/>
  <c r="AT75" i="77"/>
  <c r="AU75" i="77"/>
  <c r="AV75" i="77"/>
  <c r="AW75" i="77"/>
  <c r="AX75" i="77"/>
  <c r="AY75" i="77"/>
  <c r="AZ75" i="77"/>
  <c r="BA75" i="77"/>
  <c r="BB75" i="77"/>
  <c r="BC75" i="77"/>
  <c r="BD75" i="77"/>
  <c r="BE75" i="77"/>
  <c r="E75" i="77"/>
  <c r="BA90" i="77"/>
  <c r="AP90" i="77"/>
  <c r="AK90" i="77"/>
  <c r="AJ90" i="77"/>
  <c r="AG90" i="77"/>
  <c r="AF90" i="77"/>
  <c r="AC90" i="77"/>
  <c r="BA83" i="77"/>
  <c r="AZ83" i="77"/>
  <c r="AM83" i="77"/>
  <c r="AL83" i="77"/>
  <c r="M83" i="77"/>
  <c r="AA83" i="77" s="1"/>
  <c r="L83" i="77"/>
  <c r="Z83" i="77" s="1"/>
  <c r="AY82" i="77"/>
  <c r="AX82" i="77"/>
  <c r="AU82" i="77"/>
  <c r="AT82" i="77"/>
  <c r="AQ82" i="77"/>
  <c r="AP82" i="77"/>
  <c r="AK82" i="77"/>
  <c r="AJ82" i="77"/>
  <c r="AG82" i="77"/>
  <c r="AF82" i="77"/>
  <c r="AC82" i="77"/>
  <c r="AB82" i="77"/>
  <c r="E82" i="77"/>
  <c r="AR70" i="77"/>
  <c r="AV70" i="77" s="1"/>
  <c r="AZ70" i="77" s="1"/>
  <c r="BB70" i="77" s="1"/>
  <c r="AM70" i="77"/>
  <c r="BC70" i="77" s="1"/>
  <c r="AL70" i="77"/>
  <c r="M70" i="77"/>
  <c r="AA70" i="77" s="1"/>
  <c r="L70" i="77"/>
  <c r="Z70" i="77" s="1"/>
  <c r="AM80" i="77"/>
  <c r="BC80" i="77" s="1"/>
  <c r="AL80" i="77"/>
  <c r="M80" i="77"/>
  <c r="AA80" i="77" s="1"/>
  <c r="L80" i="77"/>
  <c r="Z80" i="77" s="1"/>
  <c r="BA73" i="77"/>
  <c r="BA72" i="77" s="1"/>
  <c r="AM73" i="77"/>
  <c r="AM72" i="77" s="1"/>
  <c r="M73" i="77"/>
  <c r="AA73" i="77" s="1"/>
  <c r="L73" i="77"/>
  <c r="Z73" i="77" s="1"/>
  <c r="BB72" i="77"/>
  <c r="AZ72" i="77"/>
  <c r="AU72" i="77"/>
  <c r="AT72" i="77"/>
  <c r="AQ72" i="77"/>
  <c r="AP72" i="77"/>
  <c r="AL72" i="77"/>
  <c r="AK72" i="77"/>
  <c r="AJ72" i="77"/>
  <c r="AG72" i="77"/>
  <c r="AF72" i="77"/>
  <c r="AC72" i="77"/>
  <c r="AB72" i="77"/>
  <c r="E72" i="77"/>
  <c r="D72" i="77"/>
  <c r="BA139" i="73"/>
  <c r="I140" i="73"/>
  <c r="M140" i="73"/>
  <c r="Q140" i="73" s="1"/>
  <c r="Y140" i="73"/>
  <c r="AM140" i="73"/>
  <c r="BA140" i="73"/>
  <c r="I141" i="73"/>
  <c r="M141" i="73"/>
  <c r="Y141" i="73"/>
  <c r="AA141" i="73" s="1"/>
  <c r="AE141" i="73" s="1"/>
  <c r="AI141" i="73" s="1"/>
  <c r="AO141" i="73" s="1"/>
  <c r="AS141" i="73" s="1"/>
  <c r="AW141" i="73" s="1"/>
  <c r="BE141" i="73" s="1"/>
  <c r="AM141" i="73"/>
  <c r="BA141" i="73"/>
  <c r="BC141" i="73" s="1"/>
  <c r="I142" i="73"/>
  <c r="M142" i="73"/>
  <c r="Q142" i="73" s="1"/>
  <c r="U142" i="73" s="1"/>
  <c r="Y142" i="73"/>
  <c r="AM142" i="73"/>
  <c r="BA142" i="73"/>
  <c r="I143" i="73"/>
  <c r="M143" i="73"/>
  <c r="Y143" i="73"/>
  <c r="AM143" i="73"/>
  <c r="BA143" i="73"/>
  <c r="I144" i="73"/>
  <c r="M144" i="73"/>
  <c r="Q144" i="73" s="1"/>
  <c r="Y144" i="73"/>
  <c r="AM144" i="73"/>
  <c r="BA144" i="73"/>
  <c r="I145" i="73"/>
  <c r="M145" i="73"/>
  <c r="Q145" i="73" s="1"/>
  <c r="Y145" i="73"/>
  <c r="AM145" i="73"/>
  <c r="BA145" i="73"/>
  <c r="I146" i="73"/>
  <c r="M146" i="73"/>
  <c r="Q146" i="73" s="1"/>
  <c r="Y146" i="73"/>
  <c r="AM146" i="73"/>
  <c r="BA146" i="73"/>
  <c r="I147" i="73"/>
  <c r="M147" i="73"/>
  <c r="Y147" i="73"/>
  <c r="AM147" i="73"/>
  <c r="BA147" i="73"/>
  <c r="I148" i="73"/>
  <c r="M148" i="73"/>
  <c r="Y148" i="73"/>
  <c r="AI148" i="73"/>
  <c r="AO148" i="73" s="1"/>
  <c r="AS148" i="73" s="1"/>
  <c r="AW148" i="73" s="1"/>
  <c r="BE148" i="73" s="1"/>
  <c r="AM148" i="73"/>
  <c r="BA148" i="73"/>
  <c r="I149" i="73"/>
  <c r="M149" i="73"/>
  <c r="Q149" i="73" s="1"/>
  <c r="Y149" i="73"/>
  <c r="AM149" i="73"/>
  <c r="BA149" i="73"/>
  <c r="I150" i="73"/>
  <c r="M150" i="73"/>
  <c r="Q150" i="73" s="1"/>
  <c r="Y150" i="73"/>
  <c r="AM150" i="73"/>
  <c r="BA150" i="73"/>
  <c r="I151" i="73"/>
  <c r="M151" i="73"/>
  <c r="Q151" i="73" s="1"/>
  <c r="Y151" i="73"/>
  <c r="AM151" i="73"/>
  <c r="BA151" i="73"/>
  <c r="I152" i="73"/>
  <c r="M152" i="73"/>
  <c r="Y152" i="73"/>
  <c r="AM152" i="73"/>
  <c r="BA152" i="73"/>
  <c r="I153" i="73"/>
  <c r="M153" i="73"/>
  <c r="Q153" i="73" s="1"/>
  <c r="Y153" i="73"/>
  <c r="AM153" i="73"/>
  <c r="BC153" i="73" s="1"/>
  <c r="M154" i="73"/>
  <c r="Q154" i="73" s="1"/>
  <c r="Y154" i="73"/>
  <c r="AM154" i="73"/>
  <c r="BC154" i="73" s="1"/>
  <c r="M155" i="73"/>
  <c r="Q155" i="73" s="1"/>
  <c r="U155" i="73" s="1"/>
  <c r="Y155" i="73"/>
  <c r="AM155" i="73"/>
  <c r="BC155" i="73" s="1"/>
  <c r="M156" i="73"/>
  <c r="Q156" i="73" s="1"/>
  <c r="U156" i="73" s="1"/>
  <c r="Y156" i="73"/>
  <c r="AM156" i="73"/>
  <c r="BC156" i="73" s="1"/>
  <c r="M157" i="73"/>
  <c r="Q157" i="73" s="1"/>
  <c r="U157" i="73" s="1"/>
  <c r="Y157" i="73"/>
  <c r="AM157" i="73"/>
  <c r="BC157" i="73" s="1"/>
  <c r="M158" i="73"/>
  <c r="Q158" i="73" s="1"/>
  <c r="U158" i="73" s="1"/>
  <c r="Y158" i="73"/>
  <c r="AM158" i="73"/>
  <c r="BC158" i="73" s="1"/>
  <c r="M159" i="73"/>
  <c r="Y159" i="73"/>
  <c r="AM159" i="73"/>
  <c r="BC159" i="73" s="1"/>
  <c r="M160" i="73"/>
  <c r="Q160" i="73" s="1"/>
  <c r="U160" i="73" s="1"/>
  <c r="Y160" i="73"/>
  <c r="AM160" i="73"/>
  <c r="BC160" i="73" s="1"/>
  <c r="M161" i="73"/>
  <c r="Q161" i="73" s="1"/>
  <c r="U161" i="73" s="1"/>
  <c r="Y161" i="73"/>
  <c r="AM161" i="73"/>
  <c r="BC161" i="73" s="1"/>
  <c r="M162" i="73"/>
  <c r="Q162" i="73" s="1"/>
  <c r="U162" i="73" s="1"/>
  <c r="Y162" i="73"/>
  <c r="AM162" i="73"/>
  <c r="BC162" i="73" s="1"/>
  <c r="I163" i="73"/>
  <c r="M163" i="73"/>
  <c r="Q163" i="73" s="1"/>
  <c r="Y163" i="73"/>
  <c r="AM163" i="73"/>
  <c r="BA163" i="73"/>
  <c r="I164" i="73"/>
  <c r="M164" i="73"/>
  <c r="Y164" i="73"/>
  <c r="AM164" i="73"/>
  <c r="BA164" i="73"/>
  <c r="I165" i="73"/>
  <c r="M165" i="73"/>
  <c r="Q165" i="73" s="1"/>
  <c r="Y165" i="73"/>
  <c r="AM165" i="73"/>
  <c r="BA165" i="73"/>
  <c r="I166" i="73"/>
  <c r="M166" i="73"/>
  <c r="Y166" i="73"/>
  <c r="AM166" i="73"/>
  <c r="BA166" i="73"/>
  <c r="I167" i="73"/>
  <c r="M167" i="73"/>
  <c r="Q167" i="73" s="1"/>
  <c r="Y167" i="73"/>
  <c r="AM167" i="73"/>
  <c r="BA167" i="73"/>
  <c r="I168" i="73"/>
  <c r="M168" i="73"/>
  <c r="Q168" i="73" s="1"/>
  <c r="U168" i="73" s="1"/>
  <c r="Y168" i="73"/>
  <c r="AM168" i="73"/>
  <c r="BA168" i="73"/>
  <c r="I169" i="73"/>
  <c r="M169" i="73"/>
  <c r="Q169" i="73" s="1"/>
  <c r="Y169" i="73"/>
  <c r="AM169" i="73"/>
  <c r="BA169" i="73"/>
  <c r="I170" i="73"/>
  <c r="M170" i="73"/>
  <c r="Y170" i="73"/>
  <c r="AM170" i="73"/>
  <c r="BA170" i="73"/>
  <c r="I171" i="73"/>
  <c r="M171" i="73"/>
  <c r="Q171" i="73" s="1"/>
  <c r="Y171" i="73"/>
  <c r="AM171" i="73"/>
  <c r="BA171" i="73"/>
  <c r="I172" i="73"/>
  <c r="M172" i="73"/>
  <c r="Y172" i="73"/>
  <c r="AM172" i="73"/>
  <c r="BA172" i="73"/>
  <c r="I173" i="73"/>
  <c r="M173" i="73"/>
  <c r="Q173" i="73" s="1"/>
  <c r="Y173" i="73"/>
  <c r="AM173" i="73"/>
  <c r="BA173" i="73"/>
  <c r="I174" i="73"/>
  <c r="M174" i="73"/>
  <c r="Q174" i="73" s="1"/>
  <c r="Y174" i="73"/>
  <c r="AM174" i="73"/>
  <c r="BA174" i="73"/>
  <c r="I175" i="73"/>
  <c r="M175" i="73"/>
  <c r="Q175" i="73" s="1"/>
  <c r="Y175" i="73"/>
  <c r="AM175" i="73"/>
  <c r="BA175" i="73"/>
  <c r="I176" i="73"/>
  <c r="M176" i="73"/>
  <c r="Y176" i="73"/>
  <c r="AM176" i="73"/>
  <c r="BA176" i="73"/>
  <c r="E74" i="77" l="1"/>
  <c r="BC151" i="73"/>
  <c r="BC143" i="73"/>
  <c r="I78" i="77"/>
  <c r="I75" i="77"/>
  <c r="I86" i="77"/>
  <c r="I72" i="77"/>
  <c r="I76" i="77"/>
  <c r="I82" i="77"/>
  <c r="I85" i="77"/>
  <c r="H72" i="77"/>
  <c r="Q164" i="73"/>
  <c r="U164" i="73" s="1"/>
  <c r="BC147" i="73"/>
  <c r="Q172" i="73"/>
  <c r="U172" i="73" s="1"/>
  <c r="Q152" i="73"/>
  <c r="U152" i="73" s="1"/>
  <c r="Q166" i="73"/>
  <c r="U166" i="73" s="1"/>
  <c r="BC150" i="73"/>
  <c r="AA147" i="73"/>
  <c r="AE147" i="73" s="1"/>
  <c r="AI147" i="73" s="1"/>
  <c r="AO147" i="73" s="1"/>
  <c r="AS147" i="73" s="1"/>
  <c r="AW147" i="73" s="1"/>
  <c r="BE147" i="73" s="1"/>
  <c r="Q147" i="73"/>
  <c r="U147" i="73" s="1"/>
  <c r="AA159" i="73"/>
  <c r="AE159" i="73" s="1"/>
  <c r="AI159" i="73" s="1"/>
  <c r="AO159" i="73" s="1"/>
  <c r="AS159" i="73" s="1"/>
  <c r="AW159" i="73" s="1"/>
  <c r="BE159" i="73" s="1"/>
  <c r="Q159" i="73"/>
  <c r="U159" i="73" s="1"/>
  <c r="Q148" i="73"/>
  <c r="U148" i="73" s="1"/>
  <c r="BC144" i="73"/>
  <c r="Q141" i="73"/>
  <c r="U141" i="73" s="1"/>
  <c r="AE74" i="77"/>
  <c r="BC164" i="73"/>
  <c r="Q176" i="73"/>
  <c r="U176" i="73" s="1"/>
  <c r="BC172" i="73"/>
  <c r="Q170" i="73"/>
  <c r="U170" i="73" s="1"/>
  <c r="Q143" i="73"/>
  <c r="U143" i="73" s="1"/>
  <c r="AA151" i="73"/>
  <c r="AE151" i="73" s="1"/>
  <c r="AI151" i="73" s="1"/>
  <c r="AO151" i="73" s="1"/>
  <c r="AS151" i="73" s="1"/>
  <c r="AW151" i="73" s="1"/>
  <c r="BE151" i="73" s="1"/>
  <c r="AA145" i="73"/>
  <c r="AE145" i="73" s="1"/>
  <c r="AI145" i="73" s="1"/>
  <c r="AO145" i="73" s="1"/>
  <c r="AS145" i="73" s="1"/>
  <c r="AW145" i="73" s="1"/>
  <c r="BE145" i="73" s="1"/>
  <c r="AA146" i="73"/>
  <c r="AE146" i="73" s="1"/>
  <c r="AI146" i="73" s="1"/>
  <c r="AO146" i="73" s="1"/>
  <c r="AS146" i="73" s="1"/>
  <c r="AW146" i="73" s="1"/>
  <c r="BE146" i="73" s="1"/>
  <c r="P80" i="77"/>
  <c r="T80" i="77" s="1"/>
  <c r="Q73" i="77"/>
  <c r="U73" i="77" s="1"/>
  <c r="Q70" i="77"/>
  <c r="U70" i="77" s="1"/>
  <c r="AA158" i="73"/>
  <c r="AE158" i="73" s="1"/>
  <c r="AI158" i="73" s="1"/>
  <c r="AO158" i="73" s="1"/>
  <c r="AS158" i="73" s="1"/>
  <c r="AW158" i="73" s="1"/>
  <c r="BE158" i="73" s="1"/>
  <c r="AA171" i="73"/>
  <c r="AE171" i="73" s="1"/>
  <c r="AI171" i="73" s="1"/>
  <c r="AO171" i="73" s="1"/>
  <c r="AS171" i="73" s="1"/>
  <c r="AW171" i="73" s="1"/>
  <c r="BE171" i="73" s="1"/>
  <c r="AA154" i="73"/>
  <c r="AE154" i="73" s="1"/>
  <c r="AI154" i="73" s="1"/>
  <c r="AO154" i="73" s="1"/>
  <c r="AS154" i="73" s="1"/>
  <c r="AW154" i="73" s="1"/>
  <c r="BE154" i="73" s="1"/>
  <c r="BC142" i="73"/>
  <c r="BC140" i="73"/>
  <c r="BC168" i="73"/>
  <c r="AA160" i="73"/>
  <c r="AE160" i="73" s="1"/>
  <c r="AI160" i="73" s="1"/>
  <c r="AO160" i="73" s="1"/>
  <c r="AS160" i="73" s="1"/>
  <c r="AW160" i="73" s="1"/>
  <c r="BE160" i="73" s="1"/>
  <c r="AA150" i="73"/>
  <c r="AE150" i="73" s="1"/>
  <c r="AI150" i="73" s="1"/>
  <c r="AO150" i="73" s="1"/>
  <c r="AS150" i="73" s="1"/>
  <c r="AW150" i="73" s="1"/>
  <c r="BE150" i="73" s="1"/>
  <c r="BC169" i="73"/>
  <c r="AA140" i="73"/>
  <c r="AE140" i="73" s="1"/>
  <c r="AI140" i="73" s="1"/>
  <c r="AO140" i="73" s="1"/>
  <c r="AS140" i="73" s="1"/>
  <c r="AW140" i="73" s="1"/>
  <c r="BE140" i="73" s="1"/>
  <c r="BC174" i="73"/>
  <c r="BC176" i="73"/>
  <c r="AA174" i="73"/>
  <c r="AE174" i="73" s="1"/>
  <c r="AI174" i="73" s="1"/>
  <c r="AO174" i="73" s="1"/>
  <c r="AS174" i="73" s="1"/>
  <c r="AW174" i="73" s="1"/>
  <c r="BE174" i="73" s="1"/>
  <c r="BC170" i="73"/>
  <c r="AA166" i="73"/>
  <c r="AE166" i="73" s="1"/>
  <c r="AI166" i="73" s="1"/>
  <c r="AO166" i="73" s="1"/>
  <c r="AS166" i="73" s="1"/>
  <c r="AW166" i="73" s="1"/>
  <c r="BE166" i="73" s="1"/>
  <c r="BC146" i="73"/>
  <c r="AA142" i="73"/>
  <c r="AE142" i="73" s="1"/>
  <c r="AI142" i="73" s="1"/>
  <c r="AO142" i="73" s="1"/>
  <c r="AS142" i="73" s="1"/>
  <c r="AW142" i="73" s="1"/>
  <c r="BE142" i="73" s="1"/>
  <c r="BC173" i="73"/>
  <c r="AA165" i="73"/>
  <c r="AE165" i="73" s="1"/>
  <c r="AI165" i="73" s="1"/>
  <c r="AO165" i="73" s="1"/>
  <c r="AS165" i="73" s="1"/>
  <c r="AW165" i="73" s="1"/>
  <c r="BE165" i="73" s="1"/>
  <c r="AA175" i="73"/>
  <c r="AE175" i="73" s="1"/>
  <c r="AI175" i="73" s="1"/>
  <c r="AO175" i="73" s="1"/>
  <c r="AS175" i="73" s="1"/>
  <c r="AW175" i="73" s="1"/>
  <c r="BE175" i="73" s="1"/>
  <c r="AA168" i="73"/>
  <c r="AE168" i="73" s="1"/>
  <c r="AI168" i="73" s="1"/>
  <c r="AO168" i="73" s="1"/>
  <c r="AS168" i="73" s="1"/>
  <c r="AW168" i="73" s="1"/>
  <c r="BE168" i="73" s="1"/>
  <c r="BC149" i="73"/>
  <c r="U145" i="73"/>
  <c r="AA144" i="73"/>
  <c r="AE144" i="73" s="1"/>
  <c r="AI144" i="73" s="1"/>
  <c r="AO144" i="73" s="1"/>
  <c r="AS144" i="73" s="1"/>
  <c r="AW144" i="73" s="1"/>
  <c r="BE144" i="73" s="1"/>
  <c r="U140" i="73"/>
  <c r="AA143" i="73"/>
  <c r="AE143" i="73" s="1"/>
  <c r="AI143" i="73" s="1"/>
  <c r="AO143" i="73" s="1"/>
  <c r="AS143" i="73" s="1"/>
  <c r="AW143" i="73" s="1"/>
  <c r="BE143" i="73" s="1"/>
  <c r="AV84" i="77"/>
  <c r="AU84" i="77"/>
  <c r="AU87" i="77" s="1"/>
  <c r="AU89" i="77" s="1"/>
  <c r="AI84" i="77"/>
  <c r="AA161" i="73"/>
  <c r="AE161" i="73" s="1"/>
  <c r="AI161" i="73" s="1"/>
  <c r="AO161" i="73" s="1"/>
  <c r="AS161" i="73" s="1"/>
  <c r="AW161" i="73" s="1"/>
  <c r="BE161" i="73" s="1"/>
  <c r="AA156" i="73"/>
  <c r="AE156" i="73" s="1"/>
  <c r="AI156" i="73" s="1"/>
  <c r="AO156" i="73" s="1"/>
  <c r="AS156" i="73" s="1"/>
  <c r="AW156" i="73" s="1"/>
  <c r="BE156" i="73" s="1"/>
  <c r="BC171" i="73"/>
  <c r="U171" i="73"/>
  <c r="BC163" i="73"/>
  <c r="AA153" i="73"/>
  <c r="AE153" i="73" s="1"/>
  <c r="AI153" i="73" s="1"/>
  <c r="AO153" i="73" s="1"/>
  <c r="AS153" i="73" s="1"/>
  <c r="AW153" i="73" s="1"/>
  <c r="BE153" i="73" s="1"/>
  <c r="AA148" i="73"/>
  <c r="BC175" i="73"/>
  <c r="AA173" i="73"/>
  <c r="AE173" i="73" s="1"/>
  <c r="AI173" i="73" s="1"/>
  <c r="AO173" i="73" s="1"/>
  <c r="AS173" i="73" s="1"/>
  <c r="AW173" i="73" s="1"/>
  <c r="BE173" i="73" s="1"/>
  <c r="AA169" i="73"/>
  <c r="AE169" i="73" s="1"/>
  <c r="AI169" i="73" s="1"/>
  <c r="AO169" i="73" s="1"/>
  <c r="AS169" i="73" s="1"/>
  <c r="AW169" i="73" s="1"/>
  <c r="BE169" i="73" s="1"/>
  <c r="BC165" i="73"/>
  <c r="AA163" i="73"/>
  <c r="AE163" i="73" s="1"/>
  <c r="AI163" i="73" s="1"/>
  <c r="AO163" i="73" s="1"/>
  <c r="AS163" i="73" s="1"/>
  <c r="AW163" i="73" s="1"/>
  <c r="BE163" i="73" s="1"/>
  <c r="AA167" i="73"/>
  <c r="AE167" i="73" s="1"/>
  <c r="AI167" i="73" s="1"/>
  <c r="AO167" i="73" s="1"/>
  <c r="AS167" i="73" s="1"/>
  <c r="AW167" i="73" s="1"/>
  <c r="BE167" i="73" s="1"/>
  <c r="AA155" i="73"/>
  <c r="AE155" i="73" s="1"/>
  <c r="AI155" i="73" s="1"/>
  <c r="AO155" i="73" s="1"/>
  <c r="AS155" i="73" s="1"/>
  <c r="AW155" i="73" s="1"/>
  <c r="BE155" i="73" s="1"/>
  <c r="BC152" i="73"/>
  <c r="AA149" i="73"/>
  <c r="AE149" i="73" s="1"/>
  <c r="AI149" i="73" s="1"/>
  <c r="AO149" i="73" s="1"/>
  <c r="AS149" i="73" s="1"/>
  <c r="AW149" i="73" s="1"/>
  <c r="BE149" i="73" s="1"/>
  <c r="U146" i="73"/>
  <c r="AA170" i="73"/>
  <c r="AE170" i="73" s="1"/>
  <c r="AI170" i="73" s="1"/>
  <c r="AO170" i="73" s="1"/>
  <c r="AS170" i="73" s="1"/>
  <c r="AW170" i="73" s="1"/>
  <c r="BE170" i="73" s="1"/>
  <c r="BC166" i="73"/>
  <c r="AA162" i="73"/>
  <c r="AE162" i="73" s="1"/>
  <c r="AI162" i="73" s="1"/>
  <c r="AO162" i="73" s="1"/>
  <c r="AS162" i="73" s="1"/>
  <c r="AW162" i="73" s="1"/>
  <c r="BE162" i="73" s="1"/>
  <c r="AA157" i="73"/>
  <c r="AE157" i="73" s="1"/>
  <c r="AI157" i="73" s="1"/>
  <c r="AO157" i="73" s="1"/>
  <c r="AS157" i="73" s="1"/>
  <c r="AW157" i="73" s="1"/>
  <c r="BE157" i="73" s="1"/>
  <c r="AA152" i="73"/>
  <c r="AE152" i="73" s="1"/>
  <c r="AI152" i="73" s="1"/>
  <c r="AO152" i="73" s="1"/>
  <c r="AS152" i="73" s="1"/>
  <c r="AW152" i="73" s="1"/>
  <c r="BE152" i="73" s="1"/>
  <c r="BC145" i="73"/>
  <c r="U150" i="73"/>
  <c r="BC148" i="73"/>
  <c r="U144" i="73"/>
  <c r="AC74" i="77"/>
  <c r="AC79" i="77" s="1"/>
  <c r="AF84" i="77"/>
  <c r="AF87" i="77" s="1"/>
  <c r="AF89" i="77" s="1"/>
  <c r="AF74" i="77"/>
  <c r="AF79" i="77" s="1"/>
  <c r="AA172" i="73"/>
  <c r="AE172" i="73" s="1"/>
  <c r="AI172" i="73" s="1"/>
  <c r="AO172" i="73" s="1"/>
  <c r="AS172" i="73" s="1"/>
  <c r="AW172" i="73" s="1"/>
  <c r="BE172" i="73" s="1"/>
  <c r="BB83" i="77"/>
  <c r="BB84" i="77"/>
  <c r="AD84" i="77"/>
  <c r="BE90" i="77"/>
  <c r="BD70" i="77"/>
  <c r="AL82" i="77"/>
  <c r="AV74" i="77"/>
  <c r="L74" i="77"/>
  <c r="Z74" i="77" s="1"/>
  <c r="U174" i="73"/>
  <c r="U173" i="73"/>
  <c r="AA176" i="73"/>
  <c r="AE176" i="73" s="1"/>
  <c r="AI176" i="73" s="1"/>
  <c r="AO176" i="73" s="1"/>
  <c r="AS176" i="73" s="1"/>
  <c r="AW176" i="73" s="1"/>
  <c r="BE176" i="73" s="1"/>
  <c r="U175" i="73"/>
  <c r="AA164" i="73"/>
  <c r="AE164" i="73" s="1"/>
  <c r="AI164" i="73" s="1"/>
  <c r="AO164" i="73" s="1"/>
  <c r="AS164" i="73" s="1"/>
  <c r="AW164" i="73" s="1"/>
  <c r="BE164" i="73" s="1"/>
  <c r="U165" i="73"/>
  <c r="U163" i="73"/>
  <c r="L84" i="77"/>
  <c r="Z84" i="77" s="1"/>
  <c r="AD74" i="77"/>
  <c r="AU74" i="77"/>
  <c r="AU79" i="77" s="1"/>
  <c r="AI74" i="77"/>
  <c r="BA84" i="77"/>
  <c r="AO84" i="77"/>
  <c r="AC84" i="77"/>
  <c r="AC87" i="77" s="1"/>
  <c r="AC89" i="77" s="1"/>
  <c r="Q84" i="77"/>
  <c r="U84" i="77" s="1"/>
  <c r="AW74" i="77"/>
  <c r="AS84" i="77"/>
  <c r="AD83" i="77"/>
  <c r="AH83" i="77" s="1"/>
  <c r="AM84" i="77"/>
  <c r="BC83" i="77"/>
  <c r="BB74" i="77"/>
  <c r="BB79" i="77" s="1"/>
  <c r="AP74" i="77"/>
  <c r="AP79" i="77" s="1"/>
  <c r="AX84" i="77"/>
  <c r="AX87" i="77" s="1"/>
  <c r="AX89" i="77" s="1"/>
  <c r="AL84" i="77"/>
  <c r="AO74" i="77"/>
  <c r="U169" i="73"/>
  <c r="BC167" i="73"/>
  <c r="U167" i="73"/>
  <c r="AE80" i="77"/>
  <c r="AI80" i="77" s="1"/>
  <c r="AO80" i="77" s="1"/>
  <c r="AS80" i="77" s="1"/>
  <c r="AW80" i="77" s="1"/>
  <c r="BE80" i="77" s="1"/>
  <c r="AP87" i="77"/>
  <c r="AP89" i="77" s="1"/>
  <c r="AX74" i="77"/>
  <c r="AX79" i="77" s="1"/>
  <c r="Q80" i="77"/>
  <c r="U80" i="77" s="1"/>
  <c r="AG74" i="77"/>
  <c r="AG79" i="77" s="1"/>
  <c r="AZ82" i="77"/>
  <c r="BA82" i="77"/>
  <c r="BD74" i="77"/>
  <c r="AR74" i="77"/>
  <c r="AL90" i="77"/>
  <c r="AK74" i="77"/>
  <c r="AK79" i="77" s="1"/>
  <c r="M74" i="77"/>
  <c r="AA74" i="77" s="1"/>
  <c r="AY84" i="77"/>
  <c r="AY87" i="77" s="1"/>
  <c r="AY89" i="77" s="1"/>
  <c r="AG84" i="77"/>
  <c r="AG87" i="77" s="1"/>
  <c r="AG89" i="77" s="1"/>
  <c r="BD84" i="77"/>
  <c r="AR84" i="77"/>
  <c r="AJ84" i="77"/>
  <c r="AJ87" i="77" s="1"/>
  <c r="AJ89" i="77" s="1"/>
  <c r="BE84" i="77"/>
  <c r="E84" i="77"/>
  <c r="BE74" i="77"/>
  <c r="AL74" i="77"/>
  <c r="AL79" i="77" s="1"/>
  <c r="BC74" i="77"/>
  <c r="AQ74" i="77"/>
  <c r="AQ79" i="77" s="1"/>
  <c r="AJ74" i="77"/>
  <c r="AJ79" i="77" s="1"/>
  <c r="AM74" i="77"/>
  <c r="AM79" i="77" s="1"/>
  <c r="AY74" i="77"/>
  <c r="AY79" i="77" s="1"/>
  <c r="AM82" i="77"/>
  <c r="P73" i="77"/>
  <c r="T73" i="77" s="1"/>
  <c r="BC73" i="77"/>
  <c r="BC72" i="77" s="1"/>
  <c r="P83" i="77"/>
  <c r="T83" i="77" s="1"/>
  <c r="L82" i="77"/>
  <c r="Z82" i="77" s="1"/>
  <c r="M82" i="77"/>
  <c r="AA82" i="77" s="1"/>
  <c r="M72" i="77"/>
  <c r="AA72" i="77" s="1"/>
  <c r="AE84" i="77"/>
  <c r="AK84" i="77"/>
  <c r="AK87" i="77" s="1"/>
  <c r="AK89" i="77" s="1"/>
  <c r="AW84" i="77"/>
  <c r="AB74" i="77"/>
  <c r="AB79" i="77" s="1"/>
  <c r="AN74" i="77"/>
  <c r="AT74" i="77"/>
  <c r="AT79" i="77" s="1"/>
  <c r="Q74" i="77"/>
  <c r="U74" i="77" s="1"/>
  <c r="BA74" i="77"/>
  <c r="BA79" i="77" s="1"/>
  <c r="AD80" i="77"/>
  <c r="AH80" i="77" s="1"/>
  <c r="AN80" i="77" s="1"/>
  <c r="AR80" i="77" s="1"/>
  <c r="AV80" i="77" s="1"/>
  <c r="AE70" i="77"/>
  <c r="AI70" i="77" s="1"/>
  <c r="AO70" i="77" s="1"/>
  <c r="AS70" i="77" s="1"/>
  <c r="AW70" i="77" s="1"/>
  <c r="BE70" i="77" s="1"/>
  <c r="AM90" i="77"/>
  <c r="BC90" i="77" s="1"/>
  <c r="Q83" i="77"/>
  <c r="U83" i="77" s="1"/>
  <c r="D79" i="77"/>
  <c r="L72" i="77"/>
  <c r="Z72" i="77" s="1"/>
  <c r="AS74" i="77"/>
  <c r="AQ84" i="77"/>
  <c r="AQ87" i="77" s="1"/>
  <c r="AQ89" i="77" s="1"/>
  <c r="BC84" i="77"/>
  <c r="P74" i="77"/>
  <c r="T74" i="77" s="1"/>
  <c r="AH74" i="77"/>
  <c r="AZ74" i="77"/>
  <c r="AZ79" i="77" s="1"/>
  <c r="P84" i="77"/>
  <c r="T84" i="77" s="1"/>
  <c r="AH84" i="77"/>
  <c r="AN84" i="77"/>
  <c r="AT84" i="77"/>
  <c r="AT87" i="77" s="1"/>
  <c r="AT89" i="77" s="1"/>
  <c r="AZ84" i="77"/>
  <c r="AB84" i="77"/>
  <c r="AB87" i="77" s="1"/>
  <c r="AB89" i="77" s="1"/>
  <c r="U153" i="73"/>
  <c r="U151" i="73"/>
  <c r="U149" i="73"/>
  <c r="BA193" i="73"/>
  <c r="BA194" i="73"/>
  <c r="BA195" i="73"/>
  <c r="BA196" i="73"/>
  <c r="BA197" i="73"/>
  <c r="BA198" i="73"/>
  <c r="BA199" i="73"/>
  <c r="BA200" i="73"/>
  <c r="I84" i="77" l="1"/>
  <c r="H79" i="77"/>
  <c r="Q72" i="77"/>
  <c r="U72" i="77" s="1"/>
  <c r="E79" i="77"/>
  <c r="I74" i="77"/>
  <c r="BA87" i="77"/>
  <c r="BA89" i="77" s="1"/>
  <c r="AM87" i="77"/>
  <c r="AM89" i="77" s="1"/>
  <c r="AD73" i="77"/>
  <c r="AD72" i="77" s="1"/>
  <c r="AD79" i="77" s="1"/>
  <c r="BC82" i="77"/>
  <c r="BC87" i="77" s="1"/>
  <c r="BC89" i="77" s="1"/>
  <c r="AL87" i="77"/>
  <c r="AL89" i="77" s="1"/>
  <c r="AZ80" i="77"/>
  <c r="BB80" i="77" s="1"/>
  <c r="BD80" i="77"/>
  <c r="P82" i="77"/>
  <c r="T82" i="77" s="1"/>
  <c r="L87" i="77"/>
  <c r="Z87" i="77" s="1"/>
  <c r="M79" i="77"/>
  <c r="AA79" i="77" s="1"/>
  <c r="AD82" i="77"/>
  <c r="AD87" i="77" s="1"/>
  <c r="AZ87" i="77"/>
  <c r="AZ89" i="77" s="1"/>
  <c r="AD90" i="77"/>
  <c r="BB82" i="77"/>
  <c r="BB87" i="77" s="1"/>
  <c r="BB89" i="77" s="1"/>
  <c r="M84" i="77"/>
  <c r="AA84" i="77" s="1"/>
  <c r="BC79" i="77"/>
  <c r="AH82" i="77"/>
  <c r="AH87" i="77" s="1"/>
  <c r="AN83" i="77"/>
  <c r="P72" i="77"/>
  <c r="T72" i="77" s="1"/>
  <c r="L79" i="77"/>
  <c r="Z79" i="77" s="1"/>
  <c r="AH90" i="77"/>
  <c r="AN90" i="77" s="1"/>
  <c r="AR90" i="77" s="1"/>
  <c r="AE73" i="77"/>
  <c r="AE90" i="77"/>
  <c r="Q82" i="77"/>
  <c r="U82" i="77" s="1"/>
  <c r="AE83" i="77"/>
  <c r="AX10" i="11"/>
  <c r="BB63" i="11"/>
  <c r="BB62" i="11"/>
  <c r="Q79" i="77" l="1"/>
  <c r="U79" i="77" s="1"/>
  <c r="I79" i="77"/>
  <c r="P87" i="77"/>
  <c r="T87" i="77" s="1"/>
  <c r="AH73" i="77"/>
  <c r="AN73" i="77" s="1"/>
  <c r="BE89" i="77"/>
  <c r="AD89" i="77"/>
  <c r="AH89" i="77"/>
  <c r="M87" i="77"/>
  <c r="AA87" i="77" s="1"/>
  <c r="AI90" i="77"/>
  <c r="AO90" i="77" s="1"/>
  <c r="AS90" i="77" s="1"/>
  <c r="P79" i="77"/>
  <c r="T79" i="77" s="1"/>
  <c r="AR83" i="77"/>
  <c r="AN82" i="77"/>
  <c r="AN87" i="77" s="1"/>
  <c r="AN89" i="77" s="1"/>
  <c r="AE72" i="77"/>
  <c r="AE79" i="77" s="1"/>
  <c r="AI73" i="77"/>
  <c r="AE82" i="77"/>
  <c r="AE87" i="77" s="1"/>
  <c r="AE89" i="77" s="1"/>
  <c r="AI83" i="77"/>
  <c r="BB225" i="6"/>
  <c r="J225" i="6"/>
  <c r="N225" i="6"/>
  <c r="R225" i="6" s="1"/>
  <c r="V225" i="6" s="1"/>
  <c r="Z225" i="6"/>
  <c r="AN225" i="6"/>
  <c r="BD225" i="6" l="1"/>
  <c r="AH72" i="77"/>
  <c r="AH79" i="77" s="1"/>
  <c r="Q87" i="77"/>
  <c r="U87" i="77" s="1"/>
  <c r="AB225" i="6"/>
  <c r="AJ225" i="6" s="1"/>
  <c r="AP225" i="6" s="1"/>
  <c r="AT225" i="6" s="1"/>
  <c r="AX225" i="6" s="1"/>
  <c r="BF225" i="6" s="1"/>
  <c r="AO73" i="77"/>
  <c r="AI72" i="77"/>
  <c r="AI79" i="77" s="1"/>
  <c r="AR82" i="77"/>
  <c r="AR87" i="77" s="1"/>
  <c r="AR89" i="77" s="1"/>
  <c r="AV83" i="77"/>
  <c r="BD83" i="77" s="1"/>
  <c r="AI82" i="77"/>
  <c r="AI87" i="77" s="1"/>
  <c r="AI89" i="77" s="1"/>
  <c r="AO83" i="77"/>
  <c r="AR73" i="77"/>
  <c r="AN72" i="77"/>
  <c r="AN79" i="77" s="1"/>
  <c r="AF225" i="6"/>
  <c r="AR72" i="77" l="1"/>
  <c r="AR79" i="77" s="1"/>
  <c r="AV73" i="77"/>
  <c r="AO72" i="77"/>
  <c r="AO79" i="77" s="1"/>
  <c r="AS73" i="77"/>
  <c r="AS83" i="77"/>
  <c r="AO82" i="77"/>
  <c r="AO87" i="77" s="1"/>
  <c r="AO89" i="77" s="1"/>
  <c r="AV82" i="77"/>
  <c r="AV87" i="77" s="1"/>
  <c r="AV89" i="77" s="1"/>
  <c r="BD82" i="77"/>
  <c r="BD87" i="77" s="1"/>
  <c r="BD89" i="77" s="1"/>
  <c r="AZ43" i="7"/>
  <c r="AV43" i="7"/>
  <c r="AR43" i="7"/>
  <c r="AL43" i="7"/>
  <c r="AH43" i="7"/>
  <c r="AD43" i="7"/>
  <c r="AV72" i="77" l="1"/>
  <c r="AV79" i="77" s="1"/>
  <c r="BD73" i="77"/>
  <c r="BD72" i="77" s="1"/>
  <c r="BD79" i="77" s="1"/>
  <c r="AW83" i="77"/>
  <c r="BE83" i="77" s="1"/>
  <c r="AS82" i="77"/>
  <c r="AS87" i="77" s="1"/>
  <c r="AS89" i="77" s="1"/>
  <c r="AS72" i="77"/>
  <c r="AS79" i="77" s="1"/>
  <c r="AW73" i="77"/>
  <c r="BE73" i="77" s="1"/>
  <c r="AX39" i="27"/>
  <c r="AY36" i="27"/>
  <c r="AY39" i="27" s="1"/>
  <c r="AX33" i="27"/>
  <c r="AY26" i="27"/>
  <c r="AY33" i="27" s="1"/>
  <c r="AY21" i="27"/>
  <c r="AY24" i="27" s="1"/>
  <c r="AX24" i="27"/>
  <c r="AZ28" i="22"/>
  <c r="AZ24" i="22"/>
  <c r="AZ26" i="22" s="1"/>
  <c r="AZ23" i="22"/>
  <c r="AZ14" i="22"/>
  <c r="AZ10" i="22"/>
  <c r="AZ12" i="22" s="1"/>
  <c r="AZ9" i="22"/>
  <c r="BE72" i="77" l="1"/>
  <c r="BE79" i="77" s="1"/>
  <c r="AW72" i="77"/>
  <c r="AW79" i="77" s="1"/>
  <c r="BE82" i="77"/>
  <c r="BE87" i="77" s="1"/>
  <c r="AW82" i="77"/>
  <c r="AW87" i="77" s="1"/>
  <c r="AW89" i="77" s="1"/>
  <c r="AY30" i="15"/>
  <c r="AY29" i="15"/>
  <c r="AY28" i="15"/>
  <c r="AY24" i="15"/>
  <c r="AY23" i="15"/>
  <c r="AY22" i="15"/>
  <c r="AY21" i="15"/>
  <c r="AY20" i="15"/>
  <c r="AX18" i="15"/>
  <c r="AY17" i="15"/>
  <c r="AY14" i="15"/>
  <c r="AX11" i="15"/>
  <c r="AX12" i="15" s="1"/>
  <c r="AY10" i="15"/>
  <c r="AY9" i="15"/>
  <c r="AX9" i="15"/>
  <c r="AY8" i="15"/>
  <c r="AX8" i="15"/>
  <c r="AY7" i="15"/>
  <c r="AY6" i="15"/>
  <c r="AY5" i="15"/>
  <c r="AX117" i="17"/>
  <c r="AX115" i="17"/>
  <c r="AY87" i="17"/>
  <c r="AX87" i="17"/>
  <c r="AY86" i="17"/>
  <c r="AX86" i="17"/>
  <c r="AY85" i="17"/>
  <c r="AX85" i="17"/>
  <c r="AY84" i="17"/>
  <c r="AX84" i="17"/>
  <c r="AY83" i="17"/>
  <c r="AX83" i="17"/>
  <c r="AY79" i="17"/>
  <c r="AX79" i="17"/>
  <c r="AY67" i="17"/>
  <c r="AY69" i="17" s="1"/>
  <c r="AX67" i="17"/>
  <c r="AX69" i="17" s="1"/>
  <c r="AX61" i="17"/>
  <c r="AY59" i="17"/>
  <c r="AY62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50" i="17" s="1"/>
  <c r="AX44" i="17"/>
  <c r="AY43" i="17"/>
  <c r="AY41" i="17"/>
  <c r="AY39" i="17"/>
  <c r="AY26" i="17"/>
  <c r="AX26" i="17"/>
  <c r="AY22" i="17"/>
  <c r="AY16" i="17" s="1"/>
  <c r="AX21" i="17"/>
  <c r="AX19" i="17"/>
  <c r="AX18" i="17"/>
  <c r="AX22" i="17" s="1"/>
  <c r="AX32" i="17" s="1"/>
  <c r="AX16" i="17"/>
  <c r="AX30" i="17" s="1"/>
  <c r="AX15" i="17"/>
  <c r="AY14" i="17"/>
  <c r="AY12" i="17"/>
  <c r="AY9" i="17"/>
  <c r="AY13" i="17" s="1"/>
  <c r="AX9" i="17"/>
  <c r="AX11" i="17" s="1"/>
  <c r="BA41" i="50"/>
  <c r="BA42" i="50"/>
  <c r="BA43" i="50"/>
  <c r="BA44" i="50"/>
  <c r="BA45" i="50"/>
  <c r="BA46" i="50"/>
  <c r="BA40" i="50"/>
  <c r="BA5" i="50"/>
  <c r="BA6" i="50"/>
  <c r="BA7" i="50"/>
  <c r="BA8" i="50"/>
  <c r="BA9" i="50"/>
  <c r="BA10" i="50"/>
  <c r="BA11" i="50"/>
  <c r="BA12" i="50"/>
  <c r="BA4" i="61" s="1"/>
  <c r="BA13" i="50"/>
  <c r="BA5" i="61" s="1"/>
  <c r="BA14" i="50"/>
  <c r="BA6" i="61" s="1"/>
  <c r="BA15" i="50"/>
  <c r="BA7" i="61" s="1"/>
  <c r="BA16" i="50"/>
  <c r="BA8" i="61" s="1"/>
  <c r="BA17" i="50"/>
  <c r="BA9" i="61" s="1"/>
  <c r="BA18" i="50"/>
  <c r="BA10" i="61" s="1"/>
  <c r="BA19" i="50"/>
  <c r="BA11" i="61" s="1"/>
  <c r="BA20" i="50"/>
  <c r="BA12" i="61" s="1"/>
  <c r="BA21" i="50"/>
  <c r="BA13" i="61" s="1"/>
  <c r="BA22" i="50"/>
  <c r="BA14" i="61" s="1"/>
  <c r="BA23" i="50"/>
  <c r="BA24" i="50"/>
  <c r="BA15" i="61" s="1"/>
  <c r="BA25" i="50"/>
  <c r="BA26" i="50"/>
  <c r="BA27" i="50"/>
  <c r="BA29" i="50"/>
  <c r="BA30" i="50"/>
  <c r="BA31" i="50"/>
  <c r="BA32" i="50"/>
  <c r="BA33" i="50"/>
  <c r="BA34" i="50"/>
  <c r="BA35" i="50"/>
  <c r="BA36" i="50"/>
  <c r="BA37" i="50"/>
  <c r="BA38" i="50"/>
  <c r="BA4" i="50"/>
  <c r="BD131" i="50"/>
  <c r="BD113" i="50"/>
  <c r="BD91" i="50"/>
  <c r="BD79" i="50"/>
  <c r="BD55" i="50"/>
  <c r="BD47" i="50"/>
  <c r="BD39" i="50"/>
  <c r="BC90" i="50"/>
  <c r="BC89" i="50"/>
  <c r="BC88" i="50"/>
  <c r="BC87" i="50"/>
  <c r="BC86" i="50"/>
  <c r="BC85" i="50"/>
  <c r="BC84" i="50"/>
  <c r="BC83" i="50"/>
  <c r="BC82" i="50"/>
  <c r="BC81" i="50"/>
  <c r="BC80" i="50"/>
  <c r="BC78" i="50"/>
  <c r="BC77" i="50"/>
  <c r="BC76" i="50"/>
  <c r="BC75" i="50"/>
  <c r="BC74" i="50"/>
  <c r="BC73" i="50"/>
  <c r="BC72" i="50"/>
  <c r="BC71" i="50"/>
  <c r="BC70" i="50"/>
  <c r="BC69" i="50"/>
  <c r="BC68" i="50"/>
  <c r="BC67" i="50"/>
  <c r="BC66" i="50"/>
  <c r="BC65" i="50"/>
  <c r="BC64" i="50"/>
  <c r="BC63" i="50"/>
  <c r="BC61" i="50"/>
  <c r="BC60" i="50"/>
  <c r="BC59" i="50"/>
  <c r="BC58" i="50"/>
  <c r="BC57" i="50"/>
  <c r="BC56" i="50"/>
  <c r="BA140" i="50"/>
  <c r="BA138" i="50"/>
  <c r="BA137" i="50"/>
  <c r="BA133" i="50"/>
  <c r="BF131" i="50"/>
  <c r="AZ131" i="50"/>
  <c r="AZ129" i="50"/>
  <c r="AZ128" i="50"/>
  <c r="AZ127" i="50"/>
  <c r="BA123" i="50"/>
  <c r="BF113" i="50"/>
  <c r="AZ113" i="50"/>
  <c r="BA111" i="50"/>
  <c r="AZ111" i="50"/>
  <c r="BA110" i="50"/>
  <c r="AZ110" i="50"/>
  <c r="BA109" i="50"/>
  <c r="AZ109" i="50"/>
  <c r="BF101" i="50"/>
  <c r="AZ101" i="50"/>
  <c r="BA100" i="50"/>
  <c r="BA99" i="50"/>
  <c r="BF91" i="50"/>
  <c r="BA91" i="50"/>
  <c r="BA134" i="50" s="1"/>
  <c r="AZ91" i="50"/>
  <c r="BF79" i="50"/>
  <c r="BA79" i="50"/>
  <c r="BA124" i="50" s="1"/>
  <c r="AZ79" i="50"/>
  <c r="BF55" i="50"/>
  <c r="AZ55" i="50"/>
  <c r="BA54" i="50"/>
  <c r="BA52" i="50"/>
  <c r="BA51" i="50"/>
  <c r="BA50" i="50"/>
  <c r="BA49" i="50"/>
  <c r="BA48" i="50"/>
  <c r="BF47" i="50"/>
  <c r="AZ47" i="50"/>
  <c r="BF39" i="50"/>
  <c r="AZ39" i="50"/>
  <c r="AY117" i="17" l="1"/>
  <c r="BD92" i="50"/>
  <c r="BC91" i="50"/>
  <c r="AX33" i="17"/>
  <c r="AY33" i="17"/>
  <c r="AY11" i="17"/>
  <c r="AY15" i="17"/>
  <c r="BA39" i="50"/>
  <c r="BA106" i="50" s="1"/>
  <c r="BA16" i="61"/>
  <c r="AY31" i="15"/>
  <c r="AY35" i="15" s="1"/>
  <c r="AX59" i="17"/>
  <c r="AX60" i="17" s="1"/>
  <c r="AX50" i="17"/>
  <c r="AX114" i="17" s="1"/>
  <c r="AX54" i="17"/>
  <c r="AX119" i="17"/>
  <c r="AX116" i="17"/>
  <c r="AY51" i="17"/>
  <c r="AY55" i="17" s="1"/>
  <c r="AY54" i="17"/>
  <c r="AY114" i="17"/>
  <c r="AY34" i="17"/>
  <c r="AY31" i="17"/>
  <c r="AY30" i="17"/>
  <c r="AY32" i="17"/>
  <c r="AY60" i="17"/>
  <c r="AY116" i="17"/>
  <c r="AX31" i="17"/>
  <c r="AX34" i="17"/>
  <c r="AY45" i="17"/>
  <c r="BC79" i="50"/>
  <c r="AZ102" i="50"/>
  <c r="BF102" i="50"/>
  <c r="BA112" i="50"/>
  <c r="AZ92" i="50"/>
  <c r="BF92" i="50"/>
  <c r="BA55" i="50"/>
  <c r="BA120" i="50" s="1"/>
  <c r="BA135" i="50"/>
  <c r="BA125" i="50"/>
  <c r="BA47" i="50"/>
  <c r="BA116" i="50" s="1"/>
  <c r="BA126" i="50"/>
  <c r="BA136" i="50"/>
  <c r="AX62" i="17" l="1"/>
  <c r="AY15" i="15"/>
  <c r="AY16" i="15" s="1"/>
  <c r="AX118" i="17"/>
  <c r="AY115" i="17"/>
  <c r="AY119" i="17" s="1"/>
  <c r="AY118" i="17"/>
  <c r="BA92" i="50"/>
  <c r="BF10" i="11" l="1"/>
  <c r="BB10" i="11"/>
  <c r="BD10" i="11" s="1"/>
  <c r="BB11" i="11"/>
  <c r="BF56" i="10" l="1"/>
  <c r="BB56" i="10"/>
  <c r="BD56" i="10" s="1"/>
  <c r="BB57" i="10"/>
  <c r="AZ95" i="9" l="1"/>
  <c r="BB11" i="8" l="1"/>
  <c r="AY68" i="90" l="1"/>
  <c r="AY69" i="90"/>
  <c r="AY70" i="90"/>
  <c r="AY71" i="90"/>
  <c r="AY72" i="90"/>
  <c r="AY73" i="90"/>
  <c r="AY74" i="90"/>
  <c r="AY75" i="90"/>
  <c r="AY76" i="90"/>
  <c r="AY77" i="90"/>
  <c r="AY78" i="90"/>
  <c r="AY79" i="90"/>
  <c r="AY80" i="90"/>
  <c r="AY81" i="90"/>
  <c r="AY82" i="90"/>
  <c r="AY83" i="90"/>
  <c r="AY84" i="90"/>
  <c r="AY86" i="90"/>
  <c r="AY87" i="90"/>
  <c r="BA157" i="45"/>
  <c r="BA156" i="45"/>
  <c r="BA154" i="45"/>
  <c r="BA148" i="45"/>
  <c r="BA149" i="45" s="1"/>
  <c r="BA143" i="45"/>
  <c r="AZ143" i="45"/>
  <c r="BA142" i="45"/>
  <c r="AZ142" i="45"/>
  <c r="BA141" i="45"/>
  <c r="AZ141" i="45"/>
  <c r="BA140" i="45"/>
  <c r="AZ140" i="45"/>
  <c r="BA138" i="45"/>
  <c r="BA136" i="45"/>
  <c r="AZ136" i="45"/>
  <c r="BA134" i="45"/>
  <c r="AZ134" i="45"/>
  <c r="BA131" i="45"/>
  <c r="BA132" i="45" s="1"/>
  <c r="AZ131" i="45"/>
  <c r="AZ132" i="45" s="1"/>
  <c r="BA109" i="45"/>
  <c r="BA108" i="45"/>
  <c r="AZ108" i="45"/>
  <c r="AZ124" i="45" s="1"/>
  <c r="BA107" i="45"/>
  <c r="AZ91" i="11"/>
  <c r="AZ89" i="11"/>
  <c r="AZ83" i="11"/>
  <c r="AZ90" i="11" s="1"/>
  <c r="AZ78" i="11"/>
  <c r="AY78" i="11"/>
  <c r="AZ77" i="11"/>
  <c r="AY77" i="11"/>
  <c r="AZ76" i="11"/>
  <c r="AY76" i="11"/>
  <c r="AZ75" i="11"/>
  <c r="AY75" i="11"/>
  <c r="AZ73" i="11"/>
  <c r="AZ71" i="11"/>
  <c r="AY71" i="11"/>
  <c r="AZ69" i="11"/>
  <c r="AY69" i="11"/>
  <c r="AZ66" i="11"/>
  <c r="AZ67" i="11" s="1"/>
  <c r="AY66" i="11"/>
  <c r="AY67" i="11" s="1"/>
  <c r="AZ61" i="11"/>
  <c r="AZ59" i="11"/>
  <c r="AZ57" i="11"/>
  <c r="AZ93" i="11" s="1"/>
  <c r="AZ56" i="11"/>
  <c r="BA115" i="50" s="1"/>
  <c r="BA117" i="50" s="1"/>
  <c r="AY56" i="11"/>
  <c r="AY58" i="11" s="1"/>
  <c r="AZ55" i="11"/>
  <c r="AZ92" i="11" s="1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1" i="10"/>
  <c r="BB24" i="10"/>
  <c r="BB25" i="10"/>
  <c r="BB26" i="10"/>
  <c r="BD26" i="10" s="1"/>
  <c r="BB27" i="10"/>
  <c r="BB28" i="10"/>
  <c r="BB29" i="10"/>
  <c r="BB31" i="10"/>
  <c r="BB32" i="10"/>
  <c r="BB33" i="10"/>
  <c r="BB34" i="10"/>
  <c r="BB35" i="10"/>
  <c r="BB36" i="10"/>
  <c r="BB39" i="10"/>
  <c r="BB40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4" i="10"/>
  <c r="BB55" i="10"/>
  <c r="BB59" i="10"/>
  <c r="BB60" i="10"/>
  <c r="BB61" i="10"/>
  <c r="BB63" i="10"/>
  <c r="BB64" i="10"/>
  <c r="BB66" i="10"/>
  <c r="BB67" i="10"/>
  <c r="BB68" i="10"/>
  <c r="BB69" i="10"/>
  <c r="BB70" i="10"/>
  <c r="BB71" i="10"/>
  <c r="BB72" i="10"/>
  <c r="BB74" i="10"/>
  <c r="BB75" i="10"/>
  <c r="BD75" i="10" s="1"/>
  <c r="BB76" i="10"/>
  <c r="BB77" i="10"/>
  <c r="BB78" i="10"/>
  <c r="BB79" i="10"/>
  <c r="BB80" i="10"/>
  <c r="BB81" i="10"/>
  <c r="BB82" i="10"/>
  <c r="BB85" i="10"/>
  <c r="BB86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3" i="10"/>
  <c r="BB104" i="10"/>
  <c r="BB105" i="10"/>
  <c r="BB106" i="10"/>
  <c r="BB107" i="10"/>
  <c r="BB108" i="10"/>
  <c r="BB109" i="10"/>
  <c r="BB110" i="10"/>
  <c r="BB111" i="10"/>
  <c r="BB112" i="10"/>
  <c r="BB113" i="10"/>
  <c r="BB114" i="10"/>
  <c r="BB115" i="10"/>
  <c r="BB116" i="10"/>
  <c r="BB145" i="10"/>
  <c r="BB146" i="10"/>
  <c r="BB147" i="10"/>
  <c r="BB148" i="10"/>
  <c r="AZ190" i="10"/>
  <c r="AZ188" i="10"/>
  <c r="AZ182" i="10"/>
  <c r="AZ183" i="10" s="1"/>
  <c r="AZ177" i="10"/>
  <c r="AY177" i="10"/>
  <c r="AZ176" i="10"/>
  <c r="AY176" i="10"/>
  <c r="AZ175" i="10"/>
  <c r="AY175" i="10"/>
  <c r="AZ174" i="10"/>
  <c r="AY174" i="10"/>
  <c r="AZ172" i="10"/>
  <c r="AZ170" i="10"/>
  <c r="AY170" i="10"/>
  <c r="AZ168" i="10"/>
  <c r="AY168" i="10"/>
  <c r="AZ165" i="10"/>
  <c r="AZ166" i="10" s="1"/>
  <c r="AY165" i="10"/>
  <c r="AY166" i="10" s="1"/>
  <c r="AZ162" i="10"/>
  <c r="AZ155" i="10"/>
  <c r="AZ184" i="10" s="1"/>
  <c r="AZ200" i="10"/>
  <c r="AZ153" i="10"/>
  <c r="AY104" i="9"/>
  <c r="AY102" i="9"/>
  <c r="AY101" i="9"/>
  <c r="AZ99" i="9"/>
  <c r="AZ98" i="9"/>
  <c r="AY98" i="9"/>
  <c r="AZ97" i="9"/>
  <c r="AY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Y89" i="90" s="1"/>
  <c r="AZ35" i="9"/>
  <c r="AZ47" i="9" s="1"/>
  <c r="AZ34" i="9"/>
  <c r="AZ31" i="9"/>
  <c r="AZ25" i="9"/>
  <c r="AY24" i="9"/>
  <c r="AY22" i="9"/>
  <c r="AZ19" i="9"/>
  <c r="AZ10" i="9"/>
  <c r="AZ5" i="9"/>
  <c r="BA11" i="8"/>
  <c r="AZ109" i="8"/>
  <c r="AZ111" i="8" s="1"/>
  <c r="AZ94" i="8"/>
  <c r="AZ91" i="8"/>
  <c r="AZ92" i="8" s="1"/>
  <c r="AZ89" i="8"/>
  <c r="AY89" i="8"/>
  <c r="AZ88" i="8"/>
  <c r="AY88" i="8"/>
  <c r="AY87" i="8"/>
  <c r="AZ86" i="8"/>
  <c r="AY84" i="8"/>
  <c r="AZ82" i="8"/>
  <c r="AY82" i="8"/>
  <c r="AY81" i="8"/>
  <c r="AZ80" i="8"/>
  <c r="AZ76" i="8"/>
  <c r="AY75" i="8"/>
  <c r="AY74" i="8"/>
  <c r="AY73" i="8"/>
  <c r="AY72" i="8"/>
  <c r="AY71" i="8"/>
  <c r="AZ68" i="8"/>
  <c r="AZ69" i="8" s="1"/>
  <c r="AZ66" i="8"/>
  <c r="AZ67" i="8" s="1"/>
  <c r="AZ64" i="8"/>
  <c r="AZ65" i="8" s="1"/>
  <c r="AZ61" i="8"/>
  <c r="AZ58" i="8"/>
  <c r="AZ62" i="8" s="1"/>
  <c r="AY52" i="8"/>
  <c r="AZ49" i="8"/>
  <c r="AZ50" i="8" s="1"/>
  <c r="AY49" i="8"/>
  <c r="AZ47" i="8"/>
  <c r="AY47" i="8"/>
  <c r="AZ46" i="8"/>
  <c r="AY46" i="8"/>
  <c r="AZ45" i="8"/>
  <c r="AY45" i="8"/>
  <c r="AZ44" i="8"/>
  <c r="AY44" i="8"/>
  <c r="AZ43" i="8"/>
  <c r="AY43" i="8"/>
  <c r="AZ41" i="8"/>
  <c r="AY41" i="8"/>
  <c r="AZ40" i="8"/>
  <c r="AY40" i="8"/>
  <c r="AZ39" i="8"/>
  <c r="AY39" i="8"/>
  <c r="AZ26" i="8"/>
  <c r="AZ17" i="8"/>
  <c r="AY17" i="8"/>
  <c r="AZ15" i="8"/>
  <c r="AY15" i="8"/>
  <c r="AZ14" i="8"/>
  <c r="AY14" i="8"/>
  <c r="AZ13" i="8"/>
  <c r="AY6" i="8"/>
  <c r="BA47" i="7"/>
  <c r="BB47" i="7"/>
  <c r="AY113" i="7"/>
  <c r="AY112" i="7"/>
  <c r="AY111" i="7"/>
  <c r="AY110" i="7"/>
  <c r="AY109" i="7"/>
  <c r="AY108" i="7"/>
  <c r="AY107" i="7"/>
  <c r="AY106" i="7"/>
  <c r="AZ84" i="7"/>
  <c r="AY84" i="7"/>
  <c r="AZ82" i="7"/>
  <c r="AZ73" i="7"/>
  <c r="AY73" i="7"/>
  <c r="AZ69" i="7"/>
  <c r="AZ71" i="7" s="1"/>
  <c r="AY69" i="7"/>
  <c r="AY71" i="7" s="1"/>
  <c r="AZ65" i="7"/>
  <c r="AZ53" i="7" s="1"/>
  <c r="AY65" i="7"/>
  <c r="AZ20" i="7"/>
  <c r="AZ39" i="7" s="1"/>
  <c r="AZ49" i="7" s="1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Y61" i="39"/>
  <c r="AY60" i="39"/>
  <c r="AX50" i="39"/>
  <c r="AY48" i="39"/>
  <c r="AY47" i="39"/>
  <c r="AY46" i="39"/>
  <c r="AX45" i="39"/>
  <c r="AY43" i="39"/>
  <c r="AY42" i="39"/>
  <c r="AY8" i="39"/>
  <c r="AX8" i="39"/>
  <c r="BA198" i="6"/>
  <c r="AZ16" i="8" l="1"/>
  <c r="AY42" i="8"/>
  <c r="BA139" i="45"/>
  <c r="AZ74" i="11"/>
  <c r="AY59" i="7"/>
  <c r="AY33" i="7"/>
  <c r="AY97" i="7" s="1"/>
  <c r="AZ76" i="7"/>
  <c r="AZ33" i="7"/>
  <c r="AZ97" i="7" s="1"/>
  <c r="AY53" i="7"/>
  <c r="AY29" i="8"/>
  <c r="BA159" i="45"/>
  <c r="BA158" i="45"/>
  <c r="AZ94" i="11"/>
  <c r="AY22" i="39"/>
  <c r="AX51" i="39"/>
  <c r="AX22" i="39"/>
  <c r="AY25" i="8"/>
  <c r="AY28" i="8"/>
  <c r="AY30" i="8"/>
  <c r="AY67" i="8" s="1"/>
  <c r="AY37" i="8" s="1"/>
  <c r="AY31" i="8"/>
  <c r="AY85" i="8"/>
  <c r="AZ78" i="8"/>
  <c r="AY2" i="17"/>
  <c r="AY2" i="26"/>
  <c r="AY6" i="26"/>
  <c r="AY27" i="8"/>
  <c r="AY59" i="8" s="1"/>
  <c r="AY63" i="8" s="1"/>
  <c r="AY50" i="8"/>
  <c r="AY23" i="8"/>
  <c r="AZ96" i="9"/>
  <c r="AY132" i="26"/>
  <c r="AZ33" i="22"/>
  <c r="AZ89" i="9"/>
  <c r="AZ90" i="9"/>
  <c r="AY25" i="9"/>
  <c r="AY88" i="9" s="1"/>
  <c r="AZ48" i="9"/>
  <c r="AZ49" i="9" s="1"/>
  <c r="AZ52" i="9" s="1"/>
  <c r="BA129" i="50"/>
  <c r="BA144" i="45"/>
  <c r="BA119" i="50"/>
  <c r="BA121" i="50" s="1"/>
  <c r="AZ123" i="45"/>
  <c r="AZ144" i="45"/>
  <c r="AZ107" i="45"/>
  <c r="BA155" i="45"/>
  <c r="AY55" i="11"/>
  <c r="AY98" i="11"/>
  <c r="AY79" i="11"/>
  <c r="AZ94" i="9"/>
  <c r="AY18" i="15" s="1"/>
  <c r="AZ100" i="9"/>
  <c r="AZ62" i="9"/>
  <c r="AZ14" i="9"/>
  <c r="AY49" i="39"/>
  <c r="AZ28" i="7"/>
  <c r="AZ93" i="7" s="1"/>
  <c r="AZ59" i="8"/>
  <c r="AZ42" i="8"/>
  <c r="BA123" i="45"/>
  <c r="BA124" i="45"/>
  <c r="BA125" i="45" s="1"/>
  <c r="BA150" i="45"/>
  <c r="AZ85" i="11"/>
  <c r="AZ60" i="11"/>
  <c r="AZ96" i="11"/>
  <c r="AZ84" i="11"/>
  <c r="AZ58" i="11"/>
  <c r="AZ79" i="11"/>
  <c r="AZ189" i="10"/>
  <c r="AZ191" i="10"/>
  <c r="AZ197" i="10"/>
  <c r="AZ192" i="10"/>
  <c r="AZ154" i="10"/>
  <c r="AZ173" i="10" s="1"/>
  <c r="AZ37" i="9"/>
  <c r="AZ110" i="8"/>
  <c r="AZ112" i="8" s="1"/>
  <c r="AZ53" i="8" s="1"/>
  <c r="AY69" i="8"/>
  <c r="AY36" i="8" s="1"/>
  <c r="AZ73" i="8"/>
  <c r="AZ37" i="8"/>
  <c r="AZ72" i="8"/>
  <c r="AZ34" i="8"/>
  <c r="AZ36" i="8"/>
  <c r="AZ74" i="8"/>
  <c r="AY24" i="8"/>
  <c r="AZ63" i="8"/>
  <c r="AZ35" i="8" s="1"/>
  <c r="AY22" i="7"/>
  <c r="AY87" i="7" s="1"/>
  <c r="AY31" i="7"/>
  <c r="AY98" i="7" s="1"/>
  <c r="AY56" i="7"/>
  <c r="AZ22" i="7"/>
  <c r="AZ87" i="7" s="1"/>
  <c r="AZ31" i="7"/>
  <c r="AZ98" i="7" s="1"/>
  <c r="AZ56" i="7"/>
  <c r="AZ83" i="7"/>
  <c r="AY25" i="7"/>
  <c r="AY35" i="7"/>
  <c r="AY102" i="7" s="1"/>
  <c r="AZ25" i="7"/>
  <c r="AZ35" i="7"/>
  <c r="AZ102" i="7" s="1"/>
  <c r="AZ59" i="7"/>
  <c r="AZ101" i="7" s="1"/>
  <c r="AY81" i="7"/>
  <c r="AY26" i="7"/>
  <c r="AY91" i="7" s="1"/>
  <c r="AY32" i="7"/>
  <c r="AY99" i="7" s="1"/>
  <c r="AY54" i="7"/>
  <c r="AY96" i="7" s="1"/>
  <c r="AY66" i="7"/>
  <c r="AZ23" i="7"/>
  <c r="AZ29" i="7"/>
  <c r="AZ94" i="7" s="1"/>
  <c r="AZ54" i="7"/>
  <c r="AZ96" i="7" s="1"/>
  <c r="AZ24" i="7"/>
  <c r="AZ89" i="7" s="1"/>
  <c r="AZ27" i="7"/>
  <c r="AZ92" i="7" s="1"/>
  <c r="AZ30" i="7"/>
  <c r="AZ95" i="7" s="1"/>
  <c r="AZ34" i="7"/>
  <c r="AZ90" i="7" s="1"/>
  <c r="AZ52" i="7"/>
  <c r="AZ55" i="7"/>
  <c r="AZ58" i="7"/>
  <c r="AZ74" i="7"/>
  <c r="AZ81" i="7"/>
  <c r="AY23" i="7"/>
  <c r="AY29" i="7"/>
  <c r="AY94" i="7" s="1"/>
  <c r="AY57" i="7"/>
  <c r="AY60" i="7"/>
  <c r="AY76" i="7"/>
  <c r="AZ26" i="7"/>
  <c r="AZ91" i="7" s="1"/>
  <c r="AZ32" i="7"/>
  <c r="AZ99" i="7" s="1"/>
  <c r="AZ57" i="7"/>
  <c r="AZ60" i="7"/>
  <c r="AZ67" i="7"/>
  <c r="AY24" i="7"/>
  <c r="AY89" i="7" s="1"/>
  <c r="AY27" i="7"/>
  <c r="AY92" i="7" s="1"/>
  <c r="AY30" i="7"/>
  <c r="AY95" i="7" s="1"/>
  <c r="AY34" i="7"/>
  <c r="AY90" i="7" s="1"/>
  <c r="AY52" i="7"/>
  <c r="AY55" i="7"/>
  <c r="AY58" i="7"/>
  <c r="AY74" i="7"/>
  <c r="AY45" i="39"/>
  <c r="AX24" i="39"/>
  <c r="AY50" i="39"/>
  <c r="AY23" i="39"/>
  <c r="BA160" i="45" l="1"/>
  <c r="AZ195" i="10"/>
  <c r="AY100" i="7"/>
  <c r="BA162" i="45"/>
  <c r="AX2" i="26"/>
  <c r="AX2" i="17"/>
  <c r="AY109" i="8"/>
  <c r="AY111" i="8" s="1"/>
  <c r="AZ70" i="8"/>
  <c r="AY35" i="8"/>
  <c r="AZ71" i="8"/>
  <c r="AZ91" i="9"/>
  <c r="AZ163" i="10"/>
  <c r="BA105" i="50"/>
  <c r="AZ75" i="9"/>
  <c r="AZ78" i="9"/>
  <c r="AZ80" i="9"/>
  <c r="AZ86" i="9"/>
  <c r="AZ73" i="9"/>
  <c r="AZ53" i="9"/>
  <c r="AZ81" i="9"/>
  <c r="AZ84" i="9"/>
  <c r="AZ82" i="9"/>
  <c r="AZ72" i="9"/>
  <c r="AZ83" i="9"/>
  <c r="AZ52" i="8"/>
  <c r="AZ193" i="10"/>
  <c r="AZ201" i="10"/>
  <c r="AZ161" i="10"/>
  <c r="AZ178" i="10"/>
  <c r="AZ85" i="9"/>
  <c r="AZ87" i="9"/>
  <c r="AZ76" i="9"/>
  <c r="AY26" i="8"/>
  <c r="AY65" i="8"/>
  <c r="AY34" i="8" s="1"/>
  <c r="AZ100" i="7"/>
  <c r="AY88" i="7"/>
  <c r="AZ88" i="7"/>
  <c r="AZ103" i="7" s="1"/>
  <c r="AZ36" i="7"/>
  <c r="AZ51" i="7" s="1"/>
  <c r="AY51" i="39"/>
  <c r="AY24" i="39"/>
  <c r="AY110" i="8" l="1"/>
  <c r="AY112" i="8" s="1"/>
  <c r="BA107" i="50"/>
  <c r="BA108" i="50"/>
  <c r="AZ77" i="9"/>
  <c r="AZ74" i="9"/>
  <c r="AZ79" i="9" s="1"/>
  <c r="AZ75" i="7"/>
  <c r="AZ61" i="7"/>
  <c r="BA113" i="50" l="1"/>
  <c r="AY28" i="7"/>
  <c r="AY20" i="7"/>
  <c r="AY39" i="7" s="1"/>
  <c r="AY49" i="7" s="1"/>
  <c r="AY93" i="7" l="1"/>
  <c r="AY103" i="7" s="1"/>
  <c r="AY36" i="7"/>
  <c r="AY51" i="7" s="1"/>
  <c r="AY61" i="7" l="1"/>
  <c r="AY75" i="7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AZ223" i="6"/>
  <c r="AY223" i="6"/>
  <c r="AZ222" i="6"/>
  <c r="AY222" i="6"/>
  <c r="AY199" i="6"/>
  <c r="AY197" i="6"/>
  <c r="AZ193" i="6"/>
  <c r="AZ192" i="6"/>
  <c r="AY192" i="6"/>
  <c r="AZ191" i="6"/>
  <c r="AY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2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25" i="6" s="1"/>
  <c r="AY17" i="6"/>
  <c r="AY30" i="6" s="1"/>
  <c r="AY16" i="6"/>
  <c r="AY15" i="6"/>
  <c r="AZ9" i="6"/>
  <c r="AZ8" i="6"/>
  <c r="AY7" i="6"/>
  <c r="BB120" i="6" l="1"/>
  <c r="AY34" i="39"/>
  <c r="BB102" i="6"/>
  <c r="BB115" i="6"/>
  <c r="BB97" i="6"/>
  <c r="BA115" i="6"/>
  <c r="BA102" i="6"/>
  <c r="BA97" i="6"/>
  <c r="BA120" i="6"/>
  <c r="AY103" i="6"/>
  <c r="AY107" i="6" s="1"/>
  <c r="AY150" i="6" s="1"/>
  <c r="AZ57" i="6"/>
  <c r="AY133" i="6"/>
  <c r="AY138" i="6"/>
  <c r="AZ103" i="6"/>
  <c r="AZ107" i="6" s="1"/>
  <c r="AZ150" i="6" s="1"/>
  <c r="AY22" i="6"/>
  <c r="AZ121" i="6"/>
  <c r="AZ125" i="6" s="1"/>
  <c r="AZ172" i="6" s="1"/>
  <c r="AZ138" i="6"/>
  <c r="AY121" i="6"/>
  <c r="AY125" i="6" s="1"/>
  <c r="AZ133" i="6"/>
  <c r="AZ35" i="6"/>
  <c r="AY31" i="6"/>
  <c r="AY32" i="6" s="1"/>
  <c r="AY21" i="6"/>
  <c r="AY27" i="6"/>
  <c r="AY28" i="6"/>
  <c r="AY19" i="6"/>
  <c r="AY81" i="6" s="1"/>
  <c r="AY24" i="6"/>
  <c r="AY26" i="6" s="1"/>
  <c r="AY188" i="6"/>
  <c r="AY163" i="6"/>
  <c r="AY175" i="6" l="1"/>
  <c r="AY172" i="6"/>
  <c r="AY173" i="6"/>
  <c r="BB121" i="6"/>
  <c r="BA121" i="6"/>
  <c r="BB103" i="6"/>
  <c r="AY148" i="6"/>
  <c r="AY149" i="6" s="1"/>
  <c r="AZ139" i="6"/>
  <c r="AZ143" i="6" s="1"/>
  <c r="AY147" i="6"/>
  <c r="BA103" i="6"/>
  <c r="AY84" i="6"/>
  <c r="AY139" i="6"/>
  <c r="AY143" i="6" s="1"/>
  <c r="AY206" i="6" s="1"/>
  <c r="AY23" i="6"/>
  <c r="AZ147" i="6"/>
  <c r="AZ173" i="6"/>
  <c r="AZ174" i="6" s="1"/>
  <c r="AZ148" i="6"/>
  <c r="AZ175" i="6"/>
  <c r="AY34" i="6"/>
  <c r="AY33" i="6"/>
  <c r="AY29" i="6"/>
  <c r="AZ212" i="6" l="1"/>
  <c r="AZ206" i="6"/>
  <c r="BA125" i="6"/>
  <c r="BB125" i="6"/>
  <c r="BA107" i="6"/>
  <c r="BB107" i="6"/>
  <c r="AZ197" i="6"/>
  <c r="AZ217" i="6"/>
  <c r="AZ211" i="6"/>
  <c r="AZ207" i="6"/>
  <c r="AZ203" i="6"/>
  <c r="AZ210" i="6"/>
  <c r="AZ213" i="6"/>
  <c r="AZ199" i="6"/>
  <c r="AZ216" i="6"/>
  <c r="AZ205" i="6"/>
  <c r="AZ208" i="6"/>
  <c r="AZ149" i="6"/>
  <c r="AZ204" i="6"/>
  <c r="AZ218" i="6"/>
  <c r="AY174" i="6"/>
  <c r="AY213" i="6"/>
  <c r="AY205" i="6"/>
  <c r="AY207" i="6"/>
  <c r="AY216" i="6"/>
  <c r="AY219" i="6" s="1"/>
  <c r="AY210" i="6"/>
  <c r="AY212" i="6"/>
  <c r="AY211" i="6"/>
  <c r="AY208" i="6"/>
  <c r="AY204" i="6"/>
  <c r="AY203" i="6"/>
  <c r="AY35" i="6"/>
  <c r="AY209" i="6" l="1"/>
  <c r="AZ214" i="6"/>
  <c r="AZ209" i="6"/>
  <c r="AZ215" i="6" s="1"/>
  <c r="AZ219" i="6"/>
  <c r="AY214" i="6"/>
  <c r="AY215" i="6" s="1"/>
  <c r="AY220" i="6" s="1"/>
  <c r="AZ220" i="6" l="1"/>
  <c r="AY479" i="28" l="1"/>
  <c r="AZ436" i="28"/>
  <c r="AZ432" i="28"/>
  <c r="AZ400" i="28"/>
  <c r="AZ430" i="28" s="1"/>
  <c r="AZ392" i="28"/>
  <c r="AZ471" i="28" s="1"/>
  <c r="AY392" i="28"/>
  <c r="AZ376" i="28"/>
  <c r="AZ377" i="28" s="1"/>
  <c r="AZ278" i="28"/>
  <c r="AZ467" i="28" s="1"/>
  <c r="AY278" i="28"/>
  <c r="AZ272" i="28"/>
  <c r="AY272" i="28"/>
  <c r="AZ271" i="28"/>
  <c r="AY271" i="28"/>
  <c r="AZ232" i="28"/>
  <c r="AZ463" i="28" s="1"/>
  <c r="AY232" i="28"/>
  <c r="AZ215" i="28"/>
  <c r="AZ214" i="28"/>
  <c r="AZ82" i="28"/>
  <c r="AZ81" i="28"/>
  <c r="AZ79" i="28"/>
  <c r="AZ75" i="28"/>
  <c r="AZ71" i="28"/>
  <c r="AZ67" i="28"/>
  <c r="AY54" i="28"/>
  <c r="AY53" i="28"/>
  <c r="AY52" i="28"/>
  <c r="AZ47" i="28"/>
  <c r="AZ40" i="28"/>
  <c r="AZ32" i="28"/>
  <c r="AZ54" i="28" s="1"/>
  <c r="AZ31" i="28"/>
  <c r="AZ53" i="28" s="1"/>
  <c r="AZ30" i="28"/>
  <c r="AZ52" i="28" s="1"/>
  <c r="AZ29" i="28"/>
  <c r="AZ51" i="28" s="1"/>
  <c r="AZ28" i="28"/>
  <c r="AZ50" i="28" s="1"/>
  <c r="AZ26" i="28"/>
  <c r="AZ60" i="28" s="1"/>
  <c r="AY21" i="28"/>
  <c r="AY26" i="28" s="1"/>
  <c r="AZ19" i="28"/>
  <c r="AY14" i="28"/>
  <c r="AY19" i="28" s="1"/>
  <c r="AZ12" i="28"/>
  <c r="AZ58" i="28" s="1"/>
  <c r="AZ273" i="28" l="1"/>
  <c r="AZ216" i="28"/>
  <c r="AZ462" i="28" s="1"/>
  <c r="AZ447" i="28"/>
  <c r="AZ464" i="28"/>
  <c r="AZ470" i="28"/>
  <c r="AZ479" i="28"/>
  <c r="AZ33" i="28"/>
  <c r="AZ61" i="28" s="1"/>
  <c r="AZ469" i="28"/>
  <c r="AZ465" i="28"/>
  <c r="AZ468" i="28"/>
  <c r="AZ59" i="28"/>
  <c r="AZ460" i="28"/>
  <c r="AY377" i="28"/>
  <c r="AY470" i="28" s="1"/>
  <c r="AY60" i="28"/>
  <c r="AY73" i="28" s="1"/>
  <c r="AY468" i="28" s="1"/>
  <c r="AZ55" i="28"/>
  <c r="AZ466" i="28"/>
  <c r="AZ457" i="28"/>
  <c r="AZ458" i="28"/>
  <c r="AY273" i="28"/>
  <c r="AY466" i="28" s="1"/>
  <c r="AY59" i="28"/>
  <c r="AY69" i="28" s="1"/>
  <c r="AY464" i="28" s="1"/>
  <c r="AZ480" i="28"/>
  <c r="AZ448" i="28"/>
  <c r="AZ83" i="28"/>
  <c r="AZ84" i="28" s="1"/>
  <c r="AZ461" i="28" l="1"/>
  <c r="AZ62" i="28"/>
  <c r="AZ472" i="28"/>
  <c r="AZ474" i="28"/>
  <c r="AY458" i="28"/>
  <c r="AY457" i="28"/>
  <c r="AZ56" i="28"/>
  <c r="AZ452" i="28"/>
  <c r="AZ473" i="28"/>
  <c r="AZ451" i="28"/>
  <c r="AY465" i="28"/>
  <c r="AY469" i="28"/>
  <c r="AZ17" i="49" l="1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BB117" i="73"/>
  <c r="AY190" i="73"/>
  <c r="AY179" i="73"/>
  <c r="AY188" i="73" s="1"/>
  <c r="AY133" i="73"/>
  <c r="AY129" i="73"/>
  <c r="AY125" i="73"/>
  <c r="AY121" i="73"/>
  <c r="AY114" i="73"/>
  <c r="AY11" i="15" s="1"/>
  <c r="AY12" i="15" s="1"/>
  <c r="AY13" i="15" s="1"/>
  <c r="AY108" i="73"/>
  <c r="AY102" i="73"/>
  <c r="AY65" i="73"/>
  <c r="AY58" i="73"/>
  <c r="AY53" i="73"/>
  <c r="AY48" i="73"/>
  <c r="AY34" i="73"/>
  <c r="AY23" i="73"/>
  <c r="AY16" i="73"/>
  <c r="AY14" i="73"/>
  <c r="AY8" i="73"/>
  <c r="AY6" i="73" s="1"/>
  <c r="BA7" i="73"/>
  <c r="AX8" i="73"/>
  <c r="AX6" i="73" s="1"/>
  <c r="BA9" i="73"/>
  <c r="BA10" i="73"/>
  <c r="BA12" i="73"/>
  <c r="BA15" i="73"/>
  <c r="AX16" i="73"/>
  <c r="AZ16" i="73"/>
  <c r="BB16" i="73"/>
  <c r="BA17" i="73"/>
  <c r="BA18" i="73"/>
  <c r="BA19" i="73"/>
  <c r="BA24" i="73"/>
  <c r="BA25" i="73"/>
  <c r="BA26" i="73"/>
  <c r="BA27" i="73"/>
  <c r="BA28" i="73"/>
  <c r="BA29" i="73"/>
  <c r="BA30" i="73"/>
  <c r="BA31" i="73"/>
  <c r="BA32" i="73"/>
  <c r="BA33" i="73"/>
  <c r="BA35" i="73"/>
  <c r="BA36" i="73"/>
  <c r="BA37" i="73"/>
  <c r="BA38" i="73"/>
  <c r="BA39" i="73"/>
  <c r="BA40" i="73"/>
  <c r="BA41" i="73"/>
  <c r="BA42" i="73"/>
  <c r="BA43" i="73"/>
  <c r="BA44" i="73"/>
  <c r="BA45" i="73"/>
  <c r="BA46" i="73"/>
  <c r="BA47" i="73"/>
  <c r="BA49" i="73"/>
  <c r="BA50" i="73"/>
  <c r="BA51" i="73"/>
  <c r="BA52" i="73"/>
  <c r="BA54" i="73"/>
  <c r="BA55" i="73"/>
  <c r="BA56" i="73"/>
  <c r="BA57" i="73"/>
  <c r="BA59" i="73"/>
  <c r="BA60" i="73"/>
  <c r="BA61" i="73"/>
  <c r="BA62" i="73"/>
  <c r="BA63" i="73"/>
  <c r="BA64" i="73"/>
  <c r="BA66" i="73"/>
  <c r="BA67" i="73"/>
  <c r="BA68" i="73"/>
  <c r="BA69" i="73"/>
  <c r="BA74" i="73"/>
  <c r="BA75" i="73"/>
  <c r="BA76" i="73"/>
  <c r="BA77" i="73"/>
  <c r="BA78" i="73"/>
  <c r="BA79" i="73"/>
  <c r="BA80" i="73"/>
  <c r="BA81" i="73"/>
  <c r="BA82" i="73"/>
  <c r="BA83" i="73"/>
  <c r="BA84" i="73"/>
  <c r="BA85" i="73"/>
  <c r="BA86" i="73"/>
  <c r="BA87" i="73"/>
  <c r="BA88" i="73"/>
  <c r="BA89" i="73"/>
  <c r="BA90" i="73"/>
  <c r="BA91" i="73"/>
  <c r="BA92" i="73"/>
  <c r="BA95" i="73"/>
  <c r="BA96" i="73"/>
  <c r="BA97" i="73"/>
  <c r="BA98" i="73"/>
  <c r="BA99" i="73"/>
  <c r="BA100" i="73"/>
  <c r="BA101" i="73"/>
  <c r="BA103" i="73"/>
  <c r="BA104" i="73"/>
  <c r="BA106" i="73"/>
  <c r="BA107" i="73"/>
  <c r="BA109" i="73"/>
  <c r="BA110" i="73"/>
  <c r="BA111" i="73"/>
  <c r="BA112" i="73"/>
  <c r="BA113" i="73"/>
  <c r="BA115" i="73"/>
  <c r="BA116" i="73"/>
  <c r="AX117" i="73"/>
  <c r="AZ117" i="73"/>
  <c r="BA122" i="73"/>
  <c r="BA123" i="73"/>
  <c r="BA124" i="73"/>
  <c r="AX125" i="73"/>
  <c r="AZ125" i="73"/>
  <c r="BB125" i="73"/>
  <c r="BA126" i="73"/>
  <c r="BA127" i="73"/>
  <c r="AX129" i="73"/>
  <c r="AZ129" i="73"/>
  <c r="BB129" i="73"/>
  <c r="BA130" i="73"/>
  <c r="AX133" i="73"/>
  <c r="AZ133" i="73"/>
  <c r="BB133" i="73"/>
  <c r="BA134" i="73"/>
  <c r="BA135" i="73"/>
  <c r="BA177" i="73"/>
  <c r="BA178" i="73"/>
  <c r="BA180" i="73"/>
  <c r="BA181" i="73"/>
  <c r="BA182" i="73"/>
  <c r="BA183" i="73"/>
  <c r="BA184" i="73"/>
  <c r="BA185" i="73"/>
  <c r="BA186" i="73"/>
  <c r="BA187" i="73"/>
  <c r="AX188" i="73"/>
  <c r="AZ188" i="73"/>
  <c r="BB188" i="73"/>
  <c r="BA191" i="73"/>
  <c r="BA192" i="73"/>
  <c r="BA201" i="73"/>
  <c r="BC79" i="59"/>
  <c r="BC78" i="59"/>
  <c r="BC77" i="59"/>
  <c r="BB76" i="59"/>
  <c r="BC74" i="59"/>
  <c r="BB74" i="59"/>
  <c r="BC73" i="59"/>
  <c r="BB73" i="59"/>
  <c r="BC70" i="59"/>
  <c r="BB70" i="59"/>
  <c r="BC69" i="59"/>
  <c r="BB69" i="59"/>
  <c r="BC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C44" i="59" s="1"/>
  <c r="BB42" i="59"/>
  <c r="BB44" i="59" s="1"/>
  <c r="BC41" i="59"/>
  <c r="BB41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AY136" i="73" l="1"/>
  <c r="BA16" i="73"/>
  <c r="BB136" i="73"/>
  <c r="AZ136" i="73"/>
  <c r="AX136" i="73"/>
  <c r="AY117" i="90"/>
  <c r="BA139" i="50"/>
  <c r="BA141" i="50" s="1"/>
  <c r="BA142" i="50" s="1"/>
  <c r="BB49" i="59"/>
  <c r="BC49" i="59"/>
  <c r="AY12" i="49"/>
  <c r="AY117" i="73"/>
  <c r="AY5" i="73"/>
  <c r="AY54" i="36"/>
  <c r="AY53" i="36"/>
  <c r="AY51" i="36"/>
  <c r="AY50" i="36"/>
  <c r="AY49" i="36"/>
  <c r="AY48" i="36"/>
  <c r="AZ46" i="36"/>
  <c r="AZ54" i="36" s="1"/>
  <c r="AZ44" i="36"/>
  <c r="AZ43" i="36"/>
  <c r="AZ51" i="36" s="1"/>
  <c r="AZ41" i="36"/>
  <c r="AZ49" i="36" s="1"/>
  <c r="AZ40" i="36"/>
  <c r="AZ48" i="36" s="1"/>
  <c r="AZ39" i="36"/>
  <c r="AZ17" i="36" s="1"/>
  <c r="BC55" i="59" s="1"/>
  <c r="AZ38" i="36"/>
  <c r="AZ16" i="36" s="1"/>
  <c r="AZ32" i="36"/>
  <c r="AY29" i="36"/>
  <c r="AY28" i="36"/>
  <c r="AY27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BB40" i="59" s="1"/>
  <c r="AZ12" i="36"/>
  <c r="BC39" i="59" s="1"/>
  <c r="AZ11" i="36"/>
  <c r="BC38" i="59" s="1"/>
  <c r="AZ10" i="36"/>
  <c r="BC37" i="59" s="1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Z28" i="21"/>
  <c r="AY27" i="21"/>
  <c r="AZ24" i="21"/>
  <c r="AZ25" i="21" s="1"/>
  <c r="AZ18" i="21"/>
  <c r="AZ15" i="21"/>
  <c r="AZ12" i="21"/>
  <c r="AY12" i="21"/>
  <c r="AY15" i="21" s="1"/>
  <c r="AY34" i="35"/>
  <c r="AY30" i="35"/>
  <c r="AY23" i="35"/>
  <c r="AY13" i="8" s="1"/>
  <c r="AY16" i="8" s="1"/>
  <c r="AY18" i="35"/>
  <c r="AY40" i="36" s="1"/>
  <c r="AY42" i="36" s="1"/>
  <c r="AY16" i="35"/>
  <c r="AY43" i="36" l="1"/>
  <c r="AY45" i="36" s="1"/>
  <c r="AY46" i="36"/>
  <c r="AY154" i="10"/>
  <c r="AY7" i="28"/>
  <c r="AX17" i="15"/>
  <c r="AX14" i="15" s="1"/>
  <c r="AX15" i="15" s="1"/>
  <c r="AY5" i="9"/>
  <c r="AY32" i="36"/>
  <c r="AY38" i="36" s="1"/>
  <c r="AY119" i="90"/>
  <c r="AX5" i="15"/>
  <c r="BB77" i="59"/>
  <c r="AX6" i="15"/>
  <c r="BB78" i="59"/>
  <c r="AX7" i="15"/>
  <c r="BB79" i="59"/>
  <c r="AY90" i="9"/>
  <c r="BB55" i="59"/>
  <c r="AY89" i="9"/>
  <c r="BB54" i="59"/>
  <c r="BB6" i="59"/>
  <c r="AY13" i="49"/>
  <c r="AY14" i="49" s="1"/>
  <c r="AZ50" i="36"/>
  <c r="AZ45" i="36"/>
  <c r="AZ477" i="28"/>
  <c r="AZ478" i="28"/>
  <c r="AZ52" i="36"/>
  <c r="AZ53" i="36" s="1"/>
  <c r="AZ18" i="36"/>
  <c r="BC56" i="59" s="1"/>
  <c r="BC54" i="59"/>
  <c r="AZ42" i="36"/>
  <c r="AZ13" i="36"/>
  <c r="BC40" i="59" s="1"/>
  <c r="AZ20" i="21"/>
  <c r="AY22" i="21"/>
  <c r="AY39" i="36" l="1"/>
  <c r="AY63" i="9"/>
  <c r="AY58" i="9"/>
  <c r="AY92" i="9"/>
  <c r="AY33" i="22"/>
  <c r="AY61" i="9"/>
  <c r="AY69" i="9"/>
  <c r="AY55" i="9"/>
  <c r="AY66" i="9"/>
  <c r="AY64" i="9"/>
  <c r="AY7" i="9"/>
  <c r="AY59" i="9"/>
  <c r="AY56" i="9"/>
  <c r="AY67" i="9"/>
  <c r="AY70" i="9"/>
  <c r="AY27" i="9"/>
  <c r="AY65" i="9"/>
  <c r="AY68" i="9"/>
  <c r="AX132" i="26"/>
  <c r="AY95" i="9"/>
  <c r="AY12" i="28"/>
  <c r="AY161" i="10"/>
  <c r="AY178" i="10"/>
  <c r="BB66" i="59" s="1"/>
  <c r="AY153" i="10"/>
  <c r="AY19" i="9"/>
  <c r="AY91" i="9"/>
  <c r="AZ19" i="36"/>
  <c r="BC57" i="59" s="1"/>
  <c r="AY123" i="90"/>
  <c r="AY15" i="49"/>
  <c r="AY16" i="49" s="1"/>
  <c r="AY19" i="49" s="1"/>
  <c r="AY20" i="49" s="1"/>
  <c r="AY42" i="35"/>
  <c r="AZ40" i="35"/>
  <c r="AZ39" i="35"/>
  <c r="AY39" i="35"/>
  <c r="AZ36" i="35"/>
  <c r="AZ48" i="35" s="1"/>
  <c r="AY36" i="35"/>
  <c r="AZ32" i="35"/>
  <c r="AZ31" i="35"/>
  <c r="AY33" i="35"/>
  <c r="AZ30" i="35"/>
  <c r="AZ26" i="35"/>
  <c r="AZ33" i="36" s="1"/>
  <c r="AZ34" i="36" s="1"/>
  <c r="AZ35" i="36" s="1"/>
  <c r="AZ36" i="36" s="1"/>
  <c r="AZ30" i="36" s="1"/>
  <c r="BC80" i="59" s="1"/>
  <c r="AY26" i="35"/>
  <c r="AY21" i="35"/>
  <c r="AY26" i="9" s="1"/>
  <c r="AZ20" i="35"/>
  <c r="AY20" i="35"/>
  <c r="AZ19" i="35"/>
  <c r="AY19" i="35"/>
  <c r="AZ14" i="35"/>
  <c r="AZ13" i="35"/>
  <c r="AZ11" i="35"/>
  <c r="AZ10" i="6" s="1"/>
  <c r="AY10" i="35"/>
  <c r="AY9" i="35"/>
  <c r="AY8" i="35"/>
  <c r="AZ7" i="35"/>
  <c r="AZ6" i="6" s="1"/>
  <c r="AZ6" i="35"/>
  <c r="AZ5" i="6" s="1"/>
  <c r="AY57" i="9" l="1"/>
  <c r="AY21" i="22"/>
  <c r="AY7" i="22"/>
  <c r="AY8" i="22" s="1"/>
  <c r="AY10" i="22" s="1"/>
  <c r="AY11" i="22" s="1"/>
  <c r="AY13" i="22" s="1"/>
  <c r="AY48" i="35"/>
  <c r="AY28" i="28"/>
  <c r="AY13" i="35"/>
  <c r="AY8" i="6"/>
  <c r="AY14" i="35"/>
  <c r="AY9" i="6"/>
  <c r="AY216" i="28"/>
  <c r="AY462" i="28" s="1"/>
  <c r="AY58" i="28"/>
  <c r="AY60" i="9"/>
  <c r="AY62" i="9" s="1"/>
  <c r="AY26" i="21"/>
  <c r="AY28" i="21" s="1"/>
  <c r="AY33" i="36"/>
  <c r="AY34" i="36" s="1"/>
  <c r="AY35" i="36" s="1"/>
  <c r="AY36" i="36" s="1"/>
  <c r="AY30" i="36" s="1"/>
  <c r="BB80" i="59" s="1"/>
  <c r="AZ16" i="6"/>
  <c r="AZ18" i="6"/>
  <c r="AZ17" i="6"/>
  <c r="AZ15" i="6"/>
  <c r="AZ7" i="6"/>
  <c r="AZ41" i="35"/>
  <c r="AZ49" i="35" s="1"/>
  <c r="AZ98" i="11"/>
  <c r="AZ33" i="35"/>
  <c r="AZ37" i="35" s="1"/>
  <c r="AZ15" i="35"/>
  <c r="AZ5" i="36"/>
  <c r="AZ8" i="35"/>
  <c r="AY37" i="35"/>
  <c r="AZ95" i="50" s="1"/>
  <c r="AZ93" i="50" s="1"/>
  <c r="AY41" i="35"/>
  <c r="AY11" i="35"/>
  <c r="AY10" i="6" s="1"/>
  <c r="AY15" i="35" l="1"/>
  <c r="AY49" i="35"/>
  <c r="AY33" i="28"/>
  <c r="AY50" i="28"/>
  <c r="AY55" i="28" s="1"/>
  <c r="AY477" i="28" s="1"/>
  <c r="AY65" i="28"/>
  <c r="AY22" i="22"/>
  <c r="AY24" i="22" s="1"/>
  <c r="AY25" i="22" s="1"/>
  <c r="AY27" i="22" s="1"/>
  <c r="BA95" i="50"/>
  <c r="BA93" i="50" s="1"/>
  <c r="BA79" i="83"/>
  <c r="BA77" i="83" s="1"/>
  <c r="AZ189" i="6"/>
  <c r="AZ194" i="6"/>
  <c r="AZ168" i="6"/>
  <c r="AZ164" i="6"/>
  <c r="AZ19" i="6"/>
  <c r="AZ81" i="6" s="1"/>
  <c r="AZ84" i="6"/>
  <c r="AZ13" i="49"/>
  <c r="BC6" i="59"/>
  <c r="AZ55" i="35"/>
  <c r="AY55" i="35"/>
  <c r="AY461" i="28" l="1"/>
  <c r="AY460" i="28"/>
  <c r="AY61" i="28"/>
  <c r="AY448" i="28"/>
  <c r="AZ38" i="6"/>
  <c r="AZ40" i="6"/>
  <c r="AZ39" i="6"/>
  <c r="AZ37" i="6"/>
  <c r="AY474" i="28" l="1"/>
  <c r="AY451" i="28"/>
  <c r="AY77" i="28"/>
  <c r="AY62" i="28"/>
  <c r="AY478" i="28" s="1"/>
  <c r="AZ41" i="6"/>
  <c r="AY473" i="28" l="1"/>
  <c r="AY81" i="28"/>
  <c r="AY472" i="28"/>
  <c r="AY452" i="28"/>
  <c r="AZ7" i="86"/>
  <c r="AZ8" i="86"/>
  <c r="AZ9" i="86"/>
  <c r="AZ10" i="86"/>
  <c r="AZ11" i="86"/>
  <c r="AZ12" i="86"/>
  <c r="AZ13" i="86"/>
  <c r="AZ14" i="86"/>
  <c r="AZ15" i="86"/>
  <c r="AZ16" i="86"/>
  <c r="AZ17" i="86"/>
  <c r="AZ18" i="86"/>
  <c r="AZ19" i="86"/>
  <c r="AZ20" i="86"/>
  <c r="AZ6" i="86"/>
  <c r="AL7" i="86"/>
  <c r="AL8" i="86"/>
  <c r="AL9" i="86"/>
  <c r="AL10" i="86"/>
  <c r="AL11" i="86"/>
  <c r="AL12" i="86"/>
  <c r="AL13" i="86"/>
  <c r="AL14" i="86"/>
  <c r="AL15" i="86"/>
  <c r="AL16" i="86"/>
  <c r="AL17" i="86"/>
  <c r="AL18" i="86"/>
  <c r="AL19" i="86"/>
  <c r="BB19" i="86" s="1"/>
  <c r="AL20" i="86"/>
  <c r="AL6" i="86"/>
  <c r="X7" i="86"/>
  <c r="X8" i="86"/>
  <c r="X9" i="86"/>
  <c r="X10" i="86"/>
  <c r="X11" i="86"/>
  <c r="X12" i="86"/>
  <c r="X13" i="86"/>
  <c r="X14" i="86"/>
  <c r="X15" i="86"/>
  <c r="X16" i="86"/>
  <c r="X17" i="86"/>
  <c r="X18" i="86"/>
  <c r="X19" i="86"/>
  <c r="X20" i="86"/>
  <c r="X6" i="86"/>
  <c r="W21" i="86"/>
  <c r="Y21" i="86"/>
  <c r="AA21" i="86"/>
  <c r="AB21" i="86"/>
  <c r="AC21" i="86"/>
  <c r="AE21" i="86"/>
  <c r="AF21" i="86"/>
  <c r="AG21" i="86"/>
  <c r="AI21" i="86"/>
  <c r="AJ21" i="86"/>
  <c r="AK21" i="86"/>
  <c r="AM21" i="86"/>
  <c r="AO21" i="86"/>
  <c r="AP21" i="86"/>
  <c r="AQ21" i="86"/>
  <c r="AS21" i="86"/>
  <c r="AT21" i="86"/>
  <c r="AU21" i="86"/>
  <c r="AW21" i="86"/>
  <c r="AX21" i="86"/>
  <c r="AY21" i="86"/>
  <c r="BA21" i="86"/>
  <c r="BC21" i="86"/>
  <c r="BB14" i="86" l="1"/>
  <c r="BB13" i="86"/>
  <c r="BB8" i="86"/>
  <c r="BB7" i="86"/>
  <c r="BB20" i="86"/>
  <c r="BB18" i="86"/>
  <c r="BB12" i="86"/>
  <c r="BB16" i="86"/>
  <c r="BB10" i="86"/>
  <c r="BB15" i="86"/>
  <c r="BB9" i="86"/>
  <c r="BB6" i="86"/>
  <c r="BB17" i="86"/>
  <c r="BB11" i="86"/>
  <c r="AZ21" i="86"/>
  <c r="AL21" i="86"/>
  <c r="X21" i="86"/>
  <c r="BB21" i="86" l="1"/>
  <c r="AX16" i="61" l="1"/>
  <c r="AW71" i="83" l="1"/>
  <c r="AW72" i="83"/>
  <c r="AW73" i="83"/>
  <c r="AW74" i="83"/>
  <c r="AW70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67" i="83"/>
  <c r="AW68" i="83"/>
  <c r="AW52" i="83"/>
  <c r="AW47" i="83"/>
  <c r="AW48" i="83"/>
  <c r="AW50" i="83"/>
  <c r="AW46" i="83"/>
  <c r="AW40" i="83"/>
  <c r="AW41" i="83"/>
  <c r="AW42" i="83"/>
  <c r="AW43" i="83"/>
  <c r="AW44" i="83"/>
  <c r="AW39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30" i="83"/>
  <c r="AW31" i="83"/>
  <c r="AW32" i="83"/>
  <c r="AW33" i="83"/>
  <c r="AW34" i="83"/>
  <c r="AW35" i="83"/>
  <c r="AW36" i="83"/>
  <c r="AW37" i="83"/>
  <c r="AW4" i="83"/>
  <c r="AV103" i="9"/>
  <c r="AW75" i="83" l="1"/>
  <c r="AW69" i="83"/>
  <c r="AW51" i="83"/>
  <c r="AW45" i="83"/>
  <c r="AR141" i="10"/>
  <c r="AR127" i="10"/>
  <c r="AR65" i="10"/>
  <c r="AR62" i="10"/>
  <c r="BB62" i="10" s="1"/>
  <c r="AV65" i="10" l="1"/>
  <c r="BB65" i="10" s="1"/>
  <c r="AV37" i="10"/>
  <c r="AW24" i="83" s="1"/>
  <c r="AV22" i="10"/>
  <c r="AW27" i="83" s="1"/>
  <c r="AV23" i="10"/>
  <c r="AW29" i="83" s="1"/>
  <c r="AV30" i="10"/>
  <c r="AW9" i="83" s="1"/>
  <c r="AW38" i="83" l="1"/>
  <c r="AW76" i="83" s="1"/>
  <c r="K74" i="50"/>
  <c r="O74" i="50"/>
  <c r="S74" i="50" s="1"/>
  <c r="W74" i="50" s="1"/>
  <c r="AA74" i="50"/>
  <c r="AO74" i="50"/>
  <c r="BE74" i="50" s="1"/>
  <c r="AW49" i="50"/>
  <c r="AW50" i="50"/>
  <c r="AW51" i="50"/>
  <c r="AW52" i="50"/>
  <c r="AW54" i="50"/>
  <c r="AW41" i="50"/>
  <c r="AW42" i="50"/>
  <c r="AW43" i="50"/>
  <c r="AW44" i="50"/>
  <c r="AW45" i="50"/>
  <c r="AW46" i="50"/>
  <c r="AW40" i="50"/>
  <c r="AW5" i="50"/>
  <c r="AW6" i="50"/>
  <c r="AW7" i="50"/>
  <c r="AW8" i="50"/>
  <c r="AW9" i="50"/>
  <c r="AW10" i="50"/>
  <c r="AW11" i="50"/>
  <c r="AW12" i="50"/>
  <c r="AW4" i="61" s="1"/>
  <c r="AW13" i="50"/>
  <c r="AW5" i="61" s="1"/>
  <c r="AW14" i="50"/>
  <c r="AW6" i="61" s="1"/>
  <c r="AW15" i="50"/>
  <c r="AW7" i="61" s="1"/>
  <c r="AW16" i="50"/>
  <c r="AW8" i="61" s="1"/>
  <c r="AW17" i="50"/>
  <c r="AW9" i="61" s="1"/>
  <c r="AW18" i="50"/>
  <c r="AW10" i="61" s="1"/>
  <c r="AW19" i="50"/>
  <c r="AW11" i="61" s="1"/>
  <c r="AW20" i="50"/>
  <c r="AW12" i="61" s="1"/>
  <c r="AW21" i="50"/>
  <c r="AW13" i="61" s="1"/>
  <c r="AW22" i="50"/>
  <c r="AW14" i="61" s="1"/>
  <c r="AW23" i="50"/>
  <c r="AW24" i="50"/>
  <c r="AW15" i="61" s="1"/>
  <c r="AW25" i="50"/>
  <c r="AW26" i="50"/>
  <c r="AW27" i="50"/>
  <c r="AW29" i="50"/>
  <c r="AW30" i="50"/>
  <c r="AW31" i="50"/>
  <c r="AW32" i="50"/>
  <c r="AW33" i="50"/>
  <c r="AW34" i="50"/>
  <c r="AW35" i="50"/>
  <c r="AW36" i="50"/>
  <c r="AW37" i="50"/>
  <c r="AW38" i="50"/>
  <c r="AW4" i="50"/>
  <c r="AW140" i="50"/>
  <c r="AW138" i="50"/>
  <c r="AW137" i="50"/>
  <c r="AW133" i="50"/>
  <c r="AX131" i="50"/>
  <c r="AV131" i="50"/>
  <c r="AV129" i="50"/>
  <c r="AV128" i="50"/>
  <c r="AV127" i="50"/>
  <c r="AW123" i="50"/>
  <c r="AX113" i="50"/>
  <c r="AV113" i="50"/>
  <c r="AW111" i="50"/>
  <c r="AV111" i="50"/>
  <c r="AW110" i="50"/>
  <c r="AV110" i="50"/>
  <c r="AW109" i="50"/>
  <c r="AV109" i="50"/>
  <c r="AX101" i="50"/>
  <c r="AV101" i="50"/>
  <c r="AW100" i="50"/>
  <c r="BG100" i="50" s="1"/>
  <c r="AW99" i="50"/>
  <c r="BG99" i="50" s="1"/>
  <c r="AX91" i="50"/>
  <c r="AW91" i="50"/>
  <c r="AW134" i="50" s="1"/>
  <c r="AV91" i="50"/>
  <c r="AX79" i="50"/>
  <c r="AW79" i="50"/>
  <c r="AW124" i="50" s="1"/>
  <c r="AV79" i="50"/>
  <c r="AX55" i="50"/>
  <c r="AV55" i="50"/>
  <c r="AW48" i="50"/>
  <c r="AX47" i="50"/>
  <c r="AV47" i="50"/>
  <c r="AX39" i="50"/>
  <c r="AV39" i="50"/>
  <c r="G33" i="50"/>
  <c r="I33" i="50"/>
  <c r="Q33" i="50"/>
  <c r="Y33" i="50"/>
  <c r="AE33" i="50"/>
  <c r="AI33" i="50"/>
  <c r="AS33" i="50"/>
  <c r="G34" i="50"/>
  <c r="I34" i="50"/>
  <c r="Q34" i="50"/>
  <c r="AE34" i="50"/>
  <c r="AI34" i="50"/>
  <c r="G35" i="50"/>
  <c r="I35" i="50"/>
  <c r="Q35" i="50"/>
  <c r="Y35" i="50"/>
  <c r="AE35" i="50"/>
  <c r="AI35" i="50"/>
  <c r="AM35" i="50"/>
  <c r="AS35" i="50"/>
  <c r="G36" i="50"/>
  <c r="I36" i="50"/>
  <c r="Q36" i="50"/>
  <c r="Y36" i="50"/>
  <c r="AE36" i="50"/>
  <c r="AI36" i="50"/>
  <c r="AM36" i="50"/>
  <c r="AS36" i="50"/>
  <c r="G37" i="50"/>
  <c r="I37" i="50"/>
  <c r="Q37" i="50"/>
  <c r="Y37" i="50"/>
  <c r="AE37" i="50"/>
  <c r="AI37" i="50"/>
  <c r="AM37" i="50"/>
  <c r="AS37" i="50"/>
  <c r="G38" i="50"/>
  <c r="I38" i="50"/>
  <c r="Q38" i="50"/>
  <c r="AE38" i="50"/>
  <c r="AI38" i="50"/>
  <c r="AM38" i="50"/>
  <c r="AS38" i="50"/>
  <c r="BC38" i="50" s="1"/>
  <c r="BC35" i="50" l="1"/>
  <c r="BC37" i="50"/>
  <c r="AW135" i="50"/>
  <c r="BC33" i="50"/>
  <c r="BC36" i="50"/>
  <c r="AW16" i="61"/>
  <c r="AC74" i="50"/>
  <c r="AG74" i="50" s="1"/>
  <c r="AK74" i="50" s="1"/>
  <c r="AQ74" i="50" s="1"/>
  <c r="AU74" i="50" s="1"/>
  <c r="AY74" i="50" s="1"/>
  <c r="BG74" i="50" s="1"/>
  <c r="AA33" i="50"/>
  <c r="AV102" i="50"/>
  <c r="AW112" i="50"/>
  <c r="AW55" i="50"/>
  <c r="AW120" i="50" s="1"/>
  <c r="AV92" i="50"/>
  <c r="AX102" i="50"/>
  <c r="AO37" i="50"/>
  <c r="BE37" i="50" s="1"/>
  <c r="K37" i="50"/>
  <c r="O34" i="50"/>
  <c r="S34" i="50" s="1"/>
  <c r="W34" i="50" s="1"/>
  <c r="AX92" i="50"/>
  <c r="AW47" i="50"/>
  <c r="AW116" i="50" s="1"/>
  <c r="AW125" i="50"/>
  <c r="AW39" i="50"/>
  <c r="AW106" i="50" s="1"/>
  <c r="AW126" i="50"/>
  <c r="AW136" i="50"/>
  <c r="AO38" i="50"/>
  <c r="BE38" i="50" s="1"/>
  <c r="AA36" i="50"/>
  <c r="O38" i="50"/>
  <c r="S38" i="50" s="1"/>
  <c r="W38" i="50" s="1"/>
  <c r="K38" i="50"/>
  <c r="AA37" i="50"/>
  <c r="AO35" i="50"/>
  <c r="BE35" i="50" s="1"/>
  <c r="K35" i="50"/>
  <c r="AO36" i="50"/>
  <c r="O36" i="50"/>
  <c r="S36" i="50" s="1"/>
  <c r="W36" i="50" s="1"/>
  <c r="AA35" i="50"/>
  <c r="K33" i="50"/>
  <c r="K36" i="50"/>
  <c r="K34" i="50"/>
  <c r="O37" i="50"/>
  <c r="O35" i="50"/>
  <c r="O33" i="50"/>
  <c r="BE36" i="50" l="1"/>
  <c r="AC36" i="50"/>
  <c r="AG36" i="50" s="1"/>
  <c r="AK36" i="50" s="1"/>
  <c r="AQ36" i="50" s="1"/>
  <c r="AU36" i="50" s="1"/>
  <c r="AY36" i="50" s="1"/>
  <c r="BG36" i="50" s="1"/>
  <c r="AW92" i="50"/>
  <c r="S33" i="50"/>
  <c r="W33" i="50" s="1"/>
  <c r="AC33" i="50"/>
  <c r="AG33" i="50" s="1"/>
  <c r="AK33" i="50" s="1"/>
  <c r="S35" i="50"/>
  <c r="W35" i="50" s="1"/>
  <c r="AC35" i="50"/>
  <c r="AG35" i="50" s="1"/>
  <c r="AK35" i="50" s="1"/>
  <c r="AQ35" i="50" s="1"/>
  <c r="AU35" i="50" s="1"/>
  <c r="AY35" i="50" s="1"/>
  <c r="BG35" i="50" s="1"/>
  <c r="S37" i="50"/>
  <c r="W37" i="50" s="1"/>
  <c r="AC37" i="50"/>
  <c r="AG37" i="50" s="1"/>
  <c r="AK37" i="50" s="1"/>
  <c r="AQ37" i="50" s="1"/>
  <c r="AU37" i="50" s="1"/>
  <c r="AY37" i="50" s="1"/>
  <c r="BG37" i="50" s="1"/>
  <c r="AU37" i="27" l="1"/>
  <c r="AU35" i="27"/>
  <c r="AU29" i="27"/>
  <c r="AU28" i="27"/>
  <c r="AU27" i="27"/>
  <c r="AU20" i="27"/>
  <c r="AU19" i="27"/>
  <c r="AU18" i="27"/>
  <c r="AT36" i="27" l="1"/>
  <c r="AT37" i="27"/>
  <c r="AT21" i="27"/>
  <c r="AT20" i="27"/>
  <c r="AT137" i="28" l="1"/>
  <c r="AX137" i="28"/>
  <c r="BF137" i="28" s="1"/>
  <c r="AT39" i="27" l="1"/>
  <c r="AU36" i="27"/>
  <c r="AU39" i="27"/>
  <c r="AT33" i="27"/>
  <c r="AU26" i="27"/>
  <c r="AU33" i="27" s="1"/>
  <c r="AT24" i="27"/>
  <c r="AU21" i="27"/>
  <c r="AU24" i="27" s="1"/>
  <c r="AV28" i="22"/>
  <c r="AV24" i="22"/>
  <c r="AV23" i="22"/>
  <c r="AV14" i="22"/>
  <c r="AV10" i="22"/>
  <c r="AV12" i="22" s="1"/>
  <c r="AV9" i="22"/>
  <c r="AU114" i="26"/>
  <c r="AT112" i="26"/>
  <c r="AT110" i="26"/>
  <c r="AT108" i="26"/>
  <c r="AT106" i="26"/>
  <c r="AT104" i="26"/>
  <c r="AT102" i="26"/>
  <c r="AT100" i="26"/>
  <c r="AT98" i="26"/>
  <c r="AU94" i="26"/>
  <c r="AU83" i="26"/>
  <c r="AU82" i="26"/>
  <c r="AT80" i="26"/>
  <c r="AT78" i="26"/>
  <c r="AT83" i="26" s="1"/>
  <c r="AU75" i="26"/>
  <c r="AT73" i="26"/>
  <c r="AT71" i="26"/>
  <c r="AT69" i="26"/>
  <c r="AT67" i="26"/>
  <c r="AT65" i="26"/>
  <c r="AT63" i="26"/>
  <c r="AT61" i="26"/>
  <c r="AT59" i="26"/>
  <c r="AT54" i="26"/>
  <c r="AT52" i="26"/>
  <c r="AU50" i="26"/>
  <c r="AU56" i="26" s="1"/>
  <c r="AT48" i="26"/>
  <c r="AT50" i="26" s="1"/>
  <c r="AU45" i="26"/>
  <c r="AT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U18" i="26" s="1"/>
  <c r="AT11" i="26"/>
  <c r="AT9" i="26"/>
  <c r="AU28" i="15"/>
  <c r="AU30" i="15"/>
  <c r="AU29" i="15"/>
  <c r="AU24" i="15"/>
  <c r="AU23" i="15"/>
  <c r="AU22" i="15"/>
  <c r="AU21" i="15"/>
  <c r="AU20" i="15"/>
  <c r="AT18" i="15"/>
  <c r="AU17" i="15"/>
  <c r="AU14" i="15"/>
  <c r="AT11" i="15"/>
  <c r="AT12" i="15" s="1"/>
  <c r="AU10" i="15"/>
  <c r="AU9" i="15"/>
  <c r="AT9" i="15"/>
  <c r="AU8" i="15"/>
  <c r="AT8" i="15"/>
  <c r="AU7" i="15"/>
  <c r="AU6" i="15"/>
  <c r="AU5" i="15"/>
  <c r="G64" i="83"/>
  <c r="I64" i="83"/>
  <c r="U64" i="83"/>
  <c r="AA64" i="83" s="1"/>
  <c r="Y64" i="83"/>
  <c r="AE64" i="83"/>
  <c r="AI64" i="83"/>
  <c r="AM64" i="83"/>
  <c r="AS64" i="83"/>
  <c r="BC64" i="83" s="1"/>
  <c r="G32" i="50"/>
  <c r="I32" i="50"/>
  <c r="Q32" i="50"/>
  <c r="Y32" i="50"/>
  <c r="AE32" i="50"/>
  <c r="AI32" i="50"/>
  <c r="AM32" i="50"/>
  <c r="AS32" i="50"/>
  <c r="BC32" i="50" s="1"/>
  <c r="O64" i="83" l="1"/>
  <c r="S64" i="83" s="1"/>
  <c r="K32" i="50"/>
  <c r="AA32" i="50"/>
  <c r="AO32" i="50"/>
  <c r="BE32" i="50" s="1"/>
  <c r="AT114" i="26"/>
  <c r="AT75" i="26"/>
  <c r="AT57" i="26"/>
  <c r="AT51" i="26"/>
  <c r="AT56" i="26"/>
  <c r="AT45" i="26"/>
  <c r="AT12" i="26"/>
  <c r="AT18" i="26" s="1"/>
  <c r="AU57" i="26"/>
  <c r="AU51" i="26"/>
  <c r="AU13" i="26"/>
  <c r="AU19" i="26"/>
  <c r="AV26" i="22"/>
  <c r="AU31" i="15"/>
  <c r="AU35" i="15" s="1"/>
  <c r="AU15" i="15" s="1"/>
  <c r="AT85" i="26"/>
  <c r="AT94" i="26" s="1"/>
  <c r="AT82" i="26"/>
  <c r="K64" i="83"/>
  <c r="AO64" i="83"/>
  <c r="BE64" i="83" s="1"/>
  <c r="O32" i="50"/>
  <c r="AC64" i="83" l="1"/>
  <c r="AG64" i="83" s="1"/>
  <c r="AK64" i="83" s="1"/>
  <c r="AQ64" i="83" s="1"/>
  <c r="AU64" i="83" s="1"/>
  <c r="AY64" i="83" s="1"/>
  <c r="BG64" i="83" s="1"/>
  <c r="AT13" i="26"/>
  <c r="AT19" i="26"/>
  <c r="AU16" i="15"/>
  <c r="AC32" i="50"/>
  <c r="AG32" i="50" s="1"/>
  <c r="AK32" i="50" s="1"/>
  <c r="AQ32" i="50" s="1"/>
  <c r="AU32" i="50" s="1"/>
  <c r="AY32" i="50" s="1"/>
  <c r="BG32" i="50" s="1"/>
  <c r="S32" i="50"/>
  <c r="W32" i="50" s="1"/>
  <c r="AT117" i="17" l="1"/>
  <c r="AT115" i="17"/>
  <c r="AU87" i="17"/>
  <c r="AT87" i="17"/>
  <c r="AU86" i="17"/>
  <c r="AT86" i="17"/>
  <c r="AU85" i="17"/>
  <c r="AT85" i="17"/>
  <c r="AU84" i="17"/>
  <c r="AT84" i="17"/>
  <c r="AU83" i="17"/>
  <c r="AT83" i="17"/>
  <c r="AU79" i="17"/>
  <c r="AT79" i="17"/>
  <c r="AU67" i="17"/>
  <c r="AU69" i="17" s="1"/>
  <c r="AT67" i="17"/>
  <c r="AT69" i="17" s="1"/>
  <c r="AT61" i="17"/>
  <c r="AU59" i="17"/>
  <c r="AU60" i="17" s="1"/>
  <c r="AT58" i="17"/>
  <c r="AT57" i="17"/>
  <c r="AT55" i="17"/>
  <c r="AU52" i="17"/>
  <c r="AU53" i="17" s="1"/>
  <c r="AT52" i="17"/>
  <c r="AU49" i="17"/>
  <c r="AT48" i="17"/>
  <c r="AU47" i="17"/>
  <c r="AT46" i="17"/>
  <c r="AU44" i="17"/>
  <c r="AU50" i="17" s="1"/>
  <c r="AT44" i="17"/>
  <c r="AU43" i="17"/>
  <c r="AU41" i="17"/>
  <c r="AU39" i="17"/>
  <c r="AU26" i="17"/>
  <c r="AT26" i="17"/>
  <c r="AU22" i="17"/>
  <c r="AU16" i="17" s="1"/>
  <c r="AT21" i="17"/>
  <c r="AT19" i="17"/>
  <c r="AT18" i="17"/>
  <c r="AT22" i="17" s="1"/>
  <c r="AT34" i="17" s="1"/>
  <c r="AT16" i="17"/>
  <c r="AT30" i="17" s="1"/>
  <c r="AT15" i="17"/>
  <c r="AU14" i="17"/>
  <c r="AU12" i="17"/>
  <c r="AU9" i="17"/>
  <c r="AT9" i="17"/>
  <c r="AU62" i="17" l="1"/>
  <c r="AT33" i="17"/>
  <c r="AU116" i="17"/>
  <c r="AU11" i="17"/>
  <c r="AT59" i="17"/>
  <c r="AT60" i="17" s="1"/>
  <c r="AT116" i="17"/>
  <c r="AT50" i="17"/>
  <c r="AT54" i="17" s="1"/>
  <c r="AT119" i="17"/>
  <c r="AT11" i="17"/>
  <c r="AU32" i="17"/>
  <c r="AU34" i="17"/>
  <c r="AU31" i="17"/>
  <c r="AU33" i="17"/>
  <c r="AU30" i="17"/>
  <c r="AU54" i="17"/>
  <c r="AU114" i="17"/>
  <c r="AU118" i="17" s="1"/>
  <c r="AU51" i="17"/>
  <c r="AU55" i="17" s="1"/>
  <c r="AT32" i="17"/>
  <c r="AT31" i="17"/>
  <c r="AU45" i="17"/>
  <c r="AU13" i="17"/>
  <c r="AT62" i="17" l="1"/>
  <c r="AU115" i="17"/>
  <c r="AT114" i="17"/>
  <c r="AT118" i="17" s="1"/>
  <c r="AU117" i="17"/>
  <c r="AU119" i="17" s="1"/>
  <c r="AU15" i="17"/>
  <c r="AV223" i="6" l="1"/>
  <c r="AU223" i="6"/>
  <c r="AR223" i="6"/>
  <c r="AQ223" i="6"/>
  <c r="AL223" i="6"/>
  <c r="AK223" i="6"/>
  <c r="AH223" i="6"/>
  <c r="AG223" i="6"/>
  <c r="AD223" i="6"/>
  <c r="AC223" i="6"/>
  <c r="F223" i="6"/>
  <c r="AV222" i="6"/>
  <c r="AU222" i="6"/>
  <c r="AR222" i="6"/>
  <c r="AQ222" i="6"/>
  <c r="AL222" i="6"/>
  <c r="AK222" i="6"/>
  <c r="AH222" i="6"/>
  <c r="AG222" i="6"/>
  <c r="AD222" i="6"/>
  <c r="AC222" i="6"/>
  <c r="F222" i="6"/>
  <c r="AZ96" i="38" l="1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Z43" i="38"/>
  <c r="AY42" i="38"/>
  <c r="AY41" i="38" s="1"/>
  <c r="AZ41" i="38"/>
  <c r="AZ90" i="38" s="1"/>
  <c r="AY39" i="38"/>
  <c r="AY38" i="38"/>
  <c r="AY37" i="38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Y22" i="38"/>
  <c r="AY21" i="38"/>
  <c r="AY20" i="38"/>
  <c r="AZ19" i="38"/>
  <c r="AZ68" i="38" s="1"/>
  <c r="AY15" i="38"/>
  <c r="AY14" i="38"/>
  <c r="AY13" i="38" s="1"/>
  <c r="AZ13" i="38"/>
  <c r="AZ62" i="38" s="1"/>
  <c r="AY12" i="38"/>
  <c r="AY11" i="38"/>
  <c r="AY10" i="38"/>
  <c r="AY9" i="38"/>
  <c r="AY8" i="38"/>
  <c r="AY7" i="38"/>
  <c r="AZ6" i="38"/>
  <c r="AZ55" i="38" s="1"/>
  <c r="AT26" i="10"/>
  <c r="AX26" i="10" s="1"/>
  <c r="BF26" i="10" s="1"/>
  <c r="AY89" i="38" l="1"/>
  <c r="AY67" i="38"/>
  <c r="AY65" i="38"/>
  <c r="AY43" i="38"/>
  <c r="AY66" i="38"/>
  <c r="AY35" i="38"/>
  <c r="AY19" i="38"/>
  <c r="AY6" i="38"/>
  <c r="AZ40" i="38"/>
  <c r="AZ18" i="38"/>
  <c r="AZ67" i="38" s="1"/>
  <c r="AZ92" i="38"/>
  <c r="AZ16" i="38"/>
  <c r="AY98" i="38" l="1"/>
  <c r="AY40" i="38"/>
  <c r="AY18" i="38"/>
  <c r="AY16" i="38"/>
  <c r="AZ89" i="38"/>
  <c r="AZ17" i="38"/>
  <c r="AZ65" i="38"/>
  <c r="AZ66" i="38" l="1"/>
  <c r="AZ98" i="38" s="1"/>
  <c r="AZ49" i="38"/>
  <c r="AY17" i="38"/>
  <c r="AY49" i="38" l="1"/>
  <c r="AW157" i="45"/>
  <c r="AW156" i="45"/>
  <c r="AW154" i="45"/>
  <c r="AW148" i="45"/>
  <c r="AW149" i="45" s="1"/>
  <c r="AW143" i="45"/>
  <c r="AV143" i="45"/>
  <c r="AW142" i="45"/>
  <c r="AV142" i="45"/>
  <c r="AW141" i="45"/>
  <c r="AV141" i="45"/>
  <c r="AW140" i="45"/>
  <c r="AV140" i="45"/>
  <c r="AW138" i="45"/>
  <c r="AV138" i="45"/>
  <c r="AW136" i="45"/>
  <c r="AV136" i="45"/>
  <c r="AW134" i="45"/>
  <c r="AV134" i="45"/>
  <c r="AW131" i="45"/>
  <c r="AW132" i="45" s="1"/>
  <c r="AV131" i="45"/>
  <c r="AV132" i="45" s="1"/>
  <c r="AW109" i="45"/>
  <c r="AW108" i="45"/>
  <c r="AV108" i="45"/>
  <c r="AW107" i="45"/>
  <c r="AV91" i="11"/>
  <c r="AV89" i="11"/>
  <c r="AV83" i="11"/>
  <c r="AV84" i="11" s="1"/>
  <c r="AV78" i="11"/>
  <c r="AU78" i="11"/>
  <c r="AV77" i="11"/>
  <c r="AU77" i="11"/>
  <c r="AV76" i="11"/>
  <c r="AU76" i="11"/>
  <c r="AV75" i="11"/>
  <c r="AU75" i="11"/>
  <c r="AV73" i="11"/>
  <c r="AU73" i="11"/>
  <c r="AV71" i="11"/>
  <c r="AU71" i="11"/>
  <c r="AV69" i="11"/>
  <c r="AU69" i="11"/>
  <c r="AV66" i="11"/>
  <c r="AV67" i="11" s="1"/>
  <c r="AU66" i="11"/>
  <c r="AU67" i="11" s="1"/>
  <c r="AV64" i="11"/>
  <c r="AV61" i="11" s="1"/>
  <c r="AV59" i="11"/>
  <c r="AV57" i="11"/>
  <c r="AV85" i="11" s="1"/>
  <c r="AV56" i="11"/>
  <c r="AV55" i="11"/>
  <c r="AV92" i="11" s="1"/>
  <c r="AW139" i="45" l="1"/>
  <c r="AV74" i="11"/>
  <c r="AV139" i="45"/>
  <c r="AW159" i="45"/>
  <c r="AW158" i="45"/>
  <c r="AW144" i="45"/>
  <c r="AW119" i="50"/>
  <c r="AW121" i="50" s="1"/>
  <c r="AV124" i="45"/>
  <c r="AV107" i="45"/>
  <c r="AV58" i="11"/>
  <c r="AW115" i="50"/>
  <c r="AW117" i="50" s="1"/>
  <c r="AV60" i="11"/>
  <c r="AW155" i="45"/>
  <c r="AW162" i="45" s="1"/>
  <c r="AV123" i="45"/>
  <c r="AV144" i="45"/>
  <c r="AW123" i="45"/>
  <c r="AV90" i="11"/>
  <c r="AV96" i="11" s="1"/>
  <c r="AW124" i="45"/>
  <c r="AW125" i="45" s="1"/>
  <c r="AW150" i="45"/>
  <c r="AV79" i="11"/>
  <c r="AV93" i="11"/>
  <c r="AV94" i="11" s="1"/>
  <c r="G47" i="83"/>
  <c r="I47" i="83"/>
  <c r="U47" i="83"/>
  <c r="Y47" i="83"/>
  <c r="AE47" i="83"/>
  <c r="AI47" i="83"/>
  <c r="AM47" i="83"/>
  <c r="AS47" i="83"/>
  <c r="BC47" i="83" s="1"/>
  <c r="I26" i="83"/>
  <c r="O26" i="83" s="1"/>
  <c r="U26" i="83"/>
  <c r="Y26" i="83"/>
  <c r="AE26" i="83"/>
  <c r="AI26" i="83"/>
  <c r="AM26" i="83"/>
  <c r="AS26" i="83"/>
  <c r="BC26" i="83" s="1"/>
  <c r="I23" i="83"/>
  <c r="O23" i="83" s="1"/>
  <c r="U23" i="83"/>
  <c r="Y23" i="83"/>
  <c r="AE23" i="83"/>
  <c r="AI23" i="83"/>
  <c r="AM23" i="83"/>
  <c r="I22" i="83"/>
  <c r="O22" i="83" s="1"/>
  <c r="U22" i="83"/>
  <c r="Y22" i="83"/>
  <c r="AE22" i="83"/>
  <c r="AI22" i="83"/>
  <c r="AM22" i="83"/>
  <c r="AS22" i="83"/>
  <c r="BC22" i="83" s="1"/>
  <c r="I20" i="83"/>
  <c r="O20" i="83" s="1"/>
  <c r="U20" i="83"/>
  <c r="Y20" i="83"/>
  <c r="AE20" i="83"/>
  <c r="AI20" i="83"/>
  <c r="AM20" i="83"/>
  <c r="AS20" i="83"/>
  <c r="BC20" i="83" s="1"/>
  <c r="I21" i="83"/>
  <c r="O21" i="83" s="1"/>
  <c r="U21" i="83"/>
  <c r="Y21" i="83"/>
  <c r="AE21" i="83"/>
  <c r="AI21" i="83"/>
  <c r="AM21" i="83"/>
  <c r="AS21" i="83"/>
  <c r="BC21" i="83" s="1"/>
  <c r="AW160" i="45" l="1"/>
  <c r="AA20" i="83"/>
  <c r="AA23" i="83"/>
  <c r="AC23" i="83"/>
  <c r="AA22" i="83"/>
  <c r="AC22" i="83" s="1"/>
  <c r="AA21" i="83"/>
  <c r="AC20" i="83"/>
  <c r="AC21" i="83"/>
  <c r="AA26" i="83"/>
  <c r="AC26" i="83" s="1"/>
  <c r="AO47" i="83"/>
  <c r="BE47" i="83" s="1"/>
  <c r="K47" i="83"/>
  <c r="AA47" i="83"/>
  <c r="O47" i="83"/>
  <c r="AO26" i="83"/>
  <c r="BE26" i="83" s="1"/>
  <c r="K26" i="83"/>
  <c r="K20" i="83"/>
  <c r="AO23" i="83"/>
  <c r="K23" i="83"/>
  <c r="AO20" i="83"/>
  <c r="BE20" i="83" s="1"/>
  <c r="AO22" i="83"/>
  <c r="BE22" i="83" s="1"/>
  <c r="K22" i="83"/>
  <c r="AO21" i="83"/>
  <c r="BE21" i="83" s="1"/>
  <c r="K21" i="83"/>
  <c r="AV190" i="10"/>
  <c r="AV188" i="10"/>
  <c r="AV182" i="10"/>
  <c r="AV183" i="10" s="1"/>
  <c r="AV177" i="10"/>
  <c r="AU177" i="10"/>
  <c r="AV176" i="10"/>
  <c r="AU176" i="10"/>
  <c r="AV175" i="10"/>
  <c r="AU175" i="10"/>
  <c r="AV174" i="10"/>
  <c r="AU174" i="10"/>
  <c r="AV172" i="10"/>
  <c r="AU172" i="10"/>
  <c r="AV170" i="10"/>
  <c r="AU170" i="10"/>
  <c r="AV168" i="10"/>
  <c r="AU168" i="10"/>
  <c r="AV165" i="10"/>
  <c r="AV166" i="10" s="1"/>
  <c r="AU165" i="10"/>
  <c r="AU166" i="10" s="1"/>
  <c r="AV162" i="10"/>
  <c r="AV155" i="10"/>
  <c r="AV184" i="10" s="1"/>
  <c r="AV153" i="10"/>
  <c r="AU104" i="9"/>
  <c r="AU102" i="9"/>
  <c r="AU101" i="9"/>
  <c r="AV99" i="9"/>
  <c r="AU99" i="9"/>
  <c r="AV98" i="9"/>
  <c r="AU98" i="9"/>
  <c r="AV97" i="9"/>
  <c r="AU97" i="9"/>
  <c r="AV93" i="9"/>
  <c r="AU76" i="9"/>
  <c r="AU77" i="9" s="1"/>
  <c r="AU74" i="9"/>
  <c r="AV60" i="9"/>
  <c r="AV57" i="9"/>
  <c r="AU53" i="9"/>
  <c r="AU52" i="9"/>
  <c r="AU51" i="9"/>
  <c r="AU47" i="9"/>
  <c r="AV46" i="9"/>
  <c r="AV36" i="9"/>
  <c r="AU89" i="90" s="1"/>
  <c r="AV35" i="9"/>
  <c r="AV47" i="9" s="1"/>
  <c r="AV34" i="9"/>
  <c r="AV31" i="9"/>
  <c r="AV25" i="9"/>
  <c r="AU24" i="9"/>
  <c r="AU22" i="9"/>
  <c r="AV19" i="9"/>
  <c r="AV10" i="9"/>
  <c r="AV5" i="9"/>
  <c r="AV94" i="9" l="1"/>
  <c r="AU18" i="15" s="1"/>
  <c r="AV33" i="22"/>
  <c r="AU132" i="26"/>
  <c r="AW129" i="50"/>
  <c r="AV189" i="10"/>
  <c r="AV48" i="9"/>
  <c r="AV90" i="9"/>
  <c r="AV96" i="9"/>
  <c r="AV100" i="9"/>
  <c r="S47" i="83"/>
  <c r="W47" i="83" s="1"/>
  <c r="AC47" i="83"/>
  <c r="AG47" i="83" s="1"/>
  <c r="AK47" i="83" s="1"/>
  <c r="AQ47" i="83" s="1"/>
  <c r="AU47" i="83" s="1"/>
  <c r="AY47" i="83" s="1"/>
  <c r="BG47" i="83" s="1"/>
  <c r="S26" i="83"/>
  <c r="W26" i="83" s="1"/>
  <c r="AG26" i="83"/>
  <c r="AK26" i="83" s="1"/>
  <c r="AQ26" i="83" s="1"/>
  <c r="AU26" i="83" s="1"/>
  <c r="AY26" i="83" s="1"/>
  <c r="BG26" i="83" s="1"/>
  <c r="AG21" i="83"/>
  <c r="AK21" i="83" s="1"/>
  <c r="AQ21" i="83" s="1"/>
  <c r="AU21" i="83" s="1"/>
  <c r="AY21" i="83" s="1"/>
  <c r="BG21" i="83" s="1"/>
  <c r="S23" i="83"/>
  <c r="W23" i="83" s="1"/>
  <c r="AG23" i="83"/>
  <c r="AK23" i="83" s="1"/>
  <c r="S22" i="83"/>
  <c r="W22" i="83" s="1"/>
  <c r="AG22" i="83"/>
  <c r="AK22" i="83" s="1"/>
  <c r="S21" i="83"/>
  <c r="W21" i="83" s="1"/>
  <c r="S20" i="83"/>
  <c r="W20" i="83" s="1"/>
  <c r="AG20" i="83"/>
  <c r="AK20" i="83" s="1"/>
  <c r="AV191" i="10"/>
  <c r="AV197" i="10"/>
  <c r="AV192" i="10"/>
  <c r="AV154" i="10"/>
  <c r="AW105" i="50" s="1"/>
  <c r="AV200" i="10"/>
  <c r="AV62" i="9"/>
  <c r="AU25" i="9"/>
  <c r="AU88" i="9" s="1"/>
  <c r="AV37" i="9"/>
  <c r="AV14" i="9"/>
  <c r="AV89" i="9"/>
  <c r="AV195" i="10" l="1"/>
  <c r="AV173" i="10"/>
  <c r="AV49" i="9"/>
  <c r="AV80" i="9" s="1"/>
  <c r="AW108" i="50"/>
  <c r="AW113" i="50" s="1"/>
  <c r="AW107" i="50"/>
  <c r="AV91" i="9"/>
  <c r="AQ22" i="83"/>
  <c r="AU22" i="83" s="1"/>
  <c r="AY22" i="83" s="1"/>
  <c r="BG22" i="83" s="1"/>
  <c r="AQ20" i="83"/>
  <c r="AU20" i="83" s="1"/>
  <c r="AY20" i="83" s="1"/>
  <c r="BG20" i="83" s="1"/>
  <c r="AQ23" i="83"/>
  <c r="AV201" i="10"/>
  <c r="AV178" i="10"/>
  <c r="AV161" i="10"/>
  <c r="AV163" i="10"/>
  <c r="AV193" i="10"/>
  <c r="AV76" i="9"/>
  <c r="AV52" i="9"/>
  <c r="AV86" i="9"/>
  <c r="AV82" i="9"/>
  <c r="AV87" i="9"/>
  <c r="AV84" i="9"/>
  <c r="AV78" i="9" l="1"/>
  <c r="AV53" i="9"/>
  <c r="AV72" i="9"/>
  <c r="AV75" i="9"/>
  <c r="AV77" i="9" s="1"/>
  <c r="AV83" i="9"/>
  <c r="AV73" i="9"/>
  <c r="AV74" i="9" s="1"/>
  <c r="AV81" i="9"/>
  <c r="AV85" i="9"/>
  <c r="AV79" i="9" l="1"/>
  <c r="AW81" i="8"/>
  <c r="AW73" i="8"/>
  <c r="AW52" i="8"/>
  <c r="AV109" i="8"/>
  <c r="AV110" i="8" s="1"/>
  <c r="AV94" i="8"/>
  <c r="AV91" i="8"/>
  <c r="AV92" i="8" s="1"/>
  <c r="AU91" i="8"/>
  <c r="AV89" i="8"/>
  <c r="AU89" i="8"/>
  <c r="AV88" i="8"/>
  <c r="AU88" i="8"/>
  <c r="AU87" i="8"/>
  <c r="AV86" i="8"/>
  <c r="AU84" i="8"/>
  <c r="AV82" i="8"/>
  <c r="AU82" i="8"/>
  <c r="AU81" i="8"/>
  <c r="AV80" i="8"/>
  <c r="AV76" i="8"/>
  <c r="AU75" i="8"/>
  <c r="AU74" i="8"/>
  <c r="AU73" i="8"/>
  <c r="AU72" i="8"/>
  <c r="AU71" i="8"/>
  <c r="AV68" i="8"/>
  <c r="AV66" i="8"/>
  <c r="AV67" i="8" s="1"/>
  <c r="AV64" i="8"/>
  <c r="AV65" i="8" s="1"/>
  <c r="AV34" i="8" s="1"/>
  <c r="AV61" i="8"/>
  <c r="AV58" i="8"/>
  <c r="AU52" i="8"/>
  <c r="AV49" i="8"/>
  <c r="AV50" i="8" s="1"/>
  <c r="AU49" i="8"/>
  <c r="AV47" i="8"/>
  <c r="AU47" i="8"/>
  <c r="AV46" i="8"/>
  <c r="AU46" i="8"/>
  <c r="AV45" i="8"/>
  <c r="AU45" i="8"/>
  <c r="AV44" i="8"/>
  <c r="AU44" i="8"/>
  <c r="AV43" i="8"/>
  <c r="AU43" i="8"/>
  <c r="AV41" i="8"/>
  <c r="AU41" i="8"/>
  <c r="AV40" i="8"/>
  <c r="AU40" i="8"/>
  <c r="AV39" i="8"/>
  <c r="AU39" i="8"/>
  <c r="AV26" i="8"/>
  <c r="AV17" i="8"/>
  <c r="AU17" i="8"/>
  <c r="AV15" i="8"/>
  <c r="AU15" i="8"/>
  <c r="AV14" i="8"/>
  <c r="AU14" i="8"/>
  <c r="AV13" i="8"/>
  <c r="AV78" i="8" l="1"/>
  <c r="AU2" i="26"/>
  <c r="AU2" i="17"/>
  <c r="AU6" i="26"/>
  <c r="AU42" i="8"/>
  <c r="AV42" i="8"/>
  <c r="AV59" i="8"/>
  <c r="AV69" i="8"/>
  <c r="AV74" i="8" s="1"/>
  <c r="AV62" i="8"/>
  <c r="AV111" i="8"/>
  <c r="AV112" i="8" s="1"/>
  <c r="AV53" i="8" s="1"/>
  <c r="AV16" i="8"/>
  <c r="AV72" i="8"/>
  <c r="AV37" i="8"/>
  <c r="AV73" i="8"/>
  <c r="AV52" i="8"/>
  <c r="AV36" i="8" l="1"/>
  <c r="AV63" i="8"/>
  <c r="AV71" i="8" s="1"/>
  <c r="AV35" i="8"/>
  <c r="AV70" i="8"/>
  <c r="AU35" i="35" l="1"/>
  <c r="AU34" i="35"/>
  <c r="AU31" i="35"/>
  <c r="AU56" i="11" s="1"/>
  <c r="AU74" i="11" s="1"/>
  <c r="AU30" i="35"/>
  <c r="AU154" i="10" s="1"/>
  <c r="AU173" i="10" s="1"/>
  <c r="AU23" i="35"/>
  <c r="AU13" i="8" s="1"/>
  <c r="AU16" i="8" s="1"/>
  <c r="AU18" i="35"/>
  <c r="AU17" i="35"/>
  <c r="AU6" i="8" s="1"/>
  <c r="AU16" i="35"/>
  <c r="AT17" i="15" l="1"/>
  <c r="AT14" i="15" s="1"/>
  <c r="AT15" i="15" s="1"/>
  <c r="AU5" i="9"/>
  <c r="AU178" i="10"/>
  <c r="AU161" i="10"/>
  <c r="AU153" i="10"/>
  <c r="AU58" i="11"/>
  <c r="AU98" i="11"/>
  <c r="AU55" i="11"/>
  <c r="AU79" i="11"/>
  <c r="AU23" i="8"/>
  <c r="AU28" i="8"/>
  <c r="AU50" i="8"/>
  <c r="AU24" i="8"/>
  <c r="AU31" i="8"/>
  <c r="AU25" i="8"/>
  <c r="AU92" i="8"/>
  <c r="AU29" i="8"/>
  <c r="AU30" i="8"/>
  <c r="AU67" i="8" s="1"/>
  <c r="AU37" i="8" s="1"/>
  <c r="AU27" i="8"/>
  <c r="AU85" i="8"/>
  <c r="AW113" i="7"/>
  <c r="AW112" i="7"/>
  <c r="AW111" i="7"/>
  <c r="AW110" i="7"/>
  <c r="AW109" i="7"/>
  <c r="AW108" i="7"/>
  <c r="AW107" i="7"/>
  <c r="AW106" i="7"/>
  <c r="AW99" i="7"/>
  <c r="AW91" i="7"/>
  <c r="AW85" i="7"/>
  <c r="AU113" i="7"/>
  <c r="AU112" i="7"/>
  <c r="AU111" i="7"/>
  <c r="AU110" i="7"/>
  <c r="AU109" i="7"/>
  <c r="AU108" i="7"/>
  <c r="AU107" i="7"/>
  <c r="AU106" i="7"/>
  <c r="AV84" i="7"/>
  <c r="AU84" i="7"/>
  <c r="AV82" i="7"/>
  <c r="AU82" i="7"/>
  <c r="AV73" i="7"/>
  <c r="AU73" i="7"/>
  <c r="AV69" i="7"/>
  <c r="AV71" i="7" s="1"/>
  <c r="AU69" i="7"/>
  <c r="AU71" i="7" s="1"/>
  <c r="AV65" i="7"/>
  <c r="AV53" i="7" s="1"/>
  <c r="AU65" i="7"/>
  <c r="AU59" i="7" s="1"/>
  <c r="AU25" i="7"/>
  <c r="AV20" i="7"/>
  <c r="AV39" i="7" s="1"/>
  <c r="AV49" i="7" s="1"/>
  <c r="AU20" i="7"/>
  <c r="AU39" i="7" s="1"/>
  <c r="AU49" i="7" s="1"/>
  <c r="AV56" i="7" l="1"/>
  <c r="AV25" i="7"/>
  <c r="AV28" i="7"/>
  <c r="AV93" i="7" s="1"/>
  <c r="AV31" i="7"/>
  <c r="AV98" i="7" s="1"/>
  <c r="AV83" i="7"/>
  <c r="AU56" i="7"/>
  <c r="AU33" i="7"/>
  <c r="AU97" i="7" s="1"/>
  <c r="AV59" i="7"/>
  <c r="AV101" i="7" s="1"/>
  <c r="AV33" i="7"/>
  <c r="AV97" i="7" s="1"/>
  <c r="AU35" i="7"/>
  <c r="AU102" i="7" s="1"/>
  <c r="AV22" i="7"/>
  <c r="AV87" i="7" s="1"/>
  <c r="AV35" i="7"/>
  <c r="AV102" i="7" s="1"/>
  <c r="AU26" i="8"/>
  <c r="AU65" i="8"/>
  <c r="AU34" i="8" s="1"/>
  <c r="AT2" i="26"/>
  <c r="AT2" i="17"/>
  <c r="AU69" i="8"/>
  <c r="AU36" i="8" s="1"/>
  <c r="AU67" i="9"/>
  <c r="AU56" i="9"/>
  <c r="AU59" i="9"/>
  <c r="AU70" i="9"/>
  <c r="AU55" i="9"/>
  <c r="AU33" i="22"/>
  <c r="AU27" i="9"/>
  <c r="AU63" i="9"/>
  <c r="AU65" i="9"/>
  <c r="AU58" i="9"/>
  <c r="AU7" i="9"/>
  <c r="AU92" i="9"/>
  <c r="AT132" i="26"/>
  <c r="AU61" i="9"/>
  <c r="AU69" i="9"/>
  <c r="AU95" i="9"/>
  <c r="AU66" i="9"/>
  <c r="AU68" i="9"/>
  <c r="AU64" i="9"/>
  <c r="AU100" i="9"/>
  <c r="AU109" i="8"/>
  <c r="AU111" i="8" s="1"/>
  <c r="AU59" i="8"/>
  <c r="AU63" i="8" s="1"/>
  <c r="AU35" i="8"/>
  <c r="AU53" i="7"/>
  <c r="AU28" i="7"/>
  <c r="AU93" i="7" s="1"/>
  <c r="AU22" i="7"/>
  <c r="AU87" i="7" s="1"/>
  <c r="AU31" i="7"/>
  <c r="AU98" i="7" s="1"/>
  <c r="AU83" i="7"/>
  <c r="AU81" i="7"/>
  <c r="AV81" i="7"/>
  <c r="AU23" i="7"/>
  <c r="AU26" i="7"/>
  <c r="AU91" i="7" s="1"/>
  <c r="AU29" i="7"/>
  <c r="AU94" i="7" s="1"/>
  <c r="AU32" i="7"/>
  <c r="AU99" i="7" s="1"/>
  <c r="AU54" i="7"/>
  <c r="AU96" i="7" s="1"/>
  <c r="AU57" i="7"/>
  <c r="AU60" i="7"/>
  <c r="AU66" i="7"/>
  <c r="AU76" i="7"/>
  <c r="AV23" i="7"/>
  <c r="AV26" i="7"/>
  <c r="AV91" i="7" s="1"/>
  <c r="AV29" i="7"/>
  <c r="AV94" i="7" s="1"/>
  <c r="AV32" i="7"/>
  <c r="AV99" i="7" s="1"/>
  <c r="AV54" i="7"/>
  <c r="AV96" i="7" s="1"/>
  <c r="AV57" i="7"/>
  <c r="AV60" i="7"/>
  <c r="AV67" i="7"/>
  <c r="AV76" i="7"/>
  <c r="AU24" i="7"/>
  <c r="AU27" i="7"/>
  <c r="AU92" i="7" s="1"/>
  <c r="AU30" i="7"/>
  <c r="AU95" i="7" s="1"/>
  <c r="AU34" i="7"/>
  <c r="AU90" i="7" s="1"/>
  <c r="AU52" i="7"/>
  <c r="AU55" i="7"/>
  <c r="AU100" i="7" s="1"/>
  <c r="AU58" i="7"/>
  <c r="AU74" i="7"/>
  <c r="AV24" i="7"/>
  <c r="AV89" i="7" s="1"/>
  <c r="AV27" i="7"/>
  <c r="AV92" i="7" s="1"/>
  <c r="AV30" i="7"/>
  <c r="AV95" i="7" s="1"/>
  <c r="AV34" i="7"/>
  <c r="AV90" i="7" s="1"/>
  <c r="AV52" i="7"/>
  <c r="AV55" i="7"/>
  <c r="AV100" i="7" s="1"/>
  <c r="AV58" i="7"/>
  <c r="AV74" i="7"/>
  <c r="AU61" i="39"/>
  <c r="AU60" i="39"/>
  <c r="AT50" i="39"/>
  <c r="AU49" i="39"/>
  <c r="AU48" i="39"/>
  <c r="AU47" i="39"/>
  <c r="AU46" i="39"/>
  <c r="AT45" i="39"/>
  <c r="AU43" i="39"/>
  <c r="AU42" i="39"/>
  <c r="AU8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U199" i="6"/>
  <c r="AV198" i="6"/>
  <c r="AU197" i="6"/>
  <c r="AV193" i="6"/>
  <c r="AU193" i="6"/>
  <c r="AV192" i="6"/>
  <c r="AU192" i="6"/>
  <c r="AV191" i="6"/>
  <c r="AU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25" i="6" s="1"/>
  <c r="AU17" i="6"/>
  <c r="AU21" i="6" s="1"/>
  <c r="AU16" i="6"/>
  <c r="AU15" i="6"/>
  <c r="AV9" i="6"/>
  <c r="AV8" i="6"/>
  <c r="AU7" i="6"/>
  <c r="AU57" i="9" l="1"/>
  <c r="AU89" i="7"/>
  <c r="AU110" i="8"/>
  <c r="AU112" i="8" s="1"/>
  <c r="AU60" i="9"/>
  <c r="AU62" i="9" s="1"/>
  <c r="AU7" i="22"/>
  <c r="AU8" i="22" s="1"/>
  <c r="AU10" i="22" s="1"/>
  <c r="AU11" i="22" s="1"/>
  <c r="AU13" i="22" s="1"/>
  <c r="AU21" i="22"/>
  <c r="AT51" i="39"/>
  <c r="AT22" i="39"/>
  <c r="AU22" i="39"/>
  <c r="AU34" i="39"/>
  <c r="AV121" i="6"/>
  <c r="AV125" i="6" s="1"/>
  <c r="AV172" i="6" s="1"/>
  <c r="AU133" i="6"/>
  <c r="AW41" i="6"/>
  <c r="AU24" i="6"/>
  <c r="AU26" i="6" s="1"/>
  <c r="AV57" i="6"/>
  <c r="AU163" i="6"/>
  <c r="AU23" i="39"/>
  <c r="AV36" i="7"/>
  <c r="AV51" i="7" s="1"/>
  <c r="AU88" i="7"/>
  <c r="AU103" i="7" s="1"/>
  <c r="AV88" i="7"/>
  <c r="AV103" i="7" s="1"/>
  <c r="AU36" i="7"/>
  <c r="AU51" i="7" s="1"/>
  <c r="AU45" i="39"/>
  <c r="AU50" i="39"/>
  <c r="AU121" i="6"/>
  <c r="AU125" i="6" s="1"/>
  <c r="AU173" i="6" s="1"/>
  <c r="AV133" i="6"/>
  <c r="AV35" i="6"/>
  <c r="AU194" i="6"/>
  <c r="AU27" i="6"/>
  <c r="AU30" i="6"/>
  <c r="AU103" i="6"/>
  <c r="AU107" i="6" s="1"/>
  <c r="AU147" i="6" s="1"/>
  <c r="AU22" i="6"/>
  <c r="AU31" i="6"/>
  <c r="AV103" i="6"/>
  <c r="AV107" i="6" s="1"/>
  <c r="AU168" i="6"/>
  <c r="AU138" i="6"/>
  <c r="AV138" i="6"/>
  <c r="AU19" i="6"/>
  <c r="AU84" i="6" s="1"/>
  <c r="AU188" i="6"/>
  <c r="AU28" i="6"/>
  <c r="AU22" i="22" l="1"/>
  <c r="AU24" i="22" s="1"/>
  <c r="AU25" i="22" s="1"/>
  <c r="AU27" i="22" s="1"/>
  <c r="AT24" i="39"/>
  <c r="AV175" i="6"/>
  <c r="AU139" i="6"/>
  <c r="AU143" i="6" s="1"/>
  <c r="AU206" i="6" s="1"/>
  <c r="AV173" i="6"/>
  <c r="AV174" i="6" s="1"/>
  <c r="AU24" i="39"/>
  <c r="AU172" i="6"/>
  <c r="AU174" i="6" s="1"/>
  <c r="AU175" i="6"/>
  <c r="AU51" i="39"/>
  <c r="AV61" i="7"/>
  <c r="AV75" i="7"/>
  <c r="AU61" i="7"/>
  <c r="AU75" i="7"/>
  <c r="AV139" i="6"/>
  <c r="AV143" i="6" s="1"/>
  <c r="AV206" i="6" s="1"/>
  <c r="AU29" i="6"/>
  <c r="AU23" i="6"/>
  <c r="AU32" i="6"/>
  <c r="AV148" i="6"/>
  <c r="AV150" i="6"/>
  <c r="AU81" i="6"/>
  <c r="AV147" i="6"/>
  <c r="AU34" i="6"/>
  <c r="AU33" i="6"/>
  <c r="AU150" i="6"/>
  <c r="AU148" i="6"/>
  <c r="AU149" i="6" s="1"/>
  <c r="AU208" i="6" l="1"/>
  <c r="AU216" i="6"/>
  <c r="AU219" i="6" s="1"/>
  <c r="AU205" i="6"/>
  <c r="AU203" i="6"/>
  <c r="AU204" i="6"/>
  <c r="AU211" i="6"/>
  <c r="AU213" i="6"/>
  <c r="AU207" i="6"/>
  <c r="AU210" i="6"/>
  <c r="AU212" i="6"/>
  <c r="AV199" i="6"/>
  <c r="AV149" i="6"/>
  <c r="AV197" i="6"/>
  <c r="AU35" i="6"/>
  <c r="AV212" i="6"/>
  <c r="AV205" i="6"/>
  <c r="AV216" i="6"/>
  <c r="AV203" i="6"/>
  <c r="AV210" i="6"/>
  <c r="AV207" i="6"/>
  <c r="AV213" i="6"/>
  <c r="AV218" i="6"/>
  <c r="AV211" i="6"/>
  <c r="AV204" i="6"/>
  <c r="AV217" i="6"/>
  <c r="AV208" i="6"/>
  <c r="AU209" i="6" l="1"/>
  <c r="AU214" i="6"/>
  <c r="AU215" i="6" s="1"/>
  <c r="AU220" i="6" s="1"/>
  <c r="AV214" i="6"/>
  <c r="AV209" i="6"/>
  <c r="AV219" i="6"/>
  <c r="AV215" i="6" l="1"/>
  <c r="AV220" i="6" s="1"/>
  <c r="AU479" i="28" l="1"/>
  <c r="AV436" i="28"/>
  <c r="AV432" i="28"/>
  <c r="AV400" i="28"/>
  <c r="AV430" i="28" s="1"/>
  <c r="AV392" i="28"/>
  <c r="AV471" i="28" s="1"/>
  <c r="AU392" i="28"/>
  <c r="AV376" i="28"/>
  <c r="AV377" i="28" s="1"/>
  <c r="AV278" i="28"/>
  <c r="AV467" i="28" s="1"/>
  <c r="AU278" i="28"/>
  <c r="AV272" i="28"/>
  <c r="AU272" i="28"/>
  <c r="AV271" i="28"/>
  <c r="AU271" i="28"/>
  <c r="AV232" i="28"/>
  <c r="AU232" i="28"/>
  <c r="AV215" i="28"/>
  <c r="AV214" i="28"/>
  <c r="AV82" i="28"/>
  <c r="AV81" i="28"/>
  <c r="AV79" i="28"/>
  <c r="AV75" i="28"/>
  <c r="AV71" i="28"/>
  <c r="AV67" i="28"/>
  <c r="AU54" i="28"/>
  <c r="AU53" i="28"/>
  <c r="AU52" i="28"/>
  <c r="AV47" i="28"/>
  <c r="AV40" i="28"/>
  <c r="AV32" i="28"/>
  <c r="AV54" i="28" s="1"/>
  <c r="AV31" i="28"/>
  <c r="AV53" i="28" s="1"/>
  <c r="AV30" i="28"/>
  <c r="AV52" i="28" s="1"/>
  <c r="AV29" i="28"/>
  <c r="AV51" i="28" s="1"/>
  <c r="AV28" i="28"/>
  <c r="AV50" i="28" s="1"/>
  <c r="AV26" i="28"/>
  <c r="AU21" i="28"/>
  <c r="AU26" i="28" s="1"/>
  <c r="AV19" i="28"/>
  <c r="AU14" i="28"/>
  <c r="AU19" i="28" s="1"/>
  <c r="AV12" i="28"/>
  <c r="AV58" i="28" s="1"/>
  <c r="AU7" i="28"/>
  <c r="AV464" i="28" l="1"/>
  <c r="AV216" i="28"/>
  <c r="AV447" i="28"/>
  <c r="AV460" i="28"/>
  <c r="AV463" i="28"/>
  <c r="AV461" i="28"/>
  <c r="AV479" i="28"/>
  <c r="AV33" i="28"/>
  <c r="AV472" i="28" s="1"/>
  <c r="AV469" i="28"/>
  <c r="AV60" i="28"/>
  <c r="AV470" i="28"/>
  <c r="AV468" i="28"/>
  <c r="AV273" i="28"/>
  <c r="AV59" i="28"/>
  <c r="AV462" i="28"/>
  <c r="AV55" i="28"/>
  <c r="AU273" i="28"/>
  <c r="AU59" i="28"/>
  <c r="AU60" i="28"/>
  <c r="AU377" i="28"/>
  <c r="AV480" i="28"/>
  <c r="AV448" i="28"/>
  <c r="AV83" i="28"/>
  <c r="AU12" i="28"/>
  <c r="AV17" i="49"/>
  <c r="AV11" i="49"/>
  <c r="AU11" i="49"/>
  <c r="AV10" i="49"/>
  <c r="AV9" i="49"/>
  <c r="AV8" i="49"/>
  <c r="AV6" i="49"/>
  <c r="AU190" i="73"/>
  <c r="AU179" i="73"/>
  <c r="AU188" i="73" s="1"/>
  <c r="AU133" i="73"/>
  <c r="AU129" i="73"/>
  <c r="AU125" i="73"/>
  <c r="AU121" i="73"/>
  <c r="AU136" i="73" s="1"/>
  <c r="AU114" i="73"/>
  <c r="AU11" i="15" s="1"/>
  <c r="AU108" i="73"/>
  <c r="AU102" i="73"/>
  <c r="AU65" i="73"/>
  <c r="AU58" i="73"/>
  <c r="AU53" i="73"/>
  <c r="AU48" i="73"/>
  <c r="AU34" i="73"/>
  <c r="AU23" i="73"/>
  <c r="AU16" i="73"/>
  <c r="AU14" i="73"/>
  <c r="AU8" i="73"/>
  <c r="AU6" i="73" s="1"/>
  <c r="AZ60" i="59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Y79" i="59"/>
  <c r="AY78" i="59"/>
  <c r="AY77" i="59"/>
  <c r="AX76" i="59"/>
  <c r="AY74" i="59"/>
  <c r="AY73" i="59"/>
  <c r="AX73" i="59"/>
  <c r="AY70" i="59"/>
  <c r="AY69" i="59"/>
  <c r="AX69" i="59"/>
  <c r="AY66" i="59"/>
  <c r="AY65" i="59"/>
  <c r="AX65" i="59"/>
  <c r="AY62" i="59"/>
  <c r="AX62" i="59"/>
  <c r="AY61" i="59"/>
  <c r="AX61" i="59"/>
  <c r="AY60" i="59"/>
  <c r="AY59" i="59"/>
  <c r="AX59" i="59"/>
  <c r="AY58" i="59"/>
  <c r="AX58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X42" i="59"/>
  <c r="AY41" i="59"/>
  <c r="AX41" i="59"/>
  <c r="AX39" i="59"/>
  <c r="AX38" i="59"/>
  <c r="AX37" i="59"/>
  <c r="AY36" i="59"/>
  <c r="AX36" i="59"/>
  <c r="AY35" i="59"/>
  <c r="AX35" i="59"/>
  <c r="AY34" i="59"/>
  <c r="AX34" i="59"/>
  <c r="AY33" i="59"/>
  <c r="AX33" i="59"/>
  <c r="AY32" i="59"/>
  <c r="AX32" i="59"/>
  <c r="AY31" i="59"/>
  <c r="AX31" i="59"/>
  <c r="AY30" i="59"/>
  <c r="AX30" i="59"/>
  <c r="AY29" i="59"/>
  <c r="AX29" i="59"/>
  <c r="AY28" i="59"/>
  <c r="AX28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U54" i="36"/>
  <c r="AU46" i="36" s="1"/>
  <c r="AU53" i="36"/>
  <c r="AU51" i="36"/>
  <c r="AU43" i="36" s="1"/>
  <c r="AU45" i="36" s="1"/>
  <c r="AU49" i="36"/>
  <c r="AU48" i="36"/>
  <c r="AV46" i="36"/>
  <c r="AV54" i="36" s="1"/>
  <c r="AV44" i="36"/>
  <c r="AV52" i="36" s="1"/>
  <c r="AV43" i="36"/>
  <c r="AV51" i="36" s="1"/>
  <c r="AV41" i="36"/>
  <c r="AV49" i="36" s="1"/>
  <c r="AV40" i="36"/>
  <c r="AV48" i="36" s="1"/>
  <c r="AV39" i="36"/>
  <c r="AV17" i="36" s="1"/>
  <c r="AY55" i="59" s="1"/>
  <c r="AV38" i="36"/>
  <c r="AV16" i="36" s="1"/>
  <c r="AV32" i="36"/>
  <c r="AU32" i="36"/>
  <c r="AU29" i="36"/>
  <c r="AT7" i="15" s="1"/>
  <c r="AU28" i="36"/>
  <c r="AT6" i="15" s="1"/>
  <c r="AU27" i="36"/>
  <c r="AT5" i="15" s="1"/>
  <c r="AV26" i="36"/>
  <c r="AV24" i="36"/>
  <c r="AY75" i="59" s="1"/>
  <c r="AU24" i="36"/>
  <c r="AX75" i="59" s="1"/>
  <c r="AV23" i="36"/>
  <c r="AY72" i="59" s="1"/>
  <c r="AU23" i="36"/>
  <c r="AX72" i="59" s="1"/>
  <c r="AV22" i="36"/>
  <c r="AY68" i="59" s="1"/>
  <c r="AU22" i="36"/>
  <c r="AX68" i="59" s="1"/>
  <c r="AV21" i="36"/>
  <c r="AY64" i="59" s="1"/>
  <c r="AU21" i="36"/>
  <c r="AX64" i="59" s="1"/>
  <c r="AU17" i="36"/>
  <c r="AU90" i="9" s="1"/>
  <c r="AU19" i="9" s="1"/>
  <c r="AU16" i="36"/>
  <c r="AU89" i="9" s="1"/>
  <c r="AU13" i="36"/>
  <c r="AX40" i="59" s="1"/>
  <c r="AV12" i="36"/>
  <c r="AY39" i="59" s="1"/>
  <c r="AV11" i="36"/>
  <c r="AY38" i="59" s="1"/>
  <c r="AV10" i="36"/>
  <c r="AY37" i="59" s="1"/>
  <c r="AV9" i="36"/>
  <c r="AY10" i="59" s="1"/>
  <c r="AU9" i="36"/>
  <c r="AX10" i="59" s="1"/>
  <c r="AV8" i="36"/>
  <c r="AY9" i="59" s="1"/>
  <c r="AU8" i="36"/>
  <c r="AX9" i="59" s="1"/>
  <c r="AV7" i="36"/>
  <c r="AY8" i="59" s="1"/>
  <c r="AU7" i="36"/>
  <c r="AX8" i="59" s="1"/>
  <c r="AU5" i="36"/>
  <c r="AU13" i="49" s="1"/>
  <c r="AV28" i="21"/>
  <c r="AU27" i="21"/>
  <c r="AV24" i="21"/>
  <c r="AV25" i="21" s="1"/>
  <c r="AV18" i="21"/>
  <c r="AV15" i="21"/>
  <c r="AV12" i="21"/>
  <c r="AU12" i="21"/>
  <c r="AU22" i="21" s="1"/>
  <c r="AU42" i="35"/>
  <c r="AU41" i="35"/>
  <c r="AV40" i="35"/>
  <c r="AV39" i="35"/>
  <c r="AV36" i="35"/>
  <c r="AV48" i="35" s="1"/>
  <c r="AU36" i="35"/>
  <c r="AV32" i="35"/>
  <c r="AV31" i="35"/>
  <c r="AV98" i="11" s="1"/>
  <c r="AV30" i="35"/>
  <c r="AU39" i="35"/>
  <c r="AV26" i="35"/>
  <c r="AV33" i="36" s="1"/>
  <c r="AV34" i="36" s="1"/>
  <c r="AV35" i="36" s="1"/>
  <c r="AV36" i="36" s="1"/>
  <c r="AV30" i="36" s="1"/>
  <c r="AY80" i="59" s="1"/>
  <c r="AU26" i="35"/>
  <c r="AU26" i="21" s="1"/>
  <c r="AU21" i="35"/>
  <c r="AU26" i="9" s="1"/>
  <c r="AV20" i="35"/>
  <c r="AU20" i="35"/>
  <c r="AV19" i="35"/>
  <c r="AU19" i="35"/>
  <c r="AV14" i="35"/>
  <c r="AV5" i="36" s="1"/>
  <c r="AV13" i="49" s="1"/>
  <c r="AV13" i="35"/>
  <c r="AV11" i="35"/>
  <c r="AV10" i="6" s="1"/>
  <c r="AU10" i="35"/>
  <c r="AU9" i="6" s="1"/>
  <c r="AU9" i="35"/>
  <c r="AU8" i="35"/>
  <c r="AV7" i="35"/>
  <c r="AV6" i="6" s="1"/>
  <c r="AV6" i="35"/>
  <c r="AV5" i="6" s="1"/>
  <c r="AY44" i="59" l="1"/>
  <c r="AU117" i="90"/>
  <c r="AW139" i="50"/>
  <c r="AW141" i="50" s="1"/>
  <c r="AW142" i="50" s="1"/>
  <c r="AX49" i="59"/>
  <c r="AU50" i="36"/>
  <c r="AU40" i="36"/>
  <c r="AU42" i="36" s="1"/>
  <c r="AX77" i="59"/>
  <c r="AX78" i="59"/>
  <c r="AX79" i="59"/>
  <c r="AX55" i="59"/>
  <c r="AU91" i="9"/>
  <c r="AX54" i="59"/>
  <c r="AX6" i="59"/>
  <c r="AV53" i="36"/>
  <c r="AU12" i="15"/>
  <c r="AU5" i="73"/>
  <c r="AV16" i="6"/>
  <c r="AV18" i="6"/>
  <c r="AV17" i="6"/>
  <c r="AV15" i="6"/>
  <c r="AV7" i="6"/>
  <c r="AV8" i="35"/>
  <c r="AV50" i="36"/>
  <c r="AV19" i="36" s="1"/>
  <c r="AY57" i="59" s="1"/>
  <c r="AV18" i="36"/>
  <c r="AY56" i="59" s="1"/>
  <c r="AY49" i="59"/>
  <c r="AV33" i="35"/>
  <c r="AV37" i="35" s="1"/>
  <c r="AV41" i="35"/>
  <c r="AV49" i="35" s="1"/>
  <c r="AV45" i="36"/>
  <c r="AV42" i="36"/>
  <c r="AY54" i="59"/>
  <c r="AX44" i="59"/>
  <c r="AV12" i="49"/>
  <c r="AV18" i="49"/>
  <c r="AV13" i="36"/>
  <c r="AY40" i="59" s="1"/>
  <c r="AU48" i="35"/>
  <c r="AU49" i="35" s="1"/>
  <c r="AU28" i="28"/>
  <c r="AU466" i="28"/>
  <c r="AU28" i="21"/>
  <c r="AU33" i="36"/>
  <c r="AU34" i="36" s="1"/>
  <c r="AU35" i="36" s="1"/>
  <c r="AU36" i="36" s="1"/>
  <c r="AU30" i="36" s="1"/>
  <c r="AX80" i="59" s="1"/>
  <c r="AU38" i="36"/>
  <c r="AU14" i="35"/>
  <c r="AU11" i="35"/>
  <c r="AU10" i="6" s="1"/>
  <c r="AU8" i="6"/>
  <c r="AV15" i="35"/>
  <c r="AY6" i="59"/>
  <c r="AV474" i="28"/>
  <c r="AV457" i="28"/>
  <c r="AV84" i="28"/>
  <c r="AV61" i="28"/>
  <c r="AV62" i="28" s="1"/>
  <c r="AU73" i="28"/>
  <c r="AU468" i="28" s="1"/>
  <c r="AU470" i="28"/>
  <c r="AV458" i="28"/>
  <c r="AV466" i="28"/>
  <c r="AV465" i="28"/>
  <c r="AV477" i="28"/>
  <c r="AU69" i="28"/>
  <c r="AU457" i="28" s="1"/>
  <c r="AV452" i="28"/>
  <c r="AV473" i="28"/>
  <c r="AV451" i="28"/>
  <c r="AU216" i="28"/>
  <c r="AU58" i="28"/>
  <c r="AU458" i="28"/>
  <c r="AV56" i="28"/>
  <c r="AU117" i="73"/>
  <c r="AU39" i="36"/>
  <c r="AU15" i="21"/>
  <c r="AV20" i="21"/>
  <c r="AU13" i="35"/>
  <c r="AU33" i="35"/>
  <c r="AU37" i="35" s="1"/>
  <c r="AV95" i="50" s="1"/>
  <c r="AV93" i="50" s="1"/>
  <c r="AV1" i="35"/>
  <c r="AV21" i="35" s="1"/>
  <c r="AV26" i="9" s="1"/>
  <c r="AR1" i="35"/>
  <c r="AU15" i="35" l="1"/>
  <c r="AU119" i="90"/>
  <c r="AW95" i="50"/>
  <c r="AW93" i="50" s="1"/>
  <c r="AW79" i="83"/>
  <c r="AU13" i="15"/>
  <c r="AV189" i="6"/>
  <c r="AV194" i="6"/>
  <c r="AV19" i="6"/>
  <c r="AV84" i="6" s="1"/>
  <c r="AV164" i="6"/>
  <c r="AV168" i="6"/>
  <c r="AV25" i="36"/>
  <c r="AY76" i="59" s="1"/>
  <c r="AV14" i="49"/>
  <c r="AV15" i="49" s="1"/>
  <c r="AU55" i="35"/>
  <c r="AU33" i="28"/>
  <c r="AU50" i="28"/>
  <c r="AU462" i="28"/>
  <c r="AU469" i="28"/>
  <c r="AV478" i="28"/>
  <c r="AU465" i="28"/>
  <c r="AU464" i="28"/>
  <c r="AU65" i="28"/>
  <c r="AV55" i="35"/>
  <c r="AH3" i="8"/>
  <c r="AD3" i="8"/>
  <c r="AU123" i="90" l="1"/>
  <c r="AW77" i="83"/>
  <c r="AV81" i="6"/>
  <c r="AV39" i="6"/>
  <c r="AV38" i="6"/>
  <c r="AV37" i="6"/>
  <c r="AV40" i="6"/>
  <c r="AU55" i="28"/>
  <c r="AU448" i="28"/>
  <c r="AU61" i="28"/>
  <c r="AV16" i="49"/>
  <c r="AU461" i="28"/>
  <c r="AU460" i="28"/>
  <c r="AV41" i="6" l="1"/>
  <c r="AU77" i="28"/>
  <c r="AU62" i="28"/>
  <c r="AU474" i="28"/>
  <c r="AU452" i="28"/>
  <c r="AU451" i="28"/>
  <c r="AU477" i="28"/>
  <c r="AV19" i="49"/>
  <c r="AU478" i="28" l="1"/>
  <c r="AU473" i="28"/>
  <c r="AU81" i="28"/>
  <c r="AU472" i="28"/>
  <c r="AV20" i="49"/>
  <c r="AS142" i="45"/>
  <c r="AR142" i="45"/>
  <c r="AM142" i="45"/>
  <c r="AL142" i="45"/>
  <c r="AI142" i="45"/>
  <c r="AH142" i="45"/>
  <c r="AE142" i="45"/>
  <c r="AD142" i="45"/>
  <c r="M142" i="45"/>
  <c r="L142" i="45"/>
  <c r="G142" i="45"/>
  <c r="F142" i="45"/>
  <c r="AR77" i="11"/>
  <c r="AQ77" i="11"/>
  <c r="AL77" i="11"/>
  <c r="AK77" i="11"/>
  <c r="AH77" i="11"/>
  <c r="AG77" i="11"/>
  <c r="AD77" i="11"/>
  <c r="AC77" i="11"/>
  <c r="F77" i="11"/>
  <c r="E77" i="11"/>
  <c r="AR176" i="10"/>
  <c r="AQ176" i="10"/>
  <c r="AL176" i="10"/>
  <c r="AK176" i="10"/>
  <c r="AH176" i="10"/>
  <c r="AG176" i="10"/>
  <c r="AD176" i="10"/>
  <c r="AC176" i="10"/>
  <c r="F176" i="10"/>
  <c r="E176" i="10"/>
  <c r="AS70" i="83" l="1"/>
  <c r="BC70" i="83" s="1"/>
  <c r="AS71" i="83"/>
  <c r="BC71" i="83" s="1"/>
  <c r="AS72" i="83"/>
  <c r="BC72" i="83" s="1"/>
  <c r="AS73" i="83"/>
  <c r="BC73" i="83" s="1"/>
  <c r="AS74" i="83"/>
  <c r="BC74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2" i="83"/>
  <c r="BC62" i="83" s="1"/>
  <c r="AS63" i="83"/>
  <c r="BC63" i="83" s="1"/>
  <c r="AS65" i="83"/>
  <c r="BC65" i="83" s="1"/>
  <c r="AS66" i="83"/>
  <c r="BC66" i="83" s="1"/>
  <c r="AS67" i="83"/>
  <c r="BC67" i="83" s="1"/>
  <c r="AS52" i="83"/>
  <c r="BC52" i="83" s="1"/>
  <c r="AS48" i="83"/>
  <c r="BC48" i="83" s="1"/>
  <c r="AS50" i="83"/>
  <c r="BC50" i="83" s="1"/>
  <c r="AS46" i="83"/>
  <c r="BC46" i="83" s="1"/>
  <c r="AS40" i="83"/>
  <c r="BC40" i="83" s="1"/>
  <c r="AS41" i="83"/>
  <c r="BC41" i="83" s="1"/>
  <c r="AS42" i="83"/>
  <c r="BC42" i="83" s="1"/>
  <c r="AS43" i="83"/>
  <c r="BC43" i="83" s="1"/>
  <c r="AS44" i="83"/>
  <c r="BC44" i="83" s="1"/>
  <c r="AS39" i="83"/>
  <c r="BC39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30" i="83"/>
  <c r="BC30" i="83" s="1"/>
  <c r="AS31" i="83"/>
  <c r="BC31" i="83" s="1"/>
  <c r="AS33" i="83"/>
  <c r="BC33" i="83" s="1"/>
  <c r="AS34" i="83"/>
  <c r="BC34" i="83" s="1"/>
  <c r="AS35" i="83"/>
  <c r="BC35" i="83" s="1"/>
  <c r="AS36" i="83"/>
  <c r="BC36" i="83" s="1"/>
  <c r="AS37" i="83"/>
  <c r="BC37" i="83" s="1"/>
  <c r="AS4" i="83"/>
  <c r="BC4" i="83" s="1"/>
  <c r="BC45" i="83" l="1"/>
  <c r="BC51" i="83"/>
  <c r="BC75" i="83"/>
  <c r="AS75" i="83"/>
  <c r="AS51" i="83"/>
  <c r="AS45" i="83"/>
  <c r="AQ30" i="15" l="1"/>
  <c r="AQ29" i="15"/>
  <c r="AQ28" i="15"/>
  <c r="AQ24" i="15"/>
  <c r="AQ23" i="15"/>
  <c r="AQ22" i="15"/>
  <c r="AQ21" i="15"/>
  <c r="AQ20" i="15"/>
  <c r="AP18" i="15"/>
  <c r="AQ17" i="15"/>
  <c r="AQ14" i="15"/>
  <c r="AP11" i="15"/>
  <c r="AP12" i="15" s="1"/>
  <c r="AQ10" i="15"/>
  <c r="AQ9" i="15"/>
  <c r="AP9" i="15"/>
  <c r="AQ8" i="15"/>
  <c r="AP8" i="15"/>
  <c r="AQ7" i="15"/>
  <c r="AQ6" i="15"/>
  <c r="AQ5" i="15"/>
  <c r="AR103" i="9"/>
  <c r="AQ37" i="27"/>
  <c r="AQ35" i="27"/>
  <c r="AQ27" i="27"/>
  <c r="AQ29" i="27"/>
  <c r="AQ28" i="27"/>
  <c r="AQ20" i="27"/>
  <c r="AQ19" i="27"/>
  <c r="AQ18" i="27"/>
  <c r="AQ31" i="15" l="1"/>
  <c r="AQ35" i="15" s="1"/>
  <c r="AQ15" i="15" s="1"/>
  <c r="AQ16" i="15" s="1"/>
  <c r="AP39" i="27"/>
  <c r="AQ36" i="27"/>
  <c r="AQ39" i="27" s="1"/>
  <c r="AP33" i="27"/>
  <c r="AQ26" i="27"/>
  <c r="AQ33" i="27" s="1"/>
  <c r="AP24" i="27"/>
  <c r="AQ21" i="27"/>
  <c r="AQ24" i="27"/>
  <c r="AQ114" i="26" l="1"/>
  <c r="AP112" i="26"/>
  <c r="AP110" i="26"/>
  <c r="AP108" i="26"/>
  <c r="AP106" i="26"/>
  <c r="AP104" i="26"/>
  <c r="AP102" i="26"/>
  <c r="AP100" i="26"/>
  <c r="AP98" i="26"/>
  <c r="AQ94" i="26"/>
  <c r="AQ83" i="26"/>
  <c r="AQ82" i="26"/>
  <c r="AP80" i="26"/>
  <c r="AP78" i="26"/>
  <c r="AP85" i="26" s="1"/>
  <c r="AP94" i="26" s="1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Q57" i="26" s="1"/>
  <c r="AP48" i="26"/>
  <c r="AP50" i="26" s="1"/>
  <c r="AQ45" i="26"/>
  <c r="AP43" i="26"/>
  <c r="AP41" i="26"/>
  <c r="AP39" i="26"/>
  <c r="AP37" i="26"/>
  <c r="AP35" i="26"/>
  <c r="AP33" i="26"/>
  <c r="AP31" i="26"/>
  <c r="AP29" i="26"/>
  <c r="AP27" i="26"/>
  <c r="AP25" i="26"/>
  <c r="AP23" i="26"/>
  <c r="AP21" i="26"/>
  <c r="AP17" i="26"/>
  <c r="AP15" i="26"/>
  <c r="AQ12" i="26"/>
  <c r="AQ18" i="26" s="1"/>
  <c r="AP11" i="26"/>
  <c r="AP9" i="26"/>
  <c r="AP45" i="26" l="1"/>
  <c r="AP114" i="26"/>
  <c r="AP82" i="26"/>
  <c r="AP83" i="26"/>
  <c r="AP75" i="26"/>
  <c r="AP12" i="26"/>
  <c r="AP18" i="26" s="1"/>
  <c r="AP57" i="26"/>
  <c r="AP51" i="26"/>
  <c r="AP56" i="26"/>
  <c r="AQ56" i="26"/>
  <c r="AQ13" i="26"/>
  <c r="AQ19" i="26"/>
  <c r="AQ51" i="26"/>
  <c r="AP19" i="26" l="1"/>
  <c r="AP13" i="26"/>
  <c r="AP117" i="17" l="1"/>
  <c r="AP115" i="17"/>
  <c r="AP119" i="17" s="1"/>
  <c r="AQ87" i="17"/>
  <c r="AP87" i="17"/>
  <c r="AQ86" i="17"/>
  <c r="AP86" i="17"/>
  <c r="AQ85" i="17"/>
  <c r="AP85" i="17"/>
  <c r="AQ84" i="17"/>
  <c r="AP84" i="17"/>
  <c r="AQ83" i="17"/>
  <c r="AP83" i="17"/>
  <c r="AQ79" i="17"/>
  <c r="AP79" i="17"/>
  <c r="AQ67" i="17"/>
  <c r="AQ69" i="17" s="1"/>
  <c r="AP67" i="17"/>
  <c r="AP69" i="17" s="1"/>
  <c r="AP61" i="17"/>
  <c r="AQ59" i="17"/>
  <c r="AQ60" i="17" s="1"/>
  <c r="AP58" i="17"/>
  <c r="AP57" i="17"/>
  <c r="AP55" i="17"/>
  <c r="AQ52" i="17"/>
  <c r="AQ53" i="17" s="1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P21" i="17"/>
  <c r="AP19" i="17"/>
  <c r="AP18" i="17"/>
  <c r="AP22" i="17" s="1"/>
  <c r="AP31" i="17" s="1"/>
  <c r="AP16" i="17"/>
  <c r="AP30" i="17" s="1"/>
  <c r="AP15" i="17"/>
  <c r="AQ14" i="17"/>
  <c r="AQ12" i="17"/>
  <c r="AQ9" i="17"/>
  <c r="AP9" i="17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U15" i="38"/>
  <c r="AU14" i="38"/>
  <c r="AU13" i="38"/>
  <c r="BE13" i="38" s="1"/>
  <c r="AU12" i="38"/>
  <c r="BE12" i="38" s="1"/>
  <c r="AU11" i="38"/>
  <c r="AU10" i="38"/>
  <c r="AU9" i="38"/>
  <c r="AU8" i="38"/>
  <c r="AU7" i="38"/>
  <c r="AU6" i="38" l="1"/>
  <c r="AU16" i="38" s="1"/>
  <c r="AQ116" i="17"/>
  <c r="AU19" i="38"/>
  <c r="AQ13" i="17"/>
  <c r="AQ15" i="17" s="1"/>
  <c r="AP33" i="17"/>
  <c r="AQ117" i="17"/>
  <c r="AQ11" i="17"/>
  <c r="AQ62" i="17"/>
  <c r="AQ33" i="17"/>
  <c r="AP59" i="17"/>
  <c r="AP60" i="17" s="1"/>
  <c r="AP50" i="17"/>
  <c r="AP114" i="17" s="1"/>
  <c r="AP11" i="17"/>
  <c r="AP116" i="17"/>
  <c r="AQ32" i="17"/>
  <c r="AQ31" i="17"/>
  <c r="AQ30" i="17"/>
  <c r="AQ34" i="17"/>
  <c r="AP34" i="17"/>
  <c r="AQ50" i="17"/>
  <c r="AP32" i="17"/>
  <c r="AP62" i="17"/>
  <c r="AP118" i="17" l="1"/>
  <c r="AP54" i="17"/>
  <c r="AQ51" i="17"/>
  <c r="AQ54" i="17"/>
  <c r="AQ114" i="17"/>
  <c r="AQ118" i="17" s="1"/>
  <c r="AQ55" i="17" l="1"/>
  <c r="AQ115" i="17"/>
  <c r="AQ119" i="17" s="1"/>
  <c r="AT284" i="28" l="1"/>
  <c r="AX284" i="28" s="1"/>
  <c r="BF284" i="28" s="1"/>
  <c r="AT386" i="28"/>
  <c r="AX386" i="28" s="1"/>
  <c r="BF386" i="28" s="1"/>
  <c r="AT381" i="28"/>
  <c r="AX381" i="28" s="1"/>
  <c r="BF381" i="28" s="1"/>
  <c r="AN152" i="28"/>
  <c r="BD152" i="28" s="1"/>
  <c r="AP152" i="28"/>
  <c r="AT152" i="28" s="1"/>
  <c r="AX152" i="28" s="1"/>
  <c r="BF152" i="28" s="1"/>
  <c r="AV6" i="38" l="1"/>
  <c r="AR28" i="22" l="1"/>
  <c r="AR24" i="22"/>
  <c r="AR26" i="22" s="1"/>
  <c r="AR23" i="22"/>
  <c r="AR14" i="22"/>
  <c r="AR10" i="22"/>
  <c r="AR12" i="22" s="1"/>
  <c r="AR9" i="22"/>
  <c r="AR95" i="9" l="1"/>
  <c r="AU65" i="45" l="1"/>
  <c r="AY65" i="45" s="1"/>
  <c r="AL141" i="10"/>
  <c r="AL65" i="10"/>
  <c r="AT75" i="10"/>
  <c r="AX75" i="10" s="1"/>
  <c r="BF75" i="10" s="1"/>
  <c r="BB130" i="10"/>
  <c r="AR83" i="10"/>
  <c r="AT83" i="10" s="1"/>
  <c r="AX83" i="10" s="1"/>
  <c r="BF83" i="10" s="1"/>
  <c r="AR73" i="10"/>
  <c r="BB73" i="10" s="1"/>
  <c r="AR30" i="10"/>
  <c r="AR38" i="10"/>
  <c r="AR23" i="10"/>
  <c r="AR22" i="10"/>
  <c r="AR37" i="10"/>
  <c r="AR58" i="10"/>
  <c r="BB58" i="10" s="1"/>
  <c r="AR53" i="10"/>
  <c r="BB53" i="10" s="1"/>
  <c r="BB38" i="10" l="1"/>
  <c r="AS23" i="83"/>
  <c r="BB22" i="10"/>
  <c r="AS27" i="83"/>
  <c r="BC27" i="83" s="1"/>
  <c r="BB23" i="10"/>
  <c r="AS29" i="83"/>
  <c r="BC29" i="83" s="1"/>
  <c r="BB30" i="10"/>
  <c r="AS9" i="83"/>
  <c r="BB37" i="10"/>
  <c r="AS24" i="83"/>
  <c r="BC24" i="83" s="1"/>
  <c r="BB83" i="10"/>
  <c r="BD83" i="10" s="1"/>
  <c r="AS34" i="50"/>
  <c r="BC34" i="50" s="1"/>
  <c r="AS32" i="83"/>
  <c r="BC32" i="83" s="1"/>
  <c r="BG65" i="45"/>
  <c r="AV57" i="38"/>
  <c r="AV58" i="38"/>
  <c r="AV59" i="38"/>
  <c r="AV60" i="38"/>
  <c r="AV61" i="38"/>
  <c r="AV63" i="38"/>
  <c r="AV64" i="38"/>
  <c r="AV69" i="38"/>
  <c r="AV70" i="38"/>
  <c r="AV71" i="38"/>
  <c r="AV72" i="38"/>
  <c r="AV73" i="38"/>
  <c r="AV74" i="38"/>
  <c r="AV75" i="38"/>
  <c r="AV76" i="38"/>
  <c r="AV77" i="38"/>
  <c r="AV78" i="38"/>
  <c r="AV79" i="38"/>
  <c r="AV80" i="38"/>
  <c r="AV81" i="38"/>
  <c r="AV82" i="38"/>
  <c r="AV85" i="38"/>
  <c r="AV86" i="38"/>
  <c r="AV87" i="38"/>
  <c r="AV88" i="38"/>
  <c r="AV91" i="38"/>
  <c r="AV93" i="38"/>
  <c r="AV94" i="38"/>
  <c r="AV95" i="38"/>
  <c r="AV96" i="38"/>
  <c r="BC9" i="83" l="1"/>
  <c r="AS38" i="83"/>
  <c r="BC23" i="83"/>
  <c r="BE23" i="83" s="1"/>
  <c r="AU23" i="83"/>
  <c r="AY23" i="83" s="1"/>
  <c r="BG23" i="83" s="1"/>
  <c r="AS41" i="50"/>
  <c r="BC41" i="50" s="1"/>
  <c r="AS42" i="50"/>
  <c r="BC42" i="50" s="1"/>
  <c r="AS43" i="50"/>
  <c r="BC43" i="50" s="1"/>
  <c r="AS44" i="50"/>
  <c r="BC44" i="50" s="1"/>
  <c r="AS45" i="50"/>
  <c r="BC45" i="50" s="1"/>
  <c r="AS46" i="50"/>
  <c r="BC46" i="50" s="1"/>
  <c r="AS40" i="50"/>
  <c r="BC40" i="50" s="1"/>
  <c r="AS5" i="50"/>
  <c r="BC5" i="50" s="1"/>
  <c r="AS6" i="50"/>
  <c r="BC6" i="50" s="1"/>
  <c r="AS7" i="50"/>
  <c r="BC7" i="50" s="1"/>
  <c r="AS8" i="50"/>
  <c r="BC8" i="50" s="1"/>
  <c r="AS9" i="50"/>
  <c r="BC9" i="50" s="1"/>
  <c r="AS10" i="50"/>
  <c r="BC10" i="50" s="1"/>
  <c r="AS11" i="50"/>
  <c r="BC11" i="50" s="1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BC23" i="50" s="1"/>
  <c r="AS24" i="50"/>
  <c r="AS25" i="50"/>
  <c r="BC25" i="50" s="1"/>
  <c r="AS26" i="50"/>
  <c r="BC26" i="50" s="1"/>
  <c r="AS27" i="50"/>
  <c r="BC27" i="50" s="1"/>
  <c r="AS29" i="50"/>
  <c r="BC29" i="50" s="1"/>
  <c r="AS30" i="50"/>
  <c r="BC30" i="50" s="1"/>
  <c r="AS31" i="50"/>
  <c r="BC31" i="50" s="1"/>
  <c r="AS4" i="50"/>
  <c r="BC4" i="50" s="1"/>
  <c r="AT131" i="50"/>
  <c r="AT113" i="50"/>
  <c r="AT101" i="50"/>
  <c r="AT91" i="50"/>
  <c r="AT79" i="50"/>
  <c r="AT55" i="50"/>
  <c r="AT47" i="50"/>
  <c r="AT39" i="50"/>
  <c r="AS140" i="50"/>
  <c r="BC140" i="50" s="1"/>
  <c r="AS138" i="50"/>
  <c r="BC138" i="50" s="1"/>
  <c r="AS137" i="50"/>
  <c r="BC137" i="50" s="1"/>
  <c r="AS133" i="50"/>
  <c r="BC133" i="50" s="1"/>
  <c r="AR131" i="50"/>
  <c r="AR129" i="50"/>
  <c r="AR128" i="50"/>
  <c r="AR127" i="50"/>
  <c r="AS123" i="50"/>
  <c r="BC123" i="50" s="1"/>
  <c r="AR113" i="50"/>
  <c r="AS111" i="50"/>
  <c r="BC111" i="50" s="1"/>
  <c r="AR111" i="50"/>
  <c r="AS110" i="50"/>
  <c r="BC110" i="50" s="1"/>
  <c r="AR110" i="50"/>
  <c r="AS109" i="50"/>
  <c r="BC109" i="50" s="1"/>
  <c r="AR109" i="50"/>
  <c r="AR101" i="50"/>
  <c r="AS100" i="50"/>
  <c r="AS99" i="50"/>
  <c r="AS91" i="50"/>
  <c r="AR91" i="50"/>
  <c r="AS79" i="50"/>
  <c r="AR79" i="50"/>
  <c r="AR55" i="50"/>
  <c r="AS54" i="50"/>
  <c r="BC54" i="50" s="1"/>
  <c r="AS52" i="50"/>
  <c r="BC52" i="50" s="1"/>
  <c r="AS51" i="50"/>
  <c r="BC51" i="50" s="1"/>
  <c r="AS50" i="50"/>
  <c r="BC50" i="50" s="1"/>
  <c r="AS49" i="50"/>
  <c r="BC49" i="50" s="1"/>
  <c r="AS48" i="50"/>
  <c r="BC48" i="50" s="1"/>
  <c r="AR47" i="50"/>
  <c r="AR39" i="50"/>
  <c r="AQ74" i="90"/>
  <c r="AQ78" i="90"/>
  <c r="AQ82" i="90"/>
  <c r="BC38" i="83" l="1"/>
  <c r="AQ71" i="90"/>
  <c r="AQ86" i="90"/>
  <c r="AQ73" i="90"/>
  <c r="AQ72" i="90"/>
  <c r="AQ83" i="90"/>
  <c r="AQ77" i="90"/>
  <c r="AQ76" i="90"/>
  <c r="AQ70" i="90"/>
  <c r="AQ81" i="90"/>
  <c r="AQ84" i="90"/>
  <c r="AQ80" i="90"/>
  <c r="AQ68" i="90"/>
  <c r="AQ79" i="90"/>
  <c r="AQ87" i="90"/>
  <c r="AQ75" i="90"/>
  <c r="AQ69" i="90"/>
  <c r="BC47" i="50"/>
  <c r="BC55" i="50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99" i="50"/>
  <c r="AY99" i="50"/>
  <c r="AU100" i="50"/>
  <c r="AY100" i="50"/>
  <c r="AS124" i="50"/>
  <c r="BC124" i="50" s="1"/>
  <c r="BC125" i="50" s="1"/>
  <c r="AS68" i="83"/>
  <c r="AR102" i="50"/>
  <c r="AT102" i="50"/>
  <c r="AR92" i="50"/>
  <c r="AT92" i="50"/>
  <c r="AS55" i="50"/>
  <c r="AS120" i="50" s="1"/>
  <c r="BC120" i="50" s="1"/>
  <c r="AS112" i="50"/>
  <c r="BC112" i="50" s="1"/>
  <c r="AS47" i="50"/>
  <c r="AS116" i="50" s="1"/>
  <c r="BC116" i="50" s="1"/>
  <c r="AS39" i="50"/>
  <c r="AS106" i="50" s="1"/>
  <c r="BC106" i="50" s="1"/>
  <c r="AS134" i="50"/>
  <c r="BC134" i="50" s="1"/>
  <c r="BC135" i="50" s="1"/>
  <c r="AS157" i="45"/>
  <c r="AS156" i="45"/>
  <c r="AS154" i="45"/>
  <c r="AS148" i="45"/>
  <c r="AS155" i="45" s="1"/>
  <c r="AS143" i="45"/>
  <c r="AR143" i="45"/>
  <c r="AS141" i="45"/>
  <c r="AR141" i="45"/>
  <c r="AS140" i="45"/>
  <c r="AR140" i="45"/>
  <c r="AS138" i="45"/>
  <c r="AS136" i="45"/>
  <c r="AR136" i="45"/>
  <c r="AS134" i="45"/>
  <c r="AR134" i="45"/>
  <c r="AS131" i="45"/>
  <c r="AS132" i="45" s="1"/>
  <c r="AR131" i="45"/>
  <c r="AR132" i="45" s="1"/>
  <c r="AS109" i="45"/>
  <c r="AS108" i="45"/>
  <c r="AR108" i="45"/>
  <c r="AR144" i="45" s="1"/>
  <c r="AS107" i="45"/>
  <c r="AR91" i="11"/>
  <c r="AR89" i="11"/>
  <c r="AR83" i="11"/>
  <c r="AR84" i="11" s="1"/>
  <c r="AR78" i="11"/>
  <c r="AQ78" i="11"/>
  <c r="AR76" i="11"/>
  <c r="AQ76" i="11"/>
  <c r="AR75" i="11"/>
  <c r="AQ75" i="11"/>
  <c r="AR73" i="11"/>
  <c r="AR71" i="11"/>
  <c r="AQ71" i="11"/>
  <c r="AR69" i="11"/>
  <c r="AQ69" i="11"/>
  <c r="AR66" i="11"/>
  <c r="AR67" i="11" s="1"/>
  <c r="AQ66" i="11"/>
  <c r="AQ67" i="11" s="1"/>
  <c r="AR64" i="11"/>
  <c r="AR59" i="11"/>
  <c r="AR57" i="11"/>
  <c r="AR93" i="11" s="1"/>
  <c r="AR56" i="11"/>
  <c r="AS115" i="50" s="1"/>
  <c r="BC115" i="50" s="1"/>
  <c r="AQ56" i="11"/>
  <c r="AQ55" i="11" s="1"/>
  <c r="AR55" i="11"/>
  <c r="AR92" i="11" s="1"/>
  <c r="AR190" i="10"/>
  <c r="AR188" i="10"/>
  <c r="AR182" i="10"/>
  <c r="AR183" i="10" s="1"/>
  <c r="AR177" i="10"/>
  <c r="AQ177" i="10"/>
  <c r="AR175" i="10"/>
  <c r="AQ175" i="10"/>
  <c r="AR174" i="10"/>
  <c r="AQ174" i="10"/>
  <c r="AR172" i="10"/>
  <c r="AR170" i="10"/>
  <c r="AQ170" i="10"/>
  <c r="AR168" i="10"/>
  <c r="AQ168" i="10"/>
  <c r="AR165" i="10"/>
  <c r="AR166" i="10" s="1"/>
  <c r="AQ165" i="10"/>
  <c r="AQ166" i="10" s="1"/>
  <c r="AR155" i="10"/>
  <c r="AR192" i="10" s="1"/>
  <c r="AR153" i="10"/>
  <c r="AR191" i="10" s="1"/>
  <c r="AR154" i="10"/>
  <c r="AS105" i="50" s="1"/>
  <c r="BC105" i="50" s="1"/>
  <c r="AR200" i="10"/>
  <c r="AS125" i="50" l="1"/>
  <c r="AR74" i="11"/>
  <c r="AS139" i="45"/>
  <c r="AS126" i="50"/>
  <c r="BC126" i="50" s="1"/>
  <c r="AR173" i="10"/>
  <c r="AS158" i="45"/>
  <c r="AS159" i="45"/>
  <c r="BC117" i="50"/>
  <c r="AR61" i="11"/>
  <c r="BB64" i="11"/>
  <c r="AS69" i="83"/>
  <c r="AS76" i="83" s="1"/>
  <c r="BC76" i="83" s="1"/>
  <c r="BC68" i="83"/>
  <c r="AS16" i="61"/>
  <c r="BC107" i="50"/>
  <c r="BC39" i="50"/>
  <c r="AS150" i="45"/>
  <c r="AR123" i="45"/>
  <c r="AR107" i="45"/>
  <c r="AR124" i="45"/>
  <c r="AS124" i="45"/>
  <c r="AS125" i="45" s="1"/>
  <c r="AS119" i="50"/>
  <c r="BC119" i="50" s="1"/>
  <c r="BC121" i="50" s="1"/>
  <c r="AR90" i="11"/>
  <c r="AR96" i="11" s="1"/>
  <c r="AR85" i="11"/>
  <c r="AR60" i="11"/>
  <c r="AR162" i="10"/>
  <c r="AR163" i="10" s="1"/>
  <c r="AS117" i="50"/>
  <c r="AS107" i="50"/>
  <c r="AS108" i="50"/>
  <c r="BC108" i="50" s="1"/>
  <c r="BC113" i="50" s="1"/>
  <c r="AS92" i="50"/>
  <c r="AS136" i="50"/>
  <c r="BC136" i="50" s="1"/>
  <c r="AS135" i="50"/>
  <c r="AS149" i="45"/>
  <c r="AS123" i="45"/>
  <c r="AS144" i="45"/>
  <c r="AR94" i="11"/>
  <c r="AQ58" i="11"/>
  <c r="AQ79" i="11"/>
  <c r="AQ98" i="11"/>
  <c r="AR58" i="11"/>
  <c r="AR79" i="11"/>
  <c r="AR189" i="10"/>
  <c r="AR195" i="10" s="1"/>
  <c r="AR184" i="10"/>
  <c r="AR193" i="10"/>
  <c r="AR201" i="10"/>
  <c r="AR161" i="10"/>
  <c r="AR178" i="10"/>
  <c r="AR197" i="10"/>
  <c r="AS160" i="45" l="1"/>
  <c r="AS162" i="45"/>
  <c r="BB61" i="11"/>
  <c r="BC69" i="83"/>
  <c r="BB162" i="10"/>
  <c r="BC92" i="50"/>
  <c r="AS121" i="50"/>
  <c r="AS113" i="50"/>
  <c r="AT159" i="9" l="1"/>
  <c r="AT158" i="9"/>
  <c r="AT157" i="9"/>
  <c r="AQ104" i="9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Q51" i="9"/>
  <c r="AQ47" i="9"/>
  <c r="AR46" i="9"/>
  <c r="AR36" i="9"/>
  <c r="AR35" i="9"/>
  <c r="AR47" i="9" s="1"/>
  <c r="AR34" i="9"/>
  <c r="AR31" i="9"/>
  <c r="AR25" i="9"/>
  <c r="AQ24" i="9"/>
  <c r="AQ22" i="9"/>
  <c r="AR19" i="9"/>
  <c r="AR10" i="9"/>
  <c r="AR5" i="9"/>
  <c r="AR109" i="8"/>
  <c r="AR111" i="8" s="1"/>
  <c r="AR94" i="8"/>
  <c r="AR91" i="8"/>
  <c r="AR89" i="8"/>
  <c r="AQ89" i="8"/>
  <c r="AR88" i="8"/>
  <c r="AQ88" i="8"/>
  <c r="AQ87" i="8"/>
  <c r="AR86" i="8"/>
  <c r="AQ84" i="8"/>
  <c r="AR82" i="8"/>
  <c r="AQ82" i="8"/>
  <c r="AQ81" i="8"/>
  <c r="AR80" i="8"/>
  <c r="AR76" i="8"/>
  <c r="AQ75" i="8"/>
  <c r="AQ74" i="8"/>
  <c r="AQ73" i="8"/>
  <c r="AQ72" i="8"/>
  <c r="AQ71" i="8"/>
  <c r="AR68" i="8"/>
  <c r="AR69" i="8" s="1"/>
  <c r="AR66" i="8"/>
  <c r="AR67" i="8" s="1"/>
  <c r="AR64" i="8"/>
  <c r="AR65" i="8" s="1"/>
  <c r="AR10" i="49" s="1"/>
  <c r="AR61" i="8"/>
  <c r="AR58" i="8"/>
  <c r="AR62" i="8" s="1"/>
  <c r="AQ52" i="8"/>
  <c r="AR49" i="8"/>
  <c r="AR50" i="8" s="1"/>
  <c r="AQ49" i="8"/>
  <c r="AQ47" i="8"/>
  <c r="AR46" i="8"/>
  <c r="AQ46" i="8"/>
  <c r="AQ45" i="8"/>
  <c r="AR44" i="8"/>
  <c r="AQ44" i="8"/>
  <c r="AQ43" i="8"/>
  <c r="AQ41" i="8"/>
  <c r="AR40" i="8"/>
  <c r="AQ40" i="8"/>
  <c r="AQ39" i="8"/>
  <c r="AQ42" i="8" s="1"/>
  <c r="AR26" i="8"/>
  <c r="AR17" i="8"/>
  <c r="AQ17" i="8"/>
  <c r="AR15" i="8"/>
  <c r="AQ15" i="8"/>
  <c r="AR14" i="8"/>
  <c r="AQ14" i="8"/>
  <c r="AR13" i="8"/>
  <c r="AQ13" i="8"/>
  <c r="AR45" i="8"/>
  <c r="AQ113" i="7"/>
  <c r="AQ112" i="7"/>
  <c r="AQ111" i="7"/>
  <c r="AQ110" i="7"/>
  <c r="AQ109" i="7"/>
  <c r="AQ108" i="7"/>
  <c r="AQ107" i="7"/>
  <c r="AQ106" i="7"/>
  <c r="AR84" i="7"/>
  <c r="AQ84" i="7"/>
  <c r="AR82" i="7"/>
  <c r="AR73" i="7"/>
  <c r="AQ73" i="7"/>
  <c r="AR69" i="7"/>
  <c r="AR71" i="7" s="1"/>
  <c r="AQ69" i="7"/>
  <c r="AQ71" i="7" s="1"/>
  <c r="AR65" i="7"/>
  <c r="AR35" i="7" s="1"/>
  <c r="AR102" i="7" s="1"/>
  <c r="AQ65" i="7"/>
  <c r="AQ59" i="7" s="1"/>
  <c r="AQ23" i="7"/>
  <c r="AR20" i="7"/>
  <c r="AR39" i="7" s="1"/>
  <c r="AR49" i="7" s="1"/>
  <c r="AQ20" i="7"/>
  <c r="AQ39" i="7" s="1"/>
  <c r="AQ49" i="7" s="1"/>
  <c r="AR21" i="39"/>
  <c r="AQ61" i="39"/>
  <c r="AQ60" i="39"/>
  <c r="AP50" i="39"/>
  <c r="AQ48" i="39"/>
  <c r="AQ47" i="39"/>
  <c r="AQ46" i="39"/>
  <c r="AP45" i="39"/>
  <c r="AQ43" i="39"/>
  <c r="AQ42" i="39"/>
  <c r="AQ8" i="39"/>
  <c r="AP8" i="39"/>
  <c r="AQ199" i="6"/>
  <c r="AR198" i="6"/>
  <c r="AQ197" i="6"/>
  <c r="AR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BB142" i="6" s="1"/>
  <c r="AR141" i="6"/>
  <c r="BB141" i="6" s="1"/>
  <c r="AR140" i="6"/>
  <c r="BB140" i="6" s="1"/>
  <c r="AQ140" i="6"/>
  <c r="BA140" i="6" s="1"/>
  <c r="AR137" i="6"/>
  <c r="BB137" i="6" s="1"/>
  <c r="AQ137" i="6"/>
  <c r="BA137" i="6" s="1"/>
  <c r="AR136" i="6"/>
  <c r="BB136" i="6" s="1"/>
  <c r="AQ136" i="6"/>
  <c r="BA136" i="6" s="1"/>
  <c r="AR135" i="6"/>
  <c r="BB135" i="6" s="1"/>
  <c r="AQ135" i="6"/>
  <c r="BA135" i="6" s="1"/>
  <c r="AR134" i="6"/>
  <c r="BB134" i="6" s="1"/>
  <c r="AQ134" i="6"/>
  <c r="BA134" i="6" s="1"/>
  <c r="AR132" i="6"/>
  <c r="BB132" i="6" s="1"/>
  <c r="AQ132" i="6"/>
  <c r="BA132" i="6" s="1"/>
  <c r="AR129" i="6"/>
  <c r="BB129" i="6" s="1"/>
  <c r="AQ129" i="6"/>
  <c r="BA129" i="6" s="1"/>
  <c r="AR128" i="6"/>
  <c r="BB128" i="6" s="1"/>
  <c r="AQ128" i="6"/>
  <c r="BA128" i="6" s="1"/>
  <c r="AR127" i="6"/>
  <c r="BB127" i="6" s="1"/>
  <c r="AQ127" i="6"/>
  <c r="BA127" i="6" s="1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Q24" i="7" l="1"/>
  <c r="AQ29" i="7"/>
  <c r="AQ94" i="7" s="1"/>
  <c r="AR25" i="7"/>
  <c r="AQ34" i="7"/>
  <c r="AQ90" i="7" s="1"/>
  <c r="AQ35" i="7"/>
  <c r="AQ102" i="7" s="1"/>
  <c r="AR28" i="7"/>
  <c r="AR93" i="7" s="1"/>
  <c r="AR22" i="7"/>
  <c r="AR87" i="7" s="1"/>
  <c r="AQ81" i="7"/>
  <c r="AQ33" i="7"/>
  <c r="AQ97" i="7" s="1"/>
  <c r="AQ25" i="7"/>
  <c r="AQ30" i="7"/>
  <c r="AQ95" i="7" s="1"/>
  <c r="AR56" i="7"/>
  <c r="AR33" i="7"/>
  <c r="AR97" i="7" s="1"/>
  <c r="AQ31" i="7"/>
  <c r="AQ98" i="7" s="1"/>
  <c r="AQ52" i="7"/>
  <c r="AQ88" i="7" s="1"/>
  <c r="AQ66" i="7"/>
  <c r="AQ74" i="7"/>
  <c r="AQ22" i="7"/>
  <c r="AQ87" i="7" s="1"/>
  <c r="AQ26" i="7"/>
  <c r="AQ91" i="7" s="1"/>
  <c r="AR31" i="7"/>
  <c r="AR98" i="7" s="1"/>
  <c r="AQ55" i="7"/>
  <c r="AQ76" i="7"/>
  <c r="AQ28" i="7"/>
  <c r="AQ93" i="7" s="1"/>
  <c r="AQ32" i="7"/>
  <c r="AQ99" i="7" s="1"/>
  <c r="AQ58" i="7"/>
  <c r="AS129" i="50"/>
  <c r="BC129" i="50" s="1"/>
  <c r="AQ89" i="90"/>
  <c r="BA89" i="90" s="1"/>
  <c r="AQ16" i="8"/>
  <c r="BA61" i="39"/>
  <c r="AV21" i="39"/>
  <c r="AP22" i="39"/>
  <c r="AQ22" i="39"/>
  <c r="BA8" i="39"/>
  <c r="BA42" i="39"/>
  <c r="BA43" i="39"/>
  <c r="BA46" i="39"/>
  <c r="BA47" i="39"/>
  <c r="BA48" i="39"/>
  <c r="AP51" i="39"/>
  <c r="BA60" i="39"/>
  <c r="AR78" i="8"/>
  <c r="AQ2" i="17"/>
  <c r="AQ2" i="26"/>
  <c r="AQ6" i="26"/>
  <c r="AR96" i="9"/>
  <c r="AQ132" i="26"/>
  <c r="AR33" i="22"/>
  <c r="AQ30" i="6"/>
  <c r="AQ25" i="6"/>
  <c r="BB138" i="6"/>
  <c r="BB133" i="6"/>
  <c r="BB139" i="6" s="1"/>
  <c r="BB143" i="6" s="1"/>
  <c r="BB206" i="6" s="1"/>
  <c r="BA133" i="6"/>
  <c r="BA138" i="6"/>
  <c r="AQ163" i="6"/>
  <c r="AQ24" i="6"/>
  <c r="AR59" i="8"/>
  <c r="AR63" i="8" s="1"/>
  <c r="AR35" i="8" s="1"/>
  <c r="AR121" i="6"/>
  <c r="AR125" i="6" s="1"/>
  <c r="AQ34" i="39"/>
  <c r="AR57" i="6"/>
  <c r="AR35" i="6"/>
  <c r="AR62" i="9"/>
  <c r="AR48" i="9"/>
  <c r="AR49" i="9" s="1"/>
  <c r="AR14" i="9"/>
  <c r="AR90" i="9"/>
  <c r="AR89" i="9"/>
  <c r="AR100" i="9"/>
  <c r="AR94" i="9"/>
  <c r="AQ18" i="15" s="1"/>
  <c r="AR83" i="7"/>
  <c r="AR59" i="7"/>
  <c r="AR101" i="7" s="1"/>
  <c r="AR53" i="7"/>
  <c r="AQ49" i="39"/>
  <c r="AR16" i="8"/>
  <c r="AR41" i="8"/>
  <c r="AR92" i="8"/>
  <c r="AR43" i="8"/>
  <c r="AR47" i="8"/>
  <c r="AQ25" i="9"/>
  <c r="AQ88" i="9" s="1"/>
  <c r="AR37" i="9"/>
  <c r="AR110" i="8"/>
  <c r="AR112" i="8" s="1"/>
  <c r="AR53" i="8" s="1"/>
  <c r="AR73" i="8"/>
  <c r="AR37" i="8"/>
  <c r="AR34" i="8"/>
  <c r="AR72" i="8"/>
  <c r="AR36" i="8"/>
  <c r="AR74" i="8"/>
  <c r="AR39" i="8"/>
  <c r="AQ54" i="7"/>
  <c r="AQ96" i="7" s="1"/>
  <c r="AQ56" i="7"/>
  <c r="AQ60" i="7"/>
  <c r="AQ27" i="7"/>
  <c r="AQ92" i="7" s="1"/>
  <c r="AQ53" i="7"/>
  <c r="AQ89" i="7" s="1"/>
  <c r="AQ57" i="7"/>
  <c r="AR23" i="7"/>
  <c r="AR29" i="7"/>
  <c r="AR94" i="7" s="1"/>
  <c r="AR32" i="7"/>
  <c r="AR99" i="7" s="1"/>
  <c r="AR57" i="7"/>
  <c r="AR81" i="7"/>
  <c r="AR26" i="7"/>
  <c r="AR91" i="7" s="1"/>
  <c r="AR54" i="7"/>
  <c r="AR96" i="7" s="1"/>
  <c r="AR60" i="7"/>
  <c r="AR67" i="7"/>
  <c r="AR76" i="7"/>
  <c r="AQ45" i="39"/>
  <c r="AR24" i="7"/>
  <c r="AR27" i="7"/>
  <c r="AR92" i="7" s="1"/>
  <c r="AR30" i="7"/>
  <c r="AR95" i="7" s="1"/>
  <c r="AR34" i="7"/>
  <c r="AR90" i="7" s="1"/>
  <c r="AR52" i="7"/>
  <c r="AR55" i="7"/>
  <c r="AR100" i="7" s="1"/>
  <c r="AR58" i="7"/>
  <c r="AR74" i="7"/>
  <c r="AP24" i="39"/>
  <c r="AQ50" i="39"/>
  <c r="AQ23" i="39"/>
  <c r="AQ121" i="6"/>
  <c r="AQ125" i="6" s="1"/>
  <c r="AQ172" i="6" s="1"/>
  <c r="AQ133" i="6"/>
  <c r="AQ138" i="6"/>
  <c r="AR138" i="6"/>
  <c r="AQ27" i="6"/>
  <c r="AQ188" i="6"/>
  <c r="AR133" i="6"/>
  <c r="AQ21" i="6"/>
  <c r="AQ103" i="6"/>
  <c r="AQ107" i="6" s="1"/>
  <c r="AQ22" i="6"/>
  <c r="AQ31" i="6"/>
  <c r="AR103" i="6"/>
  <c r="AR107" i="6" s="1"/>
  <c r="AQ28" i="6"/>
  <c r="AQ19" i="6"/>
  <c r="AQ81" i="6" s="1"/>
  <c r="AR89" i="7" l="1"/>
  <c r="AQ100" i="7"/>
  <c r="AQ26" i="6"/>
  <c r="AQ32" i="6"/>
  <c r="BA45" i="39"/>
  <c r="BA50" i="39"/>
  <c r="BA23" i="39"/>
  <c r="BA49" i="39"/>
  <c r="BA22" i="39"/>
  <c r="BA34" i="39"/>
  <c r="BD21" i="39"/>
  <c r="AR42" i="8"/>
  <c r="AR175" i="6"/>
  <c r="BB179" i="6"/>
  <c r="BB178" i="6"/>
  <c r="BB177" i="6"/>
  <c r="BB153" i="6"/>
  <c r="BB152" i="6"/>
  <c r="BB154" i="6"/>
  <c r="AR173" i="6"/>
  <c r="BA139" i="6"/>
  <c r="BA143" i="6" s="1"/>
  <c r="BA206" i="6" s="1"/>
  <c r="AR172" i="6"/>
  <c r="AR174" i="6" s="1"/>
  <c r="AR71" i="8"/>
  <c r="AR70" i="8"/>
  <c r="AR147" i="6"/>
  <c r="AR86" i="9"/>
  <c r="AR52" i="9"/>
  <c r="AR83" i="9"/>
  <c r="AR87" i="9"/>
  <c r="AR82" i="9"/>
  <c r="AR85" i="9"/>
  <c r="AR73" i="9"/>
  <c r="AR81" i="9"/>
  <c r="AR91" i="9"/>
  <c r="AR52" i="8"/>
  <c r="AR84" i="9"/>
  <c r="AR76" i="9"/>
  <c r="AR75" i="9"/>
  <c r="AR72" i="9"/>
  <c r="AR53" i="9"/>
  <c r="AR80" i="9"/>
  <c r="AR78" i="9"/>
  <c r="AQ103" i="7"/>
  <c r="AQ36" i="7"/>
  <c r="AQ51" i="7" s="1"/>
  <c r="AQ61" i="7" s="1"/>
  <c r="AR88" i="7"/>
  <c r="AR103" i="7" s="1"/>
  <c r="AR36" i="7"/>
  <c r="AR51" i="7" s="1"/>
  <c r="AQ24" i="39"/>
  <c r="AQ51" i="39"/>
  <c r="AQ175" i="6"/>
  <c r="AQ173" i="6"/>
  <c r="AQ174" i="6" s="1"/>
  <c r="AQ139" i="6"/>
  <c r="AQ143" i="6" s="1"/>
  <c r="AR139" i="6"/>
  <c r="AR143" i="6" s="1"/>
  <c r="AQ29" i="6"/>
  <c r="AQ23" i="6"/>
  <c r="AQ33" i="6"/>
  <c r="AQ150" i="6"/>
  <c r="AQ148" i="6"/>
  <c r="AQ84" i="6"/>
  <c r="AR150" i="6"/>
  <c r="AR148" i="6"/>
  <c r="AQ147" i="6"/>
  <c r="AQ34" i="6"/>
  <c r="AR197" i="6" l="1"/>
  <c r="AR206" i="6"/>
  <c r="AQ208" i="6"/>
  <c r="AQ206" i="6"/>
  <c r="BB197" i="6"/>
  <c r="BA24" i="39"/>
  <c r="BA51" i="39"/>
  <c r="AQ212" i="6"/>
  <c r="AQ203" i="6"/>
  <c r="AR149" i="6"/>
  <c r="AR199" i="6"/>
  <c r="AR77" i="9"/>
  <c r="AR74" i="9"/>
  <c r="AQ75" i="7"/>
  <c r="AR61" i="7"/>
  <c r="AR75" i="7"/>
  <c r="AQ216" i="6"/>
  <c r="AQ219" i="6" s="1"/>
  <c r="AQ207" i="6"/>
  <c r="AQ211" i="6"/>
  <c r="AQ204" i="6"/>
  <c r="AQ210" i="6"/>
  <c r="AQ213" i="6"/>
  <c r="AQ205" i="6"/>
  <c r="AQ149" i="6"/>
  <c r="AR213" i="6"/>
  <c r="AR210" i="6"/>
  <c r="AR203" i="6"/>
  <c r="AR216" i="6"/>
  <c r="AR207" i="6"/>
  <c r="AR218" i="6"/>
  <c r="AR211" i="6"/>
  <c r="AR217" i="6"/>
  <c r="AR204" i="6"/>
  <c r="AR208" i="6"/>
  <c r="AR212" i="6"/>
  <c r="AR205" i="6"/>
  <c r="AQ35" i="6"/>
  <c r="AR79" i="9" l="1"/>
  <c r="AQ214" i="6"/>
  <c r="AQ209" i="6"/>
  <c r="AQ215" i="6" s="1"/>
  <c r="AQ220" i="6" s="1"/>
  <c r="AR214" i="6"/>
  <c r="AR219" i="6"/>
  <c r="AR209" i="6"/>
  <c r="AR215" i="6" l="1"/>
  <c r="AR220" i="6" s="1"/>
  <c r="AQ479" i="28" l="1"/>
  <c r="AR436" i="28"/>
  <c r="AR432" i="28"/>
  <c r="AR447" i="28" s="1"/>
  <c r="AR400" i="28"/>
  <c r="AR392" i="28"/>
  <c r="AR471" i="28" s="1"/>
  <c r="AQ392" i="28"/>
  <c r="AR376" i="28"/>
  <c r="AR278" i="28"/>
  <c r="AR467" i="28" s="1"/>
  <c r="AQ278" i="28"/>
  <c r="AR272" i="28"/>
  <c r="AQ272" i="28"/>
  <c r="AR271" i="28"/>
  <c r="AQ271" i="28"/>
  <c r="AR232" i="28"/>
  <c r="AR463" i="28" s="1"/>
  <c r="AQ232" i="28"/>
  <c r="AR215" i="28"/>
  <c r="BB215" i="28" s="1"/>
  <c r="AR214" i="28"/>
  <c r="BB214" i="28" s="1"/>
  <c r="AR82" i="28"/>
  <c r="AR81" i="28"/>
  <c r="AR79" i="28"/>
  <c r="AR75" i="28"/>
  <c r="AR71" i="28"/>
  <c r="AR67" i="28"/>
  <c r="AQ54" i="28"/>
  <c r="AQ53" i="28"/>
  <c r="AQ52" i="28"/>
  <c r="AR47" i="28"/>
  <c r="AR40" i="28"/>
  <c r="AR32" i="28"/>
  <c r="AR54" i="28" s="1"/>
  <c r="AR31" i="28"/>
  <c r="AR53" i="28" s="1"/>
  <c r="AR30" i="28"/>
  <c r="AR52" i="28" s="1"/>
  <c r="AR29" i="28"/>
  <c r="AR51" i="28" s="1"/>
  <c r="AR28" i="28"/>
  <c r="AR50" i="28" s="1"/>
  <c r="AR26" i="28"/>
  <c r="AR60" i="28" s="1"/>
  <c r="AQ21" i="28"/>
  <c r="AQ26" i="28" s="1"/>
  <c r="AR19" i="28"/>
  <c r="AR59" i="28" s="1"/>
  <c r="AQ14" i="28"/>
  <c r="AQ19" i="28" s="1"/>
  <c r="AR12" i="28"/>
  <c r="AR58" i="28" s="1"/>
  <c r="AR17" i="49"/>
  <c r="BB17" i="49" s="1"/>
  <c r="AR11" i="49"/>
  <c r="AQ11" i="49"/>
  <c r="AR9" i="49"/>
  <c r="BB9" i="49" s="1"/>
  <c r="AR8" i="49"/>
  <c r="BB8" i="49" s="1"/>
  <c r="AR6" i="49"/>
  <c r="AQ190" i="73"/>
  <c r="BA190" i="73" s="1"/>
  <c r="AQ179" i="73"/>
  <c r="AQ133" i="73"/>
  <c r="BA133" i="73" s="1"/>
  <c r="AQ129" i="73"/>
  <c r="BA129" i="73" s="1"/>
  <c r="AQ125" i="73"/>
  <c r="BA125" i="73" s="1"/>
  <c r="AQ121" i="73"/>
  <c r="AQ114" i="73"/>
  <c r="AQ108" i="73"/>
  <c r="BA108" i="73" s="1"/>
  <c r="AQ102" i="73"/>
  <c r="BA102" i="73" s="1"/>
  <c r="AQ65" i="73"/>
  <c r="BA65" i="73" s="1"/>
  <c r="AQ58" i="73"/>
  <c r="BA58" i="73" s="1"/>
  <c r="AQ53" i="73"/>
  <c r="BA53" i="73" s="1"/>
  <c r="AQ48" i="73"/>
  <c r="BA48" i="73" s="1"/>
  <c r="AQ34" i="73"/>
  <c r="BA34" i="73" s="1"/>
  <c r="AQ23" i="73"/>
  <c r="BA23" i="73" s="1"/>
  <c r="AQ16" i="73"/>
  <c r="AQ14" i="73"/>
  <c r="AQ8" i="73"/>
  <c r="AU79" i="59"/>
  <c r="AU78" i="59"/>
  <c r="AU77" i="59"/>
  <c r="AT76" i="59"/>
  <c r="AU74" i="59"/>
  <c r="AT74" i="59"/>
  <c r="AU73" i="59"/>
  <c r="AT73" i="59"/>
  <c r="AU70" i="59"/>
  <c r="AT70" i="59"/>
  <c r="AU69" i="59"/>
  <c r="AT69" i="59"/>
  <c r="AU66" i="59"/>
  <c r="AU65" i="59"/>
  <c r="AT65" i="59"/>
  <c r="AU62" i="59"/>
  <c r="AT62" i="59"/>
  <c r="AU61" i="59"/>
  <c r="AT61" i="59"/>
  <c r="AU60" i="59"/>
  <c r="AU59" i="59"/>
  <c r="AT59" i="59"/>
  <c r="AU58" i="59"/>
  <c r="AT58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U45" i="59"/>
  <c r="AT45" i="59"/>
  <c r="AU43" i="59"/>
  <c r="AT43" i="59"/>
  <c r="AU42" i="59"/>
  <c r="AT42" i="59"/>
  <c r="AU41" i="59"/>
  <c r="AT41" i="59"/>
  <c r="AT39" i="59"/>
  <c r="AT38" i="59"/>
  <c r="AT37" i="59"/>
  <c r="AU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Q54" i="36"/>
  <c r="AQ53" i="36"/>
  <c r="AQ51" i="36"/>
  <c r="AQ49" i="36"/>
  <c r="AQ48" i="36"/>
  <c r="AR46" i="36"/>
  <c r="AR54" i="36" s="1"/>
  <c r="AR44" i="36"/>
  <c r="AR52" i="36" s="1"/>
  <c r="AR43" i="36"/>
  <c r="AR51" i="36" s="1"/>
  <c r="AR41" i="36"/>
  <c r="AR49" i="36" s="1"/>
  <c r="AR40" i="36"/>
  <c r="AR48" i="36" s="1"/>
  <c r="AR39" i="36"/>
  <c r="AR17" i="36" s="1"/>
  <c r="AU55" i="59" s="1"/>
  <c r="AR38" i="36"/>
  <c r="AR16" i="36" s="1"/>
  <c r="AR32" i="36"/>
  <c r="AQ29" i="36"/>
  <c r="AP7" i="15" s="1"/>
  <c r="AQ28" i="36"/>
  <c r="AP6" i="15" s="1"/>
  <c r="AQ27" i="36"/>
  <c r="AP5" i="15" s="1"/>
  <c r="AR24" i="36"/>
  <c r="AU75" i="59" s="1"/>
  <c r="AQ24" i="36"/>
  <c r="AT75" i="59" s="1"/>
  <c r="AR23" i="36"/>
  <c r="AU72" i="59" s="1"/>
  <c r="AQ23" i="36"/>
  <c r="AT72" i="59" s="1"/>
  <c r="AR22" i="36"/>
  <c r="AU68" i="59" s="1"/>
  <c r="AQ22" i="36"/>
  <c r="AT68" i="59" s="1"/>
  <c r="AR21" i="36"/>
  <c r="AU64" i="59" s="1"/>
  <c r="AQ21" i="36"/>
  <c r="AT64" i="59" s="1"/>
  <c r="AQ17" i="36"/>
  <c r="AQ90" i="9" s="1"/>
  <c r="AQ16" i="36"/>
  <c r="AQ13" i="36"/>
  <c r="AT40" i="59" s="1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22" i="21" s="1"/>
  <c r="AQ34" i="35"/>
  <c r="AQ30" i="35"/>
  <c r="AQ154" i="10" s="1"/>
  <c r="AQ18" i="35"/>
  <c r="AQ32" i="36" s="1"/>
  <c r="AQ17" i="35"/>
  <c r="AQ6" i="8" s="1"/>
  <c r="AQ16" i="35"/>
  <c r="AT49" i="59" l="1"/>
  <c r="AU44" i="59"/>
  <c r="AR430" i="28"/>
  <c r="BB400" i="28"/>
  <c r="AR377" i="28"/>
  <c r="AR470" i="28" s="1"/>
  <c r="BB376" i="28"/>
  <c r="AQ136" i="73"/>
  <c r="AQ40" i="36"/>
  <c r="AQ42" i="36" s="1"/>
  <c r="AQ29" i="8"/>
  <c r="AQ23" i="8"/>
  <c r="AQ85" i="8"/>
  <c r="AQ28" i="8"/>
  <c r="AQ25" i="8"/>
  <c r="AQ17" i="49" s="1"/>
  <c r="AQ18" i="49" s="1"/>
  <c r="AQ24" i="8"/>
  <c r="AQ9" i="49" s="1"/>
  <c r="AQ30" i="8"/>
  <c r="AQ50" i="8"/>
  <c r="AQ31" i="8"/>
  <c r="AQ27" i="8"/>
  <c r="AQ7" i="28"/>
  <c r="AQ12" i="28" s="1"/>
  <c r="AP17" i="15"/>
  <c r="AP14" i="15" s="1"/>
  <c r="AP15" i="15" s="1"/>
  <c r="AQ5" i="9"/>
  <c r="AQ19" i="9" s="1"/>
  <c r="AQ43" i="36"/>
  <c r="AQ45" i="36" s="1"/>
  <c r="AQ6" i="49"/>
  <c r="AQ178" i="10"/>
  <c r="AT66" i="59" s="1"/>
  <c r="AQ153" i="10"/>
  <c r="AQ161" i="10"/>
  <c r="AQ46" i="36"/>
  <c r="AQ188" i="73"/>
  <c r="BA188" i="73" s="1"/>
  <c r="BA179" i="73"/>
  <c r="BA121" i="73"/>
  <c r="BA136" i="73" s="1"/>
  <c r="BA117" i="73"/>
  <c r="AQ6" i="73"/>
  <c r="BA6" i="73" s="1"/>
  <c r="BA8" i="73"/>
  <c r="AQ117" i="90"/>
  <c r="BA14" i="73"/>
  <c r="AS139" i="50"/>
  <c r="AQ50" i="36"/>
  <c r="AT77" i="59"/>
  <c r="AT78" i="59"/>
  <c r="AT79" i="59"/>
  <c r="AQ39" i="36"/>
  <c r="AT55" i="59"/>
  <c r="AQ38" i="36"/>
  <c r="AQ89" i="9"/>
  <c r="AQ91" i="9" s="1"/>
  <c r="AT54" i="59"/>
  <c r="AT6" i="59"/>
  <c r="BA11" i="49"/>
  <c r="BB11" i="49"/>
  <c r="BB6" i="49"/>
  <c r="BA114" i="73"/>
  <c r="AQ11" i="15"/>
  <c r="AQ12" i="15" s="1"/>
  <c r="AQ13" i="15" s="1"/>
  <c r="AR273" i="28"/>
  <c r="AR466" i="28" s="1"/>
  <c r="AR216" i="28"/>
  <c r="AR462" i="28" s="1"/>
  <c r="AR53" i="36"/>
  <c r="AR50" i="36"/>
  <c r="AR18" i="36"/>
  <c r="AU56" i="59" s="1"/>
  <c r="AU49" i="59"/>
  <c r="AR13" i="36"/>
  <c r="AU40" i="59" s="1"/>
  <c r="AR42" i="36"/>
  <c r="AU54" i="59"/>
  <c r="AR45" i="36"/>
  <c r="AT44" i="59"/>
  <c r="AR18" i="49"/>
  <c r="BB18" i="49" s="1"/>
  <c r="AU37" i="59"/>
  <c r="AR12" i="49"/>
  <c r="AR33" i="28"/>
  <c r="AR472" i="28" s="1"/>
  <c r="AR479" i="28"/>
  <c r="AR460" i="28"/>
  <c r="AQ377" i="28"/>
  <c r="AQ470" i="28" s="1"/>
  <c r="AQ60" i="28"/>
  <c r="AQ73" i="28" s="1"/>
  <c r="AR55" i="28"/>
  <c r="AR477" i="28" s="1"/>
  <c r="AQ59" i="28"/>
  <c r="AQ69" i="28" s="1"/>
  <c r="AQ464" i="28" s="1"/>
  <c r="AQ273" i="28"/>
  <c r="AQ466" i="28" s="1"/>
  <c r="AR480" i="28"/>
  <c r="AR448" i="28"/>
  <c r="AR464" i="28"/>
  <c r="AR468" i="28"/>
  <c r="AR83" i="28"/>
  <c r="AR84" i="28" s="1"/>
  <c r="AQ117" i="73"/>
  <c r="AR20" i="21"/>
  <c r="AQ15" i="21"/>
  <c r="AR469" i="28" l="1"/>
  <c r="AQ5" i="73"/>
  <c r="BA5" i="73" s="1"/>
  <c r="AR474" i="28"/>
  <c r="AR61" i="28"/>
  <c r="AR62" i="28" s="1"/>
  <c r="AR478" i="28" s="1"/>
  <c r="AR458" i="28"/>
  <c r="AR457" i="28"/>
  <c r="AR465" i="28"/>
  <c r="AQ59" i="8"/>
  <c r="AQ63" i="8" s="1"/>
  <c r="AQ35" i="8" s="1"/>
  <c r="AQ109" i="8"/>
  <c r="AQ110" i="8" s="1"/>
  <c r="AQ69" i="8"/>
  <c r="AQ36" i="8" s="1"/>
  <c r="AQ63" i="9"/>
  <c r="AQ66" i="9"/>
  <c r="AQ92" i="9"/>
  <c r="AQ95" i="9"/>
  <c r="AQ65" i="9"/>
  <c r="AP132" i="26"/>
  <c r="AQ55" i="9"/>
  <c r="AQ27" i="9"/>
  <c r="AQ33" i="22"/>
  <c r="AQ7" i="9"/>
  <c r="AQ64" i="9"/>
  <c r="AQ61" i="9"/>
  <c r="AQ59" i="9"/>
  <c r="AQ67" i="9"/>
  <c r="AQ70" i="9"/>
  <c r="AQ58" i="9"/>
  <c r="AQ56" i="9"/>
  <c r="AQ69" i="9"/>
  <c r="AQ68" i="9"/>
  <c r="AP2" i="17"/>
  <c r="AP2" i="26"/>
  <c r="AQ26" i="8"/>
  <c r="AQ65" i="8"/>
  <c r="AQ8" i="49"/>
  <c r="AQ67" i="8"/>
  <c r="AQ37" i="8" s="1"/>
  <c r="BC139" i="50"/>
  <c r="AS141" i="50"/>
  <c r="AQ119" i="90"/>
  <c r="BA117" i="90"/>
  <c r="AR461" i="28"/>
  <c r="AR56" i="28"/>
  <c r="AR19" i="36"/>
  <c r="AU57" i="59" s="1"/>
  <c r="AQ469" i="28"/>
  <c r="AQ216" i="28"/>
  <c r="AQ462" i="28" s="1"/>
  <c r="AQ58" i="28"/>
  <c r="AQ458" i="28"/>
  <c r="AQ457" i="28"/>
  <c r="AQ465" i="28"/>
  <c r="AQ468" i="28"/>
  <c r="AR473" i="28"/>
  <c r="AR451" i="28"/>
  <c r="AR452" i="28"/>
  <c r="AQ57" i="9" l="1"/>
  <c r="AQ111" i="8"/>
  <c r="AQ112" i="8" s="1"/>
  <c r="AQ34" i="8"/>
  <c r="AQ10" i="49"/>
  <c r="AQ60" i="9"/>
  <c r="AQ62" i="9" s="1"/>
  <c r="AQ12" i="49"/>
  <c r="AQ14" i="49" s="1"/>
  <c r="AQ15" i="49" s="1"/>
  <c r="AQ21" i="22"/>
  <c r="AQ22" i="22" s="1"/>
  <c r="AQ24" i="22" s="1"/>
  <c r="AQ25" i="22" s="1"/>
  <c r="AQ27" i="22" s="1"/>
  <c r="AQ7" i="22"/>
  <c r="AQ8" i="22" s="1"/>
  <c r="AQ10" i="22" s="1"/>
  <c r="AQ11" i="22" s="1"/>
  <c r="AQ13" i="22" s="1"/>
  <c r="BC141" i="50"/>
  <c r="AS142" i="50"/>
  <c r="BC142" i="50" s="1"/>
  <c r="AQ123" i="90"/>
  <c r="BA119" i="90"/>
  <c r="AQ65" i="28"/>
  <c r="BA123" i="90" l="1"/>
  <c r="AQ16" i="49"/>
  <c r="AQ461" i="28"/>
  <c r="AQ460" i="28"/>
  <c r="AQ19" i="49" l="1"/>
  <c r="AQ42" i="35"/>
  <c r="AQ41" i="35"/>
  <c r="AR40" i="35"/>
  <c r="AR39" i="35"/>
  <c r="AQ39" i="35"/>
  <c r="AR36" i="35"/>
  <c r="AR48" i="35" s="1"/>
  <c r="AQ36" i="35"/>
  <c r="AQ28" i="28" s="1"/>
  <c r="AQ33" i="35"/>
  <c r="AR32" i="35"/>
  <c r="AR31" i="35"/>
  <c r="AR30" i="35"/>
  <c r="AR26" i="35"/>
  <c r="AQ26" i="35"/>
  <c r="AQ21" i="35"/>
  <c r="AQ26" i="9" s="1"/>
  <c r="AR20" i="35"/>
  <c r="AQ20" i="35"/>
  <c r="AR19" i="35"/>
  <c r="AQ19" i="35"/>
  <c r="AR14" i="35"/>
  <c r="AR13" i="35"/>
  <c r="AR11" i="35"/>
  <c r="AR10" i="6" s="1"/>
  <c r="AQ10" i="35"/>
  <c r="AQ9" i="35"/>
  <c r="AQ8" i="35"/>
  <c r="AR7" i="35"/>
  <c r="AR6" i="35"/>
  <c r="AQ14" i="35" l="1"/>
  <c r="AQ9" i="6"/>
  <c r="AQ33" i="28"/>
  <c r="AQ50" i="28"/>
  <c r="AQ55" i="28" s="1"/>
  <c r="AQ477" i="28" s="1"/>
  <c r="AQ13" i="35"/>
  <c r="AQ15" i="35" s="1"/>
  <c r="AQ8" i="6"/>
  <c r="AR6" i="6"/>
  <c r="AR16" i="6" s="1"/>
  <c r="AQ26" i="21"/>
  <c r="AQ28" i="21" s="1"/>
  <c r="AQ33" i="36"/>
  <c r="AQ34" i="36" s="1"/>
  <c r="AQ35" i="36" s="1"/>
  <c r="AQ36" i="36" s="1"/>
  <c r="AQ30" i="36" s="1"/>
  <c r="AT80" i="59" s="1"/>
  <c r="BB20" i="35"/>
  <c r="BB19" i="35"/>
  <c r="BA20" i="35"/>
  <c r="BA19" i="35"/>
  <c r="AR18" i="6"/>
  <c r="AR8" i="35"/>
  <c r="AR5" i="6"/>
  <c r="AR41" i="35"/>
  <c r="AR49" i="35" s="1"/>
  <c r="AR98" i="11"/>
  <c r="AR33" i="35"/>
  <c r="AR37" i="35" s="1"/>
  <c r="AR33" i="36"/>
  <c r="AR34" i="36" s="1"/>
  <c r="AR35" i="36" s="1"/>
  <c r="AR36" i="36" s="1"/>
  <c r="AR30" i="36" s="1"/>
  <c r="AU80" i="59" s="1"/>
  <c r="AQ20" i="49"/>
  <c r="AR15" i="35"/>
  <c r="AR5" i="36"/>
  <c r="AR13" i="49" s="1"/>
  <c r="AQ48" i="35"/>
  <c r="AQ49" i="35" s="1"/>
  <c r="AQ37" i="35"/>
  <c r="AQ11" i="35"/>
  <c r="AQ10" i="6" s="1"/>
  <c r="AQ55" i="35" l="1"/>
  <c r="AR95" i="50"/>
  <c r="AR93" i="50" s="1"/>
  <c r="AQ448" i="28"/>
  <c r="AQ61" i="28"/>
  <c r="AS95" i="50"/>
  <c r="AS93" i="50" s="1"/>
  <c r="AS79" i="83"/>
  <c r="AR189" i="6"/>
  <c r="AR194" i="6"/>
  <c r="AR17" i="6"/>
  <c r="AR15" i="6"/>
  <c r="AR7" i="6"/>
  <c r="AR55" i="35"/>
  <c r="AR14" i="49"/>
  <c r="AU6" i="59"/>
  <c r="AQ77" i="28" l="1"/>
  <c r="AQ452" i="28" s="1"/>
  <c r="AQ62" i="28"/>
  <c r="AQ478" i="28" s="1"/>
  <c r="AQ474" i="28"/>
  <c r="AQ451" i="28"/>
  <c r="AS77" i="83"/>
  <c r="BC79" i="83"/>
  <c r="BC77" i="83" s="1"/>
  <c r="AR19" i="6"/>
  <c r="AR81" i="6" s="1"/>
  <c r="AR168" i="6"/>
  <c r="AR164" i="6"/>
  <c r="AR15" i="49"/>
  <c r="AL113" i="10"/>
  <c r="AM33" i="50" s="1"/>
  <c r="AL104" i="10"/>
  <c r="AM34" i="50" s="1"/>
  <c r="AO34" i="50" s="1"/>
  <c r="BE34" i="50" s="1"/>
  <c r="AL58" i="10"/>
  <c r="AL60" i="10"/>
  <c r="AL30" i="10"/>
  <c r="AL21" i="10"/>
  <c r="AL13" i="10"/>
  <c r="AO33" i="50" l="1"/>
  <c r="BE33" i="50" s="1"/>
  <c r="AQ33" i="50"/>
  <c r="AU33" i="50" s="1"/>
  <c r="AY33" i="50" s="1"/>
  <c r="BG33" i="50" s="1"/>
  <c r="AQ473" i="28"/>
  <c r="AQ81" i="28"/>
  <c r="AQ472" i="28"/>
  <c r="AR84" i="6"/>
  <c r="AR38" i="6"/>
  <c r="AR40" i="6"/>
  <c r="AR37" i="6"/>
  <c r="AR39" i="6"/>
  <c r="AR16" i="49"/>
  <c r="AR41" i="6" l="1"/>
  <c r="AR19" i="49"/>
  <c r="AP6" i="38"/>
  <c r="AR20" i="49" l="1"/>
  <c r="BB99" i="8" l="1"/>
  <c r="BB100" i="8"/>
  <c r="BB101" i="8"/>
  <c r="BB102" i="8"/>
  <c r="BB103" i="8"/>
  <c r="BB104" i="8"/>
  <c r="BB105" i="8"/>
  <c r="BB106" i="8"/>
  <c r="BB107" i="8"/>
  <c r="AN99" i="8"/>
  <c r="AN100" i="8"/>
  <c r="AN101" i="8"/>
  <c r="AN102" i="8"/>
  <c r="AN103" i="8"/>
  <c r="AN104" i="8"/>
  <c r="AN105" i="8"/>
  <c r="AN106" i="8"/>
  <c r="AN107" i="8"/>
  <c r="Z99" i="8"/>
  <c r="Z100" i="8"/>
  <c r="Z101" i="8"/>
  <c r="Z102" i="8"/>
  <c r="Z103" i="8"/>
  <c r="Z104" i="8"/>
  <c r="Z105" i="8"/>
  <c r="Z106" i="8"/>
  <c r="Z107" i="8"/>
  <c r="N99" i="8"/>
  <c r="N100" i="8"/>
  <c r="N101" i="8"/>
  <c r="N102" i="8"/>
  <c r="R102" i="8" s="1"/>
  <c r="V102" i="8" s="1"/>
  <c r="N103" i="8"/>
  <c r="N104" i="8"/>
  <c r="N105" i="8"/>
  <c r="N106" i="8"/>
  <c r="R106" i="8" s="1"/>
  <c r="V106" i="8" s="1"/>
  <c r="N107" i="8"/>
  <c r="R107" i="8" s="1"/>
  <c r="V107" i="8" s="1"/>
  <c r="J99" i="8"/>
  <c r="J100" i="8"/>
  <c r="J101" i="8"/>
  <c r="J102" i="8"/>
  <c r="J103" i="8"/>
  <c r="J104" i="8"/>
  <c r="J105" i="8"/>
  <c r="J106" i="8"/>
  <c r="J107" i="8"/>
  <c r="AB107" i="8" l="1"/>
  <c r="AF107" i="8" s="1"/>
  <c r="AJ107" i="8" s="1"/>
  <c r="AP107" i="8" s="1"/>
  <c r="AT107" i="8" s="1"/>
  <c r="BD106" i="8"/>
  <c r="BD105" i="8"/>
  <c r="AB99" i="8"/>
  <c r="AF99" i="8" s="1"/>
  <c r="AJ99" i="8" s="1"/>
  <c r="AP99" i="8" s="1"/>
  <c r="AT99" i="8" s="1"/>
  <c r="BD107" i="8"/>
  <c r="BD103" i="8"/>
  <c r="BD101" i="8"/>
  <c r="AB105" i="8"/>
  <c r="AF105" i="8" s="1"/>
  <c r="AJ105" i="8" s="1"/>
  <c r="AP105" i="8" s="1"/>
  <c r="AT105" i="8" s="1"/>
  <c r="BD100" i="8"/>
  <c r="AB104" i="8"/>
  <c r="AF104" i="8" s="1"/>
  <c r="AJ104" i="8" s="1"/>
  <c r="AP104" i="8" s="1"/>
  <c r="AT104" i="8" s="1"/>
  <c r="BD99" i="8"/>
  <c r="AB101" i="8"/>
  <c r="AF101" i="8" s="1"/>
  <c r="AJ101" i="8" s="1"/>
  <c r="AP101" i="8" s="1"/>
  <c r="AT101" i="8" s="1"/>
  <c r="AB100" i="8"/>
  <c r="AF100" i="8" s="1"/>
  <c r="AJ100" i="8" s="1"/>
  <c r="AP100" i="8" s="1"/>
  <c r="AT100" i="8" s="1"/>
  <c r="BD102" i="8"/>
  <c r="R101" i="8"/>
  <c r="V101" i="8" s="1"/>
  <c r="R100" i="8"/>
  <c r="V100" i="8" s="1"/>
  <c r="AB102" i="8"/>
  <c r="AF102" i="8" s="1"/>
  <c r="AJ102" i="8" s="1"/>
  <c r="AP102" i="8" s="1"/>
  <c r="AT102" i="8" s="1"/>
  <c r="R99" i="8"/>
  <c r="V99" i="8" s="1"/>
  <c r="AB106" i="8"/>
  <c r="AF106" i="8" s="1"/>
  <c r="AJ106" i="8" s="1"/>
  <c r="AP106" i="8" s="1"/>
  <c r="AT106" i="8" s="1"/>
  <c r="BD104" i="8"/>
  <c r="AB103" i="8"/>
  <c r="AF103" i="8" s="1"/>
  <c r="AJ103" i="8" s="1"/>
  <c r="AP103" i="8" s="1"/>
  <c r="AT103" i="8" s="1"/>
  <c r="R105" i="8"/>
  <c r="V105" i="8" s="1"/>
  <c r="R103" i="8"/>
  <c r="V103" i="8" s="1"/>
  <c r="R104" i="8"/>
  <c r="V104" i="8" s="1"/>
  <c r="AX101" i="8" l="1"/>
  <c r="BF101" i="8" s="1"/>
  <c r="AX103" i="8"/>
  <c r="BF103" i="8" s="1"/>
  <c r="AX105" i="8"/>
  <c r="BF105" i="8" s="1"/>
  <c r="AX102" i="8"/>
  <c r="BF102" i="8" s="1"/>
  <c r="AX106" i="8"/>
  <c r="BF106" i="8" s="1"/>
  <c r="AX107" i="8"/>
  <c r="BF107" i="8" s="1"/>
  <c r="AX104" i="8"/>
  <c r="BF104" i="8" s="1"/>
  <c r="AX100" i="8"/>
  <c r="BF100" i="8" s="1"/>
  <c r="AX99" i="8"/>
  <c r="BF99" i="8" s="1"/>
  <c r="AL17" i="49"/>
  <c r="AL18" i="49" s="1"/>
  <c r="AL11" i="49"/>
  <c r="AK11" i="49"/>
  <c r="AL9" i="49"/>
  <c r="AL8" i="49"/>
  <c r="AM70" i="83" l="1"/>
  <c r="AM71" i="83"/>
  <c r="AM72" i="83"/>
  <c r="AM73" i="83"/>
  <c r="AM74" i="83"/>
  <c r="AM53" i="83"/>
  <c r="AM54" i="83"/>
  <c r="AM55" i="83"/>
  <c r="AM56" i="83"/>
  <c r="AM57" i="83"/>
  <c r="AM58" i="83"/>
  <c r="AM59" i="83"/>
  <c r="AM60" i="83"/>
  <c r="AM61" i="83"/>
  <c r="AM62" i="83"/>
  <c r="AM63" i="83"/>
  <c r="AM65" i="83"/>
  <c r="AM66" i="83"/>
  <c r="AM67" i="83"/>
  <c r="AM52" i="83"/>
  <c r="AM48" i="83"/>
  <c r="AM50" i="83"/>
  <c r="AM46" i="83"/>
  <c r="AM40" i="83"/>
  <c r="AM41" i="83"/>
  <c r="AM42" i="83"/>
  <c r="AM43" i="83"/>
  <c r="AM44" i="83"/>
  <c r="AM39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9" i="83"/>
  <c r="AM30" i="83"/>
  <c r="AM31" i="83"/>
  <c r="AM32" i="83"/>
  <c r="AM33" i="83"/>
  <c r="AM34" i="83"/>
  <c r="AM35" i="83"/>
  <c r="AM36" i="83"/>
  <c r="AM37" i="83"/>
  <c r="AM4" i="83"/>
  <c r="AM75" i="83" l="1"/>
  <c r="AM51" i="83"/>
  <c r="AM45" i="83"/>
  <c r="AM38" i="83"/>
  <c r="AN63" i="11" l="1"/>
  <c r="BD63" i="11" s="1"/>
  <c r="AN62" i="11"/>
  <c r="BD62" i="11" s="1"/>
  <c r="Z63" i="11"/>
  <c r="Z62" i="11"/>
  <c r="AL64" i="11"/>
  <c r="AL61" i="11" s="1"/>
  <c r="AH64" i="11"/>
  <c r="AH61" i="11" s="1"/>
  <c r="AD64" i="11"/>
  <c r="N63" i="11"/>
  <c r="R63" i="11" s="1"/>
  <c r="V63" i="11" s="1"/>
  <c r="N62" i="11"/>
  <c r="R62" i="11" s="1"/>
  <c r="F64" i="11"/>
  <c r="F61" i="11" l="1"/>
  <c r="J64" i="11"/>
  <c r="J61" i="11" s="1"/>
  <c r="V62" i="11"/>
  <c r="AN64" i="11"/>
  <c r="AD61" i="11"/>
  <c r="Z64" i="11"/>
  <c r="Z61" i="11" s="1"/>
  <c r="AB63" i="11"/>
  <c r="AF63" i="11" s="1"/>
  <c r="AJ63" i="11" s="1"/>
  <c r="AP63" i="11" s="1"/>
  <c r="AT63" i="11" s="1"/>
  <c r="AX63" i="11" s="1"/>
  <c r="BF63" i="11" s="1"/>
  <c r="AB62" i="11"/>
  <c r="AF62" i="11" s="1"/>
  <c r="AJ62" i="11" s="1"/>
  <c r="AP62" i="11" s="1"/>
  <c r="AT62" i="11" s="1"/>
  <c r="AX62" i="11" s="1"/>
  <c r="BF62" i="11" s="1"/>
  <c r="N64" i="11"/>
  <c r="R64" i="11" s="1"/>
  <c r="V64" i="11" s="1"/>
  <c r="AN61" i="11" l="1"/>
  <c r="BD64" i="11"/>
  <c r="BD61" i="11" s="1"/>
  <c r="V61" i="11"/>
  <c r="R61" i="11"/>
  <c r="AB64" i="11"/>
  <c r="AF64" i="11" s="1"/>
  <c r="AJ64" i="11" s="1"/>
  <c r="AJ61" i="11" s="1"/>
  <c r="N61" i="11"/>
  <c r="AB61" i="11" l="1"/>
  <c r="AP64" i="11"/>
  <c r="AF61" i="11"/>
  <c r="AP61" i="11" l="1"/>
  <c r="AT64" i="11"/>
  <c r="AP159" i="9"/>
  <c r="AP158" i="9"/>
  <c r="AP157" i="9"/>
  <c r="AN159" i="9"/>
  <c r="AN158" i="9"/>
  <c r="AN157" i="9"/>
  <c r="AT61" i="11" l="1"/>
  <c r="AX64" i="11"/>
  <c r="AH15" i="8"/>
  <c r="AH14" i="8"/>
  <c r="AD15" i="8"/>
  <c r="AX61" i="11" l="1"/>
  <c r="BF64" i="11"/>
  <c r="BF61" i="11" s="1"/>
  <c r="AL3" i="8"/>
  <c r="AL1" i="35" s="1"/>
  <c r="BL114" i="7" l="1"/>
  <c r="BN114" i="7" s="1"/>
  <c r="BL115" i="7"/>
  <c r="BN115" i="7" s="1"/>
  <c r="BK116" i="7"/>
  <c r="BL116" i="7"/>
  <c r="BN116" i="7" s="1"/>
  <c r="BM116" i="7"/>
  <c r="BK117" i="7"/>
  <c r="BM117" i="7" s="1"/>
  <c r="BL117" i="7"/>
  <c r="BN117" i="7" s="1"/>
  <c r="BK118" i="7"/>
  <c r="BM118" i="7" s="1"/>
  <c r="BL118" i="7"/>
  <c r="BN118" i="7" s="1"/>
  <c r="BK119" i="7"/>
  <c r="BM119" i="7" s="1"/>
  <c r="BL119" i="7"/>
  <c r="BN119" i="7" s="1"/>
  <c r="BK120" i="7"/>
  <c r="BM120" i="7" s="1"/>
  <c r="BL120" i="7"/>
  <c r="BN120" i="7"/>
  <c r="BK121" i="7"/>
  <c r="BM121" i="7" s="1"/>
  <c r="BK122" i="7"/>
  <c r="BM122" i="7" s="1"/>
  <c r="BL122" i="7"/>
  <c r="BN122" i="7" s="1"/>
  <c r="BK123" i="7"/>
  <c r="BM123" i="7" s="1"/>
  <c r="BK124" i="7"/>
  <c r="BM124" i="7"/>
  <c r="BK125" i="7"/>
  <c r="BM125" i="7" s="1"/>
  <c r="BK126" i="7"/>
  <c r="BM126" i="7" s="1"/>
  <c r="BK127" i="7"/>
  <c r="BM127" i="7" s="1"/>
  <c r="BK128" i="7"/>
  <c r="BM128" i="7"/>
  <c r="BK129" i="7"/>
  <c r="BM129" i="7" s="1"/>
  <c r="BK130" i="7"/>
  <c r="BM130" i="7"/>
  <c r="BK131" i="7"/>
  <c r="BM131" i="7" s="1"/>
  <c r="BK132" i="7"/>
  <c r="BM132" i="7" s="1"/>
  <c r="BK133" i="7"/>
  <c r="BM133" i="7" s="1"/>
  <c r="BK134" i="7"/>
  <c r="BL134" i="7"/>
  <c r="BN134" i="7" s="1"/>
  <c r="BM134" i="7"/>
  <c r="BK135" i="7"/>
  <c r="BM135" i="7" s="1"/>
  <c r="BK136" i="7"/>
  <c r="BM136" i="7" s="1"/>
  <c r="BL136" i="7"/>
  <c r="BN136" i="7" s="1"/>
  <c r="BK137" i="7"/>
  <c r="BM137" i="7" s="1"/>
  <c r="BL137" i="7"/>
  <c r="BN137" i="7" s="1"/>
  <c r="BK138" i="7"/>
  <c r="BM138" i="7" s="1"/>
  <c r="BK139" i="7"/>
  <c r="BM139" i="7" s="1"/>
  <c r="BL139" i="7"/>
  <c r="BN139" i="7" s="1"/>
  <c r="BK140" i="7"/>
  <c r="BM140" i="7" s="1"/>
  <c r="BK141" i="7"/>
  <c r="BM141" i="7" s="1"/>
  <c r="BK142" i="7"/>
  <c r="BM142" i="7" s="1"/>
  <c r="BL142" i="7"/>
  <c r="BN142" i="7" s="1"/>
  <c r="BK143" i="7"/>
  <c r="BM143" i="7" s="1"/>
  <c r="BL143" i="7"/>
  <c r="BN143" i="7" s="1"/>
  <c r="BK144" i="7"/>
  <c r="BM144" i="7" s="1"/>
  <c r="BK145" i="7"/>
  <c r="BM145" i="7" s="1"/>
  <c r="BL145" i="7"/>
  <c r="BN145" i="7" s="1"/>
  <c r="BK146" i="7"/>
  <c r="BM146" i="7" s="1"/>
  <c r="BK147" i="7"/>
  <c r="BM147" i="7" s="1"/>
  <c r="BK148" i="7"/>
  <c r="BM148" i="7" s="1"/>
  <c r="BL148" i="7"/>
  <c r="BN148" i="7" s="1"/>
  <c r="BK149" i="7"/>
  <c r="BM149" i="7" s="1"/>
  <c r="BL149" i="7"/>
  <c r="BN149" i="7" s="1"/>
  <c r="BK150" i="7"/>
  <c r="BM150" i="7" s="1"/>
  <c r="BL150" i="7"/>
  <c r="BN150" i="7" s="1"/>
  <c r="BK151" i="7"/>
  <c r="BM151" i="7" s="1"/>
  <c r="BL151" i="7"/>
  <c r="BN151" i="7" s="1"/>
  <c r="BK152" i="7"/>
  <c r="BM152" i="7" s="1"/>
  <c r="BL152" i="7"/>
  <c r="BN152" i="7" s="1"/>
  <c r="BK153" i="7"/>
  <c r="BM153" i="7" s="1"/>
  <c r="BL153" i="7"/>
  <c r="BN153" i="7" s="1"/>
  <c r="BK154" i="7"/>
  <c r="BM154" i="7" s="1"/>
  <c r="BL154" i="7"/>
  <c r="BN154" i="7" s="1"/>
  <c r="AN397" i="28"/>
  <c r="BD397" i="28" s="1"/>
  <c r="AL103" i="9"/>
  <c r="AK30" i="15" l="1"/>
  <c r="AK29" i="15"/>
  <c r="AK28" i="15"/>
  <c r="AJ388" i="28" l="1"/>
  <c r="AP388" i="28" s="1"/>
  <c r="AT388" i="28" s="1"/>
  <c r="AX388" i="28" s="1"/>
  <c r="BF388" i="28" s="1"/>
  <c r="AN388" i="28"/>
  <c r="BD388" i="28" s="1"/>
  <c r="AJ385" i="28"/>
  <c r="AP385" i="28" s="1"/>
  <c r="AT385" i="28" s="1"/>
  <c r="AX385" i="28" s="1"/>
  <c r="BF385" i="28" s="1"/>
  <c r="AN385" i="28"/>
  <c r="BD385" i="28" s="1"/>
  <c r="AO184" i="73" l="1"/>
  <c r="AK37" i="27" l="1"/>
  <c r="AK35" i="27"/>
  <c r="AK27" i="27"/>
  <c r="AK29" i="27"/>
  <c r="AK28" i="27"/>
  <c r="AK20" i="27"/>
  <c r="AK19" i="27"/>
  <c r="AK18" i="27"/>
  <c r="AJ39" i="27" l="1"/>
  <c r="AK36" i="27"/>
  <c r="AK39" i="27"/>
  <c r="AJ33" i="27"/>
  <c r="AK26" i="27"/>
  <c r="AK33" i="27" s="1"/>
  <c r="AJ24" i="27"/>
  <c r="AK21" i="27"/>
  <c r="AK24" i="27" s="1"/>
  <c r="AL28" i="22" l="1"/>
  <c r="AL24" i="22"/>
  <c r="AL26" i="22" s="1"/>
  <c r="AL23" i="22"/>
  <c r="AL14" i="22"/>
  <c r="AL10" i="22"/>
  <c r="AL12" i="22" s="1"/>
  <c r="AL9" i="22"/>
  <c r="AK114" i="26" l="1"/>
  <c r="AJ112" i="26"/>
  <c r="AJ110" i="26"/>
  <c r="AJ108" i="26"/>
  <c r="AJ106" i="26"/>
  <c r="AJ104" i="26"/>
  <c r="AJ102" i="26"/>
  <c r="AJ100" i="26"/>
  <c r="AJ98" i="26"/>
  <c r="AK94" i="26"/>
  <c r="AK83" i="26"/>
  <c r="AK82" i="26"/>
  <c r="AJ80" i="26"/>
  <c r="AJ78" i="26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K56" i="26" s="1"/>
  <c r="AJ48" i="26"/>
  <c r="AJ50" i="26" s="1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K18" i="26" s="1"/>
  <c r="AJ11" i="26"/>
  <c r="AJ9" i="26"/>
  <c r="AJ83" i="26" l="1"/>
  <c r="AJ114" i="26"/>
  <c r="AJ82" i="26"/>
  <c r="AJ75" i="26"/>
  <c r="AK57" i="26"/>
  <c r="AJ45" i="26"/>
  <c r="AJ12" i="26"/>
  <c r="AJ19" i="26" s="1"/>
  <c r="AK51" i="26"/>
  <c r="AK13" i="26"/>
  <c r="AK19" i="26"/>
  <c r="AJ57" i="26"/>
  <c r="AJ51" i="26"/>
  <c r="AJ56" i="26"/>
  <c r="AJ85" i="26"/>
  <c r="AJ94" i="26" s="1"/>
  <c r="AJ18" i="26" l="1"/>
  <c r="AJ13" i="26"/>
  <c r="AM64" i="39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AK24" i="15"/>
  <c r="AK23" i="15"/>
  <c r="AK22" i="15"/>
  <c r="AK21" i="15"/>
  <c r="AK20" i="15"/>
  <c r="AJ18" i="15"/>
  <c r="AK17" i="15"/>
  <c r="AK14" i="15"/>
  <c r="AJ11" i="15"/>
  <c r="AJ12" i="15" s="1"/>
  <c r="AK10" i="15"/>
  <c r="AK9" i="15"/>
  <c r="AJ9" i="15"/>
  <c r="AK8" i="15"/>
  <c r="AJ8" i="15"/>
  <c r="AK7" i="15"/>
  <c r="AK6" i="15"/>
  <c r="AK5" i="15"/>
  <c r="AK31" i="15" l="1"/>
  <c r="AK35" i="15"/>
  <c r="AK15" i="15" s="1"/>
  <c r="AK16" i="15" s="1"/>
  <c r="AJ117" i="17"/>
  <c r="AJ115" i="17"/>
  <c r="AK87" i="17"/>
  <c r="AJ87" i="17"/>
  <c r="AK86" i="17"/>
  <c r="AJ86" i="17"/>
  <c r="AK85" i="17"/>
  <c r="AJ85" i="17"/>
  <c r="AK84" i="17"/>
  <c r="AJ84" i="17"/>
  <c r="AK83" i="17"/>
  <c r="AJ83" i="17"/>
  <c r="AK79" i="17"/>
  <c r="AJ79" i="17"/>
  <c r="AK67" i="17"/>
  <c r="AK69" i="17" s="1"/>
  <c r="AJ67" i="17"/>
  <c r="AJ69" i="17" s="1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K26" i="17"/>
  <c r="AJ26" i="17"/>
  <c r="AK22" i="17"/>
  <c r="AK16" i="17" s="1"/>
  <c r="AJ21" i="17"/>
  <c r="AJ19" i="17"/>
  <c r="AJ18" i="17"/>
  <c r="AJ16" i="17"/>
  <c r="AJ30" i="17" s="1"/>
  <c r="AJ15" i="17"/>
  <c r="AK14" i="17"/>
  <c r="AK12" i="17"/>
  <c r="AK9" i="17"/>
  <c r="AK116" i="17" s="1"/>
  <c r="AJ9" i="17"/>
  <c r="AJ11" i="17" s="1"/>
  <c r="AK62" i="17" l="1"/>
  <c r="AJ22" i="17"/>
  <c r="AJ34" i="17" s="1"/>
  <c r="AJ116" i="17"/>
  <c r="AJ33" i="17"/>
  <c r="AJ119" i="17"/>
  <c r="AJ59" i="17"/>
  <c r="AJ60" i="17" s="1"/>
  <c r="AJ50" i="17"/>
  <c r="AJ54" i="17" s="1"/>
  <c r="AJ32" i="17"/>
  <c r="AJ31" i="17"/>
  <c r="AK51" i="17"/>
  <c r="AK55" i="17" s="1"/>
  <c r="AK54" i="17"/>
  <c r="AK114" i="17"/>
  <c r="AK118" i="17" s="1"/>
  <c r="AK32" i="17"/>
  <c r="AK34" i="17"/>
  <c r="AK31" i="17"/>
  <c r="AK30" i="17"/>
  <c r="AK33" i="17"/>
  <c r="AK11" i="17"/>
  <c r="AK45" i="17"/>
  <c r="AK13" i="17"/>
  <c r="AP96" i="38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43" i="38"/>
  <c r="AP92" i="38" s="1"/>
  <c r="AO42" i="38"/>
  <c r="AO41" i="38" s="1"/>
  <c r="AP41" i="38"/>
  <c r="AP90" i="38" s="1"/>
  <c r="AO39" i="38"/>
  <c r="AO38" i="38"/>
  <c r="AO37" i="38"/>
  <c r="AO36" i="38"/>
  <c r="AP35" i="38"/>
  <c r="AP84" i="38" s="1"/>
  <c r="AO33" i="38"/>
  <c r="AO32" i="38"/>
  <c r="AO31" i="38"/>
  <c r="AO30" i="38"/>
  <c r="AO29" i="38"/>
  <c r="AO28" i="38"/>
  <c r="AL138" i="45" s="1"/>
  <c r="AO27" i="38"/>
  <c r="AO26" i="38"/>
  <c r="AO25" i="38"/>
  <c r="AO24" i="38"/>
  <c r="AO23" i="38"/>
  <c r="AO22" i="38"/>
  <c r="AO21" i="38"/>
  <c r="AO20" i="38"/>
  <c r="AP19" i="38"/>
  <c r="AO15" i="38"/>
  <c r="AO14" i="38"/>
  <c r="AP13" i="38"/>
  <c r="AP62" i="38" s="1"/>
  <c r="AO12" i="38"/>
  <c r="AO11" i="38"/>
  <c r="AO10" i="38"/>
  <c r="AO9" i="38"/>
  <c r="AO8" i="38"/>
  <c r="AO7" i="38"/>
  <c r="AM49" i="50"/>
  <c r="AM50" i="50"/>
  <c r="AM51" i="50"/>
  <c r="AM52" i="50"/>
  <c r="AM54" i="50"/>
  <c r="AM41" i="50"/>
  <c r="AM42" i="50"/>
  <c r="AM43" i="50"/>
  <c r="AM44" i="50"/>
  <c r="AM45" i="50"/>
  <c r="AM46" i="50"/>
  <c r="AM40" i="50"/>
  <c r="AM5" i="50"/>
  <c r="AM6" i="50"/>
  <c r="AM7" i="50"/>
  <c r="AM8" i="50"/>
  <c r="AM9" i="50"/>
  <c r="AM10" i="50"/>
  <c r="AM11" i="50"/>
  <c r="AM12" i="50"/>
  <c r="AM4" i="61" s="1"/>
  <c r="AM13" i="50"/>
  <c r="AM14" i="50"/>
  <c r="AM15" i="50"/>
  <c r="AM16" i="50"/>
  <c r="AM17" i="50"/>
  <c r="AM9" i="61" s="1"/>
  <c r="AM18" i="50"/>
  <c r="AM19" i="50"/>
  <c r="AM20" i="50"/>
  <c r="AM21" i="50"/>
  <c r="AM22" i="50"/>
  <c r="AM23" i="50"/>
  <c r="AM24" i="50"/>
  <c r="AM25" i="50"/>
  <c r="AM26" i="50"/>
  <c r="AM27" i="50"/>
  <c r="AM29" i="50"/>
  <c r="AM30" i="50"/>
  <c r="AM31" i="50"/>
  <c r="AM4" i="50"/>
  <c r="AO90" i="50"/>
  <c r="BE90" i="50" s="1"/>
  <c r="AO89" i="50"/>
  <c r="BE89" i="50" s="1"/>
  <c r="AO88" i="50"/>
  <c r="BE88" i="50" s="1"/>
  <c r="AO87" i="50"/>
  <c r="BE87" i="50" s="1"/>
  <c r="AO86" i="50"/>
  <c r="BE86" i="50" s="1"/>
  <c r="AO85" i="50"/>
  <c r="BE85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AO78" i="50"/>
  <c r="BE78" i="50" s="1"/>
  <c r="AO77" i="50"/>
  <c r="BE77" i="50" s="1"/>
  <c r="AO76" i="50"/>
  <c r="BE76" i="50" s="1"/>
  <c r="AO75" i="50"/>
  <c r="BE75" i="50" s="1"/>
  <c r="AO73" i="50"/>
  <c r="BE73" i="50" s="1"/>
  <c r="AO72" i="50"/>
  <c r="BE72" i="50" s="1"/>
  <c r="AO71" i="50"/>
  <c r="BE71" i="50" s="1"/>
  <c r="AO70" i="50"/>
  <c r="BE70" i="50" s="1"/>
  <c r="AO69" i="50"/>
  <c r="BE69" i="50" s="1"/>
  <c r="AO68" i="50"/>
  <c r="BE68" i="50" s="1"/>
  <c r="AO67" i="50"/>
  <c r="BE67" i="50" s="1"/>
  <c r="AO66" i="50"/>
  <c r="BE66" i="50" s="1"/>
  <c r="AO65" i="50"/>
  <c r="BE65" i="50" s="1"/>
  <c r="AO64" i="50"/>
  <c r="BE64" i="50" s="1"/>
  <c r="AO63" i="50"/>
  <c r="BE63" i="50" s="1"/>
  <c r="AO61" i="50"/>
  <c r="BE61" i="50" s="1"/>
  <c r="AO60" i="50"/>
  <c r="BE60" i="50" s="1"/>
  <c r="AO59" i="50"/>
  <c r="BE59" i="50" s="1"/>
  <c r="AO58" i="50"/>
  <c r="BE58" i="50" s="1"/>
  <c r="AO57" i="50"/>
  <c r="BE57" i="50" s="1"/>
  <c r="AO56" i="50"/>
  <c r="BE56" i="50" s="1"/>
  <c r="AM140" i="50"/>
  <c r="AM138" i="50"/>
  <c r="AM137" i="50"/>
  <c r="AM133" i="50"/>
  <c r="AP131" i="50"/>
  <c r="AL131" i="50"/>
  <c r="AL129" i="50"/>
  <c r="AL128" i="50"/>
  <c r="AL127" i="50"/>
  <c r="AM123" i="50"/>
  <c r="AP113" i="50"/>
  <c r="AL113" i="50"/>
  <c r="AM111" i="50"/>
  <c r="AL111" i="50"/>
  <c r="AM110" i="50"/>
  <c r="AL110" i="50"/>
  <c r="AM109" i="50"/>
  <c r="AL109" i="50"/>
  <c r="AP101" i="50"/>
  <c r="AL101" i="50"/>
  <c r="AM100" i="50"/>
  <c r="AM99" i="50"/>
  <c r="AP91" i="50"/>
  <c r="AM91" i="50"/>
  <c r="AM134" i="50" s="1"/>
  <c r="AL91" i="50"/>
  <c r="AP79" i="50"/>
  <c r="AM79" i="50"/>
  <c r="AL79" i="50"/>
  <c r="AP55" i="50"/>
  <c r="AL55" i="50"/>
  <c r="AM48" i="50"/>
  <c r="AP47" i="50"/>
  <c r="AL47" i="50"/>
  <c r="AP39" i="50"/>
  <c r="AL39" i="50"/>
  <c r="AK68" i="90"/>
  <c r="AK69" i="90"/>
  <c r="AK70" i="90"/>
  <c r="AK71" i="90"/>
  <c r="AK72" i="90"/>
  <c r="AK73" i="90"/>
  <c r="AK74" i="90"/>
  <c r="AK75" i="90"/>
  <c r="AK76" i="90"/>
  <c r="AK77" i="90"/>
  <c r="AK78" i="90"/>
  <c r="AK79" i="90"/>
  <c r="AK80" i="90"/>
  <c r="AK81" i="90"/>
  <c r="AK82" i="90"/>
  <c r="AK83" i="90"/>
  <c r="AK84" i="90"/>
  <c r="AK86" i="90"/>
  <c r="AK87" i="90"/>
  <c r="AM157" i="45"/>
  <c r="AM156" i="45"/>
  <c r="AM154" i="45"/>
  <c r="AM148" i="45"/>
  <c r="AM149" i="45" s="1"/>
  <c r="AM143" i="45"/>
  <c r="AL143" i="45"/>
  <c r="AM141" i="45"/>
  <c r="AL141" i="45"/>
  <c r="AM140" i="45"/>
  <c r="AL140" i="45"/>
  <c r="AM138" i="45"/>
  <c r="AM136" i="45"/>
  <c r="AL136" i="45"/>
  <c r="AM134" i="45"/>
  <c r="AL134" i="45"/>
  <c r="AM131" i="45"/>
  <c r="AM132" i="45" s="1"/>
  <c r="AL131" i="45"/>
  <c r="AL132" i="45" s="1"/>
  <c r="AM109" i="45"/>
  <c r="AM108" i="45"/>
  <c r="AL108" i="45"/>
  <c r="AL124" i="45" s="1"/>
  <c r="AM107" i="45"/>
  <c r="AJ114" i="17" l="1"/>
  <c r="AJ118" i="17" s="1"/>
  <c r="AM139" i="45"/>
  <c r="AL139" i="45"/>
  <c r="BE79" i="50"/>
  <c r="BE91" i="50"/>
  <c r="AL102" i="50"/>
  <c r="AM124" i="45"/>
  <c r="AM125" i="45" s="1"/>
  <c r="AM158" i="45"/>
  <c r="AM159" i="45"/>
  <c r="AO6" i="38"/>
  <c r="AJ62" i="17"/>
  <c r="AO91" i="50"/>
  <c r="AM124" i="50"/>
  <c r="AM125" i="50" s="1"/>
  <c r="AM68" i="83"/>
  <c r="AM69" i="83" s="1"/>
  <c r="AM76" i="83" s="1"/>
  <c r="AP102" i="50"/>
  <c r="AM13" i="61"/>
  <c r="AM11" i="61"/>
  <c r="AM5" i="61"/>
  <c r="AM6" i="61"/>
  <c r="AM15" i="61"/>
  <c r="AM10" i="61"/>
  <c r="AM7" i="61"/>
  <c r="AM12" i="61"/>
  <c r="AM14" i="61"/>
  <c r="AM8" i="61"/>
  <c r="AM155" i="45"/>
  <c r="AM150" i="45"/>
  <c r="AM119" i="50"/>
  <c r="AK117" i="17"/>
  <c r="AK15" i="17"/>
  <c r="AK115" i="17"/>
  <c r="AO35" i="38"/>
  <c r="AO67" i="38"/>
  <c r="AO13" i="38"/>
  <c r="AO65" i="38"/>
  <c r="AO43" i="38"/>
  <c r="AO89" i="38"/>
  <c r="AO40" i="38"/>
  <c r="AO19" i="38"/>
  <c r="AP18" i="38"/>
  <c r="AL26" i="36" s="1"/>
  <c r="AP68" i="38"/>
  <c r="AP40" i="38"/>
  <c r="AP89" i="38" s="1"/>
  <c r="AO79" i="50"/>
  <c r="AM112" i="50"/>
  <c r="AM39" i="50"/>
  <c r="AM106" i="50" s="1"/>
  <c r="AM55" i="50"/>
  <c r="AM120" i="50" s="1"/>
  <c r="AP92" i="50"/>
  <c r="AL92" i="50"/>
  <c r="AM135" i="50"/>
  <c r="AM47" i="50"/>
  <c r="AM116" i="50" s="1"/>
  <c r="AM136" i="50"/>
  <c r="AL144" i="45"/>
  <c r="AL123" i="45"/>
  <c r="AM144" i="45"/>
  <c r="AL107" i="45"/>
  <c r="AM123" i="45"/>
  <c r="AM162" i="45" l="1"/>
  <c r="AP67" i="38"/>
  <c r="AM160" i="45"/>
  <c r="AM126" i="50"/>
  <c r="AO18" i="38"/>
  <c r="AO66" i="38"/>
  <c r="AO98" i="38" s="1"/>
  <c r="AK119" i="17"/>
  <c r="AO17" i="38"/>
  <c r="AP17" i="38"/>
  <c r="AP66" i="38" s="1"/>
  <c r="AM92" i="50"/>
  <c r="AM121" i="50"/>
  <c r="AN45" i="11" l="1"/>
  <c r="AN46" i="11"/>
  <c r="AN47" i="11"/>
  <c r="AN48" i="11"/>
  <c r="AN49" i="11"/>
  <c r="AN50" i="11"/>
  <c r="AN51" i="11"/>
  <c r="AN52" i="11"/>
  <c r="AN54" i="11"/>
  <c r="AN8" i="11"/>
  <c r="AN9" i="11"/>
  <c r="AN11" i="11"/>
  <c r="AN12" i="11"/>
  <c r="AN13" i="11"/>
  <c r="AN14" i="11"/>
  <c r="AN15" i="11"/>
  <c r="AN16" i="11"/>
  <c r="AN18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N41" i="11"/>
  <c r="AN42" i="11"/>
  <c r="AL91" i="11"/>
  <c r="AL89" i="11"/>
  <c r="AL83" i="11"/>
  <c r="AL84" i="11" s="1"/>
  <c r="AL78" i="11"/>
  <c r="AK78" i="11"/>
  <c r="AL76" i="11"/>
  <c r="AK76" i="11"/>
  <c r="AL75" i="11"/>
  <c r="AK75" i="11"/>
  <c r="AL73" i="11"/>
  <c r="AK73" i="11"/>
  <c r="AL71" i="11"/>
  <c r="AK71" i="11"/>
  <c r="AL69" i="11"/>
  <c r="AK69" i="11"/>
  <c r="AL66" i="11"/>
  <c r="AL67" i="11" s="1"/>
  <c r="AK66" i="11"/>
  <c r="AK67" i="11" s="1"/>
  <c r="AL59" i="11"/>
  <c r="AL57" i="11"/>
  <c r="AL93" i="11" s="1"/>
  <c r="AL56" i="11"/>
  <c r="AK56" i="11"/>
  <c r="AK55" i="11" s="1"/>
  <c r="AL55" i="11"/>
  <c r="AL92" i="11" s="1"/>
  <c r="AP123" i="10"/>
  <c r="AT123" i="10" s="1"/>
  <c r="AX123" i="10" s="1"/>
  <c r="AP137" i="10"/>
  <c r="AT137" i="10" s="1"/>
  <c r="AX137" i="10" s="1"/>
  <c r="AN8" i="10"/>
  <c r="BD8" i="10" s="1"/>
  <c r="AN9" i="10"/>
  <c r="BD9" i="10" s="1"/>
  <c r="AN10" i="10"/>
  <c r="BD10" i="10" s="1"/>
  <c r="AN11" i="10"/>
  <c r="BD11" i="10" s="1"/>
  <c r="AN13" i="10"/>
  <c r="BD13" i="10" s="1"/>
  <c r="AN14" i="10"/>
  <c r="BD14" i="10" s="1"/>
  <c r="AN15" i="10"/>
  <c r="BD15" i="10" s="1"/>
  <c r="AN16" i="10"/>
  <c r="BD16" i="10" s="1"/>
  <c r="AN17" i="10"/>
  <c r="BD17" i="10" s="1"/>
  <c r="AN18" i="10"/>
  <c r="BD18" i="10" s="1"/>
  <c r="AN19" i="10"/>
  <c r="BD19" i="10" s="1"/>
  <c r="AN20" i="10"/>
  <c r="BD20" i="10" s="1"/>
  <c r="AN23" i="10"/>
  <c r="BD23" i="10" s="1"/>
  <c r="AN24" i="10"/>
  <c r="BD24" i="10" s="1"/>
  <c r="AN25" i="10"/>
  <c r="BD25" i="10" s="1"/>
  <c r="AN27" i="10"/>
  <c r="BD27" i="10" s="1"/>
  <c r="AN28" i="10"/>
  <c r="BD28" i="10" s="1"/>
  <c r="AN29" i="10"/>
  <c r="BD29" i="10" s="1"/>
  <c r="AN30" i="10"/>
  <c r="BD30" i="10" s="1"/>
  <c r="AN31" i="10"/>
  <c r="BD31" i="10" s="1"/>
  <c r="AN32" i="10"/>
  <c r="BD32" i="10" s="1"/>
  <c r="AN33" i="10"/>
  <c r="BD33" i="10" s="1"/>
  <c r="AN34" i="10"/>
  <c r="BD34" i="10" s="1"/>
  <c r="AN35" i="10"/>
  <c r="BD35" i="10" s="1"/>
  <c r="AN36" i="10"/>
  <c r="BD36" i="10" s="1"/>
  <c r="AN37" i="10"/>
  <c r="BD37" i="10" s="1"/>
  <c r="AN38" i="10"/>
  <c r="BD38" i="10" s="1"/>
  <c r="AN39" i="10"/>
  <c r="BD39" i="10" s="1"/>
  <c r="AN40" i="10"/>
  <c r="BD40" i="10" s="1"/>
  <c r="AN41" i="10"/>
  <c r="BD41" i="10" s="1"/>
  <c r="AN42" i="10"/>
  <c r="BD42" i="10" s="1"/>
  <c r="AN43" i="10"/>
  <c r="BD43" i="10" s="1"/>
  <c r="AN44" i="10"/>
  <c r="BD44" i="10" s="1"/>
  <c r="AN45" i="10"/>
  <c r="BD45" i="10" s="1"/>
  <c r="AN46" i="10"/>
  <c r="BD46" i="10" s="1"/>
  <c r="AN47" i="10"/>
  <c r="BD47" i="10" s="1"/>
  <c r="AN48" i="10"/>
  <c r="BD48" i="10" s="1"/>
  <c r="AN49" i="10"/>
  <c r="BD49" i="10" s="1"/>
  <c r="AN50" i="10"/>
  <c r="BD50" i="10" s="1"/>
  <c r="AN51" i="10"/>
  <c r="BD51" i="10" s="1"/>
  <c r="AN52" i="10"/>
  <c r="BD52" i="10" s="1"/>
  <c r="AN53" i="10"/>
  <c r="BD53" i="10" s="1"/>
  <c r="AN55" i="10"/>
  <c r="BD55" i="10" s="1"/>
  <c r="AN57" i="10"/>
  <c r="BD57" i="10" s="1"/>
  <c r="AN59" i="10"/>
  <c r="BD59" i="10" s="1"/>
  <c r="AN60" i="10"/>
  <c r="BD60" i="10" s="1"/>
  <c r="AN61" i="10"/>
  <c r="BD61" i="10" s="1"/>
  <c r="AN62" i="10"/>
  <c r="BD62" i="10" s="1"/>
  <c r="AN63" i="10"/>
  <c r="BD63" i="10" s="1"/>
  <c r="AN64" i="10"/>
  <c r="BD64" i="10" s="1"/>
  <c r="AN66" i="10"/>
  <c r="BD66" i="10" s="1"/>
  <c r="AN67" i="10"/>
  <c r="BD67" i="10" s="1"/>
  <c r="AN68" i="10"/>
  <c r="BD68" i="10" s="1"/>
  <c r="AN69" i="10"/>
  <c r="BD69" i="10" s="1"/>
  <c r="AN70" i="10"/>
  <c r="BD70" i="10" s="1"/>
  <c r="AN71" i="10"/>
  <c r="BD71" i="10" s="1"/>
  <c r="AN72" i="10"/>
  <c r="BD72" i="10" s="1"/>
  <c r="AN73" i="10"/>
  <c r="BD73" i="10" s="1"/>
  <c r="AN74" i="10"/>
  <c r="BD74" i="10" s="1"/>
  <c r="AN76" i="10"/>
  <c r="BD76" i="10" s="1"/>
  <c r="AN77" i="10"/>
  <c r="BD77" i="10" s="1"/>
  <c r="AN78" i="10"/>
  <c r="BD78" i="10" s="1"/>
  <c r="AN79" i="10"/>
  <c r="BD79" i="10" s="1"/>
  <c r="AN80" i="10"/>
  <c r="BD80" i="10" s="1"/>
  <c r="AN81" i="10"/>
  <c r="BD81" i="10" s="1"/>
  <c r="AN85" i="10"/>
  <c r="BD85" i="10" s="1"/>
  <c r="AN86" i="10"/>
  <c r="BD86" i="10" s="1"/>
  <c r="AN87" i="10"/>
  <c r="BD87" i="10" s="1"/>
  <c r="AN89" i="10"/>
  <c r="BD89" i="10" s="1"/>
  <c r="AN90" i="10"/>
  <c r="BD90" i="10" s="1"/>
  <c r="AN91" i="10"/>
  <c r="BD91" i="10" s="1"/>
  <c r="AN92" i="10"/>
  <c r="BD92" i="10" s="1"/>
  <c r="AN93" i="10"/>
  <c r="BD93" i="10" s="1"/>
  <c r="AN94" i="10"/>
  <c r="BD94" i="10" s="1"/>
  <c r="AN95" i="10"/>
  <c r="BD95" i="10" s="1"/>
  <c r="AN96" i="10"/>
  <c r="BD96" i="10" s="1"/>
  <c r="AN97" i="10"/>
  <c r="BD97" i="10" s="1"/>
  <c r="AN98" i="10"/>
  <c r="BD98" i="10" s="1"/>
  <c r="AN99" i="10"/>
  <c r="BD99" i="10" s="1"/>
  <c r="AN100" i="10"/>
  <c r="BD100" i="10" s="1"/>
  <c r="AN101" i="10"/>
  <c r="BD101" i="10" s="1"/>
  <c r="AN102" i="10"/>
  <c r="BD102" i="10" s="1"/>
  <c r="AN103" i="10"/>
  <c r="BD103" i="10" s="1"/>
  <c r="AN104" i="10"/>
  <c r="BD104" i="10" s="1"/>
  <c r="AN105" i="10"/>
  <c r="BD105" i="10" s="1"/>
  <c r="AN106" i="10"/>
  <c r="BD106" i="10" s="1"/>
  <c r="AN107" i="10"/>
  <c r="BD107" i="10" s="1"/>
  <c r="AN108" i="10"/>
  <c r="BD108" i="10" s="1"/>
  <c r="AN109" i="10"/>
  <c r="BD109" i="10" s="1"/>
  <c r="AN110" i="10"/>
  <c r="BD110" i="10" s="1"/>
  <c r="AN111" i="10"/>
  <c r="BD111" i="10" s="1"/>
  <c r="AN112" i="10"/>
  <c r="BD112" i="10" s="1"/>
  <c r="AN113" i="10"/>
  <c r="BD113" i="10" s="1"/>
  <c r="AN114" i="10"/>
  <c r="BD114" i="10" s="1"/>
  <c r="AN115" i="10"/>
  <c r="BD115" i="10" s="1"/>
  <c r="AN116" i="10"/>
  <c r="BD116" i="10" s="1"/>
  <c r="AN117" i="10"/>
  <c r="AN120" i="10"/>
  <c r="AN122" i="10"/>
  <c r="AN123" i="10"/>
  <c r="AN124" i="10"/>
  <c r="AN125" i="10"/>
  <c r="AN126" i="10"/>
  <c r="AN127" i="10"/>
  <c r="AN128" i="10"/>
  <c r="AN129" i="10"/>
  <c r="AN130" i="10"/>
  <c r="BD130" i="10" s="1"/>
  <c r="AN131" i="10"/>
  <c r="AN132" i="10"/>
  <c r="AN133" i="10"/>
  <c r="AN134" i="10"/>
  <c r="AN135" i="10"/>
  <c r="AN136" i="10"/>
  <c r="AN137" i="10"/>
  <c r="AN138" i="10"/>
  <c r="AN139" i="10"/>
  <c r="AN140" i="10"/>
  <c r="AN142" i="10"/>
  <c r="AN143" i="10"/>
  <c r="AN144" i="10"/>
  <c r="AN145" i="10"/>
  <c r="BD145" i="10" s="1"/>
  <c r="AN146" i="10"/>
  <c r="BD146" i="10" s="1"/>
  <c r="AN147" i="10"/>
  <c r="BD147" i="10" s="1"/>
  <c r="AN148" i="10"/>
  <c r="BD148" i="10" s="1"/>
  <c r="AN149" i="10"/>
  <c r="AN150" i="10"/>
  <c r="AN151" i="10"/>
  <c r="AN152" i="10"/>
  <c r="AL190" i="10"/>
  <c r="AL188" i="10"/>
  <c r="AL182" i="10"/>
  <c r="AL189" i="10" s="1"/>
  <c r="AL177" i="10"/>
  <c r="AK177" i="10"/>
  <c r="AL175" i="10"/>
  <c r="AK175" i="10"/>
  <c r="AL174" i="10"/>
  <c r="AK174" i="10"/>
  <c r="AL172" i="10"/>
  <c r="AK172" i="10"/>
  <c r="AL170" i="10"/>
  <c r="AK170" i="10"/>
  <c r="AL168" i="10"/>
  <c r="AK168" i="10"/>
  <c r="AL165" i="10"/>
  <c r="AL166" i="10" s="1"/>
  <c r="AK165" i="10"/>
  <c r="AK166" i="10" s="1"/>
  <c r="AL162" i="10"/>
  <c r="AL155" i="10"/>
  <c r="AL192" i="10" s="1"/>
  <c r="AK154" i="10"/>
  <c r="AK178" i="10" s="1"/>
  <c r="AL153" i="10"/>
  <c r="AL154" i="10"/>
  <c r="AM105" i="50" s="1"/>
  <c r="AK74" i="11" l="1"/>
  <c r="AL74" i="11"/>
  <c r="AK173" i="10"/>
  <c r="AL173" i="10"/>
  <c r="AK153" i="10"/>
  <c r="AK161" i="10"/>
  <c r="AL60" i="11"/>
  <c r="AL90" i="11"/>
  <c r="AL58" i="11"/>
  <c r="AM115" i="50"/>
  <c r="AM108" i="50"/>
  <c r="AM107" i="50"/>
  <c r="AL85" i="11"/>
  <c r="AL96" i="11"/>
  <c r="AL94" i="11"/>
  <c r="AK79" i="11"/>
  <c r="AK98" i="11"/>
  <c r="AL79" i="11"/>
  <c r="AK58" i="11"/>
  <c r="AL161" i="10"/>
  <c r="AL178" i="10"/>
  <c r="AL197" i="10"/>
  <c r="AL191" i="10"/>
  <c r="AL193" i="10" s="1"/>
  <c r="AL163" i="10"/>
  <c r="AL200" i="10"/>
  <c r="AL201" i="10" s="1"/>
  <c r="AL184" i="10"/>
  <c r="AL183" i="10"/>
  <c r="AL195" i="10" l="1"/>
  <c r="AM117" i="50"/>
  <c r="AM113" i="50"/>
  <c r="AK76" i="9" l="1"/>
  <c r="AK104" i="9" l="1"/>
  <c r="AK102" i="9"/>
  <c r="AK101" i="9"/>
  <c r="AL99" i="9"/>
  <c r="AK99" i="9"/>
  <c r="AL98" i="9"/>
  <c r="AK98" i="9"/>
  <c r="AL97" i="9"/>
  <c r="AK97" i="9"/>
  <c r="AL93" i="9"/>
  <c r="AK77" i="9"/>
  <c r="AK74" i="9"/>
  <c r="AL60" i="9"/>
  <c r="AL57" i="9"/>
  <c r="AK53" i="9"/>
  <c r="AK52" i="9"/>
  <c r="AK51" i="9"/>
  <c r="AK47" i="9"/>
  <c r="AL46" i="9"/>
  <c r="AL36" i="9"/>
  <c r="AK89" i="90" s="1"/>
  <c r="AL35" i="9"/>
  <c r="AL47" i="9" s="1"/>
  <c r="AL34" i="9"/>
  <c r="AL31" i="9"/>
  <c r="AL25" i="9"/>
  <c r="AK24" i="9"/>
  <c r="AK22" i="9"/>
  <c r="AK25" i="9" s="1"/>
  <c r="AK88" i="9" s="1"/>
  <c r="AL19" i="9"/>
  <c r="AL10" i="9"/>
  <c r="AL5" i="9"/>
  <c r="AL94" i="9" s="1"/>
  <c r="AK18" i="15" s="1"/>
  <c r="AN11" i="8"/>
  <c r="BD11" i="8" s="1"/>
  <c r="AM11" i="8"/>
  <c r="BC11" i="8" s="1"/>
  <c r="AL109" i="8"/>
  <c r="AL110" i="8" s="1"/>
  <c r="AL94" i="8"/>
  <c r="AL91" i="8"/>
  <c r="AK91" i="8"/>
  <c r="AL89" i="8"/>
  <c r="AK89" i="8"/>
  <c r="AL88" i="8"/>
  <c r="AK88" i="8"/>
  <c r="AK87" i="8"/>
  <c r="AK84" i="8"/>
  <c r="AK82" i="8"/>
  <c r="AK81" i="8"/>
  <c r="AL80" i="8"/>
  <c r="AL76" i="8"/>
  <c r="AK75" i="8"/>
  <c r="AK74" i="8"/>
  <c r="AK73" i="8"/>
  <c r="AK72" i="8"/>
  <c r="AK71" i="8"/>
  <c r="AL68" i="8"/>
  <c r="AL69" i="8" s="1"/>
  <c r="AL74" i="8" s="1"/>
  <c r="AL66" i="8"/>
  <c r="AL67" i="8" s="1"/>
  <c r="AL64" i="8"/>
  <c r="AL65" i="8" s="1"/>
  <c r="AL61" i="8"/>
  <c r="AL58" i="8"/>
  <c r="AL59" i="8" s="1"/>
  <c r="AK52" i="8"/>
  <c r="AL49" i="8"/>
  <c r="AK49" i="8"/>
  <c r="AK47" i="8"/>
  <c r="AK46" i="8"/>
  <c r="AK45" i="8"/>
  <c r="AK44" i="8"/>
  <c r="AK43" i="8"/>
  <c r="AK41" i="8"/>
  <c r="AK40" i="8"/>
  <c r="AK39" i="8"/>
  <c r="AL26" i="8"/>
  <c r="AL17" i="8"/>
  <c r="AK17" i="8"/>
  <c r="AL15" i="8"/>
  <c r="AK15" i="8"/>
  <c r="AL14" i="8"/>
  <c r="AK14" i="8"/>
  <c r="AL13" i="8"/>
  <c r="AK13" i="8"/>
  <c r="AL6" i="8"/>
  <c r="AK6" i="8"/>
  <c r="AN47" i="7"/>
  <c r="BD47" i="7" s="1"/>
  <c r="AM47" i="7"/>
  <c r="BC47" i="7" l="1"/>
  <c r="AL100" i="9"/>
  <c r="AL96" i="9"/>
  <c r="AL33" i="22"/>
  <c r="AK132" i="26"/>
  <c r="AK42" i="8"/>
  <c r="AK27" i="8"/>
  <c r="AK59" i="8" s="1"/>
  <c r="AK63" i="8" s="1"/>
  <c r="AK35" i="8" s="1"/>
  <c r="AK92" i="8"/>
  <c r="AL45" i="8"/>
  <c r="AL6" i="49"/>
  <c r="AK50" i="8"/>
  <c r="AK6" i="49"/>
  <c r="AK31" i="8"/>
  <c r="AK16" i="8"/>
  <c r="AL34" i="8"/>
  <c r="AL10" i="49"/>
  <c r="AL12" i="49" s="1"/>
  <c r="AK23" i="8"/>
  <c r="AK8" i="49" s="1"/>
  <c r="AL41" i="8"/>
  <c r="AK85" i="8"/>
  <c r="AL62" i="8"/>
  <c r="AL90" i="9"/>
  <c r="AL62" i="9"/>
  <c r="AL48" i="9"/>
  <c r="AL49" i="9" s="1"/>
  <c r="AL85" i="9" s="1"/>
  <c r="AM129" i="50"/>
  <c r="AL50" i="8"/>
  <c r="AL46" i="8"/>
  <c r="AL82" i="8"/>
  <c r="AL47" i="8"/>
  <c r="AL40" i="8"/>
  <c r="AL44" i="8"/>
  <c r="AL92" i="8"/>
  <c r="AL43" i="8"/>
  <c r="AL86" i="8"/>
  <c r="AL16" i="8"/>
  <c r="AL37" i="9"/>
  <c r="AL14" i="9"/>
  <c r="AL89" i="9"/>
  <c r="AL36" i="8"/>
  <c r="AL72" i="8"/>
  <c r="AL111" i="8"/>
  <c r="AL112" i="8" s="1"/>
  <c r="AL53" i="8" s="1"/>
  <c r="AL73" i="8"/>
  <c r="AL37" i="8"/>
  <c r="AL52" i="8"/>
  <c r="AK28" i="8"/>
  <c r="AK24" i="8"/>
  <c r="AK9" i="49" s="1"/>
  <c r="AK29" i="8"/>
  <c r="AL39" i="8"/>
  <c r="AL63" i="8"/>
  <c r="AL35" i="8" s="1"/>
  <c r="AK25" i="8"/>
  <c r="AK17" i="49" s="1"/>
  <c r="AK18" i="49" s="1"/>
  <c r="AK30" i="8"/>
  <c r="AJ2" i="17" l="1"/>
  <c r="AJ2" i="26"/>
  <c r="AK2" i="17"/>
  <c r="AK2" i="26"/>
  <c r="AL91" i="9"/>
  <c r="AL78" i="8"/>
  <c r="AK6" i="26"/>
  <c r="AL78" i="9"/>
  <c r="AL72" i="9"/>
  <c r="AL76" i="9"/>
  <c r="AL83" i="9"/>
  <c r="AL53" i="9"/>
  <c r="AL86" i="9"/>
  <c r="AL87" i="9"/>
  <c r="AL81" i="9"/>
  <c r="AL42" i="8"/>
  <c r="AL52" i="9"/>
  <c r="AL80" i="9"/>
  <c r="AL75" i="9"/>
  <c r="AL73" i="9"/>
  <c r="AL84" i="9"/>
  <c r="AL82" i="9"/>
  <c r="AL70" i="8"/>
  <c r="AL71" i="8"/>
  <c r="AK65" i="8"/>
  <c r="AK26" i="8"/>
  <c r="AK67" i="8"/>
  <c r="AK37" i="8" s="1"/>
  <c r="AK109" i="8"/>
  <c r="AK110" i="8" s="1"/>
  <c r="AK69" i="8"/>
  <c r="AK36" i="8" s="1"/>
  <c r="AK34" i="8" l="1"/>
  <c r="AK10" i="49"/>
  <c r="AK12" i="49" s="1"/>
  <c r="AL77" i="9"/>
  <c r="AL74" i="9"/>
  <c r="AK111" i="8"/>
  <c r="AK112" i="8" s="1"/>
  <c r="AL79" i="9" l="1"/>
  <c r="AK113" i="7"/>
  <c r="AK112" i="7"/>
  <c r="AK111" i="7"/>
  <c r="AK110" i="7"/>
  <c r="AK109" i="7"/>
  <c r="AK108" i="7"/>
  <c r="AK107" i="7"/>
  <c r="AK106" i="7"/>
  <c r="AK85" i="7"/>
  <c r="AL84" i="7"/>
  <c r="AK84" i="7"/>
  <c r="AL82" i="7"/>
  <c r="AK82" i="7"/>
  <c r="AL73" i="7"/>
  <c r="AK73" i="7"/>
  <c r="AL69" i="7"/>
  <c r="AL71" i="7" s="1"/>
  <c r="AK69" i="7"/>
  <c r="AK71" i="7" s="1"/>
  <c r="AL65" i="7"/>
  <c r="AK65" i="7"/>
  <c r="AK29" i="7" s="1"/>
  <c r="AK94" i="7" s="1"/>
  <c r="AK35" i="7"/>
  <c r="AK102" i="7" s="1"/>
  <c r="AK34" i="7"/>
  <c r="AK90" i="7" s="1"/>
  <c r="AK30" i="7"/>
  <c r="AK95" i="7" s="1"/>
  <c r="AK28" i="7"/>
  <c r="AK93" i="7" s="1"/>
  <c r="AL20" i="7"/>
  <c r="AL39" i="7" s="1"/>
  <c r="AL49" i="7" s="1"/>
  <c r="AK20" i="7"/>
  <c r="AK39" i="7" s="1"/>
  <c r="AK49" i="7" s="1"/>
  <c r="AK61" i="39"/>
  <c r="AK60" i="39"/>
  <c r="AJ50" i="39"/>
  <c r="AK48" i="39"/>
  <c r="AK47" i="39"/>
  <c r="AK46" i="39"/>
  <c r="AJ45" i="39"/>
  <c r="AK43" i="39"/>
  <c r="AK42" i="39"/>
  <c r="AK8" i="39"/>
  <c r="AJ8" i="39"/>
  <c r="AK199" i="6"/>
  <c r="AL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31" i="6" s="1"/>
  <c r="AK17" i="6"/>
  <c r="AK21" i="6" s="1"/>
  <c r="AK16" i="6"/>
  <c r="AK15" i="6"/>
  <c r="AL9" i="6"/>
  <c r="AL8" i="6"/>
  <c r="AK7" i="6"/>
  <c r="AK23" i="7" l="1"/>
  <c r="AK24" i="7"/>
  <c r="AK26" i="7"/>
  <c r="AK91" i="7" s="1"/>
  <c r="AK27" i="7"/>
  <c r="AK92" i="7" s="1"/>
  <c r="AK54" i="7"/>
  <c r="AK96" i="7" s="1"/>
  <c r="AK22" i="7"/>
  <c r="AK87" i="7" s="1"/>
  <c r="AK81" i="7"/>
  <c r="AK33" i="7"/>
  <c r="AK97" i="7" s="1"/>
  <c r="AL74" i="7"/>
  <c r="AL33" i="7"/>
  <c r="AL97" i="7" s="1"/>
  <c r="AK25" i="7"/>
  <c r="AK31" i="7"/>
  <c r="AK98" i="7" s="1"/>
  <c r="AJ22" i="39"/>
  <c r="AK22" i="39"/>
  <c r="AJ51" i="39"/>
  <c r="AK34" i="39"/>
  <c r="AK25" i="6"/>
  <c r="AL121" i="6"/>
  <c r="AL125" i="6" s="1"/>
  <c r="AL175" i="6" s="1"/>
  <c r="AL35" i="6"/>
  <c r="AL31" i="7"/>
  <c r="AL98" i="7" s="1"/>
  <c r="AL22" i="7"/>
  <c r="AL87" i="7" s="1"/>
  <c r="AK49" i="39"/>
  <c r="AK55" i="7"/>
  <c r="AK32" i="7"/>
  <c r="AK99" i="7" s="1"/>
  <c r="AK60" i="7"/>
  <c r="AK56" i="7"/>
  <c r="AK57" i="7"/>
  <c r="AK66" i="7"/>
  <c r="AK74" i="7"/>
  <c r="AK52" i="7"/>
  <c r="AK88" i="7" s="1"/>
  <c r="AK58" i="7"/>
  <c r="AK76" i="7"/>
  <c r="AK53" i="7"/>
  <c r="AK59" i="7"/>
  <c r="AK83" i="7"/>
  <c r="AL56" i="7"/>
  <c r="AL28" i="7"/>
  <c r="AL93" i="7" s="1"/>
  <c r="AL53" i="7"/>
  <c r="AL59" i="7"/>
  <c r="AL101" i="7" s="1"/>
  <c r="AL25" i="7"/>
  <c r="AL35" i="7"/>
  <c r="AL102" i="7" s="1"/>
  <c r="AL83" i="7"/>
  <c r="AL26" i="7"/>
  <c r="AL91" i="7" s="1"/>
  <c r="AL60" i="7"/>
  <c r="AK23" i="39"/>
  <c r="AK45" i="39"/>
  <c r="AK50" i="39"/>
  <c r="AL24" i="7"/>
  <c r="AL27" i="7"/>
  <c r="AL92" i="7" s="1"/>
  <c r="AL34" i="7"/>
  <c r="AL90" i="7" s="1"/>
  <c r="AL52" i="7"/>
  <c r="AL58" i="7"/>
  <c r="AL81" i="7"/>
  <c r="AL29" i="7"/>
  <c r="AL94" i="7" s="1"/>
  <c r="AL23" i="7"/>
  <c r="AL32" i="7"/>
  <c r="AL99" i="7" s="1"/>
  <c r="AL54" i="7"/>
  <c r="AL96" i="7" s="1"/>
  <c r="AL57" i="7"/>
  <c r="AL67" i="7"/>
  <c r="AL76" i="7"/>
  <c r="AL30" i="7"/>
  <c r="AL95" i="7" s="1"/>
  <c r="AL55" i="7"/>
  <c r="AJ24" i="39"/>
  <c r="AK28" i="6"/>
  <c r="AK188" i="6"/>
  <c r="AK22" i="6"/>
  <c r="AK194" i="6"/>
  <c r="AL133" i="6"/>
  <c r="AL57" i="6"/>
  <c r="AK24" i="6"/>
  <c r="AK163" i="6"/>
  <c r="AK168" i="6"/>
  <c r="AK19" i="6"/>
  <c r="AK81" i="6" s="1"/>
  <c r="AL138" i="6"/>
  <c r="AK133" i="6"/>
  <c r="AK30" i="6"/>
  <c r="AK32" i="6" s="1"/>
  <c r="AK103" i="6"/>
  <c r="AK107" i="6" s="1"/>
  <c r="AL103" i="6"/>
  <c r="AL107" i="6" s="1"/>
  <c r="AK27" i="6"/>
  <c r="AK121" i="6"/>
  <c r="AK125" i="6" s="1"/>
  <c r="AK175" i="6" s="1"/>
  <c r="AK138" i="6"/>
  <c r="AK89" i="7" l="1"/>
  <c r="AK100" i="7"/>
  <c r="AK36" i="7"/>
  <c r="AK51" i="7" s="1"/>
  <c r="AK26" i="6"/>
  <c r="AL173" i="6"/>
  <c r="AL172" i="6"/>
  <c r="AL89" i="7"/>
  <c r="AL88" i="7"/>
  <c r="AL100" i="7"/>
  <c r="AK24" i="39"/>
  <c r="AK103" i="7"/>
  <c r="AK75" i="7"/>
  <c r="AK61" i="7"/>
  <c r="AK51" i="39"/>
  <c r="AL36" i="7"/>
  <c r="AL51" i="7" s="1"/>
  <c r="AK34" i="6"/>
  <c r="AK29" i="6"/>
  <c r="AK23" i="6"/>
  <c r="AL139" i="6"/>
  <c r="AL143" i="6" s="1"/>
  <c r="AK84" i="6"/>
  <c r="AK150" i="6"/>
  <c r="AK147" i="6"/>
  <c r="AK172" i="6"/>
  <c r="AK173" i="6"/>
  <c r="AK148" i="6"/>
  <c r="AK33" i="6"/>
  <c r="AL150" i="6"/>
  <c r="AL148" i="6"/>
  <c r="AL147" i="6"/>
  <c r="AK139" i="6"/>
  <c r="AK143" i="6" s="1"/>
  <c r="AK206" i="6" s="1"/>
  <c r="AL197" i="6" l="1"/>
  <c r="AL206" i="6"/>
  <c r="AL103" i="7"/>
  <c r="AL174" i="6"/>
  <c r="AL149" i="6"/>
  <c r="AL75" i="7"/>
  <c r="AL61" i="7"/>
  <c r="AK35" i="6"/>
  <c r="AK149" i="6"/>
  <c r="AK208" i="6"/>
  <c r="AK211" i="6"/>
  <c r="AK204" i="6"/>
  <c r="AK216" i="6"/>
  <c r="AK219" i="6" s="1"/>
  <c r="AK212" i="6"/>
  <c r="AK207" i="6"/>
  <c r="AK205" i="6"/>
  <c r="AK203" i="6"/>
  <c r="AK213" i="6"/>
  <c r="AK210" i="6"/>
  <c r="AL217" i="6"/>
  <c r="AL213" i="6"/>
  <c r="AL210" i="6"/>
  <c r="AL207" i="6"/>
  <c r="AL203" i="6"/>
  <c r="AL216" i="6"/>
  <c r="AL205" i="6"/>
  <c r="AL208" i="6"/>
  <c r="AL204" i="6"/>
  <c r="AL212" i="6"/>
  <c r="AL211" i="6"/>
  <c r="AL218" i="6"/>
  <c r="AL199" i="6"/>
  <c r="AK174" i="6"/>
  <c r="AK209" i="6" l="1"/>
  <c r="AL214" i="6"/>
  <c r="AL219" i="6"/>
  <c r="AL209" i="6"/>
  <c r="AK214" i="6"/>
  <c r="AL215" i="6" l="1"/>
  <c r="AL220" i="6" s="1"/>
  <c r="AK215" i="6"/>
  <c r="AK220" i="6" s="1"/>
  <c r="AN399" i="28" l="1"/>
  <c r="BD399" i="28" s="1"/>
  <c r="AN401" i="28"/>
  <c r="BD401" i="28" s="1"/>
  <c r="AN402" i="28"/>
  <c r="BD402" i="28" s="1"/>
  <c r="AN403" i="28"/>
  <c r="BD403" i="28" s="1"/>
  <c r="AN404" i="28"/>
  <c r="BD404" i="28" s="1"/>
  <c r="AN405" i="28"/>
  <c r="BD405" i="28" s="1"/>
  <c r="AN406" i="28"/>
  <c r="BD406" i="28" s="1"/>
  <c r="AN407" i="28"/>
  <c r="BD407" i="28" s="1"/>
  <c r="AN408" i="28"/>
  <c r="BD408" i="28" s="1"/>
  <c r="AN409" i="28"/>
  <c r="BD409" i="28" s="1"/>
  <c r="AN410" i="28"/>
  <c r="BD410" i="28" s="1"/>
  <c r="AN411" i="28"/>
  <c r="BD411" i="28" s="1"/>
  <c r="AN412" i="28"/>
  <c r="BD412" i="28" s="1"/>
  <c r="AN413" i="28"/>
  <c r="BD413" i="28" s="1"/>
  <c r="AN415" i="28"/>
  <c r="BD415" i="28" s="1"/>
  <c r="AN417" i="28"/>
  <c r="BD417" i="28" s="1"/>
  <c r="AN418" i="28"/>
  <c r="BD418" i="28" s="1"/>
  <c r="AN419" i="28"/>
  <c r="BD419" i="28" s="1"/>
  <c r="AN420" i="28"/>
  <c r="BD420" i="28" s="1"/>
  <c r="AN421" i="28"/>
  <c r="BD421" i="28" s="1"/>
  <c r="AN422" i="28"/>
  <c r="BD422" i="28" s="1"/>
  <c r="AN423" i="28"/>
  <c r="BD423" i="28" s="1"/>
  <c r="AN425" i="28"/>
  <c r="BD425" i="28" s="1"/>
  <c r="AN426" i="28"/>
  <c r="BD426" i="28" s="1"/>
  <c r="AN427" i="28"/>
  <c r="AN428" i="28"/>
  <c r="AN380" i="28"/>
  <c r="BD380" i="28" s="1"/>
  <c r="AN382" i="28"/>
  <c r="BD382" i="28" s="1"/>
  <c r="AN383" i="28"/>
  <c r="BD383" i="28" s="1"/>
  <c r="AN384" i="28"/>
  <c r="BD384" i="28" s="1"/>
  <c r="AN387" i="28"/>
  <c r="BD387" i="28" s="1"/>
  <c r="AN389" i="28"/>
  <c r="BD389" i="28" s="1"/>
  <c r="AN390" i="28"/>
  <c r="AN282" i="28"/>
  <c r="BD282" i="28" s="1"/>
  <c r="AN283" i="28"/>
  <c r="BD283" i="28" s="1"/>
  <c r="AN285" i="28"/>
  <c r="BD285" i="28" s="1"/>
  <c r="AN286" i="28"/>
  <c r="BD286" i="28" s="1"/>
  <c r="AN287" i="28"/>
  <c r="BD287" i="28" s="1"/>
  <c r="AN288" i="28"/>
  <c r="BD288" i="28" s="1"/>
  <c r="AN290" i="28"/>
  <c r="BD290" i="28" s="1"/>
  <c r="AN291" i="28"/>
  <c r="BD291" i="28" s="1"/>
  <c r="AN293" i="28"/>
  <c r="BD293" i="28" s="1"/>
  <c r="AN295" i="28"/>
  <c r="BD295" i="28" s="1"/>
  <c r="AN296" i="28"/>
  <c r="BD296" i="28" s="1"/>
  <c r="AN297" i="28"/>
  <c r="BD297" i="28" s="1"/>
  <c r="AN298" i="28"/>
  <c r="BD298" i="28" s="1"/>
  <c r="AN299" i="28"/>
  <c r="BD299" i="28" s="1"/>
  <c r="AN300" i="28"/>
  <c r="BD300" i="28" s="1"/>
  <c r="AN301" i="28"/>
  <c r="BD301" i="28" s="1"/>
  <c r="AN302" i="28"/>
  <c r="BD302" i="28" s="1"/>
  <c r="AN303" i="28"/>
  <c r="BD303" i="28" s="1"/>
  <c r="AN304" i="28"/>
  <c r="BD304" i="28" s="1"/>
  <c r="AN305" i="28"/>
  <c r="BD305" i="28" s="1"/>
  <c r="AN306" i="28"/>
  <c r="BD306" i="28" s="1"/>
  <c r="AN307" i="28"/>
  <c r="BD307" i="28" s="1"/>
  <c r="AN308" i="28"/>
  <c r="BD308" i="28" s="1"/>
  <c r="AN309" i="28"/>
  <c r="BD309" i="28" s="1"/>
  <c r="AN310" i="28"/>
  <c r="BD310" i="28" s="1"/>
  <c r="AN311" i="28"/>
  <c r="BD311" i="28" s="1"/>
  <c r="AN312" i="28"/>
  <c r="BD312" i="28" s="1"/>
  <c r="AN313" i="28"/>
  <c r="BD313" i="28" s="1"/>
  <c r="AN314" i="28"/>
  <c r="BD314" i="28" s="1"/>
  <c r="AN315" i="28"/>
  <c r="BD315" i="28" s="1"/>
  <c r="AN316" i="28"/>
  <c r="BD316" i="28" s="1"/>
  <c r="AN317" i="28"/>
  <c r="BD317" i="28" s="1"/>
  <c r="AN318" i="28"/>
  <c r="BD318" i="28" s="1"/>
  <c r="AN319" i="28"/>
  <c r="BD319" i="28" s="1"/>
  <c r="AN320" i="28"/>
  <c r="BD320" i="28" s="1"/>
  <c r="AN321" i="28"/>
  <c r="BD321" i="28" s="1"/>
  <c r="AN322" i="28"/>
  <c r="BD322" i="28" s="1"/>
  <c r="AN323" i="28"/>
  <c r="BD323" i="28" s="1"/>
  <c r="AN324" i="28"/>
  <c r="BD324" i="28" s="1"/>
  <c r="AN325" i="28"/>
  <c r="BD325" i="28" s="1"/>
  <c r="AN326" i="28"/>
  <c r="BD326" i="28" s="1"/>
  <c r="AN327" i="28"/>
  <c r="BD327" i="28" s="1"/>
  <c r="AN328" i="28"/>
  <c r="BD328" i="28" s="1"/>
  <c r="AN329" i="28"/>
  <c r="BD329" i="28" s="1"/>
  <c r="AN330" i="28"/>
  <c r="BD330" i="28" s="1"/>
  <c r="AN331" i="28"/>
  <c r="BD331" i="28" s="1"/>
  <c r="AN332" i="28"/>
  <c r="BD332" i="28" s="1"/>
  <c r="AN333" i="28"/>
  <c r="BD333" i="28" s="1"/>
  <c r="AN334" i="28"/>
  <c r="BD334" i="28" s="1"/>
  <c r="AN335" i="28"/>
  <c r="BD335" i="28" s="1"/>
  <c r="AN336" i="28"/>
  <c r="BD336" i="28" s="1"/>
  <c r="AN337" i="28"/>
  <c r="BD337" i="28" s="1"/>
  <c r="AN338" i="28"/>
  <c r="BD338" i="28" s="1"/>
  <c r="AN339" i="28"/>
  <c r="BD339" i="28" s="1"/>
  <c r="AN340" i="28"/>
  <c r="BD340" i="28" s="1"/>
  <c r="AN341" i="28"/>
  <c r="BD341" i="28" s="1"/>
  <c r="AN342" i="28"/>
  <c r="BD342" i="28" s="1"/>
  <c r="AN343" i="28"/>
  <c r="BD343" i="28" s="1"/>
  <c r="AN344" i="28"/>
  <c r="BD344" i="28" s="1"/>
  <c r="AN345" i="28"/>
  <c r="BD345" i="28" s="1"/>
  <c r="AN346" i="28"/>
  <c r="BD346" i="28" s="1"/>
  <c r="AN347" i="28"/>
  <c r="BD347" i="28" s="1"/>
  <c r="AN348" i="28"/>
  <c r="BD348" i="28" s="1"/>
  <c r="AN349" i="28"/>
  <c r="BD349" i="28" s="1"/>
  <c r="AN350" i="28"/>
  <c r="BD350" i="28" s="1"/>
  <c r="AN351" i="28"/>
  <c r="BD351" i="28" s="1"/>
  <c r="AN352" i="28"/>
  <c r="BD352" i="28" s="1"/>
  <c r="AN359" i="28"/>
  <c r="BD359" i="28" s="1"/>
  <c r="AN362" i="28"/>
  <c r="BD362" i="28" s="1"/>
  <c r="AN363" i="28"/>
  <c r="BD363" i="28" s="1"/>
  <c r="AN367" i="28"/>
  <c r="BD367" i="28" s="1"/>
  <c r="AN368" i="28"/>
  <c r="BD368" i="28" s="1"/>
  <c r="AN370" i="28"/>
  <c r="BD370" i="28" s="1"/>
  <c r="AN371" i="28"/>
  <c r="BD371" i="28" s="1"/>
  <c r="AN372" i="28"/>
  <c r="BD372" i="28" s="1"/>
  <c r="AN373" i="28"/>
  <c r="BD373" i="28" s="1"/>
  <c r="AN374" i="28"/>
  <c r="BD374" i="28" s="1"/>
  <c r="AN236" i="28"/>
  <c r="AN238" i="28"/>
  <c r="AN239" i="28"/>
  <c r="BD239" i="28" s="1"/>
  <c r="AN240" i="28"/>
  <c r="BD240" i="28" s="1"/>
  <c r="AN241" i="28"/>
  <c r="BD241" i="28" s="1"/>
  <c r="AN242" i="28"/>
  <c r="BD242" i="28" s="1"/>
  <c r="AN243" i="28"/>
  <c r="BD243" i="28" s="1"/>
  <c r="AN245" i="28"/>
  <c r="BD245" i="28" s="1"/>
  <c r="AN246" i="28"/>
  <c r="BD246" i="28" s="1"/>
  <c r="AN248" i="28"/>
  <c r="BD248" i="28" s="1"/>
  <c r="AN249" i="28"/>
  <c r="BD249" i="28" s="1"/>
  <c r="AN250" i="28"/>
  <c r="BD250" i="28" s="1"/>
  <c r="AN251" i="28"/>
  <c r="BD251" i="28" s="1"/>
  <c r="AN252" i="28"/>
  <c r="BD252" i="28" s="1"/>
  <c r="AN253" i="28"/>
  <c r="BD253" i="28" s="1"/>
  <c r="AN254" i="28"/>
  <c r="BD254" i="28" s="1"/>
  <c r="AN255" i="28"/>
  <c r="BD255" i="28" s="1"/>
  <c r="AN256" i="28"/>
  <c r="BD256" i="28" s="1"/>
  <c r="AN257" i="28"/>
  <c r="BD257" i="28" s="1"/>
  <c r="AN258" i="28"/>
  <c r="BD258" i="28" s="1"/>
  <c r="AN259" i="28"/>
  <c r="BD259" i="28" s="1"/>
  <c r="AN260" i="28"/>
  <c r="BD260" i="28" s="1"/>
  <c r="AN261" i="28"/>
  <c r="BD261" i="28" s="1"/>
  <c r="AN262" i="28"/>
  <c r="BD262" i="28" s="1"/>
  <c r="AN263" i="28"/>
  <c r="BD263" i="28" s="1"/>
  <c r="AN264" i="28"/>
  <c r="BD264" i="28" s="1"/>
  <c r="AN265" i="28"/>
  <c r="BD265" i="28" s="1"/>
  <c r="AN266" i="28"/>
  <c r="BD266" i="28" s="1"/>
  <c r="AN267" i="28"/>
  <c r="BD267" i="28" s="1"/>
  <c r="AN268" i="28"/>
  <c r="BD268" i="28" s="1"/>
  <c r="AN269" i="28"/>
  <c r="BD269" i="28" s="1"/>
  <c r="AN270" i="28"/>
  <c r="BD270" i="28" s="1"/>
  <c r="AP220" i="28"/>
  <c r="AT220" i="28" s="1"/>
  <c r="AX220" i="28" s="1"/>
  <c r="AP222" i="28"/>
  <c r="AT222" i="28" s="1"/>
  <c r="AX222" i="28" s="1"/>
  <c r="AP224" i="28"/>
  <c r="AT224" i="28" s="1"/>
  <c r="AX224" i="28" s="1"/>
  <c r="AP226" i="28"/>
  <c r="AT226" i="28" s="1"/>
  <c r="AX226" i="28" s="1"/>
  <c r="AP228" i="28"/>
  <c r="AT228" i="28" s="1"/>
  <c r="AX228" i="28" s="1"/>
  <c r="AN220" i="28"/>
  <c r="AN221" i="28"/>
  <c r="BD221" i="28" s="1"/>
  <c r="AN222" i="28"/>
  <c r="AN223" i="28"/>
  <c r="BD223" i="28" s="1"/>
  <c r="AN224" i="28"/>
  <c r="AN225" i="28"/>
  <c r="BD225" i="28" s="1"/>
  <c r="AN226" i="28"/>
  <c r="AN227" i="28"/>
  <c r="BD227" i="28" s="1"/>
  <c r="AN228" i="28"/>
  <c r="AN229" i="28"/>
  <c r="BD229" i="28" s="1"/>
  <c r="AN230" i="28"/>
  <c r="BD230" i="28" s="1"/>
  <c r="AN231" i="28"/>
  <c r="AN88" i="28"/>
  <c r="BD88" i="28" s="1"/>
  <c r="AN89" i="28"/>
  <c r="BD89" i="28" s="1"/>
  <c r="AN90" i="28"/>
  <c r="BD90" i="28" s="1"/>
  <c r="AN91" i="28"/>
  <c r="BD91" i="28" s="1"/>
  <c r="AN92" i="28"/>
  <c r="BD92" i="28" s="1"/>
  <c r="AN93" i="28"/>
  <c r="BD93" i="28" s="1"/>
  <c r="AN94" i="28"/>
  <c r="BD94" i="28" s="1"/>
  <c r="AN95" i="28"/>
  <c r="BD95" i="28" s="1"/>
  <c r="AN96" i="28"/>
  <c r="BD96" i="28" s="1"/>
  <c r="AN97" i="28"/>
  <c r="BD97" i="28" s="1"/>
  <c r="AN98" i="28"/>
  <c r="BD98" i="28" s="1"/>
  <c r="AN99" i="28"/>
  <c r="BD99" i="28" s="1"/>
  <c r="AN100" i="28"/>
  <c r="BD100" i="28" s="1"/>
  <c r="AN101" i="28"/>
  <c r="BD101" i="28" s="1"/>
  <c r="AN102" i="28"/>
  <c r="BD102" i="28" s="1"/>
  <c r="AN103" i="28"/>
  <c r="BD103" i="28" s="1"/>
  <c r="AN104" i="28"/>
  <c r="BD104" i="28" s="1"/>
  <c r="AN105" i="28"/>
  <c r="BD105" i="28" s="1"/>
  <c r="AN106" i="28"/>
  <c r="BD106" i="28" s="1"/>
  <c r="AN107" i="28"/>
  <c r="BD107" i="28" s="1"/>
  <c r="AN108" i="28"/>
  <c r="BD108" i="28" s="1"/>
  <c r="AN109" i="28"/>
  <c r="BD109" i="28" s="1"/>
  <c r="AN110" i="28"/>
  <c r="BD110" i="28" s="1"/>
  <c r="AN111" i="28"/>
  <c r="BD111" i="28" s="1"/>
  <c r="AN112" i="28"/>
  <c r="BD112" i="28" s="1"/>
  <c r="AN113" i="28"/>
  <c r="BD113" i="28" s="1"/>
  <c r="AN114" i="28"/>
  <c r="BD114" i="28" s="1"/>
  <c r="AN115" i="28"/>
  <c r="BD115" i="28" s="1"/>
  <c r="AN116" i="28"/>
  <c r="BD116" i="28" s="1"/>
  <c r="AN117" i="28"/>
  <c r="BD117" i="28" s="1"/>
  <c r="AN118" i="28"/>
  <c r="BD118" i="28" s="1"/>
  <c r="AN119" i="28"/>
  <c r="BD119" i="28" s="1"/>
  <c r="AN120" i="28"/>
  <c r="BD120" i="28" s="1"/>
  <c r="AN121" i="28"/>
  <c r="BD121" i="28" s="1"/>
  <c r="AN122" i="28"/>
  <c r="BD122" i="28" s="1"/>
  <c r="AN123" i="28"/>
  <c r="BD123" i="28" s="1"/>
  <c r="AN124" i="28"/>
  <c r="BD124" i="28" s="1"/>
  <c r="AN125" i="28"/>
  <c r="BD125" i="28" s="1"/>
  <c r="AN127" i="28"/>
  <c r="BD127" i="28" s="1"/>
  <c r="AN128" i="28"/>
  <c r="BD128" i="28" s="1"/>
  <c r="AN129" i="28"/>
  <c r="BD129" i="28" s="1"/>
  <c r="AN130" i="28"/>
  <c r="BD130" i="28" s="1"/>
  <c r="AN131" i="28"/>
  <c r="BD131" i="28" s="1"/>
  <c r="AN132" i="28"/>
  <c r="BD132" i="28" s="1"/>
  <c r="AN133" i="28"/>
  <c r="BD133" i="28" s="1"/>
  <c r="AN134" i="28"/>
  <c r="BD134" i="28" s="1"/>
  <c r="AN135" i="28"/>
  <c r="BD135" i="28" s="1"/>
  <c r="AN136" i="28"/>
  <c r="BD136" i="28" s="1"/>
  <c r="AN138" i="28"/>
  <c r="BD138" i="28" s="1"/>
  <c r="AN139" i="28"/>
  <c r="BD139" i="28" s="1"/>
  <c r="AN140" i="28"/>
  <c r="BD140" i="28" s="1"/>
  <c r="AN141" i="28"/>
  <c r="BD141" i="28" s="1"/>
  <c r="AN142" i="28"/>
  <c r="BD142" i="28" s="1"/>
  <c r="AN143" i="28"/>
  <c r="BD143" i="28" s="1"/>
  <c r="AN144" i="28"/>
  <c r="BD144" i="28" s="1"/>
  <c r="AN145" i="28"/>
  <c r="BD145" i="28" s="1"/>
  <c r="AN146" i="28"/>
  <c r="BD146" i="28" s="1"/>
  <c r="AN147" i="28"/>
  <c r="BD147" i="28" s="1"/>
  <c r="AN148" i="28"/>
  <c r="BD148" i="28" s="1"/>
  <c r="AN150" i="28"/>
  <c r="BD150" i="28" s="1"/>
  <c r="AN151" i="28"/>
  <c r="BD151" i="28" s="1"/>
  <c r="AN153" i="28"/>
  <c r="BD153" i="28" s="1"/>
  <c r="AN154" i="28"/>
  <c r="BD154" i="28" s="1"/>
  <c r="AN155" i="28"/>
  <c r="BD155" i="28" s="1"/>
  <c r="AN156" i="28"/>
  <c r="BD156" i="28" s="1"/>
  <c r="AN157" i="28"/>
  <c r="BD157" i="28" s="1"/>
  <c r="AN158" i="28"/>
  <c r="BD158" i="28" s="1"/>
  <c r="AN159" i="28"/>
  <c r="BD159" i="28" s="1"/>
  <c r="AN160" i="28"/>
  <c r="BD160" i="28" s="1"/>
  <c r="AN161" i="28"/>
  <c r="BD161" i="28" s="1"/>
  <c r="AN162" i="28"/>
  <c r="BD162" i="28" s="1"/>
  <c r="AN163" i="28"/>
  <c r="BD163" i="28" s="1"/>
  <c r="AN164" i="28"/>
  <c r="BD164" i="28" s="1"/>
  <c r="AN165" i="28"/>
  <c r="BD165" i="28" s="1"/>
  <c r="AN166" i="28"/>
  <c r="BD166" i="28" s="1"/>
  <c r="AN167" i="28"/>
  <c r="BD167" i="28" s="1"/>
  <c r="AN168" i="28"/>
  <c r="BD168" i="28" s="1"/>
  <c r="AN169" i="28"/>
  <c r="BD169" i="28" s="1"/>
  <c r="AN170" i="28"/>
  <c r="BD170" i="28" s="1"/>
  <c r="AN171" i="28"/>
  <c r="BD171" i="28" s="1"/>
  <c r="AN172" i="28"/>
  <c r="BD172" i="28" s="1"/>
  <c r="AN173" i="28"/>
  <c r="BD173" i="28" s="1"/>
  <c r="AN174" i="28"/>
  <c r="BD174" i="28" s="1"/>
  <c r="AN175" i="28"/>
  <c r="BD175" i="28" s="1"/>
  <c r="AN176" i="28"/>
  <c r="BD176" i="28" s="1"/>
  <c r="AN177" i="28"/>
  <c r="BD177" i="28" s="1"/>
  <c r="AN178" i="28"/>
  <c r="BD17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N185" i="28"/>
  <c r="BD185" i="28" s="1"/>
  <c r="AN186" i="28"/>
  <c r="BD186" i="28" s="1"/>
  <c r="AN187" i="28"/>
  <c r="BD187" i="28" s="1"/>
  <c r="AN188" i="28"/>
  <c r="BD188" i="28" s="1"/>
  <c r="AN189" i="28"/>
  <c r="BD189" i="28" s="1"/>
  <c r="AN190" i="28"/>
  <c r="BD190" i="28" s="1"/>
  <c r="AN191" i="28"/>
  <c r="BD191" i="28" s="1"/>
  <c r="AN192" i="28"/>
  <c r="BD192" i="28" s="1"/>
  <c r="AN193" i="28"/>
  <c r="BD193" i="28" s="1"/>
  <c r="AN194" i="28"/>
  <c r="BD194" i="28" s="1"/>
  <c r="AN195" i="28"/>
  <c r="BD195" i="28" s="1"/>
  <c r="AN196" i="28"/>
  <c r="BD196" i="28" s="1"/>
  <c r="AN197" i="28"/>
  <c r="BD197" i="28" s="1"/>
  <c r="AN198" i="28"/>
  <c r="BD198" i="28" s="1"/>
  <c r="AN199" i="28"/>
  <c r="BD199" i="28" s="1"/>
  <c r="AN200" i="28"/>
  <c r="BD200" i="28" s="1"/>
  <c r="AN201" i="28"/>
  <c r="BD201" i="28" s="1"/>
  <c r="AN202" i="28"/>
  <c r="BD202" i="28" s="1"/>
  <c r="AN203" i="28"/>
  <c r="BD203" i="28" s="1"/>
  <c r="AN204" i="28"/>
  <c r="BD204" i="28" s="1"/>
  <c r="AN205" i="28"/>
  <c r="BD205" i="28" s="1"/>
  <c r="AN206" i="28"/>
  <c r="BD206" i="28" s="1"/>
  <c r="AN207" i="28"/>
  <c r="BD207" i="28" s="1"/>
  <c r="AK479" i="28"/>
  <c r="AL436" i="28"/>
  <c r="AL432" i="28"/>
  <c r="AL400" i="28"/>
  <c r="AL430" i="28" s="1"/>
  <c r="AL392" i="28"/>
  <c r="AL471" i="28" s="1"/>
  <c r="AK392" i="28"/>
  <c r="AL376" i="28"/>
  <c r="AL377" i="28" s="1"/>
  <c r="AL278" i="28"/>
  <c r="AL467" i="28" s="1"/>
  <c r="AK278" i="28"/>
  <c r="AL272" i="28"/>
  <c r="AK272" i="28"/>
  <c r="AL271" i="28"/>
  <c r="AL273" i="28" s="1"/>
  <c r="AK271" i="28"/>
  <c r="AL232" i="28"/>
  <c r="AL463" i="28" s="1"/>
  <c r="AK232" i="28"/>
  <c r="AL215" i="28"/>
  <c r="AL214" i="28"/>
  <c r="AL216" i="28" s="1"/>
  <c r="AL82" i="28"/>
  <c r="AL81" i="28"/>
  <c r="AL79" i="28"/>
  <c r="AL75" i="28"/>
  <c r="AL71" i="28"/>
  <c r="AL67" i="28"/>
  <c r="AK54" i="28"/>
  <c r="AK53" i="28"/>
  <c r="AK52" i="28"/>
  <c r="AL47" i="28"/>
  <c r="AL40" i="28"/>
  <c r="AL32" i="28"/>
  <c r="AL54" i="28" s="1"/>
  <c r="AL31" i="28"/>
  <c r="AL53" i="28" s="1"/>
  <c r="AL30" i="28"/>
  <c r="AL52" i="28" s="1"/>
  <c r="AL29" i="28"/>
  <c r="AL51" i="28" s="1"/>
  <c r="AL28" i="28"/>
  <c r="AL50" i="28" s="1"/>
  <c r="AL26" i="28"/>
  <c r="AL60" i="28" s="1"/>
  <c r="AK21" i="28"/>
  <c r="AK26" i="28" s="1"/>
  <c r="AL19" i="28"/>
  <c r="AK14" i="28"/>
  <c r="AK19" i="28" s="1"/>
  <c r="AL12" i="28"/>
  <c r="AL58" i="28" s="1"/>
  <c r="AK7" i="28"/>
  <c r="AM193" i="73"/>
  <c r="BC193" i="73" s="1"/>
  <c r="AM194" i="73"/>
  <c r="BC194" i="73" s="1"/>
  <c r="AM195" i="73"/>
  <c r="BC195" i="73" s="1"/>
  <c r="AM196" i="73"/>
  <c r="BC196" i="73" s="1"/>
  <c r="AM197" i="73"/>
  <c r="BC197" i="73" s="1"/>
  <c r="AM198" i="73"/>
  <c r="BC198" i="73" s="1"/>
  <c r="AM199" i="73"/>
  <c r="BC199" i="73" s="1"/>
  <c r="AM200" i="73"/>
  <c r="BC200" i="73" s="1"/>
  <c r="AM177" i="73"/>
  <c r="AM93" i="73"/>
  <c r="BC93" i="73" s="1"/>
  <c r="AM67" i="73"/>
  <c r="AM68" i="73"/>
  <c r="AM69" i="73"/>
  <c r="AM70" i="73"/>
  <c r="BC70" i="73" s="1"/>
  <c r="AM71" i="73"/>
  <c r="BC71" i="73" s="1"/>
  <c r="AM72" i="73"/>
  <c r="BC72" i="73" s="1"/>
  <c r="AM73" i="73"/>
  <c r="BC73" i="73" s="1"/>
  <c r="AM74" i="73"/>
  <c r="AM75" i="73"/>
  <c r="AM76" i="73"/>
  <c r="AM77" i="73"/>
  <c r="AM78" i="73"/>
  <c r="AM79" i="73"/>
  <c r="AM80" i="73"/>
  <c r="AK8" i="73"/>
  <c r="AK190" i="73"/>
  <c r="AK179" i="73"/>
  <c r="AK188" i="73" s="1"/>
  <c r="AK133" i="73"/>
  <c r="AK129" i="73"/>
  <c r="AK125" i="73"/>
  <c r="AK121" i="73"/>
  <c r="AK114" i="73"/>
  <c r="AK11" i="15" s="1"/>
  <c r="AK12" i="15" s="1"/>
  <c r="AK13" i="15" s="1"/>
  <c r="AK108" i="73"/>
  <c r="AK102" i="73"/>
  <c r="AK65" i="73"/>
  <c r="AK58" i="73"/>
  <c r="AK53" i="73"/>
  <c r="AK48" i="73"/>
  <c r="AK34" i="73"/>
  <c r="AK23" i="73"/>
  <c r="AK16" i="73"/>
  <c r="AK14" i="73"/>
  <c r="AK6" i="73"/>
  <c r="AO79" i="59"/>
  <c r="AO78" i="59"/>
  <c r="AO77" i="59"/>
  <c r="AN76" i="59"/>
  <c r="AO74" i="59"/>
  <c r="AN74" i="59"/>
  <c r="AO73" i="59"/>
  <c r="AN73" i="59"/>
  <c r="AO70" i="59"/>
  <c r="AN70" i="59"/>
  <c r="AO69" i="59"/>
  <c r="AN69" i="59"/>
  <c r="AO66" i="59"/>
  <c r="AN66" i="59"/>
  <c r="AO65" i="59"/>
  <c r="AN65" i="59"/>
  <c r="AO62" i="59"/>
  <c r="AN62" i="59"/>
  <c r="AO61" i="59"/>
  <c r="AN61" i="59"/>
  <c r="AO60" i="59"/>
  <c r="AO59" i="59"/>
  <c r="AN59" i="59"/>
  <c r="AO58" i="59"/>
  <c r="AN58" i="59"/>
  <c r="AN53" i="59"/>
  <c r="AO52" i="59"/>
  <c r="AN52" i="59"/>
  <c r="AO51" i="59"/>
  <c r="AN51" i="59"/>
  <c r="AO50" i="59"/>
  <c r="AN50" i="59"/>
  <c r="AO48" i="59"/>
  <c r="AN48" i="59"/>
  <c r="AO47" i="59"/>
  <c r="AN47" i="59"/>
  <c r="AO46" i="59"/>
  <c r="AN46" i="59"/>
  <c r="AO45" i="59"/>
  <c r="AN45" i="59"/>
  <c r="AO43" i="59"/>
  <c r="AN43" i="59"/>
  <c r="AO42" i="59"/>
  <c r="AN42" i="59"/>
  <c r="AO41" i="59"/>
  <c r="AN41" i="59"/>
  <c r="AN39" i="59"/>
  <c r="AN38" i="59"/>
  <c r="AN37" i="59"/>
  <c r="AO36" i="59"/>
  <c r="AN36" i="59"/>
  <c r="AO35" i="59"/>
  <c r="AN35" i="59"/>
  <c r="AO34" i="59"/>
  <c r="AN34" i="59"/>
  <c r="AO33" i="59"/>
  <c r="AN33" i="59"/>
  <c r="AO32" i="59"/>
  <c r="AN32" i="59"/>
  <c r="AO31" i="59"/>
  <c r="AN31" i="59"/>
  <c r="AO30" i="59"/>
  <c r="AN30" i="59"/>
  <c r="AO29" i="59"/>
  <c r="AN29" i="59"/>
  <c r="AO28" i="59"/>
  <c r="AN28" i="59"/>
  <c r="AO27" i="59"/>
  <c r="AO26" i="59"/>
  <c r="AO25" i="59"/>
  <c r="AO24" i="59"/>
  <c r="AO23" i="59"/>
  <c r="AN23" i="59"/>
  <c r="AO22" i="59"/>
  <c r="AN22" i="59"/>
  <c r="AO20" i="59"/>
  <c r="AO19" i="59"/>
  <c r="AO18" i="59"/>
  <c r="AO17" i="59"/>
  <c r="AO16" i="59"/>
  <c r="AN16" i="59"/>
  <c r="AO15" i="59"/>
  <c r="AN15" i="59"/>
  <c r="AO12" i="59"/>
  <c r="AN12" i="59"/>
  <c r="AO11" i="59"/>
  <c r="AN11" i="59"/>
  <c r="AK54" i="36"/>
  <c r="AK53" i="36"/>
  <c r="AK51" i="36"/>
  <c r="AK49" i="36"/>
  <c r="AK48" i="36"/>
  <c r="AK50" i="36" s="1"/>
  <c r="AL46" i="36"/>
  <c r="AL54" i="36" s="1"/>
  <c r="AL44" i="36"/>
  <c r="AL52" i="36" s="1"/>
  <c r="AL43" i="36"/>
  <c r="AL51" i="36" s="1"/>
  <c r="AL53" i="36" s="1"/>
  <c r="AL41" i="36"/>
  <c r="AL49" i="36" s="1"/>
  <c r="AL40" i="36"/>
  <c r="AL48" i="36" s="1"/>
  <c r="AL50" i="36" s="1"/>
  <c r="AL39" i="36"/>
  <c r="AL17" i="36" s="1"/>
  <c r="AO55" i="59" s="1"/>
  <c r="AL38" i="36"/>
  <c r="AL16" i="36" s="1"/>
  <c r="AL32" i="36"/>
  <c r="AK29" i="36"/>
  <c r="AJ7" i="15" s="1"/>
  <c r="AK28" i="36"/>
  <c r="AJ6" i="15" s="1"/>
  <c r="AK27" i="36"/>
  <c r="AJ5" i="15" s="1"/>
  <c r="AL24" i="36"/>
  <c r="AO75" i="59" s="1"/>
  <c r="AK24" i="36"/>
  <c r="AN75" i="59" s="1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7" i="36"/>
  <c r="AK90" i="9" s="1"/>
  <c r="AK16" i="36"/>
  <c r="AK13" i="36"/>
  <c r="AN40" i="59" s="1"/>
  <c r="AL12" i="36"/>
  <c r="AO39" i="59" s="1"/>
  <c r="AL11" i="36"/>
  <c r="AO38" i="59" s="1"/>
  <c r="AL10" i="36"/>
  <c r="AL9" i="36"/>
  <c r="AO10" i="59" s="1"/>
  <c r="AK9" i="36"/>
  <c r="AN10" i="59" s="1"/>
  <c r="AL8" i="36"/>
  <c r="AO9" i="59" s="1"/>
  <c r="AK8" i="36"/>
  <c r="AN9" i="59" s="1"/>
  <c r="AL7" i="36"/>
  <c r="AO8" i="59" s="1"/>
  <c r="AK7" i="36"/>
  <c r="AN8" i="59" s="1"/>
  <c r="AK5" i="36"/>
  <c r="AK13" i="49" s="1"/>
  <c r="AK14" i="49" s="1"/>
  <c r="AK15" i="49" s="1"/>
  <c r="AK16" i="49" s="1"/>
  <c r="AK19" i="49" s="1"/>
  <c r="AK20" i="49" s="1"/>
  <c r="AL28" i="21"/>
  <c r="AK27" i="21"/>
  <c r="AL24" i="21"/>
  <c r="AL25" i="21" s="1"/>
  <c r="AL18" i="21"/>
  <c r="AL15" i="21"/>
  <c r="AL12" i="21"/>
  <c r="AK12" i="21"/>
  <c r="AK22" i="21" s="1"/>
  <c r="AK34" i="35"/>
  <c r="AK18" i="35"/>
  <c r="AK16" i="35"/>
  <c r="AK46" i="36" l="1"/>
  <c r="AO44" i="59"/>
  <c r="AK136" i="73"/>
  <c r="AK43" i="36"/>
  <c r="AK45" i="36" s="1"/>
  <c r="AJ17" i="15"/>
  <c r="AJ14" i="15" s="1"/>
  <c r="AJ15" i="15" s="1"/>
  <c r="AK5" i="9"/>
  <c r="AK40" i="36"/>
  <c r="AK42" i="36" s="1"/>
  <c r="AK19" i="9"/>
  <c r="AK32" i="36"/>
  <c r="AK39" i="36" s="1"/>
  <c r="AM139" i="50"/>
  <c r="AM141" i="50" s="1"/>
  <c r="AK117" i="90"/>
  <c r="AN77" i="59"/>
  <c r="AN78" i="59"/>
  <c r="AN79" i="59"/>
  <c r="AN55" i="59"/>
  <c r="AK89" i="9"/>
  <c r="AK91" i="9" s="1"/>
  <c r="AN54" i="59"/>
  <c r="AN6" i="59"/>
  <c r="AN49" i="59"/>
  <c r="AL18" i="36"/>
  <c r="AO56" i="59" s="1"/>
  <c r="AL447" i="28"/>
  <c r="AL479" i="28" s="1"/>
  <c r="AL457" i="28"/>
  <c r="AL33" i="28"/>
  <c r="AL61" i="28" s="1"/>
  <c r="AL470" i="28"/>
  <c r="AL468" i="28"/>
  <c r="AK5" i="73"/>
  <c r="AL13" i="36"/>
  <c r="AO40" i="59" s="1"/>
  <c r="AL42" i="36"/>
  <c r="AL45" i="36"/>
  <c r="AO54" i="59"/>
  <c r="AO49" i="59"/>
  <c r="AN44" i="59"/>
  <c r="AO37" i="59"/>
  <c r="AL83" i="28"/>
  <c r="AL84" i="28" s="1"/>
  <c r="AL466" i="28"/>
  <c r="AL465" i="28"/>
  <c r="AL59" i="28"/>
  <c r="AL461" i="28"/>
  <c r="AL460" i="28"/>
  <c r="AL462" i="28"/>
  <c r="AK60" i="28"/>
  <c r="AK73" i="28" s="1"/>
  <c r="AK468" i="28" s="1"/>
  <c r="AK377" i="28"/>
  <c r="AK470" i="28" s="1"/>
  <c r="AL55" i="28"/>
  <c r="AL477" i="28" s="1"/>
  <c r="AK273" i="28"/>
  <c r="AK466" i="28" s="1"/>
  <c r="AK59" i="28"/>
  <c r="AK69" i="28" s="1"/>
  <c r="AL480" i="28"/>
  <c r="AL448" i="28"/>
  <c r="AL464" i="28"/>
  <c r="AK12" i="28"/>
  <c r="AL458" i="28"/>
  <c r="AL469" i="28"/>
  <c r="AK117" i="73"/>
  <c r="AL19" i="36"/>
  <c r="AO57" i="59" s="1"/>
  <c r="AL20" i="21"/>
  <c r="AK15" i="21"/>
  <c r="AK55" i="9" l="1"/>
  <c r="AK100" i="9"/>
  <c r="AJ132" i="26"/>
  <c r="AK27" i="9"/>
  <c r="AK92" i="9"/>
  <c r="AK95" i="9"/>
  <c r="AK66" i="9"/>
  <c r="AK59" i="9"/>
  <c r="AK67" i="9"/>
  <c r="AK65" i="9"/>
  <c r="AK64" i="9"/>
  <c r="AK7" i="9"/>
  <c r="AK63" i="9"/>
  <c r="AK69" i="9"/>
  <c r="AK56" i="9"/>
  <c r="AK57" i="9" s="1"/>
  <c r="AK70" i="9"/>
  <c r="AK61" i="9"/>
  <c r="AK58" i="9"/>
  <c r="AK68" i="9"/>
  <c r="AK33" i="22"/>
  <c r="AK38" i="36"/>
  <c r="AK119" i="90"/>
  <c r="AL472" i="28"/>
  <c r="AM142" i="50"/>
  <c r="AK465" i="28"/>
  <c r="AL62" i="28"/>
  <c r="AL478" i="28" s="1"/>
  <c r="AL452" i="28"/>
  <c r="AL473" i="28"/>
  <c r="AL451" i="28"/>
  <c r="AL56" i="28"/>
  <c r="AK216" i="28"/>
  <c r="AK462" i="28" s="1"/>
  <c r="AK58" i="28"/>
  <c r="AL474" i="28"/>
  <c r="AK458" i="28"/>
  <c r="AK457" i="28"/>
  <c r="AK469" i="28"/>
  <c r="AK464" i="28"/>
  <c r="AK60" i="9" l="1"/>
  <c r="AK62" i="9" s="1"/>
  <c r="AK21" i="22"/>
  <c r="AK22" i="22" s="1"/>
  <c r="AK24" i="22" s="1"/>
  <c r="AK25" i="22" s="1"/>
  <c r="AK27" i="22" s="1"/>
  <c r="AK7" i="22"/>
  <c r="AK8" i="22" s="1"/>
  <c r="AK10" i="22" s="1"/>
  <c r="AK11" i="22" s="1"/>
  <c r="AK13" i="22" s="1"/>
  <c r="AK123" i="90"/>
  <c r="AK65" i="28"/>
  <c r="AK461" i="28" l="1"/>
  <c r="AK460" i="28"/>
  <c r="AK42" i="35" l="1"/>
  <c r="AK41" i="35"/>
  <c r="AL40" i="35"/>
  <c r="AL39" i="35"/>
  <c r="AK39" i="35"/>
  <c r="AL36" i="35"/>
  <c r="AL48" i="35" s="1"/>
  <c r="AK36" i="35"/>
  <c r="AK33" i="35"/>
  <c r="AL32" i="35"/>
  <c r="AL31" i="35"/>
  <c r="AL30" i="35"/>
  <c r="AL26" i="35"/>
  <c r="AL33" i="36" s="1"/>
  <c r="AL34" i="36" s="1"/>
  <c r="AL35" i="36" s="1"/>
  <c r="AL36" i="36" s="1"/>
  <c r="AL30" i="36" s="1"/>
  <c r="AO80" i="59" s="1"/>
  <c r="AK26" i="35"/>
  <c r="AK21" i="35"/>
  <c r="AK26" i="9" s="1"/>
  <c r="AL20" i="35"/>
  <c r="AK20" i="35"/>
  <c r="AL19" i="35"/>
  <c r="AK19" i="35"/>
  <c r="AL14" i="35"/>
  <c r="AL5" i="36" s="1"/>
  <c r="AL13" i="49" s="1"/>
  <c r="AL14" i="49" s="1"/>
  <c r="AL15" i="49" s="1"/>
  <c r="AL16" i="49" s="1"/>
  <c r="AL19" i="49" s="1"/>
  <c r="AL20" i="49" s="1"/>
  <c r="AL13" i="35"/>
  <c r="AL11" i="35"/>
  <c r="AL10" i="6" s="1"/>
  <c r="AK10" i="35"/>
  <c r="AK9" i="6" s="1"/>
  <c r="AK9" i="35"/>
  <c r="AK8" i="35"/>
  <c r="AL7" i="35"/>
  <c r="AL6" i="6" s="1"/>
  <c r="AL6" i="35"/>
  <c r="AK14" i="35" l="1"/>
  <c r="AK13" i="35"/>
  <c r="AK15" i="35" s="1"/>
  <c r="AK8" i="6"/>
  <c r="AK26" i="21"/>
  <c r="AK28" i="21" s="1"/>
  <c r="AK33" i="36"/>
  <c r="AK34" i="36" s="1"/>
  <c r="AK35" i="36" s="1"/>
  <c r="AK36" i="36" s="1"/>
  <c r="AK30" i="36" s="1"/>
  <c r="AN80" i="59" s="1"/>
  <c r="AK48" i="35"/>
  <c r="AK49" i="35" s="1"/>
  <c r="AK55" i="35" s="1"/>
  <c r="AK28" i="28"/>
  <c r="AL16" i="6"/>
  <c r="AL18" i="6"/>
  <c r="AL8" i="35"/>
  <c r="AL5" i="6"/>
  <c r="AL33" i="35"/>
  <c r="AL41" i="35"/>
  <c r="AL98" i="11"/>
  <c r="AL15" i="35"/>
  <c r="AO6" i="59"/>
  <c r="AK37" i="35"/>
  <c r="AL95" i="50" s="1"/>
  <c r="AL93" i="50" s="1"/>
  <c r="AK11" i="35"/>
  <c r="AK10" i="6" s="1"/>
  <c r="AK33" i="28" l="1"/>
  <c r="AK50" i="28"/>
  <c r="AK55" i="28" s="1"/>
  <c r="AK477" i="28" s="1"/>
  <c r="AL37" i="35"/>
  <c r="AM79" i="83" s="1"/>
  <c r="AM77" i="83" s="1"/>
  <c r="AL49" i="35"/>
  <c r="AL189" i="6"/>
  <c r="AL194" i="6"/>
  <c r="AL7" i="6"/>
  <c r="AL15" i="6"/>
  <c r="AL17" i="6"/>
  <c r="AK448" i="28" l="1"/>
  <c r="AK474" i="28" s="1"/>
  <c r="AK61" i="28"/>
  <c r="AL55" i="35"/>
  <c r="AL25" i="36"/>
  <c r="AO76" i="59" s="1"/>
  <c r="AM95" i="50"/>
  <c r="AM93" i="50" s="1"/>
  <c r="AL168" i="6"/>
  <c r="AL19" i="6"/>
  <c r="AL81" i="6" s="1"/>
  <c r="AL164" i="6"/>
  <c r="AK77" i="28" l="1"/>
  <c r="AK452" i="28" s="1"/>
  <c r="AK62" i="28"/>
  <c r="AK478" i="28" s="1"/>
  <c r="AK451" i="28"/>
  <c r="AL37" i="6"/>
  <c r="AL40" i="6"/>
  <c r="AL38" i="6"/>
  <c r="AL39" i="6"/>
  <c r="AL84" i="6"/>
  <c r="H16" i="6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11" i="61" s="1"/>
  <c r="AI20" i="50"/>
  <c r="AI21" i="50"/>
  <c r="AI22" i="50"/>
  <c r="AI23" i="50"/>
  <c r="AI24" i="50"/>
  <c r="AI15" i="61" s="1"/>
  <c r="AI25" i="50"/>
  <c r="AI26" i="50"/>
  <c r="AI27" i="50"/>
  <c r="AI29" i="50"/>
  <c r="AI31" i="50"/>
  <c r="AE19" i="50"/>
  <c r="AE20" i="50"/>
  <c r="AE21" i="50"/>
  <c r="AE22" i="50"/>
  <c r="AE23" i="50"/>
  <c r="AE25" i="50"/>
  <c r="AE26" i="50"/>
  <c r="AE29" i="50"/>
  <c r="AE31" i="50"/>
  <c r="Y20" i="50"/>
  <c r="Y12" i="61" s="1"/>
  <c r="Y21" i="50"/>
  <c r="Y13" i="61" s="1"/>
  <c r="Y22" i="50"/>
  <c r="Y14" i="61" s="1"/>
  <c r="Y23" i="50"/>
  <c r="Y25" i="50"/>
  <c r="Y26" i="50"/>
  <c r="Y30" i="50"/>
  <c r="Y31" i="50"/>
  <c r="U12" i="61"/>
  <c r="U13" i="61"/>
  <c r="U14" i="61"/>
  <c r="U15" i="61"/>
  <c r="Q20" i="50"/>
  <c r="Q21" i="50"/>
  <c r="Q22" i="50"/>
  <c r="Q23" i="50"/>
  <c r="Q25" i="50"/>
  <c r="Q26" i="50"/>
  <c r="Q27" i="50"/>
  <c r="Q29" i="50"/>
  <c r="Q30" i="50"/>
  <c r="Q31" i="50"/>
  <c r="M11" i="61"/>
  <c r="M12" i="61"/>
  <c r="M13" i="61"/>
  <c r="M14" i="61"/>
  <c r="M15" i="61"/>
  <c r="I19" i="50"/>
  <c r="I20" i="50"/>
  <c r="I21" i="50"/>
  <c r="I22" i="50"/>
  <c r="I23" i="50"/>
  <c r="I24" i="50"/>
  <c r="I25" i="50"/>
  <c r="I26" i="50"/>
  <c r="I27" i="50"/>
  <c r="I29" i="50"/>
  <c r="I30" i="50"/>
  <c r="I31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9" i="50"/>
  <c r="G30" i="50"/>
  <c r="G31" i="50"/>
  <c r="Q14" i="61" l="1"/>
  <c r="Q13" i="61"/>
  <c r="Q12" i="61"/>
  <c r="AO23" i="50"/>
  <c r="BE23" i="50" s="1"/>
  <c r="AO25" i="50"/>
  <c r="BE25" i="50" s="1"/>
  <c r="K27" i="50"/>
  <c r="K26" i="50"/>
  <c r="K31" i="50"/>
  <c r="K30" i="50"/>
  <c r="K23" i="50"/>
  <c r="K29" i="50"/>
  <c r="I12" i="61"/>
  <c r="K12" i="61" s="1"/>
  <c r="K20" i="50"/>
  <c r="I13" i="61"/>
  <c r="K13" i="61" s="1"/>
  <c r="K21" i="50"/>
  <c r="I11" i="61"/>
  <c r="I15" i="61"/>
  <c r="K15" i="61" s="1"/>
  <c r="K24" i="50"/>
  <c r="I14" i="61"/>
  <c r="K14" i="61" s="1"/>
  <c r="K22" i="50"/>
  <c r="AK472" i="28"/>
  <c r="AK473" i="28"/>
  <c r="AK81" i="28"/>
  <c r="AO26" i="50"/>
  <c r="BE26" i="50" s="1"/>
  <c r="AO31" i="50"/>
  <c r="BE31" i="50" s="1"/>
  <c r="AE11" i="61"/>
  <c r="AO11" i="61" s="1"/>
  <c r="BE11" i="61" s="1"/>
  <c r="AO19" i="50"/>
  <c r="BE19" i="50" s="1"/>
  <c r="AE12" i="61"/>
  <c r="AO20" i="50"/>
  <c r="BE20" i="50" s="1"/>
  <c r="AO29" i="50"/>
  <c r="BE29" i="50" s="1"/>
  <c r="AE14" i="61"/>
  <c r="AO22" i="50"/>
  <c r="BE22" i="50" s="1"/>
  <c r="AE13" i="61"/>
  <c r="AO21" i="50"/>
  <c r="BE21" i="50" s="1"/>
  <c r="AL41" i="6"/>
  <c r="AI14" i="61"/>
  <c r="AI13" i="61"/>
  <c r="O29" i="50"/>
  <c r="S29" i="50" s="1"/>
  <c r="W29" i="50" s="1"/>
  <c r="AI12" i="61"/>
  <c r="O26" i="50"/>
  <c r="S26" i="50" s="1"/>
  <c r="W26" i="50" s="1"/>
  <c r="AA25" i="50"/>
  <c r="O27" i="50"/>
  <c r="S27" i="50" s="1"/>
  <c r="W27" i="50" s="1"/>
  <c r="AA26" i="50"/>
  <c r="O22" i="50"/>
  <c r="S22" i="50" s="1"/>
  <c r="W22" i="50" s="1"/>
  <c r="AA21" i="50"/>
  <c r="O21" i="50"/>
  <c r="S21" i="50" s="1"/>
  <c r="W21" i="50" s="1"/>
  <c r="O31" i="50"/>
  <c r="S31" i="50" s="1"/>
  <c r="W31" i="50" s="1"/>
  <c r="AA30" i="50"/>
  <c r="O24" i="50"/>
  <c r="O23" i="50"/>
  <c r="S23" i="50" s="1"/>
  <c r="W23" i="50" s="1"/>
  <c r="AA22" i="50"/>
  <c r="AA20" i="50"/>
  <c r="O20" i="50"/>
  <c r="S20" i="50" s="1"/>
  <c r="W20" i="50" s="1"/>
  <c r="AA31" i="50"/>
  <c r="O30" i="50"/>
  <c r="S30" i="50" s="1"/>
  <c r="W30" i="50" s="1"/>
  <c r="O25" i="50"/>
  <c r="S25" i="50" s="1"/>
  <c r="W25" i="50" s="1"/>
  <c r="AA23" i="50"/>
  <c r="H131" i="50"/>
  <c r="J131" i="50"/>
  <c r="L131" i="50"/>
  <c r="N131" i="50"/>
  <c r="P131" i="50"/>
  <c r="R131" i="50"/>
  <c r="T131" i="50"/>
  <c r="V131" i="50"/>
  <c r="X131" i="50"/>
  <c r="Z131" i="50"/>
  <c r="AB131" i="50"/>
  <c r="AD131" i="50"/>
  <c r="AF131" i="50"/>
  <c r="AH131" i="50"/>
  <c r="AJ131" i="50"/>
  <c r="H113" i="50"/>
  <c r="J113" i="50"/>
  <c r="L113" i="50"/>
  <c r="N113" i="50"/>
  <c r="P113" i="50"/>
  <c r="R113" i="50"/>
  <c r="T113" i="50"/>
  <c r="V113" i="50"/>
  <c r="X113" i="50"/>
  <c r="Z113" i="50"/>
  <c r="AB113" i="50"/>
  <c r="AD113" i="50"/>
  <c r="AF113" i="50"/>
  <c r="AH113" i="50"/>
  <c r="AJ113" i="50"/>
  <c r="AI140" i="50"/>
  <c r="AI138" i="50"/>
  <c r="AI137" i="50"/>
  <c r="AE140" i="50"/>
  <c r="AE138" i="50"/>
  <c r="AE137" i="50"/>
  <c r="Y140" i="50"/>
  <c r="Y138" i="50"/>
  <c r="Y137" i="50"/>
  <c r="Q140" i="50"/>
  <c r="Q138" i="50"/>
  <c r="Q137" i="50"/>
  <c r="M140" i="50"/>
  <c r="M138" i="50"/>
  <c r="M137" i="50"/>
  <c r="I140" i="50"/>
  <c r="I138" i="50"/>
  <c r="I137" i="50"/>
  <c r="G138" i="50"/>
  <c r="G137" i="50"/>
  <c r="AI111" i="50"/>
  <c r="AI110" i="50"/>
  <c r="AI109" i="50"/>
  <c r="AE111" i="50"/>
  <c r="Q111" i="50"/>
  <c r="Q110" i="50"/>
  <c r="Q109" i="50"/>
  <c r="M111" i="50"/>
  <c r="M110" i="50"/>
  <c r="M109" i="50"/>
  <c r="I111" i="50"/>
  <c r="I110" i="50"/>
  <c r="I109" i="50"/>
  <c r="H39" i="50"/>
  <c r="J39" i="50"/>
  <c r="L39" i="50"/>
  <c r="N39" i="50"/>
  <c r="P39" i="50"/>
  <c r="R39" i="50"/>
  <c r="T39" i="50"/>
  <c r="V39" i="50"/>
  <c r="X39" i="50"/>
  <c r="Z39" i="50"/>
  <c r="AB39" i="50"/>
  <c r="AD39" i="50"/>
  <c r="AF39" i="50"/>
  <c r="AH39" i="50"/>
  <c r="AJ39" i="50"/>
  <c r="H47" i="50"/>
  <c r="J47" i="50"/>
  <c r="L47" i="50"/>
  <c r="N47" i="50"/>
  <c r="P47" i="50"/>
  <c r="R47" i="50"/>
  <c r="T47" i="50"/>
  <c r="V47" i="50"/>
  <c r="X47" i="50"/>
  <c r="Z47" i="50"/>
  <c r="AB47" i="50"/>
  <c r="AD47" i="50"/>
  <c r="AF47" i="50"/>
  <c r="AH47" i="50"/>
  <c r="AJ47" i="50"/>
  <c r="H55" i="50"/>
  <c r="J55" i="50"/>
  <c r="L55" i="50"/>
  <c r="N55" i="50"/>
  <c r="P55" i="50"/>
  <c r="R55" i="50"/>
  <c r="T55" i="50"/>
  <c r="V55" i="50"/>
  <c r="X55" i="50"/>
  <c r="Z55" i="50"/>
  <c r="AB55" i="50"/>
  <c r="AD55" i="50"/>
  <c r="AF55" i="50"/>
  <c r="AH55" i="50"/>
  <c r="AJ55" i="50"/>
  <c r="H79" i="50"/>
  <c r="I79" i="50"/>
  <c r="J79" i="50"/>
  <c r="L79" i="50"/>
  <c r="M79" i="50"/>
  <c r="M124" i="50" s="1"/>
  <c r="N79" i="50"/>
  <c r="P79" i="50"/>
  <c r="Q79" i="50"/>
  <c r="R79" i="50"/>
  <c r="T79" i="50"/>
  <c r="V79" i="50"/>
  <c r="X79" i="50"/>
  <c r="Y79" i="50"/>
  <c r="Z79" i="50"/>
  <c r="AB79" i="50"/>
  <c r="AD79" i="50"/>
  <c r="AE79" i="50"/>
  <c r="AF79" i="50"/>
  <c r="AH79" i="50"/>
  <c r="AI79" i="50"/>
  <c r="AJ79" i="50"/>
  <c r="H91" i="50"/>
  <c r="I91" i="50"/>
  <c r="J91" i="50"/>
  <c r="L91" i="50"/>
  <c r="M91" i="50"/>
  <c r="N91" i="50"/>
  <c r="P91" i="50"/>
  <c r="Q91" i="50"/>
  <c r="R91" i="50"/>
  <c r="T91" i="50"/>
  <c r="V91" i="50"/>
  <c r="X91" i="50"/>
  <c r="Y91" i="50"/>
  <c r="Z91" i="50"/>
  <c r="AB91" i="50"/>
  <c r="AD91" i="50"/>
  <c r="AE91" i="50"/>
  <c r="AF91" i="50"/>
  <c r="AH91" i="50"/>
  <c r="AI91" i="50"/>
  <c r="AJ91" i="50"/>
  <c r="AA56" i="50"/>
  <c r="AA57" i="50"/>
  <c r="AA58" i="50"/>
  <c r="AA59" i="50"/>
  <c r="AA60" i="50"/>
  <c r="AA61" i="50"/>
  <c r="AA63" i="50"/>
  <c r="AA64" i="50"/>
  <c r="AA65" i="50"/>
  <c r="AA66" i="50"/>
  <c r="AA67" i="50"/>
  <c r="AA68" i="50"/>
  <c r="AA69" i="50"/>
  <c r="AA70" i="50"/>
  <c r="AA71" i="50"/>
  <c r="AA72" i="50"/>
  <c r="AA73" i="50"/>
  <c r="AA75" i="50"/>
  <c r="AA76" i="50"/>
  <c r="AA77" i="50"/>
  <c r="AA78" i="50"/>
  <c r="AA80" i="50"/>
  <c r="AA81" i="50"/>
  <c r="AA82" i="50"/>
  <c r="AA83" i="50"/>
  <c r="AA84" i="50"/>
  <c r="AA85" i="50"/>
  <c r="AA86" i="50"/>
  <c r="AA87" i="50"/>
  <c r="AA88" i="50"/>
  <c r="AA89" i="50"/>
  <c r="AA90" i="50"/>
  <c r="O56" i="50"/>
  <c r="S56" i="50" s="1"/>
  <c r="W56" i="50" s="1"/>
  <c r="O57" i="50"/>
  <c r="S57" i="50" s="1"/>
  <c r="W57" i="50" s="1"/>
  <c r="O58" i="50"/>
  <c r="S58" i="50" s="1"/>
  <c r="W58" i="50" s="1"/>
  <c r="O59" i="50"/>
  <c r="S59" i="50" s="1"/>
  <c r="W59" i="50" s="1"/>
  <c r="O60" i="50"/>
  <c r="S60" i="50" s="1"/>
  <c r="W60" i="50" s="1"/>
  <c r="O61" i="50"/>
  <c r="O63" i="50"/>
  <c r="O64" i="50"/>
  <c r="O65" i="50"/>
  <c r="S65" i="50" s="1"/>
  <c r="W65" i="50" s="1"/>
  <c r="O66" i="50"/>
  <c r="S66" i="50" s="1"/>
  <c r="W66" i="50" s="1"/>
  <c r="O67" i="50"/>
  <c r="O68" i="50"/>
  <c r="O69" i="50"/>
  <c r="O70" i="50"/>
  <c r="S70" i="50" s="1"/>
  <c r="W70" i="50" s="1"/>
  <c r="O71" i="50"/>
  <c r="S71" i="50" s="1"/>
  <c r="W71" i="50" s="1"/>
  <c r="O72" i="50"/>
  <c r="S72" i="50" s="1"/>
  <c r="W72" i="50" s="1"/>
  <c r="O73" i="50"/>
  <c r="O75" i="50"/>
  <c r="S75" i="50" s="1"/>
  <c r="W75" i="50" s="1"/>
  <c r="O76" i="50"/>
  <c r="S76" i="50" s="1"/>
  <c r="W76" i="50" s="1"/>
  <c r="O77" i="50"/>
  <c r="S77" i="50" s="1"/>
  <c r="W77" i="50" s="1"/>
  <c r="O78" i="50"/>
  <c r="S78" i="50" s="1"/>
  <c r="W78" i="50" s="1"/>
  <c r="O80" i="50"/>
  <c r="O81" i="50"/>
  <c r="O82" i="50"/>
  <c r="S82" i="50" s="1"/>
  <c r="W82" i="50" s="1"/>
  <c r="O83" i="50"/>
  <c r="S83" i="50" s="1"/>
  <c r="W83" i="50" s="1"/>
  <c r="O84" i="50"/>
  <c r="S84" i="50" s="1"/>
  <c r="W84" i="50" s="1"/>
  <c r="O85" i="50"/>
  <c r="S85" i="50" s="1"/>
  <c r="W85" i="50" s="1"/>
  <c r="O86" i="50"/>
  <c r="S86" i="50" s="1"/>
  <c r="W86" i="50" s="1"/>
  <c r="O87" i="50"/>
  <c r="O88" i="50"/>
  <c r="S88" i="50" s="1"/>
  <c r="W88" i="50" s="1"/>
  <c r="O89" i="50"/>
  <c r="O90" i="50"/>
  <c r="S90" i="50" s="1"/>
  <c r="W90" i="50" s="1"/>
  <c r="K56" i="50"/>
  <c r="K57" i="50"/>
  <c r="K58" i="50"/>
  <c r="K59" i="50"/>
  <c r="K60" i="50"/>
  <c r="K61" i="50"/>
  <c r="K63" i="50"/>
  <c r="K64" i="50"/>
  <c r="K65" i="50"/>
  <c r="K66" i="50"/>
  <c r="K67" i="50"/>
  <c r="K68" i="50"/>
  <c r="K69" i="50"/>
  <c r="K70" i="50"/>
  <c r="K71" i="50"/>
  <c r="K72" i="50"/>
  <c r="K73" i="50"/>
  <c r="K75" i="50"/>
  <c r="K76" i="50"/>
  <c r="K77" i="50"/>
  <c r="K78" i="50"/>
  <c r="K80" i="50"/>
  <c r="K81" i="50"/>
  <c r="K82" i="50"/>
  <c r="K83" i="50"/>
  <c r="K84" i="50"/>
  <c r="K85" i="50"/>
  <c r="K86" i="50"/>
  <c r="K87" i="50"/>
  <c r="K88" i="50"/>
  <c r="K89" i="50"/>
  <c r="K90" i="50"/>
  <c r="AH129" i="50"/>
  <c r="AF129" i="50"/>
  <c r="AH128" i="50"/>
  <c r="AF128" i="50"/>
  <c r="AH127" i="50"/>
  <c r="AF127" i="50"/>
  <c r="X129" i="50"/>
  <c r="V129" i="50"/>
  <c r="T129" i="50"/>
  <c r="R129" i="50"/>
  <c r="X128" i="50"/>
  <c r="V128" i="50"/>
  <c r="T128" i="50"/>
  <c r="R128" i="50"/>
  <c r="X127" i="50"/>
  <c r="V127" i="50"/>
  <c r="T127" i="50"/>
  <c r="R127" i="50"/>
  <c r="H127" i="50"/>
  <c r="J127" i="50"/>
  <c r="L127" i="50"/>
  <c r="H128" i="50"/>
  <c r="J128" i="50"/>
  <c r="L128" i="50"/>
  <c r="H129" i="50"/>
  <c r="J129" i="50"/>
  <c r="L129" i="50"/>
  <c r="AH111" i="50"/>
  <c r="AF111" i="50"/>
  <c r="AH110" i="50"/>
  <c r="AF110" i="50"/>
  <c r="AH109" i="50"/>
  <c r="AF109" i="50"/>
  <c r="X111" i="50"/>
  <c r="V111" i="50"/>
  <c r="T111" i="50"/>
  <c r="R111" i="50"/>
  <c r="X110" i="50"/>
  <c r="V110" i="50"/>
  <c r="T110" i="50"/>
  <c r="R110" i="50"/>
  <c r="X109" i="50"/>
  <c r="V109" i="50"/>
  <c r="T109" i="50"/>
  <c r="R109" i="50"/>
  <c r="J109" i="50"/>
  <c r="L109" i="50"/>
  <c r="J110" i="50"/>
  <c r="L110" i="50"/>
  <c r="J111" i="50"/>
  <c r="L111" i="50"/>
  <c r="H109" i="50"/>
  <c r="G110" i="50"/>
  <c r="G111" i="50"/>
  <c r="G109" i="50"/>
  <c r="O14" i="61" l="1"/>
  <c r="S14" i="61" s="1"/>
  <c r="W14" i="61" s="1"/>
  <c r="AA12" i="61"/>
  <c r="AA13" i="61"/>
  <c r="AA14" i="61"/>
  <c r="O12" i="61"/>
  <c r="S12" i="61" s="1"/>
  <c r="W12" i="61" s="1"/>
  <c r="O15" i="61"/>
  <c r="O13" i="61"/>
  <c r="AC21" i="50"/>
  <c r="AG21" i="50" s="1"/>
  <c r="AK21" i="50" s="1"/>
  <c r="AQ21" i="50" s="1"/>
  <c r="AU21" i="50" s="1"/>
  <c r="AY21" i="50" s="1"/>
  <c r="BG21" i="50" s="1"/>
  <c r="AO111" i="50"/>
  <c r="BE111" i="50" s="1"/>
  <c r="AO140" i="50"/>
  <c r="BE140" i="50" s="1"/>
  <c r="AO137" i="50"/>
  <c r="BE137" i="50" s="1"/>
  <c r="AO138" i="50"/>
  <c r="BE138" i="50" s="1"/>
  <c r="AO12" i="61"/>
  <c r="BE12" i="61" s="1"/>
  <c r="AO14" i="61"/>
  <c r="AO13" i="61"/>
  <c r="AC87" i="50"/>
  <c r="AG87" i="50" s="1"/>
  <c r="AK87" i="50" s="1"/>
  <c r="AQ87" i="50" s="1"/>
  <c r="AU87" i="50" s="1"/>
  <c r="AY87" i="50" s="1"/>
  <c r="BG87" i="50" s="1"/>
  <c r="AC26" i="50"/>
  <c r="AG26" i="50" s="1"/>
  <c r="AK26" i="50" s="1"/>
  <c r="AQ26" i="50" s="1"/>
  <c r="AU26" i="50" s="1"/>
  <c r="AY26" i="50" s="1"/>
  <c r="BG26" i="50" s="1"/>
  <c r="AC22" i="50"/>
  <c r="AG22" i="50" s="1"/>
  <c r="AK22" i="50" s="1"/>
  <c r="AQ22" i="50" s="1"/>
  <c r="AU22" i="50" s="1"/>
  <c r="AY22" i="50" s="1"/>
  <c r="BG22" i="50" s="1"/>
  <c r="AC25" i="50"/>
  <c r="AG25" i="50" s="1"/>
  <c r="R92" i="50"/>
  <c r="AD92" i="50"/>
  <c r="AC23" i="50"/>
  <c r="AG23" i="50" s="1"/>
  <c r="AC30" i="50"/>
  <c r="AC31" i="50"/>
  <c r="AG31" i="50" s="1"/>
  <c r="AC20" i="50"/>
  <c r="AG20" i="50" s="1"/>
  <c r="AK20" i="50" s="1"/>
  <c r="AQ20" i="50" s="1"/>
  <c r="AU20" i="50" s="1"/>
  <c r="AY20" i="50" s="1"/>
  <c r="BG20" i="50" s="1"/>
  <c r="AC61" i="50"/>
  <c r="AG61" i="50" s="1"/>
  <c r="AK61" i="50" s="1"/>
  <c r="AQ61" i="50" s="1"/>
  <c r="AU61" i="50" s="1"/>
  <c r="AY61" i="50" s="1"/>
  <c r="BG61" i="50" s="1"/>
  <c r="AF92" i="50"/>
  <c r="AB92" i="50"/>
  <c r="H92" i="50"/>
  <c r="T92" i="50"/>
  <c r="P92" i="50"/>
  <c r="AC69" i="50"/>
  <c r="AG69" i="50" s="1"/>
  <c r="AK69" i="50" s="1"/>
  <c r="AQ69" i="50" s="1"/>
  <c r="AU69" i="50" s="1"/>
  <c r="AY69" i="50" s="1"/>
  <c r="BG69" i="50" s="1"/>
  <c r="AC68" i="50"/>
  <c r="AG68" i="50" s="1"/>
  <c r="AK68" i="50" s="1"/>
  <c r="AQ68" i="50" s="1"/>
  <c r="AU68" i="50" s="1"/>
  <c r="AY68" i="50" s="1"/>
  <c r="BG68" i="50" s="1"/>
  <c r="K138" i="50"/>
  <c r="AC81" i="50"/>
  <c r="AG81" i="50" s="1"/>
  <c r="AK81" i="50" s="1"/>
  <c r="AQ81" i="50" s="1"/>
  <c r="AU81" i="50" s="1"/>
  <c r="AY81" i="50" s="1"/>
  <c r="BG81" i="50" s="1"/>
  <c r="AC77" i="50"/>
  <c r="AG77" i="50" s="1"/>
  <c r="AK77" i="50" s="1"/>
  <c r="AQ77" i="50" s="1"/>
  <c r="AU77" i="50" s="1"/>
  <c r="AY77" i="50" s="1"/>
  <c r="BG77" i="50" s="1"/>
  <c r="AC65" i="50"/>
  <c r="AG65" i="50" s="1"/>
  <c r="AK65" i="50" s="1"/>
  <c r="AQ65" i="50" s="1"/>
  <c r="AU65" i="50" s="1"/>
  <c r="AY65" i="50" s="1"/>
  <c r="BG65" i="50" s="1"/>
  <c r="AC59" i="50"/>
  <c r="AG59" i="50" s="1"/>
  <c r="AK59" i="50" s="1"/>
  <c r="AQ59" i="50" s="1"/>
  <c r="AU59" i="50" s="1"/>
  <c r="AY59" i="50" s="1"/>
  <c r="BG59" i="50" s="1"/>
  <c r="AC85" i="50"/>
  <c r="AG85" i="50" s="1"/>
  <c r="AK85" i="50" s="1"/>
  <c r="AQ85" i="50" s="1"/>
  <c r="AU85" i="50" s="1"/>
  <c r="AY85" i="50" s="1"/>
  <c r="BG85" i="50" s="1"/>
  <c r="AC89" i="50"/>
  <c r="AG89" i="50" s="1"/>
  <c r="AK89" i="50" s="1"/>
  <c r="AQ89" i="50" s="1"/>
  <c r="AU89" i="50" s="1"/>
  <c r="AY89" i="50" s="1"/>
  <c r="BG89" i="50" s="1"/>
  <c r="AC76" i="50"/>
  <c r="AG76" i="50" s="1"/>
  <c r="AK76" i="50" s="1"/>
  <c r="AQ76" i="50" s="1"/>
  <c r="AU76" i="50" s="1"/>
  <c r="AY76" i="50" s="1"/>
  <c r="BG76" i="50" s="1"/>
  <c r="AC64" i="50"/>
  <c r="AG64" i="50" s="1"/>
  <c r="AK64" i="50" s="1"/>
  <c r="AQ64" i="50" s="1"/>
  <c r="AU64" i="50" s="1"/>
  <c r="AY64" i="50" s="1"/>
  <c r="BG64" i="50" s="1"/>
  <c r="S64" i="50"/>
  <c r="W64" i="50" s="1"/>
  <c r="S81" i="50"/>
  <c r="W81" i="50" s="1"/>
  <c r="AA79" i="50"/>
  <c r="AC88" i="50"/>
  <c r="AG88" i="50" s="1"/>
  <c r="AK88" i="50" s="1"/>
  <c r="AQ88" i="50" s="1"/>
  <c r="AU88" i="50" s="1"/>
  <c r="AY88" i="50" s="1"/>
  <c r="BG88" i="50" s="1"/>
  <c r="AC75" i="50"/>
  <c r="AG75" i="50" s="1"/>
  <c r="AK75" i="50" s="1"/>
  <c r="AQ75" i="50" s="1"/>
  <c r="AU75" i="50" s="1"/>
  <c r="AY75" i="50" s="1"/>
  <c r="BG75" i="50" s="1"/>
  <c r="AC63" i="50"/>
  <c r="AG63" i="50" s="1"/>
  <c r="AK63" i="50" s="1"/>
  <c r="AQ63" i="50" s="1"/>
  <c r="AU63" i="50" s="1"/>
  <c r="AY63" i="50" s="1"/>
  <c r="BG63" i="50" s="1"/>
  <c r="AC84" i="50"/>
  <c r="AG84" i="50" s="1"/>
  <c r="AK84" i="50" s="1"/>
  <c r="AQ84" i="50" s="1"/>
  <c r="AU84" i="50" s="1"/>
  <c r="AY84" i="50" s="1"/>
  <c r="BG84" i="50" s="1"/>
  <c r="AC73" i="50"/>
  <c r="AG73" i="50" s="1"/>
  <c r="AK73" i="50" s="1"/>
  <c r="AQ73" i="50" s="1"/>
  <c r="AU73" i="50" s="1"/>
  <c r="AY73" i="50" s="1"/>
  <c r="BG73" i="50" s="1"/>
  <c r="AC72" i="50"/>
  <c r="AG72" i="50" s="1"/>
  <c r="AK72" i="50" s="1"/>
  <c r="AQ72" i="50" s="1"/>
  <c r="AU72" i="50" s="1"/>
  <c r="AY72" i="50" s="1"/>
  <c r="BG72" i="50" s="1"/>
  <c r="S68" i="50"/>
  <c r="W68" i="50" s="1"/>
  <c r="AC71" i="50"/>
  <c r="AG71" i="50" s="1"/>
  <c r="AK71" i="50" s="1"/>
  <c r="AQ71" i="50" s="1"/>
  <c r="AU71" i="50" s="1"/>
  <c r="AY71" i="50" s="1"/>
  <c r="BG71" i="50" s="1"/>
  <c r="K109" i="50"/>
  <c r="S63" i="50"/>
  <c r="W63" i="50" s="1"/>
  <c r="AC57" i="50"/>
  <c r="AG57" i="50" s="1"/>
  <c r="AK57" i="50" s="1"/>
  <c r="AQ57" i="50" s="1"/>
  <c r="AU57" i="50" s="1"/>
  <c r="AY57" i="50" s="1"/>
  <c r="BG57" i="50" s="1"/>
  <c r="S89" i="50"/>
  <c r="W89" i="50" s="1"/>
  <c r="S61" i="50"/>
  <c r="W61" i="50" s="1"/>
  <c r="AC78" i="50"/>
  <c r="AG78" i="50" s="1"/>
  <c r="AK78" i="50" s="1"/>
  <c r="AQ78" i="50" s="1"/>
  <c r="AU78" i="50" s="1"/>
  <c r="AY78" i="50" s="1"/>
  <c r="BG78" i="50" s="1"/>
  <c r="AC66" i="50"/>
  <c r="AG66" i="50" s="1"/>
  <c r="AK66" i="50" s="1"/>
  <c r="AQ66" i="50" s="1"/>
  <c r="AU66" i="50" s="1"/>
  <c r="AY66" i="50" s="1"/>
  <c r="BG66" i="50" s="1"/>
  <c r="S87" i="50"/>
  <c r="W87" i="50" s="1"/>
  <c r="AC83" i="50"/>
  <c r="AG83" i="50" s="1"/>
  <c r="AK83" i="50" s="1"/>
  <c r="AQ83" i="50" s="1"/>
  <c r="AU83" i="50" s="1"/>
  <c r="AY83" i="50" s="1"/>
  <c r="BG83" i="50" s="1"/>
  <c r="AC70" i="50"/>
  <c r="AG70" i="50" s="1"/>
  <c r="AK70" i="50" s="1"/>
  <c r="AQ70" i="50" s="1"/>
  <c r="AU70" i="50" s="1"/>
  <c r="AY70" i="50" s="1"/>
  <c r="BG70" i="50" s="1"/>
  <c r="O91" i="50"/>
  <c r="AC67" i="50"/>
  <c r="AG67" i="50" s="1"/>
  <c r="AK67" i="50" s="1"/>
  <c r="AQ67" i="50" s="1"/>
  <c r="AU67" i="50" s="1"/>
  <c r="AY67" i="50" s="1"/>
  <c r="BG67" i="50" s="1"/>
  <c r="AC60" i="50"/>
  <c r="AG60" i="50" s="1"/>
  <c r="AK60" i="50" s="1"/>
  <c r="AQ60" i="50" s="1"/>
  <c r="AU60" i="50" s="1"/>
  <c r="AY60" i="50" s="1"/>
  <c r="BG60" i="50" s="1"/>
  <c r="K79" i="50"/>
  <c r="S73" i="50"/>
  <c r="W73" i="50" s="1"/>
  <c r="AC90" i="50"/>
  <c r="AG90" i="50" s="1"/>
  <c r="AK90" i="50" s="1"/>
  <c r="AQ90" i="50" s="1"/>
  <c r="AU90" i="50" s="1"/>
  <c r="AY90" i="50" s="1"/>
  <c r="BG90" i="50" s="1"/>
  <c r="K111" i="50"/>
  <c r="AC86" i="50"/>
  <c r="AG86" i="50" s="1"/>
  <c r="AK86" i="50" s="1"/>
  <c r="AQ86" i="50" s="1"/>
  <c r="AU86" i="50" s="1"/>
  <c r="AY86" i="50" s="1"/>
  <c r="BG86" i="50" s="1"/>
  <c r="AC58" i="50"/>
  <c r="AG58" i="50" s="1"/>
  <c r="AK58" i="50" s="1"/>
  <c r="AQ58" i="50" s="1"/>
  <c r="AU58" i="50" s="1"/>
  <c r="AY58" i="50" s="1"/>
  <c r="BG58" i="50" s="1"/>
  <c r="K110" i="50"/>
  <c r="O79" i="50"/>
  <c r="K91" i="50"/>
  <c r="AA91" i="50"/>
  <c r="AC82" i="50"/>
  <c r="AG82" i="50" s="1"/>
  <c r="AK82" i="50" s="1"/>
  <c r="AQ82" i="50" s="1"/>
  <c r="AU82" i="50" s="1"/>
  <c r="AY82" i="50" s="1"/>
  <c r="BG82" i="50" s="1"/>
  <c r="AC56" i="50"/>
  <c r="S69" i="50"/>
  <c r="W69" i="50" s="1"/>
  <c r="S80" i="50"/>
  <c r="S67" i="50"/>
  <c r="W67" i="50" s="1"/>
  <c r="AC80" i="50"/>
  <c r="AA140" i="50"/>
  <c r="AA137" i="50"/>
  <c r="AA138" i="50"/>
  <c r="O137" i="50"/>
  <c r="O138" i="50"/>
  <c r="K137" i="50"/>
  <c r="O111" i="50"/>
  <c r="S111" i="50" s="1"/>
  <c r="W111" i="50" s="1"/>
  <c r="O109" i="50"/>
  <c r="O110" i="50"/>
  <c r="Z92" i="50"/>
  <c r="N92" i="50"/>
  <c r="AJ92" i="50"/>
  <c r="X92" i="50"/>
  <c r="L92" i="50"/>
  <c r="AH92" i="50"/>
  <c r="V92" i="50"/>
  <c r="J92" i="50"/>
  <c r="AC13" i="61" l="1"/>
  <c r="AG13" i="61" s="1"/>
  <c r="S13" i="61"/>
  <c r="W13" i="61" s="1"/>
  <c r="AC14" i="61"/>
  <c r="AC12" i="61"/>
  <c r="AG12" i="61" s="1"/>
  <c r="W79" i="50"/>
  <c r="S79" i="50"/>
  <c r="W80" i="50"/>
  <c r="W91" i="50" s="1"/>
  <c r="S91" i="50"/>
  <c r="AC91" i="50"/>
  <c r="AG80" i="50"/>
  <c r="AC79" i="50"/>
  <c r="AG56" i="50"/>
  <c r="AC137" i="50"/>
  <c r="AG137" i="50" s="1"/>
  <c r="AK137" i="50" s="1"/>
  <c r="AQ137" i="50" s="1"/>
  <c r="AU137" i="50" s="1"/>
  <c r="AY137" i="50" s="1"/>
  <c r="BG137" i="50" s="1"/>
  <c r="AC138" i="50"/>
  <c r="AG138" i="50" s="1"/>
  <c r="AK138" i="50" s="1"/>
  <c r="AQ138" i="50" s="1"/>
  <c r="AU138" i="50" s="1"/>
  <c r="AY138" i="50" s="1"/>
  <c r="BG138" i="50" s="1"/>
  <c r="S137" i="50"/>
  <c r="W137" i="50" s="1"/>
  <c r="S138" i="50"/>
  <c r="W138" i="50" s="1"/>
  <c r="S109" i="50"/>
  <c r="W109" i="50" s="1"/>
  <c r="S110" i="50"/>
  <c r="W110" i="50" s="1"/>
  <c r="AM53" i="38"/>
  <c r="AJ31" i="36"/>
  <c r="AI31" i="36"/>
  <c r="AD1" i="35"/>
  <c r="P1" i="35"/>
  <c r="P21" i="35" s="1"/>
  <c r="P26" i="9" s="1"/>
  <c r="L1" i="35"/>
  <c r="L21" i="35" s="1"/>
  <c r="L26" i="9" s="1"/>
  <c r="F1" i="35"/>
  <c r="AL21" i="35" l="1"/>
  <c r="AL26" i="9" s="1"/>
  <c r="AG79" i="50"/>
  <c r="AK56" i="50"/>
  <c r="AK80" i="50"/>
  <c r="AG91" i="50"/>
  <c r="AI11" i="83"/>
  <c r="AI12" i="83"/>
  <c r="AI13" i="83"/>
  <c r="AI14" i="83"/>
  <c r="AI15" i="83"/>
  <c r="AI16" i="83"/>
  <c r="AI5" i="83"/>
  <c r="AI6" i="83"/>
  <c r="AI7" i="83"/>
  <c r="AI8" i="83"/>
  <c r="AI10" i="83"/>
  <c r="AI54" i="83"/>
  <c r="AK54" i="83" s="1"/>
  <c r="AQ54" i="83" s="1"/>
  <c r="AU54" i="83" s="1"/>
  <c r="AY54" i="83" s="1"/>
  <c r="BG54" i="83" s="1"/>
  <c r="AH85" i="8"/>
  <c r="AK79" i="50" l="1"/>
  <c r="AQ56" i="50"/>
  <c r="AK91" i="50"/>
  <c r="AQ80" i="50"/>
  <c r="AH163" i="6"/>
  <c r="AH103" i="9"/>
  <c r="AJ158" i="9"/>
  <c r="AJ159" i="9"/>
  <c r="AJ157" i="9"/>
  <c r="AQ91" i="50" l="1"/>
  <c r="AU80" i="50"/>
  <c r="AQ79" i="50"/>
  <c r="AU56" i="50"/>
  <c r="AH10" i="36"/>
  <c r="AH11" i="36"/>
  <c r="AH12" i="36"/>
  <c r="AG13" i="36"/>
  <c r="AU79" i="50" l="1"/>
  <c r="AY56" i="50"/>
  <c r="AU91" i="50"/>
  <c r="AY80" i="50"/>
  <c r="AH13" i="36"/>
  <c r="AJ188" i="28"/>
  <c r="AP188" i="28" s="1"/>
  <c r="AT188" i="28" s="1"/>
  <c r="AX188" i="28" s="1"/>
  <c r="BF188" i="28" s="1"/>
  <c r="AJ227" i="28"/>
  <c r="AP227" i="28" s="1"/>
  <c r="AT227" i="28" s="1"/>
  <c r="AX227" i="28" s="1"/>
  <c r="BF227" i="28" s="1"/>
  <c r="AJ124" i="28"/>
  <c r="AP124" i="28" s="1"/>
  <c r="AT124" i="28" s="1"/>
  <c r="AX124" i="28" s="1"/>
  <c r="BF124" i="28" s="1"/>
  <c r="AJ125" i="28"/>
  <c r="AP125" i="28" s="1"/>
  <c r="AT125" i="28" s="1"/>
  <c r="AX125" i="28" s="1"/>
  <c r="BF125" i="28" s="1"/>
  <c r="AY79" i="50" l="1"/>
  <c r="BG56" i="50"/>
  <c r="BG79" i="50" s="1"/>
  <c r="AY91" i="50"/>
  <c r="BG80" i="50"/>
  <c r="BG91" i="50" s="1"/>
  <c r="AG37" i="27"/>
  <c r="AG35" i="27"/>
  <c r="AG27" i="27"/>
  <c r="AG29" i="27"/>
  <c r="AG28" i="27"/>
  <c r="AG20" i="27"/>
  <c r="AG19" i="27"/>
  <c r="AG18" i="27"/>
  <c r="AD65" i="10" l="1"/>
  <c r="AD141" i="10"/>
  <c r="AN141" i="10" s="1"/>
  <c r="AH54" i="10"/>
  <c r="AI30" i="50" s="1"/>
  <c r="AH58" i="10"/>
  <c r="AN58" i="10" l="1"/>
  <c r="BD58" i="10" s="1"/>
  <c r="AI9" i="83"/>
  <c r="AN65" i="10"/>
  <c r="BD65" i="10" s="1"/>
  <c r="AE24" i="50"/>
  <c r="AF39" i="27"/>
  <c r="AG36" i="27"/>
  <c r="AG39" i="27"/>
  <c r="AF33" i="27"/>
  <c r="AG26" i="27"/>
  <c r="AG33" i="27" s="1"/>
  <c r="AF24" i="27"/>
  <c r="AG21" i="27"/>
  <c r="AG24" i="27" s="1"/>
  <c r="AO24" i="50" l="1"/>
  <c r="BE24" i="50" s="1"/>
  <c r="AE15" i="61"/>
  <c r="AO15" i="61" s="1"/>
  <c r="AH28" i="22"/>
  <c r="AH24" i="22"/>
  <c r="AH26" i="22" s="1"/>
  <c r="AH23" i="22"/>
  <c r="AH14" i="22"/>
  <c r="AH10" i="22"/>
  <c r="AH12" i="22" s="1"/>
  <c r="AH9" i="22"/>
  <c r="AG114" i="26" l="1"/>
  <c r="AF112" i="26"/>
  <c r="AF110" i="26"/>
  <c r="AF108" i="26"/>
  <c r="AF106" i="26"/>
  <c r="AF104" i="26"/>
  <c r="AF102" i="26"/>
  <c r="AF100" i="26"/>
  <c r="AF98" i="26"/>
  <c r="AG94" i="26"/>
  <c r="AG83" i="26"/>
  <c r="AG82" i="26"/>
  <c r="AF80" i="26"/>
  <c r="AF78" i="26"/>
  <c r="AF85" i="26" s="1"/>
  <c r="AF94" i="26" s="1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G56" i="26" s="1"/>
  <c r="AF48" i="26"/>
  <c r="AF50" i="26" s="1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G18" i="26" s="1"/>
  <c r="AF11" i="26"/>
  <c r="AF9" i="26"/>
  <c r="AG30" i="15"/>
  <c r="AG29" i="15"/>
  <c r="AG28" i="15"/>
  <c r="AG24" i="15"/>
  <c r="AG23" i="15"/>
  <c r="AG22" i="15"/>
  <c r="AG21" i="15"/>
  <c r="AG20" i="15"/>
  <c r="AF18" i="15"/>
  <c r="AG17" i="15"/>
  <c r="AG14" i="15"/>
  <c r="AF11" i="15"/>
  <c r="AF12" i="15" s="1"/>
  <c r="AG10" i="15"/>
  <c r="AG9" i="15"/>
  <c r="AF9" i="15"/>
  <c r="AG8" i="15"/>
  <c r="AF8" i="15"/>
  <c r="AG7" i="15"/>
  <c r="AG6" i="15"/>
  <c r="AG5" i="15"/>
  <c r="AG31" i="15" l="1"/>
  <c r="AG35" i="15" s="1"/>
  <c r="AF114" i="26"/>
  <c r="AF82" i="26"/>
  <c r="AF83" i="26"/>
  <c r="AF75" i="26"/>
  <c r="AF56" i="26"/>
  <c r="AF12" i="26"/>
  <c r="AF19" i="26" s="1"/>
  <c r="AG51" i="26"/>
  <c r="AG57" i="26"/>
  <c r="AF45" i="26"/>
  <c r="AF57" i="26"/>
  <c r="AF51" i="26"/>
  <c r="AG13" i="26"/>
  <c r="AG19" i="26"/>
  <c r="AF18" i="26" l="1"/>
  <c r="AG15" i="15"/>
  <c r="AG16" i="15" s="1"/>
  <c r="AF13" i="26"/>
  <c r="AF117" i="17" l="1"/>
  <c r="AF115" i="17"/>
  <c r="AG87" i="17"/>
  <c r="AF87" i="17"/>
  <c r="AG86" i="17"/>
  <c r="AF86" i="17"/>
  <c r="AG85" i="17"/>
  <c r="AF85" i="17"/>
  <c r="AG84" i="17"/>
  <c r="AF84" i="17"/>
  <c r="AG83" i="17"/>
  <c r="AF83" i="17"/>
  <c r="AG79" i="17"/>
  <c r="AF79" i="17"/>
  <c r="AG67" i="17"/>
  <c r="AG69" i="17" s="1"/>
  <c r="AF67" i="17"/>
  <c r="AF69" i="17" s="1"/>
  <c r="AF61" i="17"/>
  <c r="AG59" i="17"/>
  <c r="AG62" i="17" s="1"/>
  <c r="AF58" i="17"/>
  <c r="AF57" i="17"/>
  <c r="AF55" i="17"/>
  <c r="AG52" i="17"/>
  <c r="AG53" i="17" s="1"/>
  <c r="AF52" i="17"/>
  <c r="AG49" i="17"/>
  <c r="AF48" i="17"/>
  <c r="AG47" i="17"/>
  <c r="AF46" i="17"/>
  <c r="AG44" i="17"/>
  <c r="AG45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22" i="17" s="1"/>
  <c r="AF16" i="17"/>
  <c r="AF30" i="17" s="1"/>
  <c r="AF15" i="17"/>
  <c r="AG14" i="17"/>
  <c r="AG12" i="17"/>
  <c r="AG9" i="17"/>
  <c r="AG13" i="17" s="1"/>
  <c r="AF9" i="17"/>
  <c r="AF11" i="17" s="1"/>
  <c r="AF33" i="17" l="1"/>
  <c r="AF59" i="17"/>
  <c r="AF60" i="17" s="1"/>
  <c r="AG11" i="17"/>
  <c r="AF119" i="17"/>
  <c r="AF50" i="17"/>
  <c r="AF54" i="17" s="1"/>
  <c r="AG50" i="17"/>
  <c r="AG54" i="17" s="1"/>
  <c r="AF116" i="17"/>
  <c r="AF34" i="17"/>
  <c r="AF31" i="17"/>
  <c r="AF32" i="17"/>
  <c r="AG33" i="17"/>
  <c r="AG117" i="17"/>
  <c r="AG31" i="17"/>
  <c r="AG34" i="17"/>
  <c r="AG30" i="17"/>
  <c r="AG32" i="17"/>
  <c r="AG60" i="17"/>
  <c r="AG116" i="17"/>
  <c r="AG15" i="17"/>
  <c r="AL96" i="38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K62" i="38"/>
  <c r="AL61" i="38"/>
  <c r="AL60" i="38"/>
  <c r="AL59" i="38"/>
  <c r="AL58" i="38"/>
  <c r="AL57" i="38"/>
  <c r="AL56" i="38"/>
  <c r="AK55" i="38"/>
  <c r="AK53" i="38"/>
  <c r="AL52" i="38"/>
  <c r="AK52" i="38"/>
  <c r="AK47" i="38"/>
  <c r="AK46" i="38"/>
  <c r="AK45" i="38"/>
  <c r="AK44" i="38"/>
  <c r="AL43" i="38"/>
  <c r="AL92" i="38" s="1"/>
  <c r="AK42" i="38"/>
  <c r="AK41" i="38" s="1"/>
  <c r="AL41" i="38"/>
  <c r="AL90" i="38" s="1"/>
  <c r="AK39" i="38"/>
  <c r="AK38" i="38"/>
  <c r="AK37" i="38"/>
  <c r="AK36" i="38"/>
  <c r="AL35" i="38"/>
  <c r="AL84" i="38" s="1"/>
  <c r="AK33" i="38"/>
  <c r="AK32" i="38"/>
  <c r="AK31" i="38"/>
  <c r="AK30" i="38"/>
  <c r="AK29" i="38"/>
  <c r="AK28" i="38"/>
  <c r="AH138" i="45" s="1"/>
  <c r="AK27" i="38"/>
  <c r="AK26" i="38"/>
  <c r="AG172" i="10" s="1"/>
  <c r="AK25" i="38"/>
  <c r="AK24" i="38"/>
  <c r="AK23" i="38"/>
  <c r="AK22" i="38"/>
  <c r="AK21" i="38"/>
  <c r="AK20" i="38"/>
  <c r="AL19" i="38"/>
  <c r="AL68" i="38" s="1"/>
  <c r="AK15" i="38"/>
  <c r="AK14" i="38"/>
  <c r="AL13" i="38"/>
  <c r="AL62" i="38" s="1"/>
  <c r="AK12" i="38"/>
  <c r="AK11" i="38"/>
  <c r="AK10" i="38"/>
  <c r="AK9" i="38"/>
  <c r="AK8" i="38"/>
  <c r="AK7" i="38"/>
  <c r="AL6" i="38"/>
  <c r="AL55" i="38" s="1"/>
  <c r="AI41" i="50"/>
  <c r="AI42" i="50"/>
  <c r="AI43" i="50"/>
  <c r="AI44" i="50"/>
  <c r="AI45" i="50"/>
  <c r="AI46" i="50"/>
  <c r="AI40" i="50"/>
  <c r="AI5" i="50"/>
  <c r="AI6" i="50"/>
  <c r="AI7" i="50"/>
  <c r="AI8" i="50"/>
  <c r="AI9" i="50"/>
  <c r="AI10" i="50"/>
  <c r="AI11" i="50"/>
  <c r="AI12" i="50"/>
  <c r="AI13" i="50"/>
  <c r="AI5" i="61" s="1"/>
  <c r="AI14" i="50"/>
  <c r="AI6" i="61" s="1"/>
  <c r="AI15" i="50"/>
  <c r="AI7" i="61" s="1"/>
  <c r="AI16" i="50"/>
  <c r="AI8" i="61" s="1"/>
  <c r="AI17" i="50"/>
  <c r="AI9" i="61" s="1"/>
  <c r="AI18" i="50"/>
  <c r="AI10" i="61" s="1"/>
  <c r="AI4" i="50"/>
  <c r="AI133" i="50"/>
  <c r="AI123" i="50"/>
  <c r="AI100" i="50"/>
  <c r="AQ100" i="50" s="1"/>
  <c r="AI99" i="50"/>
  <c r="AQ99" i="50" s="1"/>
  <c r="AI134" i="50"/>
  <c r="AI124" i="50"/>
  <c r="AI54" i="50"/>
  <c r="AI52" i="50"/>
  <c r="AI51" i="50"/>
  <c r="AI50" i="50"/>
  <c r="AI49" i="50"/>
  <c r="AI48" i="50"/>
  <c r="AG68" i="90"/>
  <c r="AG69" i="90"/>
  <c r="AG70" i="90"/>
  <c r="AG71" i="90"/>
  <c r="AG72" i="90"/>
  <c r="AG73" i="90"/>
  <c r="AG74" i="90"/>
  <c r="AG75" i="90"/>
  <c r="AG76" i="90"/>
  <c r="AG77" i="90"/>
  <c r="AG78" i="90"/>
  <c r="AG79" i="90"/>
  <c r="AG80" i="90"/>
  <c r="AG81" i="90"/>
  <c r="AG82" i="90"/>
  <c r="AG83" i="90"/>
  <c r="AG84" i="90"/>
  <c r="AG86" i="90"/>
  <c r="AG87" i="90"/>
  <c r="AI157" i="45"/>
  <c r="AI156" i="45"/>
  <c r="AI154" i="45"/>
  <c r="AI148" i="45"/>
  <c r="AI149" i="45" s="1"/>
  <c r="AI143" i="45"/>
  <c r="AH143" i="45"/>
  <c r="AI141" i="45"/>
  <c r="AH141" i="45"/>
  <c r="AI140" i="45"/>
  <c r="AH140" i="45"/>
  <c r="AI138" i="45"/>
  <c r="AI136" i="45"/>
  <c r="AH136" i="45"/>
  <c r="AI134" i="45"/>
  <c r="AH134" i="45"/>
  <c r="AI131" i="45"/>
  <c r="AI132" i="45" s="1"/>
  <c r="AH131" i="45"/>
  <c r="AH132" i="45" s="1"/>
  <c r="AI109" i="45"/>
  <c r="AI108" i="45"/>
  <c r="AH108" i="45"/>
  <c r="AH107" i="45" s="1"/>
  <c r="AI107" i="45"/>
  <c r="AH91" i="11"/>
  <c r="AH89" i="11"/>
  <c r="AH83" i="11"/>
  <c r="AH90" i="11" s="1"/>
  <c r="AH78" i="11"/>
  <c r="AG78" i="11"/>
  <c r="AH76" i="11"/>
  <c r="AG76" i="11"/>
  <c r="AH75" i="11"/>
  <c r="AG75" i="11"/>
  <c r="AH73" i="11"/>
  <c r="AG73" i="11"/>
  <c r="AH71" i="11"/>
  <c r="AG71" i="11"/>
  <c r="AH69" i="11"/>
  <c r="AG69" i="11"/>
  <c r="AH67" i="11"/>
  <c r="AH66" i="11"/>
  <c r="AG66" i="11"/>
  <c r="AG67" i="11" s="1"/>
  <c r="AH59" i="11"/>
  <c r="AH57" i="11"/>
  <c r="AH85" i="11" s="1"/>
  <c r="AH56" i="11"/>
  <c r="AI115" i="50" s="1"/>
  <c r="AG56" i="11"/>
  <c r="AG58" i="11" s="1"/>
  <c r="AH55" i="11"/>
  <c r="AH92" i="11" s="1"/>
  <c r="AH190" i="10"/>
  <c r="AH188" i="10"/>
  <c r="AH182" i="10"/>
  <c r="AH183" i="10" s="1"/>
  <c r="AH177" i="10"/>
  <c r="AG177" i="10"/>
  <c r="AH175" i="10"/>
  <c r="AG175" i="10"/>
  <c r="AH174" i="10"/>
  <c r="AG174" i="10"/>
  <c r="AH172" i="10"/>
  <c r="AH170" i="10"/>
  <c r="AG170" i="10"/>
  <c r="AH168" i="10"/>
  <c r="AG168" i="10"/>
  <c r="AH165" i="10"/>
  <c r="AH166" i="10" s="1"/>
  <c r="AG165" i="10"/>
  <c r="AG166" i="10" s="1"/>
  <c r="AH155" i="10"/>
  <c r="AH192" i="10" s="1"/>
  <c r="AG154" i="10"/>
  <c r="AG161" i="10" s="1"/>
  <c r="AH154" i="10"/>
  <c r="AH147" i="9"/>
  <c r="AH148" i="9" s="1"/>
  <c r="AG104" i="9"/>
  <c r="AG102" i="9"/>
  <c r="AG101" i="9"/>
  <c r="AH99" i="9"/>
  <c r="AG99" i="9"/>
  <c r="AH98" i="9"/>
  <c r="AG98" i="9"/>
  <c r="AH97" i="9"/>
  <c r="AG97" i="9"/>
  <c r="AH93" i="9"/>
  <c r="AG76" i="9"/>
  <c r="AG74" i="9"/>
  <c r="AH60" i="9"/>
  <c r="AH57" i="9"/>
  <c r="AG53" i="9"/>
  <c r="AG52" i="9"/>
  <c r="AG51" i="9"/>
  <c r="AG47" i="9"/>
  <c r="AH46" i="9"/>
  <c r="AH36" i="9"/>
  <c r="AG89" i="90" s="1"/>
  <c r="AH35" i="9"/>
  <c r="AH47" i="9" s="1"/>
  <c r="AH34" i="9"/>
  <c r="AH31" i="9"/>
  <c r="AH25" i="9"/>
  <c r="AG24" i="9"/>
  <c r="AG22" i="9"/>
  <c r="AH19" i="9"/>
  <c r="AH10" i="9"/>
  <c r="AH5" i="9"/>
  <c r="AI81" i="8"/>
  <c r="AI73" i="8"/>
  <c r="AI52" i="8"/>
  <c r="AH109" i="8"/>
  <c r="AH111" i="8" s="1"/>
  <c r="AH94" i="8"/>
  <c r="AH91" i="8"/>
  <c r="AG91" i="8"/>
  <c r="AH89" i="8"/>
  <c r="AG89" i="8"/>
  <c r="AH88" i="8"/>
  <c r="AG88" i="8"/>
  <c r="AG87" i="8"/>
  <c r="AG84" i="8"/>
  <c r="AG82" i="8"/>
  <c r="AG81" i="8"/>
  <c r="AH80" i="8"/>
  <c r="AH76" i="8"/>
  <c r="AG75" i="8"/>
  <c r="AG74" i="8"/>
  <c r="AG73" i="8"/>
  <c r="AG72" i="8"/>
  <c r="AG71" i="8"/>
  <c r="AH68" i="8"/>
  <c r="AH69" i="8" s="1"/>
  <c r="AH66" i="8"/>
  <c r="AH67" i="8" s="1"/>
  <c r="AH64" i="8"/>
  <c r="AH65" i="8" s="1"/>
  <c r="AH61" i="8"/>
  <c r="AH58" i="8"/>
  <c r="AG52" i="8"/>
  <c r="AH49" i="8"/>
  <c r="AG49" i="8"/>
  <c r="AG47" i="8"/>
  <c r="AG46" i="8"/>
  <c r="AG45" i="8"/>
  <c r="AG44" i="8"/>
  <c r="AG43" i="8"/>
  <c r="AG41" i="8"/>
  <c r="AG40" i="8"/>
  <c r="AG39" i="8"/>
  <c r="AH26" i="8"/>
  <c r="AH17" i="8"/>
  <c r="AG17" i="8"/>
  <c r="AG15" i="8"/>
  <c r="AG14" i="8"/>
  <c r="AH13" i="8"/>
  <c r="AG13" i="8"/>
  <c r="AH6" i="8"/>
  <c r="AH45" i="8" s="1"/>
  <c r="AG6" i="8"/>
  <c r="AG25" i="9" l="1"/>
  <c r="AG88" i="9" s="1"/>
  <c r="AI139" i="45"/>
  <c r="AG29" i="8"/>
  <c r="AG74" i="11"/>
  <c r="AH74" i="11"/>
  <c r="AH139" i="45"/>
  <c r="AH173" i="10"/>
  <c r="AG173" i="10"/>
  <c r="AI128" i="50"/>
  <c r="AG88" i="90"/>
  <c r="AG95" i="90" s="1"/>
  <c r="AI127" i="50"/>
  <c r="AI119" i="50"/>
  <c r="AI158" i="45"/>
  <c r="AI159" i="45"/>
  <c r="AI105" i="50"/>
  <c r="AK65" i="38"/>
  <c r="AF62" i="17"/>
  <c r="AH48" i="9"/>
  <c r="AH49" i="9" s="1"/>
  <c r="AI129" i="50"/>
  <c r="AH189" i="10"/>
  <c r="AG25" i="8"/>
  <c r="AG42" i="8"/>
  <c r="AG85" i="8"/>
  <c r="AG92" i="8"/>
  <c r="AI47" i="50"/>
  <c r="AI116" i="50" s="1"/>
  <c r="AI117" i="50" s="1"/>
  <c r="AI55" i="50"/>
  <c r="AI120" i="50" s="1"/>
  <c r="AI39" i="50"/>
  <c r="AI106" i="50" s="1"/>
  <c r="AH59" i="8"/>
  <c r="AH63" i="8" s="1"/>
  <c r="AH70" i="8" s="1"/>
  <c r="AG114" i="17"/>
  <c r="AG118" i="17"/>
  <c r="AI125" i="50"/>
  <c r="AH62" i="8"/>
  <c r="AH84" i="11"/>
  <c r="AH184" i="10"/>
  <c r="AI112" i="50"/>
  <c r="AH62" i="9"/>
  <c r="AG16" i="8"/>
  <c r="AG27" i="8"/>
  <c r="AG59" i="8" s="1"/>
  <c r="AG63" i="8" s="1"/>
  <c r="AG35" i="8" s="1"/>
  <c r="AH58" i="11"/>
  <c r="AI135" i="50"/>
  <c r="AH89" i="9"/>
  <c r="AH33" i="22"/>
  <c r="AG132" i="26"/>
  <c r="AG30" i="8"/>
  <c r="AG67" i="8" s="1"/>
  <c r="AH43" i="8"/>
  <c r="AG55" i="11"/>
  <c r="AH60" i="11"/>
  <c r="AG31" i="8"/>
  <c r="AG50" i="8"/>
  <c r="AH144" i="45"/>
  <c r="AI144" i="45"/>
  <c r="AH123" i="45"/>
  <c r="AH16" i="8"/>
  <c r="AH110" i="8"/>
  <c r="AH112" i="8" s="1"/>
  <c r="AH53" i="8" s="1"/>
  <c r="AH47" i="8"/>
  <c r="AH40" i="8"/>
  <c r="AH44" i="8"/>
  <c r="AH86" i="8"/>
  <c r="AH92" i="8"/>
  <c r="AH41" i="8"/>
  <c r="AH46" i="8"/>
  <c r="AH50" i="8"/>
  <c r="AH82" i="8"/>
  <c r="AG51" i="17"/>
  <c r="AG55" i="17" s="1"/>
  <c r="AF114" i="17"/>
  <c r="AF118" i="17" s="1"/>
  <c r="AK43" i="38"/>
  <c r="AK40" i="38" s="1"/>
  <c r="AK89" i="38"/>
  <c r="AK35" i="38"/>
  <c r="AK67" i="38"/>
  <c r="AK19" i="38"/>
  <c r="AK13" i="38"/>
  <c r="AK6" i="38"/>
  <c r="AL40" i="38"/>
  <c r="AL89" i="38" s="1"/>
  <c r="AL18" i="38"/>
  <c r="AL16" i="38"/>
  <c r="AI136" i="50"/>
  <c r="AI126" i="50"/>
  <c r="AI155" i="45"/>
  <c r="AH124" i="45"/>
  <c r="AI124" i="45"/>
  <c r="AI125" i="45" s="1"/>
  <c r="AI150" i="45"/>
  <c r="AI123" i="45"/>
  <c r="AH93" i="11"/>
  <c r="AH94" i="11" s="1"/>
  <c r="AH96" i="11"/>
  <c r="AG79" i="11"/>
  <c r="AG98" i="11"/>
  <c r="AH79" i="11"/>
  <c r="AH178" i="10"/>
  <c r="AH161" i="10"/>
  <c r="AH153" i="10"/>
  <c r="AH200" i="10"/>
  <c r="AG153" i="10"/>
  <c r="AG178" i="10"/>
  <c r="AH37" i="9"/>
  <c r="AH14" i="9"/>
  <c r="AH90" i="9"/>
  <c r="AH94" i="9"/>
  <c r="AG18" i="15" s="1"/>
  <c r="AH100" i="9"/>
  <c r="AG77" i="9"/>
  <c r="AH96" i="9"/>
  <c r="AH34" i="8"/>
  <c r="AH72" i="8"/>
  <c r="AH74" i="8"/>
  <c r="AH36" i="8"/>
  <c r="AH73" i="8"/>
  <c r="AH37" i="8"/>
  <c r="AG23" i="8"/>
  <c r="AG28" i="8"/>
  <c r="AG24" i="8"/>
  <c r="AH39" i="8"/>
  <c r="AI107" i="50" l="1"/>
  <c r="AI121" i="50"/>
  <c r="AI160" i="45"/>
  <c r="AI162" i="45"/>
  <c r="AI130" i="50"/>
  <c r="AG101" i="90"/>
  <c r="AH201" i="10"/>
  <c r="AF2" i="17"/>
  <c r="AF2" i="26"/>
  <c r="AG2" i="26"/>
  <c r="AG2" i="17"/>
  <c r="AI131" i="50"/>
  <c r="AI92" i="50"/>
  <c r="AG115" i="17"/>
  <c r="AG119" i="17" s="1"/>
  <c r="AI108" i="50"/>
  <c r="AI113" i="50" s="1"/>
  <c r="AH91" i="9"/>
  <c r="AG37" i="8"/>
  <c r="AH52" i="8"/>
  <c r="AH78" i="8"/>
  <c r="AG6" i="26"/>
  <c r="AH42" i="8"/>
  <c r="AK66" i="38"/>
  <c r="AK98" i="38" s="1"/>
  <c r="AK18" i="38"/>
  <c r="AK16" i="38"/>
  <c r="AL67" i="38"/>
  <c r="AL17" i="38"/>
  <c r="AL49" i="38" s="1"/>
  <c r="AL65" i="38"/>
  <c r="AH191" i="10"/>
  <c r="AH195" i="10" s="1"/>
  <c r="AH197" i="10"/>
  <c r="AH83" i="9"/>
  <c r="AH78" i="9"/>
  <c r="AH52" i="9"/>
  <c r="AH86" i="9"/>
  <c r="AH80" i="9"/>
  <c r="AH72" i="9"/>
  <c r="AH84" i="9"/>
  <c r="AH75" i="9"/>
  <c r="AH53" i="9"/>
  <c r="AH82" i="9"/>
  <c r="AH87" i="9"/>
  <c r="AH81" i="9"/>
  <c r="AH73" i="9"/>
  <c r="AH76" i="9"/>
  <c r="AH85" i="9"/>
  <c r="AH35" i="8"/>
  <c r="AH71" i="8"/>
  <c r="AG69" i="8"/>
  <c r="AG36" i="8" s="1"/>
  <c r="AG109" i="8"/>
  <c r="AG110" i="8" s="1"/>
  <c r="AG65" i="8"/>
  <c r="AG34" i="8" s="1"/>
  <c r="AG26" i="8"/>
  <c r="AI113" i="7"/>
  <c r="AI112" i="7"/>
  <c r="AI111" i="7"/>
  <c r="AI110" i="7"/>
  <c r="AI109" i="7"/>
  <c r="AI108" i="7"/>
  <c r="AI107" i="7"/>
  <c r="AI106" i="7"/>
  <c r="AI99" i="7"/>
  <c r="AI91" i="7"/>
  <c r="AI85" i="7"/>
  <c r="AG113" i="7"/>
  <c r="AG112" i="7"/>
  <c r="AG111" i="7"/>
  <c r="AG110" i="7"/>
  <c r="AG109" i="7"/>
  <c r="AG108" i="7"/>
  <c r="AG107" i="7"/>
  <c r="AG106" i="7"/>
  <c r="AG85" i="7"/>
  <c r="AH84" i="7"/>
  <c r="AG84" i="7"/>
  <c r="AH82" i="7"/>
  <c r="AG82" i="7"/>
  <c r="AH73" i="7"/>
  <c r="AG73" i="7"/>
  <c r="AH69" i="7"/>
  <c r="AH71" i="7" s="1"/>
  <c r="AG69" i="7"/>
  <c r="AG71" i="7" s="1"/>
  <c r="AH65" i="7"/>
  <c r="AG65" i="7"/>
  <c r="AG55" i="7" s="1"/>
  <c r="AH20" i="7"/>
  <c r="AH39" i="7" s="1"/>
  <c r="AH49" i="7" s="1"/>
  <c r="AG20" i="7"/>
  <c r="AG39" i="7" s="1"/>
  <c r="AG49" i="7" s="1"/>
  <c r="AG61" i="39"/>
  <c r="AG60" i="39"/>
  <c r="AF50" i="39"/>
  <c r="AG48" i="39"/>
  <c r="AG47" i="39"/>
  <c r="AG46" i="39"/>
  <c r="AF45" i="39"/>
  <c r="AG43" i="39"/>
  <c r="AG42" i="39"/>
  <c r="AG8" i="39"/>
  <c r="AF8" i="39"/>
  <c r="AG199" i="6"/>
  <c r="AH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25" i="6" s="1"/>
  <c r="AG17" i="6"/>
  <c r="AG30" i="6" s="1"/>
  <c r="AG16" i="6"/>
  <c r="AG15" i="6"/>
  <c r="AH9" i="6"/>
  <c r="AH8" i="6"/>
  <c r="AG7" i="6"/>
  <c r="AG28" i="7" l="1"/>
  <c r="AG93" i="7" s="1"/>
  <c r="AG54" i="7"/>
  <c r="AG96" i="7" s="1"/>
  <c r="AG81" i="7"/>
  <c r="AG33" i="7"/>
  <c r="AG97" i="7" s="1"/>
  <c r="AH35" i="7"/>
  <c r="AH102" i="7" s="1"/>
  <c r="AH33" i="7"/>
  <c r="AH97" i="7" s="1"/>
  <c r="AF22" i="39"/>
  <c r="AF51" i="39"/>
  <c r="AG34" i="39"/>
  <c r="AG24" i="6"/>
  <c r="AG26" i="6" s="1"/>
  <c r="AG168" i="6"/>
  <c r="AG45" i="39"/>
  <c r="AL66" i="38"/>
  <c r="AL98" i="38" s="1"/>
  <c r="AH121" i="6"/>
  <c r="AH125" i="6" s="1"/>
  <c r="AH173" i="6" s="1"/>
  <c r="AH35" i="6"/>
  <c r="AG22" i="39"/>
  <c r="AH22" i="7"/>
  <c r="AH87" i="7" s="1"/>
  <c r="AG49" i="39"/>
  <c r="AK17" i="38"/>
  <c r="AK49" i="38" s="1"/>
  <c r="AH193" i="10"/>
  <c r="AH74" i="9"/>
  <c r="AH77" i="9"/>
  <c r="AG111" i="8"/>
  <c r="AG112" i="8" s="1"/>
  <c r="AG23" i="7"/>
  <c r="AG60" i="7"/>
  <c r="AG32" i="7"/>
  <c r="AG99" i="7" s="1"/>
  <c r="AG34" i="7"/>
  <c r="AG90" i="7" s="1"/>
  <c r="AH28" i="7"/>
  <c r="AH93" i="7" s="1"/>
  <c r="AG25" i="7"/>
  <c r="AG100" i="7" s="1"/>
  <c r="AG30" i="7"/>
  <c r="AG95" i="7" s="1"/>
  <c r="AG52" i="7"/>
  <c r="AG57" i="7"/>
  <c r="AG66" i="7"/>
  <c r="AG74" i="7"/>
  <c r="AG26" i="7"/>
  <c r="AG91" i="7" s="1"/>
  <c r="AG31" i="7"/>
  <c r="AG98" i="7" s="1"/>
  <c r="AG53" i="7"/>
  <c r="AG58" i="7"/>
  <c r="AG76" i="7"/>
  <c r="AG22" i="7"/>
  <c r="AG87" i="7" s="1"/>
  <c r="AG27" i="7"/>
  <c r="AG92" i="7" s="1"/>
  <c r="AH31" i="7"/>
  <c r="AH98" i="7" s="1"/>
  <c r="AH53" i="7"/>
  <c r="AG59" i="7"/>
  <c r="AG83" i="7"/>
  <c r="AG24" i="7"/>
  <c r="AG56" i="7"/>
  <c r="AG29" i="7"/>
  <c r="AG94" i="7" s="1"/>
  <c r="AG35" i="7"/>
  <c r="AG102" i="7" s="1"/>
  <c r="AH56" i="7"/>
  <c r="AH59" i="7"/>
  <c r="AH101" i="7" s="1"/>
  <c r="AH25" i="7"/>
  <c r="AH83" i="7"/>
  <c r="AG50" i="39"/>
  <c r="AH81" i="7"/>
  <c r="AH26" i="7"/>
  <c r="AH91" i="7" s="1"/>
  <c r="AH32" i="7"/>
  <c r="AH99" i="7" s="1"/>
  <c r="AG23" i="39"/>
  <c r="AH23" i="7"/>
  <c r="AH29" i="7"/>
  <c r="AH94" i="7" s="1"/>
  <c r="AH54" i="7"/>
  <c r="AH96" i="7" s="1"/>
  <c r="AH57" i="7"/>
  <c r="AH60" i="7"/>
  <c r="AH67" i="7"/>
  <c r="AH76" i="7"/>
  <c r="AH24" i="7"/>
  <c r="AH27" i="7"/>
  <c r="AH92" i="7" s="1"/>
  <c r="AH30" i="7"/>
  <c r="AH95" i="7" s="1"/>
  <c r="AH34" i="7"/>
  <c r="AH90" i="7" s="1"/>
  <c r="AH52" i="7"/>
  <c r="AH55" i="7"/>
  <c r="AH58" i="7"/>
  <c r="AH74" i="7"/>
  <c r="AG121" i="6"/>
  <c r="AG125" i="6" s="1"/>
  <c r="AG175" i="6" s="1"/>
  <c r="AG19" i="6"/>
  <c r="AG81" i="6" s="1"/>
  <c r="AG28" i="6"/>
  <c r="AG188" i="6"/>
  <c r="AG194" i="6"/>
  <c r="AH133" i="6"/>
  <c r="AG138" i="6"/>
  <c r="AG133" i="6"/>
  <c r="AH57" i="6"/>
  <c r="AG163" i="6"/>
  <c r="AG27" i="6"/>
  <c r="AH138" i="6"/>
  <c r="AG21" i="6"/>
  <c r="AG103" i="6"/>
  <c r="AG107" i="6" s="1"/>
  <c r="AG150" i="6" s="1"/>
  <c r="AG22" i="6"/>
  <c r="AG31" i="6"/>
  <c r="AG32" i="6" s="1"/>
  <c r="AH103" i="6"/>
  <c r="AH107" i="6" s="1"/>
  <c r="AH147" i="6" s="1"/>
  <c r="AF24" i="39" l="1"/>
  <c r="AG84" i="6"/>
  <c r="AH175" i="6"/>
  <c r="AH172" i="6"/>
  <c r="AH174" i="6" s="1"/>
  <c r="AH79" i="9"/>
  <c r="AG89" i="7"/>
  <c r="AG88" i="7"/>
  <c r="AG36" i="7"/>
  <c r="AG51" i="7" s="1"/>
  <c r="AG61" i="7" s="1"/>
  <c r="AG51" i="39"/>
  <c r="AG24" i="39"/>
  <c r="AH89" i="7"/>
  <c r="AH100" i="7"/>
  <c r="AH88" i="7"/>
  <c r="AH36" i="7"/>
  <c r="AH51" i="7" s="1"/>
  <c r="AG173" i="6"/>
  <c r="AG172" i="6"/>
  <c r="AG139" i="6"/>
  <c r="AG143" i="6" s="1"/>
  <c r="AG29" i="6"/>
  <c r="AH139" i="6"/>
  <c r="AG34" i="6"/>
  <c r="AH143" i="6"/>
  <c r="AG23" i="6"/>
  <c r="AG33" i="6"/>
  <c r="AH150" i="6"/>
  <c r="AH148" i="6"/>
  <c r="AH149" i="6" s="1"/>
  <c r="AG148" i="6"/>
  <c r="AG147" i="6"/>
  <c r="AG103" i="7" l="1"/>
  <c r="AG210" i="6"/>
  <c r="AG206" i="6"/>
  <c r="AH197" i="6"/>
  <c r="AH206" i="6"/>
  <c r="AG35" i="6"/>
  <c r="AG75" i="7"/>
  <c r="AH103" i="7"/>
  <c r="AH61" i="7"/>
  <c r="AH75" i="7"/>
  <c r="AG174" i="6"/>
  <c r="AG208" i="6"/>
  <c r="AG203" i="6"/>
  <c r="AG216" i="6"/>
  <c r="AG219" i="6" s="1"/>
  <c r="AG212" i="6"/>
  <c r="AG205" i="6"/>
  <c r="AG207" i="6"/>
  <c r="AG211" i="6"/>
  <c r="AG204" i="6"/>
  <c r="AG213" i="6"/>
  <c r="AG149" i="6"/>
  <c r="AH216" i="6"/>
  <c r="AH213" i="6"/>
  <c r="AH210" i="6"/>
  <c r="AH207" i="6"/>
  <c r="AH203" i="6"/>
  <c r="AH208" i="6"/>
  <c r="AH218" i="6"/>
  <c r="AH205" i="6"/>
  <c r="AH204" i="6"/>
  <c r="AH212" i="6"/>
  <c r="AH211" i="6"/>
  <c r="AH217" i="6"/>
  <c r="AH199" i="6"/>
  <c r="AG209" i="6" l="1"/>
  <c r="AG214" i="6"/>
  <c r="AH214" i="6"/>
  <c r="AH209" i="6"/>
  <c r="AH219" i="6"/>
  <c r="AH215" i="6" l="1"/>
  <c r="AG215" i="6"/>
  <c r="AG220" i="6" s="1"/>
  <c r="AH220" i="6"/>
  <c r="AJ401" i="28" l="1"/>
  <c r="AP401" i="28" s="1"/>
  <c r="AH28" i="28"/>
  <c r="AG479" i="28"/>
  <c r="AH436" i="28"/>
  <c r="AH432" i="28"/>
  <c r="AH400" i="28"/>
  <c r="AH430" i="28" s="1"/>
  <c r="AH392" i="28"/>
  <c r="AH471" i="28" s="1"/>
  <c r="AG392" i="28"/>
  <c r="AH376" i="28"/>
  <c r="AH377" i="28" s="1"/>
  <c r="AH278" i="28"/>
  <c r="AH467" i="28" s="1"/>
  <c r="AG278" i="28"/>
  <c r="AH272" i="28"/>
  <c r="AG272" i="28"/>
  <c r="AH271" i="28"/>
  <c r="AG271" i="28"/>
  <c r="AH232" i="28"/>
  <c r="AH463" i="28" s="1"/>
  <c r="AG232" i="28"/>
  <c r="AH215" i="28"/>
  <c r="AH214" i="28"/>
  <c r="AH82" i="28"/>
  <c r="AH81" i="28"/>
  <c r="AH79" i="28"/>
  <c r="AH75" i="28"/>
  <c r="AH71" i="28"/>
  <c r="AH67" i="28"/>
  <c r="AG54" i="28"/>
  <c r="AG53" i="28"/>
  <c r="AG52" i="28"/>
  <c r="AH47" i="28"/>
  <c r="AH40" i="28"/>
  <c r="AH32" i="28"/>
  <c r="AH54" i="28" s="1"/>
  <c r="AH31" i="28"/>
  <c r="AH53" i="28" s="1"/>
  <c r="AH30" i="28"/>
  <c r="AH52" i="28" s="1"/>
  <c r="AH29" i="28"/>
  <c r="AH51" i="28" s="1"/>
  <c r="AH50" i="28"/>
  <c r="AH26" i="28"/>
  <c r="AG21" i="28"/>
  <c r="AG26" i="28" s="1"/>
  <c r="AH19" i="28"/>
  <c r="AG14" i="28"/>
  <c r="AG19" i="28" s="1"/>
  <c r="AH12" i="28"/>
  <c r="AG7" i="28"/>
  <c r="AH17" i="49"/>
  <c r="AG17" i="49"/>
  <c r="AG18" i="49" s="1"/>
  <c r="AH11" i="49"/>
  <c r="AG11" i="49"/>
  <c r="AH10" i="49"/>
  <c r="AG10" i="49"/>
  <c r="AH9" i="49"/>
  <c r="AG9" i="49"/>
  <c r="AH8" i="49"/>
  <c r="AG8" i="49"/>
  <c r="AH6" i="49"/>
  <c r="AG6" i="49"/>
  <c r="AG190" i="73"/>
  <c r="AG179" i="73"/>
  <c r="AG188" i="73" s="1"/>
  <c r="AG133" i="73"/>
  <c r="AG129" i="73"/>
  <c r="AG125" i="73"/>
  <c r="AG121" i="73"/>
  <c r="AG114" i="73"/>
  <c r="AG11" i="15" s="1"/>
  <c r="AG12" i="15" s="1"/>
  <c r="AG13" i="15" s="1"/>
  <c r="AG108" i="73"/>
  <c r="AG102" i="73"/>
  <c r="AG65" i="73"/>
  <c r="AG58" i="73"/>
  <c r="AG53" i="73"/>
  <c r="AG48" i="73"/>
  <c r="AG34" i="73"/>
  <c r="AG23" i="73"/>
  <c r="AG16" i="73"/>
  <c r="AG14" i="73"/>
  <c r="AG8" i="73"/>
  <c r="AG136" i="73" l="1"/>
  <c r="AH273" i="28"/>
  <c r="AH216" i="28"/>
  <c r="AH461" i="28" s="1"/>
  <c r="AG117" i="90"/>
  <c r="AI139" i="50"/>
  <c r="AI141" i="50" s="1"/>
  <c r="AI142" i="50" s="1"/>
  <c r="AH447" i="28"/>
  <c r="AH448" i="28" s="1"/>
  <c r="AH468" i="28"/>
  <c r="AH457" i="28"/>
  <c r="AH83" i="28"/>
  <c r="AH84" i="28" s="1"/>
  <c r="AH33" i="28"/>
  <c r="AH61" i="28" s="1"/>
  <c r="AH470" i="28"/>
  <c r="AH60" i="28"/>
  <c r="AG6" i="73"/>
  <c r="AG5" i="73" s="1"/>
  <c r="AG12" i="49"/>
  <c r="AH18" i="49"/>
  <c r="AH12" i="49"/>
  <c r="AH464" i="28"/>
  <c r="AH469" i="28"/>
  <c r="AH465" i="28"/>
  <c r="AH466" i="28"/>
  <c r="AH59" i="28"/>
  <c r="AH462" i="28"/>
  <c r="AH460" i="28"/>
  <c r="AH55" i="28"/>
  <c r="AH480" i="28"/>
  <c r="AG60" i="28"/>
  <c r="AG73" i="28" s="1"/>
  <c r="AG468" i="28" s="1"/>
  <c r="AG377" i="28"/>
  <c r="AG470" i="28" s="1"/>
  <c r="AG12" i="28"/>
  <c r="AH58" i="28"/>
  <c r="AG59" i="28"/>
  <c r="AG69" i="28" s="1"/>
  <c r="AG464" i="28" s="1"/>
  <c r="AH458" i="28"/>
  <c r="AG273" i="28"/>
  <c r="AG117" i="73"/>
  <c r="AK79" i="59"/>
  <c r="AK78" i="59"/>
  <c r="AK77" i="59"/>
  <c r="AJ76" i="59"/>
  <c r="AK74" i="59"/>
  <c r="AJ74" i="59"/>
  <c r="AK73" i="59"/>
  <c r="AJ73" i="59"/>
  <c r="AK70" i="59"/>
  <c r="AJ70" i="59"/>
  <c r="AK69" i="59"/>
  <c r="AJ69" i="59"/>
  <c r="AK66" i="59"/>
  <c r="AJ66" i="59"/>
  <c r="AK65" i="59"/>
  <c r="AJ65" i="59"/>
  <c r="AK62" i="59"/>
  <c r="AJ62" i="59"/>
  <c r="AK61" i="59"/>
  <c r="AJ61" i="59"/>
  <c r="AK60" i="59"/>
  <c r="AK59" i="59"/>
  <c r="AJ59" i="59"/>
  <c r="AK58" i="59"/>
  <c r="AJ58" i="59"/>
  <c r="AJ53" i="59"/>
  <c r="AK52" i="59"/>
  <c r="AJ52" i="59"/>
  <c r="AK51" i="59"/>
  <c r="AJ51" i="59"/>
  <c r="AK50" i="59"/>
  <c r="AJ50" i="59"/>
  <c r="AK48" i="59"/>
  <c r="AJ48" i="59"/>
  <c r="AK47" i="59"/>
  <c r="AJ47" i="59"/>
  <c r="AK46" i="59"/>
  <c r="AJ46" i="59"/>
  <c r="AK45" i="59"/>
  <c r="AJ45" i="59"/>
  <c r="AJ43" i="59"/>
  <c r="AJ42" i="59"/>
  <c r="AK41" i="59"/>
  <c r="AJ41" i="59"/>
  <c r="AJ40" i="59"/>
  <c r="AJ39" i="59"/>
  <c r="AJ38" i="59"/>
  <c r="AJ37" i="59"/>
  <c r="AK36" i="59"/>
  <c r="AJ36" i="59"/>
  <c r="AK35" i="59"/>
  <c r="AJ35" i="59"/>
  <c r="AK34" i="59"/>
  <c r="AJ34" i="59"/>
  <c r="AK33" i="59"/>
  <c r="AJ33" i="59"/>
  <c r="AK32" i="59"/>
  <c r="AJ32" i="59"/>
  <c r="AK31" i="59"/>
  <c r="AJ31" i="59"/>
  <c r="AK30" i="59"/>
  <c r="AJ30" i="59"/>
  <c r="AK29" i="59"/>
  <c r="AJ29" i="59"/>
  <c r="AK28" i="59"/>
  <c r="AJ28" i="59"/>
  <c r="AK27" i="59"/>
  <c r="AK26" i="59"/>
  <c r="AK25" i="59"/>
  <c r="AK24" i="59"/>
  <c r="AK23" i="59"/>
  <c r="AJ23" i="59"/>
  <c r="AK22" i="59"/>
  <c r="AJ22" i="59"/>
  <c r="AK20" i="59"/>
  <c r="AK19" i="59"/>
  <c r="AK18" i="59"/>
  <c r="AK17" i="59"/>
  <c r="AK16" i="59"/>
  <c r="AJ16" i="59"/>
  <c r="AK15" i="59"/>
  <c r="AJ15" i="59"/>
  <c r="AK12" i="59"/>
  <c r="AJ12" i="59"/>
  <c r="AK11" i="59"/>
  <c r="AJ11" i="59"/>
  <c r="AH28" i="21"/>
  <c r="AG27" i="21"/>
  <c r="AH24" i="21"/>
  <c r="AH25" i="21" s="1"/>
  <c r="AH18" i="21"/>
  <c r="AH15" i="21"/>
  <c r="AH12" i="21"/>
  <c r="AG12" i="21"/>
  <c r="AG22" i="21" s="1"/>
  <c r="AG35" i="35"/>
  <c r="AG34" i="35"/>
  <c r="AG18" i="35"/>
  <c r="AG16" i="35"/>
  <c r="AH479" i="28" l="1"/>
  <c r="AG119" i="90"/>
  <c r="AH472" i="28"/>
  <c r="AH477" i="28"/>
  <c r="AF17" i="15"/>
  <c r="AF14" i="15" s="1"/>
  <c r="AF15" i="15" s="1"/>
  <c r="AG5" i="9"/>
  <c r="AJ49" i="59"/>
  <c r="AK49" i="59"/>
  <c r="AJ44" i="59"/>
  <c r="AH62" i="28"/>
  <c r="AH478" i="28" s="1"/>
  <c r="AG457" i="28"/>
  <c r="AG458" i="28"/>
  <c r="AG466" i="28"/>
  <c r="AG58" i="28"/>
  <c r="AG216" i="28"/>
  <c r="AG462" i="28" s="1"/>
  <c r="AH452" i="28"/>
  <c r="AH473" i="28"/>
  <c r="AH451" i="28"/>
  <c r="AG465" i="28"/>
  <c r="AH56" i="28"/>
  <c r="AG469" i="28"/>
  <c r="AH474" i="28"/>
  <c r="AH20" i="21"/>
  <c r="AG15" i="21"/>
  <c r="AG123" i="90" l="1"/>
  <c r="AG125" i="90"/>
  <c r="AG128" i="90" s="1"/>
  <c r="AG56" i="9"/>
  <c r="AG70" i="9"/>
  <c r="AG64" i="9"/>
  <c r="AG7" i="9"/>
  <c r="AG65" i="9"/>
  <c r="AG92" i="9"/>
  <c r="AG59" i="9"/>
  <c r="AG63" i="9"/>
  <c r="AG55" i="9"/>
  <c r="AG100" i="9"/>
  <c r="AG27" i="9"/>
  <c r="AG69" i="9"/>
  <c r="AG66" i="9"/>
  <c r="AG95" i="9"/>
  <c r="AG61" i="9"/>
  <c r="AG67" i="9"/>
  <c r="AG33" i="22"/>
  <c r="AG58" i="9"/>
  <c r="AG60" i="9" s="1"/>
  <c r="AF132" i="26"/>
  <c r="AG68" i="9"/>
  <c r="AG65" i="28"/>
  <c r="AG42" i="35"/>
  <c r="AG41" i="35"/>
  <c r="AH40" i="35"/>
  <c r="AH39" i="35"/>
  <c r="AG39" i="35"/>
  <c r="AH36" i="35"/>
  <c r="AH48" i="35" s="1"/>
  <c r="AG36" i="35"/>
  <c r="AG33" i="35"/>
  <c r="AH32" i="35"/>
  <c r="AH31" i="35"/>
  <c r="AH30" i="35"/>
  <c r="AH26" i="35"/>
  <c r="AG26" i="35"/>
  <c r="AG26" i="21" s="1"/>
  <c r="AG28" i="21" s="1"/>
  <c r="AG21" i="35"/>
  <c r="AG26" i="9" s="1"/>
  <c r="AH20" i="35"/>
  <c r="AG20" i="35"/>
  <c r="AH19" i="35"/>
  <c r="AG19" i="35"/>
  <c r="AH14" i="35"/>
  <c r="AH13" i="35"/>
  <c r="AH11" i="35"/>
  <c r="AH10" i="6" s="1"/>
  <c r="AG10" i="35"/>
  <c r="AG9" i="35"/>
  <c r="AG8" i="35"/>
  <c r="AH7" i="35"/>
  <c r="AH6" i="6" s="1"/>
  <c r="AH6" i="35"/>
  <c r="AH16" i="6" l="1"/>
  <c r="AH18" i="6"/>
  <c r="AG21" i="22"/>
  <c r="AG22" i="22" s="1"/>
  <c r="AG24" i="22" s="1"/>
  <c r="AG25" i="22" s="1"/>
  <c r="AG27" i="22" s="1"/>
  <c r="AG7" i="22"/>
  <c r="AG8" i="22" s="1"/>
  <c r="AG10" i="22" s="1"/>
  <c r="AG11" i="22" s="1"/>
  <c r="AG13" i="22" s="1"/>
  <c r="AG13" i="35"/>
  <c r="AG8" i="6"/>
  <c r="AG14" i="35"/>
  <c r="AG9" i="6"/>
  <c r="AG48" i="35"/>
  <c r="AG28" i="28"/>
  <c r="AH8" i="35"/>
  <c r="AH5" i="6"/>
  <c r="AH15" i="35"/>
  <c r="AG57" i="9"/>
  <c r="AG62" i="9" s="1"/>
  <c r="AH41" i="35"/>
  <c r="AH49" i="35" s="1"/>
  <c r="AH98" i="11"/>
  <c r="AH33" i="35"/>
  <c r="AH37" i="35" s="1"/>
  <c r="AI95" i="50" s="1"/>
  <c r="AI93" i="50" s="1"/>
  <c r="AG461" i="28"/>
  <c r="AG460" i="28"/>
  <c r="AG37" i="35"/>
  <c r="AG49" i="35"/>
  <c r="AG11" i="35"/>
  <c r="AG10" i="6" s="1"/>
  <c r="AD89" i="8"/>
  <c r="AA73" i="8"/>
  <c r="AG15" i="35" l="1"/>
  <c r="AH17" i="6"/>
  <c r="AH15" i="6"/>
  <c r="AH7" i="6"/>
  <c r="AG33" i="28"/>
  <c r="AG50" i="28"/>
  <c r="AG55" i="28" s="1"/>
  <c r="AG477" i="28" s="1"/>
  <c r="AH189" i="6"/>
  <c r="AH194" i="6"/>
  <c r="AG61" i="28" l="1"/>
  <c r="AG448" i="28"/>
  <c r="AG474" i="28" s="1"/>
  <c r="AH19" i="6"/>
  <c r="AH168" i="6"/>
  <c r="AH164" i="6"/>
  <c r="AE53" i="83"/>
  <c r="AE54" i="83"/>
  <c r="AO54" i="83" s="1"/>
  <c r="BE54" i="83" s="1"/>
  <c r="AE55" i="83"/>
  <c r="AE56" i="83"/>
  <c r="AE57" i="83"/>
  <c r="AE58" i="83"/>
  <c r="AE59" i="83"/>
  <c r="AE60" i="83"/>
  <c r="AE61" i="83"/>
  <c r="AE62" i="83"/>
  <c r="AE63" i="83"/>
  <c r="AE65" i="83"/>
  <c r="AE66" i="83"/>
  <c r="AE67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9" i="83"/>
  <c r="AE31" i="83"/>
  <c r="AE32" i="83"/>
  <c r="AE33" i="83"/>
  <c r="AE34" i="83"/>
  <c r="AE35" i="83"/>
  <c r="AE36" i="83"/>
  <c r="AE37" i="83"/>
  <c r="AF85" i="10"/>
  <c r="AJ85" i="10" s="1"/>
  <c r="AP85" i="10" s="1"/>
  <c r="AT85" i="10" s="1"/>
  <c r="AX85" i="10" s="1"/>
  <c r="BF85" i="10" s="1"/>
  <c r="AF86" i="10"/>
  <c r="AJ86" i="10" s="1"/>
  <c r="AP86" i="10" s="1"/>
  <c r="AT86" i="10" s="1"/>
  <c r="AX86" i="10" s="1"/>
  <c r="BF86" i="10" s="1"/>
  <c r="AF146" i="10"/>
  <c r="AJ146" i="10" s="1"/>
  <c r="AP146" i="10" s="1"/>
  <c r="AT146" i="10" s="1"/>
  <c r="AX146" i="10" s="1"/>
  <c r="BF146" i="10" s="1"/>
  <c r="AF29" i="10"/>
  <c r="AJ29" i="10" s="1"/>
  <c r="AP29" i="10" s="1"/>
  <c r="AT29" i="10" s="1"/>
  <c r="AX29" i="10" s="1"/>
  <c r="BF29" i="10" s="1"/>
  <c r="AF130" i="10"/>
  <c r="AJ130" i="10" s="1"/>
  <c r="AP130" i="10" s="1"/>
  <c r="AT130" i="10" s="1"/>
  <c r="AX130" i="10" s="1"/>
  <c r="BF130" i="10" s="1"/>
  <c r="AH38" i="6" l="1"/>
  <c r="AH37" i="6"/>
  <c r="AH39" i="6"/>
  <c r="AH40" i="6"/>
  <c r="AH81" i="6"/>
  <c r="AH84" i="6"/>
  <c r="AG451" i="28"/>
  <c r="AG77" i="28"/>
  <c r="AG62" i="28"/>
  <c r="AG478" i="28" s="1"/>
  <c r="AE193" i="73"/>
  <c r="AI193" i="73" s="1"/>
  <c r="AO193" i="73" s="1"/>
  <c r="AS193" i="73" s="1"/>
  <c r="AW193" i="73" s="1"/>
  <c r="BE193" i="73" s="1"/>
  <c r="AH41" i="6" l="1"/>
  <c r="AG473" i="28"/>
  <c r="AG81" i="28"/>
  <c r="AG472" i="28"/>
  <c r="AG452" i="28"/>
  <c r="AD103" i="9"/>
  <c r="AC37" i="27" l="1"/>
  <c r="AC35" i="27"/>
  <c r="AC29" i="27"/>
  <c r="AC28" i="27"/>
  <c r="AC27" i="27"/>
  <c r="AC20" i="27"/>
  <c r="AC19" i="27"/>
  <c r="AC18" i="27"/>
  <c r="AB39" i="27" l="1"/>
  <c r="AC36" i="27"/>
  <c r="AC39" i="27"/>
  <c r="AB33" i="27"/>
  <c r="AC26" i="27"/>
  <c r="AC33" i="27" s="1"/>
  <c r="AB24" i="27"/>
  <c r="AC21" i="27"/>
  <c r="AC24" i="27" s="1"/>
  <c r="AD392" i="28" l="1"/>
  <c r="AC479" i="28" l="1"/>
  <c r="AC30" i="15" l="1"/>
  <c r="AC29" i="15"/>
  <c r="AC28" i="15"/>
  <c r="AC24" i="15"/>
  <c r="AC23" i="15"/>
  <c r="AC22" i="15"/>
  <c r="AC21" i="15"/>
  <c r="AC20" i="15"/>
  <c r="AB18" i="15"/>
  <c r="AC17" i="15"/>
  <c r="AB17" i="15"/>
  <c r="AC14" i="15"/>
  <c r="AB11" i="15"/>
  <c r="AB12" i="15" s="1"/>
  <c r="AC10" i="15"/>
  <c r="AC9" i="15"/>
  <c r="AB9" i="15"/>
  <c r="AC8" i="15"/>
  <c r="AB8" i="15"/>
  <c r="AC7" i="15"/>
  <c r="AC6" i="15"/>
  <c r="AC5" i="15"/>
  <c r="AB14" i="15" l="1"/>
  <c r="AB15" i="15" s="1"/>
  <c r="AC31" i="15"/>
  <c r="AC35" i="15" s="1"/>
  <c r="AC15" i="15" s="1"/>
  <c r="AC16" i="15" s="1"/>
  <c r="AC114" i="26"/>
  <c r="AB112" i="26"/>
  <c r="AB110" i="26"/>
  <c r="AB108" i="26"/>
  <c r="AB106" i="26"/>
  <c r="AB104" i="26"/>
  <c r="AB102" i="26"/>
  <c r="AB100" i="26"/>
  <c r="AB98" i="26"/>
  <c r="AC94" i="26"/>
  <c r="AC83" i="26"/>
  <c r="AC82" i="26"/>
  <c r="AB80" i="26"/>
  <c r="AB78" i="26"/>
  <c r="AB85" i="26" s="1"/>
  <c r="AB94" i="26" s="1"/>
  <c r="AC75" i="26"/>
  <c r="AB73" i="26"/>
  <c r="AB71" i="26"/>
  <c r="AB69" i="26"/>
  <c r="AB67" i="26"/>
  <c r="AB65" i="26"/>
  <c r="AB63" i="26"/>
  <c r="AB61" i="26"/>
  <c r="AB59" i="26"/>
  <c r="AC89" i="8" s="1"/>
  <c r="AB54" i="26"/>
  <c r="AB52" i="26"/>
  <c r="AC50" i="26"/>
  <c r="AC57" i="26" s="1"/>
  <c r="AB48" i="26"/>
  <c r="AB50" i="26" s="1"/>
  <c r="AB169" i="26" s="1"/>
  <c r="AC45" i="26"/>
  <c r="AB43" i="26"/>
  <c r="AB41" i="26"/>
  <c r="AB39" i="26"/>
  <c r="AB37" i="26"/>
  <c r="AB35" i="26"/>
  <c r="AB33" i="26"/>
  <c r="AB31" i="26"/>
  <c r="AB29" i="26"/>
  <c r="AB27" i="26"/>
  <c r="AB25" i="26"/>
  <c r="AB23" i="26"/>
  <c r="AB21" i="26"/>
  <c r="AB17" i="26"/>
  <c r="AB15" i="26"/>
  <c r="AC12" i="26"/>
  <c r="AC18" i="26" s="1"/>
  <c r="AB11" i="26"/>
  <c r="AB9" i="26"/>
  <c r="AE93" i="73"/>
  <c r="AI93" i="73" s="1"/>
  <c r="AO93" i="73" s="1"/>
  <c r="AS93" i="73" s="1"/>
  <c r="AW93" i="73" s="1"/>
  <c r="BE93" i="73" s="1"/>
  <c r="AB75" i="26" l="1"/>
  <c r="AB174" i="26" s="1"/>
  <c r="AB12" i="26"/>
  <c r="AB13" i="26" s="1"/>
  <c r="AB56" i="26"/>
  <c r="AB45" i="26"/>
  <c r="AB82" i="26"/>
  <c r="AB114" i="26"/>
  <c r="AC19" i="26"/>
  <c r="AB57" i="26"/>
  <c r="AB83" i="26"/>
  <c r="AC13" i="26"/>
  <c r="AB51" i="26"/>
  <c r="AC51" i="26"/>
  <c r="AC56" i="26"/>
  <c r="AC190" i="73"/>
  <c r="AB18" i="26" l="1"/>
  <c r="AB19" i="26"/>
  <c r="AB166" i="26"/>
  <c r="AB173" i="26"/>
  <c r="AE14" i="50" l="1"/>
  <c r="AE6" i="61" l="1"/>
  <c r="AO6" i="61" s="1"/>
  <c r="BE6" i="61" s="1"/>
  <c r="AO14" i="50"/>
  <c r="BE14" i="50" s="1"/>
  <c r="AB117" i="17"/>
  <c r="AB115" i="17"/>
  <c r="AC87" i="17"/>
  <c r="AC86" i="17"/>
  <c r="AC85" i="17"/>
  <c r="AC84" i="17"/>
  <c r="AC83" i="17"/>
  <c r="AB83" i="17"/>
  <c r="AC79" i="17"/>
  <c r="AB79" i="17"/>
  <c r="AC67" i="17"/>
  <c r="AC69" i="17" s="1"/>
  <c r="AB67" i="17"/>
  <c r="AB69" i="17" s="1"/>
  <c r="AB61" i="17"/>
  <c r="AC59" i="17"/>
  <c r="AC62" i="17" s="1"/>
  <c r="AB58" i="17"/>
  <c r="AB57" i="17"/>
  <c r="AB59" i="17" s="1"/>
  <c r="AB60" i="17" s="1"/>
  <c r="AB55" i="17"/>
  <c r="AC52" i="17"/>
  <c r="AC53" i="17" s="1"/>
  <c r="AB52" i="17"/>
  <c r="AC49" i="17"/>
  <c r="AB48" i="17"/>
  <c r="AC47" i="17"/>
  <c r="AB46" i="17"/>
  <c r="AC44" i="17"/>
  <c r="AC45" i="17" s="1"/>
  <c r="AB44" i="17"/>
  <c r="AC43" i="17"/>
  <c r="AC41" i="17"/>
  <c r="AC39" i="17"/>
  <c r="AB30" i="17"/>
  <c r="AC26" i="17"/>
  <c r="AC22" i="17"/>
  <c r="AC16" i="17" s="1"/>
  <c r="AC30" i="17" s="1"/>
  <c r="AB21" i="17"/>
  <c r="AB19" i="17"/>
  <c r="AB18" i="17"/>
  <c r="AB22" i="17" s="1"/>
  <c r="AB31" i="17" s="1"/>
  <c r="AB16" i="17"/>
  <c r="AB15" i="17"/>
  <c r="AC14" i="17"/>
  <c r="AC12" i="17"/>
  <c r="AC9" i="17"/>
  <c r="AB9" i="17"/>
  <c r="AC116" i="17" l="1"/>
  <c r="AB116" i="17"/>
  <c r="AC11" i="17"/>
  <c r="AB11" i="17"/>
  <c r="AB119" i="17"/>
  <c r="AB50" i="17"/>
  <c r="AB54" i="17" s="1"/>
  <c r="AC50" i="17"/>
  <c r="AC51" i="17" s="1"/>
  <c r="AC55" i="17" s="1"/>
  <c r="AC33" i="17"/>
  <c r="AC32" i="17"/>
  <c r="AC13" i="17"/>
  <c r="AC117" i="17" s="1"/>
  <c r="AC31" i="17"/>
  <c r="AC60" i="17"/>
  <c r="AC34" i="17"/>
  <c r="AB62" i="17"/>
  <c r="AB32" i="17"/>
  <c r="AB34" i="17"/>
  <c r="AC15" i="17" l="1"/>
  <c r="AC114" i="17"/>
  <c r="AC118" i="17" s="1"/>
  <c r="AB114" i="17"/>
  <c r="AB118" i="17" s="1"/>
  <c r="AC54" i="17"/>
  <c r="AC115" i="17"/>
  <c r="AC119" i="17" s="1"/>
  <c r="AH96" i="38" l="1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H19" i="38"/>
  <c r="AG15" i="38"/>
  <c r="AG14" i="38"/>
  <c r="AH13" i="38"/>
  <c r="AH62" i="38" s="1"/>
  <c r="AG12" i="38"/>
  <c r="AQ12" i="38" s="1"/>
  <c r="BG12" i="38" s="1"/>
  <c r="AG11" i="38"/>
  <c r="AG10" i="38"/>
  <c r="AG9" i="38"/>
  <c r="AG8" i="38"/>
  <c r="AG7" i="38"/>
  <c r="AH6" i="38"/>
  <c r="AG16" i="45"/>
  <c r="AK16" i="45" s="1"/>
  <c r="AQ16" i="45" s="1"/>
  <c r="AU16" i="45" s="1"/>
  <c r="AY16" i="45" s="1"/>
  <c r="AE148" i="45"/>
  <c r="AG81" i="45"/>
  <c r="AK81" i="45" s="1"/>
  <c r="AQ81" i="45" s="1"/>
  <c r="AU81" i="45" s="1"/>
  <c r="AY81" i="45" s="1"/>
  <c r="BG16" i="45" l="1"/>
  <c r="BG81" i="45"/>
  <c r="AG67" i="38"/>
  <c r="AG89" i="38"/>
  <c r="AG19" i="38"/>
  <c r="AG65" i="38"/>
  <c r="AG66" i="38"/>
  <c r="AH68" i="38"/>
  <c r="AH16" i="38"/>
  <c r="AH55" i="38"/>
  <c r="AG13" i="38"/>
  <c r="AG6" i="38"/>
  <c r="AD88" i="10"/>
  <c r="AD82" i="10"/>
  <c r="AD54" i="10"/>
  <c r="AD21" i="10"/>
  <c r="AN21" i="10" s="1"/>
  <c r="BD21" i="10" s="1"/>
  <c r="AD22" i="10"/>
  <c r="AD12" i="10"/>
  <c r="AN12" i="10" l="1"/>
  <c r="BD12" i="10" s="1"/>
  <c r="AE9" i="83"/>
  <c r="AO9" i="83" s="1"/>
  <c r="BE9" i="83" s="1"/>
  <c r="AN22" i="10"/>
  <c r="BD22" i="10" s="1"/>
  <c r="AE27" i="50"/>
  <c r="AO27" i="50" s="1"/>
  <c r="BE27" i="50" s="1"/>
  <c r="AE27" i="83"/>
  <c r="AN54" i="10"/>
  <c r="BD54" i="10" s="1"/>
  <c r="AE30" i="50"/>
  <c r="AE30" i="83"/>
  <c r="AN82" i="10"/>
  <c r="BD82" i="10" s="1"/>
  <c r="AE110" i="50"/>
  <c r="AO110" i="50" s="1"/>
  <c r="BE110" i="50" s="1"/>
  <c r="AF82" i="10"/>
  <c r="AJ82" i="10" s="1"/>
  <c r="AP82" i="10" s="1"/>
  <c r="AT82" i="10" s="1"/>
  <c r="AX82" i="10" s="1"/>
  <c r="BF82" i="10" s="1"/>
  <c r="AN88" i="10"/>
  <c r="BD88" i="10" s="1"/>
  <c r="AE109" i="50"/>
  <c r="AO109" i="50" s="1"/>
  <c r="BE109" i="50" s="1"/>
  <c r="AG98" i="38"/>
  <c r="AH65" i="38"/>
  <c r="AG16" i="38"/>
  <c r="AE157" i="45"/>
  <c r="AE156" i="45"/>
  <c r="AE154" i="45"/>
  <c r="AE149" i="45"/>
  <c r="AE155" i="45"/>
  <c r="AE143" i="45"/>
  <c r="AE141" i="45"/>
  <c r="AE140" i="45"/>
  <c r="AE138" i="45"/>
  <c r="AD138" i="45"/>
  <c r="AE136" i="45"/>
  <c r="AD136" i="45"/>
  <c r="AE134" i="45"/>
  <c r="AD134" i="45"/>
  <c r="AE131" i="45"/>
  <c r="AE132" i="45" s="1"/>
  <c r="AD131" i="45"/>
  <c r="AD132" i="45" s="1"/>
  <c r="AE109" i="45"/>
  <c r="AE108" i="45"/>
  <c r="AD108" i="45"/>
  <c r="AD123" i="45" s="1"/>
  <c r="AE107" i="45"/>
  <c r="AE139" i="45" l="1"/>
  <c r="AD139" i="45"/>
  <c r="AO30" i="50"/>
  <c r="BE30" i="50" s="1"/>
  <c r="AG30" i="50"/>
  <c r="AE158" i="45"/>
  <c r="AE162" i="45" s="1"/>
  <c r="AE159" i="45"/>
  <c r="AE160" i="45"/>
  <c r="AD107" i="45"/>
  <c r="AD124" i="45"/>
  <c r="AE124" i="45"/>
  <c r="AE125" i="45" s="1"/>
  <c r="AD144" i="45"/>
  <c r="AE150" i="45"/>
  <c r="AE144" i="45"/>
  <c r="AE123" i="45"/>
  <c r="AJ404" i="28" l="1"/>
  <c r="AP404" i="28" s="1"/>
  <c r="AT404" i="28" s="1"/>
  <c r="AX404" i="28" s="1"/>
  <c r="BF404" i="28" s="1"/>
  <c r="AJ304" i="28" l="1"/>
  <c r="AP304" i="28" s="1"/>
  <c r="AT304" i="28" s="1"/>
  <c r="AX304" i="28" s="1"/>
  <c r="BF304" i="28" s="1"/>
  <c r="AD28" i="22" l="1"/>
  <c r="AD24" i="22"/>
  <c r="AD26" i="22" s="1"/>
  <c r="AD23" i="22"/>
  <c r="AD14" i="22"/>
  <c r="AD10" i="22"/>
  <c r="AD12" i="22" s="1"/>
  <c r="AD9" i="22"/>
  <c r="AD91" i="11" l="1"/>
  <c r="AD89" i="11"/>
  <c r="AD83" i="11"/>
  <c r="AD90" i="11" s="1"/>
  <c r="AD78" i="11"/>
  <c r="AD76" i="11"/>
  <c r="AD75" i="11"/>
  <c r="AD73" i="11"/>
  <c r="AC73" i="11"/>
  <c r="AD71" i="11"/>
  <c r="AC71" i="11"/>
  <c r="AD69" i="11"/>
  <c r="AC69" i="11"/>
  <c r="AD66" i="11"/>
  <c r="AD67" i="11" s="1"/>
  <c r="AC66" i="11"/>
  <c r="AC67" i="11" s="1"/>
  <c r="AD59" i="11"/>
  <c r="AD57" i="11"/>
  <c r="AD93" i="11" s="1"/>
  <c r="AD56" i="11"/>
  <c r="AD58" i="11" s="1"/>
  <c r="AC56" i="11"/>
  <c r="AC98" i="11" s="1"/>
  <c r="AD55" i="11"/>
  <c r="AD92" i="11" s="1"/>
  <c r="AD190" i="10"/>
  <c r="AD188" i="10"/>
  <c r="AD182" i="10"/>
  <c r="AD183" i="10" s="1"/>
  <c r="AD177" i="10"/>
  <c r="AD175" i="10"/>
  <c r="AD174" i="10"/>
  <c r="AD172" i="10"/>
  <c r="AC172" i="10"/>
  <c r="AD170" i="10"/>
  <c r="AC170" i="10"/>
  <c r="AD168" i="10"/>
  <c r="AC168" i="10"/>
  <c r="AD165" i="10"/>
  <c r="AD166" i="10" s="1"/>
  <c r="AC165" i="10"/>
  <c r="AC166" i="10" s="1"/>
  <c r="AD155" i="10"/>
  <c r="AD184" i="10" s="1"/>
  <c r="AD154" i="10"/>
  <c r="AC154" i="10"/>
  <c r="AC161" i="10" s="1"/>
  <c r="AD200" i="10"/>
  <c r="AD153" i="10"/>
  <c r="AD147" i="9"/>
  <c r="AD148" i="9" s="1"/>
  <c r="AC104" i="9"/>
  <c r="AC102" i="9"/>
  <c r="AC101" i="9"/>
  <c r="AD99" i="9"/>
  <c r="AC99" i="9"/>
  <c r="AD98" i="9"/>
  <c r="AD97" i="9"/>
  <c r="AD93" i="9"/>
  <c r="AC76" i="9"/>
  <c r="AC74" i="9"/>
  <c r="AD60" i="9"/>
  <c r="AD57" i="9"/>
  <c r="AC53" i="9"/>
  <c r="AC52" i="9"/>
  <c r="AC51" i="9"/>
  <c r="AC47" i="9"/>
  <c r="AD46" i="9"/>
  <c r="AD36" i="9"/>
  <c r="AC89" i="90" s="1"/>
  <c r="AM89" i="90" s="1"/>
  <c r="BC89" i="90" s="1"/>
  <c r="AD35" i="9"/>
  <c r="AD47" i="9" s="1"/>
  <c r="AD34" i="9"/>
  <c r="AD31" i="9"/>
  <c r="AD25" i="9"/>
  <c r="AC24" i="9"/>
  <c r="AC22" i="9"/>
  <c r="AC25" i="9" s="1"/>
  <c r="AC88" i="9" s="1"/>
  <c r="AD19" i="9"/>
  <c r="AD10" i="9"/>
  <c r="AD5" i="9"/>
  <c r="AC5" i="9"/>
  <c r="AD109" i="8"/>
  <c r="AD111" i="8" s="1"/>
  <c r="AD94" i="8"/>
  <c r="AD91" i="8"/>
  <c r="AC91" i="8"/>
  <c r="AD88" i="8"/>
  <c r="AC87" i="8"/>
  <c r="AC84" i="8"/>
  <c r="AC82" i="8"/>
  <c r="AC81" i="8"/>
  <c r="AD80" i="8"/>
  <c r="AD76" i="8"/>
  <c r="AC75" i="8"/>
  <c r="AC74" i="8"/>
  <c r="AC73" i="8"/>
  <c r="AC72" i="8"/>
  <c r="AC71" i="8"/>
  <c r="AD68" i="8"/>
  <c r="AD69" i="8" s="1"/>
  <c r="AD66" i="8"/>
  <c r="AD67" i="8" s="1"/>
  <c r="AD64" i="8"/>
  <c r="AD65" i="8" s="1"/>
  <c r="AD61" i="8"/>
  <c r="AD58" i="8"/>
  <c r="AD62" i="8" s="1"/>
  <c r="AC52" i="8"/>
  <c r="AD49" i="8"/>
  <c r="AC49" i="8"/>
  <c r="AC47" i="8"/>
  <c r="AC46" i="8"/>
  <c r="AC45" i="8"/>
  <c r="AC44" i="8"/>
  <c r="AC43" i="8"/>
  <c r="AC41" i="8"/>
  <c r="AC40" i="8"/>
  <c r="AC39" i="8"/>
  <c r="AC42" i="8" s="1"/>
  <c r="AD26" i="8"/>
  <c r="AD17" i="8"/>
  <c r="AC17" i="8"/>
  <c r="AC15" i="8"/>
  <c r="AD14" i="8"/>
  <c r="AC14" i="8"/>
  <c r="AD13" i="8"/>
  <c r="AC13" i="8"/>
  <c r="AD6" i="8"/>
  <c r="AD45" i="8" s="1"/>
  <c r="AC6" i="8"/>
  <c r="AC113" i="7"/>
  <c r="AC112" i="7"/>
  <c r="AC111" i="7"/>
  <c r="AC110" i="7"/>
  <c r="AC109" i="7"/>
  <c r="AC108" i="7"/>
  <c r="AC107" i="7"/>
  <c r="AC106" i="7"/>
  <c r="AC85" i="7"/>
  <c r="AD84" i="7"/>
  <c r="AD82" i="7"/>
  <c r="AC82" i="7"/>
  <c r="AD73" i="7"/>
  <c r="AC73" i="7"/>
  <c r="AD69" i="7"/>
  <c r="AD71" i="7" s="1"/>
  <c r="AC69" i="7"/>
  <c r="AC71" i="7" s="1"/>
  <c r="AD65" i="7"/>
  <c r="AD59" i="7" s="1"/>
  <c r="AD101" i="7" s="1"/>
  <c r="AC65" i="7"/>
  <c r="AD29" i="7"/>
  <c r="AD94" i="7" s="1"/>
  <c r="AD20" i="7"/>
  <c r="AC49" i="39" s="1"/>
  <c r="AC20" i="7"/>
  <c r="AC39" i="7" s="1"/>
  <c r="AC49" i="7" s="1"/>
  <c r="AC61" i="39"/>
  <c r="AC60" i="39"/>
  <c r="AB50" i="39"/>
  <c r="AC48" i="39"/>
  <c r="AC47" i="39"/>
  <c r="AC46" i="39"/>
  <c r="AB45" i="39"/>
  <c r="AC43" i="39"/>
  <c r="AC42" i="39"/>
  <c r="AC8" i="39"/>
  <c r="AB8" i="39"/>
  <c r="AD24" i="7" l="1"/>
  <c r="AD74" i="11"/>
  <c r="AC74" i="11"/>
  <c r="AC173" i="10"/>
  <c r="AD173" i="10"/>
  <c r="AD30" i="7"/>
  <c r="AD95" i="7" s="1"/>
  <c r="AD32" i="7"/>
  <c r="AD99" i="7" s="1"/>
  <c r="AD23" i="7"/>
  <c r="AD53" i="7"/>
  <c r="AD54" i="7"/>
  <c r="AD96" i="7" s="1"/>
  <c r="AD26" i="7"/>
  <c r="AD91" i="7" s="1"/>
  <c r="AD56" i="7"/>
  <c r="AC76" i="7"/>
  <c r="AC33" i="7"/>
  <c r="AC97" i="7" s="1"/>
  <c r="AD81" i="7"/>
  <c r="AD33" i="7"/>
  <c r="AD97" i="7" s="1"/>
  <c r="AM42" i="39"/>
  <c r="AB22" i="39"/>
  <c r="AM43" i="39"/>
  <c r="AM46" i="39"/>
  <c r="AM47" i="39"/>
  <c r="AM48" i="39"/>
  <c r="AM49" i="39"/>
  <c r="AB51" i="39"/>
  <c r="AM60" i="39"/>
  <c r="AM61" i="39"/>
  <c r="AD48" i="9"/>
  <c r="AE129" i="50"/>
  <c r="AO129" i="50" s="1"/>
  <c r="BE129" i="50" s="1"/>
  <c r="AC22" i="39"/>
  <c r="AM8" i="39"/>
  <c r="AC29" i="8"/>
  <c r="AC92" i="9"/>
  <c r="AB132" i="26"/>
  <c r="AC33" i="22"/>
  <c r="AD94" i="9"/>
  <c r="AC18" i="15" s="1"/>
  <c r="AC132" i="26"/>
  <c r="AD33" i="22"/>
  <c r="AD59" i="8"/>
  <c r="AD63" i="8" s="1"/>
  <c r="AD35" i="8" s="1"/>
  <c r="AD84" i="11"/>
  <c r="AD60" i="11"/>
  <c r="AD79" i="11"/>
  <c r="AD90" i="9"/>
  <c r="AD100" i="9"/>
  <c r="AD62" i="9"/>
  <c r="AD37" i="9"/>
  <c r="AD16" i="8"/>
  <c r="AD43" i="8"/>
  <c r="AD47" i="8"/>
  <c r="AD82" i="8"/>
  <c r="AD46" i="8"/>
  <c r="AD40" i="8"/>
  <c r="AD41" i="8"/>
  <c r="AD44" i="8"/>
  <c r="AD50" i="8"/>
  <c r="AD86" i="8"/>
  <c r="AD92" i="8"/>
  <c r="AD76" i="7"/>
  <c r="AD27" i="7"/>
  <c r="AD92" i="7" s="1"/>
  <c r="AD34" i="7"/>
  <c r="AD90" i="7" s="1"/>
  <c r="AD57" i="7"/>
  <c r="AD67" i="7"/>
  <c r="AC50" i="39"/>
  <c r="AC52" i="7"/>
  <c r="AC23" i="7"/>
  <c r="AC24" i="7"/>
  <c r="AC29" i="7"/>
  <c r="AC94" i="7" s="1"/>
  <c r="AC32" i="7"/>
  <c r="AC99" i="7" s="1"/>
  <c r="AC26" i="7"/>
  <c r="AC91" i="7" s="1"/>
  <c r="AC74" i="7"/>
  <c r="AC58" i="7"/>
  <c r="AC27" i="7"/>
  <c r="AC92" i="7" s="1"/>
  <c r="AC30" i="7"/>
  <c r="AC95" i="7" s="1"/>
  <c r="AC34" i="7"/>
  <c r="AC90" i="7" s="1"/>
  <c r="AC178" i="10"/>
  <c r="AC55" i="11"/>
  <c r="AC16" i="8"/>
  <c r="AC59" i="9"/>
  <c r="AC100" i="9"/>
  <c r="AC31" i="8"/>
  <c r="AC50" i="8"/>
  <c r="AC25" i="8"/>
  <c r="AC27" i="8"/>
  <c r="AC59" i="8" s="1"/>
  <c r="AC63" i="8" s="1"/>
  <c r="AC35" i="8" s="1"/>
  <c r="AC85" i="8"/>
  <c r="AC30" i="8"/>
  <c r="AC67" i="8" s="1"/>
  <c r="AC37" i="8" s="1"/>
  <c r="AC92" i="8"/>
  <c r="AD94" i="11"/>
  <c r="AD85" i="11"/>
  <c r="AD96" i="11"/>
  <c r="AC58" i="11"/>
  <c r="AC79" i="11"/>
  <c r="AD189" i="10"/>
  <c r="AD201" i="10"/>
  <c r="AD191" i="10"/>
  <c r="AD197" i="10"/>
  <c r="AC153" i="10"/>
  <c r="AD161" i="10"/>
  <c r="AD192" i="10"/>
  <c r="AD178" i="10"/>
  <c r="AD49" i="9"/>
  <c r="AD52" i="9" s="1"/>
  <c r="AD14" i="9"/>
  <c r="AC27" i="9"/>
  <c r="AC65" i="9"/>
  <c r="AC61" i="9"/>
  <c r="AC66" i="9"/>
  <c r="AC77" i="9"/>
  <c r="AD96" i="9"/>
  <c r="AC67" i="9"/>
  <c r="AC63" i="9"/>
  <c r="AC69" i="9"/>
  <c r="AD89" i="9"/>
  <c r="AC55" i="9"/>
  <c r="AC64" i="9"/>
  <c r="AC70" i="9"/>
  <c r="AC95" i="9"/>
  <c r="AC56" i="9"/>
  <c r="AC7" i="9"/>
  <c r="AC58" i="9"/>
  <c r="AC60" i="9" s="1"/>
  <c r="AC68" i="9"/>
  <c r="AD110" i="8"/>
  <c r="AD52" i="8" s="1"/>
  <c r="AD37" i="8"/>
  <c r="AD73" i="8"/>
  <c r="AD72" i="8"/>
  <c r="AD34" i="8"/>
  <c r="AD36" i="8"/>
  <c r="AD74" i="8"/>
  <c r="AC23" i="8"/>
  <c r="AC28" i="8"/>
  <c r="AC24" i="8"/>
  <c r="AD39" i="8"/>
  <c r="AC83" i="7"/>
  <c r="AC53" i="7"/>
  <c r="AC89" i="7" s="1"/>
  <c r="AC59" i="7"/>
  <c r="AC22" i="7"/>
  <c r="AC87" i="7" s="1"/>
  <c r="AC25" i="7"/>
  <c r="AC28" i="7"/>
  <c r="AC93" i="7" s="1"/>
  <c r="AC31" i="7"/>
  <c r="AC98" i="7" s="1"/>
  <c r="AC35" i="7"/>
  <c r="AC102" i="7" s="1"/>
  <c r="AC55" i="7"/>
  <c r="AD22" i="7"/>
  <c r="AD87" i="7" s="1"/>
  <c r="AD25" i="7"/>
  <c r="AD28" i="7"/>
  <c r="AD93" i="7" s="1"/>
  <c r="AD31" i="7"/>
  <c r="AD98" i="7" s="1"/>
  <c r="AD35" i="7"/>
  <c r="AD102" i="7" s="1"/>
  <c r="AC56" i="7"/>
  <c r="AD60" i="7"/>
  <c r="AD83" i="7"/>
  <c r="AD89" i="7"/>
  <c r="AD39" i="7"/>
  <c r="AD49" i="7" s="1"/>
  <c r="AD52" i="7"/>
  <c r="AD55" i="7"/>
  <c r="AD58" i="7"/>
  <c r="AD74" i="7"/>
  <c r="AC81" i="7"/>
  <c r="AC54" i="7"/>
  <c r="AC96" i="7" s="1"/>
  <c r="AC57" i="7"/>
  <c r="AC60" i="7"/>
  <c r="AC66" i="7"/>
  <c r="AC23" i="39"/>
  <c r="AC45" i="39"/>
  <c r="AD195" i="10" l="1"/>
  <c r="AC36" i="7"/>
  <c r="AC51" i="7" s="1"/>
  <c r="AD73" i="9"/>
  <c r="AC88" i="7"/>
  <c r="AM22" i="39"/>
  <c r="BC48" i="39"/>
  <c r="AM23" i="39"/>
  <c r="BC47" i="39"/>
  <c r="AM45" i="39"/>
  <c r="BC61" i="39"/>
  <c r="BC46" i="39"/>
  <c r="BC60" i="39"/>
  <c r="BC43" i="39"/>
  <c r="AB24" i="39"/>
  <c r="BC49" i="39"/>
  <c r="BC42" i="39"/>
  <c r="AB2" i="17"/>
  <c r="AB2" i="26"/>
  <c r="AC2" i="17"/>
  <c r="AC2" i="26"/>
  <c r="AC51" i="39"/>
  <c r="AM50" i="39"/>
  <c r="AD91" i="9"/>
  <c r="AC7" i="22"/>
  <c r="AC21" i="22"/>
  <c r="AD78" i="8"/>
  <c r="AC6" i="26"/>
  <c r="AD193" i="10"/>
  <c r="AD53" i="9"/>
  <c r="AD84" i="9"/>
  <c r="AD81" i="9"/>
  <c r="AD80" i="9"/>
  <c r="AD76" i="9"/>
  <c r="AD86" i="9"/>
  <c r="AD87" i="9"/>
  <c r="AD82" i="9"/>
  <c r="AD83" i="9"/>
  <c r="AD78" i="9"/>
  <c r="AD42" i="8"/>
  <c r="AD112" i="8"/>
  <c r="AD53" i="8" s="1"/>
  <c r="AC100" i="7"/>
  <c r="AC103" i="7" s="1"/>
  <c r="AD75" i="9"/>
  <c r="AD72" i="9"/>
  <c r="AD74" i="9" s="1"/>
  <c r="AD85" i="9"/>
  <c r="AC57" i="9"/>
  <c r="AC62" i="9" s="1"/>
  <c r="AC26" i="8"/>
  <c r="AC65" i="8"/>
  <c r="AC34" i="8" s="1"/>
  <c r="AC69" i="8"/>
  <c r="AC36" i="8" s="1"/>
  <c r="AC109" i="8"/>
  <c r="AC110" i="8" s="1"/>
  <c r="AD70" i="8"/>
  <c r="AD71" i="8"/>
  <c r="AD100" i="7"/>
  <c r="AD36" i="7"/>
  <c r="AD51" i="7" s="1"/>
  <c r="AD61" i="7" s="1"/>
  <c r="AD88" i="7"/>
  <c r="AC75" i="7"/>
  <c r="AC61" i="7"/>
  <c r="AC24" i="39"/>
  <c r="BC23" i="39" l="1"/>
  <c r="BC50" i="39"/>
  <c r="BC45" i="39"/>
  <c r="AM24" i="39"/>
  <c r="AM51" i="39"/>
  <c r="BC22" i="39"/>
  <c r="AD77" i="9"/>
  <c r="AD79" i="9" s="1"/>
  <c r="AC22" i="22"/>
  <c r="AC24" i="22" s="1"/>
  <c r="AC25" i="22" s="1"/>
  <c r="AC27" i="22" s="1"/>
  <c r="AC8" i="22"/>
  <c r="AC10" i="22" s="1"/>
  <c r="AC11" i="22" s="1"/>
  <c r="AC13" i="22" s="1"/>
  <c r="AD103" i="7"/>
  <c r="AC111" i="8"/>
  <c r="AC112" i="8" s="1"/>
  <c r="AD75" i="7"/>
  <c r="BC24" i="39" l="1"/>
  <c r="BC51" i="39"/>
  <c r="AC199" i="6"/>
  <c r="AD198" i="6"/>
  <c r="AC197" i="6"/>
  <c r="AD193" i="6"/>
  <c r="AC193" i="6"/>
  <c r="AD192" i="6"/>
  <c r="AD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D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C34" i="39" s="1"/>
  <c r="AD45" i="6"/>
  <c r="AC41" i="6"/>
  <c r="AD34" i="6"/>
  <c r="AD33" i="6"/>
  <c r="AD32" i="6"/>
  <c r="AD29" i="6"/>
  <c r="AD26" i="6"/>
  <c r="AD23" i="6"/>
  <c r="AC18" i="6"/>
  <c r="AC28" i="6" s="1"/>
  <c r="AC17" i="6"/>
  <c r="AC30" i="6" s="1"/>
  <c r="AC16" i="6"/>
  <c r="AC15" i="6"/>
  <c r="AD9" i="6"/>
  <c r="AD8" i="6"/>
  <c r="AC7" i="6"/>
  <c r="AD436" i="28"/>
  <c r="AD432" i="28"/>
  <c r="AD400" i="28"/>
  <c r="AN400" i="28" s="1"/>
  <c r="BD400" i="28" s="1"/>
  <c r="AD471" i="28"/>
  <c r="AC392" i="28"/>
  <c r="AD376" i="28"/>
  <c r="AD377" i="28" s="1"/>
  <c r="AD278" i="28"/>
  <c r="AD467" i="28" s="1"/>
  <c r="AC278" i="28"/>
  <c r="AD272" i="28"/>
  <c r="AC272" i="28"/>
  <c r="AD271" i="28"/>
  <c r="AC271" i="28"/>
  <c r="AD232" i="28"/>
  <c r="AD463" i="28" s="1"/>
  <c r="AC232" i="28"/>
  <c r="AD215" i="28"/>
  <c r="AD214" i="28"/>
  <c r="AD216" i="28" s="1"/>
  <c r="AD82" i="28"/>
  <c r="AD81" i="28"/>
  <c r="AD79" i="28"/>
  <c r="AD75" i="28"/>
  <c r="AD71" i="28"/>
  <c r="AD67" i="28"/>
  <c r="AC54" i="28"/>
  <c r="AC53" i="28"/>
  <c r="AC52" i="28"/>
  <c r="AD47" i="28"/>
  <c r="AD40" i="28"/>
  <c r="AD32" i="28"/>
  <c r="AD54" i="28" s="1"/>
  <c r="AD31" i="28"/>
  <c r="AD53" i="28" s="1"/>
  <c r="AD30" i="28"/>
  <c r="AD52" i="28" s="1"/>
  <c r="AD29" i="28"/>
  <c r="AD51" i="28" s="1"/>
  <c r="AD28" i="28"/>
  <c r="AD26" i="28"/>
  <c r="AC21" i="28"/>
  <c r="AC26" i="28" s="1"/>
  <c r="AD19" i="28"/>
  <c r="AC14" i="28"/>
  <c r="AC19" i="28" s="1"/>
  <c r="AD12" i="28"/>
  <c r="AC7" i="28"/>
  <c r="AC12" i="28" s="1"/>
  <c r="AD17" i="49"/>
  <c r="AC17" i="49"/>
  <c r="AD11" i="49"/>
  <c r="AN11" i="49" s="1"/>
  <c r="BD11" i="49" s="1"/>
  <c r="AC11" i="49"/>
  <c r="AM11" i="49" s="1"/>
  <c r="BC11" i="49" s="1"/>
  <c r="AD10" i="49"/>
  <c r="AN10" i="49" s="1"/>
  <c r="AC10" i="49"/>
  <c r="AM10" i="49" s="1"/>
  <c r="AD9" i="49"/>
  <c r="AN9" i="49" s="1"/>
  <c r="BD9" i="49" s="1"/>
  <c r="AC9" i="49"/>
  <c r="AM9" i="49" s="1"/>
  <c r="AD8" i="49"/>
  <c r="AN8" i="49" s="1"/>
  <c r="BD8" i="49" s="1"/>
  <c r="AC8" i="49"/>
  <c r="AM8" i="49" s="1"/>
  <c r="AD6" i="49"/>
  <c r="AN6" i="49" s="1"/>
  <c r="BD6" i="49" s="1"/>
  <c r="AC6" i="49"/>
  <c r="AM6" i="49" s="1"/>
  <c r="AC179" i="73"/>
  <c r="AC188" i="73" s="1"/>
  <c r="AC133" i="73"/>
  <c r="AC129" i="73"/>
  <c r="AC125" i="73"/>
  <c r="AC121" i="73"/>
  <c r="AC114" i="73"/>
  <c r="AC11" i="15" s="1"/>
  <c r="AC12" i="15" s="1"/>
  <c r="AC13" i="15" s="1"/>
  <c r="AC108" i="73"/>
  <c r="AC102" i="73"/>
  <c r="AC65" i="73"/>
  <c r="AC58" i="73"/>
  <c r="AC53" i="73"/>
  <c r="AC48" i="73"/>
  <c r="AC34" i="73"/>
  <c r="AC23" i="73"/>
  <c r="AC16" i="73"/>
  <c r="AC14" i="73"/>
  <c r="AC8" i="73"/>
  <c r="AG79" i="59"/>
  <c r="AG78" i="59"/>
  <c r="AG77" i="59"/>
  <c r="AF76" i="59"/>
  <c r="AG74" i="59"/>
  <c r="AG73" i="59"/>
  <c r="AF73" i="59"/>
  <c r="AG70" i="59"/>
  <c r="AF70" i="59"/>
  <c r="AG69" i="59"/>
  <c r="AF69" i="59"/>
  <c r="AG66" i="59"/>
  <c r="AF66" i="59"/>
  <c r="AG65" i="59"/>
  <c r="AF65" i="59"/>
  <c r="AG62" i="59"/>
  <c r="AF62" i="59"/>
  <c r="AG61" i="59"/>
  <c r="AF61" i="59"/>
  <c r="AG60" i="59"/>
  <c r="AG59" i="59"/>
  <c r="AF59" i="59"/>
  <c r="AG58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G42" i="59"/>
  <c r="AF42" i="59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G32" i="59"/>
  <c r="AF32" i="59"/>
  <c r="AG31" i="59"/>
  <c r="AF31" i="59"/>
  <c r="AG30" i="59"/>
  <c r="AF30" i="59"/>
  <c r="AG29" i="59"/>
  <c r="AF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54" i="36"/>
  <c r="AC46" i="36" s="1"/>
  <c r="AC53" i="36"/>
  <c r="AC51" i="36"/>
  <c r="AC43" i="36" s="1"/>
  <c r="AC45" i="36" s="1"/>
  <c r="AC49" i="36"/>
  <c r="AC41" i="36" s="1"/>
  <c r="AC48" i="36"/>
  <c r="AC40" i="36" s="1"/>
  <c r="AD46" i="36"/>
  <c r="AD54" i="36" s="1"/>
  <c r="AD44" i="36"/>
  <c r="AD52" i="36" s="1"/>
  <c r="AD43" i="36"/>
  <c r="AD51" i="36" s="1"/>
  <c r="AD41" i="36"/>
  <c r="AD49" i="36" s="1"/>
  <c r="AD40" i="36"/>
  <c r="AD48" i="36" s="1"/>
  <c r="AD39" i="36"/>
  <c r="AD17" i="36" s="1"/>
  <c r="AG55" i="59" s="1"/>
  <c r="AD38" i="36"/>
  <c r="AD16" i="36" s="1"/>
  <c r="AD32" i="36"/>
  <c r="AC32" i="36"/>
  <c r="AC29" i="36"/>
  <c r="AB7" i="15" s="1"/>
  <c r="AC28" i="36"/>
  <c r="AB6" i="15" s="1"/>
  <c r="AC27" i="36"/>
  <c r="AB5" i="15" s="1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F54" i="59" s="1"/>
  <c r="AC13" i="36"/>
  <c r="AF40" i="59" s="1"/>
  <c r="AD12" i="36"/>
  <c r="AG39" i="59" s="1"/>
  <c r="AD11" i="36"/>
  <c r="AG38" i="59" s="1"/>
  <c r="AD10" i="36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C12" i="21"/>
  <c r="AC22" i="21" s="1"/>
  <c r="AF44" i="59" l="1"/>
  <c r="AC136" i="73"/>
  <c r="AC117" i="90"/>
  <c r="AE139" i="50"/>
  <c r="AO139" i="50" s="1"/>
  <c r="BE139" i="50" s="1"/>
  <c r="AF49" i="59"/>
  <c r="AF77" i="59"/>
  <c r="AF78" i="59"/>
  <c r="AF79" i="59"/>
  <c r="AM34" i="39"/>
  <c r="AD461" i="28"/>
  <c r="AD273" i="28"/>
  <c r="AD465" i="28" s="1"/>
  <c r="AC18" i="49"/>
  <c r="AM18" i="49" s="1"/>
  <c r="AM17" i="49"/>
  <c r="AD18" i="49"/>
  <c r="AN18" i="49" s="1"/>
  <c r="BD18" i="49" s="1"/>
  <c r="AN17" i="49"/>
  <c r="BD17" i="49" s="1"/>
  <c r="AD50" i="36"/>
  <c r="AD468" i="28"/>
  <c r="AD470" i="28"/>
  <c r="AD469" i="28"/>
  <c r="AD58" i="28"/>
  <c r="AD460" i="28"/>
  <c r="AD462" i="28"/>
  <c r="AD464" i="28"/>
  <c r="AD457" i="28"/>
  <c r="AF6" i="59"/>
  <c r="AD53" i="36"/>
  <c r="AD18" i="36"/>
  <c r="AG56" i="59" s="1"/>
  <c r="AC19" i="9"/>
  <c r="AC42" i="36"/>
  <c r="AC50" i="36"/>
  <c r="AC38" i="36"/>
  <c r="AC89" i="9"/>
  <c r="AC91" i="9" s="1"/>
  <c r="AF55" i="59"/>
  <c r="AD50" i="28"/>
  <c r="AD447" i="28"/>
  <c r="AD479" i="28" s="1"/>
  <c r="AC6" i="73"/>
  <c r="AD33" i="28"/>
  <c r="AG44" i="59"/>
  <c r="AD13" i="36"/>
  <c r="AG40" i="59" s="1"/>
  <c r="AD57" i="6"/>
  <c r="AC133" i="6"/>
  <c r="AC188" i="6"/>
  <c r="AC25" i="6"/>
  <c r="AC194" i="6"/>
  <c r="AD45" i="36"/>
  <c r="AD42" i="36"/>
  <c r="AG54" i="59"/>
  <c r="AG49" i="59"/>
  <c r="AG37" i="59"/>
  <c r="AC12" i="49"/>
  <c r="AM12" i="49" s="1"/>
  <c r="AD12" i="49"/>
  <c r="AN12" i="49" s="1"/>
  <c r="AD138" i="6"/>
  <c r="AD35" i="6"/>
  <c r="AC27" i="6"/>
  <c r="AC29" i="6" s="1"/>
  <c r="AC19" i="6"/>
  <c r="AC84" i="6" s="1"/>
  <c r="AC81" i="6"/>
  <c r="AC24" i="6"/>
  <c r="AC163" i="6"/>
  <c r="AC22" i="6"/>
  <c r="AC31" i="6"/>
  <c r="AC32" i="6" s="1"/>
  <c r="AD103" i="6"/>
  <c r="AD107" i="6" s="1"/>
  <c r="AD147" i="6" s="1"/>
  <c r="AC121" i="6"/>
  <c r="AC125" i="6" s="1"/>
  <c r="AC138" i="6"/>
  <c r="AD121" i="6"/>
  <c r="AD125" i="6" s="1"/>
  <c r="AD175" i="6" s="1"/>
  <c r="AD133" i="6"/>
  <c r="AC21" i="6"/>
  <c r="AC103" i="6"/>
  <c r="AC107" i="6" s="1"/>
  <c r="AC150" i="6" s="1"/>
  <c r="AD83" i="28"/>
  <c r="AD430" i="28"/>
  <c r="AD480" i="28" s="1"/>
  <c r="AD60" i="28"/>
  <c r="AD59" i="28"/>
  <c r="AC60" i="28"/>
  <c r="AC73" i="28" s="1"/>
  <c r="AC377" i="28"/>
  <c r="AC470" i="28" s="1"/>
  <c r="AC216" i="28"/>
  <c r="AC462" i="28" s="1"/>
  <c r="AC58" i="28"/>
  <c r="AC59" i="28"/>
  <c r="AC69" i="28" s="1"/>
  <c r="AC273" i="28"/>
  <c r="AC466" i="28" s="1"/>
  <c r="AC117" i="73"/>
  <c r="AC39" i="36"/>
  <c r="AD20" i="21"/>
  <c r="AC15" i="21"/>
  <c r="AD466" i="28" l="1"/>
  <c r="AD458" i="28"/>
  <c r="AC119" i="90"/>
  <c r="AM117" i="90"/>
  <c r="BC117" i="90" s="1"/>
  <c r="BC34" i="39"/>
  <c r="AC139" i="6"/>
  <c r="AC143" i="6" s="1"/>
  <c r="AC205" i="6" s="1"/>
  <c r="AD19" i="36"/>
  <c r="AG57" i="59" s="1"/>
  <c r="AC469" i="28"/>
  <c r="AC457" i="28"/>
  <c r="AC458" i="28"/>
  <c r="AC465" i="28"/>
  <c r="AC464" i="28"/>
  <c r="AC468" i="28"/>
  <c r="AD472" i="28"/>
  <c r="AD61" i="28"/>
  <c r="AD62" i="28" s="1"/>
  <c r="AD478" i="28" s="1"/>
  <c r="AD55" i="28"/>
  <c r="AD477" i="28" s="1"/>
  <c r="AD84" i="28"/>
  <c r="AC5" i="73"/>
  <c r="AD148" i="6"/>
  <c r="AG15" i="59" s="1"/>
  <c r="AC26" i="6"/>
  <c r="AC14" i="49"/>
  <c r="AD139" i="6"/>
  <c r="AD143" i="6" s="1"/>
  <c r="AC34" i="6"/>
  <c r="AC212" i="6"/>
  <c r="AC33" i="6"/>
  <c r="AC23" i="6"/>
  <c r="AD150" i="6"/>
  <c r="AD173" i="6"/>
  <c r="AG22" i="59" s="1"/>
  <c r="AC147" i="6"/>
  <c r="AD172" i="6"/>
  <c r="AC173" i="6"/>
  <c r="AC175" i="6"/>
  <c r="AC148" i="6"/>
  <c r="AC172" i="6"/>
  <c r="AD448" i="28"/>
  <c r="AD474" i="28" s="1"/>
  <c r="AC65" i="28"/>
  <c r="AC203" i="6" l="1"/>
  <c r="AC211" i="6"/>
  <c r="AD197" i="6"/>
  <c r="AD206" i="6"/>
  <c r="AC213" i="6"/>
  <c r="AC206" i="6"/>
  <c r="AC216" i="6"/>
  <c r="AC219" i="6" s="1"/>
  <c r="AC204" i="6"/>
  <c r="AC208" i="6"/>
  <c r="AC207" i="6"/>
  <c r="AC210" i="6"/>
  <c r="AC123" i="90"/>
  <c r="AM119" i="90"/>
  <c r="AD473" i="28"/>
  <c r="AD452" i="28"/>
  <c r="AD451" i="28"/>
  <c r="AD56" i="28"/>
  <c r="AC461" i="28"/>
  <c r="AC460" i="28"/>
  <c r="AD149" i="6"/>
  <c r="AD7" i="36" s="1"/>
  <c r="AG8" i="59" s="1"/>
  <c r="AC35" i="6"/>
  <c r="AC15" i="49"/>
  <c r="AD174" i="6"/>
  <c r="AD8" i="36" s="1"/>
  <c r="AG9" i="59" s="1"/>
  <c r="AC174" i="6"/>
  <c r="AD199" i="6"/>
  <c r="AD218" i="6"/>
  <c r="AD211" i="6"/>
  <c r="AD208" i="6"/>
  <c r="AD204" i="6"/>
  <c r="AD216" i="6"/>
  <c r="AD213" i="6"/>
  <c r="AD210" i="6"/>
  <c r="AD207" i="6"/>
  <c r="AD203" i="6"/>
  <c r="AD205" i="6"/>
  <c r="AD212" i="6"/>
  <c r="AD217" i="6"/>
  <c r="AC149" i="6"/>
  <c r="AC214" i="6" l="1"/>
  <c r="AC209" i="6"/>
  <c r="AM123" i="90"/>
  <c r="BC119" i="90"/>
  <c r="BC123" i="90" s="1"/>
  <c r="AC16" i="49"/>
  <c r="AD219" i="6"/>
  <c r="AD209" i="6"/>
  <c r="AC215" i="6"/>
  <c r="AC220" i="6" s="1"/>
  <c r="AD214" i="6"/>
  <c r="AG11" i="59" s="1"/>
  <c r="AC19" i="49" l="1"/>
  <c r="AD215" i="6"/>
  <c r="AC20" i="49" l="1"/>
  <c r="AD9" i="36"/>
  <c r="AG10" i="59" s="1"/>
  <c r="AD220" i="6"/>
  <c r="AD30" i="35" l="1"/>
  <c r="AC42" i="35"/>
  <c r="AC41" i="35"/>
  <c r="AD40" i="35"/>
  <c r="AD39" i="35"/>
  <c r="AC39" i="35"/>
  <c r="AD36" i="35"/>
  <c r="AD48" i="35" s="1"/>
  <c r="AC36" i="35"/>
  <c r="AC33" i="35"/>
  <c r="AD32" i="35"/>
  <c r="AD31" i="35"/>
  <c r="AD26" i="35"/>
  <c r="AD33" i="36" s="1"/>
  <c r="AD34" i="36" s="1"/>
  <c r="AD35" i="36" s="1"/>
  <c r="AD36" i="36" s="1"/>
  <c r="AD30" i="36" s="1"/>
  <c r="AG80" i="59" s="1"/>
  <c r="AC26" i="35"/>
  <c r="AC21" i="35"/>
  <c r="AD20" i="35"/>
  <c r="AC20" i="35"/>
  <c r="AD19" i="35"/>
  <c r="AC19" i="35"/>
  <c r="AD14" i="35"/>
  <c r="AD5" i="36" s="1"/>
  <c r="AD13" i="35"/>
  <c r="AD11" i="35"/>
  <c r="AD10" i="6" s="1"/>
  <c r="AC10" i="35"/>
  <c r="AC9" i="6" s="1"/>
  <c r="AC9" i="35"/>
  <c r="AC13" i="35" s="1"/>
  <c r="AD8" i="35"/>
  <c r="AC8" i="35"/>
  <c r="AD7" i="35"/>
  <c r="AD6" i="35"/>
  <c r="AD6" i="6" l="1"/>
  <c r="AD5" i="6"/>
  <c r="AD15" i="6" s="1"/>
  <c r="AD15" i="35"/>
  <c r="AD16" i="6"/>
  <c r="AD18" i="6"/>
  <c r="AD7" i="6"/>
  <c r="AC26" i="9"/>
  <c r="AC48" i="35"/>
  <c r="AC49" i="35" s="1"/>
  <c r="AC28" i="28"/>
  <c r="AC37" i="35"/>
  <c r="AC33" i="36"/>
  <c r="AC34" i="36" s="1"/>
  <c r="AC35" i="36" s="1"/>
  <c r="AC36" i="36" s="1"/>
  <c r="AC30" i="36" s="1"/>
  <c r="AF80" i="59" s="1"/>
  <c r="AC26" i="21"/>
  <c r="AC28" i="21" s="1"/>
  <c r="AC11" i="35"/>
  <c r="AC10" i="6" s="1"/>
  <c r="AC8" i="6"/>
  <c r="AC14" i="35"/>
  <c r="AC15" i="35" s="1"/>
  <c r="AD41" i="35"/>
  <c r="AD49" i="35" s="1"/>
  <c r="AD98" i="11"/>
  <c r="AD33" i="35"/>
  <c r="AD37" i="35" s="1"/>
  <c r="AG6" i="59"/>
  <c r="AD13" i="49"/>
  <c r="AD14" i="49" s="1"/>
  <c r="AD17" i="6" l="1"/>
  <c r="AD189" i="6"/>
  <c r="AD194" i="6"/>
  <c r="AD164" i="6"/>
  <c r="AD19" i="6"/>
  <c r="AD81" i="6" s="1"/>
  <c r="AD168" i="6"/>
  <c r="AC33" i="28"/>
  <c r="AC50" i="28"/>
  <c r="AC55" i="28" s="1"/>
  <c r="AC477" i="28" s="1"/>
  <c r="AC55" i="35"/>
  <c r="AD55" i="35"/>
  <c r="AD15" i="49"/>
  <c r="AD84" i="6" l="1"/>
  <c r="AD40" i="6"/>
  <c r="AD37" i="6"/>
  <c r="AD38" i="6"/>
  <c r="AD39" i="6"/>
  <c r="AC61" i="28"/>
  <c r="AC448" i="28"/>
  <c r="AD16" i="49"/>
  <c r="AC451" i="28" l="1"/>
  <c r="AC474" i="28"/>
  <c r="AD41" i="6"/>
  <c r="AC77" i="28"/>
  <c r="AC452" i="28" s="1"/>
  <c r="AC62" i="28"/>
  <c r="AC478" i="28" s="1"/>
  <c r="AD19" i="49"/>
  <c r="AC473" i="28" l="1"/>
  <c r="AC472" i="28"/>
  <c r="AC81" i="28"/>
  <c r="AD20" i="49"/>
  <c r="Y70" i="83" l="1"/>
  <c r="Y71" i="83"/>
  <c r="Y72" i="83"/>
  <c r="Y73" i="83"/>
  <c r="Y74" i="83"/>
  <c r="Y53" i="83"/>
  <c r="Y54" i="83"/>
  <c r="Y55" i="83"/>
  <c r="Y56" i="83"/>
  <c r="Y57" i="83"/>
  <c r="Y58" i="83"/>
  <c r="Y59" i="83"/>
  <c r="Y60" i="83"/>
  <c r="Y61" i="83"/>
  <c r="Y62" i="83"/>
  <c r="Y63" i="83"/>
  <c r="Y65" i="83"/>
  <c r="Y66" i="83"/>
  <c r="Y67" i="83"/>
  <c r="Y68" i="83"/>
  <c r="Y52" i="83"/>
  <c r="Y48" i="83"/>
  <c r="Y50" i="83"/>
  <c r="Y46" i="83"/>
  <c r="Y40" i="83"/>
  <c r="Y41" i="83"/>
  <c r="Y42" i="83"/>
  <c r="Y43" i="83"/>
  <c r="Y44" i="83"/>
  <c r="Y39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30" i="83"/>
  <c r="Y31" i="83"/>
  <c r="Y33" i="83"/>
  <c r="Y34" i="83"/>
  <c r="Y35" i="83"/>
  <c r="Y36" i="83"/>
  <c r="AG39" i="45" l="1"/>
  <c r="AK39" i="45" s="1"/>
  <c r="AQ39" i="45" s="1"/>
  <c r="AU39" i="45" s="1"/>
  <c r="AY39" i="45" s="1"/>
  <c r="AG38" i="45"/>
  <c r="AK38" i="45" s="1"/>
  <c r="AQ38" i="45" s="1"/>
  <c r="AU38" i="45" s="1"/>
  <c r="AY38" i="45" s="1"/>
  <c r="Y75" i="83"/>
  <c r="Y69" i="83"/>
  <c r="Y51" i="83"/>
  <c r="Y45" i="83"/>
  <c r="BG38" i="45" l="1"/>
  <c r="BG39" i="45"/>
  <c r="Y18" i="83"/>
  <c r="Y110" i="50"/>
  <c r="AA110" i="50" s="1"/>
  <c r="AC110" i="50" s="1"/>
  <c r="AG110" i="50" s="1"/>
  <c r="AK110" i="50" s="1"/>
  <c r="AQ110" i="50" s="1"/>
  <c r="AU110" i="50" s="1"/>
  <c r="AY110" i="50" s="1"/>
  <c r="BG110" i="50" s="1"/>
  <c r="Y4" i="83"/>
  <c r="Y109" i="50"/>
  <c r="AA109" i="50" s="1"/>
  <c r="AC109" i="50" s="1"/>
  <c r="AG109" i="50" s="1"/>
  <c r="AK109" i="50" s="1"/>
  <c r="AQ109" i="50" s="1"/>
  <c r="AU109" i="50" s="1"/>
  <c r="AY109" i="50" s="1"/>
  <c r="BG109" i="50" s="1"/>
  <c r="Y32" i="83" l="1"/>
  <c r="Y34" i="50"/>
  <c r="AA34" i="50" s="1"/>
  <c r="AC34" i="50" s="1"/>
  <c r="AG34" i="50" s="1"/>
  <c r="AK34" i="50" s="1"/>
  <c r="AQ34" i="50" s="1"/>
  <c r="AU34" i="50" s="1"/>
  <c r="AY34" i="50" s="1"/>
  <c r="BG34" i="50" s="1"/>
  <c r="Y24" i="83"/>
  <c r="Y24" i="50"/>
  <c r="Y15" i="61" s="1"/>
  <c r="Y29" i="83"/>
  <c r="Y29" i="50"/>
  <c r="AA29" i="50" s="1"/>
  <c r="AC29" i="50" s="1"/>
  <c r="AG29" i="50" s="1"/>
  <c r="Y37" i="83"/>
  <c r="Y38" i="50"/>
  <c r="AA38" i="50" s="1"/>
  <c r="AC38" i="50" s="1"/>
  <c r="AG38" i="50" s="1"/>
  <c r="AK38" i="50" s="1"/>
  <c r="AQ38" i="50" s="1"/>
  <c r="AU38" i="50" s="1"/>
  <c r="AY38" i="50" s="1"/>
  <c r="BG38" i="50" s="1"/>
  <c r="Y27" i="83"/>
  <c r="Y27" i="50"/>
  <c r="Y111" i="50"/>
  <c r="AA111" i="50" s="1"/>
  <c r="AC111" i="50" s="1"/>
  <c r="AG111" i="50" s="1"/>
  <c r="AK111" i="50" s="1"/>
  <c r="AQ111" i="50" s="1"/>
  <c r="AU111" i="50" s="1"/>
  <c r="AY111" i="50" s="1"/>
  <c r="BG111" i="50" s="1"/>
  <c r="Y38" i="83" l="1"/>
  <c r="Y76" i="83" s="1"/>
  <c r="AB159" i="9"/>
  <c r="Z159" i="9"/>
  <c r="AB158" i="9"/>
  <c r="Z158" i="9"/>
  <c r="AB157" i="9"/>
  <c r="Z157" i="9"/>
  <c r="Y49" i="50" l="1"/>
  <c r="Y50" i="50"/>
  <c r="Y51" i="50"/>
  <c r="Y52" i="50"/>
  <c r="Y54" i="50"/>
  <c r="Y41" i="50"/>
  <c r="Y42" i="50"/>
  <c r="Y43" i="50"/>
  <c r="Y44" i="50"/>
  <c r="Y45" i="50"/>
  <c r="Y46" i="50"/>
  <c r="Y40" i="50"/>
  <c r="Y5" i="50"/>
  <c r="Y6" i="50"/>
  <c r="Y7" i="50"/>
  <c r="Y8" i="50"/>
  <c r="Y9" i="50"/>
  <c r="Y10" i="50"/>
  <c r="Y11" i="50"/>
  <c r="Y12" i="50"/>
  <c r="Y4" i="61" s="1"/>
  <c r="Y13" i="50"/>
  <c r="Y5" i="61" s="1"/>
  <c r="Y14" i="50"/>
  <c r="Y6" i="61" s="1"/>
  <c r="Y15" i="50"/>
  <c r="Y7" i="61" s="1"/>
  <c r="Y16" i="50"/>
  <c r="Y8" i="61" s="1"/>
  <c r="Y17" i="50"/>
  <c r="Y9" i="61" s="1"/>
  <c r="Y18" i="50"/>
  <c r="Y10" i="61" s="1"/>
  <c r="Y19" i="50"/>
  <c r="Y11" i="61" s="1"/>
  <c r="Y4" i="50"/>
  <c r="Y133" i="50"/>
  <c r="Y123" i="50"/>
  <c r="Y100" i="50"/>
  <c r="Y99" i="50"/>
  <c r="Y98" i="50"/>
  <c r="Y134" i="50"/>
  <c r="Y48" i="50"/>
  <c r="Y16" i="61" l="1"/>
  <c r="Y55" i="50"/>
  <c r="Y120" i="50" s="1"/>
  <c r="Y39" i="50"/>
  <c r="Y47" i="50"/>
  <c r="Y116" i="50" s="1"/>
  <c r="Y135" i="50"/>
  <c r="Y101" i="50"/>
  <c r="Y102" i="50" s="1"/>
  <c r="Y136" i="50"/>
  <c r="Y112" i="50"/>
  <c r="Y124" i="50"/>
  <c r="Y125" i="50" s="1"/>
  <c r="AJ383" i="28"/>
  <c r="AP383" i="28" s="1"/>
  <c r="AT383" i="28" s="1"/>
  <c r="AX383" i="28" s="1"/>
  <c r="BF383" i="28" s="1"/>
  <c r="X1" i="35"/>
  <c r="X21" i="35" s="1"/>
  <c r="X26" i="9" s="1"/>
  <c r="Y106" i="50" l="1"/>
  <c r="X162" i="10"/>
  <c r="X163" i="10" s="1"/>
  <c r="Y92" i="50"/>
  <c r="Y126" i="50"/>
  <c r="AJ112" i="28" l="1"/>
  <c r="AP112" i="28" s="1"/>
  <c r="AT112" i="28" s="1"/>
  <c r="AX112" i="28" s="1"/>
  <c r="BF112" i="28" s="1"/>
  <c r="AJ128" i="28"/>
  <c r="AP128" i="28" s="1"/>
  <c r="AT128" i="28" s="1"/>
  <c r="AX128" i="28" s="1"/>
  <c r="BF128" i="28" s="1"/>
  <c r="AJ89" i="28"/>
  <c r="AP89" i="28" s="1"/>
  <c r="AT89" i="28" s="1"/>
  <c r="AX89" i="28" s="1"/>
  <c r="BF89" i="28" s="1"/>
  <c r="AJ93" i="28"/>
  <c r="AP93" i="28" s="1"/>
  <c r="AT93" i="28" s="1"/>
  <c r="AX93" i="28" s="1"/>
  <c r="BF93" i="28" s="1"/>
  <c r="Y78" i="90" l="1"/>
  <c r="Y82" i="90" l="1"/>
  <c r="Y74" i="90"/>
  <c r="Y84" i="90"/>
  <c r="Y72" i="90"/>
  <c r="Y76" i="90"/>
  <c r="Y83" i="90"/>
  <c r="Y79" i="90"/>
  <c r="Y75" i="90"/>
  <c r="Y69" i="90"/>
  <c r="Y70" i="90"/>
  <c r="Y80" i="90"/>
  <c r="Y87" i="90"/>
  <c r="Y86" i="90"/>
  <c r="Y81" i="90"/>
  <c r="Y77" i="90"/>
  <c r="Y73" i="90"/>
  <c r="Y71" i="90"/>
  <c r="Y68" i="90" l="1"/>
  <c r="Y62" i="39"/>
  <c r="Z62" i="39"/>
  <c r="U62" i="39"/>
  <c r="AA62" i="39" l="1"/>
  <c r="AG85" i="45"/>
  <c r="AK85" i="45" s="1"/>
  <c r="AQ85" i="45" s="1"/>
  <c r="AU85" i="45" s="1"/>
  <c r="AY85" i="45" s="1"/>
  <c r="AF116" i="10"/>
  <c r="AJ116" i="10" s="1"/>
  <c r="AP116" i="10" s="1"/>
  <c r="AT116" i="10" s="1"/>
  <c r="AX116" i="10" s="1"/>
  <c r="BF116" i="10" s="1"/>
  <c r="AF111" i="10"/>
  <c r="AJ111" i="10" s="1"/>
  <c r="AP111" i="10" s="1"/>
  <c r="AT111" i="10" s="1"/>
  <c r="AX111" i="10" s="1"/>
  <c r="BF111" i="10" s="1"/>
  <c r="AF79" i="10"/>
  <c r="AJ79" i="10" s="1"/>
  <c r="AP79" i="10" s="1"/>
  <c r="AT79" i="10" s="1"/>
  <c r="AX79" i="10" s="1"/>
  <c r="BF79" i="10" s="1"/>
  <c r="AF78" i="10"/>
  <c r="AJ78" i="10" s="1"/>
  <c r="AP78" i="10" s="1"/>
  <c r="AT78" i="10" s="1"/>
  <c r="AX78" i="10" s="1"/>
  <c r="BF78" i="10" s="1"/>
  <c r="AF64" i="10"/>
  <c r="AJ64" i="10" s="1"/>
  <c r="AP64" i="10" s="1"/>
  <c r="AT64" i="10" s="1"/>
  <c r="AX64" i="10" s="1"/>
  <c r="BF64" i="10" s="1"/>
  <c r="BG85" i="45" l="1"/>
  <c r="AE62" i="39"/>
  <c r="Y119" i="50"/>
  <c r="Y121" i="50" s="1"/>
  <c r="Y115" i="50"/>
  <c r="Y117" i="50" s="1"/>
  <c r="Z74" i="59"/>
  <c r="Z70" i="59"/>
  <c r="AF31" i="10"/>
  <c r="AJ31" i="10" s="1"/>
  <c r="AP31" i="10" s="1"/>
  <c r="AT31" i="10" s="1"/>
  <c r="AX31" i="10" s="1"/>
  <c r="BF31" i="10" s="1"/>
  <c r="AI62" i="39" l="1"/>
  <c r="AO62" i="39" l="1"/>
  <c r="AF34" i="10"/>
  <c r="AJ34" i="10" s="1"/>
  <c r="AP34" i="10" s="1"/>
  <c r="AT34" i="10" s="1"/>
  <c r="AX34" i="10" s="1"/>
  <c r="BF34" i="10" s="1"/>
  <c r="Z147" i="10"/>
  <c r="AB147" i="10" s="1"/>
  <c r="Z148" i="10"/>
  <c r="AB148" i="10" s="1"/>
  <c r="Z149" i="10"/>
  <c r="AB149" i="10" s="1"/>
  <c r="Z150" i="10"/>
  <c r="AB150" i="10" s="1"/>
  <c r="Z151" i="10"/>
  <c r="Z152" i="10"/>
  <c r="AS62" i="39" l="1"/>
  <c r="Z66" i="59"/>
  <c r="Y105" i="50"/>
  <c r="AW62" i="39" l="1"/>
  <c r="Y107" i="50"/>
  <c r="Y108" i="50"/>
  <c r="Y113" i="50" s="1"/>
  <c r="BE62" i="39" l="1"/>
  <c r="Y47" i="7"/>
  <c r="Z47" i="7"/>
  <c r="Y129" i="50" l="1"/>
  <c r="Z11" i="8"/>
  <c r="Y11" i="8"/>
  <c r="X10" i="49"/>
  <c r="X12" i="49" s="1"/>
  <c r="X14" i="49" s="1"/>
  <c r="X15" i="49" s="1"/>
  <c r="X16" i="49" s="1"/>
  <c r="X19" i="49" s="1"/>
  <c r="X20" i="49" s="1"/>
  <c r="T1" i="35"/>
  <c r="T21" i="35" s="1"/>
  <c r="T26" i="9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V50" i="39"/>
  <c r="V45" i="39"/>
  <c r="V8" i="39"/>
  <c r="V51" i="39" l="1"/>
  <c r="V22" i="39"/>
  <c r="AJ417" i="28"/>
  <c r="AP417" i="28" s="1"/>
  <c r="AT417" i="28" s="1"/>
  <c r="AX417" i="28" s="1"/>
  <c r="BF417" i="28" s="1"/>
  <c r="AJ302" i="28"/>
  <c r="AP302" i="28" s="1"/>
  <c r="AT302" i="28" s="1"/>
  <c r="AX302" i="28" s="1"/>
  <c r="BF302" i="28" s="1"/>
  <c r="AJ303" i="28"/>
  <c r="AP303" i="28" s="1"/>
  <c r="AT303" i="28" s="1"/>
  <c r="AX303" i="28" s="1"/>
  <c r="BF303" i="28" s="1"/>
  <c r="AJ305" i="28"/>
  <c r="AP305" i="28" s="1"/>
  <c r="AT305" i="28" s="1"/>
  <c r="AX305" i="28" s="1"/>
  <c r="BF305" i="28" s="1"/>
  <c r="AJ221" i="28"/>
  <c r="AP221" i="28" s="1"/>
  <c r="AT221" i="28" s="1"/>
  <c r="AX221" i="28" s="1"/>
  <c r="BF221" i="28" s="1"/>
  <c r="AJ225" i="28"/>
  <c r="AP225" i="28" s="1"/>
  <c r="AT225" i="28" s="1"/>
  <c r="AX225" i="28" s="1"/>
  <c r="BF225" i="28" s="1"/>
  <c r="AJ230" i="28"/>
  <c r="AP230" i="28" s="1"/>
  <c r="AT230" i="28" s="1"/>
  <c r="AX230" i="28" s="1"/>
  <c r="BF230" i="28" s="1"/>
  <c r="AJ197" i="28"/>
  <c r="AP197" i="28" s="1"/>
  <c r="AT197" i="28" s="1"/>
  <c r="AX197" i="28" s="1"/>
  <c r="BF197" i="28" s="1"/>
  <c r="AJ116" i="28"/>
  <c r="AP116" i="28" s="1"/>
  <c r="AT116" i="28" s="1"/>
  <c r="AX116" i="28" s="1"/>
  <c r="BF116" i="28" s="1"/>
  <c r="AJ119" i="28"/>
  <c r="AP119" i="28" s="1"/>
  <c r="AT119" i="28" s="1"/>
  <c r="AX119" i="28" s="1"/>
  <c r="BF119" i="28" s="1"/>
  <c r="AJ122" i="28"/>
  <c r="AP122" i="28" s="1"/>
  <c r="AT122" i="28" s="1"/>
  <c r="AX122" i="28" s="1"/>
  <c r="BF122" i="28" s="1"/>
  <c r="AJ129" i="28"/>
  <c r="AP129" i="28" s="1"/>
  <c r="AT129" i="28" s="1"/>
  <c r="AX129" i="28" s="1"/>
  <c r="BF129" i="28" s="1"/>
  <c r="AJ130" i="28"/>
  <c r="AP130" i="28" s="1"/>
  <c r="AT130" i="28" s="1"/>
  <c r="AX130" i="28" s="1"/>
  <c r="BF130" i="28" s="1"/>
  <c r="AJ173" i="28"/>
  <c r="AP173" i="28" s="1"/>
  <c r="AT173" i="28" s="1"/>
  <c r="AX173" i="28" s="1"/>
  <c r="BF173" i="28" s="1"/>
  <c r="AJ175" i="28"/>
  <c r="AP175" i="28" s="1"/>
  <c r="AT175" i="28" s="1"/>
  <c r="AX175" i="28" s="1"/>
  <c r="BF175" i="28" s="1"/>
  <c r="Z28" i="28"/>
  <c r="Z436" i="28"/>
  <c r="Z432" i="28"/>
  <c r="Z400" i="28"/>
  <c r="Z399" i="28"/>
  <c r="Z272" i="28"/>
  <c r="Z271" i="28"/>
  <c r="Z215" i="28"/>
  <c r="Z214" i="28"/>
  <c r="Z82" i="28"/>
  <c r="Z81" i="28"/>
  <c r="Z79" i="28"/>
  <c r="Z75" i="28"/>
  <c r="Z71" i="28"/>
  <c r="Z67" i="28"/>
  <c r="Z47" i="28"/>
  <c r="Z40" i="28"/>
  <c r="Z26" i="28"/>
  <c r="Z19" i="28"/>
  <c r="Y69" i="73"/>
  <c r="Y70" i="73"/>
  <c r="AA70" i="73" s="1"/>
  <c r="AE70" i="73" s="1"/>
  <c r="AI70" i="73" s="1"/>
  <c r="AO70" i="73" s="1"/>
  <c r="AS70" i="73" s="1"/>
  <c r="AW70" i="73" s="1"/>
  <c r="BE70" i="73" s="1"/>
  <c r="Y71" i="73"/>
  <c r="AA71" i="73" s="1"/>
  <c r="AE71" i="73" s="1"/>
  <c r="AI71" i="73" s="1"/>
  <c r="AO71" i="73" s="1"/>
  <c r="AS71" i="73" s="1"/>
  <c r="AW71" i="73" s="1"/>
  <c r="BE71" i="73" s="1"/>
  <c r="Y72" i="73"/>
  <c r="AA72" i="73" s="1"/>
  <c r="AE72" i="73" s="1"/>
  <c r="AI72" i="73" s="1"/>
  <c r="AO72" i="73" s="1"/>
  <c r="AS72" i="73" s="1"/>
  <c r="AW72" i="73" s="1"/>
  <c r="BE72" i="73" s="1"/>
  <c r="Y73" i="73"/>
  <c r="Y74" i="73"/>
  <c r="Y194" i="73"/>
  <c r="AA194" i="73" s="1"/>
  <c r="AE194" i="73" s="1"/>
  <c r="AI194" i="73" s="1"/>
  <c r="AO194" i="73" s="1"/>
  <c r="AS194" i="73" s="1"/>
  <c r="AW194" i="73" s="1"/>
  <c r="BE194" i="73" s="1"/>
  <c r="Y195" i="73"/>
  <c r="Y196" i="73"/>
  <c r="Y197" i="73"/>
  <c r="Y198" i="73"/>
  <c r="Y199" i="73"/>
  <c r="Y200" i="73"/>
  <c r="AA200" i="73" s="1"/>
  <c r="AE200" i="73" s="1"/>
  <c r="AI200" i="73" s="1"/>
  <c r="AO200" i="73" s="1"/>
  <c r="AS200" i="73" s="1"/>
  <c r="AW200" i="73" s="1"/>
  <c r="BE200" i="73" s="1"/>
  <c r="Z9" i="35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Y35" i="35"/>
  <c r="Z35" i="35"/>
  <c r="Z42" i="35"/>
  <c r="Z43" i="35"/>
  <c r="Z44" i="35"/>
  <c r="Z45" i="35"/>
  <c r="Y50" i="35"/>
  <c r="Z50" i="35"/>
  <c r="Y51" i="35"/>
  <c r="Z51" i="35"/>
  <c r="Y53" i="35"/>
  <c r="Z53" i="35"/>
  <c r="Z58" i="28" l="1"/>
  <c r="Z12" i="28"/>
  <c r="Z463" i="28"/>
  <c r="Z232" i="28"/>
  <c r="Z50" i="28"/>
  <c r="Z51" i="28"/>
  <c r="Z29" i="28"/>
  <c r="Z467" i="28"/>
  <c r="Z278" i="28"/>
  <c r="Z52" i="28"/>
  <c r="Z30" i="28"/>
  <c r="Z377" i="28"/>
  <c r="Z376" i="28"/>
  <c r="Z53" i="28"/>
  <c r="Z31" i="28"/>
  <c r="Z54" i="28"/>
  <c r="Z32" i="28"/>
  <c r="Z471" i="28"/>
  <c r="Z392" i="28"/>
  <c r="Z216" i="28"/>
  <c r="Z11" i="35"/>
  <c r="Y139" i="50"/>
  <c r="Y141" i="50" s="1"/>
  <c r="Y142" i="50" s="1"/>
  <c r="W2" i="26"/>
  <c r="W2" i="17"/>
  <c r="V2" i="26"/>
  <c r="V2" i="17"/>
  <c r="Z26" i="35"/>
  <c r="Y79" i="83"/>
  <c r="Y77" i="83" s="1"/>
  <c r="Y33" i="35"/>
  <c r="V24" i="39"/>
  <c r="Z468" i="28"/>
  <c r="Z464" i="28"/>
  <c r="Z59" i="28"/>
  <c r="Z60" i="28"/>
  <c r="Z460" i="28"/>
  <c r="Y26" i="35"/>
  <c r="Z462" i="28" l="1"/>
  <c r="Z457" i="28"/>
  <c r="Z273" i="28"/>
  <c r="Z61" i="28"/>
  <c r="Z33" i="28"/>
  <c r="Z83" i="28"/>
  <c r="Z84" i="28" s="1"/>
  <c r="Z469" i="28"/>
  <c r="Z470" i="28"/>
  <c r="Z461" i="28"/>
  <c r="Z477" i="28"/>
  <c r="Z55" i="28"/>
  <c r="Z56" i="28" s="1"/>
  <c r="Z480" i="28"/>
  <c r="Z430" i="28"/>
  <c r="Z479" i="28"/>
  <c r="Z447" i="28"/>
  <c r="Z465" i="28"/>
  <c r="Y95" i="50"/>
  <c r="Y93" i="50" s="1"/>
  <c r="Z466" i="28"/>
  <c r="Z458" i="28"/>
  <c r="Z472" i="28"/>
  <c r="Z478" i="28" l="1"/>
  <c r="Z62" i="28"/>
  <c r="Z451" i="28"/>
  <c r="Z448" i="28"/>
  <c r="Z474" i="28"/>
  <c r="Z452" i="28"/>
  <c r="Z473" i="28"/>
  <c r="V159" i="9" l="1"/>
  <c r="V158" i="9"/>
  <c r="V157" i="9"/>
  <c r="G54" i="83" l="1"/>
  <c r="I54" i="83"/>
  <c r="U54" i="83"/>
  <c r="AA54" i="83" s="1"/>
  <c r="U70" i="83"/>
  <c r="U71" i="83"/>
  <c r="U72" i="83"/>
  <c r="U73" i="83"/>
  <c r="U74" i="83"/>
  <c r="U53" i="83"/>
  <c r="AA53" i="83" s="1"/>
  <c r="U55" i="83"/>
  <c r="AA55" i="83" s="1"/>
  <c r="U56" i="83"/>
  <c r="AA56" i="83" s="1"/>
  <c r="U57" i="83"/>
  <c r="AA57" i="83" s="1"/>
  <c r="U58" i="83"/>
  <c r="AA58" i="83" s="1"/>
  <c r="U59" i="83"/>
  <c r="AA59" i="83" s="1"/>
  <c r="U60" i="83"/>
  <c r="AA60" i="83" s="1"/>
  <c r="U61" i="83"/>
  <c r="AA61" i="83" s="1"/>
  <c r="U62" i="83"/>
  <c r="AA62" i="83" s="1"/>
  <c r="U63" i="83"/>
  <c r="AA63" i="83" s="1"/>
  <c r="U65" i="83"/>
  <c r="AA65" i="83" s="1"/>
  <c r="U66" i="83"/>
  <c r="AA66" i="83" s="1"/>
  <c r="U67" i="83"/>
  <c r="AA67" i="83" s="1"/>
  <c r="U68" i="83"/>
  <c r="U52" i="83"/>
  <c r="U48" i="83"/>
  <c r="U50" i="83"/>
  <c r="U46" i="83"/>
  <c r="U40" i="83"/>
  <c r="U41" i="83"/>
  <c r="U42" i="83"/>
  <c r="U43" i="83"/>
  <c r="U44" i="83"/>
  <c r="U39" i="83"/>
  <c r="U5" i="83"/>
  <c r="AA5" i="83" s="1"/>
  <c r="U7" i="83"/>
  <c r="AA7" i="83" s="1"/>
  <c r="U8" i="83"/>
  <c r="AA8" i="83" s="1"/>
  <c r="U10" i="83"/>
  <c r="AA10" i="83" s="1"/>
  <c r="U11" i="83"/>
  <c r="AA11" i="83" s="1"/>
  <c r="U12" i="83"/>
  <c r="AA12" i="83" s="1"/>
  <c r="U13" i="83"/>
  <c r="AA13" i="83" s="1"/>
  <c r="U14" i="83"/>
  <c r="AA14" i="83" s="1"/>
  <c r="U15" i="83"/>
  <c r="AA15" i="83" s="1"/>
  <c r="U16" i="83"/>
  <c r="AA16" i="83" s="1"/>
  <c r="U17" i="83"/>
  <c r="AA17" i="83" s="1"/>
  <c r="U18" i="83"/>
  <c r="AA18" i="83" s="1"/>
  <c r="U19" i="83"/>
  <c r="AA19" i="83" s="1"/>
  <c r="U24" i="83"/>
  <c r="AA24" i="83" s="1"/>
  <c r="U25" i="83"/>
  <c r="AA25" i="83" s="1"/>
  <c r="U29" i="83"/>
  <c r="AA29" i="83" s="1"/>
  <c r="U30" i="83"/>
  <c r="AA30" i="83" s="1"/>
  <c r="U31" i="83"/>
  <c r="AA31" i="83" s="1"/>
  <c r="U32" i="83"/>
  <c r="AA32" i="83" s="1"/>
  <c r="U33" i="83"/>
  <c r="AA33" i="83" s="1"/>
  <c r="U34" i="83"/>
  <c r="AA34" i="83" s="1"/>
  <c r="U35" i="83"/>
  <c r="AA35" i="83" s="1"/>
  <c r="U36" i="83"/>
  <c r="AA36" i="83" s="1"/>
  <c r="U37" i="83"/>
  <c r="AA37" i="83" s="1"/>
  <c r="U4" i="83"/>
  <c r="O54" i="83" l="1"/>
  <c r="AC54" i="83" s="1"/>
  <c r="S54" i="83"/>
  <c r="W54" i="83" s="1"/>
  <c r="K54" i="83"/>
  <c r="U69" i="83"/>
  <c r="U75" i="83"/>
  <c r="U51" i="83"/>
  <c r="U45" i="83"/>
  <c r="U190" i="6" l="1"/>
  <c r="U165" i="6"/>
  <c r="AA27" i="50" l="1"/>
  <c r="AC27" i="50" s="1"/>
  <c r="AG27" i="50" s="1"/>
  <c r="Q24" i="50" l="1"/>
  <c r="S24" i="50" s="1"/>
  <c r="W24" i="50" s="1"/>
  <c r="U27" i="83"/>
  <c r="AA27" i="83" s="1"/>
  <c r="U9" i="83"/>
  <c r="AA9" i="83" s="1"/>
  <c r="U6" i="83"/>
  <c r="AA6" i="83" s="1"/>
  <c r="Q15" i="61" l="1"/>
  <c r="AA24" i="50"/>
  <c r="AC24" i="50" s="1"/>
  <c r="AG24" i="50" s="1"/>
  <c r="U38" i="83"/>
  <c r="U76" i="83" s="1"/>
  <c r="AA15" i="61" l="1"/>
  <c r="AC15" i="61" s="1"/>
  <c r="S15" i="61"/>
  <c r="M47" i="7"/>
  <c r="N47" i="7"/>
  <c r="AB47" i="7" s="1"/>
  <c r="AF47" i="7" s="1"/>
  <c r="AJ47" i="7" s="1"/>
  <c r="AA47" i="7" l="1"/>
  <c r="AP47" i="7"/>
  <c r="AT47" i="7" s="1"/>
  <c r="AX47" i="7" s="1"/>
  <c r="R47" i="7"/>
  <c r="Q47" i="7"/>
  <c r="U47" i="7" l="1"/>
  <c r="AE47" i="7"/>
  <c r="BF47" i="7"/>
  <c r="V47" i="7"/>
  <c r="AI47" i="7" l="1"/>
  <c r="AO47" i="7" l="1"/>
  <c r="AS47" i="7" l="1"/>
  <c r="AW47" i="7" l="1"/>
  <c r="BE47" i="7" l="1"/>
  <c r="R174" i="26"/>
  <c r="R169" i="26" l="1"/>
  <c r="R166" i="26" l="1"/>
  <c r="R173" i="26"/>
  <c r="U6" i="61" l="1"/>
  <c r="U7" i="61"/>
  <c r="U8" i="61"/>
  <c r="U9" i="61"/>
  <c r="U10" i="61"/>
  <c r="U11" i="61"/>
  <c r="Q14" i="72"/>
  <c r="Q34" i="72"/>
  <c r="Q42" i="72"/>
  <c r="BJ56" i="71"/>
  <c r="BH56" i="71"/>
  <c r="Q44" i="72" l="1"/>
  <c r="BI56" i="71"/>
  <c r="BI58" i="71" s="1"/>
  <c r="Q46" i="72" l="1"/>
  <c r="U198" i="6" l="1"/>
  <c r="U31" i="36" l="1"/>
  <c r="V31" i="36"/>
  <c r="V93" i="8"/>
  <c r="U81" i="8"/>
  <c r="U73" i="8"/>
  <c r="U52" i="8"/>
  <c r="T144" i="7"/>
  <c r="T146" i="7" s="1"/>
  <c r="T147" i="7" s="1"/>
  <c r="T138" i="7"/>
  <c r="T140" i="7" s="1"/>
  <c r="T141" i="7" s="1"/>
  <c r="T129" i="7"/>
  <c r="T131" i="7" s="1"/>
  <c r="T121" i="7"/>
  <c r="U115" i="7"/>
  <c r="S115" i="7"/>
  <c r="U114" i="7"/>
  <c r="S114" i="7"/>
  <c r="U113" i="7"/>
  <c r="U112" i="7"/>
  <c r="U111" i="7"/>
  <c r="U110" i="7"/>
  <c r="U109" i="7"/>
  <c r="U108" i="7"/>
  <c r="U107" i="7"/>
  <c r="U106" i="7"/>
  <c r="U85" i="7"/>
  <c r="R50" i="39"/>
  <c r="R45" i="39"/>
  <c r="R8" i="39"/>
  <c r="R51" i="39" l="1"/>
  <c r="R22" i="39"/>
  <c r="T132" i="7"/>
  <c r="T123" i="7"/>
  <c r="T124" i="7" s="1"/>
  <c r="T130" i="7"/>
  <c r="R24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U480" i="28"/>
  <c r="U479" i="28"/>
  <c r="R2" i="17" l="1"/>
  <c r="R2" i="26"/>
  <c r="S2" i="17"/>
  <c r="S2" i="26"/>
  <c r="U41" i="6"/>
  <c r="T133" i="7"/>
  <c r="T125" i="7"/>
  <c r="T126" i="7"/>
  <c r="T127" i="7" s="1"/>
  <c r="T128" i="7" l="1"/>
  <c r="T135" i="7" s="1"/>
  <c r="X45" i="59" l="1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U54" i="36"/>
  <c r="U53" i="36"/>
  <c r="U51" i="36"/>
  <c r="U49" i="36"/>
  <c r="U48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U50" i="36" l="1"/>
  <c r="X6" i="59"/>
  <c r="U79" i="83" l="1"/>
  <c r="U77" i="83" s="1"/>
  <c r="E121" i="90" l="1"/>
  <c r="E116" i="90"/>
  <c r="E99" i="90"/>
  <c r="E43" i="39"/>
  <c r="E42" i="39"/>
  <c r="E61" i="39"/>
  <c r="E60" i="39"/>
  <c r="M42" i="72"/>
  <c r="I42" i="72"/>
  <c r="E42" i="72"/>
  <c r="C42" i="72"/>
  <c r="M34" i="72"/>
  <c r="I34" i="72"/>
  <c r="E34" i="72"/>
  <c r="C34" i="72"/>
  <c r="C21" i="72"/>
  <c r="M14" i="72"/>
  <c r="I14" i="72"/>
  <c r="E14" i="72"/>
  <c r="C14" i="72"/>
  <c r="O42" i="72" l="1"/>
  <c r="S42" i="72" s="1"/>
  <c r="K42" i="72"/>
  <c r="G42" i="72"/>
  <c r="K34" i="72"/>
  <c r="O34" i="72"/>
  <c r="S34" i="72" s="1"/>
  <c r="G34" i="72"/>
  <c r="K14" i="72"/>
  <c r="O14" i="72"/>
  <c r="S14" i="72" s="1"/>
  <c r="G14" i="72"/>
  <c r="Y43" i="39"/>
  <c r="Y42" i="39"/>
  <c r="L43" i="22"/>
  <c r="L42" i="22"/>
  <c r="U116" i="90"/>
  <c r="I116" i="90"/>
  <c r="AA116" i="90"/>
  <c r="BE116" i="90" s="1"/>
  <c r="M116" i="90"/>
  <c r="Q116" i="90"/>
  <c r="AI116" i="90"/>
  <c r="AE116" i="90"/>
  <c r="AO116" i="90"/>
  <c r="AS116" i="90" s="1"/>
  <c r="AW116" i="90" s="1"/>
  <c r="I99" i="90"/>
  <c r="M99" i="90"/>
  <c r="M106" i="90"/>
  <c r="E114" i="90"/>
  <c r="AA106" i="90"/>
  <c r="BE106" i="90" s="1"/>
  <c r="I106" i="90"/>
  <c r="AE106" i="90"/>
  <c r="AO106" i="90"/>
  <c r="AS106" i="90" s="1"/>
  <c r="AW106" i="90" s="1"/>
  <c r="U106" i="90"/>
  <c r="Q106" i="90"/>
  <c r="AI106" i="90"/>
  <c r="I110" i="90"/>
  <c r="AA110" i="90"/>
  <c r="BE110" i="90" s="1"/>
  <c r="M110" i="90"/>
  <c r="AI110" i="90"/>
  <c r="AO110" i="90"/>
  <c r="AS110" i="90" s="1"/>
  <c r="AW110" i="90" s="1"/>
  <c r="Q110" i="90"/>
  <c r="AE110" i="90"/>
  <c r="U110" i="90"/>
  <c r="AA109" i="90"/>
  <c r="BE109" i="90" s="1"/>
  <c r="I109" i="90"/>
  <c r="M109" i="90"/>
  <c r="AO109" i="90"/>
  <c r="AS109" i="90" s="1"/>
  <c r="AW109" i="90" s="1"/>
  <c r="AE109" i="90"/>
  <c r="AI109" i="90"/>
  <c r="Q109" i="90"/>
  <c r="U109" i="90"/>
  <c r="AA108" i="90"/>
  <c r="BE108" i="90" s="1"/>
  <c r="Q108" i="90"/>
  <c r="U108" i="90"/>
  <c r="M108" i="90"/>
  <c r="AI108" i="90"/>
  <c r="I108" i="90"/>
  <c r="AE108" i="90"/>
  <c r="AO108" i="90"/>
  <c r="AS108" i="90" s="1"/>
  <c r="AW108" i="90" s="1"/>
  <c r="AA107" i="90"/>
  <c r="BE107" i="90" s="1"/>
  <c r="I107" i="90"/>
  <c r="Q107" i="90"/>
  <c r="M107" i="90"/>
  <c r="U107" i="90"/>
  <c r="AI107" i="90"/>
  <c r="AO107" i="90"/>
  <c r="AS107" i="90" s="1"/>
  <c r="AW107" i="90" s="1"/>
  <c r="AE107" i="90"/>
  <c r="P43" i="22"/>
  <c r="Y61" i="39"/>
  <c r="P42" i="22"/>
  <c r="Y60" i="39"/>
  <c r="T15" i="36"/>
  <c r="W53" i="59" l="1"/>
  <c r="T75" i="8"/>
  <c r="AA114" i="90"/>
  <c r="BE114" i="90" s="1"/>
  <c r="M114" i="90"/>
  <c r="I114" i="90"/>
  <c r="U114" i="90"/>
  <c r="Q114" i="90"/>
  <c r="AO114" i="90"/>
  <c r="AS114" i="90" s="1"/>
  <c r="AW114" i="90" s="1"/>
  <c r="AE114" i="90"/>
  <c r="AI114" i="90"/>
  <c r="T22" i="59" l="1"/>
  <c r="P9" i="52" l="1"/>
  <c r="P17" i="52" s="1"/>
  <c r="O9" i="52"/>
  <c r="O17" i="52" s="1"/>
  <c r="Q5" i="50" l="1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19" i="50"/>
  <c r="Q11" i="61"/>
  <c r="AA18" i="50"/>
  <c r="Q10" i="61"/>
  <c r="AA17" i="50"/>
  <c r="Q9" i="61"/>
  <c r="AA16" i="50"/>
  <c r="Q8" i="61"/>
  <c r="AA15" i="50"/>
  <c r="Q7" i="61"/>
  <c r="Q4" i="61"/>
  <c r="AA11" i="61" l="1"/>
  <c r="AA9" i="61"/>
  <c r="AA6" i="61"/>
  <c r="AA7" i="61"/>
  <c r="AA10" i="61"/>
  <c r="AA8" i="61"/>
  <c r="Q16" i="61"/>
  <c r="AG93" i="45" l="1"/>
  <c r="AK93" i="45" s="1"/>
  <c r="AQ93" i="45" s="1"/>
  <c r="AU93" i="45" s="1"/>
  <c r="AY93" i="45" s="1"/>
  <c r="BG93" i="45" l="1"/>
  <c r="AG17" i="45"/>
  <c r="AK17" i="45" s="1"/>
  <c r="AQ17" i="45" s="1"/>
  <c r="AU17" i="45" s="1"/>
  <c r="AY17" i="45" s="1"/>
  <c r="AG18" i="45"/>
  <c r="AK18" i="45" s="1"/>
  <c r="AQ18" i="45" s="1"/>
  <c r="AU18" i="45" s="1"/>
  <c r="AY18" i="45" s="1"/>
  <c r="AG15" i="45"/>
  <c r="AK15" i="45" s="1"/>
  <c r="AQ15" i="45" s="1"/>
  <c r="AU15" i="45" s="1"/>
  <c r="AY15" i="45" s="1"/>
  <c r="BG18" i="45" l="1"/>
  <c r="BG15" i="45"/>
  <c r="BG17" i="45"/>
  <c r="AF92" i="10"/>
  <c r="AJ92" i="10" s="1"/>
  <c r="AP92" i="10" s="1"/>
  <c r="AT92" i="10" s="1"/>
  <c r="AX92" i="10" s="1"/>
  <c r="BF92" i="10" s="1"/>
  <c r="AF91" i="10"/>
  <c r="AJ91" i="10" s="1"/>
  <c r="AP91" i="10" s="1"/>
  <c r="AT91" i="10" s="1"/>
  <c r="AX91" i="10" s="1"/>
  <c r="BF91" i="10" s="1"/>
  <c r="AF90" i="10"/>
  <c r="AJ90" i="10" s="1"/>
  <c r="AP90" i="10" s="1"/>
  <c r="AT90" i="10" s="1"/>
  <c r="AX90" i="10" s="1"/>
  <c r="BF90" i="10" s="1"/>
  <c r="F80" i="8" l="1"/>
  <c r="J79" i="8"/>
  <c r="J77" i="8"/>
  <c r="J80" i="8" l="1"/>
  <c r="R159" i="9" l="1"/>
  <c r="R158" i="9"/>
  <c r="R157" i="9"/>
  <c r="E223" i="6" l="1"/>
  <c r="E222" i="6"/>
  <c r="Y17" i="35" l="1"/>
  <c r="Y16" i="35"/>
  <c r="Y18" i="35" l="1"/>
  <c r="Y34" i="35"/>
  <c r="Y36" i="35" s="1"/>
  <c r="AC12" i="38"/>
  <c r="P10" i="49"/>
  <c r="P12" i="49" s="1"/>
  <c r="P14" i="49" s="1"/>
  <c r="P15" i="49" s="1"/>
  <c r="P16" i="49" s="1"/>
  <c r="P19" i="49" s="1"/>
  <c r="P20" i="49" s="1"/>
  <c r="P144" i="7"/>
  <c r="P146" i="7" s="1"/>
  <c r="P147" i="7" s="1"/>
  <c r="P138" i="7"/>
  <c r="P140" i="7" s="1"/>
  <c r="P141" i="7" s="1"/>
  <c r="P129" i="7"/>
  <c r="P121" i="7"/>
  <c r="O115" i="7"/>
  <c r="O114" i="7"/>
  <c r="Z132" i="6"/>
  <c r="Y132" i="6"/>
  <c r="Z17" i="49"/>
  <c r="Q129" i="50" l="1"/>
  <c r="AA129" i="50" s="1"/>
  <c r="O89" i="90"/>
  <c r="Y89" i="90" s="1"/>
  <c r="O117" i="90"/>
  <c r="AA139" i="50"/>
  <c r="Y34" i="39"/>
  <c r="Y46" i="39"/>
  <c r="Y47" i="39"/>
  <c r="Y48" i="39"/>
  <c r="Y48" i="35"/>
  <c r="Y37" i="35"/>
  <c r="Y8" i="39"/>
  <c r="Z18" i="49"/>
  <c r="P123" i="7"/>
  <c r="P124" i="7" s="1"/>
  <c r="P126" i="7" s="1"/>
  <c r="P127" i="7" s="1"/>
  <c r="P130" i="7"/>
  <c r="P131" i="7"/>
  <c r="P132" i="7" s="1"/>
  <c r="Q43" i="35"/>
  <c r="U43" i="35" s="1"/>
  <c r="Q44" i="35"/>
  <c r="U44" i="35" s="1"/>
  <c r="Q45" i="35"/>
  <c r="U45" i="35" s="1"/>
  <c r="Y42" i="35"/>
  <c r="Y39" i="35"/>
  <c r="Z31" i="35"/>
  <c r="Z30" i="35"/>
  <c r="Z20" i="35"/>
  <c r="Y20" i="35"/>
  <c r="Y9" i="35"/>
  <c r="O119" i="90" l="1"/>
  <c r="Y117" i="90"/>
  <c r="Y50" i="39"/>
  <c r="Y23" i="39"/>
  <c r="Y22" i="39"/>
  <c r="Y49" i="39"/>
  <c r="Y45" i="39"/>
  <c r="N2" i="26"/>
  <c r="N2" i="17"/>
  <c r="O2" i="17"/>
  <c r="O2" i="26"/>
  <c r="T98" i="38"/>
  <c r="Z14" i="35"/>
  <c r="Y41" i="35"/>
  <c r="Y49" i="35" s="1"/>
  <c r="Z13" i="35"/>
  <c r="Y10" i="35"/>
  <c r="Y11" i="35" s="1"/>
  <c r="Y19" i="35"/>
  <c r="Z19" i="35"/>
  <c r="Z32" i="35"/>
  <c r="Z33" i="35" s="1"/>
  <c r="S98" i="38"/>
  <c r="P125" i="7"/>
  <c r="P128" i="7" s="1"/>
  <c r="Z41" i="35"/>
  <c r="P133" i="7"/>
  <c r="H7" i="86"/>
  <c r="L7" i="86" s="1"/>
  <c r="H8" i="86"/>
  <c r="L8" i="86" s="1"/>
  <c r="H9" i="86"/>
  <c r="L9" i="86" s="1"/>
  <c r="H10" i="86"/>
  <c r="L10" i="86" s="1"/>
  <c r="H11" i="86"/>
  <c r="L11" i="86" s="1"/>
  <c r="H12" i="86"/>
  <c r="L12" i="86" s="1"/>
  <c r="H13" i="86"/>
  <c r="L13" i="86" s="1"/>
  <c r="H14" i="86"/>
  <c r="L14" i="86" s="1"/>
  <c r="H15" i="86"/>
  <c r="L15" i="86" s="1"/>
  <c r="H16" i="86"/>
  <c r="L16" i="86" s="1"/>
  <c r="H17" i="86"/>
  <c r="L17" i="86" s="1"/>
  <c r="H18" i="86"/>
  <c r="L18" i="86" s="1"/>
  <c r="H19" i="86"/>
  <c r="L19" i="86" s="1"/>
  <c r="H20" i="86"/>
  <c r="L20" i="86" s="1"/>
  <c r="H6" i="86"/>
  <c r="L6" i="86" s="1"/>
  <c r="J21" i="86"/>
  <c r="F21" i="86"/>
  <c r="D21" i="86"/>
  <c r="N21" i="86"/>
  <c r="O21" i="86"/>
  <c r="O123" i="90" l="1"/>
  <c r="Y119" i="90"/>
  <c r="Y123" i="90" s="1"/>
  <c r="P20" i="86"/>
  <c r="T20" i="86" s="1"/>
  <c r="Z20" i="86"/>
  <c r="AD20" i="86" s="1"/>
  <c r="AH20" i="86" s="1"/>
  <c r="AN20" i="86" s="1"/>
  <c r="AR20" i="86" s="1"/>
  <c r="AV20" i="86" s="1"/>
  <c r="BD20" i="86" s="1"/>
  <c r="P19" i="86"/>
  <c r="T19" i="86" s="1"/>
  <c r="Z19" i="86"/>
  <c r="AD19" i="86" s="1"/>
  <c r="AH19" i="86" s="1"/>
  <c r="AN19" i="86" s="1"/>
  <c r="AR19" i="86" s="1"/>
  <c r="AV19" i="86" s="1"/>
  <c r="BD19" i="86" s="1"/>
  <c r="P18" i="86"/>
  <c r="T18" i="86" s="1"/>
  <c r="Z18" i="86"/>
  <c r="AD18" i="86" s="1"/>
  <c r="AH18" i="86" s="1"/>
  <c r="AN18" i="86" s="1"/>
  <c r="AR18" i="86" s="1"/>
  <c r="AV18" i="86" s="1"/>
  <c r="BD18" i="86" s="1"/>
  <c r="P17" i="86"/>
  <c r="T17" i="86" s="1"/>
  <c r="Z17" i="86"/>
  <c r="AD17" i="86" s="1"/>
  <c r="AH17" i="86" s="1"/>
  <c r="AN17" i="86" s="1"/>
  <c r="AR17" i="86" s="1"/>
  <c r="AV17" i="86" s="1"/>
  <c r="BD17" i="86" s="1"/>
  <c r="P16" i="86"/>
  <c r="T16" i="86" s="1"/>
  <c r="Z16" i="86"/>
  <c r="AD16" i="86" s="1"/>
  <c r="AH16" i="86" s="1"/>
  <c r="AN16" i="86" s="1"/>
  <c r="AR16" i="86" s="1"/>
  <c r="AV16" i="86" s="1"/>
  <c r="BD16" i="86" s="1"/>
  <c r="P15" i="86"/>
  <c r="T15" i="86" s="1"/>
  <c r="Z15" i="86"/>
  <c r="AD15" i="86" s="1"/>
  <c r="AH15" i="86" s="1"/>
  <c r="AN15" i="86" s="1"/>
  <c r="AR15" i="86" s="1"/>
  <c r="AV15" i="86" s="1"/>
  <c r="BD15" i="86" s="1"/>
  <c r="P14" i="86"/>
  <c r="T14" i="86" s="1"/>
  <c r="Z14" i="86"/>
  <c r="AD14" i="86" s="1"/>
  <c r="AH14" i="86" s="1"/>
  <c r="AN14" i="86" s="1"/>
  <c r="AR14" i="86" s="1"/>
  <c r="AV14" i="86" s="1"/>
  <c r="BD14" i="86" s="1"/>
  <c r="P13" i="86"/>
  <c r="T13" i="86" s="1"/>
  <c r="Z13" i="86"/>
  <c r="AD13" i="86" s="1"/>
  <c r="AH13" i="86" s="1"/>
  <c r="AN13" i="86" s="1"/>
  <c r="AR13" i="86" s="1"/>
  <c r="AV13" i="86" s="1"/>
  <c r="BD13" i="86" s="1"/>
  <c r="P12" i="86"/>
  <c r="T12" i="86" s="1"/>
  <c r="Z12" i="86"/>
  <c r="AD12" i="86" s="1"/>
  <c r="AH12" i="86" s="1"/>
  <c r="AN12" i="86" s="1"/>
  <c r="AR12" i="86" s="1"/>
  <c r="AV12" i="86" s="1"/>
  <c r="BD12" i="86" s="1"/>
  <c r="P11" i="86"/>
  <c r="T11" i="86" s="1"/>
  <c r="Z11" i="86"/>
  <c r="AD11" i="86" s="1"/>
  <c r="AH11" i="86" s="1"/>
  <c r="AN11" i="86" s="1"/>
  <c r="AR11" i="86" s="1"/>
  <c r="AV11" i="86" s="1"/>
  <c r="BD11" i="86" s="1"/>
  <c r="P10" i="86"/>
  <c r="T10" i="86" s="1"/>
  <c r="Z10" i="86"/>
  <c r="AD10" i="86" s="1"/>
  <c r="AH10" i="86" s="1"/>
  <c r="AN10" i="86" s="1"/>
  <c r="AR10" i="86" s="1"/>
  <c r="AV10" i="86" s="1"/>
  <c r="BD10" i="86" s="1"/>
  <c r="P9" i="86"/>
  <c r="T9" i="86" s="1"/>
  <c r="Z9" i="86"/>
  <c r="AD9" i="86" s="1"/>
  <c r="AH9" i="86" s="1"/>
  <c r="AN9" i="86" s="1"/>
  <c r="AR9" i="86" s="1"/>
  <c r="AV9" i="86" s="1"/>
  <c r="BD9" i="86" s="1"/>
  <c r="P8" i="86"/>
  <c r="T8" i="86" s="1"/>
  <c r="Z8" i="86"/>
  <c r="AD8" i="86" s="1"/>
  <c r="AH8" i="86" s="1"/>
  <c r="AN8" i="86" s="1"/>
  <c r="AR8" i="86" s="1"/>
  <c r="AV8" i="86" s="1"/>
  <c r="BD8" i="86" s="1"/>
  <c r="P7" i="86"/>
  <c r="T7" i="86" s="1"/>
  <c r="Z7" i="86"/>
  <c r="AD7" i="86" s="1"/>
  <c r="AH7" i="86" s="1"/>
  <c r="AN7" i="86" s="1"/>
  <c r="AR7" i="86" s="1"/>
  <c r="AV7" i="86" s="1"/>
  <c r="BD7" i="86" s="1"/>
  <c r="P6" i="86"/>
  <c r="T6" i="86" s="1"/>
  <c r="Z6" i="86"/>
  <c r="H21" i="86"/>
  <c r="L21" i="86" s="1"/>
  <c r="Y51" i="39"/>
  <c r="Y24" i="39"/>
  <c r="Z15" i="35"/>
  <c r="Y13" i="35"/>
  <c r="Y14" i="35"/>
  <c r="P135" i="7"/>
  <c r="P21" i="86" l="1"/>
  <c r="AD6" i="86"/>
  <c r="Z21" i="86"/>
  <c r="Y15" i="35"/>
  <c r="AH6" i="86" l="1"/>
  <c r="AD21" i="86"/>
  <c r="AN6" i="86" l="1"/>
  <c r="AH21" i="86"/>
  <c r="AR6" i="86" l="1"/>
  <c r="AN21" i="86"/>
  <c r="N79" i="8"/>
  <c r="R79" i="8" s="1"/>
  <c r="V79" i="8" s="1"/>
  <c r="N77" i="8"/>
  <c r="F76" i="8"/>
  <c r="AV6" i="86" l="1"/>
  <c r="AR21" i="86"/>
  <c r="J76" i="8"/>
  <c r="N76" i="8"/>
  <c r="R76" i="8" s="1"/>
  <c r="V76" i="8" s="1"/>
  <c r="R77" i="8"/>
  <c r="N80" i="8"/>
  <c r="BD6" i="86" l="1"/>
  <c r="BD21" i="86" s="1"/>
  <c r="AV21" i="86"/>
  <c r="R80" i="8"/>
  <c r="V77" i="8"/>
  <c r="V80" i="8" l="1"/>
  <c r="J3" i="8" l="1"/>
  <c r="H1" i="35"/>
  <c r="H21" i="35" s="1"/>
  <c r="H26" i="9" s="1"/>
  <c r="AC14" i="85"/>
  <c r="AC12" i="85"/>
  <c r="AJ397" i="28" l="1"/>
  <c r="AP397" i="28" s="1"/>
  <c r="AT397" i="28" s="1"/>
  <c r="AX397" i="28" s="1"/>
  <c r="BF397" i="28" s="1"/>
  <c r="B10" i="6" l="1"/>
  <c r="F8" i="6"/>
  <c r="F9" i="6"/>
  <c r="AJ362" i="28" l="1"/>
  <c r="AP362" i="28" s="1"/>
  <c r="AT362" i="28" s="1"/>
  <c r="AX362" i="28" s="1"/>
  <c r="BF362" i="28" s="1"/>
  <c r="AJ338" i="28"/>
  <c r="AP338" i="28" s="1"/>
  <c r="AT338" i="28" s="1"/>
  <c r="AX338" i="28" s="1"/>
  <c r="BF338" i="28" s="1"/>
  <c r="AG90" i="45" l="1"/>
  <c r="AK90" i="45" s="1"/>
  <c r="AQ90" i="45" s="1"/>
  <c r="AU90" i="45" s="1"/>
  <c r="AY90" i="45" s="1"/>
  <c r="AG88" i="45"/>
  <c r="AK88" i="45" s="1"/>
  <c r="AQ88" i="45" s="1"/>
  <c r="AU88" i="45" s="1"/>
  <c r="AY88" i="45" s="1"/>
  <c r="AG12" i="45"/>
  <c r="AK12" i="45" s="1"/>
  <c r="AQ12" i="45" s="1"/>
  <c r="AU12" i="45" s="1"/>
  <c r="AY12" i="45" s="1"/>
  <c r="I11" i="8"/>
  <c r="M11" i="8"/>
  <c r="N11" i="8"/>
  <c r="BG12" i="45" l="1"/>
  <c r="BG88" i="45"/>
  <c r="BG90" i="45"/>
  <c r="AB11" i="8"/>
  <c r="AF11" i="8" s="1"/>
  <c r="AJ11" i="8" s="1"/>
  <c r="AP11" i="8" s="1"/>
  <c r="AT11" i="8" s="1"/>
  <c r="AX11" i="8" s="1"/>
  <c r="BF11" i="8" s="1"/>
  <c r="R11" i="8"/>
  <c r="V11" i="8" s="1"/>
  <c r="AA11" i="8"/>
  <c r="AE11" i="8" s="1"/>
  <c r="AI11" i="8" s="1"/>
  <c r="AO11" i="8" s="1"/>
  <c r="AS11" i="8" s="1"/>
  <c r="AW11" i="8" s="1"/>
  <c r="BE11" i="8" s="1"/>
  <c r="Q11" i="8"/>
  <c r="U11" i="8" s="1"/>
  <c r="N159" i="9"/>
  <c r="N158" i="9"/>
  <c r="N157" i="9"/>
  <c r="L24" i="36" l="1"/>
  <c r="O75" i="59" s="1"/>
  <c r="R12" i="38" l="1"/>
  <c r="V12" i="38" s="1"/>
  <c r="Z12" i="38" s="1"/>
  <c r="M49" i="50"/>
  <c r="M50" i="50"/>
  <c r="M51" i="50"/>
  <c r="M52" i="50"/>
  <c r="M54" i="50"/>
  <c r="M41" i="50"/>
  <c r="M42" i="50"/>
  <c r="M43" i="50"/>
  <c r="M44" i="50"/>
  <c r="M45" i="50"/>
  <c r="M46" i="50"/>
  <c r="M40" i="50"/>
  <c r="M4" i="61"/>
  <c r="M5" i="61"/>
  <c r="M6" i="61"/>
  <c r="M7" i="61"/>
  <c r="M8" i="61"/>
  <c r="M9" i="61"/>
  <c r="M10" i="61"/>
  <c r="M133" i="50"/>
  <c r="M123" i="50"/>
  <c r="M126" i="50" s="1"/>
  <c r="M98" i="50"/>
  <c r="M134" i="50"/>
  <c r="M48" i="50"/>
  <c r="M16" i="61" l="1"/>
  <c r="M55" i="50"/>
  <c r="M120" i="50" s="1"/>
  <c r="M39" i="50"/>
  <c r="L162" i="10" s="1"/>
  <c r="L163" i="10" s="1"/>
  <c r="M47" i="50"/>
  <c r="M116" i="50" s="1"/>
  <c r="M125" i="50"/>
  <c r="M135" i="50"/>
  <c r="M112" i="50"/>
  <c r="M136" i="50"/>
  <c r="I44" i="72"/>
  <c r="I46" i="72" s="1"/>
  <c r="AZ56" i="71"/>
  <c r="BB56" i="71"/>
  <c r="BD56" i="71"/>
  <c r="BF56" i="71"/>
  <c r="BL56" i="71"/>
  <c r="BN56" i="71"/>
  <c r="BP56" i="71"/>
  <c r="BR56" i="71"/>
  <c r="BT56" i="71"/>
  <c r="BV56" i="71"/>
  <c r="BV58" i="71" s="1"/>
  <c r="BX56" i="71"/>
  <c r="BZ56" i="71"/>
  <c r="BZ58" i="71" s="1"/>
  <c r="CB56" i="71"/>
  <c r="CD56" i="71"/>
  <c r="CF56" i="71"/>
  <c r="CF58" i="71" s="1"/>
  <c r="CH56" i="71"/>
  <c r="CJ56" i="71"/>
  <c r="CJ58" i="71" s="1"/>
  <c r="CL56" i="71"/>
  <c r="CN56" i="71"/>
  <c r="CN58" i="71" s="1"/>
  <c r="CP56" i="71"/>
  <c r="CR56" i="71"/>
  <c r="CT56" i="71"/>
  <c r="M92" i="50" l="1"/>
  <c r="M106" i="50"/>
  <c r="AF138" i="10"/>
  <c r="AJ138" i="10" s="1"/>
  <c r="AP138" i="10" s="1"/>
  <c r="AT138" i="10" s="1"/>
  <c r="AX138" i="10" s="1"/>
  <c r="AF139" i="10"/>
  <c r="AJ139" i="10" s="1"/>
  <c r="AP139" i="10" s="1"/>
  <c r="AT139" i="10" s="1"/>
  <c r="AX139" i="10" s="1"/>
  <c r="AF140" i="10"/>
  <c r="AJ140" i="10" s="1"/>
  <c r="AP140" i="10" s="1"/>
  <c r="AT140" i="10" s="1"/>
  <c r="AX140" i="10" s="1"/>
  <c r="AF141" i="10"/>
  <c r="AJ141" i="10" s="1"/>
  <c r="AP141" i="10" s="1"/>
  <c r="AT141" i="10" s="1"/>
  <c r="AX141" i="10" s="1"/>
  <c r="AF142" i="10"/>
  <c r="AJ142" i="10" s="1"/>
  <c r="AP142" i="10" s="1"/>
  <c r="AT142" i="10" s="1"/>
  <c r="AX142" i="10" s="1"/>
  <c r="AF143" i="10"/>
  <c r="AJ143" i="10" s="1"/>
  <c r="AP143" i="10" s="1"/>
  <c r="AT143" i="10" s="1"/>
  <c r="AX143" i="10" s="1"/>
  <c r="AF144" i="10"/>
  <c r="AJ144" i="10" s="1"/>
  <c r="AP144" i="10" s="1"/>
  <c r="AT144" i="10" s="1"/>
  <c r="AX144" i="10" s="1"/>
  <c r="AF145" i="10"/>
  <c r="AJ145" i="10" s="1"/>
  <c r="AP145" i="10" s="1"/>
  <c r="AT145" i="10" s="1"/>
  <c r="AX145" i="10" s="1"/>
  <c r="AF147" i="10"/>
  <c r="AJ147" i="10" s="1"/>
  <c r="AP147" i="10" s="1"/>
  <c r="AT147" i="10" s="1"/>
  <c r="AX147" i="10" s="1"/>
  <c r="BF147" i="10" s="1"/>
  <c r="AF148" i="10"/>
  <c r="AJ148" i="10" s="1"/>
  <c r="AP148" i="10" s="1"/>
  <c r="AT148" i="10" s="1"/>
  <c r="AX148" i="10" s="1"/>
  <c r="AF149" i="10"/>
  <c r="AJ149" i="10" s="1"/>
  <c r="AP149" i="10" s="1"/>
  <c r="AT149" i="10" s="1"/>
  <c r="AX149" i="10" s="1"/>
  <c r="AF150" i="10"/>
  <c r="AJ150" i="10" s="1"/>
  <c r="AP150" i="10" s="1"/>
  <c r="AT150" i="10" s="1"/>
  <c r="AX150" i="10" s="1"/>
  <c r="AB151" i="10"/>
  <c r="AF151" i="10" s="1"/>
  <c r="AJ151" i="10" s="1"/>
  <c r="AP151" i="10" s="1"/>
  <c r="AT151" i="10" s="1"/>
  <c r="AX151" i="10" s="1"/>
  <c r="AB152" i="10"/>
  <c r="AF152" i="10" s="1"/>
  <c r="AJ152" i="10" s="1"/>
  <c r="AP152" i="10" s="1"/>
  <c r="AT152" i="10" s="1"/>
  <c r="AX152" i="10" s="1"/>
  <c r="N49" i="11"/>
  <c r="AB49" i="11" s="1"/>
  <c r="N50" i="11"/>
  <c r="AB50" i="11" s="1"/>
  <c r="N8" i="11"/>
  <c r="N11" i="11"/>
  <c r="N12" i="11"/>
  <c r="N13" i="11"/>
  <c r="N14" i="11"/>
  <c r="N15" i="11"/>
  <c r="N16" i="11"/>
  <c r="N18" i="11"/>
  <c r="N20" i="11"/>
  <c r="N21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AB42" i="11" s="1"/>
  <c r="M157" i="45"/>
  <c r="M156" i="45"/>
  <c r="M154" i="45"/>
  <c r="M148" i="45"/>
  <c r="M149" i="45" s="1"/>
  <c r="M143" i="45"/>
  <c r="L143" i="45"/>
  <c r="M141" i="45"/>
  <c r="L141" i="45"/>
  <c r="M140" i="45"/>
  <c r="L140" i="45"/>
  <c r="M138" i="45"/>
  <c r="L138" i="45"/>
  <c r="M136" i="45"/>
  <c r="L136" i="45"/>
  <c r="M134" i="45"/>
  <c r="O73" i="59" s="1"/>
  <c r="L134" i="45"/>
  <c r="N73" i="59" s="1"/>
  <c r="M131" i="45"/>
  <c r="M132" i="45" s="1"/>
  <c r="L131" i="45"/>
  <c r="L132" i="45" s="1"/>
  <c r="M109" i="45"/>
  <c r="M159" i="45" s="1"/>
  <c r="M108" i="45"/>
  <c r="L108" i="45"/>
  <c r="M107" i="45"/>
  <c r="M29" i="9"/>
  <c r="K89" i="90"/>
  <c r="R15" i="11" l="1"/>
  <c r="V15" i="11" s="1"/>
  <c r="AB15" i="11"/>
  <c r="R41" i="11"/>
  <c r="V41" i="11" s="1"/>
  <c r="AB41" i="11"/>
  <c r="R14" i="11"/>
  <c r="V14" i="11" s="1"/>
  <c r="AB14" i="11"/>
  <c r="AF14" i="11" s="1"/>
  <c r="AJ14" i="11" s="1"/>
  <c r="AP14" i="11" s="1"/>
  <c r="R24" i="11"/>
  <c r="V24" i="11" s="1"/>
  <c r="AB24" i="11"/>
  <c r="AF24" i="11" s="1"/>
  <c r="AJ24" i="11" s="1"/>
  <c r="AP24" i="11" s="1"/>
  <c r="R28" i="11"/>
  <c r="V28" i="11" s="1"/>
  <c r="AB28" i="11"/>
  <c r="R13" i="11"/>
  <c r="V13" i="11" s="1"/>
  <c r="AB13" i="11"/>
  <c r="AF13" i="11" s="1"/>
  <c r="AJ13" i="11" s="1"/>
  <c r="AP13" i="11" s="1"/>
  <c r="R30" i="11"/>
  <c r="V30" i="11" s="1"/>
  <c r="AB30" i="11"/>
  <c r="R23" i="11"/>
  <c r="V23" i="11" s="1"/>
  <c r="AB23" i="11"/>
  <c r="AF23" i="11" s="1"/>
  <c r="AJ23" i="11" s="1"/>
  <c r="AP23" i="11" s="1"/>
  <c r="R33" i="11"/>
  <c r="V33" i="11" s="1"/>
  <c r="AB33" i="11"/>
  <c r="AF33" i="11" s="1"/>
  <c r="AJ33" i="11" s="1"/>
  <c r="AP33" i="11" s="1"/>
  <c r="R27" i="11"/>
  <c r="V27" i="11" s="1"/>
  <c r="AB27" i="11"/>
  <c r="R20" i="11"/>
  <c r="V20" i="11" s="1"/>
  <c r="AB20" i="11"/>
  <c r="AF20" i="11" s="1"/>
  <c r="AJ20" i="11" s="1"/>
  <c r="AP20" i="11" s="1"/>
  <c r="R12" i="11"/>
  <c r="V12" i="11" s="1"/>
  <c r="AB12" i="11"/>
  <c r="AF12" i="11" s="1"/>
  <c r="AJ12" i="11" s="1"/>
  <c r="AP12" i="11" s="1"/>
  <c r="R36" i="11"/>
  <c r="V36" i="11" s="1"/>
  <c r="AB36" i="11"/>
  <c r="R29" i="11"/>
  <c r="V29" i="11" s="1"/>
  <c r="AB29" i="11"/>
  <c r="AF29" i="11" s="1"/>
  <c r="AJ29" i="11" s="1"/>
  <c r="AP29" i="11" s="1"/>
  <c r="R34" i="11"/>
  <c r="V34" i="11" s="1"/>
  <c r="AB34" i="11"/>
  <c r="AF34" i="11" s="1"/>
  <c r="AJ34" i="11" s="1"/>
  <c r="AP34" i="11" s="1"/>
  <c r="R38" i="11"/>
  <c r="V38" i="11" s="1"/>
  <c r="AB38" i="11"/>
  <c r="AF38" i="11" s="1"/>
  <c r="AJ38" i="11" s="1"/>
  <c r="AP38" i="11" s="1"/>
  <c r="R32" i="11"/>
  <c r="V32" i="11" s="1"/>
  <c r="AB32" i="11"/>
  <c r="AF32" i="11" s="1"/>
  <c r="AJ32" i="11" s="1"/>
  <c r="AP32" i="11" s="1"/>
  <c r="R26" i="11"/>
  <c r="V26" i="11" s="1"/>
  <c r="AB26" i="11"/>
  <c r="AF26" i="11" s="1"/>
  <c r="AJ26" i="11" s="1"/>
  <c r="AP26" i="11" s="1"/>
  <c r="R18" i="11"/>
  <c r="V18" i="11" s="1"/>
  <c r="AB18" i="11"/>
  <c r="AF18" i="11" s="1"/>
  <c r="AJ18" i="11" s="1"/>
  <c r="AP18" i="11" s="1"/>
  <c r="R11" i="11"/>
  <c r="V11" i="11" s="1"/>
  <c r="AB11" i="11"/>
  <c r="AF11" i="11" s="1"/>
  <c r="AJ11" i="11" s="1"/>
  <c r="AP11" i="11" s="1"/>
  <c r="R35" i="11"/>
  <c r="V35" i="11" s="1"/>
  <c r="AB35" i="11"/>
  <c r="R40" i="11"/>
  <c r="V40" i="11" s="1"/>
  <c r="AB40" i="11"/>
  <c r="R21" i="11"/>
  <c r="V21" i="11" s="1"/>
  <c r="AB21" i="11"/>
  <c r="R39" i="11"/>
  <c r="V39" i="11" s="1"/>
  <c r="AB39" i="11"/>
  <c r="AF39" i="11" s="1"/>
  <c r="AJ39" i="11" s="1"/>
  <c r="AP39" i="11" s="1"/>
  <c r="R37" i="11"/>
  <c r="V37" i="11" s="1"/>
  <c r="AB37" i="11"/>
  <c r="R31" i="11"/>
  <c r="V31" i="11" s="1"/>
  <c r="AB31" i="11"/>
  <c r="AF31" i="11" s="1"/>
  <c r="AJ31" i="11" s="1"/>
  <c r="AP31" i="11" s="1"/>
  <c r="R25" i="11"/>
  <c r="V25" i="11" s="1"/>
  <c r="AB25" i="11"/>
  <c r="AF25" i="11" s="1"/>
  <c r="AJ25" i="11" s="1"/>
  <c r="AP25" i="11" s="1"/>
  <c r="R16" i="11"/>
  <c r="V16" i="11" s="1"/>
  <c r="AB16" i="11"/>
  <c r="AF16" i="11" s="1"/>
  <c r="AJ16" i="11" s="1"/>
  <c r="AP16" i="11" s="1"/>
  <c r="R8" i="11"/>
  <c r="V8" i="11" s="1"/>
  <c r="AB8" i="11"/>
  <c r="AF42" i="11"/>
  <c r="AJ42" i="11" s="1"/>
  <c r="AP42" i="11" s="1"/>
  <c r="R42" i="11"/>
  <c r="V42" i="11" s="1"/>
  <c r="AF50" i="11"/>
  <c r="AJ50" i="11" s="1"/>
  <c r="AP50" i="11" s="1"/>
  <c r="R50" i="11"/>
  <c r="V50" i="11" s="1"/>
  <c r="AF49" i="11"/>
  <c r="AJ49" i="11" s="1"/>
  <c r="AP49" i="11" s="1"/>
  <c r="R49" i="11"/>
  <c r="V49" i="11" s="1"/>
  <c r="L32" i="35"/>
  <c r="L33" i="35" s="1"/>
  <c r="L37" i="35" s="1"/>
  <c r="M79" i="83" s="1"/>
  <c r="M77" i="83" s="1"/>
  <c r="M139" i="45"/>
  <c r="L124" i="45"/>
  <c r="L139" i="45"/>
  <c r="M158" i="45"/>
  <c r="M150" i="45"/>
  <c r="M129" i="50"/>
  <c r="AX155" i="10"/>
  <c r="AX184" i="10" s="1"/>
  <c r="AJ155" i="10"/>
  <c r="AG61" i="45"/>
  <c r="AK61" i="45" s="1"/>
  <c r="AQ61" i="45" s="1"/>
  <c r="AU61" i="45" s="1"/>
  <c r="AY61" i="45" s="1"/>
  <c r="AG54" i="45"/>
  <c r="AK54" i="45" s="1"/>
  <c r="AQ54" i="45" s="1"/>
  <c r="AU54" i="45" s="1"/>
  <c r="AY54" i="45" s="1"/>
  <c r="AG33" i="45"/>
  <c r="AK33" i="45" s="1"/>
  <c r="AQ33" i="45" s="1"/>
  <c r="AU33" i="45" s="1"/>
  <c r="AY33" i="45" s="1"/>
  <c r="AG53" i="45"/>
  <c r="AK53" i="45" s="1"/>
  <c r="AQ53" i="45" s="1"/>
  <c r="AU53" i="45" s="1"/>
  <c r="AY53" i="45" s="1"/>
  <c r="AG45" i="45"/>
  <c r="AK45" i="45" s="1"/>
  <c r="AQ45" i="45" s="1"/>
  <c r="AU45" i="45" s="1"/>
  <c r="AY45" i="45" s="1"/>
  <c r="AG23" i="45"/>
  <c r="AK23" i="45" s="1"/>
  <c r="AQ23" i="45" s="1"/>
  <c r="AU23" i="45" s="1"/>
  <c r="AY23" i="45" s="1"/>
  <c r="AG57" i="45"/>
  <c r="AK57" i="45" s="1"/>
  <c r="AQ57" i="45" s="1"/>
  <c r="AU57" i="45" s="1"/>
  <c r="AY57" i="45" s="1"/>
  <c r="AG44" i="45"/>
  <c r="AK44" i="45" s="1"/>
  <c r="AQ44" i="45" s="1"/>
  <c r="AU44" i="45" s="1"/>
  <c r="AY44" i="45" s="1"/>
  <c r="AG35" i="45"/>
  <c r="AK35" i="45" s="1"/>
  <c r="AQ35" i="45" s="1"/>
  <c r="AU35" i="45" s="1"/>
  <c r="AY35" i="45" s="1"/>
  <c r="AF41" i="11"/>
  <c r="AJ41" i="11" s="1"/>
  <c r="AP41" i="11" s="1"/>
  <c r="AF35" i="11"/>
  <c r="AJ35" i="11" s="1"/>
  <c r="AP35" i="11" s="1"/>
  <c r="AF40" i="11"/>
  <c r="AJ40" i="11" s="1"/>
  <c r="AP40" i="11" s="1"/>
  <c r="AF28" i="11"/>
  <c r="AJ28" i="11" s="1"/>
  <c r="AP28" i="11" s="1"/>
  <c r="AF21" i="11"/>
  <c r="AJ21" i="11" s="1"/>
  <c r="AP21" i="11" s="1"/>
  <c r="AF27" i="11"/>
  <c r="AJ27" i="11" s="1"/>
  <c r="AP27" i="11" s="1"/>
  <c r="AF37" i="11"/>
  <c r="AJ37" i="11" s="1"/>
  <c r="AP37" i="11" s="1"/>
  <c r="AF9" i="11"/>
  <c r="AJ9" i="11" s="1"/>
  <c r="AP9" i="11" s="1"/>
  <c r="AF36" i="11"/>
  <c r="AJ36" i="11" s="1"/>
  <c r="AP36" i="11" s="1"/>
  <c r="AF30" i="11"/>
  <c r="AJ30" i="11" s="1"/>
  <c r="AP30" i="11" s="1"/>
  <c r="AF15" i="11"/>
  <c r="AJ15" i="11" s="1"/>
  <c r="AP15" i="11" s="1"/>
  <c r="AF8" i="11"/>
  <c r="AJ8" i="11" s="1"/>
  <c r="AF135" i="10"/>
  <c r="AJ135" i="10" s="1"/>
  <c r="AP135" i="10" s="1"/>
  <c r="AT135" i="10" s="1"/>
  <c r="AX135" i="10" s="1"/>
  <c r="AF127" i="10"/>
  <c r="AJ127" i="10" s="1"/>
  <c r="AP127" i="10" s="1"/>
  <c r="AT127" i="10" s="1"/>
  <c r="AX127" i="10" s="1"/>
  <c r="BF127" i="10" s="1"/>
  <c r="AF109" i="10"/>
  <c r="AJ109" i="10" s="1"/>
  <c r="AP109" i="10" s="1"/>
  <c r="AT109" i="10" s="1"/>
  <c r="AX109" i="10" s="1"/>
  <c r="BF109" i="10" s="1"/>
  <c r="AF102" i="10"/>
  <c r="AJ102" i="10" s="1"/>
  <c r="AP102" i="10" s="1"/>
  <c r="AT102" i="10" s="1"/>
  <c r="AX102" i="10" s="1"/>
  <c r="BF102" i="10" s="1"/>
  <c r="AF96" i="10"/>
  <c r="AJ96" i="10" s="1"/>
  <c r="AP96" i="10" s="1"/>
  <c r="AT96" i="10" s="1"/>
  <c r="AX96" i="10" s="1"/>
  <c r="BF96" i="10" s="1"/>
  <c r="AF87" i="10"/>
  <c r="AJ87" i="10" s="1"/>
  <c r="AP87" i="10" s="1"/>
  <c r="AT87" i="10" s="1"/>
  <c r="AX87" i="10" s="1"/>
  <c r="BF87" i="10" s="1"/>
  <c r="AF131" i="10"/>
  <c r="AJ131" i="10" s="1"/>
  <c r="AP131" i="10" s="1"/>
  <c r="AT131" i="10" s="1"/>
  <c r="AX131" i="10" s="1"/>
  <c r="BF131" i="10" s="1"/>
  <c r="AF93" i="10"/>
  <c r="AJ93" i="10" s="1"/>
  <c r="AP93" i="10" s="1"/>
  <c r="AT93" i="10" s="1"/>
  <c r="AX93" i="10" s="1"/>
  <c r="BF93" i="10" s="1"/>
  <c r="AF134" i="10"/>
  <c r="AJ134" i="10" s="1"/>
  <c r="AP134" i="10" s="1"/>
  <c r="AT134" i="10" s="1"/>
  <c r="AX134" i="10" s="1"/>
  <c r="AF126" i="10"/>
  <c r="AJ126" i="10" s="1"/>
  <c r="AP126" i="10" s="1"/>
  <c r="AT126" i="10" s="1"/>
  <c r="AX126" i="10" s="1"/>
  <c r="BF126" i="10" s="1"/>
  <c r="AF115" i="10"/>
  <c r="AJ115" i="10" s="1"/>
  <c r="AP115" i="10" s="1"/>
  <c r="AT115" i="10" s="1"/>
  <c r="AX115" i="10" s="1"/>
  <c r="BF115" i="10" s="1"/>
  <c r="AF108" i="10"/>
  <c r="AJ108" i="10" s="1"/>
  <c r="AP108" i="10" s="1"/>
  <c r="AT108" i="10" s="1"/>
  <c r="AX108" i="10" s="1"/>
  <c r="BF108" i="10" s="1"/>
  <c r="AF101" i="10"/>
  <c r="AJ101" i="10" s="1"/>
  <c r="AP101" i="10" s="1"/>
  <c r="AT101" i="10" s="1"/>
  <c r="AX101" i="10" s="1"/>
  <c r="BF101" i="10" s="1"/>
  <c r="AF95" i="10"/>
  <c r="AJ95" i="10" s="1"/>
  <c r="AP95" i="10" s="1"/>
  <c r="AT95" i="10" s="1"/>
  <c r="AX95" i="10" s="1"/>
  <c r="BF95" i="10" s="1"/>
  <c r="AF81" i="10"/>
  <c r="AJ81" i="10" s="1"/>
  <c r="AP81" i="10" s="1"/>
  <c r="AT81" i="10" s="1"/>
  <c r="AX81" i="10" s="1"/>
  <c r="BF81" i="10" s="1"/>
  <c r="AF106" i="10"/>
  <c r="AJ106" i="10" s="1"/>
  <c r="AP106" i="10" s="1"/>
  <c r="AT106" i="10" s="1"/>
  <c r="AX106" i="10" s="1"/>
  <c r="BF106" i="10" s="1"/>
  <c r="AF132" i="10"/>
  <c r="AJ132" i="10" s="1"/>
  <c r="AP132" i="10" s="1"/>
  <c r="AT132" i="10" s="1"/>
  <c r="AX132" i="10" s="1"/>
  <c r="BF132" i="10" s="1"/>
  <c r="AF124" i="10"/>
  <c r="AJ124" i="10" s="1"/>
  <c r="AP124" i="10" s="1"/>
  <c r="AT124" i="10" s="1"/>
  <c r="AX124" i="10" s="1"/>
  <c r="AF114" i="10"/>
  <c r="AJ114" i="10" s="1"/>
  <c r="AP114" i="10" s="1"/>
  <c r="AT114" i="10" s="1"/>
  <c r="AX114" i="10" s="1"/>
  <c r="BF114" i="10" s="1"/>
  <c r="AF107" i="10"/>
  <c r="AJ107" i="10" s="1"/>
  <c r="AP107" i="10" s="1"/>
  <c r="AT107" i="10" s="1"/>
  <c r="AX107" i="10" s="1"/>
  <c r="BF107" i="10" s="1"/>
  <c r="AF100" i="10"/>
  <c r="AJ100" i="10" s="1"/>
  <c r="AP100" i="10" s="1"/>
  <c r="AT100" i="10" s="1"/>
  <c r="AX100" i="10" s="1"/>
  <c r="BF100" i="10" s="1"/>
  <c r="AF94" i="10"/>
  <c r="AJ94" i="10" s="1"/>
  <c r="AP94" i="10" s="1"/>
  <c r="AT94" i="10" s="1"/>
  <c r="AX94" i="10" s="1"/>
  <c r="BF94" i="10" s="1"/>
  <c r="AF129" i="10"/>
  <c r="AJ129" i="10" s="1"/>
  <c r="AP129" i="10" s="1"/>
  <c r="AT129" i="10" s="1"/>
  <c r="AX129" i="10" s="1"/>
  <c r="BF129" i="10" s="1"/>
  <c r="AF122" i="10"/>
  <c r="AJ122" i="10" s="1"/>
  <c r="AP122" i="10" s="1"/>
  <c r="AT122" i="10" s="1"/>
  <c r="AX122" i="10" s="1"/>
  <c r="AF112" i="10"/>
  <c r="AJ112" i="10" s="1"/>
  <c r="AP112" i="10" s="1"/>
  <c r="AT112" i="10" s="1"/>
  <c r="AX112" i="10" s="1"/>
  <c r="BF112" i="10" s="1"/>
  <c r="AF105" i="10"/>
  <c r="AJ105" i="10" s="1"/>
  <c r="AP105" i="10" s="1"/>
  <c r="AT105" i="10" s="1"/>
  <c r="AX105" i="10" s="1"/>
  <c r="BF105" i="10" s="1"/>
  <c r="AF98" i="10"/>
  <c r="AJ98" i="10" s="1"/>
  <c r="AP98" i="10" s="1"/>
  <c r="AT98" i="10" s="1"/>
  <c r="AX98" i="10" s="1"/>
  <c r="BF98" i="10" s="1"/>
  <c r="AF89" i="10"/>
  <c r="AJ89" i="10" s="1"/>
  <c r="AP89" i="10" s="1"/>
  <c r="AT89" i="10" s="1"/>
  <c r="AX89" i="10" s="1"/>
  <c r="BF89" i="10" s="1"/>
  <c r="AF113" i="10"/>
  <c r="AJ113" i="10" s="1"/>
  <c r="AP113" i="10" s="1"/>
  <c r="AT113" i="10" s="1"/>
  <c r="AX113" i="10" s="1"/>
  <c r="BF113" i="10" s="1"/>
  <c r="AF99" i="10"/>
  <c r="AJ99" i="10" s="1"/>
  <c r="AP99" i="10" s="1"/>
  <c r="AT99" i="10" s="1"/>
  <c r="AX99" i="10" s="1"/>
  <c r="BF99" i="10" s="1"/>
  <c r="AF136" i="10"/>
  <c r="AJ136" i="10" s="1"/>
  <c r="AP136" i="10" s="1"/>
  <c r="AT136" i="10" s="1"/>
  <c r="AX136" i="10" s="1"/>
  <c r="AF128" i="10"/>
  <c r="AJ128" i="10" s="1"/>
  <c r="AP128" i="10" s="1"/>
  <c r="AT128" i="10" s="1"/>
  <c r="AX128" i="10" s="1"/>
  <c r="BF128" i="10" s="1"/>
  <c r="AF120" i="10"/>
  <c r="AJ120" i="10" s="1"/>
  <c r="AP120" i="10" s="1"/>
  <c r="AT120" i="10" s="1"/>
  <c r="AX120" i="10" s="1"/>
  <c r="AF110" i="10"/>
  <c r="AJ110" i="10" s="1"/>
  <c r="AP110" i="10" s="1"/>
  <c r="AT110" i="10" s="1"/>
  <c r="AX110" i="10" s="1"/>
  <c r="BF110" i="10" s="1"/>
  <c r="AF103" i="10"/>
  <c r="AJ103" i="10" s="1"/>
  <c r="AP103" i="10" s="1"/>
  <c r="AT103" i="10" s="1"/>
  <c r="AX103" i="10" s="1"/>
  <c r="BF103" i="10" s="1"/>
  <c r="AF97" i="10"/>
  <c r="AJ97" i="10" s="1"/>
  <c r="AP97" i="10" s="1"/>
  <c r="AT97" i="10" s="1"/>
  <c r="AX97" i="10" s="1"/>
  <c r="BF97" i="10" s="1"/>
  <c r="AF88" i="10"/>
  <c r="AJ88" i="10" s="1"/>
  <c r="AP88" i="10" s="1"/>
  <c r="AT88" i="10" s="1"/>
  <c r="AX88" i="10" s="1"/>
  <c r="BF88" i="10" s="1"/>
  <c r="AF59" i="10"/>
  <c r="AJ59" i="10" s="1"/>
  <c r="AP59" i="10" s="1"/>
  <c r="AT59" i="10" s="1"/>
  <c r="AX59" i="10" s="1"/>
  <c r="BF59" i="10" s="1"/>
  <c r="AF51" i="10"/>
  <c r="AJ51" i="10" s="1"/>
  <c r="AP51" i="10" s="1"/>
  <c r="AT51" i="10" s="1"/>
  <c r="AX51" i="10" s="1"/>
  <c r="BF51" i="10" s="1"/>
  <c r="AF44" i="10"/>
  <c r="AJ44" i="10" s="1"/>
  <c r="AP44" i="10" s="1"/>
  <c r="AT44" i="10" s="1"/>
  <c r="AX44" i="10" s="1"/>
  <c r="BF44" i="10" s="1"/>
  <c r="AF72" i="10"/>
  <c r="AJ72" i="10" s="1"/>
  <c r="AP72" i="10" s="1"/>
  <c r="AT72" i="10" s="1"/>
  <c r="AX72" i="10" s="1"/>
  <c r="BF72" i="10" s="1"/>
  <c r="AF66" i="10"/>
  <c r="AJ66" i="10" s="1"/>
  <c r="AP66" i="10" s="1"/>
  <c r="AT66" i="10" s="1"/>
  <c r="AX66" i="10" s="1"/>
  <c r="BF66" i="10" s="1"/>
  <c r="AF58" i="10"/>
  <c r="AJ58" i="10" s="1"/>
  <c r="AP58" i="10" s="1"/>
  <c r="AT58" i="10" s="1"/>
  <c r="AX58" i="10" s="1"/>
  <c r="BF58" i="10" s="1"/>
  <c r="AF49" i="10"/>
  <c r="AJ49" i="10" s="1"/>
  <c r="AP49" i="10" s="1"/>
  <c r="AT49" i="10" s="1"/>
  <c r="AX49" i="10" s="1"/>
  <c r="BF49" i="10" s="1"/>
  <c r="AF43" i="10"/>
  <c r="AJ43" i="10" s="1"/>
  <c r="AP43" i="10" s="1"/>
  <c r="AT43" i="10" s="1"/>
  <c r="AX43" i="10" s="1"/>
  <c r="BF43" i="10" s="1"/>
  <c r="AF37" i="10"/>
  <c r="AJ37" i="10" s="1"/>
  <c r="AP37" i="10" s="1"/>
  <c r="AT37" i="10" s="1"/>
  <c r="AX37" i="10" s="1"/>
  <c r="BF37" i="10" s="1"/>
  <c r="AF25" i="10"/>
  <c r="AJ25" i="10" s="1"/>
  <c r="AP25" i="10" s="1"/>
  <c r="AT25" i="10" s="1"/>
  <c r="AX25" i="10" s="1"/>
  <c r="BF25" i="10" s="1"/>
  <c r="AF17" i="10"/>
  <c r="AJ17" i="10" s="1"/>
  <c r="AP17" i="10" s="1"/>
  <c r="AT17" i="10" s="1"/>
  <c r="AX17" i="10" s="1"/>
  <c r="BF17" i="10" s="1"/>
  <c r="AF10" i="10"/>
  <c r="AJ10" i="10" s="1"/>
  <c r="AP10" i="10" s="1"/>
  <c r="AT10" i="10" s="1"/>
  <c r="AX10" i="10" s="1"/>
  <c r="BF10" i="10" s="1"/>
  <c r="AF73" i="10"/>
  <c r="AJ73" i="10" s="1"/>
  <c r="AP73" i="10" s="1"/>
  <c r="AT73" i="10" s="1"/>
  <c r="AX73" i="10" s="1"/>
  <c r="BF73" i="10" s="1"/>
  <c r="AF11" i="10"/>
  <c r="AJ11" i="10" s="1"/>
  <c r="AP11" i="10" s="1"/>
  <c r="AT11" i="10" s="1"/>
  <c r="AX11" i="10" s="1"/>
  <c r="BF11" i="10" s="1"/>
  <c r="AF80" i="10"/>
  <c r="AJ80" i="10" s="1"/>
  <c r="AP80" i="10" s="1"/>
  <c r="AT80" i="10" s="1"/>
  <c r="AX80" i="10" s="1"/>
  <c r="BF80" i="10" s="1"/>
  <c r="AF71" i="10"/>
  <c r="AJ71" i="10" s="1"/>
  <c r="AP71" i="10" s="1"/>
  <c r="AT71" i="10" s="1"/>
  <c r="AX71" i="10" s="1"/>
  <c r="BF71" i="10" s="1"/>
  <c r="AF65" i="10"/>
  <c r="AJ65" i="10" s="1"/>
  <c r="AP65" i="10" s="1"/>
  <c r="AT65" i="10" s="1"/>
  <c r="AX65" i="10" s="1"/>
  <c r="BF65" i="10" s="1"/>
  <c r="AF57" i="10"/>
  <c r="AJ57" i="10" s="1"/>
  <c r="AP57" i="10" s="1"/>
  <c r="AT57" i="10" s="1"/>
  <c r="AX57" i="10" s="1"/>
  <c r="BF57" i="10" s="1"/>
  <c r="AF48" i="10"/>
  <c r="AJ48" i="10" s="1"/>
  <c r="AP48" i="10" s="1"/>
  <c r="AT48" i="10" s="1"/>
  <c r="AX48" i="10" s="1"/>
  <c r="BF48" i="10" s="1"/>
  <c r="AF42" i="10"/>
  <c r="AJ42" i="10" s="1"/>
  <c r="AP42" i="10" s="1"/>
  <c r="AT42" i="10" s="1"/>
  <c r="AX42" i="10" s="1"/>
  <c r="BF42" i="10" s="1"/>
  <c r="AF36" i="10"/>
  <c r="AJ36" i="10" s="1"/>
  <c r="AP36" i="10" s="1"/>
  <c r="AT36" i="10" s="1"/>
  <c r="AX36" i="10" s="1"/>
  <c r="BF36" i="10" s="1"/>
  <c r="AF24" i="10"/>
  <c r="AJ24" i="10" s="1"/>
  <c r="AP24" i="10" s="1"/>
  <c r="AT24" i="10" s="1"/>
  <c r="AX24" i="10" s="1"/>
  <c r="BF24" i="10" s="1"/>
  <c r="AF16" i="10"/>
  <c r="AJ16" i="10" s="1"/>
  <c r="AP16" i="10" s="1"/>
  <c r="AT16" i="10" s="1"/>
  <c r="AX16" i="10" s="1"/>
  <c r="BF16" i="10" s="1"/>
  <c r="AF9" i="10"/>
  <c r="AJ9" i="10" s="1"/>
  <c r="AP9" i="10" s="1"/>
  <c r="AT9" i="10" s="1"/>
  <c r="AX9" i="10" s="1"/>
  <c r="BF9" i="10" s="1"/>
  <c r="AF67" i="10"/>
  <c r="AJ67" i="10" s="1"/>
  <c r="AP67" i="10" s="1"/>
  <c r="AT67" i="10" s="1"/>
  <c r="AX67" i="10" s="1"/>
  <c r="BF67" i="10" s="1"/>
  <c r="AF18" i="10"/>
  <c r="AJ18" i="10" s="1"/>
  <c r="AP18" i="10" s="1"/>
  <c r="AT18" i="10" s="1"/>
  <c r="AX18" i="10" s="1"/>
  <c r="BF18" i="10" s="1"/>
  <c r="AF77" i="10"/>
  <c r="AJ77" i="10" s="1"/>
  <c r="AP77" i="10" s="1"/>
  <c r="AT77" i="10" s="1"/>
  <c r="AX77" i="10" s="1"/>
  <c r="BF77" i="10" s="1"/>
  <c r="AF70" i="10"/>
  <c r="AJ70" i="10" s="1"/>
  <c r="AP70" i="10" s="1"/>
  <c r="AT70" i="10" s="1"/>
  <c r="AX70" i="10" s="1"/>
  <c r="BF70" i="10" s="1"/>
  <c r="AF63" i="10"/>
  <c r="AJ63" i="10" s="1"/>
  <c r="AP63" i="10" s="1"/>
  <c r="AT63" i="10" s="1"/>
  <c r="AX63" i="10" s="1"/>
  <c r="BF63" i="10" s="1"/>
  <c r="AF54" i="10"/>
  <c r="AJ54" i="10" s="1"/>
  <c r="AP54" i="10" s="1"/>
  <c r="AT54" i="10" s="1"/>
  <c r="AX54" i="10" s="1"/>
  <c r="BF54" i="10" s="1"/>
  <c r="AF47" i="10"/>
  <c r="AJ47" i="10" s="1"/>
  <c r="AP47" i="10" s="1"/>
  <c r="AT47" i="10" s="1"/>
  <c r="AX47" i="10" s="1"/>
  <c r="BF47" i="10" s="1"/>
  <c r="AF41" i="10"/>
  <c r="AJ41" i="10" s="1"/>
  <c r="AP41" i="10" s="1"/>
  <c r="AT41" i="10" s="1"/>
  <c r="AX41" i="10" s="1"/>
  <c r="BF41" i="10" s="1"/>
  <c r="AF35" i="10"/>
  <c r="AJ35" i="10" s="1"/>
  <c r="AP35" i="10" s="1"/>
  <c r="AT35" i="10" s="1"/>
  <c r="AX35" i="10" s="1"/>
  <c r="BF35" i="10" s="1"/>
  <c r="AF21" i="10"/>
  <c r="AJ21" i="10" s="1"/>
  <c r="AP21" i="10" s="1"/>
  <c r="AT21" i="10" s="1"/>
  <c r="AX21" i="10" s="1"/>
  <c r="BF21" i="10" s="1"/>
  <c r="AF15" i="10"/>
  <c r="AJ15" i="10" s="1"/>
  <c r="AP15" i="10" s="1"/>
  <c r="AT15" i="10" s="1"/>
  <c r="AX15" i="10" s="1"/>
  <c r="BF15" i="10" s="1"/>
  <c r="AF8" i="10"/>
  <c r="AJ8" i="10" s="1"/>
  <c r="AP8" i="10" s="1"/>
  <c r="AT8" i="10" s="1"/>
  <c r="AX8" i="10" s="1"/>
  <c r="BF8" i="10" s="1"/>
  <c r="AF27" i="10"/>
  <c r="AJ27" i="10" s="1"/>
  <c r="AP27" i="10" s="1"/>
  <c r="AT27" i="10" s="1"/>
  <c r="AX27" i="10" s="1"/>
  <c r="BF27" i="10" s="1"/>
  <c r="AF76" i="10"/>
  <c r="AJ76" i="10" s="1"/>
  <c r="AP76" i="10" s="1"/>
  <c r="AT76" i="10" s="1"/>
  <c r="AX76" i="10" s="1"/>
  <c r="BF76" i="10" s="1"/>
  <c r="AF69" i="10"/>
  <c r="AJ69" i="10" s="1"/>
  <c r="AP69" i="10" s="1"/>
  <c r="AT69" i="10" s="1"/>
  <c r="AX69" i="10" s="1"/>
  <c r="BF69" i="10" s="1"/>
  <c r="AF61" i="10"/>
  <c r="AJ61" i="10" s="1"/>
  <c r="AP61" i="10" s="1"/>
  <c r="AT61" i="10" s="1"/>
  <c r="AX61" i="10" s="1"/>
  <c r="BF61" i="10" s="1"/>
  <c r="AF53" i="10"/>
  <c r="AJ53" i="10" s="1"/>
  <c r="AP53" i="10" s="1"/>
  <c r="AT53" i="10" s="1"/>
  <c r="AX53" i="10" s="1"/>
  <c r="BF53" i="10" s="1"/>
  <c r="AF46" i="10"/>
  <c r="AJ46" i="10" s="1"/>
  <c r="AP46" i="10" s="1"/>
  <c r="AT46" i="10" s="1"/>
  <c r="AX46" i="10" s="1"/>
  <c r="BF46" i="10" s="1"/>
  <c r="AF40" i="10"/>
  <c r="AJ40" i="10" s="1"/>
  <c r="AP40" i="10" s="1"/>
  <c r="AT40" i="10" s="1"/>
  <c r="AX40" i="10" s="1"/>
  <c r="BF40" i="10" s="1"/>
  <c r="AF33" i="10"/>
  <c r="AJ33" i="10" s="1"/>
  <c r="AP33" i="10" s="1"/>
  <c r="AT33" i="10" s="1"/>
  <c r="AX33" i="10" s="1"/>
  <c r="BF33" i="10" s="1"/>
  <c r="AF20" i="10"/>
  <c r="AJ20" i="10" s="1"/>
  <c r="AP20" i="10" s="1"/>
  <c r="AT20" i="10" s="1"/>
  <c r="AX20" i="10" s="1"/>
  <c r="BF20" i="10" s="1"/>
  <c r="AF14" i="10"/>
  <c r="AJ14" i="10" s="1"/>
  <c r="AP14" i="10" s="1"/>
  <c r="AT14" i="10" s="1"/>
  <c r="AX14" i="10" s="1"/>
  <c r="BF14" i="10" s="1"/>
  <c r="AF38" i="10"/>
  <c r="AJ38" i="10" s="1"/>
  <c r="AP38" i="10" s="1"/>
  <c r="AT38" i="10" s="1"/>
  <c r="AX38" i="10" s="1"/>
  <c r="BF38" i="10" s="1"/>
  <c r="AF74" i="10"/>
  <c r="AJ74" i="10" s="1"/>
  <c r="AP74" i="10" s="1"/>
  <c r="AT74" i="10" s="1"/>
  <c r="AX74" i="10" s="1"/>
  <c r="BF74" i="10" s="1"/>
  <c r="AF68" i="10"/>
  <c r="AJ68" i="10" s="1"/>
  <c r="AP68" i="10" s="1"/>
  <c r="AT68" i="10" s="1"/>
  <c r="AX68" i="10" s="1"/>
  <c r="BF68" i="10" s="1"/>
  <c r="AF60" i="10"/>
  <c r="AJ60" i="10" s="1"/>
  <c r="AP60" i="10" s="1"/>
  <c r="AT60" i="10" s="1"/>
  <c r="AX60" i="10" s="1"/>
  <c r="BF60" i="10" s="1"/>
  <c r="AF52" i="10"/>
  <c r="AJ52" i="10" s="1"/>
  <c r="AP52" i="10" s="1"/>
  <c r="AT52" i="10" s="1"/>
  <c r="AX52" i="10" s="1"/>
  <c r="BF52" i="10" s="1"/>
  <c r="AF45" i="10"/>
  <c r="AJ45" i="10" s="1"/>
  <c r="AP45" i="10" s="1"/>
  <c r="AT45" i="10" s="1"/>
  <c r="AX45" i="10" s="1"/>
  <c r="BF45" i="10" s="1"/>
  <c r="AF39" i="10"/>
  <c r="AJ39" i="10" s="1"/>
  <c r="AP39" i="10" s="1"/>
  <c r="AT39" i="10" s="1"/>
  <c r="AX39" i="10" s="1"/>
  <c r="BF39" i="10" s="1"/>
  <c r="AF32" i="10"/>
  <c r="AJ32" i="10" s="1"/>
  <c r="AP32" i="10" s="1"/>
  <c r="AT32" i="10" s="1"/>
  <c r="AX32" i="10" s="1"/>
  <c r="BF32" i="10" s="1"/>
  <c r="AF19" i="10"/>
  <c r="AJ19" i="10" s="1"/>
  <c r="AP19" i="10" s="1"/>
  <c r="AT19" i="10" s="1"/>
  <c r="AX19" i="10" s="1"/>
  <c r="BF19" i="10" s="1"/>
  <c r="AF12" i="10"/>
  <c r="AJ12" i="10" s="1"/>
  <c r="AP12" i="10" s="1"/>
  <c r="AT12" i="10" s="1"/>
  <c r="AX12" i="10" s="1"/>
  <c r="BF12" i="10" s="1"/>
  <c r="M124" i="45"/>
  <c r="M125" i="45" s="1"/>
  <c r="M119" i="50"/>
  <c r="M121" i="50" s="1"/>
  <c r="M115" i="50"/>
  <c r="M117" i="50" s="1"/>
  <c r="M99" i="50"/>
  <c r="M155" i="45"/>
  <c r="L144" i="45"/>
  <c r="N74" i="59" s="1"/>
  <c r="L123" i="45"/>
  <c r="M144" i="45"/>
  <c r="O74" i="59" s="1"/>
  <c r="L107" i="45"/>
  <c r="M123" i="45"/>
  <c r="L23" i="36" s="1"/>
  <c r="O72" i="59" s="1"/>
  <c r="N70" i="59"/>
  <c r="M105" i="50"/>
  <c r="M162" i="45" l="1"/>
  <c r="M160" i="45"/>
  <c r="AF117" i="10"/>
  <c r="L25" i="36"/>
  <c r="O76" i="59" s="1"/>
  <c r="L55" i="35"/>
  <c r="BG45" i="45"/>
  <c r="BG53" i="45"/>
  <c r="BG33" i="45"/>
  <c r="BG61" i="45"/>
  <c r="BG35" i="45"/>
  <c r="BG44" i="45"/>
  <c r="BG57" i="45"/>
  <c r="BG23" i="45"/>
  <c r="BG54" i="45"/>
  <c r="AX192" i="10"/>
  <c r="AP8" i="11"/>
  <c r="AJ192" i="10"/>
  <c r="AJ184" i="10"/>
  <c r="M108" i="50"/>
  <c r="M113" i="50" s="1"/>
  <c r="M107" i="50"/>
  <c r="AJ117" i="10" l="1"/>
  <c r="L10" i="49"/>
  <c r="L12" i="49" s="1"/>
  <c r="L14" i="49" s="1"/>
  <c r="L15" i="49" s="1"/>
  <c r="L16" i="49" s="1"/>
  <c r="L19" i="49" s="1"/>
  <c r="L20" i="49" s="1"/>
  <c r="K6" i="49"/>
  <c r="AP117" i="10" l="1"/>
  <c r="K8" i="49"/>
  <c r="K9" i="49"/>
  <c r="K17" i="49"/>
  <c r="K18" i="49" s="1"/>
  <c r="M21" i="39"/>
  <c r="Q21" i="39" s="1"/>
  <c r="AT117" i="10" l="1"/>
  <c r="J2" i="26"/>
  <c r="J2" i="17"/>
  <c r="K2" i="26"/>
  <c r="K2" i="17"/>
  <c r="K10" i="49"/>
  <c r="K12" i="49" s="1"/>
  <c r="K14" i="49" s="1"/>
  <c r="K15" i="49" s="1"/>
  <c r="K16" i="49" s="1"/>
  <c r="K19" i="49" s="1"/>
  <c r="K20" i="49" s="1"/>
  <c r="AX117" i="10" l="1"/>
  <c r="U21" i="39"/>
  <c r="BF117" i="10" l="1"/>
  <c r="AA21" i="39"/>
  <c r="AJ363" i="28"/>
  <c r="AP363" i="28" s="1"/>
  <c r="AT363" i="28" s="1"/>
  <c r="AX363" i="28" s="1"/>
  <c r="BF363" i="28" s="1"/>
  <c r="AJ348" i="28"/>
  <c r="AP348" i="28" s="1"/>
  <c r="AT348" i="28" s="1"/>
  <c r="AX348" i="28" s="1"/>
  <c r="BF348" i="28" s="1"/>
  <c r="AJ342" i="28"/>
  <c r="AP342" i="28" s="1"/>
  <c r="AT342" i="28" s="1"/>
  <c r="AX342" i="28" s="1"/>
  <c r="BF342" i="28" s="1"/>
  <c r="AJ335" i="28"/>
  <c r="AP335" i="28" s="1"/>
  <c r="AT335" i="28" s="1"/>
  <c r="AX335" i="28" s="1"/>
  <c r="BF335" i="28" s="1"/>
  <c r="AJ323" i="28"/>
  <c r="AP323" i="28" s="1"/>
  <c r="AT323" i="28" s="1"/>
  <c r="AX323" i="28" s="1"/>
  <c r="BF323" i="28" s="1"/>
  <c r="AJ311" i="28"/>
  <c r="AP311" i="28" s="1"/>
  <c r="AT311" i="28" s="1"/>
  <c r="AX311" i="28" s="1"/>
  <c r="BF311" i="28" s="1"/>
  <c r="AJ295" i="28"/>
  <c r="AP295" i="28" s="1"/>
  <c r="AT295" i="28" s="1"/>
  <c r="AX295" i="28" s="1"/>
  <c r="BF295" i="28" s="1"/>
  <c r="AJ427" i="28"/>
  <c r="AP427" i="28" s="1"/>
  <c r="AT427" i="28" s="1"/>
  <c r="AX427" i="28" s="1"/>
  <c r="BF427" i="28" s="1"/>
  <c r="AJ359" i="28"/>
  <c r="AP359" i="28" s="1"/>
  <c r="AT359" i="28" s="1"/>
  <c r="AX359" i="28" s="1"/>
  <c r="BF359" i="28" s="1"/>
  <c r="AJ347" i="28"/>
  <c r="AP347" i="28" s="1"/>
  <c r="AT347" i="28" s="1"/>
  <c r="AX347" i="28" s="1"/>
  <c r="BF347" i="28" s="1"/>
  <c r="AJ341" i="28"/>
  <c r="AP341" i="28" s="1"/>
  <c r="AT341" i="28" s="1"/>
  <c r="AX341" i="28" s="1"/>
  <c r="BF341" i="28" s="1"/>
  <c r="AJ334" i="28"/>
  <c r="AP334" i="28" s="1"/>
  <c r="AT334" i="28" s="1"/>
  <c r="AX334" i="28" s="1"/>
  <c r="BF334" i="28" s="1"/>
  <c r="AJ322" i="28"/>
  <c r="AP322" i="28" s="1"/>
  <c r="AT322" i="28" s="1"/>
  <c r="AX322" i="28" s="1"/>
  <c r="BF322" i="28" s="1"/>
  <c r="AJ316" i="28"/>
  <c r="AP316" i="28" s="1"/>
  <c r="AT316" i="28" s="1"/>
  <c r="AX316" i="28" s="1"/>
  <c r="BF316" i="28" s="1"/>
  <c r="AJ310" i="28"/>
  <c r="AP310" i="28" s="1"/>
  <c r="AT310" i="28" s="1"/>
  <c r="AX310" i="28" s="1"/>
  <c r="BF310" i="28" s="1"/>
  <c r="AJ293" i="28"/>
  <c r="AP293" i="28" s="1"/>
  <c r="AT293" i="28" s="1"/>
  <c r="AX293" i="28" s="1"/>
  <c r="BF293" i="28" s="1"/>
  <c r="AJ260" i="28"/>
  <c r="AP260" i="28" s="1"/>
  <c r="AJ426" i="28"/>
  <c r="AP426" i="28" s="1"/>
  <c r="AT426" i="28" s="1"/>
  <c r="AX426" i="28" s="1"/>
  <c r="BF426" i="28" s="1"/>
  <c r="AJ352" i="28"/>
  <c r="AP352" i="28" s="1"/>
  <c r="AT352" i="28" s="1"/>
  <c r="AX352" i="28" s="1"/>
  <c r="BF352" i="28" s="1"/>
  <c r="AJ346" i="28"/>
  <c r="AP346" i="28" s="1"/>
  <c r="AT346" i="28" s="1"/>
  <c r="AX346" i="28" s="1"/>
  <c r="BF346" i="28" s="1"/>
  <c r="AJ340" i="28"/>
  <c r="AP340" i="28" s="1"/>
  <c r="AT340" i="28" s="1"/>
  <c r="AX340" i="28" s="1"/>
  <c r="BF340" i="28" s="1"/>
  <c r="AJ333" i="28"/>
  <c r="AP333" i="28" s="1"/>
  <c r="AT333" i="28" s="1"/>
  <c r="AX333" i="28" s="1"/>
  <c r="BF333" i="28" s="1"/>
  <c r="AJ321" i="28"/>
  <c r="AP321" i="28" s="1"/>
  <c r="AT321" i="28" s="1"/>
  <c r="AX321" i="28" s="1"/>
  <c r="BF321" i="28" s="1"/>
  <c r="AJ315" i="28"/>
  <c r="AP315" i="28" s="1"/>
  <c r="AT315" i="28" s="1"/>
  <c r="AX315" i="28" s="1"/>
  <c r="BF315" i="28" s="1"/>
  <c r="AJ309" i="28"/>
  <c r="AP309" i="28" s="1"/>
  <c r="AT309" i="28" s="1"/>
  <c r="AX309" i="28" s="1"/>
  <c r="BF309" i="28" s="1"/>
  <c r="AJ291" i="28"/>
  <c r="AP291" i="28" s="1"/>
  <c r="AT291" i="28" s="1"/>
  <c r="AX291" i="28" s="1"/>
  <c r="BF291" i="28" s="1"/>
  <c r="AJ425" i="28"/>
  <c r="AP425" i="28" s="1"/>
  <c r="AT425" i="28" s="1"/>
  <c r="AX425" i="28" s="1"/>
  <c r="BF425" i="28" s="1"/>
  <c r="AJ351" i="28"/>
  <c r="AP351" i="28" s="1"/>
  <c r="AT351" i="28" s="1"/>
  <c r="AX351" i="28" s="1"/>
  <c r="BF351" i="28" s="1"/>
  <c r="AJ339" i="28"/>
  <c r="AP339" i="28" s="1"/>
  <c r="AT339" i="28" s="1"/>
  <c r="AX339" i="28" s="1"/>
  <c r="BF339" i="28" s="1"/>
  <c r="AJ332" i="28"/>
  <c r="AP332" i="28" s="1"/>
  <c r="AT332" i="28" s="1"/>
  <c r="AX332" i="28" s="1"/>
  <c r="BF332" i="28" s="1"/>
  <c r="AJ320" i="28"/>
  <c r="AP320" i="28" s="1"/>
  <c r="AT320" i="28" s="1"/>
  <c r="AX320" i="28" s="1"/>
  <c r="BF320" i="28" s="1"/>
  <c r="AJ314" i="28"/>
  <c r="AP314" i="28" s="1"/>
  <c r="AT314" i="28" s="1"/>
  <c r="AX314" i="28" s="1"/>
  <c r="BF314" i="28" s="1"/>
  <c r="AJ298" i="28"/>
  <c r="AP298" i="28" s="1"/>
  <c r="AT298" i="28" s="1"/>
  <c r="AX298" i="28" s="1"/>
  <c r="BF298" i="28" s="1"/>
  <c r="AJ290" i="28"/>
  <c r="AP290" i="28" s="1"/>
  <c r="AT290" i="28" s="1"/>
  <c r="AX290" i="28" s="1"/>
  <c r="BF290" i="28" s="1"/>
  <c r="AJ203" i="28"/>
  <c r="AP203" i="28" s="1"/>
  <c r="AT203" i="28" s="1"/>
  <c r="AX203" i="28" s="1"/>
  <c r="BF203" i="28" s="1"/>
  <c r="AJ412" i="28"/>
  <c r="AP412" i="28" s="1"/>
  <c r="AT412" i="28" s="1"/>
  <c r="AX412" i="28" s="1"/>
  <c r="BF412" i="28" s="1"/>
  <c r="AJ350" i="28"/>
  <c r="AP350" i="28" s="1"/>
  <c r="AT350" i="28" s="1"/>
  <c r="AX350" i="28" s="1"/>
  <c r="BF350" i="28" s="1"/>
  <c r="AJ344" i="28"/>
  <c r="AP344" i="28" s="1"/>
  <c r="AT344" i="28" s="1"/>
  <c r="AX344" i="28" s="1"/>
  <c r="BF344" i="28" s="1"/>
  <c r="AJ337" i="28"/>
  <c r="AP337" i="28" s="1"/>
  <c r="AT337" i="28" s="1"/>
  <c r="AX337" i="28" s="1"/>
  <c r="BF337" i="28" s="1"/>
  <c r="AJ331" i="28"/>
  <c r="AP331" i="28" s="1"/>
  <c r="AT331" i="28" s="1"/>
  <c r="AX331" i="28" s="1"/>
  <c r="BF331" i="28" s="1"/>
  <c r="AJ319" i="28"/>
  <c r="AP319" i="28" s="1"/>
  <c r="AT319" i="28" s="1"/>
  <c r="AX319" i="28" s="1"/>
  <c r="BF319" i="28" s="1"/>
  <c r="AJ313" i="28"/>
  <c r="AP313" i="28" s="1"/>
  <c r="AT313" i="28" s="1"/>
  <c r="AX313" i="28" s="1"/>
  <c r="BF313" i="28" s="1"/>
  <c r="AJ297" i="28"/>
  <c r="AP297" i="28" s="1"/>
  <c r="AT297" i="28" s="1"/>
  <c r="AX297" i="28" s="1"/>
  <c r="BF297" i="28" s="1"/>
  <c r="AJ288" i="28"/>
  <c r="AP288" i="28" s="1"/>
  <c r="AT288" i="28" s="1"/>
  <c r="AX288" i="28" s="1"/>
  <c r="BF288" i="28" s="1"/>
  <c r="AJ202" i="28"/>
  <c r="AP202" i="28" s="1"/>
  <c r="AT202" i="28" s="1"/>
  <c r="AX202" i="28" s="1"/>
  <c r="BF202" i="28" s="1"/>
  <c r="AJ367" i="28"/>
  <c r="AP367" i="28" s="1"/>
  <c r="AT367" i="28" s="1"/>
  <c r="AX367" i="28" s="1"/>
  <c r="BF367" i="28" s="1"/>
  <c r="AJ349" i="28"/>
  <c r="AP349" i="28" s="1"/>
  <c r="AT349" i="28" s="1"/>
  <c r="AX349" i="28" s="1"/>
  <c r="BF349" i="28" s="1"/>
  <c r="AJ343" i="28"/>
  <c r="AP343" i="28" s="1"/>
  <c r="AT343" i="28" s="1"/>
  <c r="AX343" i="28" s="1"/>
  <c r="BF343" i="28" s="1"/>
  <c r="AJ336" i="28"/>
  <c r="AP336" i="28" s="1"/>
  <c r="AT336" i="28" s="1"/>
  <c r="AX336" i="28" s="1"/>
  <c r="BF336" i="28" s="1"/>
  <c r="AJ330" i="28"/>
  <c r="AP330" i="28" s="1"/>
  <c r="AT330" i="28" s="1"/>
  <c r="AX330" i="28" s="1"/>
  <c r="BF330" i="28" s="1"/>
  <c r="AJ312" i="28"/>
  <c r="AP312" i="28" s="1"/>
  <c r="AT312" i="28" s="1"/>
  <c r="AX312" i="28" s="1"/>
  <c r="BF312" i="28" s="1"/>
  <c r="AJ296" i="28"/>
  <c r="AP296" i="28" s="1"/>
  <c r="AT296" i="28" s="1"/>
  <c r="AX296" i="28" s="1"/>
  <c r="BF296" i="28" s="1"/>
  <c r="AJ118" i="28"/>
  <c r="AP118" i="28" s="1"/>
  <c r="AT118" i="28" s="1"/>
  <c r="AX118" i="28" s="1"/>
  <c r="BF118" i="28" s="1"/>
  <c r="AJ169" i="28"/>
  <c r="AP169" i="28" s="1"/>
  <c r="AT169" i="28" s="1"/>
  <c r="AX169" i="28" s="1"/>
  <c r="BF169" i="28" s="1"/>
  <c r="AJ153" i="28"/>
  <c r="AP153" i="28" s="1"/>
  <c r="AT153" i="28" s="1"/>
  <c r="AX153" i="28" s="1"/>
  <c r="BF153" i="28" s="1"/>
  <c r="AJ131" i="28"/>
  <c r="AP131" i="28" s="1"/>
  <c r="AT131" i="28" s="1"/>
  <c r="AX131" i="28" s="1"/>
  <c r="BF131" i="28" s="1"/>
  <c r="AJ117" i="28"/>
  <c r="AP117" i="28" s="1"/>
  <c r="AT117" i="28" s="1"/>
  <c r="AX117" i="28" s="1"/>
  <c r="BF117" i="28" s="1"/>
  <c r="AJ109" i="28"/>
  <c r="AP109" i="28" s="1"/>
  <c r="AT109" i="28" s="1"/>
  <c r="AX109" i="28" s="1"/>
  <c r="BF109" i="28" s="1"/>
  <c r="AJ154" i="28"/>
  <c r="AP154" i="28" s="1"/>
  <c r="AT154" i="28" s="1"/>
  <c r="AX154" i="28" s="1"/>
  <c r="BF154" i="28" s="1"/>
  <c r="AJ110" i="28"/>
  <c r="AP110" i="28" s="1"/>
  <c r="AT110" i="28" s="1"/>
  <c r="AX110" i="28" s="1"/>
  <c r="BF110" i="28" s="1"/>
  <c r="AJ158" i="28"/>
  <c r="AP158" i="28" s="1"/>
  <c r="AT158" i="28" s="1"/>
  <c r="AX158" i="28" s="1"/>
  <c r="BF158" i="28" s="1"/>
  <c r="AJ145" i="28"/>
  <c r="AP145" i="28" s="1"/>
  <c r="AT145" i="28" s="1"/>
  <c r="AX145" i="28" s="1"/>
  <c r="BF145" i="28" s="1"/>
  <c r="AJ127" i="28"/>
  <c r="AP127" i="28" s="1"/>
  <c r="AT127" i="28" s="1"/>
  <c r="AX127" i="28" s="1"/>
  <c r="BF127" i="28" s="1"/>
  <c r="AJ115" i="28"/>
  <c r="AP115" i="28" s="1"/>
  <c r="AT115" i="28" s="1"/>
  <c r="AX115" i="28" s="1"/>
  <c r="BF115" i="28" s="1"/>
  <c r="AJ108" i="28"/>
  <c r="AP108" i="28" s="1"/>
  <c r="AT108" i="28" s="1"/>
  <c r="AX108" i="28" s="1"/>
  <c r="BF108" i="28" s="1"/>
  <c r="AJ141" i="28"/>
  <c r="AP141" i="28" s="1"/>
  <c r="AT141" i="28" s="1"/>
  <c r="AX141" i="28" s="1"/>
  <c r="BF141" i="28" s="1"/>
  <c r="AJ157" i="28"/>
  <c r="AP157" i="28" s="1"/>
  <c r="AT157" i="28" s="1"/>
  <c r="AX157" i="28" s="1"/>
  <c r="BF157" i="28" s="1"/>
  <c r="AJ144" i="28"/>
  <c r="AP144" i="28" s="1"/>
  <c r="AT144" i="28" s="1"/>
  <c r="AX144" i="28" s="1"/>
  <c r="BF144" i="28" s="1"/>
  <c r="AJ123" i="28"/>
  <c r="AP123" i="28" s="1"/>
  <c r="AT123" i="28" s="1"/>
  <c r="AX123" i="28" s="1"/>
  <c r="BF123" i="28" s="1"/>
  <c r="AJ114" i="28"/>
  <c r="AP114" i="28" s="1"/>
  <c r="AT114" i="28" s="1"/>
  <c r="AX114" i="28" s="1"/>
  <c r="BF114" i="28" s="1"/>
  <c r="AJ107" i="28"/>
  <c r="AP107" i="28" s="1"/>
  <c r="AT107" i="28" s="1"/>
  <c r="AX107" i="28" s="1"/>
  <c r="BF107" i="28" s="1"/>
  <c r="AJ170" i="28"/>
  <c r="AP170" i="28" s="1"/>
  <c r="AT170" i="28" s="1"/>
  <c r="AX170" i="28" s="1"/>
  <c r="BF170" i="28" s="1"/>
  <c r="AJ156" i="28"/>
  <c r="AP156" i="28" s="1"/>
  <c r="AT156" i="28" s="1"/>
  <c r="AX156" i="28" s="1"/>
  <c r="BF156" i="28" s="1"/>
  <c r="AJ143" i="28"/>
  <c r="AP143" i="28" s="1"/>
  <c r="AT143" i="28" s="1"/>
  <c r="AX143" i="28" s="1"/>
  <c r="BF143" i="28" s="1"/>
  <c r="AJ121" i="28"/>
  <c r="AP121" i="28" s="1"/>
  <c r="AT121" i="28" s="1"/>
  <c r="AX121" i="28" s="1"/>
  <c r="BF121" i="28" s="1"/>
  <c r="AJ113" i="28"/>
  <c r="AP113" i="28" s="1"/>
  <c r="AT113" i="28" s="1"/>
  <c r="AX113" i="28" s="1"/>
  <c r="BF113" i="28" s="1"/>
  <c r="AJ106" i="28"/>
  <c r="AP106" i="28" s="1"/>
  <c r="AT106" i="28" s="1"/>
  <c r="AX106" i="28" s="1"/>
  <c r="BF106" i="28" s="1"/>
  <c r="AJ168" i="28"/>
  <c r="AP168" i="28" s="1"/>
  <c r="AT168" i="28" s="1"/>
  <c r="AX168" i="28" s="1"/>
  <c r="BF168" i="28" s="1"/>
  <c r="AJ155" i="28"/>
  <c r="AP155" i="28" s="1"/>
  <c r="AT155" i="28" s="1"/>
  <c r="AX155" i="28" s="1"/>
  <c r="BF155" i="28" s="1"/>
  <c r="AJ142" i="28"/>
  <c r="AP142" i="28" s="1"/>
  <c r="AT142" i="28" s="1"/>
  <c r="AX142" i="28" s="1"/>
  <c r="BF142" i="28" s="1"/>
  <c r="AJ120" i="28"/>
  <c r="AP120" i="28" s="1"/>
  <c r="AT120" i="28" s="1"/>
  <c r="AX120" i="28" s="1"/>
  <c r="BF120" i="28" s="1"/>
  <c r="AJ111" i="28"/>
  <c r="AP111" i="28" s="1"/>
  <c r="AT111" i="28" s="1"/>
  <c r="AX111" i="28" s="1"/>
  <c r="BF111" i="28" s="1"/>
  <c r="M196" i="73"/>
  <c r="Q196" i="73" s="1"/>
  <c r="U196" i="73" s="1"/>
  <c r="M197" i="73"/>
  <c r="Q197" i="73" s="1"/>
  <c r="U197" i="73" s="1"/>
  <c r="M198" i="73"/>
  <c r="Q198" i="73" s="1"/>
  <c r="U198" i="73" s="1"/>
  <c r="M199" i="73"/>
  <c r="Q199" i="73" s="1"/>
  <c r="U199" i="73" s="1"/>
  <c r="M201" i="73"/>
  <c r="M184" i="73"/>
  <c r="M91" i="73"/>
  <c r="M83" i="73"/>
  <c r="M84" i="73"/>
  <c r="M85" i="73"/>
  <c r="M86" i="73"/>
  <c r="M68" i="73"/>
  <c r="M69" i="73"/>
  <c r="Q69" i="73" s="1"/>
  <c r="U69" i="73" s="1"/>
  <c r="M43" i="73"/>
  <c r="M44" i="73"/>
  <c r="M45" i="73"/>
  <c r="M18" i="73"/>
  <c r="Q18" i="73" s="1"/>
  <c r="U18" i="73" s="1"/>
  <c r="M19" i="73"/>
  <c r="M20" i="73"/>
  <c r="Q20" i="73" s="1"/>
  <c r="U20" i="73" s="1"/>
  <c r="Q86" i="73" l="1"/>
  <c r="U86" i="73" s="1"/>
  <c r="Q85" i="73"/>
  <c r="U85" i="73" s="1"/>
  <c r="Q84" i="73"/>
  <c r="U84" i="73" s="1"/>
  <c r="Q184" i="73"/>
  <c r="U184" i="73" s="1"/>
  <c r="Q83" i="73"/>
  <c r="U83" i="73" s="1"/>
  <c r="Q19" i="73"/>
  <c r="U19" i="73" s="1"/>
  <c r="Q68" i="73"/>
  <c r="U68" i="73" s="1"/>
  <c r="Q91" i="73"/>
  <c r="U91" i="73" s="1"/>
  <c r="Q201" i="73"/>
  <c r="U201" i="73" s="1"/>
  <c r="Q43" i="73"/>
  <c r="U43" i="73" s="1"/>
  <c r="Q44" i="73"/>
  <c r="U44" i="73" s="1"/>
  <c r="Q45" i="73"/>
  <c r="U45" i="73" s="1"/>
  <c r="K117" i="90"/>
  <c r="K119" i="90" s="1"/>
  <c r="K123" i="90" s="1"/>
  <c r="AE21" i="39"/>
  <c r="AA199" i="73"/>
  <c r="AE199" i="73" s="1"/>
  <c r="AI199" i="73" s="1"/>
  <c r="AO199" i="73" s="1"/>
  <c r="AS199" i="73" s="1"/>
  <c r="AW199" i="73" s="1"/>
  <c r="BE199" i="73" s="1"/>
  <c r="AA198" i="73"/>
  <c r="AE198" i="73" s="1"/>
  <c r="AI198" i="73" s="1"/>
  <c r="AO198" i="73" s="1"/>
  <c r="AS198" i="73" s="1"/>
  <c r="AW198" i="73" s="1"/>
  <c r="BE198" i="73" s="1"/>
  <c r="AA197" i="73"/>
  <c r="AE197" i="73" s="1"/>
  <c r="AI197" i="73" s="1"/>
  <c r="AO197" i="73" s="1"/>
  <c r="AS197" i="73" s="1"/>
  <c r="AW197" i="73" s="1"/>
  <c r="BE197" i="73" s="1"/>
  <c r="AA196" i="73"/>
  <c r="AE196" i="73" s="1"/>
  <c r="AI196" i="73" s="1"/>
  <c r="AO196" i="73" s="1"/>
  <c r="AS196" i="73" s="1"/>
  <c r="AW196" i="73" s="1"/>
  <c r="BE196" i="73" s="1"/>
  <c r="AA73" i="73"/>
  <c r="AE73" i="73" s="1"/>
  <c r="AI73" i="73" s="1"/>
  <c r="AO73" i="73" s="1"/>
  <c r="AS73" i="73" s="1"/>
  <c r="AW73" i="73" s="1"/>
  <c r="AA69" i="73"/>
  <c r="AE69" i="73" s="1"/>
  <c r="AI69" i="73" s="1"/>
  <c r="AO69" i="73" s="1"/>
  <c r="AS69" i="73" s="1"/>
  <c r="AW69" i="73" s="1"/>
  <c r="M141" i="50"/>
  <c r="M142" i="50" s="1"/>
  <c r="G42" i="59"/>
  <c r="G43" i="59"/>
  <c r="G46" i="59"/>
  <c r="G47" i="59"/>
  <c r="G48" i="59"/>
  <c r="H43" i="59"/>
  <c r="AI21" i="39" l="1"/>
  <c r="G49" i="59"/>
  <c r="G44" i="59"/>
  <c r="BH60" i="59"/>
  <c r="BF60" i="59"/>
  <c r="BD60" i="59"/>
  <c r="AO21" i="39" l="1"/>
  <c r="AS21" i="39" l="1"/>
  <c r="AW21" i="39" l="1"/>
  <c r="BE21" i="39" l="1"/>
  <c r="AB14" i="85"/>
  <c r="AB12" i="85"/>
  <c r="M95" i="50" l="1"/>
  <c r="M93" i="50" s="1"/>
  <c r="I70" i="83"/>
  <c r="I71" i="83"/>
  <c r="I72" i="83"/>
  <c r="I73" i="83"/>
  <c r="I74" i="83"/>
  <c r="I53" i="83"/>
  <c r="I55" i="83"/>
  <c r="I56" i="83"/>
  <c r="I57" i="83"/>
  <c r="I58" i="83"/>
  <c r="I59" i="83"/>
  <c r="I60" i="83"/>
  <c r="I61" i="83"/>
  <c r="I62" i="83"/>
  <c r="I63" i="83"/>
  <c r="I65" i="83"/>
  <c r="I66" i="83"/>
  <c r="I67" i="83"/>
  <c r="I68" i="83"/>
  <c r="I52" i="83"/>
  <c r="I50" i="83"/>
  <c r="I48" i="83"/>
  <c r="I46" i="83"/>
  <c r="I40" i="83"/>
  <c r="I41" i="83"/>
  <c r="I42" i="83"/>
  <c r="I43" i="83"/>
  <c r="I44" i="83"/>
  <c r="I39" i="83"/>
  <c r="I5" i="83"/>
  <c r="O5" i="83" s="1"/>
  <c r="AC5" i="83" s="1"/>
  <c r="I6" i="83"/>
  <c r="O6" i="83" s="1"/>
  <c r="AC6" i="83" s="1"/>
  <c r="I7" i="83"/>
  <c r="O7" i="83" s="1"/>
  <c r="AC7" i="83" s="1"/>
  <c r="I8" i="83"/>
  <c r="O8" i="83" s="1"/>
  <c r="AC8" i="83" s="1"/>
  <c r="I10" i="83"/>
  <c r="O10" i="83" s="1"/>
  <c r="AC10" i="83" s="1"/>
  <c r="I11" i="83"/>
  <c r="O11" i="83" s="1"/>
  <c r="AC11" i="83" s="1"/>
  <c r="I12" i="83"/>
  <c r="O12" i="83" s="1"/>
  <c r="AC12" i="83" s="1"/>
  <c r="I13" i="83"/>
  <c r="O13" i="83" s="1"/>
  <c r="AC13" i="83" s="1"/>
  <c r="I14" i="83"/>
  <c r="O14" i="83" s="1"/>
  <c r="AC14" i="83" s="1"/>
  <c r="I15" i="83"/>
  <c r="O15" i="83" s="1"/>
  <c r="AC15" i="83" s="1"/>
  <c r="I16" i="83"/>
  <c r="O16" i="83" s="1"/>
  <c r="AC16" i="83" s="1"/>
  <c r="I17" i="83"/>
  <c r="O17" i="83" s="1"/>
  <c r="AC17" i="83" s="1"/>
  <c r="I19" i="83"/>
  <c r="O19" i="83" s="1"/>
  <c r="AC19" i="83" s="1"/>
  <c r="I24" i="83"/>
  <c r="O24" i="83" s="1"/>
  <c r="AC24" i="83" s="1"/>
  <c r="I25" i="83"/>
  <c r="O25" i="83" s="1"/>
  <c r="AC25" i="83" s="1"/>
  <c r="I30" i="83"/>
  <c r="O30" i="83" s="1"/>
  <c r="AC30" i="83" s="1"/>
  <c r="I31" i="83"/>
  <c r="O31" i="83" s="1"/>
  <c r="AC31" i="83" s="1"/>
  <c r="I33" i="83"/>
  <c r="O33" i="83" s="1"/>
  <c r="AC33" i="83" s="1"/>
  <c r="I34" i="83"/>
  <c r="O34" i="83" s="1"/>
  <c r="AC34" i="83" s="1"/>
  <c r="I35" i="83"/>
  <c r="O35" i="83" s="1"/>
  <c r="AC35" i="83" s="1"/>
  <c r="I36" i="83"/>
  <c r="O36" i="83" s="1"/>
  <c r="AC36" i="83" s="1"/>
  <c r="I37" i="83"/>
  <c r="O37" i="83" s="1"/>
  <c r="AC37" i="83" s="1"/>
  <c r="I4" i="83"/>
  <c r="J107" i="9"/>
  <c r="J108" i="9"/>
  <c r="I75" i="83" l="1"/>
  <c r="I51" i="83"/>
  <c r="I45" i="83"/>
  <c r="I69" i="83"/>
  <c r="I29" i="9"/>
  <c r="J53" i="6" l="1"/>
  <c r="J52" i="6"/>
  <c r="J50" i="6"/>
  <c r="J49" i="6"/>
  <c r="J47" i="6"/>
  <c r="J46" i="6"/>
  <c r="J44" i="6"/>
  <c r="J43" i="6"/>
  <c r="E272" i="28" l="1"/>
  <c r="E271" i="28"/>
  <c r="I18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2" i="11" l="1"/>
  <c r="R22" i="11" l="1"/>
  <c r="V22" i="11" s="1"/>
  <c r="AB22" i="11"/>
  <c r="AF22" i="11" s="1"/>
  <c r="AJ22" i="11" s="1"/>
  <c r="J7" i="10"/>
  <c r="J120" i="10"/>
  <c r="J122" i="10"/>
  <c r="J124" i="10"/>
  <c r="J126" i="10"/>
  <c r="J127" i="10"/>
  <c r="J128" i="10"/>
  <c r="J131" i="10"/>
  <c r="J132" i="10"/>
  <c r="J134" i="10"/>
  <c r="J135" i="10"/>
  <c r="J136" i="10"/>
  <c r="J138" i="10"/>
  <c r="J139" i="10"/>
  <c r="J140" i="10"/>
  <c r="J141" i="10"/>
  <c r="J142" i="10"/>
  <c r="J143" i="10"/>
  <c r="J144" i="10"/>
  <c r="J145" i="10"/>
  <c r="J149" i="10"/>
  <c r="J150" i="10"/>
  <c r="J151" i="10"/>
  <c r="J54" i="11"/>
  <c r="J52" i="11"/>
  <c r="J51" i="11"/>
  <c r="J50" i="11"/>
  <c r="J49" i="11"/>
  <c r="J48" i="11"/>
  <c r="J47" i="11"/>
  <c r="J46" i="11"/>
  <c r="J45" i="11"/>
  <c r="J44" i="11"/>
  <c r="I9" i="83"/>
  <c r="O9" i="83" s="1"/>
  <c r="AC9" i="83" s="1"/>
  <c r="AP22" i="11" l="1"/>
  <c r="J133" i="10"/>
  <c r="I29" i="83"/>
  <c r="O29" i="83" s="1"/>
  <c r="AC29" i="83" s="1"/>
  <c r="I18" i="83"/>
  <c r="O18" i="83" s="1"/>
  <c r="AC18" i="83" s="1"/>
  <c r="J125" i="10"/>
  <c r="I27" i="83"/>
  <c r="O27" i="83" s="1"/>
  <c r="AC27" i="83" s="1"/>
  <c r="I32" i="83"/>
  <c r="O32" i="83" s="1"/>
  <c r="AC32" i="83" s="1"/>
  <c r="AF125" i="10" l="1"/>
  <c r="AJ125" i="10" s="1"/>
  <c r="AP125" i="10" s="1"/>
  <c r="AT125" i="10" s="1"/>
  <c r="AX125" i="10" s="1"/>
  <c r="BF125" i="10" s="1"/>
  <c r="AF104" i="10"/>
  <c r="AJ104" i="10" s="1"/>
  <c r="AP104" i="10" s="1"/>
  <c r="AT104" i="10" s="1"/>
  <c r="AX104" i="10" s="1"/>
  <c r="BF104" i="10" s="1"/>
  <c r="AF133" i="10"/>
  <c r="AJ133" i="10" s="1"/>
  <c r="AP133" i="10" s="1"/>
  <c r="AT133" i="10" s="1"/>
  <c r="AX133" i="10" s="1"/>
  <c r="BF133" i="10" s="1"/>
  <c r="AF23" i="10"/>
  <c r="AJ23" i="10" s="1"/>
  <c r="AP23" i="10" s="1"/>
  <c r="AT23" i="10" s="1"/>
  <c r="AX23" i="10" s="1"/>
  <c r="BF23" i="10" s="1"/>
  <c r="AF62" i="10"/>
  <c r="AJ62" i="10" s="1"/>
  <c r="AP62" i="10" s="1"/>
  <c r="AT62" i="10" s="1"/>
  <c r="AX62" i="10" s="1"/>
  <c r="BF62" i="10" s="1"/>
  <c r="AF22" i="10"/>
  <c r="AJ22" i="10" s="1"/>
  <c r="AP22" i="10" s="1"/>
  <c r="AT22" i="10" s="1"/>
  <c r="AX22" i="10" s="1"/>
  <c r="BF22" i="10" s="1"/>
  <c r="AF28" i="10"/>
  <c r="AJ28" i="10" s="1"/>
  <c r="AP28" i="10" s="1"/>
  <c r="AT28" i="10" s="1"/>
  <c r="AX28" i="10" s="1"/>
  <c r="BF28" i="10" s="1"/>
  <c r="I38" i="83"/>
  <c r="I76" i="83" s="1"/>
  <c r="I197" i="73"/>
  <c r="I198" i="73"/>
  <c r="I201" i="73"/>
  <c r="I199" i="73"/>
  <c r="I194" i="73"/>
  <c r="I184" i="73"/>
  <c r="I185" i="73"/>
  <c r="I182" i="73"/>
  <c r="I177" i="73"/>
  <c r="I100" i="73"/>
  <c r="I92" i="73"/>
  <c r="I56" i="73"/>
  <c r="I57" i="73"/>
  <c r="I37" i="73"/>
  <c r="I38" i="73"/>
  <c r="I39" i="73"/>
  <c r="I40" i="73"/>
  <c r="I41" i="73"/>
  <c r="I42" i="73"/>
  <c r="I43" i="73"/>
  <c r="I44" i="73"/>
  <c r="I45" i="73"/>
  <c r="I46" i="73"/>
  <c r="I47" i="73"/>
  <c r="I27" i="73"/>
  <c r="G121" i="90" l="1"/>
  <c r="G126" i="90" l="1"/>
  <c r="AA121" i="90"/>
  <c r="BE121" i="90" s="1"/>
  <c r="Q121" i="90"/>
  <c r="I121" i="90"/>
  <c r="AI121" i="90"/>
  <c r="M121" i="90"/>
  <c r="AO121" i="90"/>
  <c r="AS121" i="90" s="1"/>
  <c r="AW121" i="90" s="1"/>
  <c r="AE121" i="90"/>
  <c r="U121" i="90"/>
  <c r="H21" i="39" l="1"/>
  <c r="N12" i="38" l="1"/>
  <c r="I49" i="50"/>
  <c r="I50" i="50"/>
  <c r="I51" i="50"/>
  <c r="I52" i="50"/>
  <c r="I54" i="50"/>
  <c r="I41" i="50"/>
  <c r="I42" i="50"/>
  <c r="I43" i="50"/>
  <c r="I44" i="50"/>
  <c r="I45" i="50"/>
  <c r="I46" i="50"/>
  <c r="I40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4" i="50"/>
  <c r="I133" i="50"/>
  <c r="I123" i="50"/>
  <c r="I98" i="50"/>
  <c r="I134" i="50"/>
  <c r="I124" i="50"/>
  <c r="I48" i="50"/>
  <c r="I7" i="61" l="1"/>
  <c r="I6" i="61"/>
  <c r="I5" i="61"/>
  <c r="I10" i="61"/>
  <c r="I4" i="61"/>
  <c r="I9" i="61"/>
  <c r="I8" i="61"/>
  <c r="I55" i="50"/>
  <c r="I120" i="50" s="1"/>
  <c r="I39" i="50"/>
  <c r="I47" i="50"/>
  <c r="I135" i="50"/>
  <c r="I125" i="50"/>
  <c r="I112" i="50"/>
  <c r="I136" i="50"/>
  <c r="I126" i="50"/>
  <c r="H10" i="49"/>
  <c r="H12" i="49" s="1"/>
  <c r="H14" i="49" s="1"/>
  <c r="H15" i="49" s="1"/>
  <c r="H16" i="49" s="1"/>
  <c r="H19" i="49" s="1"/>
  <c r="H20" i="49" s="1"/>
  <c r="I16" i="61" l="1"/>
  <c r="I106" i="50"/>
  <c r="H162" i="10"/>
  <c r="H163" i="10" s="1"/>
  <c r="I115" i="50"/>
  <c r="I119" i="50"/>
  <c r="I121" i="50" s="1"/>
  <c r="I129" i="50"/>
  <c r="I92" i="50"/>
  <c r="I116" i="50"/>
  <c r="I99" i="50"/>
  <c r="I117" i="50" l="1"/>
  <c r="I105" i="50"/>
  <c r="I107" i="50" s="1"/>
  <c r="G2" i="17"/>
  <c r="G2" i="26"/>
  <c r="F2" i="17"/>
  <c r="F2" i="26"/>
  <c r="H55" i="35"/>
  <c r="I108" i="50" l="1"/>
  <c r="I113" i="50" s="1"/>
  <c r="L22" i="59" l="1"/>
  <c r="L15" i="59"/>
  <c r="M12" i="59"/>
  <c r="L12" i="59"/>
  <c r="L11" i="59"/>
  <c r="AK52" i="36"/>
  <c r="G117" i="90" l="1"/>
  <c r="G119" i="90" s="1"/>
  <c r="G123" i="90" s="1"/>
  <c r="I141" i="50"/>
  <c r="I142" i="50" s="1"/>
  <c r="I95" i="50" l="1"/>
  <c r="I93" i="50" s="1"/>
  <c r="I79" i="83"/>
  <c r="I77" i="83" s="1"/>
  <c r="E126" i="90" l="1"/>
  <c r="I126" i="90" l="1"/>
  <c r="M126" i="90"/>
  <c r="U37" i="82"/>
  <c r="T37" i="82"/>
  <c r="S37" i="82"/>
  <c r="R37" i="82"/>
  <c r="V21" i="86"/>
  <c r="U21" i="86"/>
  <c r="T21" i="86"/>
  <c r="S21" i="86"/>
  <c r="R21" i="86"/>
  <c r="Q21" i="86"/>
  <c r="E47" i="8" l="1"/>
  <c r="E46" i="8"/>
  <c r="H47" i="59" s="1"/>
  <c r="E20" i="35" l="1"/>
  <c r="E19" i="35"/>
  <c r="I19" i="35" l="1"/>
  <c r="M19" i="35"/>
  <c r="I20" i="35"/>
  <c r="M20" i="35"/>
  <c r="G53" i="83"/>
  <c r="G55" i="83"/>
  <c r="G56" i="83"/>
  <c r="G57" i="83"/>
  <c r="G58" i="83"/>
  <c r="G59" i="83"/>
  <c r="G60" i="83"/>
  <c r="G61" i="83"/>
  <c r="G62" i="83"/>
  <c r="G63" i="83"/>
  <c r="G65" i="83"/>
  <c r="G66" i="83"/>
  <c r="G67" i="83"/>
  <c r="O67" i="83" s="1"/>
  <c r="AC67" i="83" s="1"/>
  <c r="G52" i="83"/>
  <c r="G70" i="83"/>
  <c r="G71" i="83"/>
  <c r="K71" i="83" s="1"/>
  <c r="G72" i="83"/>
  <c r="K72" i="83" s="1"/>
  <c r="G73" i="83"/>
  <c r="G74" i="83"/>
  <c r="K60" i="83" l="1"/>
  <c r="O60" i="83"/>
  <c r="AC60" i="83" s="1"/>
  <c r="K53" i="83"/>
  <c r="O53" i="83"/>
  <c r="AC53" i="83" s="1"/>
  <c r="K61" i="83"/>
  <c r="O61" i="83"/>
  <c r="AC61" i="83" s="1"/>
  <c r="K66" i="83"/>
  <c r="O66" i="83"/>
  <c r="AC66" i="83" s="1"/>
  <c r="K59" i="83"/>
  <c r="O59" i="83"/>
  <c r="AC59" i="83" s="1"/>
  <c r="K55" i="83"/>
  <c r="O55" i="83"/>
  <c r="AC55" i="83" s="1"/>
  <c r="K65" i="83"/>
  <c r="O65" i="83"/>
  <c r="AC65" i="83" s="1"/>
  <c r="K58" i="83"/>
  <c r="O58" i="83"/>
  <c r="AC58" i="83" s="1"/>
  <c r="K63" i="83"/>
  <c r="O63" i="83"/>
  <c r="K57" i="83"/>
  <c r="O57" i="83"/>
  <c r="AC57" i="83" s="1"/>
  <c r="K70" i="83"/>
  <c r="O70" i="83"/>
  <c r="S70" i="83" s="1"/>
  <c r="K62" i="83"/>
  <c r="O62" i="83"/>
  <c r="AC62" i="83" s="1"/>
  <c r="K56" i="83"/>
  <c r="O56" i="83"/>
  <c r="AC56" i="83" s="1"/>
  <c r="Q19" i="35"/>
  <c r="U19" i="35" s="1"/>
  <c r="AA19" i="35"/>
  <c r="AE19" i="35" s="1"/>
  <c r="Q20" i="35"/>
  <c r="U20" i="35" s="1"/>
  <c r="AA20" i="35"/>
  <c r="AE20" i="35" s="1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S63" i="83" l="1"/>
  <c r="AC63" i="83"/>
  <c r="K14" i="83"/>
  <c r="K13" i="83"/>
  <c r="S13" i="83"/>
  <c r="W13" i="83" s="1"/>
  <c r="G14" i="50"/>
  <c r="G6" i="61" l="1"/>
  <c r="K14" i="50"/>
  <c r="AG14" i="83"/>
  <c r="AK14" i="83" s="1"/>
  <c r="AQ14" i="83" s="1"/>
  <c r="AU14" i="83" s="1"/>
  <c r="AY14" i="83" s="1"/>
  <c r="BG14" i="83" s="1"/>
  <c r="S14" i="83"/>
  <c r="W14" i="83" s="1"/>
  <c r="O14" i="50"/>
  <c r="AA14" i="85"/>
  <c r="AA12" i="85"/>
  <c r="G48" i="83"/>
  <c r="G50" i="83"/>
  <c r="O6" i="61" l="1"/>
  <c r="K6" i="61"/>
  <c r="AC14" i="50"/>
  <c r="AG14" i="50" s="1"/>
  <c r="AK14" i="50" s="1"/>
  <c r="AQ14" i="50" s="1"/>
  <c r="AU14" i="50" s="1"/>
  <c r="AY14" i="50" s="1"/>
  <c r="BG14" i="50" s="1"/>
  <c r="S14" i="50"/>
  <c r="W14" i="50" s="1"/>
  <c r="K50" i="83"/>
  <c r="O50" i="83"/>
  <c r="S50" i="83" s="1"/>
  <c r="K48" i="83"/>
  <c r="O48" i="83"/>
  <c r="S48" i="83" s="1"/>
  <c r="AC6" i="61" l="1"/>
  <c r="AG6" i="61" s="1"/>
  <c r="AK6" i="61" s="1"/>
  <c r="AQ6" i="61" s="1"/>
  <c r="AU6" i="61" s="1"/>
  <c r="AY6" i="61" s="1"/>
  <c r="BG6" i="61" s="1"/>
  <c r="S6" i="61"/>
  <c r="W6" i="61" s="1"/>
  <c r="AF13" i="10"/>
  <c r="AJ13" i="10" s="1"/>
  <c r="AP13" i="10" s="1"/>
  <c r="AT13" i="10" s="1"/>
  <c r="AX13" i="10" s="1"/>
  <c r="BF13" i="10" s="1"/>
  <c r="AF55" i="10"/>
  <c r="AJ55" i="10" s="1"/>
  <c r="AP55" i="10" s="1"/>
  <c r="AT55" i="10" s="1"/>
  <c r="AX55" i="10" s="1"/>
  <c r="BF55" i="10" s="1"/>
  <c r="AF30" i="10"/>
  <c r="AJ30" i="10" s="1"/>
  <c r="AP30" i="10" s="1"/>
  <c r="AT30" i="10" s="1"/>
  <c r="AX30" i="10" s="1"/>
  <c r="BF30" i="10" s="1"/>
  <c r="AF50" i="10"/>
  <c r="AJ50" i="10" s="1"/>
  <c r="AP50" i="10" s="1"/>
  <c r="AT50" i="10" s="1"/>
  <c r="AX50" i="10" s="1"/>
  <c r="BF50" i="10" s="1"/>
  <c r="AJ200" i="10" l="1"/>
  <c r="E106" i="7"/>
  <c r="I12" i="38" l="1"/>
  <c r="I11" i="38"/>
  <c r="M12" i="38" l="1"/>
  <c r="Q12" i="38"/>
  <c r="F24" i="36"/>
  <c r="AE12" i="38" l="1"/>
  <c r="AI12" i="38" s="1"/>
  <c r="AM12" i="38" s="1"/>
  <c r="U12" i="38"/>
  <c r="Y12" i="38" s="1"/>
  <c r="E47" i="17"/>
  <c r="E22" i="27"/>
  <c r="E21" i="27"/>
  <c r="AS12" i="38" l="1"/>
  <c r="AW12" i="38" s="1"/>
  <c r="BA12" i="38" s="1"/>
  <c r="D28" i="27"/>
  <c r="BI12" i="38" l="1"/>
  <c r="J6" i="38" l="1"/>
  <c r="G7" i="72" l="1"/>
  <c r="O7" i="72"/>
  <c r="S7" i="72" s="1"/>
  <c r="E48" i="39" l="1"/>
  <c r="E47" i="39"/>
  <c r="E46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AN100" i="6"/>
  <c r="BD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AN101" i="6"/>
  <c r="BD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BE101" i="6" s="1"/>
  <c r="AX101" i="6"/>
  <c r="BF101" i="6" s="1"/>
  <c r="AW100" i="6"/>
  <c r="BE100" i="6" s="1"/>
  <c r="AX100" i="6"/>
  <c r="BF100" i="6" s="1"/>
  <c r="D25" i="35" l="1"/>
  <c r="D15" i="8" s="1"/>
  <c r="D32" i="36" l="1"/>
  <c r="D40" i="36"/>
  <c r="D46" i="36"/>
  <c r="D43" i="36"/>
  <c r="D45" i="36" s="1"/>
  <c r="D41" i="36"/>
  <c r="D42" i="36" l="1"/>
  <c r="D38" i="36"/>
  <c r="D39" i="36"/>
  <c r="I16" i="7"/>
  <c r="J16" i="7"/>
  <c r="AE99" i="7" l="1"/>
  <c r="AM99" i="7"/>
  <c r="AO99" i="7"/>
  <c r="AS99" i="7"/>
  <c r="BA99" i="7"/>
  <c r="BC99" i="7"/>
  <c r="BE99" i="7"/>
  <c r="BA16" i="7"/>
  <c r="BB16" i="7"/>
  <c r="AM16" i="7"/>
  <c r="AN16" i="7"/>
  <c r="Y16" i="7"/>
  <c r="Z16" i="7"/>
  <c r="M16" i="7"/>
  <c r="Q16" i="7" s="1"/>
  <c r="U16" i="7" s="1"/>
  <c r="N16" i="7"/>
  <c r="AH24" i="36"/>
  <c r="AK75" i="59" s="1"/>
  <c r="BC16" i="7" l="1"/>
  <c r="BD16" i="7"/>
  <c r="AB16" i="7"/>
  <c r="AA16" i="7"/>
  <c r="R16" i="7"/>
  <c r="V16" i="7" s="1"/>
  <c r="AE16" i="7" l="1"/>
  <c r="AI16" i="7"/>
  <c r="AO16" i="7" s="1"/>
  <c r="AS16" i="7" s="1"/>
  <c r="AF16" i="7"/>
  <c r="AJ16" i="7" s="1"/>
  <c r="AW16" i="7" l="1"/>
  <c r="BE16" i="7" s="1"/>
  <c r="AP16" i="7"/>
  <c r="AT16" i="7" l="1"/>
  <c r="AX16" i="7" s="1"/>
  <c r="BF16" i="7" l="1"/>
  <c r="AZ24" i="36" l="1"/>
  <c r="BC75" i="59" s="1"/>
  <c r="BA26" i="15" l="1"/>
  <c r="BA27" i="15"/>
  <c r="BA32" i="15"/>
  <c r="BA34" i="15"/>
  <c r="AM26" i="15"/>
  <c r="BC26" i="15" s="1"/>
  <c r="AM27" i="15"/>
  <c r="AM32" i="15"/>
  <c r="AM34" i="15"/>
  <c r="Y26" i="15"/>
  <c r="Y32" i="15"/>
  <c r="Y34" i="15"/>
  <c r="M26" i="15"/>
  <c r="Q26" i="15" s="1"/>
  <c r="M27" i="15"/>
  <c r="Q27" i="15" s="1"/>
  <c r="M32" i="15"/>
  <c r="Q32" i="15" s="1"/>
  <c r="M34" i="15"/>
  <c r="Q34" i="15" s="1"/>
  <c r="I26" i="15"/>
  <c r="I27" i="15"/>
  <c r="I32" i="15"/>
  <c r="I34" i="15"/>
  <c r="BC27" i="15" l="1"/>
  <c r="AA32" i="15"/>
  <c r="AE32" i="15" s="1"/>
  <c r="AA34" i="15"/>
  <c r="AE34" i="15" s="1"/>
  <c r="AA26" i="15"/>
  <c r="AE26" i="15" s="1"/>
  <c r="BC32" i="15"/>
  <c r="BC34" i="15"/>
  <c r="U34" i="15"/>
  <c r="U32" i="15"/>
  <c r="U26" i="15"/>
  <c r="AI26" i="15" l="1"/>
  <c r="AO26" i="15" s="1"/>
  <c r="AS26" i="15" s="1"/>
  <c r="AI34" i="15"/>
  <c r="AO34" i="15" s="1"/>
  <c r="AS34" i="15" s="1"/>
  <c r="AI32" i="15"/>
  <c r="AO32" i="15" s="1"/>
  <c r="AS32" i="15" s="1"/>
  <c r="AS184" i="73"/>
  <c r="AW184" i="73" s="1"/>
  <c r="AW26" i="15" l="1"/>
  <c r="BE26" i="15" s="1"/>
  <c r="AW32" i="15"/>
  <c r="BE32" i="15" s="1"/>
  <c r="AW34" i="15"/>
  <c r="BE34" i="15" s="1"/>
  <c r="F14" i="35"/>
  <c r="F13" i="35"/>
  <c r="AE54" i="50" l="1"/>
  <c r="AO54" i="50" s="1"/>
  <c r="BE54" i="50" s="1"/>
  <c r="AE52" i="50"/>
  <c r="AO52" i="50" s="1"/>
  <c r="BE52" i="50" s="1"/>
  <c r="AE51" i="50"/>
  <c r="AO51" i="50" s="1"/>
  <c r="BE51" i="50" s="1"/>
  <c r="AE50" i="50"/>
  <c r="AO50" i="50" s="1"/>
  <c r="BE50" i="50" s="1"/>
  <c r="AE49" i="50"/>
  <c r="AO49" i="50" s="1"/>
  <c r="BE49" i="50" s="1"/>
  <c r="AE48" i="50"/>
  <c r="AO48" i="50" s="1"/>
  <c r="BE48" i="50" s="1"/>
  <c r="Q54" i="50"/>
  <c r="Q52" i="50"/>
  <c r="Q51" i="50"/>
  <c r="Q50" i="50"/>
  <c r="Q49" i="50"/>
  <c r="Q48" i="50"/>
  <c r="G54" i="50"/>
  <c r="G52" i="50"/>
  <c r="G51" i="50"/>
  <c r="G50" i="50"/>
  <c r="G49" i="50"/>
  <c r="G48" i="50"/>
  <c r="AE133" i="50"/>
  <c r="AO133" i="50" s="1"/>
  <c r="BE133" i="50" s="1"/>
  <c r="Q133" i="50"/>
  <c r="AE5" i="50"/>
  <c r="AE6" i="50"/>
  <c r="AO6" i="50" s="1"/>
  <c r="BE6" i="50" s="1"/>
  <c r="AE7" i="50"/>
  <c r="AO7" i="50" s="1"/>
  <c r="BE7" i="50" s="1"/>
  <c r="AE8" i="50"/>
  <c r="AO8" i="50" s="1"/>
  <c r="BE8" i="50" s="1"/>
  <c r="AE10" i="50"/>
  <c r="AO10" i="50" s="1"/>
  <c r="BE10" i="50" s="1"/>
  <c r="AE11" i="50"/>
  <c r="AO11" i="50" s="1"/>
  <c r="BE11" i="50" s="1"/>
  <c r="AE12" i="50"/>
  <c r="AE13" i="50"/>
  <c r="AE15" i="50"/>
  <c r="AE16" i="50"/>
  <c r="AE17" i="50"/>
  <c r="AE18" i="50"/>
  <c r="AA6" i="50"/>
  <c r="AA7" i="50"/>
  <c r="AA8" i="50"/>
  <c r="AA9" i="50"/>
  <c r="AA10" i="50"/>
  <c r="AA11" i="50"/>
  <c r="AA12" i="50"/>
  <c r="G5" i="50"/>
  <c r="K5" i="50" s="1"/>
  <c r="G6" i="50"/>
  <c r="K6" i="50" s="1"/>
  <c r="G7" i="50"/>
  <c r="K7" i="50" s="1"/>
  <c r="G8" i="50"/>
  <c r="K8" i="50" s="1"/>
  <c r="G10" i="50"/>
  <c r="K10" i="50" s="1"/>
  <c r="G11" i="50"/>
  <c r="K11" i="50" s="1"/>
  <c r="G12" i="50"/>
  <c r="K12" i="50" s="1"/>
  <c r="G13" i="50"/>
  <c r="G15" i="50"/>
  <c r="G16" i="50"/>
  <c r="G17" i="50"/>
  <c r="G18" i="50"/>
  <c r="G19" i="50"/>
  <c r="BB120" i="10"/>
  <c r="BD120" i="10" s="1"/>
  <c r="BB122" i="10"/>
  <c r="BD122" i="10" s="1"/>
  <c r="BB123" i="10"/>
  <c r="BD123" i="10" s="1"/>
  <c r="BB124" i="10"/>
  <c r="BD124" i="10" s="1"/>
  <c r="BB125" i="10"/>
  <c r="BD125" i="10" s="1"/>
  <c r="BB126" i="10"/>
  <c r="BD126" i="10" s="1"/>
  <c r="BB127" i="10"/>
  <c r="BD127" i="10" s="1"/>
  <c r="BB128" i="10"/>
  <c r="BD128" i="10" s="1"/>
  <c r="BB129" i="10"/>
  <c r="BD129" i="10" s="1"/>
  <c r="BB131" i="10"/>
  <c r="BD131" i="10" s="1"/>
  <c r="BB132" i="10"/>
  <c r="BD132" i="10" s="1"/>
  <c r="BB133" i="10"/>
  <c r="BD133" i="10" s="1"/>
  <c r="BB134" i="10"/>
  <c r="BD134" i="10" s="1"/>
  <c r="BB135" i="10"/>
  <c r="BD135" i="10" s="1"/>
  <c r="BB136" i="10"/>
  <c r="BD136" i="10" s="1"/>
  <c r="BB137" i="10"/>
  <c r="BD137" i="10" s="1"/>
  <c r="BB138" i="10"/>
  <c r="BD138" i="10" s="1"/>
  <c r="BB139" i="10"/>
  <c r="BD139" i="10" s="1"/>
  <c r="BB141" i="10"/>
  <c r="BD141" i="10" s="1"/>
  <c r="BB142" i="10"/>
  <c r="BD142" i="10" s="1"/>
  <c r="BB143" i="10"/>
  <c r="BD143" i="10" s="1"/>
  <c r="BB144" i="10"/>
  <c r="BD144" i="10" s="1"/>
  <c r="BB149" i="10"/>
  <c r="BD149" i="10" s="1"/>
  <c r="BB150" i="10"/>
  <c r="BD150" i="10" s="1"/>
  <c r="BB151" i="10"/>
  <c r="BD151" i="10" s="1"/>
  <c r="BB152" i="10"/>
  <c r="V151" i="10"/>
  <c r="J152" i="10"/>
  <c r="AN435" i="28"/>
  <c r="BB435" i="28"/>
  <c r="BE47" i="28"/>
  <c r="BE40" i="28"/>
  <c r="F16" i="73"/>
  <c r="H16" i="73"/>
  <c r="J16" i="73"/>
  <c r="L16" i="73"/>
  <c r="N16" i="73"/>
  <c r="P16" i="73"/>
  <c r="R16" i="73"/>
  <c r="T16" i="73"/>
  <c r="V16" i="73"/>
  <c r="X16" i="73"/>
  <c r="Z16" i="73"/>
  <c r="AB16" i="73"/>
  <c r="AD16" i="73"/>
  <c r="AF16" i="73"/>
  <c r="AH16" i="73"/>
  <c r="AJ16" i="73"/>
  <c r="AL16" i="73"/>
  <c r="AN16" i="73"/>
  <c r="AP16" i="73"/>
  <c r="AR16" i="73"/>
  <c r="AT16" i="73"/>
  <c r="AV16" i="73"/>
  <c r="BD16" i="73"/>
  <c r="E16" i="73"/>
  <c r="G7" i="61" l="1"/>
  <c r="K15" i="50"/>
  <c r="G8" i="61"/>
  <c r="K16" i="50"/>
  <c r="G5" i="61"/>
  <c r="K13" i="50"/>
  <c r="G11" i="61"/>
  <c r="K19" i="50"/>
  <c r="G10" i="61"/>
  <c r="K10" i="61" s="1"/>
  <c r="K18" i="50"/>
  <c r="G9" i="61"/>
  <c r="K17" i="50"/>
  <c r="AA52" i="50"/>
  <c r="BE55" i="50"/>
  <c r="AO55" i="50"/>
  <c r="AE10" i="61"/>
  <c r="AO10" i="61" s="1"/>
  <c r="BE10" i="61" s="1"/>
  <c r="AO18" i="50"/>
  <c r="BE18" i="50" s="1"/>
  <c r="AE9" i="61"/>
  <c r="AO9" i="61" s="1"/>
  <c r="BE9" i="61" s="1"/>
  <c r="AO17" i="50"/>
  <c r="BE17" i="50" s="1"/>
  <c r="AO5" i="50"/>
  <c r="BE5" i="50" s="1"/>
  <c r="AA5" i="50"/>
  <c r="AE8" i="61"/>
  <c r="AO8" i="61" s="1"/>
  <c r="BE8" i="61" s="1"/>
  <c r="AO16" i="50"/>
  <c r="BE16" i="50" s="1"/>
  <c r="AE4" i="61"/>
  <c r="AO12" i="50"/>
  <c r="BE12" i="50" s="1"/>
  <c r="AE7" i="61"/>
  <c r="AO7" i="61" s="1"/>
  <c r="BE7" i="61" s="1"/>
  <c r="AO15" i="50"/>
  <c r="BE15" i="50" s="1"/>
  <c r="AE5" i="61"/>
  <c r="AO5" i="61" s="1"/>
  <c r="BE5" i="61" s="1"/>
  <c r="AO13" i="50"/>
  <c r="BE13" i="50" s="1"/>
  <c r="O10" i="61"/>
  <c r="S10" i="61" s="1"/>
  <c r="W10" i="61" s="1"/>
  <c r="AA13" i="50"/>
  <c r="U5" i="61"/>
  <c r="AA5" i="61" s="1"/>
  <c r="AA49" i="50"/>
  <c r="AA50" i="50"/>
  <c r="AA51" i="50"/>
  <c r="AA54" i="50"/>
  <c r="O19" i="50"/>
  <c r="AC19" i="50" s="1"/>
  <c r="O5" i="50"/>
  <c r="O48" i="50"/>
  <c r="K48" i="50"/>
  <c r="O18" i="50"/>
  <c r="K49" i="50"/>
  <c r="O49" i="50"/>
  <c r="K50" i="50"/>
  <c r="O50" i="50"/>
  <c r="O17" i="50"/>
  <c r="O16" i="50"/>
  <c r="O51" i="50"/>
  <c r="K51" i="50"/>
  <c r="O15" i="50"/>
  <c r="O52" i="50"/>
  <c r="K52" i="50"/>
  <c r="O13" i="50"/>
  <c r="O54" i="50"/>
  <c r="K54" i="50"/>
  <c r="O12" i="50"/>
  <c r="Q55" i="50"/>
  <c r="AA48" i="50"/>
  <c r="AE55" i="50"/>
  <c r="O11" i="50"/>
  <c r="O10" i="50"/>
  <c r="O8" i="50"/>
  <c r="AA133" i="50"/>
  <c r="K25" i="50"/>
  <c r="O7" i="50"/>
  <c r="O6" i="50"/>
  <c r="U4" i="61"/>
  <c r="Q124" i="50"/>
  <c r="AJ435" i="28"/>
  <c r="AP435" i="28" s="1"/>
  <c r="AT435" i="28" s="1"/>
  <c r="BF136" i="10"/>
  <c r="BF152" i="10"/>
  <c r="BF145" i="10"/>
  <c r="BF149" i="10"/>
  <c r="BF123" i="10"/>
  <c r="G55" i="50"/>
  <c r="BD152" i="10"/>
  <c r="V152" i="10"/>
  <c r="BF151" i="10"/>
  <c r="BF143" i="10"/>
  <c r="BF134" i="10"/>
  <c r="BF124" i="10"/>
  <c r="BF148" i="10"/>
  <c r="BF137" i="10"/>
  <c r="BF122" i="10"/>
  <c r="BF150" i="10"/>
  <c r="BF120" i="10"/>
  <c r="BF144" i="10"/>
  <c r="AE112" i="50"/>
  <c r="AO112" i="50" s="1"/>
  <c r="BE112" i="50" s="1"/>
  <c r="BD435" i="28"/>
  <c r="O9" i="61" l="1"/>
  <c r="K9" i="61"/>
  <c r="O5" i="61"/>
  <c r="K5" i="61"/>
  <c r="O8" i="61"/>
  <c r="K8" i="61"/>
  <c r="O11" i="61"/>
  <c r="K11" i="61"/>
  <c r="O7" i="61"/>
  <c r="K7" i="61"/>
  <c r="AX435" i="28"/>
  <c r="BF435" i="28" s="1"/>
  <c r="AE16" i="61"/>
  <c r="U16" i="61"/>
  <c r="AC10" i="61"/>
  <c r="AA55" i="50"/>
  <c r="AA124" i="50"/>
  <c r="AK31" i="50"/>
  <c r="AQ31" i="50" s="1"/>
  <c r="AU31" i="50" s="1"/>
  <c r="AY31" i="50" s="1"/>
  <c r="BG31" i="50" s="1"/>
  <c r="AC49" i="50"/>
  <c r="AG49" i="50" s="1"/>
  <c r="AK49" i="50" s="1"/>
  <c r="AQ49" i="50" s="1"/>
  <c r="AU49" i="50" s="1"/>
  <c r="AY49" i="50" s="1"/>
  <c r="BG49" i="50" s="1"/>
  <c r="S49" i="50"/>
  <c r="W49" i="50" s="1"/>
  <c r="AC52" i="50"/>
  <c r="AG52" i="50" s="1"/>
  <c r="AK52" i="50" s="1"/>
  <c r="AQ52" i="50" s="1"/>
  <c r="AU52" i="50" s="1"/>
  <c r="AY52" i="50" s="1"/>
  <c r="BG52" i="50" s="1"/>
  <c r="S52" i="50"/>
  <c r="W52" i="50" s="1"/>
  <c r="AC10" i="50"/>
  <c r="AG10" i="50" s="1"/>
  <c r="AK10" i="50" s="1"/>
  <c r="AQ10" i="50" s="1"/>
  <c r="AU10" i="50" s="1"/>
  <c r="AY10" i="50" s="1"/>
  <c r="BG10" i="50" s="1"/>
  <c r="S10" i="50"/>
  <c r="W10" i="50" s="1"/>
  <c r="S12" i="50"/>
  <c r="W12" i="50" s="1"/>
  <c r="AC12" i="50"/>
  <c r="AG12" i="50" s="1"/>
  <c r="AK12" i="50" s="1"/>
  <c r="AQ12" i="50" s="1"/>
  <c r="AU12" i="50" s="1"/>
  <c r="AY12" i="50" s="1"/>
  <c r="BG12" i="50" s="1"/>
  <c r="S18" i="50"/>
  <c r="W18" i="50" s="1"/>
  <c r="AC18" i="50"/>
  <c r="AG18" i="50" s="1"/>
  <c r="AK18" i="50" s="1"/>
  <c r="AQ18" i="50" s="1"/>
  <c r="AU18" i="50" s="1"/>
  <c r="AY18" i="50" s="1"/>
  <c r="BG18" i="50" s="1"/>
  <c r="AC15" i="50"/>
  <c r="AG15" i="50" s="1"/>
  <c r="AK15" i="50" s="1"/>
  <c r="AQ15" i="50" s="1"/>
  <c r="AU15" i="50" s="1"/>
  <c r="AY15" i="50" s="1"/>
  <c r="BG15" i="50" s="1"/>
  <c r="S15" i="50"/>
  <c r="W15" i="50" s="1"/>
  <c r="S51" i="50"/>
  <c r="W51" i="50" s="1"/>
  <c r="AC51" i="50"/>
  <c r="AG51" i="50" s="1"/>
  <c r="AK51" i="50" s="1"/>
  <c r="AQ51" i="50" s="1"/>
  <c r="AU51" i="50" s="1"/>
  <c r="AY51" i="50" s="1"/>
  <c r="BG51" i="50" s="1"/>
  <c r="K55" i="50"/>
  <c r="S11" i="50"/>
  <c r="W11" i="50" s="1"/>
  <c r="AC11" i="50"/>
  <c r="AG11" i="50" s="1"/>
  <c r="AK11" i="50" s="1"/>
  <c r="AQ11" i="50" s="1"/>
  <c r="AU11" i="50" s="1"/>
  <c r="AY11" i="50" s="1"/>
  <c r="BG11" i="50" s="1"/>
  <c r="O55" i="50"/>
  <c r="AC48" i="50"/>
  <c r="S48" i="50"/>
  <c r="AK25" i="50"/>
  <c r="AQ25" i="50" s="1"/>
  <c r="AU25" i="50" s="1"/>
  <c r="AY25" i="50" s="1"/>
  <c r="BG25" i="50" s="1"/>
  <c r="AC54" i="50"/>
  <c r="AG54" i="50" s="1"/>
  <c r="AK54" i="50" s="1"/>
  <c r="AQ54" i="50" s="1"/>
  <c r="AU54" i="50" s="1"/>
  <c r="AY54" i="50" s="1"/>
  <c r="BG54" i="50" s="1"/>
  <c r="S54" i="50"/>
  <c r="W54" i="50" s="1"/>
  <c r="AC16" i="50"/>
  <c r="AG16" i="50" s="1"/>
  <c r="AK16" i="50" s="1"/>
  <c r="AQ16" i="50" s="1"/>
  <c r="AU16" i="50" s="1"/>
  <c r="AY16" i="50" s="1"/>
  <c r="BG16" i="50" s="1"/>
  <c r="S16" i="50"/>
  <c r="W16" i="50" s="1"/>
  <c r="S7" i="50"/>
  <c r="W7" i="50" s="1"/>
  <c r="AC7" i="50"/>
  <c r="AG7" i="50" s="1"/>
  <c r="AK7" i="50" s="1"/>
  <c r="AQ7" i="50" s="1"/>
  <c r="AU7" i="50" s="1"/>
  <c r="AY7" i="50" s="1"/>
  <c r="BG7" i="50" s="1"/>
  <c r="S13" i="50"/>
  <c r="W13" i="50" s="1"/>
  <c r="AC13" i="50"/>
  <c r="AG13" i="50" s="1"/>
  <c r="AK13" i="50" s="1"/>
  <c r="AQ13" i="50" s="1"/>
  <c r="AU13" i="50" s="1"/>
  <c r="AY13" i="50" s="1"/>
  <c r="BG13" i="50" s="1"/>
  <c r="AC17" i="50"/>
  <c r="AG17" i="50" s="1"/>
  <c r="AK17" i="50" s="1"/>
  <c r="AQ17" i="50" s="1"/>
  <c r="AU17" i="50" s="1"/>
  <c r="AY17" i="50" s="1"/>
  <c r="BG17" i="50" s="1"/>
  <c r="S17" i="50"/>
  <c r="W17" i="50" s="1"/>
  <c r="AC5" i="50"/>
  <c r="S5" i="50"/>
  <c r="S8" i="50"/>
  <c r="W8" i="50" s="1"/>
  <c r="AC8" i="50"/>
  <c r="AG8" i="50" s="1"/>
  <c r="AK8" i="50" s="1"/>
  <c r="AQ8" i="50" s="1"/>
  <c r="AU8" i="50" s="1"/>
  <c r="AY8" i="50" s="1"/>
  <c r="BG8" i="50" s="1"/>
  <c r="AC6" i="50"/>
  <c r="AG6" i="50" s="1"/>
  <c r="AK6" i="50" s="1"/>
  <c r="AQ6" i="50" s="1"/>
  <c r="AU6" i="50" s="1"/>
  <c r="AY6" i="50" s="1"/>
  <c r="BG6" i="50" s="1"/>
  <c r="S6" i="50"/>
  <c r="W6" i="50" s="1"/>
  <c r="S50" i="50"/>
  <c r="W50" i="50" s="1"/>
  <c r="AC50" i="50"/>
  <c r="AG50" i="50" s="1"/>
  <c r="AK50" i="50" s="1"/>
  <c r="AQ50" i="50" s="1"/>
  <c r="AU50" i="50" s="1"/>
  <c r="AY50" i="50" s="1"/>
  <c r="BG50" i="50" s="1"/>
  <c r="S19" i="50"/>
  <c r="W19" i="50" s="1"/>
  <c r="AG19" i="50"/>
  <c r="AK19" i="50" s="1"/>
  <c r="AQ19" i="50" s="1"/>
  <c r="AU19" i="50" s="1"/>
  <c r="AY19" i="50" s="1"/>
  <c r="BG19" i="50" s="1"/>
  <c r="AC8" i="61" l="1"/>
  <c r="AG8" i="61" s="1"/>
  <c r="AK8" i="61" s="1"/>
  <c r="AQ8" i="61" s="1"/>
  <c r="AU8" i="61" s="1"/>
  <c r="AY8" i="61" s="1"/>
  <c r="BG8" i="61" s="1"/>
  <c r="S8" i="61"/>
  <c r="W8" i="61" s="1"/>
  <c r="AC7" i="61"/>
  <c r="AG7" i="61" s="1"/>
  <c r="AK7" i="61" s="1"/>
  <c r="AQ7" i="61" s="1"/>
  <c r="AU7" i="61" s="1"/>
  <c r="AY7" i="61" s="1"/>
  <c r="BG7" i="61" s="1"/>
  <c r="S7" i="61"/>
  <c r="W7" i="61" s="1"/>
  <c r="AC5" i="61"/>
  <c r="AG5" i="61" s="1"/>
  <c r="S5" i="61"/>
  <c r="W5" i="61" s="1"/>
  <c r="AC11" i="61"/>
  <c r="AG11" i="61" s="1"/>
  <c r="S11" i="61"/>
  <c r="W11" i="61" s="1"/>
  <c r="AC9" i="61"/>
  <c r="AG9" i="61" s="1"/>
  <c r="AK9" i="61" s="1"/>
  <c r="AQ9" i="61" s="1"/>
  <c r="AU9" i="61" s="1"/>
  <c r="AY9" i="61" s="1"/>
  <c r="BG9" i="61" s="1"/>
  <c r="S9" i="61"/>
  <c r="W9" i="61" s="1"/>
  <c r="AG10" i="61"/>
  <c r="AK10" i="61" s="1"/>
  <c r="AQ10" i="61" s="1"/>
  <c r="AU10" i="61" s="1"/>
  <c r="AY10" i="61" s="1"/>
  <c r="BG10" i="61" s="1"/>
  <c r="W5" i="50"/>
  <c r="AG5" i="50"/>
  <c r="W48" i="50"/>
  <c r="W55" i="50" s="1"/>
  <c r="S55" i="50"/>
  <c r="AC55" i="50"/>
  <c r="AG48" i="50"/>
  <c r="AK5" i="50" l="1"/>
  <c r="AK48" i="50"/>
  <c r="AG55" i="50"/>
  <c r="AQ5" i="50" l="1"/>
  <c r="AU5" i="50" s="1"/>
  <c r="AY5" i="50" s="1"/>
  <c r="BG5" i="50" s="1"/>
  <c r="AK55" i="50"/>
  <c r="AQ48" i="50"/>
  <c r="AU48" i="50" s="1"/>
  <c r="AU55" i="50" l="1"/>
  <c r="AY48" i="50"/>
  <c r="AQ55" i="50"/>
  <c r="AY55" i="50" l="1"/>
  <c r="BG48" i="50"/>
  <c r="BG55" i="50" s="1"/>
  <c r="Z12" i="85"/>
  <c r="Z14" i="85"/>
  <c r="H35" i="82" l="1"/>
  <c r="G35" i="82"/>
  <c r="F35" i="82"/>
  <c r="R35" i="82"/>
  <c r="S35" i="82"/>
  <c r="T35" i="82"/>
  <c r="U35" i="82"/>
  <c r="M35" i="82"/>
  <c r="N35" i="82"/>
  <c r="L35" i="82"/>
  <c r="BB8" i="24" l="1"/>
  <c r="BA8" i="24"/>
  <c r="BB7" i="24"/>
  <c r="BA7" i="24"/>
  <c r="BB6" i="24"/>
  <c r="BA6" i="24"/>
  <c r="BD16" i="61"/>
  <c r="BB16" i="61"/>
  <c r="BF16" i="61"/>
  <c r="AZ16" i="61"/>
  <c r="BB15" i="52" l="1"/>
  <c r="BA15" i="52"/>
  <c r="BB14" i="52"/>
  <c r="BA14" i="52"/>
  <c r="BB13" i="52"/>
  <c r="BA13" i="52"/>
  <c r="BB12" i="52"/>
  <c r="BA12" i="52"/>
  <c r="BB11" i="52"/>
  <c r="BA11" i="52"/>
  <c r="BB10" i="52"/>
  <c r="BA10" i="52"/>
  <c r="BB8" i="52"/>
  <c r="BA8" i="52"/>
  <c r="BB6" i="52"/>
  <c r="BA6" i="52"/>
  <c r="BB5" i="52"/>
  <c r="BA5" i="52"/>
  <c r="AZ16" i="52"/>
  <c r="AY16" i="52"/>
  <c r="AZ9" i="52"/>
  <c r="AY9" i="52"/>
  <c r="AZ17" i="52" l="1"/>
  <c r="BA9" i="52"/>
  <c r="AY17" i="52"/>
  <c r="BB16" i="52"/>
  <c r="BA16" i="52"/>
  <c r="BB9" i="52"/>
  <c r="BA17" i="52" l="1"/>
  <c r="BB17" i="52"/>
  <c r="BA38" i="27" l="1"/>
  <c r="AZ38" i="27"/>
  <c r="BA32" i="27"/>
  <c r="AZ32" i="27"/>
  <c r="BA23" i="27"/>
  <c r="AZ23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1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12" i="17" l="1"/>
  <c r="BA109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89" i="17"/>
  <c r="AZ89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5" i="17" l="1"/>
  <c r="AZ68" i="17"/>
  <c r="BA12" i="17"/>
  <c r="AZ73" i="17"/>
  <c r="BA14" i="17"/>
  <c r="AZ76" i="17"/>
  <c r="AZ77" i="17"/>
  <c r="AZ13" i="17"/>
  <c r="AZ65" i="17"/>
  <c r="AZ78" i="17"/>
  <c r="AZ66" i="17"/>
  <c r="AZ81" i="17"/>
  <c r="AZ71" i="17"/>
  <c r="AZ74" i="17" s="1"/>
  <c r="AZ82" i="17"/>
  <c r="BA22" i="17"/>
  <c r="BA49" i="17"/>
  <c r="BA43" i="17"/>
  <c r="BA41" i="17"/>
  <c r="BA39" i="17"/>
  <c r="BA59" i="17"/>
  <c r="BA62" i="17" s="1"/>
  <c r="AZ14" i="17"/>
  <c r="BA68" i="17"/>
  <c r="BA72" i="17"/>
  <c r="BA74" i="17" s="1"/>
  <c r="BA44" i="17"/>
  <c r="BA47" i="17"/>
  <c r="BA65" i="17"/>
  <c r="BA73" i="17"/>
  <c r="BA77" i="17"/>
  <c r="BA81" i="17"/>
  <c r="BA66" i="17"/>
  <c r="BA75" i="17"/>
  <c r="BA78" i="17"/>
  <c r="BA82" i="17"/>
  <c r="AZ72" i="17"/>
  <c r="BA76" i="17"/>
  <c r="AZ15" i="17" l="1"/>
  <c r="BA60" i="17"/>
  <c r="AZ67" i="17"/>
  <c r="AZ69" i="17" s="1"/>
  <c r="AZ83" i="17"/>
  <c r="BA83" i="17"/>
  <c r="BA79" i="17"/>
  <c r="AZ79" i="17"/>
  <c r="BA67" i="17"/>
  <c r="BA69" i="17" s="1"/>
  <c r="BA45" i="17"/>
  <c r="BA50" i="17"/>
  <c r="AA202" i="73"/>
  <c r="BA10" i="15"/>
  <c r="AM201" i="73"/>
  <c r="AM192" i="73"/>
  <c r="AM191" i="73"/>
  <c r="AM187" i="73"/>
  <c r="AM186" i="73"/>
  <c r="AM185" i="73"/>
  <c r="AM184" i="73"/>
  <c r="AM183" i="73"/>
  <c r="AM182" i="73"/>
  <c r="AM181" i="73"/>
  <c r="AM180" i="73"/>
  <c r="AM178" i="73"/>
  <c r="AM135" i="73"/>
  <c r="AM134" i="73"/>
  <c r="AM130" i="73"/>
  <c r="AM127" i="73"/>
  <c r="AM126" i="73"/>
  <c r="AM124" i="73"/>
  <c r="AM123" i="73"/>
  <c r="AM122" i="73"/>
  <c r="AM116" i="73"/>
  <c r="AM115" i="73"/>
  <c r="AM113" i="73"/>
  <c r="AM112" i="73"/>
  <c r="AM111" i="73"/>
  <c r="AM110" i="73"/>
  <c r="AM109" i="73"/>
  <c r="AM107" i="73"/>
  <c r="AM106" i="73"/>
  <c r="AM104" i="73"/>
  <c r="AM103" i="73"/>
  <c r="AM101" i="73"/>
  <c r="AM100" i="73"/>
  <c r="AM99" i="73"/>
  <c r="AM98" i="73"/>
  <c r="AM97" i="73"/>
  <c r="AM96" i="73"/>
  <c r="AM95" i="73"/>
  <c r="AM94" i="73"/>
  <c r="BC94" i="73" s="1"/>
  <c r="AM92" i="73"/>
  <c r="AM91" i="73"/>
  <c r="AM90" i="73"/>
  <c r="AM89" i="73"/>
  <c r="AM88" i="73"/>
  <c r="AM87" i="73"/>
  <c r="AM86" i="73"/>
  <c r="AM85" i="73"/>
  <c r="AM84" i="73"/>
  <c r="AM83" i="73"/>
  <c r="AM82" i="73"/>
  <c r="AM81" i="73"/>
  <c r="AM66" i="73"/>
  <c r="AM64" i="73"/>
  <c r="AM63" i="73"/>
  <c r="AM62" i="73"/>
  <c r="AM61" i="73"/>
  <c r="AM60" i="73"/>
  <c r="AM59" i="73"/>
  <c r="AM57" i="73"/>
  <c r="AM56" i="73"/>
  <c r="AM55" i="73"/>
  <c r="AM54" i="73"/>
  <c r="AM52" i="73"/>
  <c r="AM51" i="73"/>
  <c r="AM50" i="73"/>
  <c r="AM49" i="73"/>
  <c r="AM47" i="73"/>
  <c r="AM46" i="73"/>
  <c r="AM45" i="73"/>
  <c r="AM44" i="73"/>
  <c r="AM43" i="73"/>
  <c r="AM42" i="73"/>
  <c r="AM41" i="73"/>
  <c r="AM40" i="73"/>
  <c r="AM39" i="73"/>
  <c r="AM38" i="73"/>
  <c r="AM37" i="73"/>
  <c r="AM36" i="73"/>
  <c r="AM35" i="73"/>
  <c r="AM33" i="73"/>
  <c r="AM32" i="73"/>
  <c r="AM31" i="73"/>
  <c r="AM30" i="73"/>
  <c r="AM29" i="73"/>
  <c r="AM28" i="73"/>
  <c r="AM27" i="73"/>
  <c r="AM26" i="73"/>
  <c r="AM25" i="73"/>
  <c r="AM24" i="73"/>
  <c r="AM19" i="73"/>
  <c r="AM18" i="73"/>
  <c r="AM17" i="73"/>
  <c r="AM15" i="73"/>
  <c r="AM12" i="73"/>
  <c r="AM10" i="73"/>
  <c r="AM9" i="73"/>
  <c r="AM7" i="73"/>
  <c r="Y7" i="73"/>
  <c r="Y9" i="73"/>
  <c r="Y10" i="73"/>
  <c r="Y12" i="73"/>
  <c r="Y15" i="73"/>
  <c r="Y17" i="73"/>
  <c r="Y18" i="73"/>
  <c r="Y19" i="73"/>
  <c r="Y24" i="73"/>
  <c r="Y25" i="73"/>
  <c r="Y26" i="73"/>
  <c r="Y27" i="73"/>
  <c r="Y28" i="73"/>
  <c r="Y29" i="73"/>
  <c r="Y30" i="73"/>
  <c r="Y31" i="73"/>
  <c r="Y32" i="73"/>
  <c r="Y33" i="73"/>
  <c r="Y35" i="73"/>
  <c r="Y36" i="73"/>
  <c r="Y37" i="73"/>
  <c r="Y38" i="73"/>
  <c r="Y39" i="73"/>
  <c r="Y40" i="73"/>
  <c r="Y41" i="73"/>
  <c r="Y42" i="73"/>
  <c r="Y43" i="73"/>
  <c r="Y44" i="73"/>
  <c r="AA44" i="73" s="1"/>
  <c r="Y45" i="73"/>
  <c r="Y46" i="73"/>
  <c r="Y47" i="73"/>
  <c r="Y49" i="73"/>
  <c r="Y50" i="73"/>
  <c r="Y51" i="73"/>
  <c r="Y52" i="73"/>
  <c r="Y54" i="73"/>
  <c r="Y55" i="73"/>
  <c r="Y56" i="73"/>
  <c r="Y57" i="73"/>
  <c r="Y59" i="73"/>
  <c r="Y60" i="73"/>
  <c r="Y61" i="73"/>
  <c r="Y62" i="73"/>
  <c r="Y63" i="73"/>
  <c r="Y64" i="73"/>
  <c r="Y66" i="73"/>
  <c r="Y67" i="73"/>
  <c r="Y68" i="73"/>
  <c r="AA74" i="73"/>
  <c r="AE74" i="73" s="1"/>
  <c r="AI74" i="73" s="1"/>
  <c r="AO74" i="73" s="1"/>
  <c r="AS74" i="73" s="1"/>
  <c r="AW74" i="73" s="1"/>
  <c r="Y75" i="73"/>
  <c r="Y76" i="73"/>
  <c r="Y77" i="73"/>
  <c r="Y78" i="73"/>
  <c r="Y79" i="73"/>
  <c r="Y80" i="73"/>
  <c r="Y81" i="73"/>
  <c r="Y82" i="73"/>
  <c r="Y83" i="73"/>
  <c r="Y84" i="73"/>
  <c r="Y85" i="73"/>
  <c r="AA85" i="73" s="1"/>
  <c r="AE85" i="73" s="1"/>
  <c r="AI85" i="73" s="1"/>
  <c r="AO85" i="73" s="1"/>
  <c r="AS85" i="73" s="1"/>
  <c r="AW85" i="73" s="1"/>
  <c r="Y86" i="73"/>
  <c r="AA86" i="73" s="1"/>
  <c r="AE86" i="73" s="1"/>
  <c r="AI86" i="73" s="1"/>
  <c r="AO86" i="73" s="1"/>
  <c r="AS86" i="73" s="1"/>
  <c r="AW86" i="73" s="1"/>
  <c r="Y87" i="73"/>
  <c r="Y88" i="73"/>
  <c r="Y89" i="73"/>
  <c r="Y90" i="73"/>
  <c r="Y91" i="73"/>
  <c r="AA91" i="73" s="1"/>
  <c r="AE91" i="73" s="1"/>
  <c r="AI91" i="73" s="1"/>
  <c r="AO91" i="73" s="1"/>
  <c r="AS91" i="73" s="1"/>
  <c r="AW91" i="73" s="1"/>
  <c r="Y92" i="73"/>
  <c r="Y94" i="73"/>
  <c r="Y95" i="73"/>
  <c r="Y96" i="73"/>
  <c r="Y97" i="73"/>
  <c r="Y98" i="73"/>
  <c r="Y99" i="73"/>
  <c r="Y100" i="73"/>
  <c r="Y101" i="73"/>
  <c r="Y103" i="73"/>
  <c r="Y104" i="73"/>
  <c r="Y106" i="73"/>
  <c r="Y107" i="73"/>
  <c r="Y109" i="73"/>
  <c r="Y110" i="73"/>
  <c r="Y111" i="73"/>
  <c r="Y112" i="73"/>
  <c r="Y113" i="73"/>
  <c r="Y115" i="73"/>
  <c r="Y116" i="73"/>
  <c r="Y122" i="73"/>
  <c r="Y123" i="73"/>
  <c r="Y124" i="73"/>
  <c r="Y126" i="73"/>
  <c r="Y127" i="73"/>
  <c r="Y177" i="73"/>
  <c r="Y178" i="73"/>
  <c r="Y180" i="73"/>
  <c r="Y181" i="73"/>
  <c r="Y182" i="73"/>
  <c r="Y183" i="73"/>
  <c r="Y184" i="73"/>
  <c r="AA184" i="73" s="1"/>
  <c r="Y185" i="73"/>
  <c r="Y186" i="73"/>
  <c r="Y187" i="73"/>
  <c r="Y191" i="73"/>
  <c r="Y192" i="73"/>
  <c r="Y201" i="73"/>
  <c r="AA201" i="73" s="1"/>
  <c r="AE201" i="73" s="1"/>
  <c r="E14" i="73"/>
  <c r="G139" i="50" s="1"/>
  <c r="BE184" i="73"/>
  <c r="BD188" i="73"/>
  <c r="BD133" i="73"/>
  <c r="BD129" i="73"/>
  <c r="BD125" i="73"/>
  <c r="BD108" i="73"/>
  <c r="BD117" i="73" s="1"/>
  <c r="BD136" i="73" l="1"/>
  <c r="E117" i="90"/>
  <c r="BC184" i="73"/>
  <c r="Y14" i="73"/>
  <c r="Q141" i="50"/>
  <c r="AA141" i="50" s="1"/>
  <c r="AM14" i="73"/>
  <c r="AE141" i="50"/>
  <c r="AO141" i="50" s="1"/>
  <c r="BE141" i="50" s="1"/>
  <c r="AA18" i="73"/>
  <c r="AE18" i="73" s="1"/>
  <c r="AI18" i="73" s="1"/>
  <c r="AO18" i="73" s="1"/>
  <c r="Y16" i="73"/>
  <c r="AM16" i="73"/>
  <c r="BC18" i="73"/>
  <c r="BA114" i="17"/>
  <c r="BA51" i="17"/>
  <c r="BA115" i="17" s="1"/>
  <c r="M117" i="90" l="1"/>
  <c r="AA117" i="90"/>
  <c r="BE117" i="90" s="1"/>
  <c r="I117" i="90"/>
  <c r="AO117" i="90"/>
  <c r="AS117" i="90" s="1"/>
  <c r="AW117" i="90" s="1"/>
  <c r="AI117" i="90"/>
  <c r="Q117" i="90"/>
  <c r="U117" i="90"/>
  <c r="AE117" i="90"/>
  <c r="E119" i="90"/>
  <c r="E123" i="90" s="1"/>
  <c r="K139" i="50"/>
  <c r="O139" i="50"/>
  <c r="BC111" i="26"/>
  <c r="BB111" i="26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B91" i="26"/>
  <c r="BB89" i="26"/>
  <c r="BB87" i="26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M119" i="90" l="1"/>
  <c r="M123" i="90" s="1"/>
  <c r="AA119" i="90"/>
  <c r="I119" i="90"/>
  <c r="I123" i="90" s="1"/>
  <c r="AI119" i="90"/>
  <c r="AI123" i="90" s="1"/>
  <c r="AE119" i="90"/>
  <c r="AE123" i="90" s="1"/>
  <c r="Q119" i="90"/>
  <c r="Q123" i="90" s="1"/>
  <c r="AO119" i="90"/>
  <c r="U119" i="90"/>
  <c r="U123" i="90" s="1"/>
  <c r="AC139" i="50"/>
  <c r="AG139" i="50" s="1"/>
  <c r="AK139" i="50" s="1"/>
  <c r="AQ139" i="50" s="1"/>
  <c r="AU139" i="50" s="1"/>
  <c r="AY139" i="50" s="1"/>
  <c r="BG139" i="50" s="1"/>
  <c r="S139" i="50"/>
  <c r="W139" i="50" s="1"/>
  <c r="BA112" i="26"/>
  <c r="BA110" i="26"/>
  <c r="BA108" i="26"/>
  <c r="BA106" i="26"/>
  <c r="BA104" i="26"/>
  <c r="BA102" i="26"/>
  <c r="BA100" i="26"/>
  <c r="BA98" i="26"/>
  <c r="BA93" i="26"/>
  <c r="AZ93" i="26"/>
  <c r="BA91" i="26"/>
  <c r="BA89" i="26"/>
  <c r="BA87" i="26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AY24" i="36"/>
  <c r="BB75" i="59" s="1"/>
  <c r="BB77" i="11" l="1"/>
  <c r="BB142" i="45"/>
  <c r="BA77" i="11"/>
  <c r="BA176" i="10"/>
  <c r="BB176" i="10"/>
  <c r="BC142" i="45"/>
  <c r="AS119" i="90"/>
  <c r="AO123" i="90"/>
  <c r="BE119" i="90"/>
  <c r="BE123" i="90" s="1"/>
  <c r="AA123" i="90"/>
  <c r="BA51" i="26"/>
  <c r="BA86" i="17"/>
  <c r="BA87" i="17"/>
  <c r="BA85" i="17"/>
  <c r="BA84" i="17"/>
  <c r="BA114" i="26"/>
  <c r="BA94" i="26"/>
  <c r="BA82" i="26"/>
  <c r="BA83" i="26"/>
  <c r="BA75" i="26"/>
  <c r="BA45" i="26"/>
  <c r="BA12" i="26"/>
  <c r="BA13" i="26" s="1"/>
  <c r="BA56" i="26"/>
  <c r="AW119" i="90" l="1"/>
  <c r="AW123" i="90" s="1"/>
  <c r="AS123" i="90"/>
  <c r="BA18" i="26"/>
  <c r="BA19" i="26"/>
  <c r="G133" i="50"/>
  <c r="K133" i="50" l="1"/>
  <c r="O133" i="50"/>
  <c r="AE134" i="50"/>
  <c r="AO134" i="50" s="1"/>
  <c r="AO135" i="50" l="1"/>
  <c r="BE134" i="50"/>
  <c r="BE135" i="50" s="1"/>
  <c r="S133" i="50"/>
  <c r="W133" i="50" s="1"/>
  <c r="AC133" i="50"/>
  <c r="AG133" i="50" s="1"/>
  <c r="AK133" i="50" s="1"/>
  <c r="AQ133" i="50" s="1"/>
  <c r="AU133" i="50" s="1"/>
  <c r="AY133" i="50" s="1"/>
  <c r="BG133" i="50" s="1"/>
  <c r="AE135" i="50"/>
  <c r="AE136" i="50"/>
  <c r="AO136" i="50" s="1"/>
  <c r="BE136" i="50" s="1"/>
  <c r="Q134" i="50"/>
  <c r="AA134" i="50" s="1"/>
  <c r="BC480" i="28"/>
  <c r="BA480" i="28"/>
  <c r="BC479" i="28"/>
  <c r="BA479" i="28"/>
  <c r="BB446" i="28"/>
  <c r="BB445" i="28"/>
  <c r="BB444" i="28"/>
  <c r="BB443" i="28"/>
  <c r="BB442" i="28"/>
  <c r="BB441" i="28"/>
  <c r="BB440" i="28"/>
  <c r="BB438" i="28"/>
  <c r="BB437" i="28"/>
  <c r="BB434" i="28"/>
  <c r="BB433" i="28"/>
  <c r="BB429" i="28"/>
  <c r="BB398" i="28"/>
  <c r="BB391" i="28"/>
  <c r="BB379" i="28"/>
  <c r="BB281" i="28"/>
  <c r="BB277" i="28"/>
  <c r="BB276" i="28"/>
  <c r="BB275" i="28"/>
  <c r="BB238" i="28"/>
  <c r="BB236" i="28"/>
  <c r="BB235" i="28"/>
  <c r="BB231" i="28"/>
  <c r="BB219" i="28"/>
  <c r="BB86" i="28"/>
  <c r="BA83" i="28"/>
  <c r="BA82" i="28"/>
  <c r="BA79" i="28"/>
  <c r="BB78" i="28"/>
  <c r="BA78" i="28"/>
  <c r="BB77" i="28"/>
  <c r="BA75" i="28"/>
  <c r="BB74" i="28"/>
  <c r="BA74" i="28"/>
  <c r="BB73" i="28"/>
  <c r="BA71" i="28"/>
  <c r="BB70" i="28"/>
  <c r="BA70" i="28"/>
  <c r="BB69" i="28"/>
  <c r="BA67" i="28"/>
  <c r="BB66" i="28"/>
  <c r="BA66" i="28"/>
  <c r="BB65" i="28"/>
  <c r="BA51" i="28"/>
  <c r="BB45" i="28"/>
  <c r="BB44" i="28"/>
  <c r="BB43" i="28"/>
  <c r="BB42" i="28"/>
  <c r="BB39" i="28"/>
  <c r="BB38" i="28"/>
  <c r="BB37" i="28"/>
  <c r="BB36" i="28"/>
  <c r="BB35" i="28"/>
  <c r="BA32" i="28"/>
  <c r="BA31" i="28"/>
  <c r="BA30" i="28"/>
  <c r="BB25" i="28"/>
  <c r="BA25" i="28"/>
  <c r="BB24" i="28"/>
  <c r="BA24" i="28"/>
  <c r="BB23" i="28"/>
  <c r="BA23" i="28"/>
  <c r="BB22" i="28"/>
  <c r="BB21" i="28"/>
  <c r="BB18" i="28"/>
  <c r="BA18" i="28"/>
  <c r="BB17" i="28"/>
  <c r="BA17" i="28"/>
  <c r="BB16" i="28"/>
  <c r="BA16" i="28"/>
  <c r="BA278" i="28" s="1"/>
  <c r="BB15" i="28"/>
  <c r="BA15" i="28"/>
  <c r="BB14" i="28"/>
  <c r="BB11" i="28"/>
  <c r="BA11" i="28"/>
  <c r="BB10" i="28"/>
  <c r="BA10" i="28"/>
  <c r="BB9" i="28"/>
  <c r="BA9" i="28"/>
  <c r="BB8" i="28"/>
  <c r="BB7" i="28"/>
  <c r="AE142" i="50" l="1"/>
  <c r="AO142" i="50" s="1"/>
  <c r="Q135" i="50"/>
  <c r="Q136" i="50"/>
  <c r="AA136" i="50" s="1"/>
  <c r="Q142" i="50" l="1"/>
  <c r="AA142" i="50" s="1"/>
  <c r="AY7" i="72" l="1"/>
  <c r="AW42" i="72"/>
  <c r="AW34" i="72"/>
  <c r="AW14" i="72"/>
  <c r="AW44" i="72" l="1"/>
  <c r="AC73" i="90"/>
  <c r="AM73" i="90" s="1"/>
  <c r="AU73" i="90"/>
  <c r="BA73" i="90" s="1"/>
  <c r="AC72" i="90"/>
  <c r="AM72" i="90" s="1"/>
  <c r="AU72" i="90"/>
  <c r="BA72" i="90" s="1"/>
  <c r="AW46" i="72"/>
  <c r="BC72" i="90" l="1"/>
  <c r="BC73" i="90"/>
  <c r="AA73" i="90"/>
  <c r="M73" i="90"/>
  <c r="I73" i="90"/>
  <c r="AI73" i="90"/>
  <c r="Q73" i="90"/>
  <c r="AO73" i="90"/>
  <c r="AS73" i="90" s="1"/>
  <c r="AW73" i="90" s="1"/>
  <c r="U73" i="90"/>
  <c r="AE73" i="90"/>
  <c r="I72" i="90"/>
  <c r="AA72" i="90"/>
  <c r="BE72" i="90" s="1"/>
  <c r="M72" i="90"/>
  <c r="AE72" i="90"/>
  <c r="U72" i="90"/>
  <c r="Q72" i="90"/>
  <c r="AI72" i="90"/>
  <c r="AO72" i="90"/>
  <c r="AS72" i="90" s="1"/>
  <c r="AW72" i="90" s="1"/>
  <c r="BE73" i="90" l="1"/>
  <c r="BC152" i="45"/>
  <c r="BC151" i="45"/>
  <c r="BC156" i="45" s="1"/>
  <c r="BC147" i="45"/>
  <c r="BC146" i="45"/>
  <c r="BC135" i="45"/>
  <c r="BB135" i="45"/>
  <c r="BC133" i="45"/>
  <c r="BB133" i="45"/>
  <c r="BC8" i="45"/>
  <c r="BC171" i="45" s="1"/>
  <c r="BC177" i="45" s="1"/>
  <c r="BC7" i="45"/>
  <c r="BC137" i="45" s="1"/>
  <c r="BB7" i="45"/>
  <c r="BC2" i="45"/>
  <c r="BB2" i="45"/>
  <c r="BB45" i="11"/>
  <c r="BB46" i="11"/>
  <c r="BB47" i="11"/>
  <c r="BB48" i="11"/>
  <c r="BB49" i="11"/>
  <c r="BB50" i="11"/>
  <c r="BB51" i="11"/>
  <c r="BB52" i="11"/>
  <c r="BB8" i="11"/>
  <c r="BB9" i="11"/>
  <c r="BB12" i="11"/>
  <c r="BB13" i="11"/>
  <c r="BB14" i="11"/>
  <c r="BB15" i="11"/>
  <c r="BB16" i="11"/>
  <c r="BB18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41" i="11"/>
  <c r="BB42" i="11"/>
  <c r="BB86" i="11"/>
  <c r="BB82" i="11"/>
  <c r="BB81" i="11"/>
  <c r="BB70" i="11"/>
  <c r="BA70" i="11"/>
  <c r="BB68" i="11"/>
  <c r="BA68" i="11"/>
  <c r="BB54" i="11"/>
  <c r="BB44" i="11"/>
  <c r="BB7" i="11"/>
  <c r="BB5" i="11"/>
  <c r="BB72" i="11" s="1"/>
  <c r="BA5" i="11"/>
  <c r="BB2" i="11"/>
  <c r="BA2" i="11"/>
  <c r="BB185" i="10"/>
  <c r="BB190" i="10" s="1"/>
  <c r="BB181" i="10"/>
  <c r="BB180" i="10"/>
  <c r="BB169" i="10"/>
  <c r="BA169" i="10"/>
  <c r="BB167" i="10"/>
  <c r="BA167" i="10"/>
  <c r="BB7" i="10"/>
  <c r="BB5" i="10"/>
  <c r="BB188" i="10" s="1"/>
  <c r="BA5" i="10"/>
  <c r="BB2" i="10"/>
  <c r="BA2" i="10"/>
  <c r="BB171" i="10" l="1"/>
  <c r="BB134" i="45"/>
  <c r="BD73" i="59" s="1"/>
  <c r="BA71" i="11"/>
  <c r="BA69" i="11"/>
  <c r="BD69" i="59" s="1"/>
  <c r="BA170" i="10"/>
  <c r="BB83" i="11"/>
  <c r="BB90" i="11" s="1"/>
  <c r="BB71" i="11"/>
  <c r="BB182" i="10"/>
  <c r="BB183" i="10" s="1"/>
  <c r="BC108" i="45"/>
  <c r="BB136" i="45"/>
  <c r="BC148" i="45"/>
  <c r="BC107" i="45"/>
  <c r="BC158" i="45" s="1"/>
  <c r="BC136" i="45"/>
  <c r="BC109" i="45"/>
  <c r="BC154" i="45"/>
  <c r="BC134" i="45"/>
  <c r="BE73" i="59" s="1"/>
  <c r="BB55" i="11"/>
  <c r="BB92" i="11" s="1"/>
  <c r="BB56" i="11"/>
  <c r="BB69" i="11"/>
  <c r="BE69" i="59" s="1"/>
  <c r="BB89" i="11"/>
  <c r="BB57" i="11"/>
  <c r="BB59" i="11"/>
  <c r="BB91" i="11"/>
  <c r="BB168" i="10"/>
  <c r="BE65" i="59" s="1"/>
  <c r="BB170" i="10"/>
  <c r="BA168" i="10"/>
  <c r="BD65" i="59" s="1"/>
  <c r="W109" i="45" l="1"/>
  <c r="BB84" i="11"/>
  <c r="BB189" i="10"/>
  <c r="BC144" i="45"/>
  <c r="BE74" i="59" s="1"/>
  <c r="BB58" i="11"/>
  <c r="BB22" i="36" s="1"/>
  <c r="BE68" i="59" s="1"/>
  <c r="BC123" i="45"/>
  <c r="BB79" i="11"/>
  <c r="BE70" i="59" s="1"/>
  <c r="BC124" i="45"/>
  <c r="BC125" i="45" s="1"/>
  <c r="BC149" i="45"/>
  <c r="BC155" i="45"/>
  <c r="BC150" i="45"/>
  <c r="BC159" i="45"/>
  <c r="BC160" i="45" s="1"/>
  <c r="BB60" i="11"/>
  <c r="BB93" i="11"/>
  <c r="BB94" i="11" s="1"/>
  <c r="BB85" i="11"/>
  <c r="BB96" i="11"/>
  <c r="AZ1" i="35"/>
  <c r="AZ21" i="35" s="1"/>
  <c r="AZ26" i="9" s="1"/>
  <c r="W150" i="45" l="1"/>
  <c r="W159" i="45"/>
  <c r="BB23" i="36"/>
  <c r="BE72" i="59"/>
  <c r="BD157" i="9"/>
  <c r="BF157" i="9" s="1"/>
  <c r="BB157" i="9"/>
  <c r="BF159" i="9"/>
  <c r="BD159" i="9"/>
  <c r="BB159" i="9"/>
  <c r="BF158" i="9"/>
  <c r="BD158" i="9"/>
  <c r="BB158" i="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1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AY167" i="6"/>
  <c r="AY168" i="6" s="1"/>
  <c r="AZ138" i="45"/>
  <c r="AZ139" i="45" s="1"/>
  <c r="AY73" i="11"/>
  <c r="AY74" i="11" s="1"/>
  <c r="AY172" i="10"/>
  <c r="AY173" i="10" s="1"/>
  <c r="AY99" i="9"/>
  <c r="AY100" i="9" s="1"/>
  <c r="AY91" i="8"/>
  <c r="AY92" i="8" s="1"/>
  <c r="AY82" i="7"/>
  <c r="AY83" i="7" s="1"/>
  <c r="BB36" i="59" s="1"/>
  <c r="AY193" i="6"/>
  <c r="AY194" i="6" s="1"/>
  <c r="BF57" i="38" l="1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AZ26" i="36" l="1"/>
  <c r="AZ25" i="36"/>
  <c r="BC76" i="59" s="1"/>
  <c r="BE54" i="36" l="1"/>
  <c r="BE53" i="36"/>
  <c r="BC54" i="36"/>
  <c r="BC53" i="36"/>
  <c r="BA54" i="36"/>
  <c r="BA53" i="36"/>
  <c r="BF31" i="36"/>
  <c r="BC31" i="36"/>
  <c r="BD31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157" i="6" s="1"/>
  <c r="BB2" i="6"/>
  <c r="BA2" i="6"/>
  <c r="BA1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B158" i="6"/>
  <c r="BB161" i="6"/>
  <c r="BB156" i="6"/>
  <c r="BB160" i="6"/>
  <c r="BE19" i="59" s="1"/>
  <c r="BB186" i="6"/>
  <c r="BE27" i="59" s="1"/>
  <c r="BB182" i="6"/>
  <c r="BB185" i="6"/>
  <c r="BE26" i="59" s="1"/>
  <c r="BB184" i="6"/>
  <c r="BE25" i="59" s="1"/>
  <c r="BB181" i="6"/>
  <c r="BB183" i="6"/>
  <c r="BA12" i="6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13" i="6"/>
  <c r="BA41" i="6"/>
  <c r="BB66" i="6"/>
  <c r="BB26" i="6"/>
  <c r="BB69" i="6"/>
  <c r="BA77" i="6"/>
  <c r="BB77" i="6"/>
  <c r="BE24" i="59"/>
  <c r="BB29" i="6"/>
  <c r="BE18" i="59"/>
  <c r="BE20" i="59"/>
  <c r="BE17" i="59"/>
  <c r="BB23" i="6"/>
  <c r="BB132" i="9"/>
  <c r="BB131" i="9"/>
  <c r="BB130" i="9"/>
  <c r="BB129" i="9"/>
  <c r="BB128" i="9"/>
  <c r="BB127" i="9"/>
  <c r="BB126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44" i="36" s="1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CQ76" i="99" s="1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BB198" i="6" l="1"/>
  <c r="CP58" i="71"/>
  <c r="CP76" i="99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3" i="7"/>
  <c r="BA113" i="7"/>
  <c r="BC112" i="7"/>
  <c r="BA112" i="7"/>
  <c r="BC111" i="7"/>
  <c r="BA111" i="7"/>
  <c r="BC110" i="7"/>
  <c r="BA110" i="7"/>
  <c r="BC109" i="7"/>
  <c r="BA109" i="7"/>
  <c r="BC108" i="7"/>
  <c r="BA108" i="7"/>
  <c r="BC107" i="7"/>
  <c r="BA107" i="7"/>
  <c r="BC106" i="7"/>
  <c r="BA106" i="7"/>
  <c r="BC94" i="7"/>
  <c r="BF34" i="59" s="1"/>
  <c r="BA94" i="7"/>
  <c r="BD34" i="59" s="1"/>
  <c r="BC91" i="7"/>
  <c r="BA91" i="7"/>
  <c r="BC85" i="7"/>
  <c r="BA85" i="7"/>
  <c r="BB72" i="7"/>
  <c r="BA72" i="7"/>
  <c r="BB70" i="7"/>
  <c r="BA70" i="7"/>
  <c r="BB66" i="7"/>
  <c r="BB64" i="7"/>
  <c r="BA64" i="7"/>
  <c r="BB63" i="7"/>
  <c r="BA63" i="7"/>
  <c r="BB48" i="7"/>
  <c r="BA48" i="7"/>
  <c r="BB46" i="7"/>
  <c r="BA46" i="7"/>
  <c r="BB45" i="7"/>
  <c r="BA45" i="7"/>
  <c r="BB44" i="7"/>
  <c r="BA44" i="7"/>
  <c r="BB43" i="7"/>
  <c r="BA43" i="7"/>
  <c r="BB42" i="7"/>
  <c r="BA42" i="7"/>
  <c r="BB41" i="7"/>
  <c r="BA41" i="7"/>
  <c r="BB40" i="7"/>
  <c r="BA40" i="7"/>
  <c r="BB19" i="7"/>
  <c r="BA19" i="7"/>
  <c r="BB18" i="7"/>
  <c r="BA18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BB7" i="7"/>
  <c r="BA7" i="7"/>
  <c r="BB6" i="7"/>
  <c r="BA6" i="7"/>
  <c r="BB2" i="7"/>
  <c r="BA2" i="7"/>
  <c r="BE113" i="7"/>
  <c r="BE112" i="7"/>
  <c r="BE111" i="7"/>
  <c r="BE110" i="7"/>
  <c r="BE109" i="7"/>
  <c r="BE108" i="7"/>
  <c r="BE107" i="7"/>
  <c r="BE106" i="7"/>
  <c r="BE91" i="7"/>
  <c r="BE85" i="7"/>
  <c r="AZ1" i="7"/>
  <c r="AZ78" i="7" s="1"/>
  <c r="AY1" i="7"/>
  <c r="AY78" i="7" s="1"/>
  <c r="BA65" i="7" l="1"/>
  <c r="BB37" i="9"/>
  <c r="BB73" i="7"/>
  <c r="BB65" i="7"/>
  <c r="BB33" i="7" s="1"/>
  <c r="BB97" i="7" s="1"/>
  <c r="BB172" i="6"/>
  <c r="BB173" i="6"/>
  <c r="BB175" i="6"/>
  <c r="BA73" i="7"/>
  <c r="BA20" i="7"/>
  <c r="BB20" i="7"/>
  <c r="BA81" i="7" l="1"/>
  <c r="BD28" i="59" s="1"/>
  <c r="BA59" i="7"/>
  <c r="BA101" i="7" s="1"/>
  <c r="BA35" i="7"/>
  <c r="BA102" i="7" s="1"/>
  <c r="BE22" i="59"/>
  <c r="BB55" i="7"/>
  <c r="BB59" i="7"/>
  <c r="BB101" i="7" s="1"/>
  <c r="BB74" i="7"/>
  <c r="BB35" i="7"/>
  <c r="BB102" i="7" s="1"/>
  <c r="BB58" i="7"/>
  <c r="BB27" i="7"/>
  <c r="BB92" i="7" s="1"/>
  <c r="BA74" i="7"/>
  <c r="BB76" i="7"/>
  <c r="BB57" i="7"/>
  <c r="BA76" i="7"/>
  <c r="BA34" i="7"/>
  <c r="BB32" i="7"/>
  <c r="BB99" i="7" s="1"/>
  <c r="BB30" i="7"/>
  <c r="BB95" i="7" s="1"/>
  <c r="BE35" i="59" s="1"/>
  <c r="BB52" i="7"/>
  <c r="BB24" i="7"/>
  <c r="BB56" i="7"/>
  <c r="BB23" i="7"/>
  <c r="BB54" i="7"/>
  <c r="BB96" i="7" s="1"/>
  <c r="BB31" i="7"/>
  <c r="BB98" i="7" s="1"/>
  <c r="BB28" i="7"/>
  <c r="BB93" i="7" s="1"/>
  <c r="BE33" i="59" s="1"/>
  <c r="BB53" i="7"/>
  <c r="BB26" i="7"/>
  <c r="BB91" i="7" s="1"/>
  <c r="BB67" i="7"/>
  <c r="BB81" i="7"/>
  <c r="BE28" i="59" s="1"/>
  <c r="BB60" i="7"/>
  <c r="BB29" i="7"/>
  <c r="BB94" i="7" s="1"/>
  <c r="BE34" i="59" s="1"/>
  <c r="BB25" i="7"/>
  <c r="BB100" i="7" s="1"/>
  <c r="BE32" i="59" s="1"/>
  <c r="BB34" i="7"/>
  <c r="BB90" i="7" s="1"/>
  <c r="BB22" i="7"/>
  <c r="BB87" i="7" s="1"/>
  <c r="BE29" i="59" s="1"/>
  <c r="BA175" i="6"/>
  <c r="BA173" i="6"/>
  <c r="BA172" i="6"/>
  <c r="BB174" i="6"/>
  <c r="BD22" i="59" l="1"/>
  <c r="BB8" i="36"/>
  <c r="BE9" i="59" s="1"/>
  <c r="BB88" i="7"/>
  <c r="BE30" i="59" s="1"/>
  <c r="BB89" i="7"/>
  <c r="BE31" i="59" s="1"/>
  <c r="BB36" i="7"/>
  <c r="BB51" i="7" s="1"/>
  <c r="BB75" i="7" s="1"/>
  <c r="BB103" i="7"/>
  <c r="BA174" i="6"/>
  <c r="BB61" i="7" l="1"/>
  <c r="BB98" i="8" l="1"/>
  <c r="BB93" i="8"/>
  <c r="BB85" i="8"/>
  <c r="BA73" i="8"/>
  <c r="BA61" i="8"/>
  <c r="BB60" i="8"/>
  <c r="BB33" i="8"/>
  <c r="BA33" i="8"/>
  <c r="BB31" i="8"/>
  <c r="BB30" i="8"/>
  <c r="BB29" i="8"/>
  <c r="BB28" i="8"/>
  <c r="BB27" i="8"/>
  <c r="BB25" i="8"/>
  <c r="BB24" i="8"/>
  <c r="BB23" i="8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1" i="8"/>
  <c r="BH45" i="59" s="1"/>
  <c r="BE73" i="8"/>
  <c r="BE52" i="8"/>
  <c r="BH42" i="59" s="1"/>
  <c r="AZ8" i="15" l="1"/>
  <c r="BB90" i="8"/>
  <c r="BA8" i="15"/>
  <c r="BB88" i="8"/>
  <c r="BB89" i="8"/>
  <c r="BB40" i="8"/>
  <c r="BB46" i="8"/>
  <c r="BE47" i="59" s="1"/>
  <c r="BB81" i="8"/>
  <c r="BE45" i="59" s="1"/>
  <c r="BB87" i="8"/>
  <c r="BB43" i="8"/>
  <c r="BE46" i="59" s="1"/>
  <c r="BB41" i="8"/>
  <c r="BB26" i="8"/>
  <c r="BB39" i="8"/>
  <c r="BB45" i="8"/>
  <c r="BB44" i="8"/>
  <c r="BE48" i="59" s="1"/>
  <c r="BB47" i="8"/>
  <c r="BB83" i="8"/>
  <c r="BB84" i="8"/>
  <c r="BB82" i="8"/>
  <c r="BE52" i="59" s="1"/>
  <c r="BB86" i="8"/>
  <c r="BB109" i="8"/>
  <c r="BB110" i="8" s="1"/>
  <c r="AZ10" i="49"/>
  <c r="AZ12" i="49" l="1"/>
  <c r="BB10" i="49"/>
  <c r="BD10" i="49" s="1"/>
  <c r="BE49" i="59"/>
  <c r="BE51" i="59"/>
  <c r="BE50" i="59"/>
  <c r="BB42" i="8"/>
  <c r="BB52" i="8"/>
  <c r="BE42" i="59" s="1"/>
  <c r="BB111" i="8"/>
  <c r="BB112" i="8" s="1"/>
  <c r="BB53" i="8" s="1"/>
  <c r="BE43" i="59" s="1"/>
  <c r="AZ14" i="49" l="1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AZ15" i="49" l="1"/>
  <c r="BB14" i="49"/>
  <c r="BB28" i="21"/>
  <c r="BB24" i="21"/>
  <c r="BB25" i="21" s="1"/>
  <c r="BB12" i="21"/>
  <c r="BA12" i="21"/>
  <c r="BA22" i="21" s="1"/>
  <c r="AZ16" i="49" l="1"/>
  <c r="BB15" i="49"/>
  <c r="BE45" i="35"/>
  <c r="BE44" i="35"/>
  <c r="BE43" i="35"/>
  <c r="BB53" i="35"/>
  <c r="BA53" i="35"/>
  <c r="BB51" i="35"/>
  <c r="BA51" i="35"/>
  <c r="BB50" i="35"/>
  <c r="BA50" i="35"/>
  <c r="BB45" i="35"/>
  <c r="BB44" i="35"/>
  <c r="BB43" i="35"/>
  <c r="BB42" i="35"/>
  <c r="BB40" i="35"/>
  <c r="BB39" i="35"/>
  <c r="BB35" i="35"/>
  <c r="BA35" i="35"/>
  <c r="BB34" i="35"/>
  <c r="BA34" i="35"/>
  <c r="BB32" i="35"/>
  <c r="BA32" i="35"/>
  <c r="BB108" i="45" s="1"/>
  <c r="BB31" i="35"/>
  <c r="BA31" i="35"/>
  <c r="BB30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4" i="35"/>
  <c r="BB10" i="35"/>
  <c r="BB9" i="6" s="1"/>
  <c r="BB9" i="35"/>
  <c r="BB8" i="6" s="1"/>
  <c r="BB2" i="35"/>
  <c r="BA2" i="35"/>
  <c r="BA7" i="35" l="1"/>
  <c r="BA6" i="35"/>
  <c r="BB6" i="35"/>
  <c r="BB7" i="35"/>
  <c r="AZ19" i="49"/>
  <c r="BB16" i="49"/>
  <c r="BD17" i="15"/>
  <c r="AZ17" i="15"/>
  <c r="BA5" i="9"/>
  <c r="BE17" i="15"/>
  <c r="BA17" i="15"/>
  <c r="BA56" i="11"/>
  <c r="AZ9" i="15"/>
  <c r="BB123" i="45"/>
  <c r="BD72" i="59" s="1"/>
  <c r="BB144" i="45"/>
  <c r="BD74" i="59" s="1"/>
  <c r="BB107" i="45"/>
  <c r="BB124" i="45"/>
  <c r="BA154" i="10"/>
  <c r="BB10" i="36"/>
  <c r="BE37" i="59" s="1"/>
  <c r="BB12" i="36"/>
  <c r="BE39" i="59" s="1"/>
  <c r="BB11" i="36"/>
  <c r="BE38" i="59" s="1"/>
  <c r="BA9" i="15"/>
  <c r="BB98" i="11"/>
  <c r="BB52" i="36"/>
  <c r="BB5" i="9"/>
  <c r="BB5" i="36"/>
  <c r="BB36" i="35"/>
  <c r="BB48" i="35" s="1"/>
  <c r="BB26" i="35"/>
  <c r="BA33" i="35"/>
  <c r="BB33" i="35"/>
  <c r="BB11" i="35"/>
  <c r="BB10" i="6" s="1"/>
  <c r="BA1" i="35"/>
  <c r="BA21" i="35" s="1"/>
  <c r="BA26" i="9" s="1"/>
  <c r="BA26" i="35"/>
  <c r="BB13" i="35"/>
  <c r="BB41" i="35"/>
  <c r="BA36" i="35"/>
  <c r="BA48" i="35" s="1"/>
  <c r="AZ20" i="49" l="1"/>
  <c r="AZ15" i="36" s="1"/>
  <c r="AZ75" i="8" s="1"/>
  <c r="BB19" i="49"/>
  <c r="BA153" i="10"/>
  <c r="BA178" i="10"/>
  <c r="BD66" i="59" s="1"/>
  <c r="BA161" i="10"/>
  <c r="BD64" i="59" s="1"/>
  <c r="BA33" i="22"/>
  <c r="AZ132" i="26"/>
  <c r="BA89" i="9"/>
  <c r="BA98" i="11"/>
  <c r="BA79" i="11"/>
  <c r="BD70" i="59" s="1"/>
  <c r="BA55" i="11"/>
  <c r="BA58" i="11"/>
  <c r="BB13" i="49"/>
  <c r="BE6" i="59"/>
  <c r="BB33" i="22"/>
  <c r="BA132" i="26"/>
  <c r="BE60" i="59"/>
  <c r="BB37" i="35"/>
  <c r="BC95" i="50" s="1"/>
  <c r="BC93" i="50" s="1"/>
  <c r="BB73" i="9"/>
  <c r="BB89" i="9"/>
  <c r="BB76" i="9"/>
  <c r="BB72" i="9"/>
  <c r="BB75" i="9"/>
  <c r="BB78" i="9"/>
  <c r="BB96" i="9"/>
  <c r="BB94" i="9"/>
  <c r="BA37" i="35"/>
  <c r="BB15" i="35"/>
  <c r="BB49" i="35"/>
  <c r="BC53" i="59" l="1"/>
  <c r="AN155" i="10"/>
  <c r="BA18" i="15"/>
  <c r="BE18" i="15"/>
  <c r="BA8" i="35"/>
  <c r="BA5" i="6"/>
  <c r="BA6" i="6"/>
  <c r="BA16" i="6" s="1"/>
  <c r="BB55" i="35"/>
  <c r="BA7" i="6" l="1"/>
  <c r="BA15" i="6"/>
  <c r="U14" i="85" l="1"/>
  <c r="V14" i="85"/>
  <c r="W14" i="85"/>
  <c r="X14" i="85"/>
  <c r="Y14" i="85"/>
  <c r="U12" i="85"/>
  <c r="V12" i="85"/>
  <c r="W12" i="85"/>
  <c r="X12" i="85"/>
  <c r="Y12" i="85"/>
  <c r="BN53" i="36" l="1"/>
  <c r="BL53" i="36"/>
  <c r="BK53" i="36"/>
  <c r="AH21" i="35"/>
  <c r="AH26" i="9" s="1"/>
  <c r="AD21" i="35"/>
  <c r="AD26" i="9" s="1"/>
  <c r="F21" i="35"/>
  <c r="AN3" i="8"/>
  <c r="BD3" i="8" s="1"/>
  <c r="AR21" i="35" l="1"/>
  <c r="AR26" i="9" s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17" i="10" l="1"/>
  <c r="BD117" i="10" l="1"/>
  <c r="BF139" i="10" l="1"/>
  <c r="J155" i="10"/>
  <c r="F155" i="10"/>
  <c r="BB140" i="10"/>
  <c r="BD140" i="10" s="1"/>
  <c r="BF141" i="10"/>
  <c r="BD155" i="10" l="1"/>
  <c r="BB155" i="10"/>
  <c r="N155" i="10"/>
  <c r="BF142" i="10"/>
  <c r="BF138" i="10"/>
  <c r="AD12" i="38"/>
  <c r="AR12" i="38"/>
  <c r="AK24" i="50" l="1"/>
  <c r="AQ24" i="50" s="1"/>
  <c r="AU24" i="50" s="1"/>
  <c r="AY24" i="50" s="1"/>
  <c r="BG24" i="50" s="1"/>
  <c r="V155" i="10"/>
  <c r="BH12" i="38"/>
  <c r="AF12" i="38"/>
  <c r="AJ12" i="38" s="1"/>
  <c r="AN12" i="38" s="1"/>
  <c r="BB192" i="10"/>
  <c r="BB184" i="10"/>
  <c r="BD184" i="10"/>
  <c r="BD192" i="10"/>
  <c r="AT12" i="38" l="1"/>
  <c r="AX12" i="38" s="1"/>
  <c r="BB12" i="38" s="1"/>
  <c r="V184" i="10"/>
  <c r="V192" i="10"/>
  <c r="AX159" i="9"/>
  <c r="AX158" i="9"/>
  <c r="AX157" i="9"/>
  <c r="BJ12" i="38" l="1"/>
  <c r="BC85" i="73"/>
  <c r="BE85" i="73"/>
  <c r="BC86" i="73"/>
  <c r="BC87" i="73"/>
  <c r="AS44" i="73"/>
  <c r="BC44" i="73"/>
  <c r="BC45" i="73"/>
  <c r="M27" i="73"/>
  <c r="Q27" i="73" s="1"/>
  <c r="U27" i="73" s="1"/>
  <c r="AS27" i="73"/>
  <c r="BC27" i="73"/>
  <c r="AW44" i="73" l="1"/>
  <c r="BE44" i="73" s="1"/>
  <c r="AW27" i="73"/>
  <c r="BE27" i="73" s="1"/>
  <c r="AA27" i="73"/>
  <c r="AE27" i="73" s="1"/>
  <c r="AV16" i="61" l="1"/>
  <c r="AV16" i="52"/>
  <c r="AU16" i="52"/>
  <c r="AV9" i="52"/>
  <c r="AU9" i="52"/>
  <c r="AV17" i="52" l="1"/>
  <c r="AU17" i="52"/>
  <c r="AS42" i="72" l="1"/>
  <c r="AS34" i="72"/>
  <c r="AS14" i="72"/>
  <c r="AU74" i="90"/>
  <c r="BA74" i="90" s="1"/>
  <c r="AU78" i="90"/>
  <c r="BA78" i="90" s="1"/>
  <c r="AU82" i="90"/>
  <c r="BA82" i="90" s="1"/>
  <c r="AX66" i="59"/>
  <c r="AS44" i="72" l="1"/>
  <c r="AU70" i="90"/>
  <c r="BA70" i="90" s="1"/>
  <c r="AU75" i="90"/>
  <c r="BA75" i="90" s="1"/>
  <c r="AU77" i="90"/>
  <c r="BA77" i="90" s="1"/>
  <c r="AU68" i="90"/>
  <c r="AU80" i="90"/>
  <c r="BA80" i="90" s="1"/>
  <c r="AU84" i="90"/>
  <c r="BA84" i="90" s="1"/>
  <c r="AU79" i="90"/>
  <c r="BA79" i="90" s="1"/>
  <c r="AU69" i="90"/>
  <c r="BA69" i="90" s="1"/>
  <c r="AU83" i="90"/>
  <c r="BA83" i="90" s="1"/>
  <c r="AU76" i="90"/>
  <c r="BA76" i="90" s="1"/>
  <c r="AU87" i="90"/>
  <c r="BA87" i="90" s="1"/>
  <c r="AU86" i="90"/>
  <c r="BA86" i="90" s="1"/>
  <c r="AU81" i="90"/>
  <c r="BA81" i="90" s="1"/>
  <c r="AU71" i="90"/>
  <c r="BA71" i="90" s="1"/>
  <c r="AX70" i="59"/>
  <c r="AS46" i="72"/>
  <c r="AX74" i="59"/>
  <c r="BA68" i="90" l="1"/>
  <c r="BA21" i="8"/>
  <c r="AU6" i="49"/>
  <c r="AV1" i="7"/>
  <c r="AV78" i="7" s="1"/>
  <c r="AU1" i="7"/>
  <c r="AU78" i="7" s="1"/>
  <c r="BA6" i="49" l="1"/>
  <c r="BC6" i="49" s="1"/>
  <c r="AU9" i="49"/>
  <c r="AU8" i="49"/>
  <c r="BA8" i="49" s="1"/>
  <c r="BC8" i="49" s="1"/>
  <c r="AU17" i="49"/>
  <c r="BA17" i="49" s="1"/>
  <c r="BC17" i="49" s="1"/>
  <c r="BA9" i="49" l="1"/>
  <c r="BC9" i="49" s="1"/>
  <c r="AU18" i="49"/>
  <c r="BA18" i="49" s="1"/>
  <c r="BC18" i="49" s="1"/>
  <c r="AU10" i="49"/>
  <c r="BA10" i="49" s="1"/>
  <c r="BC10" i="49" s="1"/>
  <c r="AU12" i="49" l="1"/>
  <c r="BA12" i="49" s="1"/>
  <c r="BC12" i="49" s="1"/>
  <c r="AU14" i="49" l="1"/>
  <c r="BA14" i="49" s="1"/>
  <c r="AU15" i="49" l="1"/>
  <c r="BA15" i="49" s="1"/>
  <c r="AU16" i="49" l="1"/>
  <c r="BA16" i="49" s="1"/>
  <c r="AW480" i="28"/>
  <c r="AW479" i="28"/>
  <c r="AV188" i="73"/>
  <c r="AT188" i="73"/>
  <c r="AV133" i="73"/>
  <c r="AT133" i="73"/>
  <c r="AV129" i="73"/>
  <c r="AT129" i="73"/>
  <c r="AV125" i="73"/>
  <c r="AT125" i="73"/>
  <c r="AT117" i="73"/>
  <c r="AV108" i="73"/>
  <c r="AV117" i="73" s="1"/>
  <c r="AT8" i="73"/>
  <c r="AT6" i="73" s="1"/>
  <c r="AX31" i="36"/>
  <c r="AW31" i="36"/>
  <c r="AT136" i="73" l="1"/>
  <c r="AV136" i="73"/>
  <c r="AU19" i="49"/>
  <c r="BA19" i="49" s="1"/>
  <c r="AU20" i="49" l="1"/>
  <c r="AW54" i="36"/>
  <c r="AW53" i="36"/>
  <c r="AW51" i="36"/>
  <c r="AW49" i="36"/>
  <c r="AW48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5" i="15" l="1"/>
  <c r="AZ77" i="59"/>
  <c r="AV6" i="15"/>
  <c r="AZ78" i="59"/>
  <c r="AV7" i="15"/>
  <c r="AZ79" i="59"/>
  <c r="AW13" i="49"/>
  <c r="AZ6" i="59"/>
  <c r="AW50" i="36"/>
  <c r="AV15" i="36" l="1"/>
  <c r="AY53" i="59" l="1"/>
  <c r="AV75" i="8"/>
  <c r="BB103" i="9"/>
  <c r="AJ229" i="28" l="1"/>
  <c r="AP229" i="28" l="1"/>
  <c r="AT229" i="28" l="1"/>
  <c r="BB200" i="10"/>
  <c r="BB153" i="10"/>
  <c r="BB154" i="10"/>
  <c r="BB163" i="10" s="1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W152" i="7"/>
  <c r="AX152" i="7"/>
  <c r="AW153" i="7"/>
  <c r="AX153" i="7"/>
  <c r="AW154" i="7"/>
  <c r="AX154" i="7"/>
  <c r="AX229" i="28" l="1"/>
  <c r="BF229" i="28" s="1"/>
  <c r="BB161" i="10"/>
  <c r="BB201" i="10"/>
  <c r="BB178" i="10"/>
  <c r="BE66" i="59" s="1"/>
  <c r="BB191" i="10"/>
  <c r="BB195" i="10" s="1"/>
  <c r="BB197" i="10"/>
  <c r="BB193" i="10" l="1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BC91" i="73"/>
  <c r="BE91" i="73"/>
  <c r="AS52" i="36" l="1"/>
  <c r="AO52" i="36"/>
  <c r="AI52" i="36"/>
  <c r="AG52" i="36"/>
  <c r="AA52" i="36"/>
  <c r="Y52" i="36"/>
  <c r="M52" i="36"/>
  <c r="E52" i="36"/>
  <c r="AS480" i="28" l="1"/>
  <c r="AS479" i="28"/>
  <c r="BB436" i="28"/>
  <c r="BB432" i="28"/>
  <c r="BA392" i="28"/>
  <c r="BB272" i="28"/>
  <c r="BB271" i="28"/>
  <c r="BA271" i="28"/>
  <c r="BB232" i="28"/>
  <c r="BB463" i="28" s="1"/>
  <c r="BA232" i="28"/>
  <c r="BB82" i="28"/>
  <c r="BB81" i="28"/>
  <c r="BB79" i="28"/>
  <c r="BB75" i="28"/>
  <c r="BB71" i="28"/>
  <c r="BB67" i="28"/>
  <c r="BA54" i="28"/>
  <c r="BA53" i="28"/>
  <c r="BA52" i="28"/>
  <c r="BB47" i="28"/>
  <c r="BB40" i="28"/>
  <c r="BB31" i="28"/>
  <c r="BB30" i="28"/>
  <c r="BB29" i="28"/>
  <c r="BB26" i="28"/>
  <c r="BA21" i="28"/>
  <c r="BB19" i="28"/>
  <c r="BB12" i="28"/>
  <c r="BA7" i="28"/>
  <c r="AT16" i="61"/>
  <c r="AR16" i="61"/>
  <c r="AR16" i="52"/>
  <c r="AQ16" i="52"/>
  <c r="AR9" i="52"/>
  <c r="AQ9" i="52"/>
  <c r="BA96" i="26"/>
  <c r="AZ112" i="26"/>
  <c r="AZ110" i="26"/>
  <c r="AZ108" i="26"/>
  <c r="AZ106" i="26"/>
  <c r="AZ104" i="26"/>
  <c r="AZ102" i="26"/>
  <c r="AZ100" i="26"/>
  <c r="AZ98" i="26"/>
  <c r="AZ87" i="17" s="1"/>
  <c r="AZ80" i="26"/>
  <c r="AZ73" i="26"/>
  <c r="AZ71" i="26"/>
  <c r="AZ69" i="26"/>
  <c r="AZ67" i="26"/>
  <c r="AZ65" i="26"/>
  <c r="AZ63" i="26"/>
  <c r="AZ85" i="17" s="1"/>
  <c r="AZ61" i="26"/>
  <c r="BA192" i="6" s="1"/>
  <c r="AZ59" i="26"/>
  <c r="BA89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4" i="17" s="1"/>
  <c r="AZ27" i="26"/>
  <c r="AZ25" i="26"/>
  <c r="BA88" i="8" s="1"/>
  <c r="AZ23" i="26"/>
  <c r="BA191" i="6" s="1"/>
  <c r="AZ21" i="26"/>
  <c r="BA166" i="6" s="1"/>
  <c r="AZ17" i="26"/>
  <c r="AZ15" i="26"/>
  <c r="AZ11" i="26"/>
  <c r="AZ9" i="26"/>
  <c r="BB464" i="28" l="1"/>
  <c r="BB10" i="22"/>
  <c r="BB12" i="22" s="1"/>
  <c r="BB15" i="22"/>
  <c r="BB24" i="22"/>
  <c r="BB26" i="22" s="1"/>
  <c r="BB468" i="28"/>
  <c r="BB216" i="28"/>
  <c r="BB461" i="28" s="1"/>
  <c r="BB460" i="28"/>
  <c r="BB392" i="28"/>
  <c r="BB471" i="28" s="1"/>
  <c r="BB46" i="28"/>
  <c r="BB278" i="28"/>
  <c r="BB50" i="28"/>
  <c r="BB28" i="28"/>
  <c r="BA272" i="28"/>
  <c r="BA14" i="28"/>
  <c r="AZ114" i="26"/>
  <c r="AZ78" i="26"/>
  <c r="AZ75" i="26"/>
  <c r="AZ57" i="26"/>
  <c r="AZ48" i="26"/>
  <c r="AZ45" i="26"/>
  <c r="AZ12" i="26"/>
  <c r="AZ19" i="26" s="1"/>
  <c r="AR17" i="52"/>
  <c r="BB83" i="28"/>
  <c r="BB84" i="28" s="1"/>
  <c r="BB51" i="28"/>
  <c r="BB60" i="28"/>
  <c r="BB377" i="28"/>
  <c r="BB470" i="28" s="1"/>
  <c r="BA19" i="28"/>
  <c r="BB53" i="28"/>
  <c r="BA12" i="28"/>
  <c r="BB33" i="28"/>
  <c r="BB472" i="28" s="1"/>
  <c r="BB52" i="28"/>
  <c r="BB58" i="28"/>
  <c r="BB430" i="28"/>
  <c r="BB480" i="28" s="1"/>
  <c r="BB447" i="28"/>
  <c r="BB479" i="28" s="1"/>
  <c r="BB59" i="28"/>
  <c r="AQ17" i="52"/>
  <c r="BA7" i="26"/>
  <c r="BA47" i="26"/>
  <c r="BB462" i="28" l="1"/>
  <c r="BB54" i="28"/>
  <c r="BB32" i="28"/>
  <c r="BB469" i="28"/>
  <c r="BB273" i="28"/>
  <c r="BB467" i="28"/>
  <c r="BA377" i="28"/>
  <c r="BA26" i="28"/>
  <c r="AZ83" i="26"/>
  <c r="AZ82" i="26"/>
  <c r="AZ85" i="26"/>
  <c r="AZ86" i="17" s="1"/>
  <c r="AZ50" i="26"/>
  <c r="AZ18" i="26"/>
  <c r="AZ13" i="26"/>
  <c r="BB61" i="28"/>
  <c r="BA58" i="28"/>
  <c r="BA216" i="28"/>
  <c r="BA462" i="28" s="1"/>
  <c r="BB55" i="28" l="1"/>
  <c r="BB56" i="28" s="1"/>
  <c r="BB448" i="28"/>
  <c r="BB466" i="28"/>
  <c r="BB457" i="28"/>
  <c r="BB465" i="28"/>
  <c r="BB458" i="28"/>
  <c r="BA73" i="28"/>
  <c r="BA469" i="28" s="1"/>
  <c r="BA60" i="28"/>
  <c r="BA273" i="28"/>
  <c r="BA69" i="28"/>
  <c r="BA59" i="28"/>
  <c r="BA470" i="28"/>
  <c r="AZ94" i="26"/>
  <c r="AZ51" i="26"/>
  <c r="AZ56" i="26"/>
  <c r="BB62" i="28"/>
  <c r="BA65" i="28"/>
  <c r="BB477" i="28" l="1"/>
  <c r="BB478" i="28"/>
  <c r="BB473" i="28"/>
  <c r="BB452" i="28"/>
  <c r="BB474" i="28"/>
  <c r="BB451" i="28"/>
  <c r="BA468" i="28"/>
  <c r="BA461" i="28"/>
  <c r="BA460" i="28"/>
  <c r="BA464" i="28"/>
  <c r="BA465" i="28"/>
  <c r="BA457" i="28"/>
  <c r="BA458" i="28"/>
  <c r="BA466" i="28"/>
  <c r="BA88" i="17" l="1"/>
  <c r="AZ88" i="17"/>
  <c r="AZ61" i="17"/>
  <c r="BA91" i="17"/>
  <c r="AZ58" i="17"/>
  <c r="AZ57" i="17"/>
  <c r="AZ52" i="17"/>
  <c r="AZ53" i="17" s="1"/>
  <c r="AZ117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45" i="17"/>
  <c r="AZ51" i="17" s="1"/>
  <c r="AZ50" i="17"/>
  <c r="BA52" i="17"/>
  <c r="AZ9" i="17"/>
  <c r="AZ62" i="17"/>
  <c r="AZ60" i="17"/>
  <c r="BA13" i="17"/>
  <c r="BA15" i="17" s="1"/>
  <c r="BA11" i="17"/>
  <c r="AZ16" i="17"/>
  <c r="AZ30" i="17" s="1"/>
  <c r="BA16" i="17"/>
  <c r="BA35" i="17"/>
  <c r="AZ22" i="17"/>
  <c r="AZ35" i="17"/>
  <c r="AZ91" i="17" l="1"/>
  <c r="BA30" i="17"/>
  <c r="BA32" i="17"/>
  <c r="BA34" i="17"/>
  <c r="BA31" i="17"/>
  <c r="AZ116" i="17"/>
  <c r="AZ11" i="17"/>
  <c r="AZ54" i="17"/>
  <c r="AZ114" i="17"/>
  <c r="AZ34" i="17"/>
  <c r="AZ31" i="17"/>
  <c r="AZ32" i="17"/>
  <c r="AZ115" i="17"/>
  <c r="AZ119" i="17" s="1"/>
  <c r="AZ55" i="17"/>
  <c r="BA53" i="17"/>
  <c r="BA117" i="17" s="1"/>
  <c r="BA119" i="17" s="1"/>
  <c r="BA54" i="17"/>
  <c r="BA55" i="17" s="1"/>
  <c r="BA33" i="17"/>
  <c r="AZ33" i="17"/>
  <c r="BA116" i="17"/>
  <c r="BA118" i="17" s="1"/>
  <c r="BA36" i="27"/>
  <c r="BA39" i="27" s="1"/>
  <c r="BA26" i="27"/>
  <c r="BA33" i="27" s="1"/>
  <c r="BA29" i="15"/>
  <c r="BA24" i="15"/>
  <c r="BA23" i="15"/>
  <c r="BA22" i="15"/>
  <c r="BA21" i="15"/>
  <c r="BA20" i="15"/>
  <c r="BA14" i="15"/>
  <c r="AZ118" i="17" l="1"/>
  <c r="BA30" i="15"/>
  <c r="AZ11" i="15"/>
  <c r="BA28" i="15"/>
  <c r="AZ12" i="15" l="1"/>
  <c r="BA31" i="15"/>
  <c r="AZ15" i="15"/>
  <c r="AZ14" i="15"/>
  <c r="BC4" i="61"/>
  <c r="BC13" i="61"/>
  <c r="BC14" i="61"/>
  <c r="BC15" i="61"/>
  <c r="AO42" i="72"/>
  <c r="AY42" i="72" s="1"/>
  <c r="AO34" i="72"/>
  <c r="AY34" i="72" s="1"/>
  <c r="AO14" i="72"/>
  <c r="AY14" i="72" s="1"/>
  <c r="B62" i="9"/>
  <c r="B79" i="9"/>
  <c r="D57" i="59"/>
  <c r="D78" i="9"/>
  <c r="D75" i="9"/>
  <c r="D55" i="9" l="1"/>
  <c r="BA35" i="15"/>
  <c r="BA15" i="15"/>
  <c r="AO44" i="72"/>
  <c r="AO46" i="72" l="1"/>
  <c r="AY44" i="72"/>
  <c r="AY46" i="72" s="1"/>
  <c r="BC16" i="61"/>
  <c r="BA16" i="15"/>
  <c r="BC157" i="45"/>
  <c r="BC143" i="45"/>
  <c r="BB143" i="45"/>
  <c r="BC141" i="45"/>
  <c r="BB141" i="45"/>
  <c r="BC140" i="45"/>
  <c r="BB140" i="45"/>
  <c r="BB137" i="45"/>
  <c r="BB78" i="11"/>
  <c r="BA78" i="11"/>
  <c r="BB76" i="11"/>
  <c r="BA76" i="11"/>
  <c r="BB75" i="11"/>
  <c r="BA75" i="11"/>
  <c r="BA72" i="11"/>
  <c r="BA66" i="11"/>
  <c r="BA67" i="11" s="1"/>
  <c r="BB177" i="10"/>
  <c r="BA177" i="10"/>
  <c r="BB175" i="10"/>
  <c r="BA175" i="10"/>
  <c r="BB174" i="10"/>
  <c r="BA174" i="10"/>
  <c r="BA171" i="10"/>
  <c r="BB66" i="11" l="1"/>
  <c r="BB67" i="11" s="1"/>
  <c r="BB73" i="11"/>
  <c r="BB74" i="11" s="1"/>
  <c r="BA165" i="10"/>
  <c r="BA166" i="10" s="1"/>
  <c r="BB165" i="10"/>
  <c r="BB166" i="10" s="1"/>
  <c r="BB131" i="45"/>
  <c r="BC131" i="45"/>
  <c r="BC138" i="45"/>
  <c r="BC139" i="45" s="1"/>
  <c r="BC162" i="45"/>
  <c r="BB172" i="10"/>
  <c r="BB173" i="10" s="1"/>
  <c r="BB132" i="45" l="1"/>
  <c r="BC132" i="45"/>
  <c r="AV56" i="38" l="1"/>
  <c r="AU92" i="38"/>
  <c r="AU90" i="38"/>
  <c r="AU84" i="38"/>
  <c r="AU68" i="38"/>
  <c r="AU62" i="38"/>
  <c r="AU55" i="38"/>
  <c r="AU53" i="38"/>
  <c r="AV52" i="38"/>
  <c r="AU52" i="38"/>
  <c r="AU47" i="38"/>
  <c r="BE47" i="38" s="1"/>
  <c r="BE96" i="38" s="1"/>
  <c r="AU46" i="38"/>
  <c r="BE46" i="38" s="1"/>
  <c r="BE95" i="38" s="1"/>
  <c r="AU45" i="38"/>
  <c r="BE45" i="38" s="1"/>
  <c r="BE94" i="38" s="1"/>
  <c r="AU44" i="38"/>
  <c r="BE44" i="38" s="1"/>
  <c r="BE93" i="38" s="1"/>
  <c r="AV43" i="38"/>
  <c r="AU42" i="38"/>
  <c r="AV41" i="38"/>
  <c r="BF41" i="38" s="1"/>
  <c r="BF90" i="38" s="1"/>
  <c r="AU39" i="38"/>
  <c r="BE39" i="38" s="1"/>
  <c r="BE88" i="38" s="1"/>
  <c r="AU38" i="38"/>
  <c r="BE38" i="38" s="1"/>
  <c r="BE87" i="38" s="1"/>
  <c r="AU37" i="38"/>
  <c r="BE37" i="38" s="1"/>
  <c r="BE86" i="38" s="1"/>
  <c r="AU36" i="38"/>
  <c r="AV35" i="38"/>
  <c r="BE33" i="38"/>
  <c r="BE32" i="38"/>
  <c r="BE31" i="38"/>
  <c r="BE30" i="38"/>
  <c r="BE29" i="38"/>
  <c r="BE25" i="38"/>
  <c r="BE21" i="38"/>
  <c r="AV19" i="38"/>
  <c r="BF19" i="38" s="1"/>
  <c r="BF68" i="38" s="1"/>
  <c r="BE15" i="38"/>
  <c r="BE64" i="38" s="1"/>
  <c r="BE14" i="38"/>
  <c r="BE63" i="38" s="1"/>
  <c r="AV13" i="38"/>
  <c r="BF13" i="38" s="1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AQ167" i="6"/>
  <c r="AQ168" i="6" s="1"/>
  <c r="BE24" i="38"/>
  <c r="BA99" i="9" s="1"/>
  <c r="AQ99" i="9"/>
  <c r="AQ100" i="9" s="1"/>
  <c r="BE26" i="38"/>
  <c r="BE75" i="38" s="1"/>
  <c r="AQ172" i="10"/>
  <c r="AQ173" i="10" s="1"/>
  <c r="BE23" i="38"/>
  <c r="BA91" i="8" s="1"/>
  <c r="AQ91" i="8"/>
  <c r="AQ92" i="8" s="1"/>
  <c r="BE20" i="38"/>
  <c r="BE69" i="38" s="1"/>
  <c r="AQ193" i="6"/>
  <c r="AQ194" i="6" s="1"/>
  <c r="BE27" i="38"/>
  <c r="BE76" i="38" s="1"/>
  <c r="AQ73" i="11"/>
  <c r="AQ74" i="11" s="1"/>
  <c r="BE22" i="38"/>
  <c r="BE71" i="38" s="1"/>
  <c r="AQ82" i="7"/>
  <c r="AQ83" i="7" s="1"/>
  <c r="AT36" i="59" s="1"/>
  <c r="BE28" i="38"/>
  <c r="BE77" i="38" s="1"/>
  <c r="AR138" i="45"/>
  <c r="AR139" i="45" s="1"/>
  <c r="AU41" i="38"/>
  <c r="BE41" i="38" s="1"/>
  <c r="BE90" i="38" s="1"/>
  <c r="BE42" i="38"/>
  <c r="BE91" i="38" s="1"/>
  <c r="BE60" i="38"/>
  <c r="BE82" i="38"/>
  <c r="BE78" i="38"/>
  <c r="BE70" i="38"/>
  <c r="BE79" i="38"/>
  <c r="BE74" i="38"/>
  <c r="BE80" i="38"/>
  <c r="BE81" i="38"/>
  <c r="AV92" i="38"/>
  <c r="BF43" i="38"/>
  <c r="BF92" i="38" s="1"/>
  <c r="AV84" i="38"/>
  <c r="BF35" i="38"/>
  <c r="BF84" i="38" s="1"/>
  <c r="AV68" i="38"/>
  <c r="AV62" i="38"/>
  <c r="AU89" i="38"/>
  <c r="AU65" i="38"/>
  <c r="AV90" i="38"/>
  <c r="AV16" i="38"/>
  <c r="AU35" i="38"/>
  <c r="AU67" i="38"/>
  <c r="BE6" i="38"/>
  <c r="BE19" i="38"/>
  <c r="AU43" i="38"/>
  <c r="BE43" i="38" s="1"/>
  <c r="BE92" i="38" s="1"/>
  <c r="BE62" i="38"/>
  <c r="AV18" i="38"/>
  <c r="AV40" i="38"/>
  <c r="BF40" i="38" s="1"/>
  <c r="BF89" i="38" s="1"/>
  <c r="AV55" i="38"/>
  <c r="BA167" i="6" l="1"/>
  <c r="BA193" i="6"/>
  <c r="BE35" i="38"/>
  <c r="BE84" i="38" s="1"/>
  <c r="AU18" i="38"/>
  <c r="BE18" i="38" s="1"/>
  <c r="BE73" i="38"/>
  <c r="BE72" i="38"/>
  <c r="BF18" i="38"/>
  <c r="BB25" i="36" s="1"/>
  <c r="BE76" i="59" s="1"/>
  <c r="AR26" i="36"/>
  <c r="AR25" i="36"/>
  <c r="AU76" i="59" s="1"/>
  <c r="BA73" i="11"/>
  <c r="BA74" i="11" s="1"/>
  <c r="BB138" i="45"/>
  <c r="BB139" i="45" s="1"/>
  <c r="BA172" i="10"/>
  <c r="BA173" i="10" s="1"/>
  <c r="BE55" i="38"/>
  <c r="BE68" i="38"/>
  <c r="AV65" i="38"/>
  <c r="BF16" i="38"/>
  <c r="AU66" i="38"/>
  <c r="AU98" i="38" s="1"/>
  <c r="BE16" i="38"/>
  <c r="AU40" i="38"/>
  <c r="BE40" i="38" s="1"/>
  <c r="BE89" i="38" s="1"/>
  <c r="AV67" i="38"/>
  <c r="AV17" i="38"/>
  <c r="BF17" i="38" s="1"/>
  <c r="BF66" i="38" s="1"/>
  <c r="AV89" i="38"/>
  <c r="AV49" i="38" l="1"/>
  <c r="BF67" i="38"/>
  <c r="AU17" i="38"/>
  <c r="AU49" i="38" s="1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66" i="38"/>
  <c r="AV98" i="38" s="1"/>
  <c r="BE49" i="38" l="1"/>
  <c r="BE98" i="38"/>
  <c r="BA101" i="9"/>
  <c r="BB98" i="9"/>
  <c r="BA98" i="9"/>
  <c r="BB97" i="9"/>
  <c r="BA97" i="9"/>
  <c r="BB60" i="9"/>
  <c r="BB57" i="9"/>
  <c r="BB74" i="9" s="1"/>
  <c r="BA51" i="9"/>
  <c r="BA47" i="9"/>
  <c r="BA24" i="9"/>
  <c r="BB19" i="9"/>
  <c r="BA13" i="8"/>
  <c r="BB94" i="8"/>
  <c r="BA81" i="8"/>
  <c r="BD45" i="59" s="1"/>
  <c r="BB61" i="8"/>
  <c r="BB21" i="8"/>
  <c r="BB17" i="8"/>
  <c r="BA17" i="8"/>
  <c r="BB15" i="8"/>
  <c r="BA15" i="8"/>
  <c r="BB14" i="8"/>
  <c r="BA14" i="8"/>
  <c r="BB13" i="8"/>
  <c r="AS81" i="8"/>
  <c r="AS73" i="8"/>
  <c r="AS52" i="8"/>
  <c r="AV42" i="59" s="1"/>
  <c r="BB49" i="8" l="1"/>
  <c r="BB14" i="36"/>
  <c r="BE41" i="59" s="1"/>
  <c r="BB50" i="8"/>
  <c r="BA16" i="8"/>
  <c r="BA30" i="8"/>
  <c r="BA6" i="8"/>
  <c r="BA84" i="8" s="1"/>
  <c r="BD51" i="59" s="1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4" i="8"/>
  <c r="BB55" i="8" s="1"/>
  <c r="BB67" i="8"/>
  <c r="BB66" i="8"/>
  <c r="BB59" i="8"/>
  <c r="BB58" i="8"/>
  <c r="BB54" i="8" s="1"/>
  <c r="BB36" i="8"/>
  <c r="BB68" i="8"/>
  <c r="BB57" i="8" s="1"/>
  <c r="BA100" i="9"/>
  <c r="BB100" i="9"/>
  <c r="BA68" i="9"/>
  <c r="BA56" i="9"/>
  <c r="BA95" i="9"/>
  <c r="BA85" i="8"/>
  <c r="BA63" i="9"/>
  <c r="BA69" i="9"/>
  <c r="BA31" i="8"/>
  <c r="BA58" i="9"/>
  <c r="BA64" i="9"/>
  <c r="BA92" i="9"/>
  <c r="BB48" i="9"/>
  <c r="BA59" i="9"/>
  <c r="BA67" i="9"/>
  <c r="BA55" i="9"/>
  <c r="BA61" i="9"/>
  <c r="BB62" i="8"/>
  <c r="BB62" i="9"/>
  <c r="BB14" i="9"/>
  <c r="BA65" i="9"/>
  <c r="BA27" i="9"/>
  <c r="BA66" i="9"/>
  <c r="BA27" i="8"/>
  <c r="BA28" i="8"/>
  <c r="BA24" i="8"/>
  <c r="BA29" i="8"/>
  <c r="BA23" i="8"/>
  <c r="BA25" i="8"/>
  <c r="BA2" i="17" l="1"/>
  <c r="BA2" i="26"/>
  <c r="BA83" i="8"/>
  <c r="BD50" i="59" s="1"/>
  <c r="BA86" i="8"/>
  <c r="BA45" i="8"/>
  <c r="BB37" i="8"/>
  <c r="BA67" i="8"/>
  <c r="BA6" i="26"/>
  <c r="BB78" i="8"/>
  <c r="BA44" i="8"/>
  <c r="BD48" i="59" s="1"/>
  <c r="BA47" i="8"/>
  <c r="BA14" i="36"/>
  <c r="BD41" i="59" s="1"/>
  <c r="BA50" i="8"/>
  <c r="BA49" i="8"/>
  <c r="BA82" i="8"/>
  <c r="BD52" i="59" s="1"/>
  <c r="BA10" i="36"/>
  <c r="BD37" i="59" s="1"/>
  <c r="BA39" i="8"/>
  <c r="BA26" i="8"/>
  <c r="BA90" i="8"/>
  <c r="BA12" i="36"/>
  <c r="BD39" i="59" s="1"/>
  <c r="BA41" i="8"/>
  <c r="BA43" i="8"/>
  <c r="BD46" i="59" s="1"/>
  <c r="BA109" i="8"/>
  <c r="BA111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A82" i="9"/>
  <c r="BD62" i="59" s="1"/>
  <c r="BA96" i="9"/>
  <c r="BA81" i="9"/>
  <c r="BA78" i="9"/>
  <c r="BA84" i="9"/>
  <c r="BA73" i="9"/>
  <c r="BA72" i="9"/>
  <c r="BB79" i="9"/>
  <c r="BA85" i="9"/>
  <c r="BB47" i="9"/>
  <c r="BA93" i="9"/>
  <c r="BA94" i="9"/>
  <c r="BD59" i="59"/>
  <c r="BB69" i="8"/>
  <c r="BB65" i="8"/>
  <c r="BA57" i="9"/>
  <c r="BA74" i="9" s="1"/>
  <c r="BA21" i="22"/>
  <c r="BA78" i="8" l="1"/>
  <c r="AZ2" i="17"/>
  <c r="AZ2" i="26"/>
  <c r="BA37" i="8"/>
  <c r="BB63" i="8"/>
  <c r="BB70" i="8" s="1"/>
  <c r="BB35" i="8"/>
  <c r="BD49" i="59"/>
  <c r="BA52" i="8"/>
  <c r="BD42" i="59" s="1"/>
  <c r="BA59" i="8"/>
  <c r="BA34" i="8"/>
  <c r="BA65" i="8"/>
  <c r="BA36" i="8"/>
  <c r="BA69" i="8"/>
  <c r="BA74" i="8" s="1"/>
  <c r="BA110" i="8"/>
  <c r="BA112" i="8" s="1"/>
  <c r="BA53" i="8" s="1"/>
  <c r="BD43" i="59" s="1"/>
  <c r="BA42" i="8"/>
  <c r="AZ18" i="15"/>
  <c r="BD18" i="15"/>
  <c r="BA62" i="9"/>
  <c r="BA60" i="9"/>
  <c r="BB49" i="9"/>
  <c r="BA88" i="9"/>
  <c r="BA52" i="9"/>
  <c r="BB24" i="36"/>
  <c r="BA7" i="22"/>
  <c r="BA15" i="22" s="1"/>
  <c r="BA24" i="36"/>
  <c r="BB74" i="8"/>
  <c r="BB72" i="8"/>
  <c r="BB56" i="8"/>
  <c r="BB73" i="8" s="1"/>
  <c r="BB71" i="8" l="1"/>
  <c r="BD44" i="59"/>
  <c r="BA35" i="8"/>
  <c r="BA63" i="8"/>
  <c r="BA71" i="8" s="1"/>
  <c r="BA72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A7" i="9"/>
  <c r="BD58" i="59"/>
  <c r="BA79" i="9"/>
  <c r="BA8" i="22"/>
  <c r="BA22" i="22"/>
  <c r="BA23" i="22" s="1"/>
  <c r="BA9" i="22" l="1"/>
  <c r="BA24" i="22"/>
  <c r="BA10" i="22"/>
  <c r="AS113" i="7"/>
  <c r="AS112" i="7"/>
  <c r="AS111" i="7"/>
  <c r="AS110" i="7"/>
  <c r="AS109" i="7"/>
  <c r="AS108" i="7"/>
  <c r="AS107" i="7"/>
  <c r="AS106" i="7"/>
  <c r="AS91" i="7"/>
  <c r="AS85" i="7"/>
  <c r="BB84" i="7"/>
  <c r="BA84" i="7"/>
  <c r="BB82" i="7"/>
  <c r="BA82" i="7"/>
  <c r="BB39" i="7"/>
  <c r="BA39" i="7"/>
  <c r="BA49" i="7" s="1"/>
  <c r="AR1" i="7"/>
  <c r="AQ1" i="7"/>
  <c r="BA1" i="7" l="1"/>
  <c r="BA78" i="7" s="1"/>
  <c r="AQ78" i="7"/>
  <c r="BB1" i="7"/>
  <c r="BB78" i="7" s="1"/>
  <c r="AR78" i="7"/>
  <c r="BA69" i="7"/>
  <c r="BA71" i="7" s="1"/>
  <c r="BB112" i="7"/>
  <c r="BB107" i="7"/>
  <c r="BB111" i="7"/>
  <c r="BB109" i="7"/>
  <c r="BB113" i="7"/>
  <c r="BB106" i="7"/>
  <c r="BB85" i="7"/>
  <c r="BB110" i="7"/>
  <c r="BB108" i="7"/>
  <c r="BB69" i="7"/>
  <c r="BB71" i="7" s="1"/>
  <c r="BB49" i="7"/>
  <c r="BA13" i="22"/>
  <c r="BA11" i="22"/>
  <c r="BA27" i="22"/>
  <c r="BA25" i="22"/>
  <c r="BB83" i="7"/>
  <c r="BE36" i="59" s="1"/>
  <c r="BA83" i="7"/>
  <c r="BD36" i="59" s="1"/>
  <c r="BA66" i="7"/>
  <c r="BA67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30" i="6"/>
  <c r="BA24" i="6"/>
  <c r="BA27" i="6"/>
  <c r="BA18" i="6"/>
  <c r="BA195" i="6" s="1"/>
  <c r="BA163" i="6"/>
  <c r="AS18" i="73"/>
  <c r="AW18" i="73" s="1"/>
  <c r="AR188" i="73"/>
  <c r="AP188" i="73"/>
  <c r="AR133" i="73"/>
  <c r="AP133" i="73"/>
  <c r="AR129" i="73"/>
  <c r="AP129" i="73"/>
  <c r="AR125" i="73"/>
  <c r="AP125" i="73"/>
  <c r="AP117" i="73"/>
  <c r="AR108" i="73"/>
  <c r="AR117" i="73" s="1"/>
  <c r="AP8" i="73"/>
  <c r="AP6" i="73" s="1"/>
  <c r="AR136" i="73" l="1"/>
  <c r="AP136" i="73"/>
  <c r="BB208" i="6"/>
  <c r="BB207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18" i="73"/>
  <c r="BA11" i="15"/>
  <c r="AS31" i="36"/>
  <c r="AT31" i="36"/>
  <c r="AS54" i="36"/>
  <c r="AS53" i="36"/>
  <c r="AS51" i="36"/>
  <c r="AS49" i="36"/>
  <c r="AS48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5" i="8"/>
  <c r="BA12" i="15"/>
  <c r="BA13" i="15" s="1"/>
  <c r="AS13" i="49"/>
  <c r="AV6" i="59"/>
  <c r="AR6" i="15"/>
  <c r="AV78" i="59"/>
  <c r="AR5" i="15"/>
  <c r="AV77" i="59"/>
  <c r="AR7" i="15"/>
  <c r="AV79" i="59"/>
  <c r="AS50" i="36"/>
  <c r="BA27" i="21"/>
  <c r="BB18" i="21"/>
  <c r="BB15" i="21"/>
  <c r="BD15" i="59" l="1"/>
  <c r="BA149" i="6"/>
  <c r="BB9" i="36"/>
  <c r="BE10" i="59" s="1"/>
  <c r="AR15" i="36"/>
  <c r="AR75" i="8" s="1"/>
  <c r="BB20" i="21"/>
  <c r="BA19" i="9"/>
  <c r="BA15" i="21"/>
  <c r="AU53" i="59" l="1"/>
  <c r="BA90" i="9"/>
  <c r="BA91" i="9" s="1"/>
  <c r="BA41" i="35"/>
  <c r="BB6" i="6"/>
  <c r="BB16" i="6" s="1"/>
  <c r="BB5" i="6"/>
  <c r="BA9" i="35" l="1"/>
  <c r="BA8" i="6" s="1"/>
  <c r="BB7" i="6"/>
  <c r="BB15" i="6"/>
  <c r="BB8" i="35"/>
  <c r="BA14" i="35"/>
  <c r="BA10" i="35"/>
  <c r="BA9" i="6" s="1"/>
  <c r="BA42" i="35"/>
  <c r="BA39" i="35"/>
  <c r="BA26" i="21" l="1"/>
  <c r="BA28" i="21" s="1"/>
  <c r="BB60" i="6"/>
  <c r="BE16" i="59" s="1"/>
  <c r="BE12" i="59"/>
  <c r="BB61" i="6"/>
  <c r="BE23" i="59" s="1"/>
  <c r="BA49" i="35"/>
  <c r="BA55" i="35" s="1"/>
  <c r="BA11" i="35"/>
  <c r="BA10" i="6" s="1"/>
  <c r="BA13" i="35"/>
  <c r="BA28" i="28"/>
  <c r="BB17" i="6" l="1"/>
  <c r="BB169" i="6" s="1"/>
  <c r="BB18" i="6"/>
  <c r="BB195" i="6" s="1"/>
  <c r="BA15" i="35"/>
  <c r="BA33" i="28"/>
  <c r="BB189" i="6" l="1"/>
  <c r="BB164" i="6"/>
  <c r="BB19" i="6"/>
  <c r="BB82" i="6"/>
  <c r="BB83" i="6"/>
  <c r="BB85" i="6"/>
  <c r="BB79" i="6"/>
  <c r="BB80" i="6"/>
  <c r="BA50" i="28"/>
  <c r="BA61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48" i="28"/>
  <c r="BA55" i="28"/>
  <c r="BA77" i="28"/>
  <c r="BB147" i="6" l="1"/>
  <c r="BB150" i="6"/>
  <c r="BB148" i="6"/>
  <c r="BB41" i="6"/>
  <c r="BA477" i="28"/>
  <c r="BA451" i="28"/>
  <c r="BA452" i="28"/>
  <c r="BA474" i="28"/>
  <c r="BA473" i="28"/>
  <c r="BA472" i="28"/>
  <c r="BA62" i="28"/>
  <c r="BA81" i="28"/>
  <c r="BE15" i="59" l="1"/>
  <c r="BB149" i="6"/>
  <c r="BA478" i="28"/>
  <c r="BB7" i="36" l="1"/>
  <c r="BE8" i="59" s="1"/>
  <c r="AI12" i="73"/>
  <c r="AI15" i="73"/>
  <c r="AI17" i="73"/>
  <c r="AI16" i="73" s="1"/>
  <c r="AI19" i="73"/>
  <c r="AM48" i="17" l="1"/>
  <c r="BC48" i="17" s="1"/>
  <c r="AM112" i="17"/>
  <c r="BC112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89" i="17"/>
  <c r="BC89" i="17" s="1"/>
  <c r="AL89" i="17"/>
  <c r="BB89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AL68" i="17" s="1"/>
  <c r="BC59" i="17" l="1"/>
  <c r="AM12" i="17"/>
  <c r="BC8" i="17"/>
  <c r="AL81" i="17"/>
  <c r="BB3" i="17"/>
  <c r="BB68" i="17" s="1"/>
  <c r="BC62" i="17"/>
  <c r="AM65" i="17"/>
  <c r="BC3" i="17"/>
  <c r="BC47" i="17" s="1"/>
  <c r="BC22" i="17"/>
  <c r="BC49" i="17"/>
  <c r="AM41" i="17"/>
  <c r="AL66" i="17"/>
  <c r="AL13" i="17"/>
  <c r="AM71" i="17"/>
  <c r="AM77" i="17"/>
  <c r="AL82" i="17"/>
  <c r="AL78" i="17"/>
  <c r="AM82" i="17"/>
  <c r="AM49" i="17"/>
  <c r="AM43" i="17"/>
  <c r="AM66" i="17"/>
  <c r="AL75" i="17"/>
  <c r="AM78" i="17"/>
  <c r="BC78" i="17" s="1"/>
  <c r="AL14" i="17"/>
  <c r="AM47" i="17"/>
  <c r="AL71" i="17"/>
  <c r="AM75" i="17"/>
  <c r="AM81" i="17"/>
  <c r="AM59" i="17"/>
  <c r="AM60" i="17" s="1"/>
  <c r="AM44" i="17"/>
  <c r="AM22" i="17"/>
  <c r="AL72" i="17"/>
  <c r="AL65" i="17"/>
  <c r="AM68" i="17"/>
  <c r="AM72" i="17"/>
  <c r="AM76" i="17"/>
  <c r="AL76" i="17"/>
  <c r="BB76" i="17" s="1"/>
  <c r="AM39" i="17"/>
  <c r="AL73" i="17"/>
  <c r="AL77" i="17"/>
  <c r="BB82" i="17" l="1"/>
  <c r="BB14" i="17"/>
  <c r="BB78" i="17"/>
  <c r="BB77" i="17"/>
  <c r="BB72" i="17"/>
  <c r="BB73" i="17"/>
  <c r="AM74" i="17"/>
  <c r="AM79" i="17" s="1"/>
  <c r="BB71" i="17"/>
  <c r="BB74" i="17" s="1"/>
  <c r="AL74" i="17"/>
  <c r="BC75" i="17"/>
  <c r="AM83" i="17"/>
  <c r="BB13" i="17"/>
  <c r="BC77" i="17"/>
  <c r="BC76" i="17"/>
  <c r="BB66" i="17"/>
  <c r="BB15" i="17"/>
  <c r="AM67" i="17"/>
  <c r="AM69" i="17" s="1"/>
  <c r="AL83" i="17"/>
  <c r="AL15" i="17"/>
  <c r="BC39" i="17"/>
  <c r="AM50" i="17"/>
  <c r="AM114" i="17" s="1"/>
  <c r="BC44" i="17"/>
  <c r="AM62" i="17"/>
  <c r="BC82" i="17"/>
  <c r="BC43" i="17"/>
  <c r="BC65" i="17"/>
  <c r="BC12" i="17"/>
  <c r="BC68" i="17"/>
  <c r="BC66" i="17"/>
  <c r="BB75" i="17"/>
  <c r="BC72" i="17"/>
  <c r="BC71" i="17"/>
  <c r="BC74" i="17" s="1"/>
  <c r="BC41" i="17"/>
  <c r="AL67" i="17"/>
  <c r="AL69" i="17" s="1"/>
  <c r="BB65" i="17"/>
  <c r="BC81" i="17"/>
  <c r="BC73" i="17"/>
  <c r="BC60" i="17"/>
  <c r="BB81" i="17"/>
  <c r="BB83" i="17" s="1"/>
  <c r="AM45" i="17"/>
  <c r="AL79" i="17"/>
  <c r="BB79" i="17" l="1"/>
  <c r="BB67" i="17"/>
  <c r="BB69" i="17" s="1"/>
  <c r="AM51" i="17"/>
  <c r="AM115" i="17" s="1"/>
  <c r="BC83" i="17"/>
  <c r="BC67" i="17"/>
  <c r="BC69" i="17" s="1"/>
  <c r="BC45" i="17"/>
  <c r="BC50" i="17"/>
  <c r="BC79" i="17"/>
  <c r="BC51" i="17" l="1"/>
  <c r="BC115" i="17" s="1"/>
  <c r="BC114" i="17"/>
  <c r="AT260" i="28" l="1"/>
  <c r="AX260" i="28" l="1"/>
  <c r="BF260" i="28" s="1"/>
  <c r="BC201" i="73"/>
  <c r="AI201" i="73"/>
  <c r="AO201" i="73" s="1"/>
  <c r="BC74" i="73"/>
  <c r="BE74" i="73"/>
  <c r="AS201" i="73" l="1"/>
  <c r="AW201" i="73" s="1"/>
  <c r="BE201" i="73" s="1"/>
  <c r="AN16" i="61"/>
  <c r="AP16" i="61"/>
  <c r="AL16" i="61"/>
  <c r="AN15" i="52"/>
  <c r="BD15" i="52" s="1"/>
  <c r="AM15" i="52"/>
  <c r="BC15" i="52" s="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8" i="52"/>
  <c r="BD8" i="52" s="1"/>
  <c r="AM8" i="52"/>
  <c r="BC8" i="52" s="1"/>
  <c r="AN6" i="52"/>
  <c r="BD6" i="52" s="1"/>
  <c r="AM6" i="52"/>
  <c r="BC6" i="52" s="1"/>
  <c r="AN5" i="52"/>
  <c r="BD5" i="52" s="1"/>
  <c r="AM5" i="52"/>
  <c r="BC5" i="52" s="1"/>
  <c r="AL16" i="52"/>
  <c r="AK16" i="52"/>
  <c r="AL9" i="52"/>
  <c r="AK9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AL6" i="27"/>
  <c r="BB6" i="27" s="1"/>
  <c r="AM2" i="27"/>
  <c r="BC2" i="27" s="1"/>
  <c r="AL2" i="27"/>
  <c r="BC9" i="52" l="1"/>
  <c r="BC16" i="52"/>
  <c r="BD9" i="52"/>
  <c r="BD16" i="52"/>
  <c r="BD17" i="52" s="1"/>
  <c r="AL37" i="27"/>
  <c r="BB2" i="27"/>
  <c r="AL36" i="27"/>
  <c r="AL18" i="27"/>
  <c r="AL21" i="27"/>
  <c r="AL27" i="27"/>
  <c r="AL30" i="27"/>
  <c r="AL31" i="27"/>
  <c r="AL35" i="27"/>
  <c r="AL28" i="27"/>
  <c r="AM31" i="27"/>
  <c r="BC31" i="27" s="1"/>
  <c r="AK17" i="52"/>
  <c r="AN9" i="52"/>
  <c r="AM16" i="52"/>
  <c r="AN16" i="52"/>
  <c r="AL17" i="52"/>
  <c r="AM9" i="52"/>
  <c r="AL19" i="27"/>
  <c r="AL22" i="27"/>
  <c r="BB22" i="27" s="1"/>
  <c r="AL26" i="27"/>
  <c r="BB26" i="27" s="1"/>
  <c r="AL29" i="27"/>
  <c r="AM22" i="27"/>
  <c r="BC22" i="27" s="1"/>
  <c r="BB31" i="27" l="1"/>
  <c r="BB30" i="27"/>
  <c r="BB27" i="27"/>
  <c r="BB37" i="27"/>
  <c r="BB39" i="27" s="1"/>
  <c r="BB28" i="27"/>
  <c r="BB18" i="27"/>
  <c r="BB19" i="27"/>
  <c r="BB29" i="27"/>
  <c r="BB33" i="27" s="1"/>
  <c r="BB35" i="27"/>
  <c r="BB36" i="27"/>
  <c r="BC17" i="52"/>
  <c r="AL39" i="27"/>
  <c r="BB21" i="27"/>
  <c r="AN17" i="52"/>
  <c r="AM17" i="52"/>
  <c r="AL33" i="27"/>
  <c r="AN27" i="22" l="1"/>
  <c r="BD27" i="22" s="1"/>
  <c r="AN25" i="22"/>
  <c r="AN22" i="22"/>
  <c r="BD22" i="22" s="1"/>
  <c r="AN21" i="22"/>
  <c r="BD21" i="22" s="1"/>
  <c r="AN13" i="22"/>
  <c r="BD13" i="22" s="1"/>
  <c r="AN11" i="22"/>
  <c r="AN8" i="22"/>
  <c r="BD8" i="22" s="1"/>
  <c r="AN7" i="22"/>
  <c r="BD7" i="22" s="1"/>
  <c r="AN3" i="22"/>
  <c r="BD3" i="22" s="1"/>
  <c r="AM3" i="22"/>
  <c r="BC3" i="22" s="1"/>
  <c r="BD23" i="22" l="1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2" i="26"/>
  <c r="BC112" i="26" s="1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3" i="26"/>
  <c r="BC93" i="26" s="1"/>
  <c r="AL93" i="26"/>
  <c r="BB93" i="26" s="1"/>
  <c r="AM91" i="26"/>
  <c r="BC91" i="26" s="1"/>
  <c r="AM89" i="26"/>
  <c r="BC89" i="26" s="1"/>
  <c r="AM87" i="26"/>
  <c r="BC87" i="26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1" i="15"/>
  <c r="BE142" i="45" l="1"/>
  <c r="BC77" i="11"/>
  <c r="BD142" i="45"/>
  <c r="BC176" i="10"/>
  <c r="BD77" i="11"/>
  <c r="BD176" i="10"/>
  <c r="BD19" i="22"/>
  <c r="BD31" i="22"/>
  <c r="BC84" i="17"/>
  <c r="BC87" i="17"/>
  <c r="BC85" i="17"/>
  <c r="BC83" i="26"/>
  <c r="BC86" i="17"/>
  <c r="BC94" i="26"/>
  <c r="BD16" i="22"/>
  <c r="BD18" i="22"/>
  <c r="BD30" i="22"/>
  <c r="BD17" i="22"/>
  <c r="BD28" i="22"/>
  <c r="BD14" i="22"/>
  <c r="BC82" i="26"/>
  <c r="BC114" i="26"/>
  <c r="BC75" i="26"/>
  <c r="AM50" i="26"/>
  <c r="AM51" i="26" s="1"/>
  <c r="BC48" i="26"/>
  <c r="BC50" i="26" s="1"/>
  <c r="BC45" i="26"/>
  <c r="AM12" i="26"/>
  <c r="AM19" i="26" s="1"/>
  <c r="BC9" i="26"/>
  <c r="BC12" i="26" s="1"/>
  <c r="AM82" i="26"/>
  <c r="AM87" i="17"/>
  <c r="AM83" i="26"/>
  <c r="AM86" i="17"/>
  <c r="AM77" i="26"/>
  <c r="BC77" i="26" s="1"/>
  <c r="AM85" i="17"/>
  <c r="AM84" i="17"/>
  <c r="AM114" i="26"/>
  <c r="AM94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1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AP55" i="38" l="1"/>
  <c r="AP16" i="38"/>
  <c r="AM13" i="26"/>
  <c r="AM18" i="26"/>
  <c r="BH7" i="38"/>
  <c r="BH25" i="38"/>
  <c r="BH29" i="38"/>
  <c r="BH33" i="38"/>
  <c r="BH8" i="38"/>
  <c r="BH14" i="38"/>
  <c r="BH22" i="38"/>
  <c r="BH26" i="38"/>
  <c r="BH30" i="38"/>
  <c r="BD167" i="6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H24" i="38"/>
  <c r="BD99" i="9" s="1"/>
  <c r="BH28" i="38"/>
  <c r="BH32" i="38"/>
  <c r="AM56" i="26"/>
  <c r="BC51" i="26"/>
  <c r="BC56" i="26"/>
  <c r="BC13" i="26"/>
  <c r="BC19" i="26"/>
  <c r="BC18" i="26"/>
  <c r="AN91" i="8"/>
  <c r="AO16" i="38"/>
  <c r="AO49" i="38" s="1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BA7" i="72" s="1"/>
  <c r="AI42" i="72"/>
  <c r="AI34" i="72"/>
  <c r="AI14" i="72"/>
  <c r="AP65" i="38" l="1"/>
  <c r="AP98" i="38" s="1"/>
  <c r="AP49" i="38"/>
  <c r="BH77" i="38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M16" i="61"/>
  <c r="AI44" i="72"/>
  <c r="AI46" i="72" s="1"/>
  <c r="BD49" i="11" l="1"/>
  <c r="AT49" i="11"/>
  <c r="BD21" i="11"/>
  <c r="AT21" i="11"/>
  <c r="BD32" i="11"/>
  <c r="AT32" i="11"/>
  <c r="AX21" i="11" l="1"/>
  <c r="BF21" i="11" s="1"/>
  <c r="AX32" i="11"/>
  <c r="BF32" i="11" s="1"/>
  <c r="AX49" i="11"/>
  <c r="BF49" i="11" s="1"/>
  <c r="AO152" i="45" l="1"/>
  <c r="BE152" i="45" s="1"/>
  <c r="AO151" i="45"/>
  <c r="AO147" i="45"/>
  <c r="BE147" i="45" s="1"/>
  <c r="AO146" i="45"/>
  <c r="BE146" i="45" s="1"/>
  <c r="AO135" i="45"/>
  <c r="BE135" i="45" s="1"/>
  <c r="AN135" i="45"/>
  <c r="BD135" i="45" s="1"/>
  <c r="AO133" i="45"/>
  <c r="BE133" i="45" s="1"/>
  <c r="AN133" i="45"/>
  <c r="BD133" i="45" s="1"/>
  <c r="AO8" i="45"/>
  <c r="AO171" i="45" s="1"/>
  <c r="AO177" i="45" s="1"/>
  <c r="AO7" i="45"/>
  <c r="AN7" i="45"/>
  <c r="BD7" i="45" s="1"/>
  <c r="AO2" i="45"/>
  <c r="AN2" i="45"/>
  <c r="AN86" i="11"/>
  <c r="AN82" i="11"/>
  <c r="BD82" i="11" s="1"/>
  <c r="AN81" i="11"/>
  <c r="AN70" i="11"/>
  <c r="BD70" i="11" s="1"/>
  <c r="AM70" i="11"/>
  <c r="BC70" i="11" s="1"/>
  <c r="AN68" i="11"/>
  <c r="BD68" i="11" s="1"/>
  <c r="AM68" i="11"/>
  <c r="BC68" i="11" s="1"/>
  <c r="BD54" i="11"/>
  <c r="BD52" i="11"/>
  <c r="BD51" i="11"/>
  <c r="BD50" i="11"/>
  <c r="BD48" i="11"/>
  <c r="BD47" i="11"/>
  <c r="BD46" i="11"/>
  <c r="BD45" i="11"/>
  <c r="AN44" i="11"/>
  <c r="BD44" i="11" s="1"/>
  <c r="BD42" i="11"/>
  <c r="BD41" i="11"/>
  <c r="BD40" i="11"/>
  <c r="BD39" i="11"/>
  <c r="BD38" i="11"/>
  <c r="BD37" i="11"/>
  <c r="BD36" i="11"/>
  <c r="BD35" i="11"/>
  <c r="BD34" i="11"/>
  <c r="BD33" i="11"/>
  <c r="BD31" i="11"/>
  <c r="BD30" i="11"/>
  <c r="BD29" i="11"/>
  <c r="BD28" i="11"/>
  <c r="BD27" i="11"/>
  <c r="BD26" i="11"/>
  <c r="BD25" i="11"/>
  <c r="BD24" i="11"/>
  <c r="BD23" i="11"/>
  <c r="BD22" i="11"/>
  <c r="BD20" i="11"/>
  <c r="BD18" i="11"/>
  <c r="BD16" i="11"/>
  <c r="BD15" i="11"/>
  <c r="BD14" i="11"/>
  <c r="BD13" i="11"/>
  <c r="BD12" i="11"/>
  <c r="BD11" i="11"/>
  <c r="BD9" i="11"/>
  <c r="BD8" i="11"/>
  <c r="AN7" i="11"/>
  <c r="BD7" i="11" s="1"/>
  <c r="AN5" i="11"/>
  <c r="AM5" i="11"/>
  <c r="BC5" i="11" s="1"/>
  <c r="AN2" i="11"/>
  <c r="AM2" i="11"/>
  <c r="AN185" i="10"/>
  <c r="AN181" i="10"/>
  <c r="BD181" i="10" s="1"/>
  <c r="AN180" i="10"/>
  <c r="BD180" i="10" s="1"/>
  <c r="AN169" i="10"/>
  <c r="BD169" i="10" s="1"/>
  <c r="AM169" i="10"/>
  <c r="BC169" i="10" s="1"/>
  <c r="AN167" i="10"/>
  <c r="BD167" i="10" s="1"/>
  <c r="AM167" i="10"/>
  <c r="BC167" i="10" s="1"/>
  <c r="AN7" i="10"/>
  <c r="AN5" i="10"/>
  <c r="AM5" i="10"/>
  <c r="AN2" i="10"/>
  <c r="AN176" i="10" s="1"/>
  <c r="AM2" i="10"/>
  <c r="AM176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60" i="8"/>
  <c r="AO81" i="8"/>
  <c r="AO73" i="8"/>
  <c r="AO52" i="8"/>
  <c r="AR42" i="59" s="1"/>
  <c r="AN98" i="8"/>
  <c r="BD98" i="8" s="1"/>
  <c r="AM73" i="8"/>
  <c r="AM61" i="8"/>
  <c r="BC61" i="8" s="1"/>
  <c r="AN60" i="8"/>
  <c r="AN33" i="8"/>
  <c r="BD33" i="8" s="1"/>
  <c r="AM33" i="8"/>
  <c r="BC33" i="8" s="1"/>
  <c r="AN31" i="8"/>
  <c r="BD31" i="8" s="1"/>
  <c r="AN30" i="8"/>
  <c r="BD30" i="8" s="1"/>
  <c r="AN29" i="8"/>
  <c r="BD29" i="8" s="1"/>
  <c r="AN28" i="8"/>
  <c r="BD28" i="8" s="1"/>
  <c r="AN27" i="8"/>
  <c r="BD27" i="8" s="1"/>
  <c r="AN25" i="8"/>
  <c r="BD25" i="8" s="1"/>
  <c r="AN24" i="8"/>
  <c r="BD24" i="8" s="1"/>
  <c r="AN23" i="8"/>
  <c r="BD23" i="8" s="1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BD6" i="8" s="1"/>
  <c r="AN2" i="8"/>
  <c r="AM2" i="8"/>
  <c r="BC2" i="8" s="1"/>
  <c r="CB58" i="71" l="1"/>
  <c r="CB76" i="99"/>
  <c r="BD29" i="9"/>
  <c r="CS76" i="99" s="1"/>
  <c r="CC76" i="99"/>
  <c r="BE8" i="45"/>
  <c r="BE171" i="45" s="1"/>
  <c r="BE177" i="45" s="1"/>
  <c r="BD38" i="9"/>
  <c r="BD2" i="11"/>
  <c r="AN77" i="11"/>
  <c r="BC2" i="11"/>
  <c r="AM77" i="11"/>
  <c r="BD2" i="45"/>
  <c r="AN142" i="45"/>
  <c r="BE2" i="45"/>
  <c r="AO142" i="45"/>
  <c r="BC38" i="9"/>
  <c r="AM20" i="35"/>
  <c r="BC20" i="35" s="1"/>
  <c r="BC29" i="9"/>
  <c r="AM19" i="35"/>
  <c r="BC19" i="35" s="1"/>
  <c r="BD182" i="10"/>
  <c r="BD189" i="10" s="1"/>
  <c r="BD44" i="8"/>
  <c r="BG48" i="59" s="1"/>
  <c r="BC71" i="11"/>
  <c r="BE148" i="45"/>
  <c r="BE155" i="45" s="1"/>
  <c r="AL8" i="15"/>
  <c r="BC18" i="8"/>
  <c r="BB8" i="15" s="1"/>
  <c r="BD45" i="8"/>
  <c r="AN91" i="11"/>
  <c r="BD86" i="11"/>
  <c r="BD91" i="11" s="1"/>
  <c r="BD39" i="8"/>
  <c r="AM8" i="15"/>
  <c r="BD18" i="8"/>
  <c r="BD41" i="8"/>
  <c r="BD46" i="8"/>
  <c r="BG47" i="59" s="1"/>
  <c r="AN89" i="11"/>
  <c r="BD5" i="11"/>
  <c r="BD89" i="11" s="1"/>
  <c r="BD109" i="8"/>
  <c r="BD111" i="8" s="1"/>
  <c r="BD43" i="8"/>
  <c r="BG46" i="59" s="1"/>
  <c r="BD47" i="8"/>
  <c r="AN83" i="11"/>
  <c r="AN84" i="11" s="1"/>
  <c r="BD81" i="11"/>
  <c r="BD83" i="11" s="1"/>
  <c r="BC69" i="11"/>
  <c r="BF69" i="59" s="1"/>
  <c r="BD57" i="11"/>
  <c r="BD69" i="11"/>
  <c r="BG69" i="59" s="1"/>
  <c r="BD71" i="11"/>
  <c r="BC168" i="10"/>
  <c r="BF65" i="59" s="1"/>
  <c r="BC170" i="10"/>
  <c r="BC5" i="10"/>
  <c r="BD168" i="10"/>
  <c r="BG65" i="59" s="1"/>
  <c r="BD170" i="10"/>
  <c r="AN188" i="10"/>
  <c r="BD5" i="10"/>
  <c r="BD188" i="10" s="1"/>
  <c r="BD7" i="10"/>
  <c r="AN190" i="10"/>
  <c r="BD185" i="10"/>
  <c r="BD190" i="10" s="1"/>
  <c r="BD56" i="11"/>
  <c r="BD59" i="11"/>
  <c r="BD55" i="11"/>
  <c r="BD92" i="11" s="1"/>
  <c r="BD26" i="8"/>
  <c r="BD40" i="8"/>
  <c r="BD42" i="9"/>
  <c r="AN135" i="9"/>
  <c r="BD8" i="9"/>
  <c r="AN137" i="9"/>
  <c r="BD22" i="9"/>
  <c r="AN136" i="9"/>
  <c r="BD9" i="9"/>
  <c r="AN138" i="9"/>
  <c r="BD23" i="9"/>
  <c r="AN139" i="9"/>
  <c r="BD24" i="9"/>
  <c r="BC15" i="9"/>
  <c r="BD31" i="9"/>
  <c r="BD35" i="9"/>
  <c r="AN51" i="9"/>
  <c r="BD15" i="9"/>
  <c r="BD36" i="9"/>
  <c r="BD57" i="9"/>
  <c r="BD34" i="9"/>
  <c r="AM103" i="9"/>
  <c r="BC2" i="9"/>
  <c r="BD44" i="36"/>
  <c r="AN101" i="9"/>
  <c r="BD20" i="9"/>
  <c r="BD93" i="9" s="1"/>
  <c r="BD136" i="45"/>
  <c r="BD134" i="45"/>
  <c r="BF73" i="59" s="1"/>
  <c r="BE134" i="45"/>
  <c r="BG73" i="59" s="1"/>
  <c r="BE136" i="45"/>
  <c r="BE108" i="45"/>
  <c r="BE109" i="45"/>
  <c r="AO137" i="45"/>
  <c r="BE7" i="45"/>
  <c r="BE154" i="45" s="1"/>
  <c r="AO156" i="45"/>
  <c r="BE151" i="45"/>
  <c r="BE156" i="45" s="1"/>
  <c r="AN89" i="8"/>
  <c r="BD2" i="8"/>
  <c r="AN36" i="9"/>
  <c r="AN31" i="9"/>
  <c r="AN45" i="8"/>
  <c r="AN69" i="11"/>
  <c r="AO148" i="45"/>
  <c r="AO155" i="45" s="1"/>
  <c r="AN71" i="11"/>
  <c r="AN57" i="11"/>
  <c r="AN93" i="11" s="1"/>
  <c r="AN72" i="11"/>
  <c r="AN56" i="11"/>
  <c r="AN59" i="11"/>
  <c r="AN182" i="10"/>
  <c r="AN189" i="10" s="1"/>
  <c r="AN34" i="9"/>
  <c r="AN10" i="9"/>
  <c r="AN136" i="45"/>
  <c r="AO136" i="45"/>
  <c r="AO107" i="45"/>
  <c r="AO158" i="45" s="1"/>
  <c r="AO109" i="45"/>
  <c r="AO150" i="45" s="1"/>
  <c r="AO154" i="45"/>
  <c r="AO108" i="45"/>
  <c r="AN134" i="45"/>
  <c r="AO134" i="45"/>
  <c r="AN55" i="11"/>
  <c r="AN92" i="11" s="1"/>
  <c r="AM71" i="11"/>
  <c r="AM69" i="11"/>
  <c r="AN168" i="10"/>
  <c r="AN170" i="10"/>
  <c r="AM170" i="10"/>
  <c r="AN184" i="10"/>
  <c r="AM168" i="10"/>
  <c r="AN171" i="10"/>
  <c r="AN46" i="9"/>
  <c r="AN20" i="35" s="1"/>
  <c r="BD20" i="35" s="1"/>
  <c r="AN25" i="9"/>
  <c r="AN134" i="9"/>
  <c r="BD134" i="9" s="1"/>
  <c r="AN35" i="9"/>
  <c r="AN93" i="9"/>
  <c r="AN46" i="8"/>
  <c r="AQ47" i="59" s="1"/>
  <c r="AN82" i="8"/>
  <c r="AN41" i="8"/>
  <c r="AN40" i="8"/>
  <c r="AN44" i="8"/>
  <c r="AQ48" i="59" s="1"/>
  <c r="AN47" i="8"/>
  <c r="AN81" i="8"/>
  <c r="AN43" i="8"/>
  <c r="AQ46" i="59" s="1"/>
  <c r="AN109" i="8"/>
  <c r="AN110" i="8" s="1"/>
  <c r="AN83" i="8"/>
  <c r="BD83" i="8" s="1"/>
  <c r="BG50" i="59" s="1"/>
  <c r="AN90" i="8"/>
  <c r="BD90" i="8" s="1"/>
  <c r="AN84" i="8"/>
  <c r="BD84" i="8" s="1"/>
  <c r="BG51" i="59" s="1"/>
  <c r="AN39" i="8"/>
  <c r="AN26" i="8"/>
  <c r="AO113" i="7"/>
  <c r="AO112" i="7"/>
  <c r="AO111" i="7"/>
  <c r="AO110" i="7"/>
  <c r="AO109" i="7"/>
  <c r="AO108" i="7"/>
  <c r="AO107" i="7"/>
  <c r="AO106" i="7"/>
  <c r="AO91" i="7"/>
  <c r="AO85" i="7"/>
  <c r="AM113" i="7"/>
  <c r="AM112" i="7"/>
  <c r="AM111" i="7"/>
  <c r="AM110" i="7"/>
  <c r="AM109" i="7"/>
  <c r="AM108" i="7"/>
  <c r="AM107" i="7"/>
  <c r="AM106" i="7"/>
  <c r="AM94" i="7"/>
  <c r="AM91" i="7"/>
  <c r="AM85" i="7"/>
  <c r="AN72" i="7"/>
  <c r="BD72" i="7" s="1"/>
  <c r="AM72" i="7"/>
  <c r="BC72" i="7" s="1"/>
  <c r="AN70" i="7"/>
  <c r="BD70" i="7" s="1"/>
  <c r="AM70" i="7"/>
  <c r="BC70" i="7" s="1"/>
  <c r="AN66" i="7"/>
  <c r="BD66" i="7" s="1"/>
  <c r="AN64" i="7"/>
  <c r="BD64" i="7" s="1"/>
  <c r="AM64" i="7"/>
  <c r="BC64" i="7" s="1"/>
  <c r="AN63" i="7"/>
  <c r="BD63" i="7" s="1"/>
  <c r="AM63" i="7"/>
  <c r="BC63" i="7" s="1"/>
  <c r="AN48" i="7"/>
  <c r="BD48" i="7" s="1"/>
  <c r="AM48" i="7"/>
  <c r="BC48" i="7" s="1"/>
  <c r="AN46" i="7"/>
  <c r="BD46" i="7" s="1"/>
  <c r="AM46" i="7"/>
  <c r="BC46" i="7" s="1"/>
  <c r="AN45" i="7"/>
  <c r="BD45" i="7" s="1"/>
  <c r="AM45" i="7"/>
  <c r="BC45" i="7" s="1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41" i="7"/>
  <c r="BD41" i="7" s="1"/>
  <c r="AM41" i="7"/>
  <c r="BC41" i="7" s="1"/>
  <c r="AN40" i="7"/>
  <c r="BD40" i="7" s="1"/>
  <c r="AM40" i="7"/>
  <c r="BC40" i="7" s="1"/>
  <c r="AN19" i="7"/>
  <c r="BD19" i="7" s="1"/>
  <c r="AM19" i="7"/>
  <c r="AN18" i="7"/>
  <c r="BD18" i="7" s="1"/>
  <c r="AM18" i="7"/>
  <c r="AN15" i="7"/>
  <c r="BD15" i="7" s="1"/>
  <c r="AM15" i="7"/>
  <c r="BC15" i="7" s="1"/>
  <c r="AN14" i="7"/>
  <c r="BD14" i="7" s="1"/>
  <c r="AM14" i="7"/>
  <c r="BC14" i="7" s="1"/>
  <c r="AN13" i="7"/>
  <c r="BD13" i="7" s="1"/>
  <c r="AM13" i="7"/>
  <c r="BC13" i="7" s="1"/>
  <c r="AM12" i="7"/>
  <c r="BC12" i="7" s="1"/>
  <c r="AN11" i="7"/>
  <c r="BD11" i="7" s="1"/>
  <c r="AM11" i="7"/>
  <c r="BC11" i="7" s="1"/>
  <c r="AN10" i="7"/>
  <c r="BD10" i="7" s="1"/>
  <c r="AM10" i="7"/>
  <c r="BC10" i="7" s="1"/>
  <c r="AN9" i="7"/>
  <c r="BD9" i="7" s="1"/>
  <c r="AM9" i="7"/>
  <c r="BC9" i="7" s="1"/>
  <c r="AN8" i="7"/>
  <c r="BD8" i="7" s="1"/>
  <c r="AM8" i="7"/>
  <c r="BC8" i="7" s="1"/>
  <c r="AN7" i="7"/>
  <c r="BD7" i="7" s="1"/>
  <c r="AM7" i="7"/>
  <c r="BC7" i="7" s="1"/>
  <c r="AN6" i="7"/>
  <c r="BD6" i="7" s="1"/>
  <c r="AM6" i="7"/>
  <c r="BC6" i="7" s="1"/>
  <c r="AN2" i="7"/>
  <c r="AM2" i="7"/>
  <c r="BC2" i="7" s="1"/>
  <c r="AL1" i="7"/>
  <c r="AL78" i="7" s="1"/>
  <c r="AK1" i="7"/>
  <c r="AK78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AN123" i="6"/>
  <c r="BD123" i="6" s="1"/>
  <c r="AN122" i="6"/>
  <c r="BD122" i="6" s="1"/>
  <c r="AM122" i="6"/>
  <c r="BC122" i="6" s="1"/>
  <c r="AN119" i="6"/>
  <c r="BD119" i="6" s="1"/>
  <c r="AM119" i="6"/>
  <c r="BC119" i="6" s="1"/>
  <c r="AN118" i="6"/>
  <c r="BD118" i="6" s="1"/>
  <c r="AM118" i="6"/>
  <c r="BC118" i="6" s="1"/>
  <c r="AN117" i="6"/>
  <c r="BD117" i="6" s="1"/>
  <c r="AM117" i="6"/>
  <c r="BC117" i="6" s="1"/>
  <c r="AN116" i="6"/>
  <c r="BD116" i="6" s="1"/>
  <c r="AM116" i="6"/>
  <c r="BC116" i="6" s="1"/>
  <c r="AN114" i="6"/>
  <c r="BD114" i="6" s="1"/>
  <c r="AM114" i="6"/>
  <c r="BC114" i="6" s="1"/>
  <c r="AN113" i="6"/>
  <c r="BD113" i="6" s="1"/>
  <c r="AM113" i="6"/>
  <c r="BC113" i="6" s="1"/>
  <c r="AN111" i="6"/>
  <c r="BD111" i="6" s="1"/>
  <c r="AM111" i="6"/>
  <c r="BC111" i="6" s="1"/>
  <c r="AN110" i="6"/>
  <c r="BD110" i="6" s="1"/>
  <c r="AM110" i="6"/>
  <c r="BC110" i="6" s="1"/>
  <c r="AN109" i="6"/>
  <c r="BD109" i="6" s="1"/>
  <c r="AM109" i="6"/>
  <c r="BC109" i="6" s="1"/>
  <c r="AN106" i="6"/>
  <c r="BD106" i="6" s="1"/>
  <c r="AN105" i="6"/>
  <c r="BD105" i="6" s="1"/>
  <c r="AN104" i="6"/>
  <c r="BD104" i="6" s="1"/>
  <c r="AM104" i="6"/>
  <c r="BC104" i="6" s="1"/>
  <c r="AN99" i="6"/>
  <c r="BD99" i="6" s="1"/>
  <c r="AM99" i="6"/>
  <c r="BC99" i="6" s="1"/>
  <c r="AN98" i="6"/>
  <c r="BD98" i="6" s="1"/>
  <c r="AM98" i="6"/>
  <c r="BC98" i="6" s="1"/>
  <c r="AN96" i="6"/>
  <c r="BD96" i="6" s="1"/>
  <c r="AM96" i="6"/>
  <c r="BC96" i="6" s="1"/>
  <c r="AN95" i="6"/>
  <c r="BD95" i="6" s="1"/>
  <c r="AM95" i="6"/>
  <c r="BC95" i="6" s="1"/>
  <c r="AN93" i="6"/>
  <c r="BD93" i="6" s="1"/>
  <c r="AM93" i="6"/>
  <c r="BC93" i="6" s="1"/>
  <c r="AN92" i="6"/>
  <c r="BD92" i="6" s="1"/>
  <c r="AM92" i="6"/>
  <c r="BC92" i="6" s="1"/>
  <c r="AN91" i="6"/>
  <c r="BD91" i="6" s="1"/>
  <c r="AM91" i="6"/>
  <c r="BC91" i="6" s="1"/>
  <c r="AN88" i="6"/>
  <c r="BD88" i="6" s="1"/>
  <c r="AM88" i="6"/>
  <c r="BC88" i="6" s="1"/>
  <c r="AN87" i="6"/>
  <c r="BD87" i="6" s="1"/>
  <c r="AN86" i="6"/>
  <c r="BD86" i="6" s="1"/>
  <c r="AM85" i="6"/>
  <c r="AM83" i="6"/>
  <c r="AM82" i="6"/>
  <c r="AM80" i="6"/>
  <c r="AM79" i="6"/>
  <c r="AN76" i="6"/>
  <c r="BD76" i="6" s="1"/>
  <c r="AM76" i="6"/>
  <c r="BC76" i="6" s="1"/>
  <c r="AN75" i="6"/>
  <c r="BD75" i="6" s="1"/>
  <c r="AM75" i="6"/>
  <c r="BC75" i="6" s="1"/>
  <c r="AN74" i="6"/>
  <c r="BD74" i="6" s="1"/>
  <c r="AM74" i="6"/>
  <c r="BC74" i="6" s="1"/>
  <c r="AN73" i="6"/>
  <c r="BD73" i="6" s="1"/>
  <c r="AM73" i="6"/>
  <c r="BC73" i="6" s="1"/>
  <c r="AN72" i="6"/>
  <c r="BD72" i="6" s="1"/>
  <c r="AM72" i="6"/>
  <c r="BC72" i="6" s="1"/>
  <c r="AN70" i="6"/>
  <c r="BD70" i="6" s="1"/>
  <c r="AM70" i="6"/>
  <c r="BC70" i="6" s="1"/>
  <c r="AN68" i="6"/>
  <c r="BD68" i="6" s="1"/>
  <c r="AM68" i="6"/>
  <c r="BC68" i="6" s="1"/>
  <c r="AN67" i="6"/>
  <c r="AM67" i="6"/>
  <c r="BC67" i="6" s="1"/>
  <c r="AN65" i="6"/>
  <c r="BD65" i="6" s="1"/>
  <c r="AM65" i="6"/>
  <c r="BC65" i="6" s="1"/>
  <c r="AN64" i="6"/>
  <c r="BD64" i="6" s="1"/>
  <c r="AM64" i="6"/>
  <c r="AN53" i="6"/>
  <c r="BD53" i="6" s="1"/>
  <c r="AN52" i="6"/>
  <c r="BD52" i="6" s="1"/>
  <c r="AN50" i="6"/>
  <c r="BD50" i="6" s="1"/>
  <c r="AN49" i="6"/>
  <c r="BD49" i="6" s="1"/>
  <c r="AN47" i="6"/>
  <c r="BD47" i="6" s="1"/>
  <c r="AN46" i="6"/>
  <c r="AN44" i="6"/>
  <c r="AN43" i="6"/>
  <c r="BD43" i="6" s="1"/>
  <c r="AM40" i="6"/>
  <c r="AM39" i="6"/>
  <c r="AM38" i="6"/>
  <c r="AM37" i="6"/>
  <c r="AN31" i="6"/>
  <c r="BD31" i="6" s="1"/>
  <c r="AN30" i="6"/>
  <c r="AN28" i="6"/>
  <c r="BD28" i="6" s="1"/>
  <c r="AN27" i="6"/>
  <c r="BD27" i="6" s="1"/>
  <c r="AN25" i="6"/>
  <c r="BD25" i="6" s="1"/>
  <c r="AN24" i="6"/>
  <c r="BD24" i="6" s="1"/>
  <c r="AN2" i="6"/>
  <c r="BD2" i="6" s="1"/>
  <c r="AM2" i="6"/>
  <c r="BD46" i="9" l="1"/>
  <c r="CR58" i="71"/>
  <c r="CR76" i="99"/>
  <c r="BC19" i="7"/>
  <c r="BC2" i="6"/>
  <c r="AM12" i="6"/>
  <c r="AM13" i="6"/>
  <c r="BD72" i="11"/>
  <c r="BD65" i="7"/>
  <c r="BD60" i="11"/>
  <c r="BD81" i="8"/>
  <c r="BG45" i="59" s="1"/>
  <c r="AN90" i="11"/>
  <c r="AN96" i="11" s="1"/>
  <c r="BC65" i="7"/>
  <c r="AN183" i="10"/>
  <c r="BG49" i="59"/>
  <c r="BC18" i="7"/>
  <c r="BC69" i="6"/>
  <c r="BD51" i="9"/>
  <c r="BD171" i="10"/>
  <c r="BC115" i="6"/>
  <c r="BD115" i="6"/>
  <c r="AQ49" i="59"/>
  <c r="BD42" i="8"/>
  <c r="BD110" i="8"/>
  <c r="BD52" i="8" s="1"/>
  <c r="BG42" i="59" s="1"/>
  <c r="AO149" i="45"/>
  <c r="BE107" i="45"/>
  <c r="BE158" i="45" s="1"/>
  <c r="BD1" i="7"/>
  <c r="BD73" i="7"/>
  <c r="AN84" i="7"/>
  <c r="BD2" i="7"/>
  <c r="BD90" i="11"/>
  <c r="BD96" i="11" s="1"/>
  <c r="BD84" i="11"/>
  <c r="BC8" i="15"/>
  <c r="BD82" i="8"/>
  <c r="BG52" i="59" s="1"/>
  <c r="BC73" i="7"/>
  <c r="BC1" i="7"/>
  <c r="BD136" i="9"/>
  <c r="BD10" i="9"/>
  <c r="BD66" i="6"/>
  <c r="BD85" i="11"/>
  <c r="BD93" i="11"/>
  <c r="BD94" i="11" s="1"/>
  <c r="BD183" i="10"/>
  <c r="BD138" i="9"/>
  <c r="BD88" i="8"/>
  <c r="BD89" i="8"/>
  <c r="BD77" i="6"/>
  <c r="AN165" i="6"/>
  <c r="BD163" i="6"/>
  <c r="AM66" i="6"/>
  <c r="BC64" i="6"/>
  <c r="BC66" i="6" s="1"/>
  <c r="BC102" i="6"/>
  <c r="BD192" i="6"/>
  <c r="BD191" i="6"/>
  <c r="BD166" i="6"/>
  <c r="AN69" i="6"/>
  <c r="BD67" i="6"/>
  <c r="BD69" i="6" s="1"/>
  <c r="BD102" i="6"/>
  <c r="BC77" i="6"/>
  <c r="BD51" i="6"/>
  <c r="AN79" i="11"/>
  <c r="AQ70" i="59" s="1"/>
  <c r="BD58" i="11"/>
  <c r="BD22" i="36" s="1"/>
  <c r="BG68" i="59" s="1"/>
  <c r="BD79" i="11"/>
  <c r="BG70" i="59" s="1"/>
  <c r="BD29" i="6"/>
  <c r="BD26" i="6"/>
  <c r="AN32" i="6"/>
  <c r="BD30" i="6"/>
  <c r="BD32" i="6" s="1"/>
  <c r="BD37" i="9"/>
  <c r="BD139" i="9"/>
  <c r="BD137" i="9"/>
  <c r="BC103" i="9"/>
  <c r="BD101" i="9"/>
  <c r="BD25" i="9"/>
  <c r="BD135" i="9"/>
  <c r="AN45" i="6"/>
  <c r="BD44" i="6"/>
  <c r="BD45" i="6" s="1"/>
  <c r="AN48" i="6"/>
  <c r="BD46" i="6"/>
  <c r="BD48" i="6" s="1"/>
  <c r="BD54" i="6"/>
  <c r="BE137" i="45"/>
  <c r="BE149" i="45"/>
  <c r="BE159" i="45"/>
  <c r="BE150" i="45"/>
  <c r="BE124" i="45"/>
  <c r="BE125" i="45" s="1"/>
  <c r="BE144" i="45"/>
  <c r="BG74" i="59" s="1"/>
  <c r="BE123" i="45"/>
  <c r="AN85" i="11"/>
  <c r="AN58" i="11"/>
  <c r="AQ68" i="59" s="1"/>
  <c r="AM41" i="6"/>
  <c r="AM69" i="6"/>
  <c r="AN26" i="6"/>
  <c r="AN94" i="11"/>
  <c r="AN37" i="9"/>
  <c r="AN19" i="35" s="1"/>
  <c r="BD19" i="35" s="1"/>
  <c r="AN54" i="6"/>
  <c r="AN51" i="6"/>
  <c r="AO41" i="6"/>
  <c r="AN12" i="6"/>
  <c r="AN192" i="6"/>
  <c r="AN191" i="6"/>
  <c r="AN166" i="6"/>
  <c r="AO159" i="45"/>
  <c r="AO160" i="45" s="1"/>
  <c r="AN60" i="11"/>
  <c r="AN192" i="10"/>
  <c r="AN66" i="6"/>
  <c r="AN29" i="6"/>
  <c r="AN102" i="6"/>
  <c r="AN73" i="7"/>
  <c r="AN65" i="7"/>
  <c r="AN33" i="7" s="1"/>
  <c r="AN97" i="7" s="1"/>
  <c r="AM115" i="6"/>
  <c r="AM77" i="6"/>
  <c r="AO124" i="45"/>
  <c r="AO125" i="45" s="1"/>
  <c r="AO123" i="45"/>
  <c r="AQ72" i="59" s="1"/>
  <c r="AO144" i="45"/>
  <c r="AQ74" i="59" s="1"/>
  <c r="AN42" i="8"/>
  <c r="AN52" i="8"/>
  <c r="AQ42" i="59" s="1"/>
  <c r="AN111" i="8"/>
  <c r="AN112" i="8" s="1"/>
  <c r="AN53" i="8" s="1"/>
  <c r="AQ43" i="59" s="1"/>
  <c r="AM73" i="7"/>
  <c r="AM65" i="7"/>
  <c r="AM20" i="7"/>
  <c r="AN12" i="7"/>
  <c r="BD12" i="7" s="1"/>
  <c r="AN120" i="6"/>
  <c r="BD120" i="6" s="1"/>
  <c r="AM120" i="6"/>
  <c r="BC120" i="6" s="1"/>
  <c r="AN115" i="6"/>
  <c r="AM102" i="6"/>
  <c r="AN97" i="6"/>
  <c r="AM97" i="6"/>
  <c r="AN77" i="6"/>
  <c r="AN13" i="6"/>
  <c r="AM129" i="6"/>
  <c r="BC129" i="6" s="1"/>
  <c r="BD427" i="28"/>
  <c r="BD428" i="28"/>
  <c r="AN429" i="28"/>
  <c r="BD429" i="28" s="1"/>
  <c r="AN433" i="28"/>
  <c r="BD433" i="28" s="1"/>
  <c r="AN434" i="28"/>
  <c r="BD434" i="28" s="1"/>
  <c r="AN437" i="28"/>
  <c r="BD437" i="28" s="1"/>
  <c r="AN438" i="28"/>
  <c r="BD438" i="28" s="1"/>
  <c r="AN440" i="28"/>
  <c r="BD440" i="28" s="1"/>
  <c r="AN441" i="28"/>
  <c r="BD441" i="28" s="1"/>
  <c r="AN442" i="28"/>
  <c r="BD442" i="28" s="1"/>
  <c r="AN443" i="28"/>
  <c r="BD443" i="28" s="1"/>
  <c r="AN444" i="28"/>
  <c r="BD444" i="28" s="1"/>
  <c r="AN445" i="28"/>
  <c r="BD445" i="28" s="1"/>
  <c r="AN446" i="28"/>
  <c r="BD446" i="28" s="1"/>
  <c r="AN375" i="28"/>
  <c r="BD375" i="28" s="1"/>
  <c r="BD236" i="28"/>
  <c r="BD238" i="28"/>
  <c r="AN208" i="28"/>
  <c r="BD208" i="28" s="1"/>
  <c r="AN211" i="28"/>
  <c r="BD211" i="28" s="1"/>
  <c r="AN213" i="28"/>
  <c r="BD213" i="28" s="1"/>
  <c r="AN214" i="28"/>
  <c r="BD214" i="28" s="1"/>
  <c r="AO480" i="28"/>
  <c r="AO479" i="28"/>
  <c r="AM480" i="28"/>
  <c r="AM479" i="28"/>
  <c r="AN398" i="28"/>
  <c r="BD398" i="28" s="1"/>
  <c r="AN391" i="28"/>
  <c r="BD391" i="28" s="1"/>
  <c r="BD390" i="28"/>
  <c r="AN379" i="28"/>
  <c r="BD379" i="28" s="1"/>
  <c r="AN281" i="28"/>
  <c r="BD281" i="28" s="1"/>
  <c r="AN277" i="28"/>
  <c r="BD277" i="28" s="1"/>
  <c r="AN276" i="28"/>
  <c r="BD276" i="28" s="1"/>
  <c r="AN275" i="28"/>
  <c r="BD275" i="28" s="1"/>
  <c r="AN235" i="28"/>
  <c r="BD235" i="28" s="1"/>
  <c r="BD231" i="28"/>
  <c r="AN219" i="28"/>
  <c r="BD219" i="28" s="1"/>
  <c r="AN86" i="28"/>
  <c r="BD86" i="28" s="1"/>
  <c r="AM83" i="28"/>
  <c r="AM82" i="28"/>
  <c r="AM79" i="28"/>
  <c r="AN78" i="28"/>
  <c r="BD78" i="28" s="1"/>
  <c r="AM78" i="28"/>
  <c r="AN77" i="28"/>
  <c r="BD77" i="28" s="1"/>
  <c r="AM75" i="28"/>
  <c r="AN74" i="28"/>
  <c r="BD74" i="28" s="1"/>
  <c r="AM74" i="28"/>
  <c r="AN73" i="28"/>
  <c r="BD73" i="28" s="1"/>
  <c r="AM71" i="28"/>
  <c r="AN70" i="28"/>
  <c r="BD70" i="28" s="1"/>
  <c r="AM70" i="28"/>
  <c r="AN69" i="28"/>
  <c r="BD69" i="28" s="1"/>
  <c r="AM67" i="28"/>
  <c r="AN66" i="28"/>
  <c r="BD66" i="28" s="1"/>
  <c r="AM66" i="28"/>
  <c r="AN65" i="28"/>
  <c r="BD65" i="28" s="1"/>
  <c r="AM51" i="28"/>
  <c r="AN45" i="28"/>
  <c r="BD45" i="28" s="1"/>
  <c r="AN44" i="28"/>
  <c r="BD44" i="28" s="1"/>
  <c r="AN43" i="28"/>
  <c r="BD43" i="28" s="1"/>
  <c r="AN42" i="28"/>
  <c r="BD42" i="28" s="1"/>
  <c r="AN39" i="28"/>
  <c r="BD39" i="28" s="1"/>
  <c r="AN38" i="28"/>
  <c r="BD38" i="28" s="1"/>
  <c r="AN37" i="28"/>
  <c r="BD37" i="28" s="1"/>
  <c r="AN36" i="28"/>
  <c r="BD36" i="28" s="1"/>
  <c r="AN35" i="28"/>
  <c r="BD35" i="28" s="1"/>
  <c r="AM32" i="28"/>
  <c r="BC32" i="28" s="1"/>
  <c r="AM31" i="28"/>
  <c r="BC31" i="28" s="1"/>
  <c r="AM30" i="28"/>
  <c r="BC30" i="28" s="1"/>
  <c r="AN25" i="28"/>
  <c r="BD25" i="28" s="1"/>
  <c r="AM25" i="28"/>
  <c r="BC25" i="28" s="1"/>
  <c r="AN24" i="28"/>
  <c r="BD24" i="28" s="1"/>
  <c r="AM24" i="28"/>
  <c r="BC24" i="28" s="1"/>
  <c r="AN23" i="28"/>
  <c r="BD23" i="28" s="1"/>
  <c r="AM23" i="28"/>
  <c r="BC23" i="28" s="1"/>
  <c r="AN22" i="28"/>
  <c r="BD22" i="28" s="1"/>
  <c r="AN21" i="28"/>
  <c r="BD21" i="28" s="1"/>
  <c r="AN18" i="28"/>
  <c r="BD18" i="28" s="1"/>
  <c r="AM18" i="28"/>
  <c r="BC18" i="28" s="1"/>
  <c r="AN17" i="28"/>
  <c r="BD17" i="28" s="1"/>
  <c r="AM17" i="28"/>
  <c r="BC17" i="28" s="1"/>
  <c r="AN16" i="28"/>
  <c r="BD16" i="28" s="1"/>
  <c r="AM16" i="28"/>
  <c r="AN15" i="28"/>
  <c r="BD15" i="28" s="1"/>
  <c r="AM15" i="28"/>
  <c r="AN14" i="28"/>
  <c r="BD14" i="28" s="1"/>
  <c r="AN11" i="28"/>
  <c r="BD11" i="28" s="1"/>
  <c r="AM11" i="28"/>
  <c r="BC11" i="28" s="1"/>
  <c r="AN10" i="28"/>
  <c r="BD10" i="28" s="1"/>
  <c r="AM10" i="28"/>
  <c r="BC10" i="28" s="1"/>
  <c r="AN9" i="28"/>
  <c r="BD9" i="28" s="1"/>
  <c r="AM9" i="28"/>
  <c r="BC9" i="28" s="1"/>
  <c r="AN8" i="28"/>
  <c r="BD8" i="28" s="1"/>
  <c r="AN7" i="28"/>
  <c r="BD7" i="28" s="1"/>
  <c r="AN188" i="73"/>
  <c r="AN133" i="73"/>
  <c r="AN129" i="73"/>
  <c r="AN125" i="73"/>
  <c r="AN136" i="73" s="1"/>
  <c r="AN108" i="73"/>
  <c r="AN117" i="73" s="1"/>
  <c r="BC192" i="73"/>
  <c r="BC191" i="73"/>
  <c r="AL188" i="73"/>
  <c r="AJ188" i="73"/>
  <c r="BC187" i="73"/>
  <c r="BC186" i="73"/>
  <c r="BC185" i="73"/>
  <c r="BC183" i="73"/>
  <c r="BC182" i="73"/>
  <c r="BC181" i="73"/>
  <c r="BC180" i="73"/>
  <c r="BC178" i="73"/>
  <c r="BC177" i="73"/>
  <c r="BC135" i="73"/>
  <c r="AL133" i="73"/>
  <c r="AJ133" i="73"/>
  <c r="AL129" i="73"/>
  <c r="AJ129" i="73"/>
  <c r="BC127" i="73"/>
  <c r="BC126" i="73"/>
  <c r="AL125" i="73"/>
  <c r="AJ125" i="73"/>
  <c r="BC124" i="73"/>
  <c r="BC123" i="73"/>
  <c r="BC122" i="73"/>
  <c r="AL117" i="73"/>
  <c r="BC116" i="73"/>
  <c r="BC115" i="73"/>
  <c r="BC113" i="73"/>
  <c r="BC10" i="15" s="1"/>
  <c r="BC112" i="73"/>
  <c r="BC111" i="73"/>
  <c r="BC110" i="73"/>
  <c r="BC109" i="73"/>
  <c r="AJ108" i="73"/>
  <c r="AJ117" i="73" s="1"/>
  <c r="BC107" i="73"/>
  <c r="BC106" i="73"/>
  <c r="BC104" i="73"/>
  <c r="BC103" i="73"/>
  <c r="BC101" i="73"/>
  <c r="BC100" i="73"/>
  <c r="BC99" i="73"/>
  <c r="BC98" i="73"/>
  <c r="BC97" i="73"/>
  <c r="BC96" i="73"/>
  <c r="BC95" i="73"/>
  <c r="BC92" i="73"/>
  <c r="BC90" i="73"/>
  <c r="BC89" i="73"/>
  <c r="BC88" i="73"/>
  <c r="BC84" i="73"/>
  <c r="BC83" i="73"/>
  <c r="BC82" i="73"/>
  <c r="BC81" i="73"/>
  <c r="BC80" i="73"/>
  <c r="BC79" i="73"/>
  <c r="BC78" i="73"/>
  <c r="BC77" i="73"/>
  <c r="BC76" i="73"/>
  <c r="BC75" i="73"/>
  <c r="BC69" i="73"/>
  <c r="BC68" i="73"/>
  <c r="BC67" i="73"/>
  <c r="BC66" i="73"/>
  <c r="BC64" i="73"/>
  <c r="BC63" i="73"/>
  <c r="BC62" i="73"/>
  <c r="BC61" i="73"/>
  <c r="BC60" i="73"/>
  <c r="BC59" i="73"/>
  <c r="BC57" i="73"/>
  <c r="BC56" i="73"/>
  <c r="BC55" i="73"/>
  <c r="BC54" i="73"/>
  <c r="BC52" i="73"/>
  <c r="BC51" i="73"/>
  <c r="BC50" i="73"/>
  <c r="BC49" i="73"/>
  <c r="BC47" i="73"/>
  <c r="BC46" i="73"/>
  <c r="BC43" i="73"/>
  <c r="BC42" i="73"/>
  <c r="BC41" i="73"/>
  <c r="BC40" i="73"/>
  <c r="BC39" i="73"/>
  <c r="BC38" i="73"/>
  <c r="BC37" i="73"/>
  <c r="BC36" i="73"/>
  <c r="BC35" i="73"/>
  <c r="BC33" i="73"/>
  <c r="BC32" i="73"/>
  <c r="BC31" i="73"/>
  <c r="BC30" i="73"/>
  <c r="BC29" i="73"/>
  <c r="BC28" i="73"/>
  <c r="BC26" i="73"/>
  <c r="BC25" i="73"/>
  <c r="BC24" i="73"/>
  <c r="BC19" i="73"/>
  <c r="BC17" i="73"/>
  <c r="BC16" i="73" s="1"/>
  <c r="BC15" i="73"/>
  <c r="BC12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34" i="59"/>
  <c r="AP27" i="59"/>
  <c r="AP26" i="59"/>
  <c r="AP25" i="59"/>
  <c r="AP24" i="59"/>
  <c r="AP22" i="59"/>
  <c r="AP20" i="59"/>
  <c r="AP19" i="59"/>
  <c r="AP18" i="59"/>
  <c r="AP17" i="59"/>
  <c r="AP15" i="59"/>
  <c r="BC76" i="7" l="1"/>
  <c r="BC59" i="7"/>
  <c r="BC101" i="7" s="1"/>
  <c r="BC20" i="7"/>
  <c r="AM74" i="7"/>
  <c r="AM59" i="7"/>
  <c r="AM101" i="7" s="1"/>
  <c r="AL136" i="73"/>
  <c r="BD84" i="7"/>
  <c r="AN26" i="7"/>
  <c r="AN91" i="7" s="1"/>
  <c r="AM35" i="7"/>
  <c r="AM102" i="7" s="1"/>
  <c r="AJ136" i="73"/>
  <c r="BD67" i="7"/>
  <c r="BD33" i="7"/>
  <c r="BD97" i="7" s="1"/>
  <c r="BC35" i="7"/>
  <c r="BC102" i="7" s="1"/>
  <c r="BD22" i="7"/>
  <c r="BD87" i="7" s="1"/>
  <c r="BG29" i="59" s="1"/>
  <c r="BD59" i="7"/>
  <c r="BD101" i="7" s="1"/>
  <c r="BC12" i="6"/>
  <c r="AM222" i="6"/>
  <c r="BD12" i="6"/>
  <c r="AN222" i="6"/>
  <c r="BD13" i="6"/>
  <c r="AN223" i="6"/>
  <c r="BC13" i="6"/>
  <c r="AM223" i="6"/>
  <c r="BD76" i="7"/>
  <c r="BD26" i="7"/>
  <c r="BD91" i="7" s="1"/>
  <c r="BD25" i="7"/>
  <c r="BD35" i="7"/>
  <c r="BD102" i="7" s="1"/>
  <c r="BD60" i="7"/>
  <c r="BD53" i="7"/>
  <c r="BD52" i="7"/>
  <c r="BD54" i="7"/>
  <c r="BD96" i="7" s="1"/>
  <c r="BD81" i="7"/>
  <c r="BG28" i="59" s="1"/>
  <c r="BD58" i="7"/>
  <c r="BD34" i="7"/>
  <c r="BD90" i="7" s="1"/>
  <c r="BD29" i="7"/>
  <c r="BD94" i="7" s="1"/>
  <c r="BG34" i="59" s="1"/>
  <c r="BD28" i="7"/>
  <c r="BD93" i="7" s="1"/>
  <c r="BG33" i="59" s="1"/>
  <c r="BD74" i="7"/>
  <c r="BD55" i="7"/>
  <c r="BD100" i="7" s="1"/>
  <c r="BD27" i="7"/>
  <c r="BD92" i="7" s="1"/>
  <c r="BD57" i="7"/>
  <c r="BD32" i="7"/>
  <c r="BD99" i="7" s="1"/>
  <c r="BD23" i="7"/>
  <c r="BD78" i="7"/>
  <c r="BD56" i="7"/>
  <c r="BD30" i="7"/>
  <c r="BD95" i="7" s="1"/>
  <c r="BG35" i="59" s="1"/>
  <c r="BD24" i="7"/>
  <c r="BD31" i="7"/>
  <c r="BD98" i="7" s="1"/>
  <c r="AN74" i="7"/>
  <c r="AN59" i="7"/>
  <c r="AN101" i="7" s="1"/>
  <c r="AM81" i="7"/>
  <c r="AP28" i="59" s="1"/>
  <c r="BC78" i="7"/>
  <c r="BD112" i="8"/>
  <c r="BD53" i="8" s="1"/>
  <c r="BG43" i="59" s="1"/>
  <c r="BG44" i="59" s="1"/>
  <c r="BC81" i="7"/>
  <c r="BF28" i="59" s="1"/>
  <c r="BC74" i="7"/>
  <c r="AM76" i="7"/>
  <c r="AM34" i="7"/>
  <c r="BC34" i="7"/>
  <c r="AQ44" i="59"/>
  <c r="BE160" i="45"/>
  <c r="AN53" i="7"/>
  <c r="AN32" i="7"/>
  <c r="AN99" i="7" s="1"/>
  <c r="BD165" i="6"/>
  <c r="BD20" i="7"/>
  <c r="BD23" i="36"/>
  <c r="BG72" i="59"/>
  <c r="AM278" i="28"/>
  <c r="BC278" i="28" s="1"/>
  <c r="BC16" i="28"/>
  <c r="BC130" i="73"/>
  <c r="BC134" i="73"/>
  <c r="AN103" i="6"/>
  <c r="AN107" i="6" s="1"/>
  <c r="AN147" i="6" s="1"/>
  <c r="AN31" i="7"/>
  <c r="AN98" i="7" s="1"/>
  <c r="AN30" i="7"/>
  <c r="AN95" i="7" s="1"/>
  <c r="AQ35" i="59" s="1"/>
  <c r="AN60" i="7"/>
  <c r="AN57" i="7"/>
  <c r="AN25" i="7"/>
  <c r="AN52" i="7"/>
  <c r="AN23" i="7"/>
  <c r="AN76" i="7"/>
  <c r="AN67" i="7"/>
  <c r="AN27" i="7"/>
  <c r="AN92" i="7" s="1"/>
  <c r="AN56" i="7"/>
  <c r="AN22" i="7"/>
  <c r="AN87" i="7" s="1"/>
  <c r="AN55" i="7"/>
  <c r="AN54" i="7"/>
  <c r="AN96" i="7" s="1"/>
  <c r="AN24" i="7"/>
  <c r="AM121" i="6"/>
  <c r="AN81" i="7"/>
  <c r="AQ28" i="59" s="1"/>
  <c r="AN58" i="7"/>
  <c r="AN35" i="7"/>
  <c r="AN102" i="7" s="1"/>
  <c r="AN34" i="7"/>
  <c r="AN90" i="7" s="1"/>
  <c r="AM103" i="6"/>
  <c r="AM107" i="6" s="1"/>
  <c r="AM150" i="6" s="1"/>
  <c r="AN29" i="7"/>
  <c r="AN94" i="7" s="1"/>
  <c r="AQ34" i="59" s="1"/>
  <c r="AN121" i="6"/>
  <c r="AN28" i="7"/>
  <c r="AN93" i="7" s="1"/>
  <c r="AQ33" i="59" s="1"/>
  <c r="AN20" i="7"/>
  <c r="AP31" i="36"/>
  <c r="AO31" i="36"/>
  <c r="AM31" i="36"/>
  <c r="AO54" i="36"/>
  <c r="AO53" i="36"/>
  <c r="AO51" i="36"/>
  <c r="AO49" i="36"/>
  <c r="AO48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54" i="36"/>
  <c r="AM51" i="36"/>
  <c r="AM53" i="36" s="1"/>
  <c r="AM49" i="36"/>
  <c r="AM48" i="36"/>
  <c r="AM41" i="36"/>
  <c r="AN31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3" i="35"/>
  <c r="BD53" i="35" s="1"/>
  <c r="AM53" i="35"/>
  <c r="BC53" i="35" s="1"/>
  <c r="AN51" i="35"/>
  <c r="BD51" i="35" s="1"/>
  <c r="AM51" i="35"/>
  <c r="BC51" i="35" s="1"/>
  <c r="AN50" i="35"/>
  <c r="BD50" i="35" s="1"/>
  <c r="AM50" i="35"/>
  <c r="BC50" i="35" s="1"/>
  <c r="AN45" i="35"/>
  <c r="BD45" i="35" s="1"/>
  <c r="AN44" i="35"/>
  <c r="BD44" i="35" s="1"/>
  <c r="AN43" i="35"/>
  <c r="BD43" i="35" s="1"/>
  <c r="AN42" i="35"/>
  <c r="BD42" i="35" s="1"/>
  <c r="AN35" i="35"/>
  <c r="AN32" i="35"/>
  <c r="AN31" i="35"/>
  <c r="AN30" i="35"/>
  <c r="BD30" i="35" s="1"/>
  <c r="AN28" i="35"/>
  <c r="AM28" i="35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AN9" i="35"/>
  <c r="AN2" i="35"/>
  <c r="AM2" i="35"/>
  <c r="AN1" i="35"/>
  <c r="AM1" i="35"/>
  <c r="BD88" i="7" l="1"/>
  <c r="BG30" i="59" s="1"/>
  <c r="BC2" i="35"/>
  <c r="AM6" i="35"/>
  <c r="AM7" i="35"/>
  <c r="BD2" i="35"/>
  <c r="AN7" i="35"/>
  <c r="AN6" i="35"/>
  <c r="BD89" i="7"/>
  <c r="BG31" i="59" s="1"/>
  <c r="BD1" i="35"/>
  <c r="BD21" i="35" s="1"/>
  <c r="BD26" i="9" s="1"/>
  <c r="BD36" i="7"/>
  <c r="BD51" i="7" s="1"/>
  <c r="BD61" i="7" s="1"/>
  <c r="AN150" i="6"/>
  <c r="BD12" i="21"/>
  <c r="AN89" i="7"/>
  <c r="AQ31" i="59" s="1"/>
  <c r="BD10" i="35"/>
  <c r="BD9" i="6" s="1"/>
  <c r="AN9" i="6"/>
  <c r="BD9" i="35"/>
  <c r="BD8" i="6" s="1"/>
  <c r="AN8" i="6"/>
  <c r="AN88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BD125" i="6" s="1"/>
  <c r="AM125" i="6"/>
  <c r="BC121" i="6"/>
  <c r="BC125" i="6" s="1"/>
  <c r="BD26" i="35"/>
  <c r="AL9" i="15"/>
  <c r="BC28" i="35"/>
  <c r="BB9" i="15" s="1"/>
  <c r="AM9" i="15"/>
  <c r="BD28" i="35"/>
  <c r="BC9" i="15" s="1"/>
  <c r="BD35" i="35"/>
  <c r="BC26" i="35"/>
  <c r="AN98" i="11"/>
  <c r="BD31" i="35"/>
  <c r="BD98" i="11" s="1"/>
  <c r="BD10" i="36"/>
  <c r="BG37" i="59" s="1"/>
  <c r="BD12" i="36"/>
  <c r="BG39" i="59" s="1"/>
  <c r="BD11" i="36"/>
  <c r="BG38" i="59" s="1"/>
  <c r="BD32" i="35"/>
  <c r="BC17" i="15"/>
  <c r="BD5" i="9"/>
  <c r="BD52" i="36"/>
  <c r="AN100" i="7"/>
  <c r="AQ32" i="59" s="1"/>
  <c r="BG32" i="59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8" i="15" s="1"/>
  <c r="AM17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6" i="7"/>
  <c r="AN51" i="7" s="1"/>
  <c r="AN61" i="7" s="1"/>
  <c r="AM50" i="36"/>
  <c r="AO50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BD103" i="7" l="1"/>
  <c r="BD75" i="7"/>
  <c r="BD11" i="35"/>
  <c r="BD10" i="6" s="1"/>
  <c r="AN75" i="7"/>
  <c r="AM149" i="6"/>
  <c r="AN103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172" i="6"/>
  <c r="BD175" i="6"/>
  <c r="BD173" i="6"/>
  <c r="BG22" i="59" s="1"/>
  <c r="BD33" i="35"/>
  <c r="AM6" i="6"/>
  <c r="AM16" i="6" s="1"/>
  <c r="BC7" i="35"/>
  <c r="BC6" i="6" s="1"/>
  <c r="BC16" i="6" s="1"/>
  <c r="BD33" i="22"/>
  <c r="BC132" i="26"/>
  <c r="BG60" i="59"/>
  <c r="BD78" i="9"/>
  <c r="BD94" i="9"/>
  <c r="BC18" i="15" s="1"/>
  <c r="BD76" i="9"/>
  <c r="BD89" i="9"/>
  <c r="AM5" i="6"/>
  <c r="AM15" i="6" s="1"/>
  <c r="AQ60" i="59"/>
  <c r="AM132" i="26"/>
  <c r="AN75" i="9"/>
  <c r="AN33" i="22"/>
  <c r="AN72" i="9"/>
  <c r="AN76" i="9"/>
  <c r="AN78" i="9"/>
  <c r="AN73" i="9"/>
  <c r="AN13" i="36"/>
  <c r="AQ40" i="59" s="1"/>
  <c r="AM8" i="35"/>
  <c r="F133" i="73"/>
  <c r="H133" i="73"/>
  <c r="J133" i="73"/>
  <c r="L133" i="73"/>
  <c r="N133" i="73"/>
  <c r="P133" i="73"/>
  <c r="R133" i="73"/>
  <c r="T133" i="73"/>
  <c r="V133" i="73"/>
  <c r="X133" i="73"/>
  <c r="Z133" i="73"/>
  <c r="AB133" i="73"/>
  <c r="AD133" i="73"/>
  <c r="AF133" i="73"/>
  <c r="AH133" i="73"/>
  <c r="F129" i="73"/>
  <c r="H129" i="73"/>
  <c r="J129" i="73"/>
  <c r="L129" i="73"/>
  <c r="N129" i="73"/>
  <c r="P129" i="73"/>
  <c r="R129" i="73"/>
  <c r="T129" i="73"/>
  <c r="V129" i="73"/>
  <c r="X129" i="73"/>
  <c r="Z129" i="73"/>
  <c r="Z128" i="73" s="1"/>
  <c r="AB129" i="73"/>
  <c r="AD129" i="73"/>
  <c r="AF129" i="73"/>
  <c r="AH129" i="73"/>
  <c r="F125" i="73"/>
  <c r="H125" i="73"/>
  <c r="J125" i="73"/>
  <c r="L125" i="73"/>
  <c r="N125" i="73"/>
  <c r="P125" i="73"/>
  <c r="R125" i="73"/>
  <c r="T125" i="73"/>
  <c r="V125" i="73"/>
  <c r="X125" i="73"/>
  <c r="Z125" i="73"/>
  <c r="AB125" i="73"/>
  <c r="AD125" i="73"/>
  <c r="AF125" i="73"/>
  <c r="AH125" i="73"/>
  <c r="E133" i="73"/>
  <c r="E129" i="73"/>
  <c r="E125" i="73"/>
  <c r="E121" i="73"/>
  <c r="J117" i="73"/>
  <c r="L117" i="73"/>
  <c r="N117" i="73"/>
  <c r="P117" i="73"/>
  <c r="R117" i="73"/>
  <c r="X117" i="73"/>
  <c r="Z117" i="73"/>
  <c r="AB117" i="73"/>
  <c r="AF117" i="73"/>
  <c r="AO12" i="73"/>
  <c r="AS12" i="73" s="1"/>
  <c r="AO15" i="73"/>
  <c r="AS15" i="73" s="1"/>
  <c r="AO17" i="73"/>
  <c r="AO19" i="73"/>
  <c r="AS19" i="73" s="1"/>
  <c r="AE12" i="73"/>
  <c r="AE15" i="73"/>
  <c r="AE17" i="73"/>
  <c r="AE16" i="73" s="1"/>
  <c r="AE19" i="73"/>
  <c r="M7" i="73"/>
  <c r="Q7" i="73" s="1"/>
  <c r="U7" i="73" s="1"/>
  <c r="M9" i="73"/>
  <c r="Q9" i="73" s="1"/>
  <c r="U9" i="73" s="1"/>
  <c r="M10" i="73"/>
  <c r="Q10" i="73" s="1"/>
  <c r="U10" i="73" s="1"/>
  <c r="M12" i="73"/>
  <c r="Q12" i="73" s="1"/>
  <c r="U12" i="73" s="1"/>
  <c r="M15" i="73"/>
  <c r="Q15" i="73" s="1"/>
  <c r="U15" i="73" s="1"/>
  <c r="M17" i="73"/>
  <c r="Q17" i="73" s="1"/>
  <c r="U17" i="73" s="1"/>
  <c r="AA19" i="73"/>
  <c r="I7" i="73"/>
  <c r="I9" i="73"/>
  <c r="I10" i="73"/>
  <c r="I12" i="73"/>
  <c r="I15" i="73"/>
  <c r="I17" i="73"/>
  <c r="I16" i="73" s="1"/>
  <c r="I19" i="73"/>
  <c r="F14" i="73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E6" i="73" s="1"/>
  <c r="T136" i="73" l="1"/>
  <c r="AH136" i="73"/>
  <c r="V136" i="73"/>
  <c r="R136" i="73"/>
  <c r="AF136" i="73"/>
  <c r="AD136" i="73"/>
  <c r="E136" i="73"/>
  <c r="J136" i="73"/>
  <c r="AB136" i="73"/>
  <c r="P136" i="73"/>
  <c r="N136" i="73"/>
  <c r="X136" i="73"/>
  <c r="L136" i="73"/>
  <c r="AW19" i="73"/>
  <c r="BE19" i="73" s="1"/>
  <c r="AW15" i="73"/>
  <c r="BE15" i="73" s="1"/>
  <c r="AW12" i="73"/>
  <c r="BE12" i="73" s="1"/>
  <c r="AN174" i="6"/>
  <c r="AN8" i="36" s="1"/>
  <c r="AQ9" i="59" s="1"/>
  <c r="AM174" i="6"/>
  <c r="AA15" i="73"/>
  <c r="AA7" i="73"/>
  <c r="AE7" i="73" s="1"/>
  <c r="AI7" i="73" s="1"/>
  <c r="AO7" i="73" s="1"/>
  <c r="AS7" i="73" s="1"/>
  <c r="AA12" i="73"/>
  <c r="AA9" i="73"/>
  <c r="AE9" i="73" s="1"/>
  <c r="AI9" i="73" s="1"/>
  <c r="AO9" i="73" s="1"/>
  <c r="AS9" i="73" s="1"/>
  <c r="AA10" i="73"/>
  <c r="AE10" i="73" s="1"/>
  <c r="AI10" i="73" s="1"/>
  <c r="AO10" i="73" s="1"/>
  <c r="AS10" i="73" s="1"/>
  <c r="AM125" i="73"/>
  <c r="BC125" i="73" s="1"/>
  <c r="AM8" i="73"/>
  <c r="BC8" i="73" s="1"/>
  <c r="BD174" i="6"/>
  <c r="BD8" i="36" s="1"/>
  <c r="BG9" i="59" s="1"/>
  <c r="BC174" i="6"/>
  <c r="AS17" i="73"/>
  <c r="AW17" i="73" s="1"/>
  <c r="AW16" i="73" s="1"/>
  <c r="AO16" i="73"/>
  <c r="AA17" i="73"/>
  <c r="AA16" i="73" s="1"/>
  <c r="M16" i="73"/>
  <c r="Q16" i="73" s="1"/>
  <c r="U16" i="73" s="1"/>
  <c r="Y6" i="73"/>
  <c r="Y8" i="73"/>
  <c r="Y129" i="73"/>
  <c r="AM133" i="73"/>
  <c r="BC133" i="73" s="1"/>
  <c r="Y125" i="73"/>
  <c r="AM129" i="73"/>
  <c r="BC129" i="73" s="1"/>
  <c r="AM7" i="6"/>
  <c r="F136" i="73"/>
  <c r="H136" i="73"/>
  <c r="I14" i="73"/>
  <c r="AI14" i="73"/>
  <c r="BC14" i="73"/>
  <c r="M14" i="73"/>
  <c r="Q14" i="73" s="1"/>
  <c r="U14" i="73" s="1"/>
  <c r="I6" i="73"/>
  <c r="E5" i="73"/>
  <c r="I8" i="73"/>
  <c r="M6" i="73"/>
  <c r="M8" i="73"/>
  <c r="AI63" i="83"/>
  <c r="AO63" i="83" s="1"/>
  <c r="BE63" i="83" s="1"/>
  <c r="Q6" i="73" l="1"/>
  <c r="U6" i="73" s="1"/>
  <c r="Q8" i="73"/>
  <c r="U8" i="73" s="1"/>
  <c r="AW10" i="73"/>
  <c r="BE10" i="73" s="1"/>
  <c r="AW9" i="73"/>
  <c r="BE9" i="73" s="1"/>
  <c r="AW7" i="73"/>
  <c r="BE7" i="73" s="1"/>
  <c r="AA14" i="73"/>
  <c r="AE14" i="73" s="1"/>
  <c r="AO14" i="73"/>
  <c r="AS16" i="73"/>
  <c r="Y5" i="73"/>
  <c r="AA8" i="73"/>
  <c r="AE8" i="73" s="1"/>
  <c r="AI8" i="73" s="1"/>
  <c r="AO8" i="73" s="1"/>
  <c r="AS8" i="73" s="1"/>
  <c r="AA6" i="73"/>
  <c r="AE6" i="73" s="1"/>
  <c r="AI6" i="73" s="1"/>
  <c r="AO6" i="73" s="1"/>
  <c r="AS6" i="73" s="1"/>
  <c r="AM6" i="73"/>
  <c r="BC6" i="73" s="1"/>
  <c r="AG63" i="83"/>
  <c r="AK63" i="83" s="1"/>
  <c r="AQ63" i="83" s="1"/>
  <c r="AU63" i="83" s="1"/>
  <c r="AY63" i="83" s="1"/>
  <c r="BG63" i="83" s="1"/>
  <c r="M5" i="73"/>
  <c r="Q5" i="73" s="1"/>
  <c r="U5" i="73" s="1"/>
  <c r="I5" i="73"/>
  <c r="AW8" i="73" l="1"/>
  <c r="BE8" i="73" s="1"/>
  <c r="AW6" i="73"/>
  <c r="BE6" i="73" s="1"/>
  <c r="AA5" i="73"/>
  <c r="AE5" i="73" s="1"/>
  <c r="AI5" i="73" s="1"/>
  <c r="AO5" i="73" s="1"/>
  <c r="AS5" i="73" s="1"/>
  <c r="AS14" i="73"/>
  <c r="AW14" i="73" s="1"/>
  <c r="BE17" i="73"/>
  <c r="BE16" i="73" s="1"/>
  <c r="AM5" i="73"/>
  <c r="BC5" i="73" s="1"/>
  <c r="AW5" i="73" l="1"/>
  <c r="BE5" i="73" s="1"/>
  <c r="BE14" i="73" l="1"/>
  <c r="AG98" i="45"/>
  <c r="AK98" i="45" l="1"/>
  <c r="AQ98" i="45" s="1"/>
  <c r="AU98" i="45" s="1"/>
  <c r="AM10" i="17"/>
  <c r="AY98" i="45" l="1"/>
  <c r="AM14" i="17"/>
  <c r="BC10" i="17"/>
  <c r="AH16" i="52"/>
  <c r="AG16" i="52"/>
  <c r="AH9" i="52"/>
  <c r="AG9" i="52"/>
  <c r="BG98" i="45" l="1"/>
  <c r="BC14" i="17"/>
  <c r="AH17" i="52"/>
  <c r="AG17" i="52"/>
  <c r="S58" i="83" l="1"/>
  <c r="W58" i="83" s="1"/>
  <c r="S59" i="83"/>
  <c r="W59" i="83" s="1"/>
  <c r="AI58" i="83"/>
  <c r="AO58" i="83" s="1"/>
  <c r="BE58" i="83" s="1"/>
  <c r="AI59" i="83"/>
  <c r="AO59" i="83" s="1"/>
  <c r="BE59" i="83" s="1"/>
  <c r="AI60" i="83"/>
  <c r="AO60" i="83" s="1"/>
  <c r="BE60" i="83" s="1"/>
  <c r="AG58" i="83" l="1"/>
  <c r="AK58" i="83" s="1"/>
  <c r="AQ58" i="83" s="1"/>
  <c r="AU58" i="83" s="1"/>
  <c r="AY58" i="83" s="1"/>
  <c r="BG58" i="83" s="1"/>
  <c r="AG59" i="83"/>
  <c r="AK59" i="83" s="1"/>
  <c r="AQ59" i="83" s="1"/>
  <c r="AU59" i="83" s="1"/>
  <c r="AY59" i="83" s="1"/>
  <c r="BG59" i="83" s="1"/>
  <c r="M100" i="73"/>
  <c r="Q100" i="73" s="1"/>
  <c r="U100" i="73" s="1"/>
  <c r="AA75" i="73" l="1"/>
  <c r="AE75" i="73" s="1"/>
  <c r="AI75" i="73" s="1"/>
  <c r="AO75" i="73" s="1"/>
  <c r="AS75" i="73" s="1"/>
  <c r="AW75" i="73" s="1"/>
  <c r="AA100" i="73"/>
  <c r="BE73" i="73"/>
  <c r="AC75" i="90" l="1"/>
  <c r="AM75" i="90" s="1"/>
  <c r="BC75" i="90" s="1"/>
  <c r="AC71" i="90"/>
  <c r="AM71" i="90" s="1"/>
  <c r="BC71" i="90" s="1"/>
  <c r="AE100" i="73"/>
  <c r="AI100" i="73" s="1"/>
  <c r="AO100" i="73" l="1"/>
  <c r="AS100" i="73" s="1"/>
  <c r="M71" i="90"/>
  <c r="I71" i="90"/>
  <c r="AA71" i="90"/>
  <c r="BE71" i="90" s="1"/>
  <c r="Q71" i="90"/>
  <c r="AE71" i="90"/>
  <c r="U71" i="90"/>
  <c r="AI71" i="90"/>
  <c r="AO71" i="90"/>
  <c r="AS71" i="90" s="1"/>
  <c r="AW71" i="90" s="1"/>
  <c r="AA75" i="90"/>
  <c r="BE75" i="90" s="1"/>
  <c r="I75" i="90"/>
  <c r="M75" i="90"/>
  <c r="Q75" i="90"/>
  <c r="AE75" i="90"/>
  <c r="AO75" i="90"/>
  <c r="AS75" i="90" s="1"/>
  <c r="AW75" i="90" s="1"/>
  <c r="U75" i="90"/>
  <c r="AI75" i="90"/>
  <c r="AW100" i="73" l="1"/>
  <c r="BE100" i="73" s="1"/>
  <c r="AJ428" i="28"/>
  <c r="AP428" i="28" l="1"/>
  <c r="AJ190" i="28"/>
  <c r="AI70" i="83"/>
  <c r="AI71" i="83"/>
  <c r="AI72" i="83"/>
  <c r="AI73" i="83"/>
  <c r="AI74" i="83"/>
  <c r="AI53" i="83"/>
  <c r="AO53" i="83" s="1"/>
  <c r="BE53" i="83" s="1"/>
  <c r="AI55" i="83"/>
  <c r="AO55" i="83" s="1"/>
  <c r="BE55" i="83" s="1"/>
  <c r="AI56" i="83"/>
  <c r="AO56" i="83" s="1"/>
  <c r="BE56" i="83" s="1"/>
  <c r="AI57" i="83"/>
  <c r="AO57" i="83" s="1"/>
  <c r="BE57" i="83" s="1"/>
  <c r="AI61" i="83"/>
  <c r="AO61" i="83" s="1"/>
  <c r="BE61" i="83" s="1"/>
  <c r="AI62" i="83"/>
  <c r="AO62" i="83" s="1"/>
  <c r="BE62" i="83" s="1"/>
  <c r="AI65" i="83"/>
  <c r="AO65" i="83" s="1"/>
  <c r="BE65" i="83" s="1"/>
  <c r="AI66" i="83"/>
  <c r="AO66" i="83" s="1"/>
  <c r="BE66" i="83" s="1"/>
  <c r="AI67" i="83"/>
  <c r="AO67" i="83" s="1"/>
  <c r="BE67" i="83" s="1"/>
  <c r="AI68" i="83"/>
  <c r="AI52" i="83"/>
  <c r="AI48" i="83"/>
  <c r="AI50" i="83"/>
  <c r="AI46" i="83"/>
  <c r="AI40" i="83"/>
  <c r="AI41" i="83"/>
  <c r="AI42" i="83"/>
  <c r="AI43" i="83"/>
  <c r="AI44" i="83"/>
  <c r="AI39" i="83"/>
  <c r="K19" i="83"/>
  <c r="AI17" i="83"/>
  <c r="AO17" i="83" s="1"/>
  <c r="BE17" i="83" s="1"/>
  <c r="AI18" i="83"/>
  <c r="AO18" i="83" s="1"/>
  <c r="BE18" i="83" s="1"/>
  <c r="AI19" i="83"/>
  <c r="AO19" i="83" s="1"/>
  <c r="BE19" i="83" s="1"/>
  <c r="AI24" i="83"/>
  <c r="AO24" i="83" s="1"/>
  <c r="BE24" i="83" s="1"/>
  <c r="AI25" i="83"/>
  <c r="AO25" i="83" s="1"/>
  <c r="BE25" i="83" s="1"/>
  <c r="AI27" i="83"/>
  <c r="AO27" i="83" s="1"/>
  <c r="BE27" i="83" s="1"/>
  <c r="AI29" i="83"/>
  <c r="AO29" i="83" s="1"/>
  <c r="BE29" i="83" s="1"/>
  <c r="AI30" i="83"/>
  <c r="AO30" i="83" s="1"/>
  <c r="BE30" i="83" s="1"/>
  <c r="AI31" i="83"/>
  <c r="AO31" i="83" s="1"/>
  <c r="BE31" i="83" s="1"/>
  <c r="AI32" i="83"/>
  <c r="AO32" i="83" s="1"/>
  <c r="BE32" i="83" s="1"/>
  <c r="AI33" i="83"/>
  <c r="AO33" i="83" s="1"/>
  <c r="BE33" i="83" s="1"/>
  <c r="AI34" i="83"/>
  <c r="AO34" i="83" s="1"/>
  <c r="BE34" i="83" s="1"/>
  <c r="AI35" i="83"/>
  <c r="AO35" i="83" s="1"/>
  <c r="BE35" i="83" s="1"/>
  <c r="AI36" i="83"/>
  <c r="AO36" i="83" s="1"/>
  <c r="BE36" i="83" s="1"/>
  <c r="AI37" i="83"/>
  <c r="AO37" i="83" s="1"/>
  <c r="BE37" i="83" s="1"/>
  <c r="AI4" i="83"/>
  <c r="AG66" i="45"/>
  <c r="AK66" i="45" s="1"/>
  <c r="AQ66" i="45" s="1"/>
  <c r="AU66" i="45" s="1"/>
  <c r="AY66" i="45" s="1"/>
  <c r="BG66" i="45" l="1"/>
  <c r="AT428" i="28"/>
  <c r="AX428" i="28" s="1"/>
  <c r="BF428" i="28" s="1"/>
  <c r="AP190" i="28"/>
  <c r="AJ407" i="28"/>
  <c r="AJ283" i="28"/>
  <c r="AJ101" i="28"/>
  <c r="BE15" i="61"/>
  <c r="AI75" i="83"/>
  <c r="AI69" i="83"/>
  <c r="S19" i="83"/>
  <c r="W19" i="83" s="1"/>
  <c r="AI38" i="83"/>
  <c r="AI45" i="83"/>
  <c r="AI51" i="83"/>
  <c r="AG52" i="45"/>
  <c r="AP407" i="28" l="1"/>
  <c r="AT190" i="28"/>
  <c r="AK52" i="45"/>
  <c r="AQ52" i="45" s="1"/>
  <c r="AU52" i="45" s="1"/>
  <c r="AP101" i="28"/>
  <c r="AP283" i="28"/>
  <c r="W15" i="61"/>
  <c r="AG19" i="83"/>
  <c r="AK19" i="83" s="1"/>
  <c r="AI76" i="83"/>
  <c r="AX190" i="28" l="1"/>
  <c r="BF190" i="28" s="1"/>
  <c r="AT407" i="28"/>
  <c r="AX407" i="28" s="1"/>
  <c r="BF407" i="28" s="1"/>
  <c r="AY52" i="45"/>
  <c r="AT283" i="28"/>
  <c r="AT101" i="28"/>
  <c r="AG15" i="61"/>
  <c r="AH5" i="36"/>
  <c r="BG52" i="45" l="1"/>
  <c r="AX283" i="28"/>
  <c r="BF283" i="28" s="1"/>
  <c r="AX101" i="28"/>
  <c r="BF101" i="28" s="1"/>
  <c r="AQ19" i="83"/>
  <c r="AU19" i="83" s="1"/>
  <c r="AK15" i="61"/>
  <c r="AQ15" i="61" s="1"/>
  <c r="AU15" i="61" s="1"/>
  <c r="AH13" i="49"/>
  <c r="AH14" i="49" s="1"/>
  <c r="AN14" i="49" s="1"/>
  <c r="BD14" i="49" s="1"/>
  <c r="AK6" i="59"/>
  <c r="AH32" i="36"/>
  <c r="AG54" i="36"/>
  <c r="AG53" i="36"/>
  <c r="AG51" i="36"/>
  <c r="AG49" i="36"/>
  <c r="AG48" i="36"/>
  <c r="AH46" i="36"/>
  <c r="AH54" i="36" s="1"/>
  <c r="AH44" i="36"/>
  <c r="AH52" i="36" s="1"/>
  <c r="AH43" i="36"/>
  <c r="AH51" i="36" s="1"/>
  <c r="AH41" i="36"/>
  <c r="AH40" i="36"/>
  <c r="AH48" i="36" s="1"/>
  <c r="AH38" i="36"/>
  <c r="AI54" i="36"/>
  <c r="AI53" i="36"/>
  <c r="AI51" i="36"/>
  <c r="AI49" i="36"/>
  <c r="AI48" i="36"/>
  <c r="AY15" i="61" l="1"/>
  <c r="BG15" i="61" s="1"/>
  <c r="AY19" i="83"/>
  <c r="BG19" i="83" s="1"/>
  <c r="AH15" i="49"/>
  <c r="AN15" i="49" s="1"/>
  <c r="BD15" i="49" s="1"/>
  <c r="AH42" i="36"/>
  <c r="AH53" i="36"/>
  <c r="AH45" i="36"/>
  <c r="AG50" i="36"/>
  <c r="AI50" i="36"/>
  <c r="AH49" i="36"/>
  <c r="AH50" i="36" s="1"/>
  <c r="AH16" i="49" l="1"/>
  <c r="AN16" i="49" s="1"/>
  <c r="BD16" i="49" s="1"/>
  <c r="AH19" i="36"/>
  <c r="AK57" i="59" s="1"/>
  <c r="AI29" i="36"/>
  <c r="AH7" i="15" s="1"/>
  <c r="AI28" i="36"/>
  <c r="AH6" i="15" s="1"/>
  <c r="AI27" i="36"/>
  <c r="AH5" i="15" s="1"/>
  <c r="AI23" i="36"/>
  <c r="AI22" i="36"/>
  <c r="AI21" i="36"/>
  <c r="AI17" i="36"/>
  <c r="AI16" i="36"/>
  <c r="AI9" i="36"/>
  <c r="AI8" i="36"/>
  <c r="AI7" i="36"/>
  <c r="AI5" i="36"/>
  <c r="AI13" i="49" s="1"/>
  <c r="AH19" i="49" l="1"/>
  <c r="AN19" i="49" s="1"/>
  <c r="BD19" i="49" s="1"/>
  <c r="AG24" i="36"/>
  <c r="AJ75" i="59" s="1"/>
  <c r="AH20" i="49" l="1"/>
  <c r="AJ101" i="50" l="1"/>
  <c r="AJ102" i="50" s="1"/>
  <c r="AH101" i="50"/>
  <c r="AH102" i="50" s="1"/>
  <c r="AI4" i="61" l="1"/>
  <c r="AI16" i="61" s="1"/>
  <c r="AE42" i="72"/>
  <c r="AE34" i="72"/>
  <c r="AE14" i="72"/>
  <c r="AL42" i="59"/>
  <c r="AH1" i="7"/>
  <c r="AH78" i="7" s="1"/>
  <c r="AG1" i="7"/>
  <c r="AG78" i="7" s="1"/>
  <c r="AH162" i="10" l="1"/>
  <c r="AH39" i="36"/>
  <c r="AE44" i="72"/>
  <c r="AE46" i="72" s="1"/>
  <c r="AH163" i="10" l="1"/>
  <c r="AK42" i="59"/>
  <c r="AK43" i="59" l="1"/>
  <c r="AK44" i="59" s="1"/>
  <c r="AI199" i="6" l="1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480" i="28"/>
  <c r="AI479" i="28"/>
  <c r="AH188" i="73" l="1"/>
  <c r="AF188" i="73"/>
  <c r="AH108" i="73"/>
  <c r="AH117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H17" i="36" l="1"/>
  <c r="AK55" i="59" s="1"/>
  <c r="AH16" i="36"/>
  <c r="AK54" i="59" s="1"/>
  <c r="AG29" i="36"/>
  <c r="AG28" i="36"/>
  <c r="AG27" i="36"/>
  <c r="AH26" i="36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G16" i="36"/>
  <c r="AK39" i="59"/>
  <c r="AK38" i="59"/>
  <c r="AK37" i="59"/>
  <c r="AG9" i="36"/>
  <c r="AJ10" i="59" s="1"/>
  <c r="AH8" i="36"/>
  <c r="AK9" i="59" s="1"/>
  <c r="AG8" i="36"/>
  <c r="AJ9" i="59" s="1"/>
  <c r="AH7" i="36"/>
  <c r="AK8" i="59" s="1"/>
  <c r="AG7" i="36"/>
  <c r="AJ8" i="59" s="1"/>
  <c r="AG5" i="36"/>
  <c r="AF5" i="15" l="1"/>
  <c r="AJ77" i="59"/>
  <c r="AF6" i="15"/>
  <c r="AJ78" i="59"/>
  <c r="AF7" i="15"/>
  <c r="AJ79" i="59"/>
  <c r="AG13" i="49"/>
  <c r="AG14" i="49" s="1"/>
  <c r="AJ6" i="59"/>
  <c r="AG89" i="9"/>
  <c r="AJ54" i="59"/>
  <c r="AG90" i="9"/>
  <c r="AJ55" i="59"/>
  <c r="AG32" i="36"/>
  <c r="AG39" i="36" s="1"/>
  <c r="AG40" i="36"/>
  <c r="AG42" i="36" s="1"/>
  <c r="AG43" i="36"/>
  <c r="AG45" i="36" s="1"/>
  <c r="AG46" i="36"/>
  <c r="AH9" i="36"/>
  <c r="AK10" i="59" s="1"/>
  <c r="AH15" i="36"/>
  <c r="AH75" i="8" s="1"/>
  <c r="AH18" i="36"/>
  <c r="AK56" i="59" s="1"/>
  <c r="AK40" i="59"/>
  <c r="AG15" i="49" l="1"/>
  <c r="AM14" i="49"/>
  <c r="BC14" i="49" s="1"/>
  <c r="AG91" i="9"/>
  <c r="AG19" i="9"/>
  <c r="AK53" i="59"/>
  <c r="AG38" i="36"/>
  <c r="AG16" i="49" l="1"/>
  <c r="AM15" i="49"/>
  <c r="BC15" i="49" s="1"/>
  <c r="AH33" i="36"/>
  <c r="AM16" i="49" l="1"/>
  <c r="BC16" i="49" s="1"/>
  <c r="AG19" i="49"/>
  <c r="AG33" i="36"/>
  <c r="AG34" i="36" s="1"/>
  <c r="AG35" i="36" s="1"/>
  <c r="AG36" i="36" s="1"/>
  <c r="AH34" i="36"/>
  <c r="AH95" i="50"/>
  <c r="AH93" i="50" s="1"/>
  <c r="AG20" i="49" l="1"/>
  <c r="AM19" i="49"/>
  <c r="BC19" i="49" s="1"/>
  <c r="AH35" i="36"/>
  <c r="AH36" i="36" s="1"/>
  <c r="AG55" i="35"/>
  <c r="S60" i="83"/>
  <c r="AI79" i="83" l="1"/>
  <c r="AH55" i="35"/>
  <c r="AH25" i="36"/>
  <c r="AK76" i="59" s="1"/>
  <c r="W60" i="83"/>
  <c r="X53" i="26"/>
  <c r="AG60" i="83" l="1"/>
  <c r="AK60" i="83" s="1"/>
  <c r="AQ60" i="83" s="1"/>
  <c r="AU60" i="83" s="1"/>
  <c r="AY60" i="83" s="1"/>
  <c r="BG60" i="83" s="1"/>
  <c r="AI77" i="83"/>
  <c r="AF159" i="9" l="1"/>
  <c r="AF158" i="9"/>
  <c r="AF157" i="9"/>
  <c r="J13" i="7" l="1"/>
  <c r="AE22" i="73"/>
  <c r="AE70" i="83" l="1"/>
  <c r="AE71" i="83"/>
  <c r="AE72" i="83"/>
  <c r="AE73" i="83"/>
  <c r="AE74" i="83"/>
  <c r="AE68" i="83"/>
  <c r="AO68" i="83" s="1"/>
  <c r="BE68" i="83" s="1"/>
  <c r="AE52" i="83"/>
  <c r="AO52" i="83" s="1"/>
  <c r="BE52" i="83" s="1"/>
  <c r="AE48" i="83"/>
  <c r="AO48" i="83" s="1"/>
  <c r="BE48" i="83" s="1"/>
  <c r="AE50" i="83"/>
  <c r="AO50" i="83" s="1"/>
  <c r="BE50" i="83" s="1"/>
  <c r="AE46" i="83"/>
  <c r="AO46" i="83" s="1"/>
  <c r="BE46" i="83" s="1"/>
  <c r="AA48" i="83"/>
  <c r="AC48" i="83" s="1"/>
  <c r="W48" i="83"/>
  <c r="W50" i="83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44" i="83"/>
  <c r="AO44" i="83" s="1"/>
  <c r="BE44" i="83" s="1"/>
  <c r="AE39" i="83"/>
  <c r="AO39" i="83" s="1"/>
  <c r="BE39" i="83" s="1"/>
  <c r="AG13" i="83"/>
  <c r="AK13" i="83" s="1"/>
  <c r="G91" i="50"/>
  <c r="AD16" i="52"/>
  <c r="BE51" i="83" l="1"/>
  <c r="AO74" i="83"/>
  <c r="BE74" i="83" s="1"/>
  <c r="AO73" i="83"/>
  <c r="BE73" i="83" s="1"/>
  <c r="AO72" i="83"/>
  <c r="BE72" i="83" s="1"/>
  <c r="AO71" i="83"/>
  <c r="BE71" i="83" s="1"/>
  <c r="AO70" i="83"/>
  <c r="BE70" i="83" s="1"/>
  <c r="AO51" i="83"/>
  <c r="AO45" i="83"/>
  <c r="BE45" i="83" s="1"/>
  <c r="AG48" i="83"/>
  <c r="AK48" i="83" s="1"/>
  <c r="AQ48" i="83" s="1"/>
  <c r="AU48" i="83" s="1"/>
  <c r="AY48" i="83" s="1"/>
  <c r="BG48" i="83" s="1"/>
  <c r="AE51" i="83"/>
  <c r="AE45" i="83"/>
  <c r="AE75" i="83"/>
  <c r="AO75" i="83" l="1"/>
  <c r="BE75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6" i="52"/>
  <c r="AM39" i="27" l="1"/>
  <c r="BC36" i="27"/>
  <c r="BC39" i="27" s="1"/>
  <c r="AM24" i="27"/>
  <c r="BC21" i="27"/>
  <c r="BC24" i="27" s="1"/>
  <c r="AL20" i="27"/>
  <c r="AM26" i="27"/>
  <c r="AD17" i="52"/>
  <c r="AC17" i="52"/>
  <c r="AM33" i="27" l="1"/>
  <c r="BC26" i="27"/>
  <c r="BC33" i="27" s="1"/>
  <c r="AL24" i="27"/>
  <c r="BB20" i="27"/>
  <c r="BB24" i="27" s="1"/>
  <c r="AM29" i="15"/>
  <c r="BC29" i="15" s="1"/>
  <c r="AM24" i="15"/>
  <c r="BC24" i="15" s="1"/>
  <c r="AM23" i="15"/>
  <c r="BC23" i="15" s="1"/>
  <c r="AM22" i="15"/>
  <c r="BC22" i="15" s="1"/>
  <c r="AM21" i="15"/>
  <c r="BC21" i="15" s="1"/>
  <c r="AM20" i="15"/>
  <c r="BC20" i="15" s="1"/>
  <c r="AM14" i="15"/>
  <c r="BC14" i="15" s="1"/>
  <c r="AM10" i="15"/>
  <c r="AM30" i="15" l="1"/>
  <c r="BC30" i="15" s="1"/>
  <c r="AM28" i="15"/>
  <c r="BC28" i="15" s="1"/>
  <c r="AN24" i="22"/>
  <c r="AN10" i="22"/>
  <c r="AL11" i="15"/>
  <c r="BB11" i="15" s="1"/>
  <c r="BB12" i="15" s="1"/>
  <c r="AN12" i="22" l="1"/>
  <c r="BD10" i="22"/>
  <c r="BD12" i="22" s="1"/>
  <c r="AN26" i="22"/>
  <c r="BD24" i="22"/>
  <c r="BD26" i="22" s="1"/>
  <c r="AM31" i="15"/>
  <c r="AN15" i="22"/>
  <c r="BD15" i="22" s="1"/>
  <c r="AM26" i="17"/>
  <c r="BC26" i="17" s="1"/>
  <c r="AD90" i="17"/>
  <c r="AH90" i="17" s="1"/>
  <c r="AM88" i="17"/>
  <c r="BC88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7" i="17" s="1"/>
  <c r="BB52" i="17"/>
  <c r="BB53" i="17" s="1"/>
  <c r="BB117" i="17" s="1"/>
  <c r="BC13" i="17"/>
  <c r="BC11" i="17"/>
  <c r="BB45" i="17"/>
  <c r="AL49" i="17"/>
  <c r="BB48" i="17"/>
  <c r="BB49" i="17" s="1"/>
  <c r="AM35" i="15"/>
  <c r="BC31" i="15"/>
  <c r="BC35" i="15" s="1"/>
  <c r="AL116" i="17"/>
  <c r="AL11" i="17"/>
  <c r="AM91" i="17"/>
  <c r="BC91" i="17" s="1"/>
  <c r="AN90" i="17"/>
  <c r="AR90" i="17" s="1"/>
  <c r="AV90" i="17" s="1"/>
  <c r="AL90" i="17"/>
  <c r="AM13" i="17"/>
  <c r="AM11" i="17"/>
  <c r="AL16" i="17"/>
  <c r="AM16" i="17"/>
  <c r="AM35" i="17"/>
  <c r="AL50" i="17"/>
  <c r="AL45" i="17"/>
  <c r="AM52" i="17"/>
  <c r="AL22" i="17"/>
  <c r="AM15" i="15"/>
  <c r="AL91" i="17" l="1"/>
  <c r="BB91" i="17" s="1"/>
  <c r="AL51" i="17"/>
  <c r="AL60" i="17"/>
  <c r="BB116" i="17"/>
  <c r="AL30" i="17"/>
  <c r="BB16" i="17"/>
  <c r="BB30" i="17" s="1"/>
  <c r="BD90" i="17"/>
  <c r="AZ90" i="17"/>
  <c r="BC15" i="17"/>
  <c r="AM116" i="17"/>
  <c r="AM118" i="17" s="1"/>
  <c r="BC52" i="17"/>
  <c r="BB51" i="17"/>
  <c r="AM33" i="17"/>
  <c r="BC16" i="17"/>
  <c r="BB50" i="17"/>
  <c r="BB31" i="17"/>
  <c r="BB32" i="17"/>
  <c r="BB34" i="17"/>
  <c r="AN34" i="35"/>
  <c r="AE123" i="50"/>
  <c r="AO123" i="50" s="1"/>
  <c r="BE123" i="50" s="1"/>
  <c r="AM16" i="15"/>
  <c r="BC15" i="15"/>
  <c r="BC16" i="15" s="1"/>
  <c r="AL35" i="17"/>
  <c r="BB35" i="17" s="1"/>
  <c r="AM34" i="17"/>
  <c r="AM31" i="17"/>
  <c r="AM32" i="17"/>
  <c r="AM30" i="17"/>
  <c r="AM15" i="17"/>
  <c r="AL115" i="17"/>
  <c r="AL119" i="17" s="1"/>
  <c r="AL55" i="17"/>
  <c r="AL114" i="17"/>
  <c r="AL118" i="17" s="1"/>
  <c r="AL54" i="17"/>
  <c r="AL34" i="17"/>
  <c r="AL31" i="17"/>
  <c r="AL32" i="17"/>
  <c r="AM53" i="17"/>
  <c r="AM117" i="17" s="1"/>
  <c r="AM119" i="17" s="1"/>
  <c r="AM54" i="17"/>
  <c r="AM55" i="17" s="1"/>
  <c r="BC30" i="17" l="1"/>
  <c r="BC34" i="17"/>
  <c r="BC32" i="17"/>
  <c r="BC31" i="17"/>
  <c r="BC33" i="17"/>
  <c r="BC53" i="17"/>
  <c r="BC117" i="17" s="1"/>
  <c r="BC119" i="17" s="1"/>
  <c r="BC54" i="17"/>
  <c r="BC55" i="17" s="1"/>
  <c r="BC116" i="17"/>
  <c r="BC118" i="17" s="1"/>
  <c r="BB115" i="17"/>
  <c r="BB119" i="17" s="1"/>
  <c r="BB55" i="17"/>
  <c r="BB54" i="17"/>
  <c r="BB114" i="17"/>
  <c r="BB118" i="17" s="1"/>
  <c r="BC35" i="17"/>
  <c r="AN36" i="35"/>
  <c r="BD34" i="35"/>
  <c r="AC24" i="36"/>
  <c r="AF75" i="59" s="1"/>
  <c r="AM96" i="26"/>
  <c r="BC96" i="26" s="1"/>
  <c r="AL112" i="26"/>
  <c r="BB112" i="26" s="1"/>
  <c r="AL110" i="26"/>
  <c r="BB110" i="26" s="1"/>
  <c r="AL100" i="26"/>
  <c r="BB100" i="26" s="1"/>
  <c r="AB87" i="17"/>
  <c r="AL80" i="26"/>
  <c r="BB80" i="26" s="1"/>
  <c r="AL78" i="26"/>
  <c r="BB78" i="26" s="1"/>
  <c r="AL73" i="26"/>
  <c r="BB73" i="26" s="1"/>
  <c r="AL71" i="26"/>
  <c r="BB71" i="26" s="1"/>
  <c r="AB85" i="17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B84" i="17"/>
  <c r="AB26" i="17"/>
  <c r="AB33" i="17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C191" i="6"/>
  <c r="AL31" i="26"/>
  <c r="BB31" i="26" s="1"/>
  <c r="AC97" i="9"/>
  <c r="AL59" i="26"/>
  <c r="BB59" i="26" s="1"/>
  <c r="BC89" i="8" s="1"/>
  <c r="AL67" i="26"/>
  <c r="BB67" i="26" s="1"/>
  <c r="AC76" i="11"/>
  <c r="AL102" i="26"/>
  <c r="BB102" i="26" s="1"/>
  <c r="AC98" i="9"/>
  <c r="AL25" i="26"/>
  <c r="BB25" i="26" s="1"/>
  <c r="BC88" i="8" s="1"/>
  <c r="AC88" i="8"/>
  <c r="AL39" i="26"/>
  <c r="BB39" i="26" s="1"/>
  <c r="AD140" i="45"/>
  <c r="AL61" i="26"/>
  <c r="BB61" i="26" s="1"/>
  <c r="BC192" i="6" s="1"/>
  <c r="AC192" i="6"/>
  <c r="AL69" i="26"/>
  <c r="BB69" i="26" s="1"/>
  <c r="AD141" i="45"/>
  <c r="AL104" i="26"/>
  <c r="BB104" i="26" s="1"/>
  <c r="AC177" i="10"/>
  <c r="AL37" i="26"/>
  <c r="BB37" i="26" s="1"/>
  <c r="AC75" i="11"/>
  <c r="AL35" i="26"/>
  <c r="BB35" i="26" s="1"/>
  <c r="AC174" i="10"/>
  <c r="AL106" i="26"/>
  <c r="BB106" i="26" s="1"/>
  <c r="AC78" i="11"/>
  <c r="AL21" i="26"/>
  <c r="AC166" i="6"/>
  <c r="AL43" i="26"/>
  <c r="AM84" i="7" s="1"/>
  <c r="BC84" i="7" s="1"/>
  <c r="AC84" i="7"/>
  <c r="AL65" i="26"/>
  <c r="BB65" i="26" s="1"/>
  <c r="AC175" i="10"/>
  <c r="AL108" i="26"/>
  <c r="BB108" i="26" s="1"/>
  <c r="AD143" i="45"/>
  <c r="AM166" i="6"/>
  <c r="BB21" i="26"/>
  <c r="BC166" i="6" s="1"/>
  <c r="BB82" i="26"/>
  <c r="BD36" i="35"/>
  <c r="BD37" i="35" s="1"/>
  <c r="BE95" i="50" s="1"/>
  <c r="AN48" i="35"/>
  <c r="BD48" i="35" s="1"/>
  <c r="AN37" i="35"/>
  <c r="AO95" i="50" s="1"/>
  <c r="AE9" i="50"/>
  <c r="AO9" i="50" s="1"/>
  <c r="BE9" i="50" s="1"/>
  <c r="AK23" i="50"/>
  <c r="AQ23" i="50" s="1"/>
  <c r="AU23" i="50" s="1"/>
  <c r="AY23" i="50" s="1"/>
  <c r="BG23" i="50" s="1"/>
  <c r="BB83" i="26"/>
  <c r="AL50" i="26"/>
  <c r="AL51" i="26" s="1"/>
  <c r="BB48" i="26"/>
  <c r="BB50" i="26" s="1"/>
  <c r="AM191" i="6"/>
  <c r="BB23" i="26"/>
  <c r="BC191" i="6" s="1"/>
  <c r="BB12" i="26"/>
  <c r="BB19" i="26" s="1"/>
  <c r="AN85" i="8"/>
  <c r="AN87" i="8" s="1"/>
  <c r="AL83" i="26"/>
  <c r="AE4" i="83"/>
  <c r="AL98" i="26"/>
  <c r="BB98" i="26" s="1"/>
  <c r="AL82" i="26"/>
  <c r="AL63" i="26"/>
  <c r="BB63" i="26" s="1"/>
  <c r="BB85" i="17" s="1"/>
  <c r="AL29" i="26"/>
  <c r="BB29" i="26" s="1"/>
  <c r="BB84" i="17" s="1"/>
  <c r="AL26" i="17"/>
  <c r="AL27" i="26"/>
  <c r="AL12" i="26"/>
  <c r="AL19" i="26" s="1"/>
  <c r="AM47" i="26"/>
  <c r="BC47" i="26" s="1"/>
  <c r="AM7" i="26"/>
  <c r="BC7" i="26" s="1"/>
  <c r="AM192" i="6" l="1"/>
  <c r="AM89" i="8"/>
  <c r="BB43" i="26"/>
  <c r="AL85" i="26"/>
  <c r="BB85" i="26" s="1"/>
  <c r="BB94" i="26" s="1"/>
  <c r="AB86" i="17"/>
  <c r="AL56" i="26"/>
  <c r="AN86" i="8"/>
  <c r="BD85" i="8"/>
  <c r="BD86" i="8" s="1"/>
  <c r="BB75" i="26"/>
  <c r="AL33" i="17"/>
  <c r="BB26" i="17"/>
  <c r="BB33" i="17" s="1"/>
  <c r="BB18" i="26"/>
  <c r="BB13" i="26"/>
  <c r="BB114" i="26"/>
  <c r="BB87" i="17"/>
  <c r="BD153" i="10"/>
  <c r="AN154" i="10"/>
  <c r="AN153" i="10"/>
  <c r="AE105" i="50"/>
  <c r="AO105" i="50" s="1"/>
  <c r="BE105" i="50" s="1"/>
  <c r="BB51" i="26"/>
  <c r="BB56" i="26"/>
  <c r="AL45" i="26"/>
  <c r="BB27" i="26"/>
  <c r="AN200" i="10"/>
  <c r="AO4" i="83"/>
  <c r="AE38" i="83"/>
  <c r="AL114" i="26"/>
  <c r="AL87" i="17"/>
  <c r="AL88" i="17" s="1"/>
  <c r="AL85" i="17"/>
  <c r="AL75" i="26"/>
  <c r="AL13" i="26"/>
  <c r="AL18" i="26"/>
  <c r="AL84" i="17"/>
  <c r="AL57" i="26"/>
  <c r="BB57" i="26" s="1"/>
  <c r="AO38" i="83" l="1"/>
  <c r="BE38" i="83" s="1"/>
  <c r="BE4" i="83"/>
  <c r="AL94" i="26"/>
  <c r="BB86" i="17"/>
  <c r="BB45" i="26"/>
  <c r="AL86" i="17"/>
  <c r="BD87" i="8"/>
  <c r="BD154" i="10"/>
  <c r="BD200" i="10"/>
  <c r="AN161" i="10"/>
  <c r="BD191" i="10"/>
  <c r="BD195" i="10" s="1"/>
  <c r="BD197" i="10"/>
  <c r="AN201" i="10"/>
  <c r="AN178" i="10"/>
  <c r="AQ66" i="59" s="1"/>
  <c r="AN191" i="10"/>
  <c r="AN195" i="10" s="1"/>
  <c r="AN197" i="10"/>
  <c r="AN188" i="6"/>
  <c r="BD161" i="10" l="1"/>
  <c r="BD21" i="36" s="1"/>
  <c r="BD178" i="10"/>
  <c r="BG66" i="59" s="1"/>
  <c r="BD201" i="10"/>
  <c r="AN190" i="6"/>
  <c r="BD188" i="6"/>
  <c r="BD193" i="10"/>
  <c r="AQ64" i="59"/>
  <c r="AN21" i="36"/>
  <c r="AN193" i="10"/>
  <c r="AE41" i="50"/>
  <c r="AO41" i="50" s="1"/>
  <c r="BE41" i="50" s="1"/>
  <c r="AE42" i="50"/>
  <c r="AO42" i="50" s="1"/>
  <c r="BE42" i="50" s="1"/>
  <c r="AE43" i="50"/>
  <c r="AO43" i="50" s="1"/>
  <c r="BE43" i="50" s="1"/>
  <c r="AE44" i="50"/>
  <c r="AO44" i="50" s="1"/>
  <c r="BE44" i="50" s="1"/>
  <c r="AE45" i="50"/>
  <c r="AO45" i="50" s="1"/>
  <c r="BE45" i="50" s="1"/>
  <c r="AE46" i="50"/>
  <c r="AO46" i="50" s="1"/>
  <c r="BE46" i="50" s="1"/>
  <c r="AE4" i="50"/>
  <c r="AC74" i="90"/>
  <c r="AM74" i="90" s="1"/>
  <c r="BC74" i="90" s="1"/>
  <c r="AC78" i="90"/>
  <c r="AM78" i="90" s="1"/>
  <c r="BC78" i="90" s="1"/>
  <c r="AC82" i="90"/>
  <c r="AM82" i="90" s="1"/>
  <c r="BC82" i="90" s="1"/>
  <c r="G56" i="71"/>
  <c r="H56" i="71"/>
  <c r="J56" i="71"/>
  <c r="K56" i="71"/>
  <c r="L56" i="71"/>
  <c r="O56" i="71"/>
  <c r="P56" i="71"/>
  <c r="Q56" i="71"/>
  <c r="S56" i="71"/>
  <c r="T56" i="71"/>
  <c r="U56" i="71"/>
  <c r="Y56" i="71"/>
  <c r="Z56" i="71"/>
  <c r="AA56" i="71"/>
  <c r="AC56" i="71"/>
  <c r="AD56" i="71"/>
  <c r="AE56" i="71"/>
  <c r="AH56" i="71"/>
  <c r="AI56" i="71"/>
  <c r="AJ56" i="71"/>
  <c r="AL56" i="71"/>
  <c r="AO56" i="71" s="1"/>
  <c r="AM56" i="71"/>
  <c r="AN56" i="71"/>
  <c r="AB56" i="71" l="1"/>
  <c r="AK56" i="71"/>
  <c r="AP56" i="71" s="1"/>
  <c r="AF56" i="71"/>
  <c r="AG56" i="71" s="1"/>
  <c r="AW56" i="71"/>
  <c r="Y58" i="71"/>
  <c r="AC79" i="90"/>
  <c r="AM79" i="90" s="1"/>
  <c r="BC79" i="90" s="1"/>
  <c r="AC87" i="90"/>
  <c r="AM87" i="90" s="1"/>
  <c r="BC87" i="90" s="1"/>
  <c r="AC76" i="90"/>
  <c r="AM76" i="90" s="1"/>
  <c r="BC76" i="90" s="1"/>
  <c r="AC86" i="90"/>
  <c r="AM86" i="90" s="1"/>
  <c r="BC86" i="90" s="1"/>
  <c r="AC68" i="90"/>
  <c r="AC84" i="90"/>
  <c r="AM84" i="90" s="1"/>
  <c r="BC84" i="90" s="1"/>
  <c r="AE128" i="50"/>
  <c r="AC77" i="90"/>
  <c r="AM77" i="90" s="1"/>
  <c r="BC77" i="90" s="1"/>
  <c r="AC83" i="90"/>
  <c r="AM83" i="90" s="1"/>
  <c r="BC83" i="90" s="1"/>
  <c r="AC80" i="90"/>
  <c r="AM80" i="90" s="1"/>
  <c r="BC80" i="90" s="1"/>
  <c r="AC70" i="90"/>
  <c r="AM70" i="90" s="1"/>
  <c r="BC70" i="90" s="1"/>
  <c r="AC81" i="90"/>
  <c r="AM81" i="90" s="1"/>
  <c r="BC81" i="90" s="1"/>
  <c r="AC69" i="90"/>
  <c r="AM69" i="90" s="1"/>
  <c r="BC69" i="90" s="1"/>
  <c r="AE39" i="50"/>
  <c r="AO4" i="50"/>
  <c r="AE127" i="50"/>
  <c r="BS56" i="71"/>
  <c r="BS58" i="71" s="1"/>
  <c r="BG64" i="59"/>
  <c r="BD190" i="6"/>
  <c r="AO4" i="61"/>
  <c r="BE4" i="61" s="1"/>
  <c r="BE14" i="61"/>
  <c r="BE13" i="61"/>
  <c r="AE40" i="50"/>
  <c r="AF31" i="36"/>
  <c r="AQ56" i="71" l="1"/>
  <c r="AC88" i="90"/>
  <c r="AC95" i="90" s="1"/>
  <c r="AM68" i="90"/>
  <c r="BC68" i="90" s="1"/>
  <c r="AO39" i="50"/>
  <c r="AN162" i="10" s="1"/>
  <c r="AN163" i="10" s="1"/>
  <c r="BE4" i="50"/>
  <c r="BE39" i="50" s="1"/>
  <c r="AE47" i="50"/>
  <c r="AE92" i="50" s="1"/>
  <c r="AO40" i="50"/>
  <c r="AE106" i="50"/>
  <c r="AD162" i="10"/>
  <c r="AD163" i="10" s="1"/>
  <c r="AE124" i="50"/>
  <c r="AO124" i="50" s="1"/>
  <c r="AE120" i="50"/>
  <c r="AO120" i="50" s="1"/>
  <c r="BE120" i="50" s="1"/>
  <c r="BE16" i="61"/>
  <c r="AO16" i="61"/>
  <c r="AO69" i="83"/>
  <c r="BE69" i="83" s="1"/>
  <c r="AE69" i="83"/>
  <c r="AE76" i="83" s="1"/>
  <c r="AO76" i="83" s="1"/>
  <c r="BE76" i="83" s="1"/>
  <c r="AO125" i="50" l="1"/>
  <c r="BE124" i="50"/>
  <c r="BE125" i="50" s="1"/>
  <c r="AC101" i="90"/>
  <c r="AC125" i="90"/>
  <c r="AC128" i="90" s="1"/>
  <c r="AO47" i="50"/>
  <c r="AO92" i="50" s="1"/>
  <c r="AO93" i="50" s="1"/>
  <c r="BE40" i="50"/>
  <c r="BE47" i="50" s="1"/>
  <c r="BE92" i="50" s="1"/>
  <c r="BE93" i="50" s="1"/>
  <c r="AE116" i="50"/>
  <c r="AO116" i="50" s="1"/>
  <c r="BE116" i="50" s="1"/>
  <c r="BD162" i="10"/>
  <c r="BD163" i="10" s="1"/>
  <c r="AE108" i="50"/>
  <c r="AO106" i="50"/>
  <c r="AE107" i="50"/>
  <c r="AE125" i="50"/>
  <c r="AE126" i="50"/>
  <c r="AO126" i="50" s="1"/>
  <c r="BE126" i="50" s="1"/>
  <c r="AE31" i="36"/>
  <c r="AO107" i="50" l="1"/>
  <c r="BE106" i="50"/>
  <c r="BE107" i="50" s="1"/>
  <c r="AE113" i="50"/>
  <c r="AO108" i="50"/>
  <c r="BE86" i="73"/>
  <c r="BE75" i="73"/>
  <c r="AO113" i="50" l="1"/>
  <c r="BE108" i="50"/>
  <c r="BE113" i="50" s="1"/>
  <c r="AN436" i="28"/>
  <c r="BD436" i="28" s="1"/>
  <c r="AJ422" i="28" l="1"/>
  <c r="AP422" i="28" l="1"/>
  <c r="AJ387" i="28"/>
  <c r="AJ382" i="28"/>
  <c r="AJ389" i="28"/>
  <c r="AJ384" i="28"/>
  <c r="AJ177" i="28"/>
  <c r="AN39" i="35"/>
  <c r="BD39" i="35" s="1"/>
  <c r="AH52" i="38"/>
  <c r="AG52" i="38"/>
  <c r="AG47" i="38"/>
  <c r="AQ47" i="38" s="1"/>
  <c r="AG46" i="38"/>
  <c r="AQ46" i="38" s="1"/>
  <c r="AG45" i="38"/>
  <c r="AQ45" i="38" s="1"/>
  <c r="AG44" i="38"/>
  <c r="AQ44" i="38" s="1"/>
  <c r="AH43" i="38"/>
  <c r="AG42" i="38"/>
  <c r="AH41" i="38"/>
  <c r="AH90" i="38" s="1"/>
  <c r="AG39" i="38"/>
  <c r="AQ39" i="38" s="1"/>
  <c r="AG38" i="38"/>
  <c r="AQ38" i="38" s="1"/>
  <c r="AG37" i="38"/>
  <c r="AQ37" i="38" s="1"/>
  <c r="AG36" i="38"/>
  <c r="AH35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1" i="8" s="1"/>
  <c r="AQ22" i="38"/>
  <c r="AQ21" i="38"/>
  <c r="BG21" i="38" s="1"/>
  <c r="AQ20" i="38"/>
  <c r="BG20" i="38" s="1"/>
  <c r="BC193" i="6" s="1"/>
  <c r="AQ15" i="38"/>
  <c r="AQ14" i="38"/>
  <c r="AQ11" i="38"/>
  <c r="AQ10" i="38"/>
  <c r="AQ9" i="38"/>
  <c r="AQ8" i="38"/>
  <c r="AQ7" i="38"/>
  <c r="AT422" i="28" l="1"/>
  <c r="AX422" i="28" s="1"/>
  <c r="BF422" i="28" s="1"/>
  <c r="AP389" i="28"/>
  <c r="AP382" i="28"/>
  <c r="AP177" i="28"/>
  <c r="AP384" i="28"/>
  <c r="AP387" i="28"/>
  <c r="AR43" i="38"/>
  <c r="AR92" i="38" s="1"/>
  <c r="AH92" i="38"/>
  <c r="AH84" i="38"/>
  <c r="AH18" i="38"/>
  <c r="AQ36" i="38"/>
  <c r="BG36" i="38" s="1"/>
  <c r="BC167" i="6" s="1"/>
  <c r="AC167" i="6"/>
  <c r="AC168" i="6" s="1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1" i="8"/>
  <c r="AG41" i="3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G35" i="38"/>
  <c r="AQ19" i="38"/>
  <c r="AH40" i="38"/>
  <c r="AH89" i="38" s="1"/>
  <c r="AQ6" i="38"/>
  <c r="AG43" i="38"/>
  <c r="AQ43" i="38" s="1"/>
  <c r="AQ13" i="38"/>
  <c r="BH43" i="38" l="1"/>
  <c r="BH92" i="38" s="1"/>
  <c r="AT384" i="28"/>
  <c r="AT387" i="28"/>
  <c r="AT382" i="28"/>
  <c r="AT389" i="28"/>
  <c r="AT177" i="28"/>
  <c r="AJ328" i="28"/>
  <c r="AJ195" i="28"/>
  <c r="AM167" i="6"/>
  <c r="AQ85" i="38"/>
  <c r="AH17" i="38"/>
  <c r="AH67" i="38"/>
  <c r="AD26" i="36"/>
  <c r="AD25" i="36"/>
  <c r="AG76" i="59" s="1"/>
  <c r="AQ35" i="38"/>
  <c r="BG35" i="38" s="1"/>
  <c r="BG84" i="38" s="1"/>
  <c r="AG18" i="38"/>
  <c r="AQ18" i="38" s="1"/>
  <c r="BG18" i="38" s="1"/>
  <c r="BG67" i="38" s="1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6" i="38"/>
  <c r="AG40" i="38"/>
  <c r="AQ40" i="38" s="1"/>
  <c r="AG37" i="45"/>
  <c r="AF101" i="50"/>
  <c r="AF102" i="50" s="1"/>
  <c r="AD101" i="50"/>
  <c r="AD102" i="50" s="1"/>
  <c r="AE100" i="50"/>
  <c r="AK100" i="50" s="1"/>
  <c r="AE99" i="50"/>
  <c r="AK99" i="50" s="1"/>
  <c r="AO157" i="45"/>
  <c r="AO143" i="45"/>
  <c r="BE143" i="45" s="1"/>
  <c r="AN143" i="45"/>
  <c r="BD143" i="45" s="1"/>
  <c r="AO141" i="45"/>
  <c r="BE141" i="45" s="1"/>
  <c r="AN141" i="45"/>
  <c r="BD141" i="45" s="1"/>
  <c r="AO140" i="45"/>
  <c r="BE140" i="45" s="1"/>
  <c r="AN140" i="45"/>
  <c r="BD140" i="45" s="1"/>
  <c r="AN138" i="45"/>
  <c r="AN137" i="45"/>
  <c r="BD137" i="45" s="1"/>
  <c r="AN78" i="11"/>
  <c r="BD78" i="11" s="1"/>
  <c r="AM78" i="11"/>
  <c r="BC78" i="11" s="1"/>
  <c r="AN76" i="11"/>
  <c r="BD76" i="11" s="1"/>
  <c r="AM76" i="11"/>
  <c r="BC76" i="11" s="1"/>
  <c r="AN75" i="11"/>
  <c r="BD75" i="11" s="1"/>
  <c r="AM75" i="11"/>
  <c r="BC75" i="11" s="1"/>
  <c r="AN73" i="11"/>
  <c r="AN74" i="11" s="1"/>
  <c r="AM72" i="11"/>
  <c r="BC72" i="11" s="1"/>
  <c r="AN66" i="11"/>
  <c r="AQ84" i="38" l="1"/>
  <c r="AH66" i="38"/>
  <c r="AH98" i="38" s="1"/>
  <c r="AH49" i="38"/>
  <c r="BH16" i="38"/>
  <c r="BH65" i="38" s="1"/>
  <c r="AX389" i="28"/>
  <c r="BF389" i="28" s="1"/>
  <c r="AX382" i="28"/>
  <c r="BF382" i="28" s="1"/>
  <c r="AX387" i="28"/>
  <c r="BF387" i="28" s="1"/>
  <c r="AX384" i="28"/>
  <c r="BF384" i="28" s="1"/>
  <c r="AX177" i="28"/>
  <c r="BF177" i="28" s="1"/>
  <c r="AK37" i="45"/>
  <c r="AQ37" i="45" s="1"/>
  <c r="AU37" i="45" s="1"/>
  <c r="AP195" i="28"/>
  <c r="AP328" i="28"/>
  <c r="AR17" i="38"/>
  <c r="BH17" i="38" s="1"/>
  <c r="BH66" i="38" s="1"/>
  <c r="AG17" i="38"/>
  <c r="AG49" i="38" s="1"/>
  <c r="BH18" i="38"/>
  <c r="BH67" i="38" s="1"/>
  <c r="AN67" i="11"/>
  <c r="BD66" i="11"/>
  <c r="BD67" i="11" s="1"/>
  <c r="BD73" i="11"/>
  <c r="BD74" i="11" s="1"/>
  <c r="AE115" i="50"/>
  <c r="AE119" i="50"/>
  <c r="AO162" i="45"/>
  <c r="BE157" i="45"/>
  <c r="BE162" i="45" s="1"/>
  <c r="AG55" i="45"/>
  <c r="AG71" i="45"/>
  <c r="AK71" i="45" s="1"/>
  <c r="AQ71" i="45" s="1"/>
  <c r="AU71" i="45" s="1"/>
  <c r="AY71" i="45" s="1"/>
  <c r="BD138" i="45"/>
  <c r="AG56" i="45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G51" i="45"/>
  <c r="AQ67" i="38"/>
  <c r="AR67" i="38"/>
  <c r="AN26" i="36"/>
  <c r="AN25" i="36"/>
  <c r="AN131" i="45"/>
  <c r="AO131" i="45"/>
  <c r="AO138" i="45"/>
  <c r="AO139" i="45" s="1"/>
  <c r="AM66" i="11"/>
  <c r="AM73" i="11"/>
  <c r="AG49" i="45"/>
  <c r="AQ17" i="38"/>
  <c r="AQ49" i="38" s="1"/>
  <c r="AG21" i="45"/>
  <c r="BG71" i="45" l="1"/>
  <c r="AR49" i="38"/>
  <c r="AR66" i="38"/>
  <c r="AR98" i="38"/>
  <c r="BH98" i="38"/>
  <c r="BG65" i="38"/>
  <c r="BH49" i="38"/>
  <c r="AY37" i="45"/>
  <c r="AT328" i="28"/>
  <c r="AT195" i="28"/>
  <c r="AK55" i="45"/>
  <c r="AQ55" i="45" s="1"/>
  <c r="AU55" i="45" s="1"/>
  <c r="AK49" i="45"/>
  <c r="AQ49" i="45" s="1"/>
  <c r="AU49" i="45" s="1"/>
  <c r="AK21" i="45"/>
  <c r="AQ21" i="45" s="1"/>
  <c r="AU21" i="45" s="1"/>
  <c r="AK51" i="45"/>
  <c r="AQ51" i="45" s="1"/>
  <c r="AU51" i="45" s="1"/>
  <c r="AK56" i="45"/>
  <c r="AQ56" i="45" s="1"/>
  <c r="AU56" i="45" s="1"/>
  <c r="AE121" i="50"/>
  <c r="AO119" i="50"/>
  <c r="AE117" i="50"/>
  <c r="AO115" i="50"/>
  <c r="BD26" i="36"/>
  <c r="BD25" i="36"/>
  <c r="BG76" i="59" s="1"/>
  <c r="AM67" i="11"/>
  <c r="BC66" i="11"/>
  <c r="BC67" i="11" s="1"/>
  <c r="BC73" i="11"/>
  <c r="AO132" i="45"/>
  <c r="BE131" i="45"/>
  <c r="BE132" i="45" s="1"/>
  <c r="AN132" i="45"/>
  <c r="BD131" i="45"/>
  <c r="BD132" i="45" s="1"/>
  <c r="BE138" i="45"/>
  <c r="BE139" i="45" s="1"/>
  <c r="AQ66" i="38"/>
  <c r="AQ98" i="38" s="1"/>
  <c r="BG17" i="38"/>
  <c r="BG66" i="38" s="1"/>
  <c r="BG37" i="45" l="1"/>
  <c r="AO117" i="50"/>
  <c r="BE115" i="50"/>
  <c r="BE117" i="50" s="1"/>
  <c r="AO121" i="50"/>
  <c r="BE119" i="50"/>
  <c r="BE121" i="50" s="1"/>
  <c r="BG49" i="38"/>
  <c r="BG98" i="38"/>
  <c r="AX195" i="28"/>
  <c r="BF195" i="28" s="1"/>
  <c r="AX328" i="28"/>
  <c r="BF328" i="28" s="1"/>
  <c r="AY55" i="45"/>
  <c r="AY56" i="45"/>
  <c r="AY51" i="45"/>
  <c r="AY49" i="45"/>
  <c r="AY21" i="45"/>
  <c r="BG56" i="45" l="1"/>
  <c r="BG49" i="45"/>
  <c r="BG55" i="45"/>
  <c r="BG21" i="45"/>
  <c r="BG51" i="45"/>
  <c r="AK5" i="61"/>
  <c r="AQ5" i="61" s="1"/>
  <c r="AU5" i="61" s="1"/>
  <c r="AY5" i="61" s="1"/>
  <c r="BG5" i="61" s="1"/>
  <c r="AN177" i="10"/>
  <c r="AM177" i="10"/>
  <c r="AN175" i="10"/>
  <c r="AM175" i="10"/>
  <c r="AN174" i="10"/>
  <c r="AM174" i="10"/>
  <c r="AM171" i="10"/>
  <c r="BC171" i="10" s="1"/>
  <c r="AN165" i="10" l="1"/>
  <c r="AM165" i="10"/>
  <c r="AM172" i="10"/>
  <c r="AN172" i="10"/>
  <c r="AN173" i="10" s="1"/>
  <c r="AM166" i="10" l="1"/>
  <c r="BC165" i="10"/>
  <c r="BC166" i="10" s="1"/>
  <c r="AN166" i="10"/>
  <c r="BD165" i="10"/>
  <c r="BD166" i="10" s="1"/>
  <c r="BC172" i="10"/>
  <c r="BD172" i="10"/>
  <c r="BD173" i="10" s="1"/>
  <c r="AE54" i="36" l="1"/>
  <c r="AE53" i="36"/>
  <c r="AE51" i="36"/>
  <c r="AE49" i="36"/>
  <c r="AE48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8" i="8"/>
  <c r="AN66" i="8"/>
  <c r="BD66" i="8" s="1"/>
  <c r="AN54" i="8" l="1"/>
  <c r="BD58" i="8"/>
  <c r="AN64" i="8"/>
  <c r="AN68" i="8"/>
  <c r="AE50" i="36"/>
  <c r="AN95" i="9"/>
  <c r="AN96" i="9" l="1"/>
  <c r="BD95" i="9"/>
  <c r="BD96" i="9" s="1"/>
  <c r="AN57" i="8"/>
  <c r="BD68" i="8"/>
  <c r="AN55" i="8"/>
  <c r="BD64" i="8"/>
  <c r="BD54" i="8"/>
  <c r="AA42" i="72"/>
  <c r="AK42" i="72" s="1"/>
  <c r="BA42" i="72" s="1"/>
  <c r="AA34" i="72"/>
  <c r="AK34" i="72" s="1"/>
  <c r="BA34" i="72" s="1"/>
  <c r="AA14" i="72"/>
  <c r="AK14" i="72" s="1"/>
  <c r="BA14" i="72" s="1"/>
  <c r="BD55" i="8" l="1"/>
  <c r="BD57" i="8"/>
  <c r="AA44" i="72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30" i="50"/>
  <c r="AM24" i="9"/>
  <c r="BC24" i="9" s="1"/>
  <c r="AN19" i="9"/>
  <c r="AK44" i="72" l="1"/>
  <c r="AA46" i="72"/>
  <c r="AE131" i="50"/>
  <c r="AN90" i="9"/>
  <c r="AN91" i="9" s="1"/>
  <c r="BD19" i="9"/>
  <c r="BD90" i="9" s="1"/>
  <c r="BD91" i="9" s="1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A44" i="72" l="1"/>
  <c r="AK46" i="72"/>
  <c r="BC52" i="9"/>
  <c r="AN77" i="9"/>
  <c r="BD60" i="9"/>
  <c r="BD77" i="9" s="1"/>
  <c r="AQ59" i="59"/>
  <c r="BD104" i="9"/>
  <c r="BG59" i="59" s="1"/>
  <c r="AN100" i="9"/>
  <c r="BD100" i="9"/>
  <c r="AM52" i="9"/>
  <c r="AP58" i="59" s="1"/>
  <c r="AN14" i="9"/>
  <c r="BD14" i="9" s="1"/>
  <c r="AN62" i="9"/>
  <c r="AN48" i="9"/>
  <c r="AN79" i="9" l="1"/>
  <c r="BD62" i="9"/>
  <c r="BD79" i="9" s="1"/>
  <c r="AN49" i="9"/>
  <c r="AN52" i="9" s="1"/>
  <c r="AQ58" i="59" s="1"/>
  <c r="BD48" i="9"/>
  <c r="BD49" i="9" s="1"/>
  <c r="BF58" i="59"/>
  <c r="BD24" i="36"/>
  <c r="AN24" i="36"/>
  <c r="AN81" i="9" l="1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D85" i="9"/>
  <c r="BD87" i="9"/>
  <c r="BG61" i="59" s="1"/>
  <c r="BD81" i="9"/>
  <c r="BD73" i="9"/>
  <c r="BD75" i="9"/>
  <c r="BD86" i="9"/>
  <c r="BD80" i="9"/>
  <c r="BD82" i="9"/>
  <c r="BG62" i="59" s="1"/>
  <c r="BD74" i="9"/>
  <c r="AF93" i="8" l="1"/>
  <c r="AN21" i="8"/>
  <c r="BD21" i="8" s="1"/>
  <c r="AN94" i="8"/>
  <c r="BD94" i="8" s="1"/>
  <c r="AN92" i="8"/>
  <c r="AN88" i="8"/>
  <c r="AM88" i="8"/>
  <c r="AE81" i="8"/>
  <c r="AE73" i="8"/>
  <c r="AN69" i="8"/>
  <c r="AN67" i="8"/>
  <c r="AN61" i="8"/>
  <c r="BD61" i="8" s="1"/>
  <c r="AN59" i="8"/>
  <c r="BD59" i="8" s="1"/>
  <c r="AE52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1" i="8" l="1"/>
  <c r="AP45" i="59" s="1"/>
  <c r="BC81" i="8"/>
  <c r="BF45" i="59" s="1"/>
  <c r="BC16" i="8"/>
  <c r="BD16" i="8"/>
  <c r="AN74" i="8"/>
  <c r="BD69" i="8"/>
  <c r="BD74" i="8" s="1"/>
  <c r="AN16" i="8"/>
  <c r="AM16" i="8"/>
  <c r="AN36" i="8"/>
  <c r="BD36" i="8" s="1"/>
  <c r="AN63" i="8"/>
  <c r="AN37" i="8"/>
  <c r="BD37" i="8" s="1"/>
  <c r="AN62" i="8"/>
  <c r="BD62" i="8" s="1"/>
  <c r="AE113" i="7"/>
  <c r="AE112" i="7"/>
  <c r="AE111" i="7"/>
  <c r="AE110" i="7"/>
  <c r="AE109" i="7"/>
  <c r="AE108" i="7"/>
  <c r="AE107" i="7"/>
  <c r="AE106" i="7"/>
  <c r="AE91" i="7"/>
  <c r="AE85" i="7"/>
  <c r="AN82" i="7"/>
  <c r="AD1" i="7"/>
  <c r="AC1" i="7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AN140" i="6"/>
  <c r="BD140" i="6" s="1"/>
  <c r="AN137" i="6"/>
  <c r="BD137" i="6" s="1"/>
  <c r="AM137" i="6"/>
  <c r="BC137" i="6" s="1"/>
  <c r="AN136" i="6"/>
  <c r="BD136" i="6" s="1"/>
  <c r="AM135" i="6"/>
  <c r="BC135" i="6" s="1"/>
  <c r="AM134" i="6"/>
  <c r="BC134" i="6" s="1"/>
  <c r="AM132" i="6"/>
  <c r="BC132" i="6" s="1"/>
  <c r="AN129" i="6"/>
  <c r="BD129" i="6" s="1"/>
  <c r="AN127" i="6"/>
  <c r="BD127" i="6" s="1"/>
  <c r="AM86" i="6"/>
  <c r="BC86" i="6" s="1"/>
  <c r="AE85" i="6"/>
  <c r="AE83" i="6"/>
  <c r="AE82" i="6"/>
  <c r="AE80" i="6"/>
  <c r="AE79" i="6"/>
  <c r="AE40" i="6"/>
  <c r="AE39" i="6"/>
  <c r="AE38" i="6"/>
  <c r="AE37" i="6"/>
  <c r="AN33" i="6"/>
  <c r="BD33" i="6" s="1"/>
  <c r="AM1" i="7" l="1"/>
  <c r="AM78" i="7" s="1"/>
  <c r="AC78" i="7"/>
  <c r="AN1" i="7"/>
  <c r="AN78" i="7" s="1"/>
  <c r="AD78" i="7"/>
  <c r="AN70" i="8"/>
  <c r="BD63" i="8"/>
  <c r="AN83" i="7"/>
  <c r="AQ36" i="59" s="1"/>
  <c r="BD82" i="7"/>
  <c r="BD83" i="7" s="1"/>
  <c r="BG36" i="59" s="1"/>
  <c r="AN128" i="6"/>
  <c r="BD128" i="6" s="1"/>
  <c r="AN55" i="6"/>
  <c r="BD55" i="6" s="1"/>
  <c r="AM136" i="6"/>
  <c r="BC136" i="6" s="1"/>
  <c r="AM39" i="7"/>
  <c r="AM21" i="6"/>
  <c r="BC21" i="6" s="1"/>
  <c r="AM17" i="6"/>
  <c r="AM28" i="6"/>
  <c r="BC28" i="6" s="1"/>
  <c r="AM18" i="6"/>
  <c r="AM195" i="6" s="1"/>
  <c r="AN56" i="6"/>
  <c r="BD56" i="6" s="1"/>
  <c r="AM87" i="6"/>
  <c r="BC87" i="6" s="1"/>
  <c r="AM127" i="6"/>
  <c r="BC127" i="6" s="1"/>
  <c r="AN134" i="6"/>
  <c r="BD134" i="6" s="1"/>
  <c r="AM69" i="7"/>
  <c r="AN112" i="7"/>
  <c r="BD112" i="7" s="1"/>
  <c r="AN106" i="7"/>
  <c r="BD106" i="7" s="1"/>
  <c r="AN107" i="7"/>
  <c r="BD107" i="7" s="1"/>
  <c r="AN113" i="7"/>
  <c r="BD113" i="7" s="1"/>
  <c r="AN108" i="7"/>
  <c r="BD108" i="7" s="1"/>
  <c r="AN109" i="7"/>
  <c r="BD109" i="7" s="1"/>
  <c r="AN110" i="7"/>
  <c r="BD110" i="7" s="1"/>
  <c r="AN85" i="7"/>
  <c r="BD85" i="7" s="1"/>
  <c r="AN111" i="7"/>
  <c r="BD111" i="7" s="1"/>
  <c r="AN49" i="8"/>
  <c r="AN14" i="36"/>
  <c r="AQ41" i="59" s="1"/>
  <c r="AN50" i="8"/>
  <c r="AN142" i="6"/>
  <c r="BD142" i="6" s="1"/>
  <c r="AN69" i="7"/>
  <c r="AE41" i="6"/>
  <c r="AM128" i="6"/>
  <c r="BC128" i="6" s="1"/>
  <c r="AN132" i="6"/>
  <c r="BD132" i="6" s="1"/>
  <c r="AN135" i="6"/>
  <c r="BD135" i="6" s="1"/>
  <c r="AN34" i="8"/>
  <c r="BD34" i="8" s="1"/>
  <c r="AN65" i="8"/>
  <c r="AN71" i="8"/>
  <c r="AN21" i="6"/>
  <c r="AN22" i="6"/>
  <c r="AM82" i="7"/>
  <c r="AN35" i="8"/>
  <c r="BD35" i="8" s="1"/>
  <c r="AN34" i="6"/>
  <c r="AM24" i="6"/>
  <c r="BC24" i="6" s="1"/>
  <c r="AM27" i="6"/>
  <c r="BC27" i="6" s="1"/>
  <c r="AM25" i="6"/>
  <c r="BC25" i="6" s="1"/>
  <c r="AM31" i="6"/>
  <c r="BC31" i="6" s="1"/>
  <c r="AM22" i="6"/>
  <c r="BC22" i="6" s="1"/>
  <c r="AM30" i="6"/>
  <c r="BC30" i="6" s="1"/>
  <c r="AN271" i="28"/>
  <c r="BD271" i="28" s="1"/>
  <c r="AN28" i="28"/>
  <c r="BD28" i="28" s="1"/>
  <c r="AN29" i="28"/>
  <c r="BD29" i="28" s="1"/>
  <c r="BD133" i="6" l="1"/>
  <c r="AM2" i="17"/>
  <c r="AM2" i="26"/>
  <c r="BC133" i="6"/>
  <c r="BC17" i="6"/>
  <c r="BC169" i="6" s="1"/>
  <c r="AM71" i="7"/>
  <c r="BC69" i="7"/>
  <c r="BC71" i="7" s="1"/>
  <c r="AN71" i="7"/>
  <c r="BD69" i="7"/>
  <c r="BD71" i="7" s="1"/>
  <c r="AM138" i="6"/>
  <c r="BC138" i="6" s="1"/>
  <c r="AN133" i="6"/>
  <c r="BC26" i="6"/>
  <c r="BD50" i="8"/>
  <c r="BD49" i="8"/>
  <c r="BD14" i="36"/>
  <c r="BG41" i="59" s="1"/>
  <c r="BC29" i="6"/>
  <c r="BC23" i="6"/>
  <c r="AM188" i="6"/>
  <c r="BC18" i="6"/>
  <c r="BC188" i="6" s="1"/>
  <c r="AM49" i="7"/>
  <c r="BC39" i="7"/>
  <c r="BC49" i="7" s="1"/>
  <c r="BC32" i="6"/>
  <c r="BD57" i="6"/>
  <c r="AN185" i="6"/>
  <c r="BD22" i="6"/>
  <c r="AN156" i="6"/>
  <c r="BD21" i="6"/>
  <c r="AN35" i="6"/>
  <c r="BD34" i="6"/>
  <c r="BD35" i="6" s="1"/>
  <c r="AN56" i="8"/>
  <c r="BD56" i="8" s="1"/>
  <c r="BD65" i="8"/>
  <c r="BD71" i="8"/>
  <c r="BD70" i="8"/>
  <c r="AM83" i="7"/>
  <c r="AP36" i="59" s="1"/>
  <c r="BC82" i="7"/>
  <c r="BC83" i="7" s="1"/>
  <c r="BF36" i="59" s="1"/>
  <c r="AM26" i="6"/>
  <c r="AM32" i="6"/>
  <c r="AN160" i="6"/>
  <c r="AN39" i="7"/>
  <c r="AM29" i="6"/>
  <c r="AN72" i="8"/>
  <c r="AN78" i="8"/>
  <c r="AM6" i="26"/>
  <c r="BC6" i="26" s="1"/>
  <c r="AM133" i="6"/>
  <c r="AM163" i="6"/>
  <c r="AM19" i="6"/>
  <c r="AM84" i="6" s="1"/>
  <c r="AM168" i="6"/>
  <c r="AM140" i="6"/>
  <c r="BC140" i="6" s="1"/>
  <c r="AN177" i="6"/>
  <c r="BD177" i="6" s="1"/>
  <c r="AN179" i="6"/>
  <c r="BD179" i="6" s="1"/>
  <c r="AN178" i="6"/>
  <c r="BD178" i="6" s="1"/>
  <c r="AN138" i="6"/>
  <c r="AM23" i="6"/>
  <c r="AN57" i="6"/>
  <c r="AM66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AM33" i="6"/>
  <c r="BC33" i="6" s="1"/>
  <c r="AE480" i="28"/>
  <c r="AE479" i="28"/>
  <c r="AN432" i="28"/>
  <c r="BD432" i="28" s="1"/>
  <c r="AM392" i="28"/>
  <c r="BC392" i="28" s="1"/>
  <c r="AT378" i="28"/>
  <c r="AM271" i="28"/>
  <c r="BC271" i="28" s="1"/>
  <c r="AM232" i="28"/>
  <c r="BC232" i="28" s="1"/>
  <c r="AN215" i="28"/>
  <c r="BD215" i="28" s="1"/>
  <c r="AN82" i="28"/>
  <c r="BD82" i="28" s="1"/>
  <c r="AN81" i="28"/>
  <c r="BD81" i="28" s="1"/>
  <c r="AN79" i="28"/>
  <c r="BD79" i="28" s="1"/>
  <c r="AN75" i="28"/>
  <c r="BD75" i="28" s="1"/>
  <c r="AN71" i="28"/>
  <c r="BD71" i="28" s="1"/>
  <c r="AN67" i="28"/>
  <c r="BD67" i="28" s="1"/>
  <c r="AM54" i="28"/>
  <c r="BC54" i="28" s="1"/>
  <c r="AM53" i="28"/>
  <c r="BC53" i="28" s="1"/>
  <c r="AM52" i="28"/>
  <c r="BC52" i="28" s="1"/>
  <c r="AN50" i="28"/>
  <c r="AN46" i="28"/>
  <c r="BD46" i="28" s="1"/>
  <c r="AN40" i="28"/>
  <c r="BD40" i="28" s="1"/>
  <c r="AN30" i="28"/>
  <c r="BD30" i="28" s="1"/>
  <c r="AN51" i="28"/>
  <c r="BD51" i="28" s="1"/>
  <c r="AN12" i="28"/>
  <c r="AD188" i="73"/>
  <c r="AB188" i="73"/>
  <c r="AM179" i="73"/>
  <c r="AM121" i="73"/>
  <c r="AM136" i="73" s="1"/>
  <c r="AM114" i="73"/>
  <c r="AD108" i="73"/>
  <c r="AD117" i="73" s="1"/>
  <c r="AM23" i="73"/>
  <c r="BD50" i="28" l="1"/>
  <c r="BD78" i="8"/>
  <c r="BC2" i="17"/>
  <c r="BC2" i="26"/>
  <c r="BC97" i="6"/>
  <c r="AX378" i="28"/>
  <c r="BF378" i="28" s="1"/>
  <c r="BC163" i="6"/>
  <c r="BC168" i="6"/>
  <c r="BC19" i="6"/>
  <c r="BD157" i="6"/>
  <c r="BC195" i="6"/>
  <c r="AM139" i="6"/>
  <c r="BC139" i="6" s="1"/>
  <c r="BC143" i="6" s="1"/>
  <c r="BC206" i="6" s="1"/>
  <c r="AM67" i="7"/>
  <c r="BC66" i="7"/>
  <c r="BC67" i="7" s="1"/>
  <c r="AN139" i="6"/>
  <c r="BD139" i="6" s="1"/>
  <c r="BD143" i="6" s="1"/>
  <c r="BD206" i="6" s="1"/>
  <c r="BD138" i="6"/>
  <c r="BC194" i="6"/>
  <c r="BC35" i="6"/>
  <c r="AN49" i="7"/>
  <c r="BD39" i="7"/>
  <c r="BD49" i="7" s="1"/>
  <c r="BD182" i="6"/>
  <c r="BD156" i="6"/>
  <c r="BD198" i="6" s="1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460" i="28"/>
  <c r="BD12" i="28"/>
  <c r="BD460" i="28" s="1"/>
  <c r="AM53" i="73"/>
  <c r="BC53" i="73" s="1"/>
  <c r="AM102" i="73"/>
  <c r="BC102" i="73" s="1"/>
  <c r="AM65" i="73"/>
  <c r="BC65" i="73" s="1"/>
  <c r="AM108" i="73"/>
  <c r="BC108" i="73" s="1"/>
  <c r="AM58" i="73"/>
  <c r="BC58" i="73" s="1"/>
  <c r="AM34" i="73"/>
  <c r="BC34" i="73" s="1"/>
  <c r="AM190" i="73"/>
  <c r="BC190" i="73" s="1"/>
  <c r="AM48" i="73"/>
  <c r="BC48" i="73" s="1"/>
  <c r="AN73" i="8"/>
  <c r="BD67" i="8"/>
  <c r="BD72" i="8"/>
  <c r="AM35" i="6"/>
  <c r="AM81" i="6"/>
  <c r="AM188" i="73"/>
  <c r="BC114" i="73"/>
  <c r="AN273" i="28"/>
  <c r="AN272" i="28"/>
  <c r="BD272" i="28" s="1"/>
  <c r="AN392" i="28"/>
  <c r="AN60" i="28"/>
  <c r="BD60" i="28" s="1"/>
  <c r="AN26" i="28"/>
  <c r="BD26" i="28" s="1"/>
  <c r="BD468" i="28" s="1"/>
  <c r="AN19" i="28"/>
  <c r="BD19" i="28" s="1"/>
  <c r="BD464" i="28" s="1"/>
  <c r="AN278" i="28"/>
  <c r="AN377" i="28"/>
  <c r="AN376" i="28"/>
  <c r="BD376" i="28" s="1"/>
  <c r="AN232" i="28"/>
  <c r="AN53" i="28"/>
  <c r="BD53" i="28" s="1"/>
  <c r="AN31" i="28"/>
  <c r="BD31" i="28" s="1"/>
  <c r="AN52" i="28"/>
  <c r="BD52" i="28" s="1"/>
  <c r="AN430" i="28"/>
  <c r="AN59" i="28"/>
  <c r="BD59" i="28" s="1"/>
  <c r="AN216" i="28"/>
  <c r="BD216" i="28" s="1"/>
  <c r="AN83" i="28"/>
  <c r="AN47" i="28"/>
  <c r="BD47" i="28" s="1"/>
  <c r="AN58" i="28"/>
  <c r="BD58" i="28" s="1"/>
  <c r="AN447" i="28"/>
  <c r="BD447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BD208" i="6" l="1"/>
  <c r="BD207" i="6"/>
  <c r="BC203" i="6"/>
  <c r="BC207" i="6"/>
  <c r="BC208" i="6"/>
  <c r="BC84" i="6"/>
  <c r="BC103" i="6"/>
  <c r="BC107" i="6" s="1"/>
  <c r="BC147" i="6" s="1"/>
  <c r="BC81" i="6"/>
  <c r="AM117" i="73"/>
  <c r="AM143" i="6"/>
  <c r="AN143" i="6"/>
  <c r="BC205" i="6"/>
  <c r="BC210" i="6"/>
  <c r="BC216" i="6"/>
  <c r="BC219" i="6" s="1"/>
  <c r="BC204" i="6"/>
  <c r="BC212" i="6"/>
  <c r="BC213" i="6"/>
  <c r="BC211" i="6"/>
  <c r="BD199" i="6"/>
  <c r="BD217" i="6"/>
  <c r="BD216" i="6"/>
  <c r="BD203" i="6"/>
  <c r="BD212" i="6"/>
  <c r="BD205" i="6"/>
  <c r="BD213" i="6"/>
  <c r="BD211" i="6"/>
  <c r="BD204" i="6"/>
  <c r="BD218" i="6"/>
  <c r="BD210" i="6"/>
  <c r="BD73" i="8"/>
  <c r="AN471" i="28"/>
  <c r="BD392" i="28"/>
  <c r="BD471" i="28" s="1"/>
  <c r="AN463" i="28"/>
  <c r="BD232" i="28"/>
  <c r="AN467" i="28"/>
  <c r="BD278" i="28"/>
  <c r="BD467" i="28" s="1"/>
  <c r="BD479" i="28"/>
  <c r="AN480" i="28"/>
  <c r="BD430" i="28"/>
  <c r="BD480" i="28" s="1"/>
  <c r="BD461" i="28"/>
  <c r="BD462" i="28"/>
  <c r="AN465" i="28"/>
  <c r="BD273" i="28"/>
  <c r="AN469" i="28"/>
  <c r="BD377" i="28"/>
  <c r="AN84" i="28"/>
  <c r="BD83" i="28"/>
  <c r="BD84" i="28" s="1"/>
  <c r="BC188" i="73"/>
  <c r="BC179" i="73"/>
  <c r="BC121" i="73"/>
  <c r="BC136" i="73" s="1"/>
  <c r="BC23" i="73"/>
  <c r="BC117" i="73" s="1"/>
  <c r="AM11" i="15"/>
  <c r="BC11" i="15" s="1"/>
  <c r="BC12" i="15" s="1"/>
  <c r="BC13" i="15" s="1"/>
  <c r="AN479" i="28"/>
  <c r="AN468" i="28"/>
  <c r="AN470" i="28"/>
  <c r="AN464" i="28"/>
  <c r="AN466" i="28"/>
  <c r="AN458" i="28"/>
  <c r="AN457" i="28"/>
  <c r="AN54" i="28"/>
  <c r="BD54" i="28" s="1"/>
  <c r="AN32" i="28"/>
  <c r="BD32" i="28" s="1"/>
  <c r="AN461" i="28"/>
  <c r="AN462" i="28"/>
  <c r="AM12" i="15"/>
  <c r="AM13" i="15" s="1"/>
  <c r="AN33" i="28"/>
  <c r="AN41" i="36"/>
  <c r="AN49" i="36" s="1"/>
  <c r="AM27" i="21"/>
  <c r="BC27" i="21" s="1"/>
  <c r="AN15" i="21"/>
  <c r="BD15" i="21" s="1"/>
  <c r="AM35" i="35"/>
  <c r="AM34" i="35"/>
  <c r="AM32" i="36"/>
  <c r="AM16" i="35"/>
  <c r="BC16" i="35" s="1"/>
  <c r="AN197" i="6" l="1"/>
  <c r="AN206" i="6"/>
  <c r="AM207" i="6"/>
  <c r="AM206" i="6"/>
  <c r="AN213" i="6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50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09" i="6"/>
  <c r="BC214" i="6"/>
  <c r="BF11" i="59" s="1"/>
  <c r="BC35" i="35"/>
  <c r="BD214" i="6"/>
  <c r="BG11" i="59" s="1"/>
  <c r="BD209" i="6"/>
  <c r="BD219" i="6"/>
  <c r="AM36" i="35"/>
  <c r="AM48" i="35" s="1"/>
  <c r="BC34" i="35"/>
  <c r="AN472" i="28"/>
  <c r="BD33" i="28"/>
  <c r="BD472" i="28" s="1"/>
  <c r="BD469" i="28"/>
  <c r="BD470" i="28"/>
  <c r="BD457" i="28"/>
  <c r="BD458" i="28"/>
  <c r="BD465" i="28"/>
  <c r="BD466" i="28"/>
  <c r="AM31" i="35"/>
  <c r="AM17" i="35"/>
  <c r="BC17" i="35" s="1"/>
  <c r="AM32" i="35"/>
  <c r="AN18" i="21"/>
  <c r="AN38" i="36"/>
  <c r="AN16" i="36" s="1"/>
  <c r="AN39" i="36"/>
  <c r="AN17" i="36" s="1"/>
  <c r="AQ55" i="59" s="1"/>
  <c r="AM18" i="35"/>
  <c r="BC18" i="35" s="1"/>
  <c r="AM30" i="35"/>
  <c r="AM46" i="36"/>
  <c r="AN32" i="36"/>
  <c r="AN43" i="36"/>
  <c r="AN44" i="36"/>
  <c r="AN52" i="36" s="1"/>
  <c r="AN46" i="36"/>
  <c r="AN54" i="36" s="1"/>
  <c r="AN40" i="36"/>
  <c r="AN55" i="28"/>
  <c r="AN448" i="28"/>
  <c r="BD448" i="28" s="1"/>
  <c r="AM38" i="36"/>
  <c r="AD15" i="36"/>
  <c r="AN61" i="28"/>
  <c r="BD61" i="28" s="1"/>
  <c r="BD55" i="28" l="1"/>
  <c r="AN56" i="28"/>
  <c r="AM209" i="6"/>
  <c r="AM214" i="6"/>
  <c r="BC149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AG53" i="59"/>
  <c r="AD75" i="8"/>
  <c r="BC36" i="35"/>
  <c r="BC48" i="35" s="1"/>
  <c r="AN20" i="21"/>
  <c r="BD18" i="21"/>
  <c r="BD20" i="21" s="1"/>
  <c r="AM154" i="10"/>
  <c r="AM173" i="10" s="1"/>
  <c r="BC30" i="35"/>
  <c r="AM56" i="11"/>
  <c r="BC31" i="35"/>
  <c r="BC56" i="11" s="1"/>
  <c r="BC74" i="11" s="1"/>
  <c r="BB17" i="15"/>
  <c r="BC26" i="36"/>
  <c r="BC5" i="9"/>
  <c r="AN108" i="45"/>
  <c r="BC32" i="35"/>
  <c r="BD108" i="45" s="1"/>
  <c r="BD139" i="45" s="1"/>
  <c r="BD452" i="28"/>
  <c r="BD473" i="28"/>
  <c r="BD474" i="28"/>
  <c r="BD451" i="28"/>
  <c r="BD56" i="28"/>
  <c r="BD477" i="28"/>
  <c r="AM43" i="36"/>
  <c r="AM45" i="36" s="1"/>
  <c r="AM40" i="36"/>
  <c r="AM42" i="36" s="1"/>
  <c r="AM5" i="9"/>
  <c r="AM104" i="9" s="1"/>
  <c r="AL17" i="15"/>
  <c r="AM26" i="36"/>
  <c r="AN18" i="36"/>
  <c r="AQ56" i="59" s="1"/>
  <c r="AQ54" i="59"/>
  <c r="AM33" i="35"/>
  <c r="AM37" i="35" s="1"/>
  <c r="AP95" i="50" s="1"/>
  <c r="AP93" i="50" s="1"/>
  <c r="AF74" i="59"/>
  <c r="AM272" i="28"/>
  <c r="BC272" i="28" s="1"/>
  <c r="AM14" i="28"/>
  <c r="BC14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1" i="28"/>
  <c r="BC21" i="28" s="1"/>
  <c r="AN28" i="36"/>
  <c r="AQ78" i="59" s="1"/>
  <c r="AM7" i="28"/>
  <c r="BC7" i="28" s="1"/>
  <c r="AL15" i="15"/>
  <c r="BB15" i="15" s="1"/>
  <c r="AL14" i="15"/>
  <c r="BB14" i="15" s="1"/>
  <c r="AM14" i="36"/>
  <c r="AP41" i="59" s="1"/>
  <c r="AM6" i="8"/>
  <c r="AM84" i="8" s="1"/>
  <c r="AM85" i="8"/>
  <c r="BC85" i="8" s="1"/>
  <c r="AM29" i="8"/>
  <c r="BC29" i="8" s="1"/>
  <c r="AM31" i="8"/>
  <c r="BC31" i="8" s="1"/>
  <c r="AN51" i="36"/>
  <c r="AN53" i="36" s="1"/>
  <c r="AN45" i="36"/>
  <c r="AN48" i="36"/>
  <c r="AN50" i="36" s="1"/>
  <c r="AN42" i="36"/>
  <c r="AQ75" i="59"/>
  <c r="AN477" i="28"/>
  <c r="AN451" i="28"/>
  <c r="AN473" i="28"/>
  <c r="AN474" i="28"/>
  <c r="AN452" i="28"/>
  <c r="AN62" i="28"/>
  <c r="AE45" i="35"/>
  <c r="AI45" i="35" s="1"/>
  <c r="AE44" i="35"/>
  <c r="AI44" i="35" s="1"/>
  <c r="AE43" i="35"/>
  <c r="AI43" i="35" s="1"/>
  <c r="AM42" i="35"/>
  <c r="BC42" i="35" s="1"/>
  <c r="AN41" i="35"/>
  <c r="AM41" i="35"/>
  <c r="BC41" i="35" s="1"/>
  <c r="AM39" i="35"/>
  <c r="BC39" i="35" s="1"/>
  <c r="BD6" i="35"/>
  <c r="BD5" i="6" s="1"/>
  <c r="AN107" i="45" l="1"/>
  <c r="AN139" i="45"/>
  <c r="AM58" i="11"/>
  <c r="AP68" i="59" s="1"/>
  <c r="AM74" i="11"/>
  <c r="AM5" i="15"/>
  <c r="AM215" i="6"/>
  <c r="AM220" i="6" s="1"/>
  <c r="AN215" i="6"/>
  <c r="AN220" i="6" s="1"/>
  <c r="AM79" i="11"/>
  <c r="AP70" i="59" s="1"/>
  <c r="AM102" i="9"/>
  <c r="BC102" i="9" s="1"/>
  <c r="BD9" i="36"/>
  <c r="BG10" i="59" s="1"/>
  <c r="AM55" i="11"/>
  <c r="AM98" i="11"/>
  <c r="AP51" i="59"/>
  <c r="AM83" i="8"/>
  <c r="AM9" i="35"/>
  <c r="AN123" i="45"/>
  <c r="AP72" i="59" s="1"/>
  <c r="AN144" i="45"/>
  <c r="AP74" i="59" s="1"/>
  <c r="AN124" i="45"/>
  <c r="BC49" i="35"/>
  <c r="AM33" i="36"/>
  <c r="BC98" i="11"/>
  <c r="BC55" i="11"/>
  <c r="BC79" i="11"/>
  <c r="BF70" i="59" s="1"/>
  <c r="BC58" i="11"/>
  <c r="BD124" i="45"/>
  <c r="BD107" i="45"/>
  <c r="BD123" i="45"/>
  <c r="BF72" i="59" s="1"/>
  <c r="BD144" i="45"/>
  <c r="BF74" i="59" s="1"/>
  <c r="AN49" i="35"/>
  <c r="AN55" i="35" s="1"/>
  <c r="BD41" i="35"/>
  <c r="BD49" i="35" s="1"/>
  <c r="BD55" i="35" s="1"/>
  <c r="BC154" i="10"/>
  <c r="BC173" i="10" s="1"/>
  <c r="BC33" i="35"/>
  <c r="BC37" i="35" s="1"/>
  <c r="BD95" i="50" s="1"/>
  <c r="BD93" i="50" s="1"/>
  <c r="BC33" i="22"/>
  <c r="BB132" i="26"/>
  <c r="BC89" i="9"/>
  <c r="BC100" i="9"/>
  <c r="BC7" i="9"/>
  <c r="AM153" i="10"/>
  <c r="AM161" i="10"/>
  <c r="AP64" i="59" s="1"/>
  <c r="AM90" i="8"/>
  <c r="BC6" i="8"/>
  <c r="BC84" i="8" s="1"/>
  <c r="BF51" i="59" s="1"/>
  <c r="AM86" i="9"/>
  <c r="BC69" i="9"/>
  <c r="BC86" i="9" s="1"/>
  <c r="AM81" i="9"/>
  <c r="BC64" i="9"/>
  <c r="BC81" i="9" s="1"/>
  <c r="AM73" i="9"/>
  <c r="BC56" i="9"/>
  <c r="BC73" i="9" s="1"/>
  <c r="AM85" i="9"/>
  <c r="BC68" i="9"/>
  <c r="BC85" i="9" s="1"/>
  <c r="AM80" i="9"/>
  <c r="BC63" i="9"/>
  <c r="BC80" i="9" s="1"/>
  <c r="AM76" i="9"/>
  <c r="BC59" i="9"/>
  <c r="BC76" i="9" s="1"/>
  <c r="BC93" i="9"/>
  <c r="BC94" i="9"/>
  <c r="BB18" i="15" s="1"/>
  <c r="AM83" i="9"/>
  <c r="BC66" i="9"/>
  <c r="BC83" i="9" s="1"/>
  <c r="AP59" i="59"/>
  <c r="BC104" i="9"/>
  <c r="BF59" i="59" s="1"/>
  <c r="AM78" i="9"/>
  <c r="BC61" i="9"/>
  <c r="BC78" i="9" s="1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6" i="15"/>
  <c r="AN478" i="28"/>
  <c r="BD62" i="28"/>
  <c r="BD478" i="28" s="1"/>
  <c r="BD15" i="6"/>
  <c r="AM6" i="15"/>
  <c r="AM28" i="8"/>
  <c r="AM69" i="8"/>
  <c r="BC69" i="8" s="1"/>
  <c r="AM92" i="8"/>
  <c r="AM49" i="8"/>
  <c r="AM82" i="8"/>
  <c r="AP52" i="59" s="1"/>
  <c r="AM24" i="8"/>
  <c r="BC24" i="8" s="1"/>
  <c r="AM94" i="9"/>
  <c r="AL18" i="15" s="1"/>
  <c r="AM93" i="9"/>
  <c r="AM55" i="9"/>
  <c r="AM58" i="9"/>
  <c r="AM60" i="9"/>
  <c r="AM47" i="8"/>
  <c r="AM45" i="8"/>
  <c r="AM50" i="8"/>
  <c r="AM25" i="36"/>
  <c r="AN5" i="6"/>
  <c r="AM49" i="35"/>
  <c r="AM55" i="35" s="1"/>
  <c r="AN19" i="36"/>
  <c r="AQ57" i="59" s="1"/>
  <c r="AM30" i="8"/>
  <c r="AM67" i="8"/>
  <c r="BC67" i="8" s="1"/>
  <c r="AM27" i="8"/>
  <c r="BC27" i="8" s="1"/>
  <c r="AM19" i="28"/>
  <c r="BC19" i="28" s="1"/>
  <c r="AM178" i="10"/>
  <c r="AP66" i="59" s="1"/>
  <c r="AM10" i="35"/>
  <c r="AM9" i="6" s="1"/>
  <c r="AM23" i="8"/>
  <c r="BC23" i="8" s="1"/>
  <c r="AM86" i="8"/>
  <c r="AM25" i="8"/>
  <c r="BC25" i="8" s="1"/>
  <c r="AM216" i="28"/>
  <c r="BC216" i="28" s="1"/>
  <c r="AM12" i="28"/>
  <c r="BC12" i="28" s="1"/>
  <c r="AM26" i="28"/>
  <c r="BC26" i="28" s="1"/>
  <c r="AM377" i="28"/>
  <c r="AM7" i="9"/>
  <c r="AM33" i="22"/>
  <c r="AM89" i="9"/>
  <c r="AL132" i="26"/>
  <c r="AM100" i="9"/>
  <c r="AQ79" i="59"/>
  <c r="AM7" i="15"/>
  <c r="AL2" i="17" l="1"/>
  <c r="AL2" i="26"/>
  <c r="AN9" i="36"/>
  <c r="AQ10" i="59" s="1"/>
  <c r="BC55" i="35"/>
  <c r="BC83" i="8"/>
  <c r="BF50" i="59" s="1"/>
  <c r="AP50" i="59"/>
  <c r="BC9" i="35"/>
  <c r="BC8" i="6" s="1"/>
  <c r="AM8" i="6"/>
  <c r="AM34" i="36"/>
  <c r="BC153" i="10"/>
  <c r="BC178" i="10"/>
  <c r="BF66" i="59" s="1"/>
  <c r="BC161" i="10"/>
  <c r="BF64" i="59" s="1"/>
  <c r="AM11" i="35"/>
  <c r="AM10" i="6" s="1"/>
  <c r="BC10" i="35"/>
  <c r="BC9" i="6" s="1"/>
  <c r="BC25" i="36"/>
  <c r="BF76" i="59" s="1"/>
  <c r="AM26" i="21"/>
  <c r="BC43" i="8"/>
  <c r="BF46" i="59" s="1"/>
  <c r="BC92" i="8"/>
  <c r="BC82" i="8"/>
  <c r="BF52" i="59" s="1"/>
  <c r="BC49" i="8"/>
  <c r="AE79" i="83"/>
  <c r="AE77" i="83" s="1"/>
  <c r="AE95" i="50"/>
  <c r="AE93" i="50" s="1"/>
  <c r="AM46" i="8"/>
  <c r="AP47" i="59" s="1"/>
  <c r="BC30" i="8"/>
  <c r="BC46" i="8" s="1"/>
  <c r="BF47" i="59" s="1"/>
  <c r="BC90" i="8"/>
  <c r="AM78" i="8"/>
  <c r="BC14" i="36"/>
  <c r="BF41" i="59" s="1"/>
  <c r="BC50" i="8"/>
  <c r="BC11" i="36"/>
  <c r="BF38" i="59" s="1"/>
  <c r="BC40" i="8"/>
  <c r="AM44" i="8"/>
  <c r="AP48" i="59" s="1"/>
  <c r="BC28" i="8"/>
  <c r="BC44" i="8" s="1"/>
  <c r="BF48" i="59" s="1"/>
  <c r="BC86" i="8"/>
  <c r="BC10" i="36"/>
  <c r="BF37" i="59" s="1"/>
  <c r="BC39" i="8"/>
  <c r="BC26" i="8"/>
  <c r="BC47" i="8"/>
  <c r="BC12" i="36"/>
  <c r="BF39" i="59" s="1"/>
  <c r="BC41" i="8"/>
  <c r="BC45" i="8"/>
  <c r="AM75" i="9"/>
  <c r="BC58" i="9"/>
  <c r="BC75" i="9" s="1"/>
  <c r="AM72" i="9"/>
  <c r="BC55" i="9"/>
  <c r="AM77" i="9"/>
  <c r="BC60" i="9"/>
  <c r="BC77" i="9" s="1"/>
  <c r="BC462" i="28"/>
  <c r="AM470" i="28"/>
  <c r="BC377" i="28"/>
  <c r="BC470" i="28" s="1"/>
  <c r="AN6" i="6"/>
  <c r="AN16" i="6" s="1"/>
  <c r="BD7" i="35"/>
  <c r="BD6" i="6" s="1"/>
  <c r="AM74" i="8"/>
  <c r="AM36" i="8"/>
  <c r="BC36" i="8" s="1"/>
  <c r="AM273" i="28"/>
  <c r="BC273" i="28" s="1"/>
  <c r="AM59" i="8"/>
  <c r="BC59" i="8" s="1"/>
  <c r="AM462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60" i="28"/>
  <c r="BC60" i="28" s="1"/>
  <c r="AM65" i="8"/>
  <c r="BC65" i="8" s="1"/>
  <c r="AM109" i="8"/>
  <c r="AM111" i="8" s="1"/>
  <c r="AM43" i="8"/>
  <c r="AP46" i="59" s="1"/>
  <c r="AN8" i="35"/>
  <c r="AM13" i="35"/>
  <c r="BC13" i="35" s="1"/>
  <c r="AM58" i="28"/>
  <c r="BC58" i="28" s="1"/>
  <c r="AM34" i="8"/>
  <c r="BC34" i="8" s="1"/>
  <c r="AM10" i="36"/>
  <c r="AM39" i="8"/>
  <c r="AM26" i="8"/>
  <c r="AM59" i="28"/>
  <c r="BC59" i="28" s="1"/>
  <c r="AM37" i="8"/>
  <c r="BC37" i="8" s="1"/>
  <c r="AN15" i="6"/>
  <c r="AM62" i="9"/>
  <c r="AM57" i="9"/>
  <c r="AM74" i="9" s="1"/>
  <c r="AN33" i="36"/>
  <c r="AN18" i="6"/>
  <c r="AN61" i="6"/>
  <c r="AQ23" i="59" s="1"/>
  <c r="AN60" i="6"/>
  <c r="AQ16" i="59" s="1"/>
  <c r="AQ12" i="59"/>
  <c r="AM28" i="28"/>
  <c r="BC28" i="28" s="1"/>
  <c r="AD95" i="50"/>
  <c r="AD93" i="50" s="1"/>
  <c r="BC78" i="8" l="1"/>
  <c r="BB2" i="17"/>
  <c r="BB2" i="26"/>
  <c r="AP49" i="59"/>
  <c r="BF49" i="59"/>
  <c r="AO79" i="83"/>
  <c r="BE79" i="83" s="1"/>
  <c r="BE77" i="83" s="1"/>
  <c r="AM52" i="8"/>
  <c r="AP42" i="59" s="1"/>
  <c r="BC26" i="21"/>
  <c r="AM28" i="21"/>
  <c r="BC28" i="21" s="1"/>
  <c r="BC74" i="8"/>
  <c r="AN195" i="6"/>
  <c r="BD18" i="6"/>
  <c r="BD60" i="6"/>
  <c r="BG16" i="59" s="1"/>
  <c r="BC72" i="8"/>
  <c r="BC109" i="8"/>
  <c r="BD61" i="6"/>
  <c r="BG23" i="59" s="1"/>
  <c r="BC42" i="8"/>
  <c r="BC52" i="8"/>
  <c r="BF42" i="59" s="1"/>
  <c r="BC57" i="9"/>
  <c r="BC74" i="9" s="1"/>
  <c r="BC72" i="9"/>
  <c r="AM79" i="9"/>
  <c r="BC62" i="9"/>
  <c r="BC79" i="9" s="1"/>
  <c r="BC23" i="22"/>
  <c r="AM15" i="22"/>
  <c r="BC7" i="22"/>
  <c r="BC24" i="36"/>
  <c r="AM9" i="22"/>
  <c r="BC8" i="22"/>
  <c r="AN7" i="6"/>
  <c r="BC458" i="28"/>
  <c r="BC466" i="28"/>
  <c r="BD16" i="6"/>
  <c r="BD7" i="6"/>
  <c r="AM23" i="22"/>
  <c r="AM15" i="35"/>
  <c r="AM42" i="8"/>
  <c r="AM110" i="8"/>
  <c r="AM112" i="8" s="1"/>
  <c r="AM53" i="8" s="1"/>
  <c r="AP43" i="59" s="1"/>
  <c r="AM24" i="36"/>
  <c r="AP75" i="59" s="1"/>
  <c r="AN83" i="6"/>
  <c r="AN80" i="6"/>
  <c r="AN34" i="36"/>
  <c r="AM65" i="28"/>
  <c r="BC65" i="28" s="1"/>
  <c r="AM69" i="28"/>
  <c r="AP37" i="59"/>
  <c r="AM13" i="36"/>
  <c r="AP40" i="59" s="1"/>
  <c r="AM73" i="28"/>
  <c r="BC73" i="28" s="1"/>
  <c r="AM35" i="36"/>
  <c r="AM20" i="49"/>
  <c r="AM15" i="36" s="1"/>
  <c r="AM72" i="8"/>
  <c r="AM63" i="8"/>
  <c r="AM35" i="8"/>
  <c r="BC35" i="8" s="1"/>
  <c r="AM466" i="28"/>
  <c r="AM458" i="28"/>
  <c r="AN194" i="6"/>
  <c r="AN189" i="6"/>
  <c r="AN17" i="6"/>
  <c r="AN35" i="36"/>
  <c r="AM33" i="28"/>
  <c r="BC33" i="28" s="1"/>
  <c r="BD189" i="6" l="1"/>
  <c r="AO77" i="83"/>
  <c r="AP44" i="59"/>
  <c r="BD83" i="6"/>
  <c r="BC9" i="22"/>
  <c r="BC111" i="8"/>
  <c r="BC110" i="8"/>
  <c r="AN169" i="6"/>
  <c r="BD17" i="6"/>
  <c r="AM71" i="8"/>
  <c r="BC63" i="8"/>
  <c r="BC71" i="8" s="1"/>
  <c r="BD195" i="6"/>
  <c r="AM457" i="28"/>
  <c r="BC69" i="28"/>
  <c r="BC461" i="28"/>
  <c r="BC460" i="28"/>
  <c r="BC469" i="28"/>
  <c r="BC468" i="28"/>
  <c r="AM10" i="22"/>
  <c r="BC10" i="22" s="1"/>
  <c r="AN79" i="6"/>
  <c r="AN85" i="6"/>
  <c r="AN82" i="6"/>
  <c r="AM24" i="22"/>
  <c r="BC24" i="22" s="1"/>
  <c r="AM465" i="28"/>
  <c r="AM464" i="28"/>
  <c r="AM469" i="28"/>
  <c r="AM468" i="28"/>
  <c r="AM461" i="28"/>
  <c r="AM460" i="28"/>
  <c r="AP53" i="59"/>
  <c r="AM75" i="8"/>
  <c r="AM11" i="22"/>
  <c r="BC11" i="22" s="1"/>
  <c r="AM13" i="22"/>
  <c r="AN168" i="6"/>
  <c r="AN19" i="6"/>
  <c r="AN84" i="6" s="1"/>
  <c r="AN164" i="6"/>
  <c r="AM50" i="28"/>
  <c r="BC50" i="28" s="1"/>
  <c r="AM61" i="28"/>
  <c r="BC61" i="28" s="1"/>
  <c r="AB31" i="36"/>
  <c r="AA31" i="36"/>
  <c r="BD97" i="6" l="1"/>
  <c r="BC112" i="8"/>
  <c r="BC53" i="8" s="1"/>
  <c r="BF43" i="59" s="1"/>
  <c r="BF44" i="59" s="1"/>
  <c r="BC12" i="22"/>
  <c r="BD79" i="6"/>
  <c r="BD85" i="6"/>
  <c r="BD19" i="6"/>
  <c r="BD164" i="6"/>
  <c r="BD169" i="6"/>
  <c r="BD80" i="6"/>
  <c r="BD82" i="6"/>
  <c r="AM14" i="22"/>
  <c r="BC13" i="22"/>
  <c r="BC14" i="22" s="1"/>
  <c r="BC15" i="22"/>
  <c r="AM12" i="22"/>
  <c r="BC465" i="28"/>
  <c r="BC464" i="28"/>
  <c r="BC457" i="28"/>
  <c r="AN81" i="6"/>
  <c r="AM27" i="22"/>
  <c r="BC27" i="22" s="1"/>
  <c r="AM25" i="22"/>
  <c r="AN40" i="6"/>
  <c r="AN38" i="6"/>
  <c r="AN39" i="6"/>
  <c r="AN37" i="6"/>
  <c r="AM448" i="28"/>
  <c r="BC448" i="28" s="1"/>
  <c r="AM55" i="28"/>
  <c r="AM77" i="28"/>
  <c r="BC77" i="28" s="1"/>
  <c r="BD103" i="6" l="1"/>
  <c r="BD107" i="6" s="1"/>
  <c r="BD147" i="6"/>
  <c r="BD84" i="6"/>
  <c r="BD39" i="6"/>
  <c r="BD40" i="6"/>
  <c r="BD38" i="6"/>
  <c r="BD37" i="6"/>
  <c r="AM26" i="22"/>
  <c r="BC25" i="22"/>
  <c r="BC26" i="22" s="1"/>
  <c r="AM29" i="22"/>
  <c r="BC473" i="28"/>
  <c r="BC472" i="28"/>
  <c r="AM477" i="28"/>
  <c r="BC55" i="28"/>
  <c r="BC477" i="28" s="1"/>
  <c r="BC452" i="28"/>
  <c r="BC451" i="28"/>
  <c r="BC474" i="28"/>
  <c r="AN41" i="6"/>
  <c r="AM28" i="22"/>
  <c r="AM62" i="28"/>
  <c r="AM473" i="28"/>
  <c r="AM472" i="28"/>
  <c r="AM451" i="28"/>
  <c r="AM452" i="28"/>
  <c r="AM474" i="28"/>
  <c r="AM81" i="28"/>
  <c r="BC81" i="28" s="1"/>
  <c r="F436" i="28"/>
  <c r="J436" i="28" s="1"/>
  <c r="N436" i="28" s="1"/>
  <c r="F432" i="28"/>
  <c r="J432" i="28" s="1"/>
  <c r="N432" i="28" s="1"/>
  <c r="F400" i="28"/>
  <c r="J400" i="28" s="1"/>
  <c r="N400" i="28" s="1"/>
  <c r="F399" i="28"/>
  <c r="J399" i="28" s="1"/>
  <c r="N399" i="28" s="1"/>
  <c r="AB399" i="28" l="1"/>
  <c r="AF399" i="28" s="1"/>
  <c r="AJ399" i="28" s="1"/>
  <c r="AP399" i="28" s="1"/>
  <c r="R399" i="28"/>
  <c r="V399" i="28" s="1"/>
  <c r="R432" i="28"/>
  <c r="V432" i="28" s="1"/>
  <c r="AB432" i="28"/>
  <c r="AF432" i="28" s="1"/>
  <c r="AB400" i="28"/>
  <c r="AF400" i="28" s="1"/>
  <c r="R400" i="28"/>
  <c r="V400" i="28" s="1"/>
  <c r="AB436" i="28"/>
  <c r="AF436" i="28" s="1"/>
  <c r="R436" i="28"/>
  <c r="V436" i="28" s="1"/>
  <c r="BD150" i="6"/>
  <c r="BD148" i="6"/>
  <c r="BG15" i="59" s="1"/>
  <c r="BD152" i="6"/>
  <c r="BD197" i="6" s="1"/>
  <c r="BD153" i="6"/>
  <c r="BD154" i="6"/>
  <c r="BD41" i="6"/>
  <c r="AJ418" i="28"/>
  <c r="AP418" i="28" s="1"/>
  <c r="AT418" i="28" s="1"/>
  <c r="AX418" i="28" s="1"/>
  <c r="BF418" i="28" s="1"/>
  <c r="BC29" i="22"/>
  <c r="BC28" i="22"/>
  <c r="AM478" i="28"/>
  <c r="BC62" i="28"/>
  <c r="BC478" i="28" s="1"/>
  <c r="AJ441" i="28"/>
  <c r="AP441" i="28" s="1"/>
  <c r="AT441" i="28" s="1"/>
  <c r="AJ440" i="28"/>
  <c r="AP440" i="28" s="1"/>
  <c r="AT440" i="28" s="1"/>
  <c r="F447" i="28"/>
  <c r="J447" i="28" s="1"/>
  <c r="N447" i="28" s="1"/>
  <c r="F430" i="28"/>
  <c r="J430" i="28" s="1"/>
  <c r="N430" i="28" s="1"/>
  <c r="AJ438" i="28"/>
  <c r="AP438" i="28" s="1"/>
  <c r="AT438" i="28" s="1"/>
  <c r="AJ437" i="28"/>
  <c r="AP437" i="28" s="1"/>
  <c r="AT437" i="28" s="1"/>
  <c r="AJ429" i="28"/>
  <c r="AP429" i="28" s="1"/>
  <c r="AT429" i="28" s="1"/>
  <c r="AB447" i="28" l="1"/>
  <c r="AF447" i="28" s="1"/>
  <c r="R447" i="28"/>
  <c r="V447" i="28" s="1"/>
  <c r="R430" i="28"/>
  <c r="V430" i="28" s="1"/>
  <c r="AB430" i="28"/>
  <c r="AF430" i="28" s="1"/>
  <c r="BD149" i="6"/>
  <c r="BD7" i="36" s="1"/>
  <c r="BG8" i="59" s="1"/>
  <c r="AX441" i="28"/>
  <c r="BF441" i="28" s="1"/>
  <c r="AX440" i="28"/>
  <c r="BF440" i="28" s="1"/>
  <c r="AX437" i="28"/>
  <c r="BF437" i="28" s="1"/>
  <c r="AX429" i="28"/>
  <c r="BF429" i="28" s="1"/>
  <c r="AX438" i="28"/>
  <c r="BF438" i="28" s="1"/>
  <c r="AJ402" i="28"/>
  <c r="AJ419" i="28"/>
  <c r="AJ409" i="28"/>
  <c r="AJ436" i="28"/>
  <c r="AP436" i="28" s="1"/>
  <c r="AT436" i="28" s="1"/>
  <c r="AT399" i="28"/>
  <c r="F448" i="28"/>
  <c r="J448" i="28" s="1"/>
  <c r="N448" i="28" s="1"/>
  <c r="AJ432" i="28"/>
  <c r="AP432" i="28" s="1"/>
  <c r="AT432" i="28" s="1"/>
  <c r="AB448" i="28" l="1"/>
  <c r="AF448" i="28" s="1"/>
  <c r="R448" i="28"/>
  <c r="V448" i="28" s="1"/>
  <c r="AX399" i="28"/>
  <c r="BF399" i="28" s="1"/>
  <c r="AX436" i="28"/>
  <c r="BF436" i="28" s="1"/>
  <c r="AX432" i="28"/>
  <c r="BF432" i="28" s="1"/>
  <c r="AP409" i="28"/>
  <c r="AP419" i="28"/>
  <c r="AP402" i="28"/>
  <c r="AT402" i="28" s="1"/>
  <c r="AJ400" i="28"/>
  <c r="AJ403" i="28"/>
  <c r="AJ410" i="28"/>
  <c r="AJ413" i="28"/>
  <c r="AJ405" i="28"/>
  <c r="AJ411" i="28"/>
  <c r="AJ423" i="28"/>
  <c r="AJ415" i="28"/>
  <c r="AJ420" i="28"/>
  <c r="AJ406" i="28"/>
  <c r="AJ408" i="28"/>
  <c r="AJ421" i="28"/>
  <c r="AJ430" i="28"/>
  <c r="AP430" i="28" s="1"/>
  <c r="AT430" i="28" s="1"/>
  <c r="M191" i="73"/>
  <c r="Q191" i="73" s="1"/>
  <c r="U191" i="73" s="1"/>
  <c r="M192" i="73"/>
  <c r="Q192" i="73" s="1"/>
  <c r="U192" i="73" s="1"/>
  <c r="M195" i="73"/>
  <c r="AA195" i="73" l="1"/>
  <c r="AE195" i="73" s="1"/>
  <c r="AI195" i="73" s="1"/>
  <c r="AO195" i="73" s="1"/>
  <c r="AS195" i="73" s="1"/>
  <c r="AW195" i="73" s="1"/>
  <c r="BE195" i="73" s="1"/>
  <c r="Q195" i="73"/>
  <c r="U195" i="73" s="1"/>
  <c r="AX402" i="28"/>
  <c r="BF402" i="28" s="1"/>
  <c r="AX430" i="28"/>
  <c r="BF430" i="28" s="1"/>
  <c r="AT419" i="28"/>
  <c r="AX419" i="28" s="1"/>
  <c r="BF419" i="28" s="1"/>
  <c r="AT409" i="28"/>
  <c r="AX409" i="28" s="1"/>
  <c r="BF409" i="28" s="1"/>
  <c r="AP406" i="28"/>
  <c r="AP411" i="28"/>
  <c r="AP405" i="28"/>
  <c r="AP403" i="28"/>
  <c r="AP421" i="28"/>
  <c r="AP408" i="28"/>
  <c r="AP413" i="28"/>
  <c r="AP420" i="28"/>
  <c r="AP410" i="28"/>
  <c r="AP415" i="28"/>
  <c r="AP423" i="28"/>
  <c r="AP400" i="28"/>
  <c r="AT400" i="28" s="1"/>
  <c r="AA192" i="73"/>
  <c r="AE192" i="73" s="1"/>
  <c r="AA191" i="73"/>
  <c r="AE191" i="73" s="1"/>
  <c r="AI191" i="73" s="1"/>
  <c r="AO191" i="73" s="1"/>
  <c r="AS191" i="73" s="1"/>
  <c r="AW191" i="73" l="1"/>
  <c r="BE191" i="73" s="1"/>
  <c r="AT415" i="28"/>
  <c r="AX415" i="28" s="1"/>
  <c r="BF415" i="28" s="1"/>
  <c r="AT410" i="28"/>
  <c r="AX410" i="28" s="1"/>
  <c r="BF410" i="28" s="1"/>
  <c r="AT403" i="28"/>
  <c r="AX403" i="28" s="1"/>
  <c r="BF403" i="28" s="1"/>
  <c r="AT405" i="28"/>
  <c r="AX405" i="28" s="1"/>
  <c r="BF405" i="28" s="1"/>
  <c r="AT411" i="28"/>
  <c r="AX411" i="28" s="1"/>
  <c r="BF411" i="28" s="1"/>
  <c r="AT420" i="28"/>
  <c r="AX420" i="28" s="1"/>
  <c r="BF420" i="28" s="1"/>
  <c r="AT413" i="28"/>
  <c r="AX413" i="28" s="1"/>
  <c r="BF413" i="28" s="1"/>
  <c r="AT406" i="28"/>
  <c r="AX406" i="28" s="1"/>
  <c r="BF406" i="28" s="1"/>
  <c r="AX400" i="28"/>
  <c r="BF400" i="28" s="1"/>
  <c r="AT408" i="28"/>
  <c r="AX408" i="28" s="1"/>
  <c r="BF408" i="28" s="1"/>
  <c r="AT423" i="28"/>
  <c r="AX423" i="28" s="1"/>
  <c r="BF423" i="28" s="1"/>
  <c r="AT421" i="28"/>
  <c r="AX421" i="28" s="1"/>
  <c r="BF421" i="28" s="1"/>
  <c r="AI192" i="73"/>
  <c r="AO192" i="73" s="1"/>
  <c r="AS192" i="73" s="1"/>
  <c r="Y104" i="6"/>
  <c r="Z73" i="6"/>
  <c r="Z74" i="6"/>
  <c r="Z75" i="6"/>
  <c r="Z76" i="6"/>
  <c r="AW192" i="73" l="1"/>
  <c r="BE192" i="73" s="1"/>
  <c r="AA50" i="83"/>
  <c r="F32" i="28"/>
  <c r="J32" i="28" s="1"/>
  <c r="N32" i="28" s="1"/>
  <c r="AB32" i="28" l="1"/>
  <c r="AF32" i="28" s="1"/>
  <c r="R32" i="28"/>
  <c r="V32" i="28" s="1"/>
  <c r="AJ434" i="28"/>
  <c r="AP434" i="28" s="1"/>
  <c r="AT434" i="28" s="1"/>
  <c r="AJ433" i="28"/>
  <c r="AP433" i="28" s="1"/>
  <c r="AT433" i="28" s="1"/>
  <c r="AC50" i="83"/>
  <c r="AG50" i="83" s="1"/>
  <c r="AK50" i="83" s="1"/>
  <c r="AQ50" i="83" s="1"/>
  <c r="AU50" i="83" s="1"/>
  <c r="AY50" i="83" s="1"/>
  <c r="BG50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33" i="28" l="1"/>
  <c r="BF433" i="28" s="1"/>
  <c r="AX434" i="28"/>
  <c r="BF434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2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2" i="17"/>
  <c r="M93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2" i="17"/>
  <c r="AE102" i="17" s="1"/>
  <c r="AA101" i="17"/>
  <c r="AE101" i="17" s="1"/>
  <c r="AA19" i="17"/>
  <c r="AE19" i="17" s="1"/>
  <c r="AA107" i="17"/>
  <c r="AE107" i="17" s="1"/>
  <c r="AA95" i="17"/>
  <c r="AE95" i="17" s="1"/>
  <c r="AA48" i="17"/>
  <c r="AE48" i="17" s="1"/>
  <c r="AA94" i="17"/>
  <c r="AE94" i="17" s="1"/>
  <c r="AA25" i="17"/>
  <c r="AE25" i="17" s="1"/>
  <c r="AA100" i="17"/>
  <c r="AE100" i="17" s="1"/>
  <c r="AA106" i="17"/>
  <c r="AE106" i="17" s="1"/>
  <c r="AA105" i="17"/>
  <c r="AE105" i="17" s="1"/>
  <c r="AA99" i="17"/>
  <c r="AE99" i="17" s="1"/>
  <c r="AA18" i="17"/>
  <c r="AE18" i="17" s="1"/>
  <c r="AI18" i="17" s="1"/>
  <c r="AA112" i="17"/>
  <c r="AE112" i="17" s="1"/>
  <c r="AA104" i="17"/>
  <c r="AE104" i="17" s="1"/>
  <c r="AA98" i="17"/>
  <c r="AE98" i="17" s="1"/>
  <c r="AN27" i="17"/>
  <c r="AR27" i="17" s="1"/>
  <c r="AV27" i="17" s="1"/>
  <c r="AA21" i="17"/>
  <c r="AE21" i="17" s="1"/>
  <c r="AA109" i="17"/>
  <c r="AE109" i="17" s="1"/>
  <c r="AA103" i="17"/>
  <c r="AE103" i="17" s="1"/>
  <c r="AA97" i="17"/>
  <c r="AE97" i="17" s="1"/>
  <c r="Z25" i="17"/>
  <c r="AD25" i="17" s="1"/>
  <c r="AH25" i="17" s="1"/>
  <c r="AA20" i="17"/>
  <c r="AE20" i="17" s="1"/>
  <c r="M44" i="17"/>
  <c r="AA108" i="17"/>
  <c r="AE108" i="17" s="1"/>
  <c r="AA96" i="17"/>
  <c r="AE9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T11" i="85"/>
  <c r="T10" i="85"/>
  <c r="T13" i="85"/>
  <c r="AI27" i="17" l="1"/>
  <c r="AO27" i="17" s="1"/>
  <c r="AI108" i="17"/>
  <c r="AO108" i="17" s="1"/>
  <c r="AI109" i="17"/>
  <c r="AO109" i="17" s="1"/>
  <c r="AI106" i="17"/>
  <c r="AO106" i="17" s="1"/>
  <c r="AI105" i="17"/>
  <c r="AO105" i="17" s="1"/>
  <c r="AI104" i="17"/>
  <c r="AO104" i="17" s="1"/>
  <c r="AI112" i="17"/>
  <c r="AO112" i="17" s="1"/>
  <c r="AI107" i="17"/>
  <c r="AO107" i="17" s="1"/>
  <c r="AI48" i="17"/>
  <c r="AO48" i="17" s="1"/>
  <c r="AS48" i="17" s="1"/>
  <c r="AW48" i="17" s="1"/>
  <c r="BE48" i="17" s="1"/>
  <c r="AI25" i="17"/>
  <c r="AO25" i="17" s="1"/>
  <c r="AS25" i="17" s="1"/>
  <c r="AW25" i="17" s="1"/>
  <c r="BE25" i="17" s="1"/>
  <c r="AI24" i="17"/>
  <c r="AO24" i="17" s="1"/>
  <c r="AS24" i="17" s="1"/>
  <c r="AW24" i="17" s="1"/>
  <c r="BE24" i="17" s="1"/>
  <c r="AI21" i="17"/>
  <c r="AO21" i="17" s="1"/>
  <c r="AI20" i="17"/>
  <c r="AO20" i="17" s="1"/>
  <c r="AI19" i="17"/>
  <c r="AO19" i="17" s="1"/>
  <c r="AI94" i="17"/>
  <c r="AO94" i="17" s="1"/>
  <c r="AI98" i="17"/>
  <c r="AO98" i="17" s="1"/>
  <c r="AI99" i="17"/>
  <c r="AO99" i="17" s="1"/>
  <c r="AI100" i="17"/>
  <c r="AO100" i="17" s="1"/>
  <c r="AI102" i="17"/>
  <c r="AO102" i="17" s="1"/>
  <c r="AI95" i="17"/>
  <c r="AO95" i="17" s="1"/>
  <c r="AI97" i="17"/>
  <c r="AO97" i="17" s="1"/>
  <c r="AI96" i="17"/>
  <c r="AO96" i="17" s="1"/>
  <c r="AI103" i="17"/>
  <c r="AO103" i="17" s="1"/>
  <c r="AI101" i="17"/>
  <c r="AO101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70" i="7"/>
  <c r="Z70" i="7"/>
  <c r="M70" i="7"/>
  <c r="N70" i="7"/>
  <c r="N40" i="7"/>
  <c r="N41" i="7"/>
  <c r="N42" i="7"/>
  <c r="N43" i="7"/>
  <c r="N44" i="7"/>
  <c r="N45" i="7"/>
  <c r="N46" i="7"/>
  <c r="N48" i="7"/>
  <c r="M40" i="7"/>
  <c r="M41" i="7"/>
  <c r="M42" i="7"/>
  <c r="M43" i="7"/>
  <c r="M44" i="7"/>
  <c r="M45" i="7"/>
  <c r="M46" i="7"/>
  <c r="M48" i="7"/>
  <c r="Z40" i="7"/>
  <c r="Z41" i="7"/>
  <c r="Z42" i="7"/>
  <c r="Z43" i="7"/>
  <c r="Z44" i="7"/>
  <c r="Z45" i="7"/>
  <c r="Z46" i="7"/>
  <c r="Z48" i="7"/>
  <c r="Y40" i="7"/>
  <c r="Y41" i="7"/>
  <c r="Y42" i="7"/>
  <c r="Y43" i="7"/>
  <c r="Y44" i="7"/>
  <c r="Y45" i="7"/>
  <c r="Y46" i="7"/>
  <c r="Y48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8" i="7"/>
  <c r="Z18" i="7"/>
  <c r="Y19" i="7"/>
  <c r="Z19" i="7"/>
  <c r="N7" i="7"/>
  <c r="N8" i="7"/>
  <c r="N9" i="7"/>
  <c r="N10" i="7"/>
  <c r="N11" i="7"/>
  <c r="N12" i="7"/>
  <c r="N13" i="7"/>
  <c r="N14" i="7"/>
  <c r="N15" i="7"/>
  <c r="N19" i="7"/>
  <c r="Z12" i="7"/>
  <c r="AS27" i="17" l="1"/>
  <c r="AW27" i="17" s="1"/>
  <c r="BE27" i="17" s="1"/>
  <c r="AS108" i="17"/>
  <c r="AW108" i="17" s="1"/>
  <c r="BE108" i="17" s="1"/>
  <c r="AS109" i="17"/>
  <c r="AW109" i="17" s="1"/>
  <c r="BE109" i="17" s="1"/>
  <c r="AS106" i="17"/>
  <c r="AW106" i="17" s="1"/>
  <c r="BE106" i="17" s="1"/>
  <c r="AS105" i="17"/>
  <c r="AW105" i="17" s="1"/>
  <c r="BE105" i="17" s="1"/>
  <c r="AS104" i="17"/>
  <c r="AW104" i="17" s="1"/>
  <c r="BE104" i="17" s="1"/>
  <c r="AS112" i="17"/>
  <c r="AW112" i="17" s="1"/>
  <c r="BE112" i="17" s="1"/>
  <c r="AS107" i="17"/>
  <c r="AW107" i="17" s="1"/>
  <c r="BE107" i="17" s="1"/>
  <c r="AI22" i="17"/>
  <c r="AH10" i="17"/>
  <c r="AN10" i="17" s="1"/>
  <c r="AR10" i="17" s="1"/>
  <c r="AV10" i="17" s="1"/>
  <c r="BD10" i="17" s="1"/>
  <c r="AS21" i="17"/>
  <c r="AW21" i="17" s="1"/>
  <c r="BE21" i="17" s="1"/>
  <c r="AS20" i="17"/>
  <c r="AW20" i="17" s="1"/>
  <c r="BE20" i="17" s="1"/>
  <c r="AS19" i="17"/>
  <c r="AW19" i="17" s="1"/>
  <c r="BE19" i="17" s="1"/>
  <c r="AS95" i="17"/>
  <c r="AW95" i="17" s="1"/>
  <c r="BE95" i="17" s="1"/>
  <c r="AS99" i="17"/>
  <c r="AW99" i="17" s="1"/>
  <c r="BE99" i="17" s="1"/>
  <c r="AS100" i="17"/>
  <c r="AW100" i="17" s="1"/>
  <c r="BE100" i="17" s="1"/>
  <c r="AS98" i="17"/>
  <c r="AW98" i="17" s="1"/>
  <c r="BE98" i="17" s="1"/>
  <c r="AS102" i="17"/>
  <c r="AW102" i="17" s="1"/>
  <c r="BE102" i="17" s="1"/>
  <c r="AS101" i="17"/>
  <c r="AW101" i="17" s="1"/>
  <c r="BE101" i="17" s="1"/>
  <c r="AS103" i="17"/>
  <c r="AW103" i="17" s="1"/>
  <c r="BE103" i="17" s="1"/>
  <c r="AS96" i="17"/>
  <c r="AW96" i="17" s="1"/>
  <c r="BE96" i="17" s="1"/>
  <c r="AS97" i="17"/>
  <c r="AW97" i="17" s="1"/>
  <c r="BE97" i="17" s="1"/>
  <c r="AS94" i="17"/>
  <c r="AW94" i="17" s="1"/>
  <c r="BE94" i="17" s="1"/>
  <c r="AR25" i="17"/>
  <c r="AV25" i="17" s="1"/>
  <c r="BD25" i="17" s="1"/>
  <c r="AB18" i="7"/>
  <c r="AF18" i="7" s="1"/>
  <c r="AJ18" i="7" s="1"/>
  <c r="AB7" i="7"/>
  <c r="AF7" i="7" s="1"/>
  <c r="AJ7" i="7" s="1"/>
  <c r="AB70" i="7"/>
  <c r="AF70" i="7" s="1"/>
  <c r="AJ70" i="7" s="1"/>
  <c r="AA70" i="7"/>
  <c r="AE70" i="7" s="1"/>
  <c r="AI70" i="7" s="1"/>
  <c r="AA46" i="7"/>
  <c r="AE46" i="7" s="1"/>
  <c r="AB42" i="7"/>
  <c r="AF42" i="7" s="1"/>
  <c r="AJ42" i="7" s="1"/>
  <c r="AA40" i="7"/>
  <c r="AE40" i="7" s="1"/>
  <c r="AB40" i="7"/>
  <c r="AF40" i="7" s="1"/>
  <c r="AJ40" i="7" s="1"/>
  <c r="AA45" i="7"/>
  <c r="AE45" i="7" s="1"/>
  <c r="AI45" i="7" s="1"/>
  <c r="AB48" i="7"/>
  <c r="AF48" i="7" s="1"/>
  <c r="AJ48" i="7" s="1"/>
  <c r="AA44" i="7"/>
  <c r="AE44" i="7" s="1"/>
  <c r="AB46" i="7"/>
  <c r="AF46" i="7" s="1"/>
  <c r="AJ46" i="7" s="1"/>
  <c r="AA43" i="7"/>
  <c r="AE43" i="7" s="1"/>
  <c r="AA42" i="7"/>
  <c r="AE42" i="7" s="1"/>
  <c r="AA41" i="7"/>
  <c r="AE41" i="7" s="1"/>
  <c r="AB11" i="7"/>
  <c r="AF11" i="7" s="1"/>
  <c r="AJ11" i="7" s="1"/>
  <c r="AB15" i="7"/>
  <c r="AF15" i="7" s="1"/>
  <c r="AJ15" i="7" s="1"/>
  <c r="AB43" i="7"/>
  <c r="AF43" i="7" s="1"/>
  <c r="AJ43" i="7" s="1"/>
  <c r="BE8" i="17"/>
  <c r="BD24" i="17"/>
  <c r="AA48" i="7"/>
  <c r="AB9" i="7"/>
  <c r="AF9" i="7" s="1"/>
  <c r="AJ9" i="7" s="1"/>
  <c r="AB44" i="7"/>
  <c r="AF44" i="7" s="1"/>
  <c r="AJ44" i="7" s="1"/>
  <c r="AO18" i="17"/>
  <c r="AS18" i="17" s="1"/>
  <c r="AB12" i="7"/>
  <c r="AF12" i="7" s="1"/>
  <c r="AJ12" i="7" s="1"/>
  <c r="AB19" i="7"/>
  <c r="AF19" i="7" s="1"/>
  <c r="AJ19" i="7" s="1"/>
  <c r="AB8" i="7"/>
  <c r="AF8" i="7" s="1"/>
  <c r="AJ8" i="7" s="1"/>
  <c r="AB10" i="7"/>
  <c r="AF10" i="7" s="1"/>
  <c r="AJ10" i="7" s="1"/>
  <c r="AB41" i="7"/>
  <c r="AF41" i="7" s="1"/>
  <c r="AJ41" i="7" s="1"/>
  <c r="AB14" i="7"/>
  <c r="AF14" i="7" s="1"/>
  <c r="AJ14" i="7" s="1"/>
  <c r="AB13" i="7"/>
  <c r="AF13" i="7" s="1"/>
  <c r="AJ13" i="7" s="1"/>
  <c r="AB45" i="7"/>
  <c r="AF45" i="7" s="1"/>
  <c r="AJ45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31" i="8"/>
  <c r="Z29" i="8"/>
  <c r="Z28" i="8"/>
  <c r="Z27" i="8"/>
  <c r="Z24" i="8"/>
  <c r="Z25" i="8"/>
  <c r="N31" i="8"/>
  <c r="N30" i="8"/>
  <c r="N29" i="8"/>
  <c r="N28" i="8"/>
  <c r="N27" i="8"/>
  <c r="N24" i="8"/>
  <c r="N25" i="8"/>
  <c r="N23" i="8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5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9" i="10"/>
  <c r="Y169" i="10"/>
  <c r="Z167" i="10"/>
  <c r="Y167" i="10"/>
  <c r="N169" i="10"/>
  <c r="M169" i="10"/>
  <c r="N167" i="10"/>
  <c r="M167" i="10"/>
  <c r="Z7" i="10"/>
  <c r="Z200" i="10" s="1"/>
  <c r="N70" i="11"/>
  <c r="M70" i="11"/>
  <c r="Z70" i="11"/>
  <c r="Y70" i="11"/>
  <c r="Z68" i="11"/>
  <c r="Y68" i="11"/>
  <c r="M68" i="11"/>
  <c r="N68" i="11"/>
  <c r="Q115" i="50"/>
  <c r="AT50" i="11"/>
  <c r="Z44" i="11"/>
  <c r="AT11" i="11"/>
  <c r="AX11" i="11" s="1"/>
  <c r="AT26" i="11"/>
  <c r="AT39" i="11"/>
  <c r="N54" i="11"/>
  <c r="R54" i="11" s="1"/>
  <c r="N52" i="11"/>
  <c r="N51" i="11"/>
  <c r="N48" i="11"/>
  <c r="AB48" i="11" s="1"/>
  <c r="N47" i="11"/>
  <c r="AB47" i="11" s="1"/>
  <c r="N46" i="11"/>
  <c r="AB46" i="11" s="1"/>
  <c r="N45" i="11"/>
  <c r="N44" i="11"/>
  <c r="R44" i="11" s="1"/>
  <c r="AG64" i="45"/>
  <c r="AK64" i="45" s="1"/>
  <c r="AQ64" i="45" s="1"/>
  <c r="AU64" i="45" s="1"/>
  <c r="AY64" i="45" s="1"/>
  <c r="R52" i="11" l="1"/>
  <c r="V52" i="11" s="1"/>
  <c r="AB52" i="11"/>
  <c r="R51" i="11"/>
  <c r="V51" i="11" s="1"/>
  <c r="AB51" i="11"/>
  <c r="AF51" i="11" s="1"/>
  <c r="AJ51" i="11" s="1"/>
  <c r="AP51" i="11" s="1"/>
  <c r="AT51" i="11" s="1"/>
  <c r="R45" i="11"/>
  <c r="V45" i="11" s="1"/>
  <c r="AB45" i="11"/>
  <c r="AF45" i="11" s="1"/>
  <c r="AJ45" i="11" s="1"/>
  <c r="AP45" i="11" s="1"/>
  <c r="AT45" i="11" s="1"/>
  <c r="AF48" i="11"/>
  <c r="AJ48" i="11" s="1"/>
  <c r="AP48" i="11" s="1"/>
  <c r="AT48" i="11" s="1"/>
  <c r="R48" i="11"/>
  <c r="V48" i="11" s="1"/>
  <c r="AF46" i="11"/>
  <c r="AJ46" i="11" s="1"/>
  <c r="AP46" i="11" s="1"/>
  <c r="R46" i="11"/>
  <c r="V46" i="11" s="1"/>
  <c r="AF47" i="11"/>
  <c r="AJ47" i="11" s="1"/>
  <c r="AP47" i="11" s="1"/>
  <c r="R47" i="11"/>
  <c r="V47" i="11" s="1"/>
  <c r="AW18" i="17"/>
  <c r="AW22" i="17" s="1"/>
  <c r="AS22" i="17"/>
  <c r="AI44" i="7"/>
  <c r="AO44" i="7" s="1"/>
  <c r="AS44" i="7" s="1"/>
  <c r="AI46" i="7"/>
  <c r="AO46" i="7" s="1"/>
  <c r="AS46" i="7" s="1"/>
  <c r="AE48" i="7"/>
  <c r="AI48" i="7" s="1"/>
  <c r="AO48" i="7" s="1"/>
  <c r="AS48" i="7" s="1"/>
  <c r="AI41" i="7"/>
  <c r="AO41" i="7" s="1"/>
  <c r="AS41" i="7" s="1"/>
  <c r="AI42" i="7"/>
  <c r="AO42" i="7" s="1"/>
  <c r="AS42" i="7" s="1"/>
  <c r="AI43" i="7"/>
  <c r="AO43" i="7" s="1"/>
  <c r="AS43" i="7" s="1"/>
  <c r="AI40" i="7"/>
  <c r="AO40" i="7" s="1"/>
  <c r="AS40" i="7" s="1"/>
  <c r="BG64" i="45"/>
  <c r="AX50" i="11"/>
  <c r="BF50" i="11" s="1"/>
  <c r="AX39" i="11"/>
  <c r="BF39" i="11" s="1"/>
  <c r="AX26" i="11"/>
  <c r="BF26" i="11" s="1"/>
  <c r="BF11" i="11"/>
  <c r="AA115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167" i="10"/>
  <c r="AF167" i="10" s="1"/>
  <c r="AB25" i="8"/>
  <c r="AF25" i="8" s="1"/>
  <c r="AB27" i="8"/>
  <c r="AF27" i="8" s="1"/>
  <c r="AJ27" i="8" s="1"/>
  <c r="AB29" i="8"/>
  <c r="AF29" i="8" s="1"/>
  <c r="AB20" i="8"/>
  <c r="AF20" i="8" s="1"/>
  <c r="AB19" i="8"/>
  <c r="AF19" i="8" s="1"/>
  <c r="AB30" i="8"/>
  <c r="AF30" i="8" s="1"/>
  <c r="AT33" i="11"/>
  <c r="AT18" i="11"/>
  <c r="AF8" i="38"/>
  <c r="AJ8" i="38" s="1"/>
  <c r="AN8" i="38" s="1"/>
  <c r="AB28" i="8"/>
  <c r="AF28" i="8" s="1"/>
  <c r="AJ28" i="8" s="1"/>
  <c r="AA167" i="10"/>
  <c r="AE167" i="10" s="1"/>
  <c r="AG97" i="45"/>
  <c r="AG63" i="45"/>
  <c r="AK63" i="45" s="1"/>
  <c r="AQ63" i="45" s="1"/>
  <c r="AU63" i="45" s="1"/>
  <c r="AY63" i="45" s="1"/>
  <c r="AG50" i="45"/>
  <c r="AG104" i="45"/>
  <c r="AG103" i="45"/>
  <c r="AG96" i="45"/>
  <c r="AG83" i="45"/>
  <c r="AK83" i="45" s="1"/>
  <c r="AQ83" i="45" s="1"/>
  <c r="AU83" i="45" s="1"/>
  <c r="AY83" i="45" s="1"/>
  <c r="AG24" i="45"/>
  <c r="AG10" i="45"/>
  <c r="AG102" i="45"/>
  <c r="AG95" i="45"/>
  <c r="AG59" i="45"/>
  <c r="AG42" i="45"/>
  <c r="AG101" i="45"/>
  <c r="AG92" i="45"/>
  <c r="AG80" i="45"/>
  <c r="AG174" i="45" s="1"/>
  <c r="AG30" i="45"/>
  <c r="AG19" i="45"/>
  <c r="AG70" i="45"/>
  <c r="AK70" i="45" s="1"/>
  <c r="AQ70" i="45" s="1"/>
  <c r="AU70" i="45" s="1"/>
  <c r="AY70" i="45" s="1"/>
  <c r="AG46" i="45"/>
  <c r="AG41" i="45"/>
  <c r="AG100" i="45"/>
  <c r="AG106" i="45"/>
  <c r="AG99" i="45"/>
  <c r="AG87" i="45"/>
  <c r="AK87" i="45" s="1"/>
  <c r="AQ87" i="45" s="1"/>
  <c r="AU87" i="45" s="1"/>
  <c r="AY87" i="45" s="1"/>
  <c r="AG67" i="45"/>
  <c r="AK67" i="45" s="1"/>
  <c r="AQ67" i="45" s="1"/>
  <c r="AU67" i="45" s="1"/>
  <c r="AY67" i="45" s="1"/>
  <c r="AG13" i="45"/>
  <c r="AG26" i="45"/>
  <c r="AF15" i="38"/>
  <c r="AJ15" i="38" s="1"/>
  <c r="AN15" i="38" s="1"/>
  <c r="AG34" i="45"/>
  <c r="AG58" i="45"/>
  <c r="AG36" i="45"/>
  <c r="AG31" i="45"/>
  <c r="AG14" i="45"/>
  <c r="AG9" i="45"/>
  <c r="AT34" i="11"/>
  <c r="AT20" i="11"/>
  <c r="AB24" i="8"/>
  <c r="AF24" i="8" s="1"/>
  <c r="AF23" i="38"/>
  <c r="AJ23" i="38" s="1"/>
  <c r="AB31" i="8"/>
  <c r="AF31" i="8" s="1"/>
  <c r="AG84" i="45"/>
  <c r="AK84" i="45" s="1"/>
  <c r="AQ84" i="45" s="1"/>
  <c r="AU84" i="45" s="1"/>
  <c r="AY84" i="45" s="1"/>
  <c r="AB9" i="8"/>
  <c r="AF9" i="8" s="1"/>
  <c r="AA9" i="8"/>
  <c r="AE9" i="8" s="1"/>
  <c r="AG48" i="45"/>
  <c r="AG40" i="45"/>
  <c r="AG29" i="45"/>
  <c r="AG20" i="45"/>
  <c r="AT40" i="11"/>
  <c r="AT27" i="11"/>
  <c r="AT12" i="11"/>
  <c r="AX12" i="11" s="1"/>
  <c r="AF24" i="38"/>
  <c r="AJ24" i="38" s="1"/>
  <c r="AN24" i="38" s="1"/>
  <c r="AP15" i="7"/>
  <c r="AO45" i="7"/>
  <c r="AP70" i="7"/>
  <c r="AP40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2" i="7"/>
  <c r="AP43" i="7"/>
  <c r="AP48" i="7"/>
  <c r="AP11" i="7"/>
  <c r="AF30" i="38"/>
  <c r="AJ30" i="38" s="1"/>
  <c r="AN30" i="38" s="1"/>
  <c r="AD6" i="38"/>
  <c r="AA20" i="8"/>
  <c r="AE20" i="8" s="1"/>
  <c r="AB10" i="8"/>
  <c r="AF10" i="8" s="1"/>
  <c r="AP18" i="7"/>
  <c r="AP46" i="7"/>
  <c r="AP7" i="7"/>
  <c r="AO70" i="7"/>
  <c r="AG91" i="45"/>
  <c r="AA169" i="10"/>
  <c r="AE169" i="10" s="1"/>
  <c r="AI169" i="10" s="1"/>
  <c r="AB169" i="10"/>
  <c r="AF169" i="10" s="1"/>
  <c r="AJ169" i="10" s="1"/>
  <c r="AT37" i="11"/>
  <c r="AT24" i="11"/>
  <c r="AT15" i="11"/>
  <c r="AX15" i="11" s="1"/>
  <c r="AT8" i="11"/>
  <c r="AX8" i="11" s="1"/>
  <c r="AT41" i="11"/>
  <c r="AT35" i="11"/>
  <c r="AT28" i="11"/>
  <c r="AT22" i="11"/>
  <c r="AT13" i="11"/>
  <c r="AX13" i="11" s="1"/>
  <c r="AT42" i="11"/>
  <c r="AT36" i="11"/>
  <c r="AT29" i="11"/>
  <c r="AT23" i="11"/>
  <c r="AT14" i="11"/>
  <c r="AX14" i="11" s="1"/>
  <c r="AB54" i="11"/>
  <c r="AT38" i="11"/>
  <c r="AT31" i="11"/>
  <c r="AT25" i="11"/>
  <c r="AT16" i="11"/>
  <c r="AT9" i="11"/>
  <c r="AX9" i="11" s="1"/>
  <c r="AG82" i="45"/>
  <c r="AG62" i="45"/>
  <c r="AK62" i="45" s="1"/>
  <c r="AQ62" i="45" s="1"/>
  <c r="AU62" i="45" s="1"/>
  <c r="AY62" i="45" s="1"/>
  <c r="AG32" i="45"/>
  <c r="AG25" i="45"/>
  <c r="AG11" i="45"/>
  <c r="AG43" i="45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AG172" i="45" l="1"/>
  <c r="AG173" i="45"/>
  <c r="AK80" i="45"/>
  <c r="AK174" i="45" s="1"/>
  <c r="AK82" i="45"/>
  <c r="AW43" i="7"/>
  <c r="BE43" i="7" s="1"/>
  <c r="AW41" i="7"/>
  <c r="BE41" i="7" s="1"/>
  <c r="AW46" i="7"/>
  <c r="BE46" i="7" s="1"/>
  <c r="AW40" i="7"/>
  <c r="BE40" i="7" s="1"/>
  <c r="AW44" i="7"/>
  <c r="BE44" i="7" s="1"/>
  <c r="AW42" i="7"/>
  <c r="BE42" i="7" s="1"/>
  <c r="AW48" i="7"/>
  <c r="BE48" i="7" s="1"/>
  <c r="BG63" i="45"/>
  <c r="BG67" i="45"/>
  <c r="BG62" i="45"/>
  <c r="BG70" i="45"/>
  <c r="BG83" i="45"/>
  <c r="BG84" i="45"/>
  <c r="BG87" i="45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AX51" i="11"/>
  <c r="BF51" i="11" s="1"/>
  <c r="BF13" i="11"/>
  <c r="BF15" i="11"/>
  <c r="AX27" i="11"/>
  <c r="BF27" i="11" s="1"/>
  <c r="AX18" i="11"/>
  <c r="BF18" i="11" s="1"/>
  <c r="BF14" i="11"/>
  <c r="AX22" i="11"/>
  <c r="BF22" i="11" s="1"/>
  <c r="AX24" i="11"/>
  <c r="BF24" i="11" s="1"/>
  <c r="AX40" i="11"/>
  <c r="BF40" i="11" s="1"/>
  <c r="AX20" i="11"/>
  <c r="BF20" i="11" s="1"/>
  <c r="AX33" i="11"/>
  <c r="BF33" i="11" s="1"/>
  <c r="AX16" i="11"/>
  <c r="BF16" i="11" s="1"/>
  <c r="AX23" i="11"/>
  <c r="BF23" i="11" s="1"/>
  <c r="AX28" i="11"/>
  <c r="BF28" i="11" s="1"/>
  <c r="AX37" i="11"/>
  <c r="BF37" i="11" s="1"/>
  <c r="AX48" i="11"/>
  <c r="BF48" i="11" s="1"/>
  <c r="AX34" i="11"/>
  <c r="BF34" i="11" s="1"/>
  <c r="BF9" i="11"/>
  <c r="AX25" i="11"/>
  <c r="BF25" i="11" s="1"/>
  <c r="AX29" i="11"/>
  <c r="BF29" i="11" s="1"/>
  <c r="AX35" i="11"/>
  <c r="BF35" i="11" s="1"/>
  <c r="AX31" i="11"/>
  <c r="BF31" i="11" s="1"/>
  <c r="AX36" i="11"/>
  <c r="BF36" i="11" s="1"/>
  <c r="AX41" i="11"/>
  <c r="BF41" i="11" s="1"/>
  <c r="AX45" i="11"/>
  <c r="BF45" i="11" s="1"/>
  <c r="AX38" i="11"/>
  <c r="BF38" i="11" s="1"/>
  <c r="AX42" i="11"/>
  <c r="BF42" i="11" s="1"/>
  <c r="BF8" i="11"/>
  <c r="BF12" i="11"/>
  <c r="BF117" i="9"/>
  <c r="AK40" i="45"/>
  <c r="AQ40" i="45" s="1"/>
  <c r="AU40" i="45" s="1"/>
  <c r="AK14" i="45"/>
  <c r="AQ14" i="45" s="1"/>
  <c r="AU14" i="45" s="1"/>
  <c r="AK26" i="45"/>
  <c r="AQ26" i="45" s="1"/>
  <c r="AU26" i="45" s="1"/>
  <c r="AK100" i="45"/>
  <c r="AQ100" i="45" s="1"/>
  <c r="AU100" i="45" s="1"/>
  <c r="AK102" i="45"/>
  <c r="AQ102" i="45" s="1"/>
  <c r="AU102" i="45" s="1"/>
  <c r="AK104" i="45"/>
  <c r="AQ104" i="45" s="1"/>
  <c r="AU104" i="45" s="1"/>
  <c r="AK43" i="45"/>
  <c r="AQ43" i="45" s="1"/>
  <c r="AU43" i="45" s="1"/>
  <c r="AK48" i="45"/>
  <c r="AK31" i="45"/>
  <c r="AQ31" i="45" s="1"/>
  <c r="AU31" i="45" s="1"/>
  <c r="AK13" i="45"/>
  <c r="AQ13" i="45" s="1"/>
  <c r="AU13" i="45" s="1"/>
  <c r="AK41" i="45"/>
  <c r="AQ41" i="45" s="1"/>
  <c r="AU41" i="45" s="1"/>
  <c r="AK92" i="45"/>
  <c r="AK10" i="45"/>
  <c r="AQ10" i="45" s="1"/>
  <c r="AU10" i="45" s="1"/>
  <c r="AK50" i="45"/>
  <c r="AQ50" i="45" s="1"/>
  <c r="AU50" i="45" s="1"/>
  <c r="AK91" i="45"/>
  <c r="AQ91" i="45" s="1"/>
  <c r="AU91" i="45" s="1"/>
  <c r="AK11" i="45"/>
  <c r="AQ11" i="45" s="1"/>
  <c r="AU11" i="45" s="1"/>
  <c r="AK36" i="45"/>
  <c r="AQ36" i="45" s="1"/>
  <c r="AU36" i="45" s="1"/>
  <c r="AK46" i="45"/>
  <c r="AQ46" i="45" s="1"/>
  <c r="AU46" i="45" s="1"/>
  <c r="AK101" i="45"/>
  <c r="AQ101" i="45" s="1"/>
  <c r="AU101" i="45" s="1"/>
  <c r="AK24" i="45"/>
  <c r="AQ24" i="45" s="1"/>
  <c r="AU24" i="45" s="1"/>
  <c r="AK25" i="45"/>
  <c r="AQ25" i="45" s="1"/>
  <c r="AU25" i="45" s="1"/>
  <c r="AK58" i="45"/>
  <c r="AK42" i="45"/>
  <c r="AQ42" i="45" s="1"/>
  <c r="AU42" i="45" s="1"/>
  <c r="AK97" i="45"/>
  <c r="AQ97" i="45" s="1"/>
  <c r="AU97" i="45" s="1"/>
  <c r="AK32" i="45"/>
  <c r="AQ32" i="45" s="1"/>
  <c r="AU32" i="45" s="1"/>
  <c r="AK20" i="45"/>
  <c r="AQ20" i="45" s="1"/>
  <c r="AU20" i="45" s="1"/>
  <c r="AK34" i="45"/>
  <c r="AQ34" i="45" s="1"/>
  <c r="AU34" i="45" s="1"/>
  <c r="AK99" i="45"/>
  <c r="AQ99" i="45" s="1"/>
  <c r="AU99" i="45" s="1"/>
  <c r="AK19" i="45"/>
  <c r="AQ19" i="45" s="1"/>
  <c r="AU19" i="45" s="1"/>
  <c r="AK59" i="45"/>
  <c r="AQ59" i="45" s="1"/>
  <c r="AU59" i="45" s="1"/>
  <c r="AK96" i="45"/>
  <c r="AQ96" i="45" s="1"/>
  <c r="AU96" i="45" s="1"/>
  <c r="AK29" i="45"/>
  <c r="AQ29" i="45" s="1"/>
  <c r="AU29" i="45" s="1"/>
  <c r="AK9" i="45"/>
  <c r="AK106" i="45"/>
  <c r="AQ106" i="45" s="1"/>
  <c r="AU106" i="45" s="1"/>
  <c r="AK30" i="45"/>
  <c r="AQ30" i="45" s="1"/>
  <c r="AU30" i="45" s="1"/>
  <c r="AK95" i="45"/>
  <c r="AQ95" i="45" s="1"/>
  <c r="AU95" i="45" s="1"/>
  <c r="AK103" i="45"/>
  <c r="AQ103" i="45" s="1"/>
  <c r="AU103" i="45" s="1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J30" i="8"/>
  <c r="AP30" i="8" s="1"/>
  <c r="AT30" i="8" s="1"/>
  <c r="AJ31" i="8"/>
  <c r="AP31" i="8" s="1"/>
  <c r="AT31" i="8" s="1"/>
  <c r="AI167" i="10"/>
  <c r="AI168" i="10" s="1"/>
  <c r="AJ167" i="10"/>
  <c r="AJ168" i="10" s="1"/>
  <c r="AN23" i="38"/>
  <c r="AF54" i="11"/>
  <c r="AF52" i="11"/>
  <c r="AJ11" i="38"/>
  <c r="AN11" i="38" s="1"/>
  <c r="AF109" i="8"/>
  <c r="AF111" i="8" s="1"/>
  <c r="AF91" i="8"/>
  <c r="AS70" i="7"/>
  <c r="AW70" i="7" s="1"/>
  <c r="AT43" i="7"/>
  <c r="AX43" i="7" s="1"/>
  <c r="AS45" i="7"/>
  <c r="AW45" i="7" s="1"/>
  <c r="AP13" i="7"/>
  <c r="AP10" i="7"/>
  <c r="AP45" i="7"/>
  <c r="AT70" i="7"/>
  <c r="AX70" i="7" s="1"/>
  <c r="AP44" i="7"/>
  <c r="AP9" i="7"/>
  <c r="AT7" i="7"/>
  <c r="AX7" i="7" s="1"/>
  <c r="AT18" i="7"/>
  <c r="AX18" i="7" s="1"/>
  <c r="AT8" i="38"/>
  <c r="AP19" i="7"/>
  <c r="AP27" i="8"/>
  <c r="AT48" i="7"/>
  <c r="AX48" i="7" s="1"/>
  <c r="AT42" i="7"/>
  <c r="AX42" i="7" s="1"/>
  <c r="AT15" i="7"/>
  <c r="AX15" i="7" s="1"/>
  <c r="AP41" i="7"/>
  <c r="AP14" i="7"/>
  <c r="AP28" i="8"/>
  <c r="AT46" i="7"/>
  <c r="AX46" i="7" s="1"/>
  <c r="AT11" i="7"/>
  <c r="AX11" i="7" s="1"/>
  <c r="AP8" i="7"/>
  <c r="AT40" i="7"/>
  <c r="AX40" i="7" s="1"/>
  <c r="AP12" i="7"/>
  <c r="AT15" i="38"/>
  <c r="AO169" i="10"/>
  <c r="AE168" i="10"/>
  <c r="AH65" i="59" s="1"/>
  <c r="AE170" i="10"/>
  <c r="AP169" i="10"/>
  <c r="AF168" i="10"/>
  <c r="AI65" i="59" s="1"/>
  <c r="AF170" i="10"/>
  <c r="AK172" i="45" l="1"/>
  <c r="AK173" i="45"/>
  <c r="AQ48" i="45"/>
  <c r="AQ80" i="45"/>
  <c r="AQ174" i="45" s="1"/>
  <c r="AQ82" i="45"/>
  <c r="AQ173" i="45" s="1"/>
  <c r="AQ58" i="45"/>
  <c r="AQ172" i="45" s="1"/>
  <c r="AT23" i="38"/>
  <c r="AX23" i="38" s="1"/>
  <c r="BB23" i="38" s="1"/>
  <c r="AX10" i="8"/>
  <c r="BF10" i="8" s="1"/>
  <c r="AX9" i="8"/>
  <c r="BF9" i="8" s="1"/>
  <c r="AX29" i="8"/>
  <c r="AW20" i="8"/>
  <c r="BE20" i="8" s="1"/>
  <c r="AX19" i="8"/>
  <c r="BF19" i="8" s="1"/>
  <c r="AW19" i="8"/>
  <c r="BE19" i="8" s="1"/>
  <c r="AX31" i="8"/>
  <c r="AW9" i="8"/>
  <c r="BE9" i="8" s="1"/>
  <c r="AW10" i="8"/>
  <c r="BE10" i="8" s="1"/>
  <c r="AX20" i="8"/>
  <c r="BF20" i="8" s="1"/>
  <c r="AX30" i="8"/>
  <c r="AJ109" i="8"/>
  <c r="AJ111" i="8" s="1"/>
  <c r="AI170" i="10"/>
  <c r="AY19" i="45"/>
  <c r="AY42" i="45"/>
  <c r="AY36" i="45"/>
  <c r="AY41" i="45"/>
  <c r="AY102" i="45"/>
  <c r="AY106" i="45"/>
  <c r="AY11" i="45"/>
  <c r="AY13" i="45"/>
  <c r="AY100" i="45"/>
  <c r="AY34" i="45"/>
  <c r="AY25" i="45"/>
  <c r="AY91" i="45"/>
  <c r="AY31" i="45"/>
  <c r="AY26" i="45"/>
  <c r="AY29" i="45"/>
  <c r="AY20" i="45"/>
  <c r="AY24" i="45"/>
  <c r="AY50" i="45"/>
  <c r="AY14" i="45"/>
  <c r="AY103" i="45"/>
  <c r="AY96" i="45"/>
  <c r="AY32" i="45"/>
  <c r="AY101" i="45"/>
  <c r="AY10" i="45"/>
  <c r="AY43" i="45"/>
  <c r="AY40" i="45"/>
  <c r="AY30" i="45"/>
  <c r="AY99" i="45"/>
  <c r="AY95" i="45"/>
  <c r="AY59" i="45"/>
  <c r="AY97" i="45"/>
  <c r="AY46" i="45"/>
  <c r="AY104" i="45"/>
  <c r="AQ92" i="45"/>
  <c r="AU92" i="45" s="1"/>
  <c r="AQ9" i="45"/>
  <c r="AP24" i="8"/>
  <c r="AT24" i="8" s="1"/>
  <c r="AX24" i="8" s="1"/>
  <c r="AP25" i="8"/>
  <c r="AT25" i="8" s="1"/>
  <c r="AJ54" i="11"/>
  <c r="AP54" i="11" s="1"/>
  <c r="AT54" i="11" s="1"/>
  <c r="AJ52" i="11"/>
  <c r="AP52" i="11" s="1"/>
  <c r="AT52" i="11" s="1"/>
  <c r="AP167" i="10"/>
  <c r="AT167" i="10" s="1"/>
  <c r="AJ170" i="10"/>
  <c r="AO167" i="10"/>
  <c r="AS167" i="10" s="1"/>
  <c r="AJ91" i="8"/>
  <c r="AT11" i="38"/>
  <c r="BE18" i="17"/>
  <c r="BE22" i="17" s="1"/>
  <c r="AF110" i="8"/>
  <c r="BE70" i="7"/>
  <c r="BF70" i="7"/>
  <c r="BF42" i="7"/>
  <c r="BE45" i="7"/>
  <c r="BF40" i="7"/>
  <c r="BF46" i="7"/>
  <c r="BF48" i="7"/>
  <c r="BF18" i="7"/>
  <c r="BF11" i="7"/>
  <c r="BF15" i="7"/>
  <c r="BF7" i="7"/>
  <c r="BF43" i="7"/>
  <c r="AT29" i="38"/>
  <c r="AT32" i="38"/>
  <c r="AX15" i="38"/>
  <c r="AT12" i="7"/>
  <c r="AX12" i="7" s="1"/>
  <c r="AT8" i="7"/>
  <c r="AX8" i="7" s="1"/>
  <c r="AT28" i="8"/>
  <c r="AT41" i="7"/>
  <c r="AX41" i="7" s="1"/>
  <c r="AT9" i="7"/>
  <c r="AX9" i="7" s="1"/>
  <c r="AT45" i="7"/>
  <c r="AX45" i="7" s="1"/>
  <c r="AT22" i="38"/>
  <c r="AT26" i="38"/>
  <c r="AT21" i="38"/>
  <c r="AS169" i="10"/>
  <c r="AT24" i="38"/>
  <c r="AT10" i="38"/>
  <c r="AT19" i="7"/>
  <c r="AX19" i="7" s="1"/>
  <c r="AT31" i="38"/>
  <c r="AT9" i="38"/>
  <c r="AT44" i="7"/>
  <c r="AX44" i="7" s="1"/>
  <c r="AT27" i="38"/>
  <c r="AT33" i="38"/>
  <c r="AT25" i="38"/>
  <c r="AT27" i="8"/>
  <c r="AX27" i="8" s="1"/>
  <c r="AP109" i="8"/>
  <c r="AP111" i="8" s="1"/>
  <c r="AT30" i="38"/>
  <c r="AT28" i="38"/>
  <c r="AT169" i="10"/>
  <c r="AT14" i="7"/>
  <c r="AX14" i="7" s="1"/>
  <c r="AX8" i="38"/>
  <c r="AT10" i="7"/>
  <c r="AX10" i="7" s="1"/>
  <c r="AT13" i="7"/>
  <c r="AX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77" i="73"/>
  <c r="Q177" i="73" s="1"/>
  <c r="M178" i="73"/>
  <c r="Q178" i="73" s="1"/>
  <c r="M67" i="73"/>
  <c r="M76" i="73"/>
  <c r="M77" i="73"/>
  <c r="M78" i="73"/>
  <c r="M79" i="73"/>
  <c r="Q79" i="73" s="1"/>
  <c r="U79" i="73" s="1"/>
  <c r="M80" i="73"/>
  <c r="Q80" i="73" s="1"/>
  <c r="U80" i="73" s="1"/>
  <c r="M81" i="73"/>
  <c r="M82" i="73"/>
  <c r="M87" i="73"/>
  <c r="M88" i="73"/>
  <c r="M89" i="73"/>
  <c r="M90" i="73"/>
  <c r="Q90" i="73" s="1"/>
  <c r="U90" i="73" s="1"/>
  <c r="M94" i="73"/>
  <c r="M95" i="73"/>
  <c r="Q95" i="73" s="1"/>
  <c r="U95" i="73" s="1"/>
  <c r="M96" i="73"/>
  <c r="Q96" i="73" s="1"/>
  <c r="U96" i="73" s="1"/>
  <c r="M97" i="73"/>
  <c r="M98" i="73"/>
  <c r="M99" i="73"/>
  <c r="M101" i="73"/>
  <c r="M56" i="73"/>
  <c r="Q56" i="73" s="1"/>
  <c r="U56" i="73" s="1"/>
  <c r="M36" i="73"/>
  <c r="Q36" i="73" s="1"/>
  <c r="U36" i="73" s="1"/>
  <c r="M37" i="73"/>
  <c r="Q37" i="73" s="1"/>
  <c r="U37" i="73" s="1"/>
  <c r="M38" i="73"/>
  <c r="Q38" i="73" s="1"/>
  <c r="U38" i="73" s="1"/>
  <c r="M39" i="73"/>
  <c r="Q39" i="73" s="1"/>
  <c r="U39" i="73" s="1"/>
  <c r="M40" i="73"/>
  <c r="Q40" i="73" s="1"/>
  <c r="U40" i="73" s="1"/>
  <c r="M41" i="73"/>
  <c r="Q41" i="73" s="1"/>
  <c r="U41" i="73" s="1"/>
  <c r="M42" i="73"/>
  <c r="Q42" i="73" s="1"/>
  <c r="U42" i="73" s="1"/>
  <c r="AA43" i="73"/>
  <c r="AA45" i="73"/>
  <c r="M46" i="73"/>
  <c r="Q46" i="73" s="1"/>
  <c r="U46" i="73" s="1"/>
  <c r="M47" i="73"/>
  <c r="Q47" i="73" s="1"/>
  <c r="U47" i="73" s="1"/>
  <c r="M25" i="73"/>
  <c r="Q25" i="73" s="1"/>
  <c r="U25" i="73" s="1"/>
  <c r="M26" i="73"/>
  <c r="Q26" i="73" s="1"/>
  <c r="U26" i="73" s="1"/>
  <c r="M28" i="73"/>
  <c r="Q28" i="73" s="1"/>
  <c r="U28" i="73" s="1"/>
  <c r="M29" i="73"/>
  <c r="Q29" i="73" s="1"/>
  <c r="U29" i="73" s="1"/>
  <c r="M30" i="73"/>
  <c r="Q30" i="73" s="1"/>
  <c r="U30" i="73" s="1"/>
  <c r="M31" i="73"/>
  <c r="Q31" i="73" s="1"/>
  <c r="U31" i="73" s="1"/>
  <c r="M32" i="73"/>
  <c r="Q32" i="73" s="1"/>
  <c r="U32" i="73" s="1"/>
  <c r="AJ442" i="28"/>
  <c r="AP442" i="28" s="1"/>
  <c r="AT442" i="28" s="1"/>
  <c r="AJ299" i="28"/>
  <c r="AP299" i="28" s="1"/>
  <c r="AT299" i="28" s="1"/>
  <c r="AX299" i="28" s="1"/>
  <c r="BF299" i="28" s="1"/>
  <c r="AJ300" i="28"/>
  <c r="AP300" i="28" s="1"/>
  <c r="AT300" i="28" s="1"/>
  <c r="AX300" i="28" s="1"/>
  <c r="BF300" i="28" s="1"/>
  <c r="AJ301" i="28"/>
  <c r="AP301" i="28" s="1"/>
  <c r="AT301" i="28" s="1"/>
  <c r="AX301" i="28" s="1"/>
  <c r="BF301" i="28" s="1"/>
  <c r="AJ317" i="28"/>
  <c r="AP317" i="28" s="1"/>
  <c r="AT317" i="28" s="1"/>
  <c r="AX317" i="28" s="1"/>
  <c r="BF317" i="28" s="1"/>
  <c r="AJ318" i="28"/>
  <c r="AP318" i="28" s="1"/>
  <c r="AT318" i="28" s="1"/>
  <c r="AX318" i="28" s="1"/>
  <c r="BF318" i="28" s="1"/>
  <c r="AJ345" i="28"/>
  <c r="AP345" i="28" s="1"/>
  <c r="AT345" i="28" s="1"/>
  <c r="AX345" i="28" s="1"/>
  <c r="BF345" i="28" s="1"/>
  <c r="Y79" i="28"/>
  <c r="Y78" i="28"/>
  <c r="Y75" i="28"/>
  <c r="Y74" i="28"/>
  <c r="Y71" i="28"/>
  <c r="Y70" i="28"/>
  <c r="Y24" i="28"/>
  <c r="Y25" i="28"/>
  <c r="Y23" i="28"/>
  <c r="M31" i="28"/>
  <c r="M32" i="28"/>
  <c r="M30" i="28"/>
  <c r="M24" i="28"/>
  <c r="M25" i="28"/>
  <c r="M23" i="28"/>
  <c r="AU9" i="45" l="1"/>
  <c r="AO170" i="10"/>
  <c r="AP91" i="8"/>
  <c r="Q99" i="73"/>
  <c r="U99" i="73" s="1"/>
  <c r="Q98" i="73"/>
  <c r="U98" i="73" s="1"/>
  <c r="Q89" i="73"/>
  <c r="U89" i="73" s="1"/>
  <c r="Q97" i="73"/>
  <c r="U97" i="73" s="1"/>
  <c r="Q88" i="73"/>
  <c r="U88" i="73" s="1"/>
  <c r="Q78" i="73"/>
  <c r="U78" i="73" s="1"/>
  <c r="Q87" i="73"/>
  <c r="U87" i="73" s="1"/>
  <c r="Q77" i="73"/>
  <c r="U77" i="73" s="1"/>
  <c r="Q82" i="73"/>
  <c r="U82" i="73" s="1"/>
  <c r="Q76" i="73"/>
  <c r="U76" i="73" s="1"/>
  <c r="Q101" i="73"/>
  <c r="U101" i="73" s="1"/>
  <c r="Q94" i="73"/>
  <c r="U94" i="73" s="1"/>
  <c r="Q81" i="73"/>
  <c r="U81" i="73" s="1"/>
  <c r="Q67" i="73"/>
  <c r="U67" i="73" s="1"/>
  <c r="AU48" i="45"/>
  <c r="AU80" i="45"/>
  <c r="AU174" i="45" s="1"/>
  <c r="AU82" i="45"/>
  <c r="AU173" i="45" s="1"/>
  <c r="AU58" i="45"/>
  <c r="AU172" i="45" s="1"/>
  <c r="AO168" i="10"/>
  <c r="AR65" i="59" s="1"/>
  <c r="BG11" i="45"/>
  <c r="BG30" i="45"/>
  <c r="BG20" i="45"/>
  <c r="BG40" i="45"/>
  <c r="BG29" i="45"/>
  <c r="BG43" i="45"/>
  <c r="BG26" i="45"/>
  <c r="BG36" i="45"/>
  <c r="BG10" i="45"/>
  <c r="BG42" i="45"/>
  <c r="BG19" i="45"/>
  <c r="BG32" i="45"/>
  <c r="BG25" i="45"/>
  <c r="BG34" i="45"/>
  <c r="BG46" i="45"/>
  <c r="BG14" i="45"/>
  <c r="BG13" i="45"/>
  <c r="BG99" i="45"/>
  <c r="BG106" i="45"/>
  <c r="BG91" i="45"/>
  <c r="BG103" i="45"/>
  <c r="BG59" i="45"/>
  <c r="BG41" i="45"/>
  <c r="BG50" i="45"/>
  <c r="BG31" i="45"/>
  <c r="BG24" i="45"/>
  <c r="BG102" i="45"/>
  <c r="BG104" i="45"/>
  <c r="BG96" i="45"/>
  <c r="BG101" i="45"/>
  <c r="BG100" i="45"/>
  <c r="BG95" i="45"/>
  <c r="BG97" i="45"/>
  <c r="BB8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AJ110" i="8"/>
  <c r="AJ112" i="8" s="1"/>
  <c r="AJ53" i="8" s="1"/>
  <c r="AM43" i="59" s="1"/>
  <c r="BF29" i="8"/>
  <c r="AX25" i="8"/>
  <c r="BF31" i="8"/>
  <c r="BB15" i="38"/>
  <c r="BF30" i="8"/>
  <c r="AP170" i="10"/>
  <c r="AP168" i="10"/>
  <c r="AS65" i="59" s="1"/>
  <c r="AW167" i="10"/>
  <c r="AX169" i="10"/>
  <c r="AW169" i="10"/>
  <c r="AX167" i="10"/>
  <c r="AX442" i="28"/>
  <c r="BF442" i="28" s="1"/>
  <c r="AX54" i="11"/>
  <c r="BF54" i="11" s="1"/>
  <c r="AX52" i="11"/>
  <c r="BF52" i="11" s="1"/>
  <c r="BJ23" i="38"/>
  <c r="BF91" i="8" s="1"/>
  <c r="AX91" i="8"/>
  <c r="AY92" i="45"/>
  <c r="AJ200" i="28"/>
  <c r="AP200" i="28" s="1"/>
  <c r="AT200" i="28" s="1"/>
  <c r="AJ186" i="28"/>
  <c r="AP186" i="28" s="1"/>
  <c r="AT186" i="28" s="1"/>
  <c r="AX186" i="28" s="1"/>
  <c r="BF186" i="28" s="1"/>
  <c r="AJ201" i="28"/>
  <c r="AP201" i="28" s="1"/>
  <c r="AT201" i="28" s="1"/>
  <c r="AX201" i="28" s="1"/>
  <c r="BF201" i="28" s="1"/>
  <c r="AJ184" i="28"/>
  <c r="AP184" i="28" s="1"/>
  <c r="AT184" i="28" s="1"/>
  <c r="AX184" i="28" s="1"/>
  <c r="BF184" i="28" s="1"/>
  <c r="AJ199" i="28"/>
  <c r="AP199" i="28" s="1"/>
  <c r="AT199" i="28" s="1"/>
  <c r="AX199" i="28" s="1"/>
  <c r="BF199" i="28" s="1"/>
  <c r="AJ183" i="28"/>
  <c r="AP183" i="28" s="1"/>
  <c r="AT183" i="28" s="1"/>
  <c r="AJ223" i="28"/>
  <c r="AP223" i="28" s="1"/>
  <c r="AT223" i="28" s="1"/>
  <c r="AX223" i="28" s="1"/>
  <c r="BF223" i="28" s="1"/>
  <c r="AJ182" i="28"/>
  <c r="AP182" i="28" s="1"/>
  <c r="AT182" i="28" s="1"/>
  <c r="AJ198" i="28"/>
  <c r="AP198" i="28" s="1"/>
  <c r="AT198" i="28" s="1"/>
  <c r="AX198" i="28" s="1"/>
  <c r="BF198" i="28" s="1"/>
  <c r="AJ181" i="28"/>
  <c r="AP181" i="28" s="1"/>
  <c r="AT181" i="28" s="1"/>
  <c r="AJ136" i="28"/>
  <c r="AP136" i="28" s="1"/>
  <c r="AT136" i="28" s="1"/>
  <c r="AX136" i="28" s="1"/>
  <c r="BF136" i="28" s="1"/>
  <c r="AJ167" i="28"/>
  <c r="AP167" i="28" s="1"/>
  <c r="AT167" i="28" s="1"/>
  <c r="AJ161" i="28"/>
  <c r="AJ135" i="28"/>
  <c r="AP135" i="28" s="1"/>
  <c r="AT135" i="28" s="1"/>
  <c r="AJ148" i="28"/>
  <c r="AJ160" i="28"/>
  <c r="AJ180" i="28"/>
  <c r="AJ176" i="28"/>
  <c r="AP176" i="28" s="1"/>
  <c r="AT176" i="28" s="1"/>
  <c r="AJ159" i="28"/>
  <c r="AJ162" i="28"/>
  <c r="AJ151" i="28"/>
  <c r="AJ171" i="28"/>
  <c r="AJ150" i="28"/>
  <c r="AA29" i="73"/>
  <c r="AE29" i="73" s="1"/>
  <c r="AI29" i="73" s="1"/>
  <c r="AO29" i="73" s="1"/>
  <c r="AS29" i="73" s="1"/>
  <c r="AA47" i="73"/>
  <c r="AE47" i="73" s="1"/>
  <c r="AI47" i="73" s="1"/>
  <c r="AO47" i="73" s="1"/>
  <c r="AS47" i="73" s="1"/>
  <c r="AA42" i="73"/>
  <c r="AE42" i="73" s="1"/>
  <c r="AI42" i="73" s="1"/>
  <c r="AO42" i="73" s="1"/>
  <c r="AS42" i="73" s="1"/>
  <c r="AA32" i="73"/>
  <c r="AA28" i="73"/>
  <c r="AE28" i="73" s="1"/>
  <c r="AI28" i="73" s="1"/>
  <c r="AO28" i="73" s="1"/>
  <c r="AS28" i="73" s="1"/>
  <c r="AA46" i="73"/>
  <c r="AE46" i="73" s="1"/>
  <c r="AI46" i="73" s="1"/>
  <c r="AO46" i="73" s="1"/>
  <c r="AS46" i="73" s="1"/>
  <c r="AA31" i="73"/>
  <c r="AA26" i="73"/>
  <c r="AE26" i="73" s="1"/>
  <c r="AI26" i="73" s="1"/>
  <c r="AO26" i="73" s="1"/>
  <c r="AS26" i="73" s="1"/>
  <c r="AA30" i="73"/>
  <c r="AE30" i="73" s="1"/>
  <c r="AI30" i="73" s="1"/>
  <c r="AO30" i="73" s="1"/>
  <c r="AS30" i="73" s="1"/>
  <c r="AA25" i="73"/>
  <c r="AE25" i="73" s="1"/>
  <c r="AI25" i="73" s="1"/>
  <c r="AO25" i="73" s="1"/>
  <c r="AS25" i="73" s="1"/>
  <c r="AA178" i="73"/>
  <c r="AE178" i="73" s="1"/>
  <c r="AI178" i="73" s="1"/>
  <c r="AO178" i="73" s="1"/>
  <c r="U178" i="73"/>
  <c r="AA177" i="73"/>
  <c r="AE177" i="73" s="1"/>
  <c r="AI177" i="73" s="1"/>
  <c r="U177" i="73"/>
  <c r="AA56" i="73"/>
  <c r="AA90" i="73"/>
  <c r="AA80" i="73"/>
  <c r="AE80" i="73" s="1"/>
  <c r="AI80" i="73" s="1"/>
  <c r="AO80" i="73" s="1"/>
  <c r="AS80" i="73" s="1"/>
  <c r="AW80" i="73" s="1"/>
  <c r="BE80" i="73" s="1"/>
  <c r="AA79" i="73"/>
  <c r="AA38" i="73"/>
  <c r="AA37" i="73"/>
  <c r="AA36" i="73"/>
  <c r="AE36" i="73" s="1"/>
  <c r="AI36" i="73" s="1"/>
  <c r="AO36" i="73" s="1"/>
  <c r="AS36" i="73" s="1"/>
  <c r="AA41" i="73"/>
  <c r="AA40" i="73"/>
  <c r="AA39" i="73"/>
  <c r="AA95" i="73"/>
  <c r="AA96" i="73"/>
  <c r="Y179" i="73"/>
  <c r="Y102" i="73"/>
  <c r="Y65" i="73"/>
  <c r="BD92" i="8"/>
  <c r="AF52" i="8"/>
  <c r="AI42" i="59" s="1"/>
  <c r="AF112" i="8"/>
  <c r="AF53" i="8" s="1"/>
  <c r="AI43" i="59" s="1"/>
  <c r="BF44" i="7"/>
  <c r="BF41" i="7"/>
  <c r="BF45" i="7"/>
  <c r="BF14" i="7"/>
  <c r="BF8" i="7"/>
  <c r="BF19" i="7"/>
  <c r="BF12" i="7"/>
  <c r="BF13" i="7"/>
  <c r="BF10" i="7"/>
  <c r="BF9" i="7"/>
  <c r="BF24" i="8"/>
  <c r="AA101" i="73"/>
  <c r="AA84" i="73"/>
  <c r="AA99" i="73"/>
  <c r="AA83" i="73"/>
  <c r="AA98" i="73"/>
  <c r="AA82" i="73"/>
  <c r="AA97" i="73"/>
  <c r="AA81" i="73"/>
  <c r="AA94" i="73"/>
  <c r="AA78" i="73"/>
  <c r="AA92" i="73"/>
  <c r="AA77" i="73"/>
  <c r="AA76" i="73"/>
  <c r="AA89" i="73"/>
  <c r="BE69" i="73"/>
  <c r="AA88" i="73"/>
  <c r="AA68" i="73"/>
  <c r="AA87" i="73"/>
  <c r="AA67" i="73"/>
  <c r="BB92" i="8"/>
  <c r="BF27" i="8"/>
  <c r="AX22" i="38"/>
  <c r="AT170" i="10"/>
  <c r="AT168" i="10"/>
  <c r="AW65" i="59" s="1"/>
  <c r="AX30" i="38"/>
  <c r="AP110" i="8"/>
  <c r="AX11" i="38"/>
  <c r="BB11" i="38" s="1"/>
  <c r="AX33" i="38"/>
  <c r="AX31" i="38"/>
  <c r="AX10" i="38"/>
  <c r="AX32" i="38"/>
  <c r="AS170" i="10"/>
  <c r="AS168" i="10"/>
  <c r="AV65" i="59" s="1"/>
  <c r="AX26" i="38"/>
  <c r="AX28" i="38"/>
  <c r="AT91" i="8"/>
  <c r="AT109" i="8"/>
  <c r="AT111" i="8" s="1"/>
  <c r="AX25" i="38"/>
  <c r="AX27" i="38"/>
  <c r="AX9" i="38"/>
  <c r="AX24" i="38"/>
  <c r="AX21" i="38"/>
  <c r="AX29" i="38"/>
  <c r="AJ23" i="28"/>
  <c r="AP23" i="28" s="1"/>
  <c r="AT23" i="28" s="1"/>
  <c r="AT30" i="11"/>
  <c r="AJ24" i="28"/>
  <c r="AP24" i="28" s="1"/>
  <c r="AT24" i="28" s="1"/>
  <c r="AJ368" i="28"/>
  <c r="AP368" i="28" s="1"/>
  <c r="AT368" i="28" s="1"/>
  <c r="AX368" i="28" s="1"/>
  <c r="BF368" i="28" s="1"/>
  <c r="AJ44" i="28"/>
  <c r="AP44" i="28" s="1"/>
  <c r="AT44" i="28" s="1"/>
  <c r="AJ18" i="28"/>
  <c r="AP18" i="28" s="1"/>
  <c r="AT18" i="28" s="1"/>
  <c r="AJ43" i="28"/>
  <c r="AP43" i="28" s="1"/>
  <c r="AT43" i="28" s="1"/>
  <c r="AJ446" i="28"/>
  <c r="AP446" i="28" s="1"/>
  <c r="AT446" i="28" s="1"/>
  <c r="AJ443" i="28"/>
  <c r="AP443" i="28" s="1"/>
  <c r="AT443" i="28" s="1"/>
  <c r="AJ45" i="28"/>
  <c r="AP45" i="28" s="1"/>
  <c r="AT45" i="28" s="1"/>
  <c r="AE43" i="73"/>
  <c r="AI43" i="73" s="1"/>
  <c r="AO43" i="73" s="1"/>
  <c r="AS43" i="73" s="1"/>
  <c r="AE45" i="73"/>
  <c r="AI45" i="73" s="1"/>
  <c r="AO45" i="73" s="1"/>
  <c r="AS45" i="73" s="1"/>
  <c r="AJ16" i="28"/>
  <c r="AP16" i="28" s="1"/>
  <c r="AT16" i="28" s="1"/>
  <c r="AJ25" i="28"/>
  <c r="AP25" i="28" s="1"/>
  <c r="AT25" i="28" s="1"/>
  <c r="AJ39" i="28"/>
  <c r="AP39" i="28" s="1"/>
  <c r="AT39" i="28" s="1"/>
  <c r="AJ444" i="28"/>
  <c r="AP444" i="28" s="1"/>
  <c r="AT444" i="28" s="1"/>
  <c r="AJ231" i="28"/>
  <c r="AP231" i="28" s="1"/>
  <c r="AJ277" i="28"/>
  <c r="AP277" i="28" s="1"/>
  <c r="AT277" i="28" s="1"/>
  <c r="AJ276" i="28"/>
  <c r="AP276" i="28" s="1"/>
  <c r="AT276" i="28" s="1"/>
  <c r="AJ15" i="28"/>
  <c r="AP15" i="28" s="1"/>
  <c r="AT15" i="28" s="1"/>
  <c r="AJ17" i="28"/>
  <c r="AP17" i="28" s="1"/>
  <c r="AT17" i="28" s="1"/>
  <c r="AJ22" i="28"/>
  <c r="AP22" i="28" s="1"/>
  <c r="AT22" i="28" s="1"/>
  <c r="AJ445" i="28"/>
  <c r="AP445" i="28" s="1"/>
  <c r="AT445" i="28" s="1"/>
  <c r="AJ38" i="28"/>
  <c r="AP38" i="28" s="1"/>
  <c r="AT38" i="28" s="1"/>
  <c r="AJ46" i="28"/>
  <c r="AP46" i="28" s="1"/>
  <c r="AT46" i="28" s="1"/>
  <c r="AJ36" i="28"/>
  <c r="AP36" i="28" s="1"/>
  <c r="AT36" i="28" s="1"/>
  <c r="AJ370" i="28"/>
  <c r="AP370" i="28" s="1"/>
  <c r="AT370" i="28" s="1"/>
  <c r="AX370" i="28" s="1"/>
  <c r="BF370" i="28" s="1"/>
  <c r="AJ37" i="28"/>
  <c r="AP37" i="28" s="1"/>
  <c r="AT37" i="28" s="1"/>
  <c r="AY9" i="45" l="1"/>
  <c r="AY48" i="45"/>
  <c r="AJ52" i="8"/>
  <c r="AM42" i="59" s="1"/>
  <c r="AM44" i="59" s="1"/>
  <c r="AY80" i="45"/>
  <c r="AY174" i="45" s="1"/>
  <c r="AW42" i="73"/>
  <c r="BE42" i="73" s="1"/>
  <c r="AW46" i="73"/>
  <c r="BE46" i="73" s="1"/>
  <c r="AW30" i="73"/>
  <c r="BE30" i="73" s="1"/>
  <c r="AW47" i="73"/>
  <c r="BE47" i="73" s="1"/>
  <c r="AW45" i="73"/>
  <c r="BE45" i="73" s="1"/>
  <c r="AW43" i="73"/>
  <c r="BE43" i="73" s="1"/>
  <c r="AW29" i="73"/>
  <c r="BE29" i="73" s="1"/>
  <c r="AY82" i="45"/>
  <c r="AY173" i="45" s="1"/>
  <c r="AY58" i="45"/>
  <c r="AY172" i="45" s="1"/>
  <c r="AW28" i="73"/>
  <c r="BE28" i="73" s="1"/>
  <c r="AW25" i="73"/>
  <c r="BE25" i="73" s="1"/>
  <c r="AW26" i="73"/>
  <c r="BE26" i="73" s="1"/>
  <c r="BG92" i="45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AX109" i="8"/>
  <c r="AX111" i="8" s="1"/>
  <c r="BJ15" i="38"/>
  <c r="AS178" i="73"/>
  <c r="AW178" i="73" s="1"/>
  <c r="BE178" i="73" s="1"/>
  <c r="AW170" i="10"/>
  <c r="AW168" i="10"/>
  <c r="AZ65" i="59" s="1"/>
  <c r="BE169" i="10"/>
  <c r="AX168" i="10"/>
  <c r="BA65" i="59" s="1"/>
  <c r="AX170" i="10"/>
  <c r="BF169" i="10"/>
  <c r="BF167" i="10"/>
  <c r="BE167" i="10"/>
  <c r="AW36" i="73"/>
  <c r="BE36" i="73" s="1"/>
  <c r="AX277" i="28"/>
  <c r="BF277" i="28" s="1"/>
  <c r="AX445" i="28"/>
  <c r="BF445" i="28" s="1"/>
  <c r="AX443" i="28"/>
  <c r="BF443" i="28" s="1"/>
  <c r="AX276" i="28"/>
  <c r="BF276" i="28" s="1"/>
  <c r="AX444" i="28"/>
  <c r="BF444" i="28" s="1"/>
  <c r="AX446" i="28"/>
  <c r="BF446" i="28" s="1"/>
  <c r="AX200" i="28"/>
  <c r="BF200" i="28" s="1"/>
  <c r="AX15" i="28"/>
  <c r="BF15" i="28" s="1"/>
  <c r="AX44" i="28"/>
  <c r="BF44" i="28" s="1"/>
  <c r="AX135" i="28"/>
  <c r="BF135" i="28" s="1"/>
  <c r="AX167" i="28"/>
  <c r="BF167" i="28" s="1"/>
  <c r="AX181" i="28"/>
  <c r="BF181" i="28" s="1"/>
  <c r="AX182" i="28"/>
  <c r="BF182" i="28" s="1"/>
  <c r="AX183" i="28"/>
  <c r="BF183" i="28" s="1"/>
  <c r="AX38" i="28"/>
  <c r="BF38" i="28" s="1"/>
  <c r="AX36" i="28"/>
  <c r="BF36" i="28" s="1"/>
  <c r="AX39" i="28"/>
  <c r="BF39" i="28" s="1"/>
  <c r="AX176" i="28"/>
  <c r="BF176" i="28" s="1"/>
  <c r="AX37" i="28"/>
  <c r="BF37" i="28" s="1"/>
  <c r="AX22" i="28"/>
  <c r="BF22" i="28" s="1"/>
  <c r="AX25" i="28"/>
  <c r="BF25" i="28" s="1"/>
  <c r="AX43" i="28"/>
  <c r="BF43" i="28" s="1"/>
  <c r="AX46" i="28"/>
  <c r="BF46" i="28" s="1"/>
  <c r="AX17" i="28"/>
  <c r="BF17" i="28" s="1"/>
  <c r="AX16" i="28"/>
  <c r="BF16" i="28" s="1"/>
  <c r="AX45" i="28"/>
  <c r="BF45" i="28" s="1"/>
  <c r="AX18" i="28"/>
  <c r="BF18" i="28" s="1"/>
  <c r="AX24" i="28"/>
  <c r="BF24" i="28" s="1"/>
  <c r="AX23" i="28"/>
  <c r="BF23" i="28" s="1"/>
  <c r="AX30" i="11"/>
  <c r="BF30" i="11" s="1"/>
  <c r="AP150" i="28"/>
  <c r="AP171" i="28"/>
  <c r="AP151" i="28"/>
  <c r="AT151" i="28" s="1"/>
  <c r="AX151" i="28" s="1"/>
  <c r="BF151" i="28" s="1"/>
  <c r="AP162" i="28"/>
  <c r="AP159" i="28"/>
  <c r="AP180" i="28"/>
  <c r="AP160" i="28"/>
  <c r="AP148" i="28"/>
  <c r="AP161" i="28"/>
  <c r="AO177" i="73"/>
  <c r="AE89" i="73"/>
  <c r="AE84" i="73"/>
  <c r="AE76" i="73"/>
  <c r="AE94" i="73"/>
  <c r="AI94" i="73" s="1"/>
  <c r="AO94" i="73" s="1"/>
  <c r="AS94" i="73" s="1"/>
  <c r="AW94" i="73" s="1"/>
  <c r="BE94" i="73" s="1"/>
  <c r="AE101" i="73"/>
  <c r="AI101" i="73" s="1"/>
  <c r="AO101" i="73" s="1"/>
  <c r="AS101" i="73" s="1"/>
  <c r="AE96" i="73"/>
  <c r="AE39" i="73"/>
  <c r="AI39" i="73" s="1"/>
  <c r="AO39" i="73" s="1"/>
  <c r="AS39" i="73" s="1"/>
  <c r="AE37" i="73"/>
  <c r="AI37" i="73" s="1"/>
  <c r="AO37" i="73" s="1"/>
  <c r="AS37" i="73" s="1"/>
  <c r="AE79" i="73"/>
  <c r="AE90" i="73"/>
  <c r="AE88" i="73"/>
  <c r="AE77" i="73"/>
  <c r="AE81" i="73"/>
  <c r="AE83" i="73"/>
  <c r="AE31" i="73"/>
  <c r="AI31" i="73" s="1"/>
  <c r="AO31" i="73" s="1"/>
  <c r="AS31" i="73" s="1"/>
  <c r="AE87" i="73"/>
  <c r="AE78" i="73"/>
  <c r="AE82" i="73"/>
  <c r="AE68" i="73"/>
  <c r="AE98" i="73"/>
  <c r="AI98" i="73" s="1"/>
  <c r="AE41" i="73"/>
  <c r="AI41" i="73" s="1"/>
  <c r="AO41" i="73" s="1"/>
  <c r="AS41" i="73" s="1"/>
  <c r="AE32" i="73"/>
  <c r="AI32" i="73" s="1"/>
  <c r="AO32" i="73" s="1"/>
  <c r="AS32" i="73" s="1"/>
  <c r="AE67" i="73"/>
  <c r="AI67" i="73" s="1"/>
  <c r="AE92" i="73"/>
  <c r="AE97" i="73"/>
  <c r="AE99" i="73"/>
  <c r="AI99" i="73" s="1"/>
  <c r="AE95" i="73"/>
  <c r="AE40" i="73"/>
  <c r="AI40" i="73" s="1"/>
  <c r="AO40" i="73" s="1"/>
  <c r="AS40" i="73" s="1"/>
  <c r="AE38" i="73"/>
  <c r="AI38" i="73" s="1"/>
  <c r="AO38" i="73" s="1"/>
  <c r="AS38" i="73" s="1"/>
  <c r="AJ66" i="28"/>
  <c r="AP66" i="28" s="1"/>
  <c r="AT66" i="28" s="1"/>
  <c r="AJ69" i="28"/>
  <c r="AP69" i="28" s="1"/>
  <c r="AT69" i="28" s="1"/>
  <c r="AJ70" i="28"/>
  <c r="AP70" i="28" s="1"/>
  <c r="AT70" i="28" s="1"/>
  <c r="AJ78" i="28"/>
  <c r="AP78" i="28" s="1"/>
  <c r="AT78" i="28" s="1"/>
  <c r="AJ77" i="28"/>
  <c r="AP77" i="28" s="1"/>
  <c r="AT77" i="28" s="1"/>
  <c r="AJ73" i="28"/>
  <c r="AP73" i="28" s="1"/>
  <c r="AT73" i="28" s="1"/>
  <c r="AJ74" i="28"/>
  <c r="AP74" i="28" s="1"/>
  <c r="AT74" i="28" s="1"/>
  <c r="AJ236" i="28"/>
  <c r="AJ250" i="28"/>
  <c r="AJ88" i="28"/>
  <c r="AJ391" i="28"/>
  <c r="AP391" i="28" s="1"/>
  <c r="AJ100" i="28"/>
  <c r="AJ374" i="28"/>
  <c r="AP374" i="28" s="1"/>
  <c r="AJ211" i="28"/>
  <c r="AP211" i="28" s="1"/>
  <c r="AJ164" i="28"/>
  <c r="AJ165" i="28"/>
  <c r="AJ375" i="28"/>
  <c r="AP375" i="28" s="1"/>
  <c r="AJ208" i="28"/>
  <c r="AP208" i="28" s="1"/>
  <c r="AJ206" i="28"/>
  <c r="AJ204" i="28"/>
  <c r="AJ390" i="28"/>
  <c r="AP390" i="28" s="1"/>
  <c r="AJ97" i="28"/>
  <c r="AJ99" i="28"/>
  <c r="AJ96" i="28"/>
  <c r="AJ213" i="28"/>
  <c r="AP213" i="28" s="1"/>
  <c r="AJ207" i="28"/>
  <c r="AP207" i="28" s="1"/>
  <c r="AJ174" i="28"/>
  <c r="AJ134" i="28"/>
  <c r="AJ259" i="28"/>
  <c r="AJ103" i="28"/>
  <c r="AJ205" i="28"/>
  <c r="AJ326" i="28"/>
  <c r="AI44" i="59"/>
  <c r="BJ11" i="38"/>
  <c r="AT231" i="28"/>
  <c r="BF109" i="8"/>
  <c r="BF111" i="8" s="1"/>
  <c r="AP52" i="8"/>
  <c r="AS42" i="59" s="1"/>
  <c r="AP112" i="8"/>
  <c r="AP53" i="8" s="1"/>
  <c r="AS43" i="59" s="1"/>
  <c r="AT110" i="8"/>
  <c r="Y83" i="28"/>
  <c r="Y82" i="28"/>
  <c r="Y67" i="28"/>
  <c r="Y66" i="28"/>
  <c r="Y51" i="28"/>
  <c r="Y32" i="28"/>
  <c r="Y31" i="28"/>
  <c r="Y30" i="28"/>
  <c r="Y18" i="28"/>
  <c r="Y17" i="28"/>
  <c r="Y16" i="28"/>
  <c r="Y15" i="28"/>
  <c r="Y11" i="28"/>
  <c r="Y10" i="28"/>
  <c r="Y9" i="28"/>
  <c r="Z7" i="28"/>
  <c r="BG9" i="45" l="1"/>
  <c r="BG48" i="45"/>
  <c r="BG80" i="45"/>
  <c r="BG174" i="45" s="1"/>
  <c r="AX110" i="8"/>
  <c r="AX52" i="8" s="1"/>
  <c r="BA42" i="59" s="1"/>
  <c r="AW31" i="73"/>
  <c r="BE31" i="73" s="1"/>
  <c r="AW101" i="73"/>
  <c r="BE101" i="73" s="1"/>
  <c r="AO99" i="73"/>
  <c r="AS99" i="73" s="1"/>
  <c r="AW32" i="73"/>
  <c r="BE32" i="73" s="1"/>
  <c r="BG82" i="45"/>
  <c r="BG173" i="45" s="1"/>
  <c r="BG58" i="45"/>
  <c r="BG172" i="45" s="1"/>
  <c r="AS177" i="73"/>
  <c r="AW177" i="73" s="1"/>
  <c r="BE177" i="73" s="1"/>
  <c r="AI87" i="73"/>
  <c r="AO87" i="73" s="1"/>
  <c r="AS87" i="73" s="1"/>
  <c r="AW87" i="73" s="1"/>
  <c r="BE87" i="73" s="1"/>
  <c r="AI79" i="73"/>
  <c r="AO79" i="73" s="1"/>
  <c r="AS79" i="73" s="1"/>
  <c r="AW79" i="73" s="1"/>
  <c r="BE79" i="73" s="1"/>
  <c r="AI76" i="73"/>
  <c r="AO76" i="73" s="1"/>
  <c r="AS76" i="73" s="1"/>
  <c r="AW76" i="73" s="1"/>
  <c r="BE76" i="73" s="1"/>
  <c r="AO98" i="73"/>
  <c r="AS98" i="73" s="1"/>
  <c r="AW98" i="73" s="1"/>
  <c r="BE98" i="73" s="1"/>
  <c r="AI83" i="73"/>
  <c r="AO83" i="73" s="1"/>
  <c r="AS83" i="73" s="1"/>
  <c r="AW83" i="73" s="1"/>
  <c r="BE83" i="73" s="1"/>
  <c r="AI84" i="73"/>
  <c r="AO84" i="73" s="1"/>
  <c r="AS84" i="73" s="1"/>
  <c r="AW84" i="73" s="1"/>
  <c r="BE84" i="73" s="1"/>
  <c r="AI97" i="73"/>
  <c r="AO97" i="73" s="1"/>
  <c r="AS97" i="73" s="1"/>
  <c r="AW97" i="73" s="1"/>
  <c r="BE97" i="73" s="1"/>
  <c r="AI68" i="73"/>
  <c r="AO68" i="73" s="1"/>
  <c r="AS68" i="73" s="1"/>
  <c r="AW68" i="73" s="1"/>
  <c r="BE68" i="73" s="1"/>
  <c r="AI81" i="73"/>
  <c r="AO81" i="73" s="1"/>
  <c r="AS81" i="73" s="1"/>
  <c r="AW81" i="73" s="1"/>
  <c r="BE81" i="73" s="1"/>
  <c r="AI89" i="73"/>
  <c r="AO89" i="73" s="1"/>
  <c r="AS89" i="73" s="1"/>
  <c r="AW89" i="73" s="1"/>
  <c r="BE89" i="73" s="1"/>
  <c r="AI92" i="73"/>
  <c r="AO92" i="73" s="1"/>
  <c r="AS92" i="73" s="1"/>
  <c r="AW92" i="73" s="1"/>
  <c r="BE92" i="73" s="1"/>
  <c r="AI82" i="73"/>
  <c r="AO82" i="73" s="1"/>
  <c r="AS82" i="73" s="1"/>
  <c r="AW82" i="73" s="1"/>
  <c r="BE82" i="73" s="1"/>
  <c r="AI77" i="73"/>
  <c r="AO77" i="73" s="1"/>
  <c r="AS77" i="73" s="1"/>
  <c r="AW77" i="73" s="1"/>
  <c r="BE77" i="73" s="1"/>
  <c r="AI96" i="73"/>
  <c r="AO96" i="73" s="1"/>
  <c r="AS96" i="73" s="1"/>
  <c r="AW96" i="73" s="1"/>
  <c r="BE96" i="73" s="1"/>
  <c r="AI90" i="73"/>
  <c r="AO90" i="73" s="1"/>
  <c r="AS90" i="73" s="1"/>
  <c r="AW90" i="73" s="1"/>
  <c r="BE90" i="73" s="1"/>
  <c r="AI95" i="73"/>
  <c r="AO95" i="73" s="1"/>
  <c r="AS95" i="73" s="1"/>
  <c r="AW95" i="73" s="1"/>
  <c r="BE95" i="73" s="1"/>
  <c r="AO67" i="73"/>
  <c r="AS67" i="73" s="1"/>
  <c r="AW67" i="73" s="1"/>
  <c r="BE67" i="73" s="1"/>
  <c r="AI78" i="73"/>
  <c r="AO78" i="73" s="1"/>
  <c r="AS78" i="73" s="1"/>
  <c r="AW78" i="73" s="1"/>
  <c r="BE78" i="73" s="1"/>
  <c r="AI88" i="73"/>
  <c r="AO88" i="73" s="1"/>
  <c r="AS88" i="73" s="1"/>
  <c r="AW88" i="73" s="1"/>
  <c r="BE88" i="73" s="1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BF99" i="9" s="1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8" i="10"/>
  <c r="BI65" i="59" s="1"/>
  <c r="BF170" i="10"/>
  <c r="BE170" i="10"/>
  <c r="BE168" i="10"/>
  <c r="BH65" i="59" s="1"/>
  <c r="AW39" i="73"/>
  <c r="BE39" i="73" s="1"/>
  <c r="AW41" i="73"/>
  <c r="BE41" i="73" s="1"/>
  <c r="AW38" i="73"/>
  <c r="BE38" i="73" s="1"/>
  <c r="AW40" i="73"/>
  <c r="BE40" i="73" s="1"/>
  <c r="AW37" i="73"/>
  <c r="BE37" i="73" s="1"/>
  <c r="AX231" i="28"/>
  <c r="BF231" i="28" s="1"/>
  <c r="AX69" i="28"/>
  <c r="BF69" i="28" s="1"/>
  <c r="AX74" i="28"/>
  <c r="BF74" i="28" s="1"/>
  <c r="AX66" i="28"/>
  <c r="BF66" i="28" s="1"/>
  <c r="AX73" i="28"/>
  <c r="BF73" i="28" s="1"/>
  <c r="AX77" i="28"/>
  <c r="BF77" i="28" s="1"/>
  <c r="AX78" i="28"/>
  <c r="BF78" i="28" s="1"/>
  <c r="AX70" i="28"/>
  <c r="BF70" i="28" s="1"/>
  <c r="AT374" i="28"/>
  <c r="AT375" i="28"/>
  <c r="AT207" i="28"/>
  <c r="AT390" i="28"/>
  <c r="AT213" i="28"/>
  <c r="AT208" i="28"/>
  <c r="AT211" i="28"/>
  <c r="AT391" i="28"/>
  <c r="AT159" i="28"/>
  <c r="AT162" i="28"/>
  <c r="AT161" i="28"/>
  <c r="AT148" i="28"/>
  <c r="AT171" i="28"/>
  <c r="AT160" i="28"/>
  <c r="AT150" i="28"/>
  <c r="AT180" i="28"/>
  <c r="AP103" i="28"/>
  <c r="AP96" i="28"/>
  <c r="AP99" i="28"/>
  <c r="AP165" i="28"/>
  <c r="AP250" i="28"/>
  <c r="AT250" i="28" s="1"/>
  <c r="AP236" i="28"/>
  <c r="AT236" i="28" s="1"/>
  <c r="AP134" i="28"/>
  <c r="AP97" i="28"/>
  <c r="AP204" i="28"/>
  <c r="AP164" i="28"/>
  <c r="AP259" i="28"/>
  <c r="AT259" i="28" s="1"/>
  <c r="AP326" i="28"/>
  <c r="AP205" i="28"/>
  <c r="AP174" i="28"/>
  <c r="AP206" i="28"/>
  <c r="AP100" i="28"/>
  <c r="AP88" i="28"/>
  <c r="AJ308" i="28"/>
  <c r="AJ285" i="28"/>
  <c r="AJ241" i="28"/>
  <c r="AJ254" i="28"/>
  <c r="AJ287" i="28"/>
  <c r="AJ270" i="28"/>
  <c r="AJ329" i="28"/>
  <c r="AJ307" i="28"/>
  <c r="AJ324" i="28"/>
  <c r="AJ256" i="28"/>
  <c r="AJ243" i="28"/>
  <c r="AJ306" i="28"/>
  <c r="AJ253" i="28"/>
  <c r="AJ268" i="28"/>
  <c r="AJ263" i="28"/>
  <c r="AJ257" i="28"/>
  <c r="AJ261" i="28"/>
  <c r="AJ267" i="28"/>
  <c r="AJ251" i="28"/>
  <c r="AJ373" i="28"/>
  <c r="AJ238" i="28"/>
  <c r="AJ286" i="28"/>
  <c r="AJ239" i="28"/>
  <c r="AJ265" i="28"/>
  <c r="AJ255" i="28"/>
  <c r="AJ262" i="28"/>
  <c r="AJ269" i="28"/>
  <c r="AJ248" i="28"/>
  <c r="AJ266" i="28"/>
  <c r="AJ282" i="28"/>
  <c r="AJ258" i="28"/>
  <c r="AJ325" i="28"/>
  <c r="AJ380" i="28"/>
  <c r="AJ264" i="28"/>
  <c r="AJ372" i="28"/>
  <c r="AJ252" i="28"/>
  <c r="AJ245" i="28"/>
  <c r="AJ249" i="28"/>
  <c r="AJ240" i="28"/>
  <c r="AJ242" i="28"/>
  <c r="AJ327" i="28"/>
  <c r="AJ246" i="28"/>
  <c r="AJ196" i="28"/>
  <c r="AJ192" i="28"/>
  <c r="AJ194" i="28"/>
  <c r="AJ191" i="28"/>
  <c r="AJ189" i="28"/>
  <c r="AJ193" i="28"/>
  <c r="AJ187" i="28"/>
  <c r="AJ133" i="28"/>
  <c r="AJ91" i="28"/>
  <c r="AJ147" i="28"/>
  <c r="AJ105" i="28"/>
  <c r="AJ166" i="28"/>
  <c r="AJ90" i="28"/>
  <c r="AJ140" i="28"/>
  <c r="AJ98" i="28"/>
  <c r="AJ178" i="28"/>
  <c r="AJ132" i="28"/>
  <c r="AJ146" i="28"/>
  <c r="AJ139" i="28"/>
  <c r="AJ104" i="28"/>
  <c r="AJ102" i="28"/>
  <c r="AJ172" i="28"/>
  <c r="AJ163" i="28"/>
  <c r="AJ94" i="28"/>
  <c r="AJ179" i="28"/>
  <c r="AJ92" i="28"/>
  <c r="AJ95" i="28"/>
  <c r="AJ138" i="28"/>
  <c r="AS44" i="59"/>
  <c r="BF110" i="8"/>
  <c r="BF112" i="8" s="1"/>
  <c r="BF53" i="8" s="1"/>
  <c r="BI43" i="59" s="1"/>
  <c r="AT112" i="8"/>
  <c r="AT53" i="8" s="1"/>
  <c r="AW43" i="59" s="1"/>
  <c r="AT52" i="8"/>
  <c r="AW42" i="59" s="1"/>
  <c r="Z105" i="9"/>
  <c r="Z55" i="9"/>
  <c r="AX112" i="8" l="1"/>
  <c r="AX53" i="8" s="1"/>
  <c r="BA43" i="59" s="1"/>
  <c r="BA44" i="59" s="1"/>
  <c r="AW99" i="73"/>
  <c r="BE99" i="73" s="1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AX207" i="28"/>
  <c r="BF207" i="28" s="1"/>
  <c r="AX391" i="28"/>
  <c r="BF391" i="28" s="1"/>
  <c r="AX375" i="28"/>
  <c r="BF375" i="28" s="1"/>
  <c r="AX211" i="28"/>
  <c r="BF211" i="28" s="1"/>
  <c r="AX374" i="28"/>
  <c r="BF374" i="28" s="1"/>
  <c r="AX208" i="28"/>
  <c r="BF208" i="28" s="1"/>
  <c r="AX236" i="28"/>
  <c r="BF236" i="28" s="1"/>
  <c r="AX213" i="28"/>
  <c r="BF213" i="28" s="1"/>
  <c r="AX259" i="28"/>
  <c r="BF259" i="28" s="1"/>
  <c r="AX250" i="28"/>
  <c r="BF250" i="28" s="1"/>
  <c r="AX390" i="28"/>
  <c r="BF390" i="28" s="1"/>
  <c r="AX150" i="28"/>
  <c r="BF150" i="28" s="1"/>
  <c r="AX162" i="28"/>
  <c r="BF162" i="28" s="1"/>
  <c r="AX159" i="28"/>
  <c r="BF159" i="28" s="1"/>
  <c r="AX171" i="28"/>
  <c r="BF171" i="28" s="1"/>
  <c r="AX160" i="28"/>
  <c r="BF160" i="28" s="1"/>
  <c r="AX148" i="28"/>
  <c r="BF148" i="28" s="1"/>
  <c r="AX180" i="28"/>
  <c r="BF180" i="28" s="1"/>
  <c r="AX161" i="28"/>
  <c r="BF161" i="28" s="1"/>
  <c r="AT326" i="28"/>
  <c r="AT204" i="28"/>
  <c r="AT206" i="28"/>
  <c r="AT205" i="28"/>
  <c r="AT164" i="28"/>
  <c r="AT165" i="28"/>
  <c r="AT99" i="28"/>
  <c r="AT174" i="28"/>
  <c r="AT97" i="28"/>
  <c r="AT96" i="28"/>
  <c r="AT88" i="28"/>
  <c r="AT100" i="28"/>
  <c r="AT134" i="28"/>
  <c r="AT103" i="28"/>
  <c r="AP194" i="28"/>
  <c r="AP263" i="28"/>
  <c r="AT263" i="28" s="1"/>
  <c r="AP324" i="28"/>
  <c r="AP241" i="28"/>
  <c r="AT241" i="28" s="1"/>
  <c r="AP102" i="28"/>
  <c r="AP249" i="28"/>
  <c r="AT249" i="28" s="1"/>
  <c r="AP268" i="28"/>
  <c r="AT268" i="28" s="1"/>
  <c r="AP307" i="28"/>
  <c r="AP285" i="28"/>
  <c r="AT285" i="28" s="1"/>
  <c r="AX285" i="28" s="1"/>
  <c r="BF285" i="28" s="1"/>
  <c r="AP240" i="28"/>
  <c r="AT240" i="28" s="1"/>
  <c r="AP133" i="28"/>
  <c r="AP187" i="28"/>
  <c r="AP258" i="28"/>
  <c r="AT258" i="28" s="1"/>
  <c r="AP251" i="28"/>
  <c r="AT251" i="28" s="1"/>
  <c r="AP253" i="28"/>
  <c r="AT253" i="28" s="1"/>
  <c r="AP329" i="28"/>
  <c r="AP308" i="28"/>
  <c r="AP98" i="28"/>
  <c r="AP269" i="28"/>
  <c r="AT269" i="28" s="1"/>
  <c r="AP104" i="28"/>
  <c r="AP373" i="28"/>
  <c r="AP139" i="28"/>
  <c r="AP246" i="28"/>
  <c r="AT246" i="28" s="1"/>
  <c r="AP265" i="28"/>
  <c r="AT265" i="28" s="1"/>
  <c r="AP306" i="28"/>
  <c r="AP270" i="28"/>
  <c r="AT270" i="28" s="1"/>
  <c r="AP95" i="28"/>
  <c r="AP380" i="28"/>
  <c r="AP140" i="28"/>
  <c r="AP262" i="28"/>
  <c r="AT262" i="28" s="1"/>
  <c r="AP90" i="28"/>
  <c r="AP255" i="28"/>
  <c r="AT255" i="28" s="1"/>
  <c r="AP146" i="28"/>
  <c r="AP193" i="28"/>
  <c r="AP163" i="28"/>
  <c r="AP189" i="28"/>
  <c r="AP372" i="28"/>
  <c r="AP266" i="28"/>
  <c r="AT266" i="28" s="1"/>
  <c r="AP239" i="28"/>
  <c r="AT239" i="28" s="1"/>
  <c r="AP261" i="28"/>
  <c r="AT261" i="28" s="1"/>
  <c r="AP243" i="28"/>
  <c r="AT243" i="28" s="1"/>
  <c r="AP287" i="28"/>
  <c r="AP91" i="28"/>
  <c r="AP238" i="28"/>
  <c r="AT238" i="28" s="1"/>
  <c r="AP92" i="28"/>
  <c r="AP192" i="28"/>
  <c r="AP325" i="28"/>
  <c r="AP179" i="28"/>
  <c r="AP196" i="28"/>
  <c r="AP245" i="28"/>
  <c r="AT245" i="28" s="1"/>
  <c r="AP94" i="28"/>
  <c r="AP166" i="28"/>
  <c r="AP252" i="28"/>
  <c r="AT252" i="28" s="1"/>
  <c r="AP282" i="28"/>
  <c r="AP267" i="28"/>
  <c r="AT267" i="28" s="1"/>
  <c r="AP132" i="28"/>
  <c r="AP105" i="28"/>
  <c r="AP327" i="28"/>
  <c r="AP138" i="28"/>
  <c r="AP172" i="28"/>
  <c r="AP178" i="28"/>
  <c r="AP147" i="28"/>
  <c r="AP191" i="28"/>
  <c r="AP242" i="28"/>
  <c r="AT242" i="28" s="1"/>
  <c r="AP264" i="28"/>
  <c r="AT264" i="28" s="1"/>
  <c r="AP248" i="28"/>
  <c r="AT248" i="28" s="1"/>
  <c r="AP286" i="28"/>
  <c r="AP257" i="28"/>
  <c r="AT257" i="28" s="1"/>
  <c r="AP256" i="28"/>
  <c r="AT256" i="28" s="1"/>
  <c r="AP254" i="28"/>
  <c r="AT254" i="28" s="1"/>
  <c r="AW44" i="59"/>
  <c r="BF52" i="8"/>
  <c r="BI42" i="59" s="1"/>
  <c r="BI44" i="59" s="1"/>
  <c r="Z27" i="22"/>
  <c r="Z25" i="22"/>
  <c r="Z22" i="22"/>
  <c r="Z21" i="22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T12" i="85"/>
  <c r="T14" i="85"/>
  <c r="X21" i="15"/>
  <c r="AI55" i="39" l="1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40" i="28"/>
  <c r="BF240" i="28" s="1"/>
  <c r="AX241" i="28"/>
  <c r="BF241" i="28" s="1"/>
  <c r="AX256" i="28"/>
  <c r="BF256" i="28" s="1"/>
  <c r="AX253" i="28"/>
  <c r="BF253" i="28" s="1"/>
  <c r="AX245" i="28"/>
  <c r="BF245" i="28" s="1"/>
  <c r="AX255" i="28"/>
  <c r="BF255" i="28" s="1"/>
  <c r="AX270" i="28"/>
  <c r="BF270" i="28" s="1"/>
  <c r="AX251" i="28"/>
  <c r="BF251" i="28" s="1"/>
  <c r="AX263" i="28"/>
  <c r="BF263" i="28" s="1"/>
  <c r="AX205" i="28"/>
  <c r="BF205" i="28" s="1"/>
  <c r="AX242" i="28"/>
  <c r="BF242" i="28" s="1"/>
  <c r="AX257" i="28"/>
  <c r="BF257" i="28" s="1"/>
  <c r="AX269" i="28"/>
  <c r="BF269" i="28" s="1"/>
  <c r="AX258" i="28"/>
  <c r="BF258" i="28" s="1"/>
  <c r="AX268" i="28"/>
  <c r="BF268" i="28" s="1"/>
  <c r="AX206" i="28"/>
  <c r="BF206" i="28" s="1"/>
  <c r="AX254" i="28"/>
  <c r="BF254" i="28" s="1"/>
  <c r="AX239" i="28"/>
  <c r="BF239" i="28" s="1"/>
  <c r="AX238" i="28"/>
  <c r="BF238" i="28" s="1"/>
  <c r="AX248" i="28"/>
  <c r="BF248" i="28" s="1"/>
  <c r="AX262" i="28"/>
  <c r="BF262" i="28" s="1"/>
  <c r="AX265" i="28"/>
  <c r="BF265" i="28" s="1"/>
  <c r="AX249" i="28"/>
  <c r="BF249" i="28" s="1"/>
  <c r="AX204" i="28"/>
  <c r="BF204" i="28" s="1"/>
  <c r="AX261" i="28"/>
  <c r="BF261" i="28" s="1"/>
  <c r="AX266" i="28"/>
  <c r="BF266" i="28" s="1"/>
  <c r="AX267" i="28"/>
  <c r="BF267" i="28" s="1"/>
  <c r="AX264" i="28"/>
  <c r="BF264" i="28" s="1"/>
  <c r="AX252" i="28"/>
  <c r="BF252" i="28" s="1"/>
  <c r="AX243" i="28"/>
  <c r="BF243" i="28" s="1"/>
  <c r="AX246" i="28"/>
  <c r="BF246" i="28" s="1"/>
  <c r="AX326" i="28"/>
  <c r="BF326" i="28" s="1"/>
  <c r="AX103" i="28"/>
  <c r="BF103" i="28" s="1"/>
  <c r="AX174" i="28"/>
  <c r="BF174" i="28" s="1"/>
  <c r="AX99" i="28"/>
  <c r="BF99" i="28" s="1"/>
  <c r="AX100" i="28"/>
  <c r="BF100" i="28" s="1"/>
  <c r="AX165" i="28"/>
  <c r="BF165" i="28" s="1"/>
  <c r="AX88" i="28"/>
  <c r="BF88" i="28" s="1"/>
  <c r="AX164" i="28"/>
  <c r="BF164" i="28" s="1"/>
  <c r="AX96" i="28"/>
  <c r="BF96" i="28" s="1"/>
  <c r="AX134" i="28"/>
  <c r="BF134" i="28" s="1"/>
  <c r="AX97" i="28"/>
  <c r="BF97" i="28" s="1"/>
  <c r="AT373" i="28"/>
  <c r="AT324" i="28"/>
  <c r="AT307" i="28"/>
  <c r="AT372" i="28"/>
  <c r="AT306" i="28"/>
  <c r="AT282" i="28"/>
  <c r="AT325" i="28"/>
  <c r="AT308" i="28"/>
  <c r="AT286" i="28"/>
  <c r="AT287" i="28"/>
  <c r="AT327" i="28"/>
  <c r="AT329" i="28"/>
  <c r="AT194" i="28"/>
  <c r="AT189" i="28"/>
  <c r="AT187" i="28"/>
  <c r="AT193" i="28"/>
  <c r="AT380" i="28"/>
  <c r="AT196" i="28"/>
  <c r="AT192" i="28"/>
  <c r="AT191" i="28"/>
  <c r="AT146" i="28"/>
  <c r="AT166" i="28"/>
  <c r="AT104" i="28"/>
  <c r="AT105" i="28"/>
  <c r="AT95" i="28"/>
  <c r="AT91" i="28"/>
  <c r="AT90" i="28"/>
  <c r="AT139" i="28"/>
  <c r="AT92" i="28"/>
  <c r="AT147" i="28"/>
  <c r="AT172" i="28"/>
  <c r="AT179" i="28"/>
  <c r="AT98" i="28"/>
  <c r="AT94" i="28"/>
  <c r="AT132" i="28"/>
  <c r="AT178" i="28"/>
  <c r="AT138" i="28"/>
  <c r="AT163" i="28"/>
  <c r="AT140" i="28"/>
  <c r="AT133" i="28"/>
  <c r="AT102" i="28"/>
  <c r="Z111" i="9"/>
  <c r="AO47" i="39" l="1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AX187" i="28"/>
  <c r="BF187" i="28" s="1"/>
  <c r="AX307" i="28"/>
  <c r="BF307" i="28" s="1"/>
  <c r="AX189" i="28"/>
  <c r="BF189" i="28" s="1"/>
  <c r="AX192" i="28"/>
  <c r="BF192" i="28" s="1"/>
  <c r="AX329" i="28"/>
  <c r="BF329" i="28" s="1"/>
  <c r="AX286" i="28"/>
  <c r="BF286" i="28" s="1"/>
  <c r="AX324" i="28"/>
  <c r="BF324" i="28" s="1"/>
  <c r="AX325" i="28"/>
  <c r="BF325" i="28" s="1"/>
  <c r="AX306" i="28"/>
  <c r="BF306" i="28" s="1"/>
  <c r="AX191" i="28"/>
  <c r="BF191" i="28" s="1"/>
  <c r="AX308" i="28"/>
  <c r="BF308" i="28" s="1"/>
  <c r="AX194" i="28"/>
  <c r="BF194" i="28" s="1"/>
  <c r="AX196" i="28"/>
  <c r="BF196" i="28" s="1"/>
  <c r="AX282" i="28"/>
  <c r="BF282" i="28" s="1"/>
  <c r="AX373" i="28"/>
  <c r="BF373" i="28" s="1"/>
  <c r="AX380" i="28"/>
  <c r="BF380" i="28" s="1"/>
  <c r="AX327" i="28"/>
  <c r="BF327" i="28" s="1"/>
  <c r="AX193" i="28"/>
  <c r="BF193" i="28" s="1"/>
  <c r="AX287" i="28"/>
  <c r="BF287" i="28" s="1"/>
  <c r="AX372" i="28"/>
  <c r="BF372" i="28" s="1"/>
  <c r="AX140" i="28"/>
  <c r="BF140" i="28" s="1"/>
  <c r="AX90" i="28"/>
  <c r="BF90" i="28" s="1"/>
  <c r="AX179" i="28"/>
  <c r="BF179" i="28" s="1"/>
  <c r="AX138" i="28"/>
  <c r="BF138" i="28" s="1"/>
  <c r="AX146" i="28"/>
  <c r="BF146" i="28" s="1"/>
  <c r="AX163" i="28"/>
  <c r="BF163" i="28" s="1"/>
  <c r="AX172" i="28"/>
  <c r="BF172" i="28" s="1"/>
  <c r="AX178" i="28"/>
  <c r="BF178" i="28" s="1"/>
  <c r="AX105" i="28"/>
  <c r="BF105" i="28" s="1"/>
  <c r="AX104" i="28"/>
  <c r="BF104" i="28" s="1"/>
  <c r="AX98" i="28"/>
  <c r="BF98" i="28" s="1"/>
  <c r="AX91" i="28"/>
  <c r="BF91" i="28" s="1"/>
  <c r="AX95" i="28"/>
  <c r="BF95" i="28" s="1"/>
  <c r="AX147" i="28"/>
  <c r="BF147" i="28" s="1"/>
  <c r="AX102" i="28"/>
  <c r="BF102" i="28" s="1"/>
  <c r="AX132" i="28"/>
  <c r="BF132" i="28" s="1"/>
  <c r="AX92" i="28"/>
  <c r="BF92" i="28" s="1"/>
  <c r="AX133" i="28"/>
  <c r="BF133" i="28" s="1"/>
  <c r="AX94" i="28"/>
  <c r="BF94" i="28" s="1"/>
  <c r="AX139" i="28"/>
  <c r="BF139" i="28" s="1"/>
  <c r="AX166" i="28"/>
  <c r="BF166" i="28" s="1"/>
  <c r="AA70" i="83"/>
  <c r="AC70" i="83" s="1"/>
  <c r="AK70" i="83" s="1"/>
  <c r="Z7" i="24"/>
  <c r="Z8" i="24"/>
  <c r="Y7" i="24"/>
  <c r="Y8" i="24"/>
  <c r="Z6" i="52"/>
  <c r="Z8" i="52"/>
  <c r="Z11" i="52"/>
  <c r="Z12" i="52"/>
  <c r="Z13" i="52"/>
  <c r="Z14" i="52"/>
  <c r="Z15" i="52"/>
  <c r="Y11" i="52"/>
  <c r="Y12" i="52"/>
  <c r="Y13" i="52"/>
  <c r="Y14" i="52"/>
  <c r="Y15" i="52"/>
  <c r="Y6" i="52"/>
  <c r="Y8" i="52"/>
  <c r="X16" i="52"/>
  <c r="W16" i="52"/>
  <c r="X9" i="52"/>
  <c r="W9" i="52"/>
  <c r="AS60" i="39" l="1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7" i="52"/>
  <c r="AG70" i="83"/>
  <c r="AQ70" i="83" s="1"/>
  <c r="X17" i="52"/>
  <c r="AW12" i="39" l="1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70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7" i="26"/>
  <c r="Y89" i="26"/>
  <c r="Y91" i="26"/>
  <c r="Y93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70" i="83"/>
  <c r="BG70" i="83" s="1"/>
  <c r="Z31" i="22"/>
  <c r="Z18" i="22"/>
  <c r="Z7" i="22"/>
  <c r="Z19" i="22" l="1"/>
  <c r="Z23" i="22"/>
  <c r="Z9" i="22"/>
  <c r="Z16" i="22"/>
  <c r="Z30" i="22"/>
  <c r="Z17" i="22"/>
  <c r="Z14" i="22"/>
  <c r="Y93" i="17" l="1"/>
  <c r="AA93" i="17" s="1"/>
  <c r="AE93" i="17" s="1"/>
  <c r="Y89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9" i="17"/>
  <c r="X20" i="17"/>
  <c r="AI93" i="17" l="1"/>
  <c r="AO93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3" i="17" l="1"/>
  <c r="AW93" i="17" s="1"/>
  <c r="BE93" i="17" s="1"/>
  <c r="BE42" i="17"/>
  <c r="BE40" i="17"/>
  <c r="AO38" i="17"/>
  <c r="AS38" i="17" s="1"/>
  <c r="AW38" i="17" s="1"/>
  <c r="AO44" i="17"/>
  <c r="AS44" i="17" s="1"/>
  <c r="AW44" i="17" l="1"/>
  <c r="BE44" i="17" s="1"/>
  <c r="BE38" i="17"/>
  <c r="Y59" i="17"/>
  <c r="Y22" i="17"/>
  <c r="AA480" i="28"/>
  <c r="AA479" i="28"/>
  <c r="Y480" i="28"/>
  <c r="Y479" i="28"/>
  <c r="Y62" i="17" l="1"/>
  <c r="AA147" i="45" l="1"/>
  <c r="AA146" i="45"/>
  <c r="AA152" i="45"/>
  <c r="AA151" i="45"/>
  <c r="AA156" i="45" s="1"/>
  <c r="AA148" i="45" l="1"/>
  <c r="AA155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82" i="73" l="1"/>
  <c r="F188" i="73"/>
  <c r="H188" i="73"/>
  <c r="J188" i="73"/>
  <c r="L188" i="73"/>
  <c r="N188" i="73"/>
  <c r="P188" i="73"/>
  <c r="R188" i="73"/>
  <c r="T188" i="73"/>
  <c r="V188" i="73"/>
  <c r="X188" i="73"/>
  <c r="Z188" i="73"/>
  <c r="M180" i="73"/>
  <c r="M181" i="73"/>
  <c r="M183" i="73"/>
  <c r="M185" i="73"/>
  <c r="M186" i="73"/>
  <c r="M187" i="73"/>
  <c r="M62" i="73"/>
  <c r="Q62" i="73" s="1"/>
  <c r="U62" i="73" s="1"/>
  <c r="I62" i="73"/>
  <c r="M63" i="73"/>
  <c r="Q63" i="73" s="1"/>
  <c r="U63" i="73" s="1"/>
  <c r="I63" i="73"/>
  <c r="I101" i="73"/>
  <c r="I99" i="73"/>
  <c r="I61" i="73"/>
  <c r="M61" i="73"/>
  <c r="Q61" i="73" s="1"/>
  <c r="U61" i="73" s="1"/>
  <c r="I98" i="73"/>
  <c r="AE56" i="73"/>
  <c r="AI56" i="73" s="1"/>
  <c r="AO56" i="73" s="1"/>
  <c r="AS56" i="73" s="1"/>
  <c r="Q186" i="73" l="1"/>
  <c r="U186" i="73" s="1"/>
  <c r="Q185" i="73"/>
  <c r="U185" i="73" s="1"/>
  <c r="Q181" i="73"/>
  <c r="U181" i="73" s="1"/>
  <c r="Q187" i="73"/>
  <c r="U187" i="73" s="1"/>
  <c r="Q183" i="73"/>
  <c r="U183" i="73" s="1"/>
  <c r="Q180" i="73"/>
  <c r="U180" i="73" s="1"/>
  <c r="Q182" i="73"/>
  <c r="U182" i="73" s="1"/>
  <c r="AW56" i="73"/>
  <c r="BE56" i="73" s="1"/>
  <c r="AA63" i="73"/>
  <c r="AE63" i="73" s="1"/>
  <c r="AI63" i="73" s="1"/>
  <c r="AO63" i="73" s="1"/>
  <c r="AS63" i="73" s="1"/>
  <c r="AA62" i="73"/>
  <c r="AE62" i="73" s="1"/>
  <c r="AI62" i="73" s="1"/>
  <c r="AO62" i="73" s="1"/>
  <c r="AS62" i="73" s="1"/>
  <c r="AA61" i="73"/>
  <c r="AE61" i="73" s="1"/>
  <c r="AI61" i="73" s="1"/>
  <c r="AO61" i="73" s="1"/>
  <c r="AS61" i="73" s="1"/>
  <c r="AA185" i="73"/>
  <c r="AE185" i="73" s="1"/>
  <c r="AI185" i="73" s="1"/>
  <c r="AO185" i="73" s="1"/>
  <c r="AS185" i="73" s="1"/>
  <c r="AA183" i="73"/>
  <c r="AE183" i="73" s="1"/>
  <c r="AI183" i="73" s="1"/>
  <c r="AO183" i="73" s="1"/>
  <c r="AS183" i="73" s="1"/>
  <c r="AA186" i="73"/>
  <c r="AE186" i="73" s="1"/>
  <c r="AI186" i="73" s="1"/>
  <c r="AO186" i="73" s="1"/>
  <c r="AS186" i="73" s="1"/>
  <c r="AA181" i="73"/>
  <c r="AE181" i="73" s="1"/>
  <c r="AI181" i="73" s="1"/>
  <c r="AO181" i="73" s="1"/>
  <c r="AS181" i="73" s="1"/>
  <c r="AA187" i="73"/>
  <c r="AE187" i="73" s="1"/>
  <c r="AI187" i="73" s="1"/>
  <c r="AO187" i="73" s="1"/>
  <c r="AS187" i="73" s="1"/>
  <c r="AA180" i="73"/>
  <c r="AE180" i="73" s="1"/>
  <c r="AI180" i="73" s="1"/>
  <c r="AO180" i="73" s="1"/>
  <c r="AS180" i="73" s="1"/>
  <c r="AA182" i="73"/>
  <c r="AE182" i="73" s="1"/>
  <c r="AI182" i="73" s="1"/>
  <c r="AO182" i="73" s="1"/>
  <c r="AS182" i="73" s="1"/>
  <c r="Z31" i="36"/>
  <c r="AW61" i="73" l="1"/>
  <c r="BE61" i="73" s="1"/>
  <c r="AW62" i="73"/>
  <c r="BE62" i="73" s="1"/>
  <c r="AW63" i="73"/>
  <c r="BE63" i="73" s="1"/>
  <c r="AW187" i="73"/>
  <c r="BE187" i="73" s="1"/>
  <c r="AW183" i="73"/>
  <c r="BE183" i="73" s="1"/>
  <c r="AW180" i="73"/>
  <c r="BE180" i="73" s="1"/>
  <c r="AW181" i="73"/>
  <c r="BE181" i="73" s="1"/>
  <c r="AW186" i="73"/>
  <c r="BE186" i="73" s="1"/>
  <c r="AW182" i="73"/>
  <c r="BE182" i="73" s="1"/>
  <c r="AW185" i="73"/>
  <c r="BE185" i="73" s="1"/>
  <c r="U42" i="72"/>
  <c r="W42" i="72" s="1"/>
  <c r="Y42" i="72" s="1"/>
  <c r="AC42" i="72" s="1"/>
  <c r="AG42" i="72" s="1"/>
  <c r="AM42" i="72" s="1"/>
  <c r="AQ42" i="72" s="1"/>
  <c r="AU42" i="72" s="1"/>
  <c r="BC42" i="72" s="1"/>
  <c r="U34" i="72"/>
  <c r="W34" i="72" s="1"/>
  <c r="Y34" i="72" s="1"/>
  <c r="AC34" i="72" s="1"/>
  <c r="AG34" i="72" s="1"/>
  <c r="AM34" i="72" s="1"/>
  <c r="AQ34" i="72" s="1"/>
  <c r="AU34" i="72" s="1"/>
  <c r="BC34" i="72" s="1"/>
  <c r="U14" i="72"/>
  <c r="W14" i="72" s="1"/>
  <c r="Y14" i="72" s="1"/>
  <c r="AC14" i="72" s="1"/>
  <c r="AG14" i="72" s="1"/>
  <c r="AM14" i="72" s="1"/>
  <c r="AQ14" i="72" s="1"/>
  <c r="AU14" i="72" s="1"/>
  <c r="BC14" i="72" s="1"/>
  <c r="M127" i="50" l="1"/>
  <c r="Q127" i="50"/>
  <c r="I128" i="50"/>
  <c r="AW128" i="50"/>
  <c r="M128" i="50"/>
  <c r="Y127" i="50"/>
  <c r="Q128" i="50"/>
  <c r="AS127" i="50"/>
  <c r="AW127" i="50"/>
  <c r="Y128" i="50"/>
  <c r="BA127" i="50"/>
  <c r="I127" i="50"/>
  <c r="BA128" i="50"/>
  <c r="G128" i="50"/>
  <c r="G127" i="50"/>
  <c r="AS128" i="50"/>
  <c r="AM128" i="50"/>
  <c r="AM127" i="50"/>
  <c r="M100" i="50"/>
  <c r="M101" i="50" s="1"/>
  <c r="M102" i="50" s="1"/>
  <c r="I100" i="50"/>
  <c r="I101" i="50" s="1"/>
  <c r="I102" i="50" s="1"/>
  <c r="U44" i="72"/>
  <c r="U46" i="72" s="1"/>
  <c r="BC128" i="50" l="1"/>
  <c r="AW130" i="50"/>
  <c r="AW131" i="50" s="1"/>
  <c r="Y130" i="50"/>
  <c r="Y131" i="50" s="1"/>
  <c r="G88" i="90"/>
  <c r="G95" i="90" s="1"/>
  <c r="G101" i="90" s="1"/>
  <c r="AA127" i="50"/>
  <c r="K127" i="50"/>
  <c r="O127" i="50"/>
  <c r="AU88" i="90"/>
  <c r="AU95" i="90" s="1"/>
  <c r="O128" i="50"/>
  <c r="K128" i="50"/>
  <c r="AQ88" i="90"/>
  <c r="AQ95" i="90" s="1"/>
  <c r="BC127" i="50"/>
  <c r="AY88" i="90"/>
  <c r="AA128" i="50"/>
  <c r="AK88" i="90"/>
  <c r="BA130" i="50"/>
  <c r="BA131" i="50" s="1"/>
  <c r="O88" i="90"/>
  <c r="O95" i="90" s="1"/>
  <c r="K88" i="90"/>
  <c r="K95" i="90" s="1"/>
  <c r="AA79" i="90"/>
  <c r="BE79" i="90" s="1"/>
  <c r="M79" i="90"/>
  <c r="I79" i="90"/>
  <c r="AE79" i="90"/>
  <c r="Q79" i="90"/>
  <c r="U79" i="90"/>
  <c r="AO79" i="90"/>
  <c r="AS79" i="90" s="1"/>
  <c r="AW79" i="90" s="1"/>
  <c r="AI79" i="90"/>
  <c r="AA81" i="90"/>
  <c r="BE81" i="90" s="1"/>
  <c r="M81" i="90"/>
  <c r="I81" i="90"/>
  <c r="AI81" i="90"/>
  <c r="AE81" i="90"/>
  <c r="Q81" i="90"/>
  <c r="AO81" i="90"/>
  <c r="AS81" i="90" s="1"/>
  <c r="AW81" i="90" s="1"/>
  <c r="U81" i="90"/>
  <c r="M78" i="90"/>
  <c r="AA78" i="90"/>
  <c r="BE78" i="90" s="1"/>
  <c r="I78" i="90"/>
  <c r="AE78" i="90"/>
  <c r="Q78" i="90"/>
  <c r="U78" i="90"/>
  <c r="AO78" i="90"/>
  <c r="AS78" i="90" s="1"/>
  <c r="AW78" i="90" s="1"/>
  <c r="AI78" i="90"/>
  <c r="AA87" i="90"/>
  <c r="BE87" i="90" s="1"/>
  <c r="I87" i="90"/>
  <c r="M87" i="90"/>
  <c r="U87" i="90"/>
  <c r="Q87" i="90"/>
  <c r="AI87" i="90"/>
  <c r="AE87" i="90"/>
  <c r="AO87" i="90"/>
  <c r="AS87" i="90" s="1"/>
  <c r="AW87" i="90" s="1"/>
  <c r="M83" i="90"/>
  <c r="I83" i="90"/>
  <c r="AA83" i="90"/>
  <c r="BE83" i="90" s="1"/>
  <c r="AI83" i="90"/>
  <c r="AO83" i="90"/>
  <c r="AS83" i="90" s="1"/>
  <c r="AW83" i="90" s="1"/>
  <c r="Q83" i="90"/>
  <c r="AE83" i="90"/>
  <c r="U83" i="90"/>
  <c r="AA82" i="90"/>
  <c r="BE82" i="90" s="1"/>
  <c r="M82" i="90"/>
  <c r="I82" i="90"/>
  <c r="Q82" i="90"/>
  <c r="AE82" i="90"/>
  <c r="U82" i="90"/>
  <c r="AI82" i="90"/>
  <c r="AO82" i="90"/>
  <c r="AS82" i="90" s="1"/>
  <c r="AW82" i="90" s="1"/>
  <c r="AA86" i="90"/>
  <c r="BE86" i="90" s="1"/>
  <c r="I86" i="90"/>
  <c r="U86" i="90"/>
  <c r="Q86" i="90"/>
  <c r="M86" i="90"/>
  <c r="AE86" i="90"/>
  <c r="AO86" i="90"/>
  <c r="AS86" i="90" s="1"/>
  <c r="AW86" i="90" s="1"/>
  <c r="AI86" i="90"/>
  <c r="I76" i="90"/>
  <c r="AA76" i="90"/>
  <c r="BE76" i="90" s="1"/>
  <c r="M76" i="90"/>
  <c r="Q76" i="90"/>
  <c r="AI76" i="90"/>
  <c r="AE76" i="90"/>
  <c r="U76" i="90"/>
  <c r="AO76" i="90"/>
  <c r="AS76" i="90" s="1"/>
  <c r="AW76" i="90" s="1"/>
  <c r="AA69" i="90"/>
  <c r="BE69" i="90" s="1"/>
  <c r="I69" i="90"/>
  <c r="Q69" i="90"/>
  <c r="M69" i="90"/>
  <c r="AI69" i="90"/>
  <c r="U69" i="90"/>
  <c r="AE69" i="90"/>
  <c r="AO69" i="90"/>
  <c r="AS69" i="90" s="1"/>
  <c r="AW69" i="90" s="1"/>
  <c r="AA80" i="90"/>
  <c r="BE80" i="90" s="1"/>
  <c r="M80" i="90"/>
  <c r="I80" i="90"/>
  <c r="AO80" i="90"/>
  <c r="AS80" i="90" s="1"/>
  <c r="AW80" i="90" s="1"/>
  <c r="AI80" i="90"/>
  <c r="U80" i="90"/>
  <c r="Q80" i="90"/>
  <c r="AE80" i="90"/>
  <c r="AA68" i="90"/>
  <c r="BE68" i="90" s="1"/>
  <c r="M68" i="90"/>
  <c r="Q68" i="90"/>
  <c r="I68" i="90"/>
  <c r="AO68" i="90"/>
  <c r="AS68" i="90" s="1"/>
  <c r="AW68" i="90" s="1"/>
  <c r="AI68" i="90"/>
  <c r="U68" i="90"/>
  <c r="AE68" i="90"/>
  <c r="I84" i="90"/>
  <c r="AA84" i="90"/>
  <c r="BE84" i="90" s="1"/>
  <c r="M84" i="90"/>
  <c r="U84" i="90"/>
  <c r="Q84" i="90"/>
  <c r="AE84" i="90"/>
  <c r="AO84" i="90"/>
  <c r="AS84" i="90" s="1"/>
  <c r="AW84" i="90" s="1"/>
  <c r="AI84" i="90"/>
  <c r="AA70" i="90"/>
  <c r="BE70" i="90" s="1"/>
  <c r="M70" i="90"/>
  <c r="I70" i="90"/>
  <c r="AE70" i="90"/>
  <c r="AI70" i="90"/>
  <c r="U70" i="90"/>
  <c r="Q70" i="90"/>
  <c r="AO70" i="90"/>
  <c r="AS70" i="90" s="1"/>
  <c r="AW70" i="90" s="1"/>
  <c r="AA74" i="90"/>
  <c r="BE74" i="90" s="1"/>
  <c r="M74" i="90"/>
  <c r="I74" i="90"/>
  <c r="U74" i="90"/>
  <c r="AE74" i="90"/>
  <c r="AI74" i="90"/>
  <c r="Q74" i="90"/>
  <c r="AO74" i="90"/>
  <c r="AS74" i="90" s="1"/>
  <c r="AW74" i="90" s="1"/>
  <c r="I77" i="90"/>
  <c r="M77" i="90"/>
  <c r="AA77" i="90"/>
  <c r="BE77" i="90" s="1"/>
  <c r="AE77" i="90"/>
  <c r="AO77" i="90"/>
  <c r="AS77" i="90" s="1"/>
  <c r="AW77" i="90" s="1"/>
  <c r="Q77" i="90"/>
  <c r="AI77" i="90"/>
  <c r="U77" i="90"/>
  <c r="AS130" i="50"/>
  <c r="AO128" i="50"/>
  <c r="BE128" i="50" s="1"/>
  <c r="AM130" i="50"/>
  <c r="AO127" i="50"/>
  <c r="I130" i="50"/>
  <c r="I131" i="50" s="1"/>
  <c r="E88" i="90"/>
  <c r="M130" i="50"/>
  <c r="M131" i="50" s="1"/>
  <c r="Z101" i="50"/>
  <c r="Z102" i="50" s="1"/>
  <c r="AA100" i="50"/>
  <c r="AG100" i="50" s="1"/>
  <c r="AA98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G125" i="90" l="1"/>
  <c r="G128" i="90" s="1"/>
  <c r="BC130" i="50"/>
  <c r="BC131" i="50" s="1"/>
  <c r="BE127" i="50"/>
  <c r="BA88" i="90"/>
  <c r="AY95" i="90"/>
  <c r="K101" i="90"/>
  <c r="K125" i="90"/>
  <c r="K128" i="90" s="1"/>
  <c r="Y88" i="90"/>
  <c r="AS131" i="50"/>
  <c r="AQ101" i="90"/>
  <c r="AQ125" i="90"/>
  <c r="AQ128" i="90" s="1"/>
  <c r="O125" i="90"/>
  <c r="AC128" i="50"/>
  <c r="AG128" i="50" s="1"/>
  <c r="AK128" i="50" s="1"/>
  <c r="AQ128" i="50" s="1"/>
  <c r="AU128" i="50" s="1"/>
  <c r="AY128" i="50" s="1"/>
  <c r="BG128" i="50" s="1"/>
  <c r="S128" i="50"/>
  <c r="W128" i="50" s="1"/>
  <c r="AK95" i="90"/>
  <c r="AM88" i="90"/>
  <c r="AU101" i="90"/>
  <c r="AU125" i="90"/>
  <c r="AU128" i="90" s="1"/>
  <c r="S127" i="50"/>
  <c r="W127" i="50" s="1"/>
  <c r="AC127" i="50"/>
  <c r="AG127" i="50" s="1"/>
  <c r="AK127" i="50" s="1"/>
  <c r="AQ127" i="50" s="1"/>
  <c r="AU127" i="50" s="1"/>
  <c r="AY127" i="50" s="1"/>
  <c r="BG127" i="50" s="1"/>
  <c r="AA88" i="90"/>
  <c r="M88" i="90"/>
  <c r="I88" i="90"/>
  <c r="AO88" i="90"/>
  <c r="AS88" i="90" s="1"/>
  <c r="AW88" i="90" s="1"/>
  <c r="Q88" i="90"/>
  <c r="AI88" i="90"/>
  <c r="U88" i="90"/>
  <c r="AE88" i="90"/>
  <c r="AM131" i="50"/>
  <c r="AO130" i="50"/>
  <c r="AA99" i="50"/>
  <c r="BC88" i="90" l="1"/>
  <c r="BE88" i="90"/>
  <c r="Y95" i="90"/>
  <c r="AK101" i="90"/>
  <c r="AK125" i="90"/>
  <c r="AM95" i="90"/>
  <c r="AM101" i="90" s="1"/>
  <c r="AY101" i="90"/>
  <c r="AY125" i="90"/>
  <c r="BA95" i="90"/>
  <c r="AO131" i="50"/>
  <c r="BE130" i="50"/>
  <c r="BE131" i="50" s="1"/>
  <c r="Z39" i="35"/>
  <c r="Z40" i="35"/>
  <c r="AA101" i="50"/>
  <c r="AA102" i="50" s="1"/>
  <c r="AG99" i="50"/>
  <c r="BA101" i="90" l="1"/>
  <c r="BC95" i="90"/>
  <c r="BC101" i="90" s="1"/>
  <c r="AY128" i="90"/>
  <c r="BA125" i="90"/>
  <c r="Y125" i="90"/>
  <c r="AK128" i="90"/>
  <c r="AM125" i="90"/>
  <c r="AM128" i="90" s="1"/>
  <c r="Y13" i="49"/>
  <c r="BA128" i="90" l="1"/>
  <c r="BC125" i="90"/>
  <c r="BC128" i="90" s="1"/>
  <c r="AB93" i="8"/>
  <c r="Z93" i="8"/>
  <c r="Y73" i="8" l="1"/>
  <c r="M52" i="8"/>
  <c r="P42" i="59" s="1"/>
  <c r="T7" i="85" l="1"/>
  <c r="Z2" i="6" l="1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Y18" i="49"/>
  <c r="Y17" i="49"/>
  <c r="Z51" i="6"/>
  <c r="Z45" i="6"/>
  <c r="V174" i="26"/>
  <c r="V169" i="26"/>
  <c r="Z48" i="6"/>
  <c r="Z54" i="6"/>
  <c r="Y14" i="49" l="1"/>
  <c r="V173" i="26"/>
  <c r="V166" i="26"/>
  <c r="Y15" i="49" l="1"/>
  <c r="X95" i="50"/>
  <c r="X93" i="50" s="1"/>
  <c r="Y16" i="49" l="1"/>
  <c r="X15" i="36"/>
  <c r="Q54" i="36"/>
  <c r="M54" i="36"/>
  <c r="I54" i="36"/>
  <c r="Q53" i="36"/>
  <c r="M53" i="36"/>
  <c r="I53" i="36"/>
  <c r="Q51" i="36"/>
  <c r="M51" i="36"/>
  <c r="I51" i="36"/>
  <c r="Q49" i="36"/>
  <c r="M49" i="36"/>
  <c r="I49" i="36"/>
  <c r="Q48" i="36"/>
  <c r="M48" i="36"/>
  <c r="I48" i="36"/>
  <c r="F46" i="36"/>
  <c r="F54" i="36" s="1"/>
  <c r="F44" i="36"/>
  <c r="F43" i="36"/>
  <c r="F51" i="36" s="1"/>
  <c r="F41" i="36"/>
  <c r="F49" i="36" s="1"/>
  <c r="F40" i="36"/>
  <c r="F48" i="36" s="1"/>
  <c r="N41" i="36"/>
  <c r="N43" i="36"/>
  <c r="AB61" i="9"/>
  <c r="AF61" i="9" s="1"/>
  <c r="AJ61" i="9" s="1"/>
  <c r="J56" i="9"/>
  <c r="J58" i="9"/>
  <c r="J59" i="9"/>
  <c r="J44" i="36" s="1"/>
  <c r="J61" i="9"/>
  <c r="E76" i="9"/>
  <c r="D61" i="9"/>
  <c r="D59" i="9"/>
  <c r="D58" i="9"/>
  <c r="D56" i="9"/>
  <c r="D77" i="9"/>
  <c r="F60" i="9"/>
  <c r="F38" i="36"/>
  <c r="AA53" i="59" l="1"/>
  <c r="X75" i="8"/>
  <c r="Y19" i="49"/>
  <c r="BA52" i="36"/>
  <c r="N60" i="9"/>
  <c r="R60" i="9" s="1"/>
  <c r="V60" i="9" s="1"/>
  <c r="AW52" i="36"/>
  <c r="AF46" i="36"/>
  <c r="D60" i="9"/>
  <c r="I50" i="36"/>
  <c r="Z60" i="9"/>
  <c r="Z44" i="36"/>
  <c r="E74" i="9"/>
  <c r="E77" i="9"/>
  <c r="J41" i="36"/>
  <c r="J43" i="36"/>
  <c r="R61" i="9"/>
  <c r="V61" i="9" s="1"/>
  <c r="J46" i="36"/>
  <c r="N44" i="36"/>
  <c r="N45" i="36" s="1"/>
  <c r="N46" i="36"/>
  <c r="M50" i="36"/>
  <c r="Q50" i="36"/>
  <c r="F50" i="36"/>
  <c r="R56" i="9"/>
  <c r="V56" i="9" s="1"/>
  <c r="J60" i="9"/>
  <c r="R58" i="9"/>
  <c r="V58" i="9" s="1"/>
  <c r="R59" i="9"/>
  <c r="V59" i="9" s="1"/>
  <c r="V41" i="36" l="1"/>
  <c r="V46" i="36"/>
  <c r="V44" i="36"/>
  <c r="V43" i="36"/>
  <c r="BE52" i="36"/>
  <c r="AP61" i="9"/>
  <c r="AJ46" i="36"/>
  <c r="AB60" i="9"/>
  <c r="AF60" i="9" s="1"/>
  <c r="AB44" i="36"/>
  <c r="R43" i="36"/>
  <c r="R46" i="36"/>
  <c r="J45" i="36"/>
  <c r="R44" i="36"/>
  <c r="R41" i="36"/>
  <c r="AJ60" i="9" l="1"/>
  <c r="V45" i="36"/>
  <c r="AT61" i="9"/>
  <c r="AX61" i="9" s="1"/>
  <c r="AP46" i="36"/>
  <c r="R45" i="36"/>
  <c r="AP60" i="9" l="1"/>
  <c r="AT60" i="9" s="1"/>
  <c r="BF61" i="9"/>
  <c r="AX46" i="36"/>
  <c r="AT46" i="36"/>
  <c r="AX60" i="9" l="1"/>
  <c r="BF60" i="9" s="1"/>
  <c r="H15" i="36"/>
  <c r="F68" i="8"/>
  <c r="F66" i="8"/>
  <c r="F64" i="8"/>
  <c r="F58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3" i="59" l="1"/>
  <c r="H75" i="8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Q37" i="39"/>
  <c r="L43" i="39"/>
  <c r="H50" i="39"/>
  <c r="L50" i="39" s="1"/>
  <c r="J51" i="39"/>
  <c r="L49" i="39"/>
  <c r="N51" i="39"/>
  <c r="L59" i="39"/>
  <c r="L39" i="39"/>
  <c r="Q9" i="39"/>
  <c r="N58" i="8"/>
  <c r="N62" i="8" s="1"/>
  <c r="Z58" i="8"/>
  <c r="N64" i="8"/>
  <c r="Z64" i="8"/>
  <c r="Z66" i="8"/>
  <c r="Z68" i="8"/>
  <c r="N68" i="8"/>
  <c r="N66" i="8"/>
  <c r="M8" i="39"/>
  <c r="L45" i="39"/>
  <c r="Q28" i="39"/>
  <c r="F51" i="39"/>
  <c r="F22" i="39"/>
  <c r="I8" i="39"/>
  <c r="J24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39" i="39"/>
  <c r="P43" i="39"/>
  <c r="P42" i="39"/>
  <c r="P7" i="39"/>
  <c r="P55" i="39"/>
  <c r="P34" i="39"/>
  <c r="U64" i="39"/>
  <c r="P19" i="39"/>
  <c r="P48" i="39"/>
  <c r="Q8" i="39"/>
  <c r="P53" i="39"/>
  <c r="M23" i="39"/>
  <c r="Z54" i="8"/>
  <c r="AB66" i="8"/>
  <c r="AF66" i="8" s="1"/>
  <c r="AJ66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Z14" i="49"/>
  <c r="AP66" i="8"/>
  <c r="AT66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6" i="8"/>
  <c r="BF66" i="8" s="1"/>
  <c r="Z15" i="49"/>
  <c r="AD54" i="39" l="1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Z16" i="49"/>
  <c r="L15" i="36"/>
  <c r="O53" i="59" l="1"/>
  <c r="L75" i="8"/>
  <c r="AH55" i="39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Z19" i="49"/>
  <c r="N25" i="22"/>
  <c r="N31" i="22" s="1"/>
  <c r="N22" i="22"/>
  <c r="N21" i="22"/>
  <c r="N13" i="22"/>
  <c r="N11" i="22"/>
  <c r="N17" i="22" s="1"/>
  <c r="N8" i="22"/>
  <c r="N7" i="22"/>
  <c r="N93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15" i="36"/>
  <c r="N19" i="22"/>
  <c r="N18" i="22"/>
  <c r="N16" i="22"/>
  <c r="N30" i="22"/>
  <c r="E71" i="8"/>
  <c r="S53" i="59" l="1"/>
  <c r="P75" i="8"/>
  <c r="AR37" i="39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M60" i="6"/>
  <c r="BB49" i="39" l="1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C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E23" i="39" l="1"/>
  <c r="BE22" i="39"/>
  <c r="AV51" i="39"/>
  <c r="BB24" i="39"/>
  <c r="BD24" i="39"/>
  <c r="AV22" i="39"/>
  <c r="BB8" i="39"/>
  <c r="BD8" i="39"/>
  <c r="BE50" i="39"/>
  <c r="BE45" i="39"/>
  <c r="AA71" i="83"/>
  <c r="AG71" i="83" s="1"/>
  <c r="AQ71" i="83" s="1"/>
  <c r="AU71" i="83" s="1"/>
  <c r="AA72" i="83"/>
  <c r="AG72" i="83" s="1"/>
  <c r="AQ72" i="83" s="1"/>
  <c r="AU72" i="83" s="1"/>
  <c r="AA73" i="83"/>
  <c r="AG73" i="83" s="1"/>
  <c r="AQ73" i="83" s="1"/>
  <c r="AU73" i="83" s="1"/>
  <c r="AA74" i="83"/>
  <c r="AG74" i="83" s="1"/>
  <c r="AQ74" i="83" s="1"/>
  <c r="AU74" i="83" s="1"/>
  <c r="AA68" i="83"/>
  <c r="AA52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2" i="83"/>
  <c r="K33" i="83"/>
  <c r="K34" i="83"/>
  <c r="K35" i="83"/>
  <c r="K36" i="83"/>
  <c r="K37" i="83"/>
  <c r="S14" i="85"/>
  <c r="S12" i="85"/>
  <c r="BB22" i="39" l="1"/>
  <c r="BD22" i="39"/>
  <c r="BB51" i="39"/>
  <c r="BD51" i="39"/>
  <c r="AY74" i="83"/>
  <c r="BG74" i="83" s="1"/>
  <c r="AY73" i="83"/>
  <c r="BG73" i="83" s="1"/>
  <c r="AY72" i="83"/>
  <c r="BG72" i="83" s="1"/>
  <c r="AY71" i="83"/>
  <c r="BG71" i="83" s="1"/>
  <c r="AU75" i="83"/>
  <c r="AQ75" i="83"/>
  <c r="AA4" i="83"/>
  <c r="AA75" i="83"/>
  <c r="AA69" i="83"/>
  <c r="D53" i="36"/>
  <c r="F52" i="36"/>
  <c r="G52" i="36" s="1"/>
  <c r="E53" i="36"/>
  <c r="F45" i="36"/>
  <c r="BG75" i="83" l="1"/>
  <c r="AY75" i="83"/>
  <c r="F53" i="36"/>
  <c r="Q4" i="50" l="1"/>
  <c r="Q39" i="50" s="1"/>
  <c r="P162" i="10" s="1"/>
  <c r="P163" i="10" s="1"/>
  <c r="T162" i="10"/>
  <c r="T163" i="10" s="1"/>
  <c r="AA4" i="50" l="1"/>
  <c r="AA39" i="50" s="1"/>
  <c r="T101" i="50"/>
  <c r="T102" i="50" s="1"/>
  <c r="AK13" i="61" l="1"/>
  <c r="AQ13" i="61" s="1"/>
  <c r="AU13" i="61" s="1"/>
  <c r="AY13" i="61" s="1"/>
  <c r="AG14" i="61"/>
  <c r="AK14" i="61" s="1"/>
  <c r="AQ14" i="61" s="1"/>
  <c r="AU14" i="61" s="1"/>
  <c r="AY14" i="61" s="1"/>
  <c r="AK12" i="61"/>
  <c r="AQ12" i="61" s="1"/>
  <c r="AU12" i="61" s="1"/>
  <c r="AY12" i="61" s="1"/>
  <c r="BG12" i="61" s="1"/>
  <c r="AK11" i="61" l="1"/>
  <c r="AQ11" i="61" s="1"/>
  <c r="AU11" i="61" s="1"/>
  <c r="AY11" i="61" s="1"/>
  <c r="BG11" i="61" s="1"/>
  <c r="AJ371" i="28" l="1"/>
  <c r="AT47" i="11"/>
  <c r="G108" i="45"/>
  <c r="Q119" i="50"/>
  <c r="G123" i="45" l="1"/>
  <c r="AX47" i="11"/>
  <c r="BF47" i="11" s="1"/>
  <c r="AP371" i="28"/>
  <c r="AA119" i="50"/>
  <c r="AT46" i="11"/>
  <c r="AX46" i="11" l="1"/>
  <c r="BF46" i="11" s="1"/>
  <c r="AT371" i="28"/>
  <c r="BF140" i="10"/>
  <c r="Z155" i="10"/>
  <c r="AG94" i="45"/>
  <c r="AK94" i="45" s="1"/>
  <c r="AX371" i="28" l="1"/>
  <c r="BF371" i="28" s="1"/>
  <c r="AQ94" i="45"/>
  <c r="AU94" i="45" s="1"/>
  <c r="AY94" i="45" s="1"/>
  <c r="BG94" i="45" s="1"/>
  <c r="AK109" i="45"/>
  <c r="AG109" i="45"/>
  <c r="AG150" i="45" l="1"/>
  <c r="AY109" i="45"/>
  <c r="AY159" i="45" s="1"/>
  <c r="AK150" i="45"/>
  <c r="AK159" i="45"/>
  <c r="AG159" i="45"/>
  <c r="AY150" i="45" l="1"/>
  <c r="AQ109" i="45"/>
  <c r="AQ159" i="45" l="1"/>
  <c r="AQ150" i="45"/>
  <c r="AU109" i="45"/>
  <c r="BG109" i="45" l="1"/>
  <c r="AU159" i="45"/>
  <c r="AU150" i="45"/>
  <c r="BG159" i="45" l="1"/>
  <c r="BG150" i="45"/>
  <c r="Z108" i="9"/>
  <c r="Z107" i="9"/>
  <c r="Z64" i="9" l="1"/>
  <c r="S16" i="52" l="1"/>
  <c r="T16" i="52"/>
  <c r="T9" i="52"/>
  <c r="S9" i="52"/>
  <c r="V101" i="50"/>
  <c r="V102" i="50" s="1"/>
  <c r="W99" i="50"/>
  <c r="S17" i="52" l="1"/>
  <c r="T17" i="52"/>
  <c r="W98" i="50"/>
  <c r="A16" i="17"/>
  <c r="Y30" i="15" l="1"/>
  <c r="E82" i="8"/>
  <c r="H52" i="59" s="1"/>
  <c r="Q81" i="8"/>
  <c r="F15" i="35" l="1"/>
  <c r="F11" i="35"/>
  <c r="F10" i="6" s="1"/>
  <c r="Z56" i="6"/>
  <c r="J56" i="6"/>
  <c r="J55" i="6"/>
  <c r="F54" i="6"/>
  <c r="J54" i="6" s="1"/>
  <c r="N53" i="6"/>
  <c r="N52" i="6"/>
  <c r="F51" i="6"/>
  <c r="J51" i="6" s="1"/>
  <c r="N50" i="6"/>
  <c r="N49" i="6"/>
  <c r="F48" i="6"/>
  <c r="N47" i="6"/>
  <c r="N46" i="6"/>
  <c r="F45" i="6"/>
  <c r="J45" i="6" s="1"/>
  <c r="N44" i="6"/>
  <c r="N43" i="6"/>
  <c r="E34" i="39" l="1"/>
  <c r="J48" i="6"/>
  <c r="F57" i="6"/>
  <c r="J57" i="6" s="1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N54" i="6"/>
  <c r="N55" i="6"/>
  <c r="N56" i="6"/>
  <c r="R56" i="6" s="1"/>
  <c r="V56" i="6" s="1"/>
  <c r="N51" i="6"/>
  <c r="V54" i="6" l="1"/>
  <c r="AX53" i="6"/>
  <c r="BF53" i="6" s="1"/>
  <c r="V48" i="6"/>
  <c r="V51" i="6"/>
  <c r="AX47" i="6"/>
  <c r="BF47" i="6" s="1"/>
  <c r="V45" i="6"/>
  <c r="T79" i="83"/>
  <c r="T95" i="50"/>
  <c r="T93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AX56" i="6" l="1"/>
  <c r="BF56" i="6" s="1"/>
  <c r="AX50" i="6"/>
  <c r="BF50" i="6" s="1"/>
  <c r="R57" i="6"/>
  <c r="V55" i="6"/>
  <c r="V57" i="6" s="1"/>
  <c r="BF44" i="6"/>
  <c r="Q34" i="39"/>
  <c r="AJ55" i="6"/>
  <c r="AF57" i="6"/>
  <c r="AJ51" i="6"/>
  <c r="AP49" i="6"/>
  <c r="AJ45" i="6"/>
  <c r="AJ54" i="6"/>
  <c r="AP52" i="6"/>
  <c r="AT43" i="6"/>
  <c r="AX43" i="6" s="1"/>
  <c r="AX45" i="6" s="1"/>
  <c r="AP45" i="6"/>
  <c r="AJ48" i="6"/>
  <c r="AP46" i="6"/>
  <c r="AB57" i="6"/>
  <c r="R14" i="85"/>
  <c r="U34" i="39" l="1"/>
  <c r="AT45" i="6"/>
  <c r="AT49" i="6"/>
  <c r="AX49" i="6" s="1"/>
  <c r="AX51" i="6" s="1"/>
  <c r="AP51" i="6"/>
  <c r="AP55" i="6"/>
  <c r="AJ57" i="6"/>
  <c r="AT46" i="6"/>
  <c r="AX46" i="6" s="1"/>
  <c r="AX48" i="6" s="1"/>
  <c r="AP48" i="6"/>
  <c r="AT52" i="6"/>
  <c r="AX52" i="6" s="1"/>
  <c r="AX54" i="6" s="1"/>
  <c r="AP54" i="6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AA34" i="39" l="1"/>
  <c r="AT48" i="6"/>
  <c r="AT54" i="6"/>
  <c r="AT51" i="6"/>
  <c r="BF43" i="6"/>
  <c r="BF45" i="6" s="1"/>
  <c r="AT55" i="6"/>
  <c r="AX55" i="6" s="1"/>
  <c r="AX57" i="6" s="1"/>
  <c r="AP57" i="6"/>
  <c r="I13" i="7"/>
  <c r="AE34" i="39" l="1"/>
  <c r="BF46" i="6"/>
  <c r="BF48" i="6" s="1"/>
  <c r="BF49" i="6"/>
  <c r="BF51" i="6" s="1"/>
  <c r="BF52" i="6"/>
  <c r="BF54" i="6" s="1"/>
  <c r="AT57" i="6"/>
  <c r="AI34" i="39" l="1"/>
  <c r="BF55" i="6"/>
  <c r="BF57" i="6" s="1"/>
  <c r="S36" i="83"/>
  <c r="W36" i="83" s="1"/>
  <c r="AG36" i="83"/>
  <c r="AK36" i="83" s="1"/>
  <c r="AA40" i="83"/>
  <c r="AA41" i="83"/>
  <c r="AA42" i="83"/>
  <c r="AA43" i="83"/>
  <c r="AA44" i="83"/>
  <c r="AA39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AO34" i="39" l="1"/>
  <c r="AQ36" i="83"/>
  <c r="AU36" i="83" s="1"/>
  <c r="V147" i="9"/>
  <c r="Q13" i="7"/>
  <c r="U13" i="7" s="1"/>
  <c r="AA13" i="7"/>
  <c r="AE13" i="7" s="1"/>
  <c r="AA45" i="83"/>
  <c r="AA46" i="83"/>
  <c r="AA51" i="83" s="1"/>
  <c r="R13" i="7"/>
  <c r="V13" i="7" s="1"/>
  <c r="F147" i="9"/>
  <c r="F148" i="9" s="1"/>
  <c r="N147" i="9"/>
  <c r="R147" i="9"/>
  <c r="AI13" i="7" l="1"/>
  <c r="AO13" i="7" s="1"/>
  <c r="AS13" i="7" s="1"/>
  <c r="AS34" i="39"/>
  <c r="AY36" i="83"/>
  <c r="BG36" i="83" s="1"/>
  <c r="R101" i="50"/>
  <c r="R102" i="50" s="1"/>
  <c r="P101" i="50"/>
  <c r="P102" i="50" s="1"/>
  <c r="N101" i="50"/>
  <c r="N102" i="50" s="1"/>
  <c r="L101" i="50"/>
  <c r="L102" i="50" s="1"/>
  <c r="J101" i="50"/>
  <c r="J102" i="50" s="1"/>
  <c r="AW13" i="7" l="1"/>
  <c r="BE13" i="7" s="1"/>
  <c r="AW34" i="39"/>
  <c r="BF135" i="10"/>
  <c r="BE34" i="39" l="1"/>
  <c r="Z154" i="10"/>
  <c r="Z201" i="10" s="1"/>
  <c r="Z153" i="10"/>
  <c r="Q112" i="50"/>
  <c r="Q105" i="50"/>
  <c r="AA38" i="83"/>
  <c r="AA76" i="83"/>
  <c r="Y10" i="17"/>
  <c r="X54" i="26"/>
  <c r="X52" i="26"/>
  <c r="AA105" i="50" l="1"/>
  <c r="AA112" i="50"/>
  <c r="Q106" i="50"/>
  <c r="Q108" i="50" l="1"/>
  <c r="AA106" i="50"/>
  <c r="AA107" i="50" s="1"/>
  <c r="Q107" i="50"/>
  <c r="Z162" i="10"/>
  <c r="Z163" i="10" s="1"/>
  <c r="AA108" i="50" l="1"/>
  <c r="AA113" i="50" s="1"/>
  <c r="Q113" i="50"/>
  <c r="Q41" i="50"/>
  <c r="AA41" i="50" s="1"/>
  <c r="Q42" i="50"/>
  <c r="AA42" i="50" s="1"/>
  <c r="Q43" i="50"/>
  <c r="AA43" i="50" s="1"/>
  <c r="Q44" i="50"/>
  <c r="AA44" i="50" s="1"/>
  <c r="Q45" i="50"/>
  <c r="AA45" i="50" s="1"/>
  <c r="Q46" i="50"/>
  <c r="AA46" i="50" s="1"/>
  <c r="Q40" i="50"/>
  <c r="Q47" i="50" l="1"/>
  <c r="Q92" i="50" s="1"/>
  <c r="AA40" i="50"/>
  <c r="AA47" i="50" s="1"/>
  <c r="AA92" i="50" s="1"/>
  <c r="AJ281" i="28"/>
  <c r="AP281" i="28" s="1"/>
  <c r="AT281" i="28" s="1"/>
  <c r="Y29" i="15"/>
  <c r="Y24" i="15"/>
  <c r="Y23" i="15"/>
  <c r="Y22" i="15"/>
  <c r="Y21" i="15"/>
  <c r="Y20" i="15"/>
  <c r="Y14" i="15"/>
  <c r="Y10" i="15"/>
  <c r="AX281" i="28" l="1"/>
  <c r="BF281" i="28" s="1"/>
  <c r="Q116" i="50"/>
  <c r="Y28" i="15"/>
  <c r="Q120" i="50"/>
  <c r="X11" i="15"/>
  <c r="Q121" i="50" l="1"/>
  <c r="AA120" i="50"/>
  <c r="Q117" i="50"/>
  <c r="AA116" i="50"/>
  <c r="Y31" i="15"/>
  <c r="G43" i="50"/>
  <c r="K43" i="50" l="1"/>
  <c r="O43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3" i="50" l="1"/>
  <c r="W43" i="50" s="1"/>
  <c r="AC43" i="50"/>
  <c r="AG43" i="50" s="1"/>
  <c r="AK43" i="50" s="1"/>
  <c r="AQ43" i="50" s="1"/>
  <c r="AU43" i="50" s="1"/>
  <c r="AY43" i="50" s="1"/>
  <c r="BG43" i="50" s="1"/>
  <c r="AC41" i="38"/>
  <c r="AC42" i="38"/>
  <c r="AC6" i="38"/>
  <c r="AC7" i="38"/>
  <c r="AC35" i="38"/>
  <c r="AC19" i="38"/>
  <c r="AC13" i="38"/>
  <c r="Z66" i="11"/>
  <c r="AC40" i="38" l="1"/>
  <c r="AC43" i="38"/>
  <c r="Z73" i="11"/>
  <c r="Y66" i="11"/>
  <c r="AC18" i="38"/>
  <c r="AC16" i="38"/>
  <c r="AC17" i="38" l="1"/>
  <c r="AC49" i="38" s="1"/>
  <c r="Z165" i="10"/>
  <c r="Z172" i="10" l="1"/>
  <c r="Z173" i="10" s="1"/>
  <c r="Q130" i="50"/>
  <c r="Q52" i="8"/>
  <c r="T42" i="59" s="1"/>
  <c r="Q99" i="50" l="1"/>
  <c r="D85" i="8" l="1"/>
  <c r="Q73" i="8" l="1"/>
  <c r="R93" i="8"/>
  <c r="Z37" i="8" l="1"/>
  <c r="Z136" i="6" l="1"/>
  <c r="Y136" i="6"/>
  <c r="Z129" i="6"/>
  <c r="Z128" i="6"/>
  <c r="Z127" i="6"/>
  <c r="Q480" i="28" l="1"/>
  <c r="Q479" i="28"/>
  <c r="Y392" i="28"/>
  <c r="Y271" i="28"/>
  <c r="Y232" i="28"/>
  <c r="Y54" i="28"/>
  <c r="Y53" i="28"/>
  <c r="Y52" i="28"/>
  <c r="Y58" i="73"/>
  <c r="Y34" i="73"/>
  <c r="Y23" i="73"/>
  <c r="Y114" i="73" l="1"/>
  <c r="AJ32" i="28"/>
  <c r="AP32" i="28" s="1"/>
  <c r="AT32" i="28" s="1"/>
  <c r="AX32" i="28" l="1"/>
  <c r="BF32" i="28" s="1"/>
  <c r="Y11" i="15"/>
  <c r="Y12" i="15"/>
  <c r="Y14" i="28"/>
  <c r="Y21" i="28"/>
  <c r="Y7" i="28"/>
  <c r="T15" i="59"/>
  <c r="Y26" i="28" l="1"/>
  <c r="X15" i="15"/>
  <c r="X14" i="15"/>
  <c r="Y12" i="28"/>
  <c r="Y272" i="28"/>
  <c r="Y19" i="28"/>
  <c r="Y60" i="28" l="1"/>
  <c r="Y273" i="28"/>
  <c r="Y59" i="28"/>
  <c r="Y58" i="28"/>
  <c r="Y73" i="28" l="1"/>
  <c r="Y9" i="6"/>
  <c r="Y377" i="28"/>
  <c r="Y216" i="28"/>
  <c r="Y65" i="28"/>
  <c r="Y28" i="28"/>
  <c r="P95" i="50"/>
  <c r="P93" i="50" s="1"/>
  <c r="S53" i="83"/>
  <c r="S55" i="83"/>
  <c r="S56" i="83"/>
  <c r="S57" i="83"/>
  <c r="S61" i="83"/>
  <c r="S62" i="83"/>
  <c r="S65" i="83"/>
  <c r="Y69" i="28" l="1"/>
  <c r="S67" i="83"/>
  <c r="W67" i="83" s="1"/>
  <c r="AG67" i="83"/>
  <c r="AK67" i="83" s="1"/>
  <c r="AQ67" i="83" s="1"/>
  <c r="AU67" i="83" s="1"/>
  <c r="AY67" i="83" s="1"/>
  <c r="BG67" i="83" s="1"/>
  <c r="S66" i="83"/>
  <c r="W66" i="83" s="1"/>
  <c r="AG66" i="83"/>
  <c r="AK66" i="83" s="1"/>
  <c r="AQ66" i="83" s="1"/>
  <c r="AU66" i="83" s="1"/>
  <c r="AY66" i="83" s="1"/>
  <c r="BG66" i="83" s="1"/>
  <c r="W57" i="83"/>
  <c r="AG57" i="83"/>
  <c r="AK57" i="83" s="1"/>
  <c r="AQ57" i="83" s="1"/>
  <c r="AU57" i="83" s="1"/>
  <c r="AY57" i="83" s="1"/>
  <c r="BG57" i="83" s="1"/>
  <c r="W53" i="83"/>
  <c r="AG53" i="83"/>
  <c r="AK53" i="83" s="1"/>
  <c r="AQ53" i="83" s="1"/>
  <c r="AU53" i="83" s="1"/>
  <c r="AY53" i="83" s="1"/>
  <c r="BG53" i="83" s="1"/>
  <c r="W65" i="83"/>
  <c r="AG65" i="83"/>
  <c r="AK65" i="83" s="1"/>
  <c r="AQ65" i="83" s="1"/>
  <c r="AU65" i="83" s="1"/>
  <c r="AY65" i="83" s="1"/>
  <c r="BG65" i="83" s="1"/>
  <c r="W56" i="83"/>
  <c r="AG56" i="83"/>
  <c r="AK56" i="83" s="1"/>
  <c r="AQ56" i="83" s="1"/>
  <c r="AU56" i="83" s="1"/>
  <c r="AY56" i="83" s="1"/>
  <c r="BG56" i="83" s="1"/>
  <c r="W61" i="83"/>
  <c r="AG61" i="83"/>
  <c r="AK61" i="83" s="1"/>
  <c r="AQ61" i="83" s="1"/>
  <c r="AU61" i="83" s="1"/>
  <c r="AY61" i="83" s="1"/>
  <c r="BG61" i="83" s="1"/>
  <c r="W62" i="83"/>
  <c r="AG62" i="83"/>
  <c r="AK62" i="83" s="1"/>
  <c r="AQ62" i="83" s="1"/>
  <c r="AU62" i="83" s="1"/>
  <c r="AY62" i="83" s="1"/>
  <c r="BG62" i="83" s="1"/>
  <c r="W55" i="83"/>
  <c r="AG55" i="83"/>
  <c r="P79" i="83"/>
  <c r="Y33" i="28"/>
  <c r="G140" i="50"/>
  <c r="K140" i="50" l="1"/>
  <c r="O140" i="50"/>
  <c r="AK55" i="83"/>
  <c r="AQ55" i="83" s="1"/>
  <c r="AU55" i="83" s="1"/>
  <c r="AY55" i="83" s="1"/>
  <c r="BG55" i="83" s="1"/>
  <c r="Y50" i="28"/>
  <c r="Y61" i="28"/>
  <c r="Y448" i="28"/>
  <c r="G141" i="50"/>
  <c r="AC140" i="50" l="1"/>
  <c r="AG140" i="50" s="1"/>
  <c r="AK140" i="50" s="1"/>
  <c r="AQ140" i="50" s="1"/>
  <c r="AU140" i="50" s="1"/>
  <c r="AY140" i="50" s="1"/>
  <c r="BG140" i="50" s="1"/>
  <c r="S140" i="50"/>
  <c r="W140" i="50" s="1"/>
  <c r="O141" i="50"/>
  <c r="K141" i="50"/>
  <c r="Y55" i="28"/>
  <c r="Y77" i="28"/>
  <c r="Y62" i="28"/>
  <c r="S141" i="50" l="1"/>
  <c r="W141" i="50" s="1"/>
  <c r="AC141" i="50"/>
  <c r="AG141" i="50" s="1"/>
  <c r="AK141" i="50" s="1"/>
  <c r="AQ141" i="50" s="1"/>
  <c r="AU141" i="50" s="1"/>
  <c r="AY141" i="50" s="1"/>
  <c r="BG141" i="50" s="1"/>
  <c r="Y81" i="28"/>
  <c r="G123" i="50" l="1"/>
  <c r="K123" i="50" l="1"/>
  <c r="O123" i="50"/>
  <c r="G75" i="83"/>
  <c r="O74" i="83"/>
  <c r="K74" i="83"/>
  <c r="S74" i="83" s="1"/>
  <c r="O73" i="83"/>
  <c r="K73" i="83"/>
  <c r="O72" i="83"/>
  <c r="O71" i="83"/>
  <c r="K67" i="83"/>
  <c r="O52" i="83"/>
  <c r="AC52" i="83" s="1"/>
  <c r="AG52" i="83" s="1"/>
  <c r="K52" i="83"/>
  <c r="G46" i="83"/>
  <c r="G51" i="83" s="1"/>
  <c r="G44" i="83"/>
  <c r="K44" i="83" s="1"/>
  <c r="G43" i="83"/>
  <c r="K43" i="83" s="1"/>
  <c r="G42" i="83"/>
  <c r="K42" i="83" s="1"/>
  <c r="G41" i="83"/>
  <c r="K41" i="83" s="1"/>
  <c r="G40" i="83"/>
  <c r="K40" i="83" s="1"/>
  <c r="G39" i="83"/>
  <c r="AK52" i="83" l="1"/>
  <c r="S72" i="83"/>
  <c r="W72" i="83" s="1"/>
  <c r="AC72" i="83"/>
  <c r="AK72" i="83" s="1"/>
  <c r="W74" i="83"/>
  <c r="AC74" i="83"/>
  <c r="AK74" i="83" s="1"/>
  <c r="S71" i="83"/>
  <c r="W71" i="83" s="1"/>
  <c r="AC71" i="83"/>
  <c r="AK71" i="83" s="1"/>
  <c r="S73" i="83"/>
  <c r="W73" i="83" s="1"/>
  <c r="AC73" i="83"/>
  <c r="AK73" i="83" s="1"/>
  <c r="S52" i="83"/>
  <c r="K46" i="83"/>
  <c r="K51" i="83" s="1"/>
  <c r="S5" i="83"/>
  <c r="S17" i="83"/>
  <c r="S7" i="83"/>
  <c r="O42" i="83"/>
  <c r="S18" i="83"/>
  <c r="O39" i="83"/>
  <c r="O43" i="83"/>
  <c r="S10" i="83"/>
  <c r="S12" i="83"/>
  <c r="S6" i="83"/>
  <c r="S15" i="83"/>
  <c r="K39" i="83"/>
  <c r="K75" i="83"/>
  <c r="O40" i="83"/>
  <c r="O44" i="83"/>
  <c r="O75" i="83"/>
  <c r="AC75" i="83" s="1"/>
  <c r="S8" i="83"/>
  <c r="S11" i="83"/>
  <c r="S16" i="83"/>
  <c r="O46" i="83"/>
  <c r="O51" i="83" s="1"/>
  <c r="O41" i="83"/>
  <c r="G45" i="83"/>
  <c r="AQ52" i="83" l="1"/>
  <c r="AK75" i="83"/>
  <c r="AG75" i="83"/>
  <c r="W75" i="83"/>
  <c r="AC46" i="83"/>
  <c r="S75" i="83"/>
  <c r="W12" i="83"/>
  <c r="AG12" i="83"/>
  <c r="AK12" i="83" s="1"/>
  <c r="S39" i="83"/>
  <c r="W39" i="83" s="1"/>
  <c r="AC39" i="83"/>
  <c r="AG39" i="83" s="1"/>
  <c r="AK39" i="83" s="1"/>
  <c r="AQ39" i="83" s="1"/>
  <c r="S35" i="83"/>
  <c r="W35" i="83" s="1"/>
  <c r="AG35" i="83"/>
  <c r="AK35" i="83" s="1"/>
  <c r="W11" i="83"/>
  <c r="AG11" i="83"/>
  <c r="AK11" i="83" s="1"/>
  <c r="AQ11" i="83" s="1"/>
  <c r="W8" i="83"/>
  <c r="AG8" i="83"/>
  <c r="AK8" i="83" s="1"/>
  <c r="AQ8" i="83" s="1"/>
  <c r="S32" i="83"/>
  <c r="W32" i="83" s="1"/>
  <c r="AG32" i="83"/>
  <c r="AK32" i="83" s="1"/>
  <c r="W18" i="83"/>
  <c r="AG18" i="83"/>
  <c r="AK18" i="83" s="1"/>
  <c r="W17" i="83"/>
  <c r="AG17" i="83"/>
  <c r="AK17" i="83" s="1"/>
  <c r="W5" i="83"/>
  <c r="AG5" i="83"/>
  <c r="AK5" i="83" s="1"/>
  <c r="AQ5" i="83" s="1"/>
  <c r="S41" i="83"/>
  <c r="W41" i="83" s="1"/>
  <c r="AC41" i="83"/>
  <c r="AG41" i="83" s="1"/>
  <c r="AK41" i="83" s="1"/>
  <c r="AQ41" i="83" s="1"/>
  <c r="AU41" i="83" s="1"/>
  <c r="AY41" i="83" s="1"/>
  <c r="BG41" i="83" s="1"/>
  <c r="S40" i="83"/>
  <c r="W40" i="83" s="1"/>
  <c r="AC40" i="83"/>
  <c r="AG40" i="83" s="1"/>
  <c r="AK40" i="83" s="1"/>
  <c r="AQ40" i="83" s="1"/>
  <c r="AU40" i="83" s="1"/>
  <c r="AY40" i="83" s="1"/>
  <c r="BG40" i="83" s="1"/>
  <c r="W15" i="83"/>
  <c r="AG15" i="83"/>
  <c r="AK15" i="83" s="1"/>
  <c r="W10" i="83"/>
  <c r="AG10" i="83"/>
  <c r="AK10" i="83" s="1"/>
  <c r="AQ10" i="83" s="1"/>
  <c r="S37" i="83"/>
  <c r="W37" i="83" s="1"/>
  <c r="AG37" i="83"/>
  <c r="W7" i="83"/>
  <c r="AG7" i="83"/>
  <c r="AK7" i="83" s="1"/>
  <c r="AQ7" i="83" s="1"/>
  <c r="W16" i="83"/>
  <c r="AG16" i="83"/>
  <c r="AK16" i="83" s="1"/>
  <c r="S44" i="83"/>
  <c r="W44" i="83" s="1"/>
  <c r="AC44" i="83"/>
  <c r="AG44" i="83" s="1"/>
  <c r="AK44" i="83" s="1"/>
  <c r="AQ44" i="83" s="1"/>
  <c r="AU44" i="83" s="1"/>
  <c r="AY44" i="83" s="1"/>
  <c r="BG44" i="83" s="1"/>
  <c r="S34" i="83"/>
  <c r="W34" i="83" s="1"/>
  <c r="AG34" i="83"/>
  <c r="AK34" i="83" s="1"/>
  <c r="W6" i="83"/>
  <c r="AG6" i="83"/>
  <c r="AK6" i="83" s="1"/>
  <c r="AQ6" i="83" s="1"/>
  <c r="S43" i="83"/>
  <c r="W43" i="83" s="1"/>
  <c r="AC43" i="83"/>
  <c r="AG43" i="83" s="1"/>
  <c r="AK43" i="83" s="1"/>
  <c r="AQ43" i="83" s="1"/>
  <c r="AU43" i="83" s="1"/>
  <c r="AY43" i="83" s="1"/>
  <c r="BG43" i="83" s="1"/>
  <c r="S42" i="83"/>
  <c r="W42" i="83" s="1"/>
  <c r="AC42" i="83"/>
  <c r="AG42" i="83" s="1"/>
  <c r="AK42" i="83" s="1"/>
  <c r="AQ42" i="83" s="1"/>
  <c r="AU42" i="83" s="1"/>
  <c r="AY42" i="83" s="1"/>
  <c r="BG42" i="83" s="1"/>
  <c r="S33" i="83"/>
  <c r="W33" i="83" s="1"/>
  <c r="AG33" i="83"/>
  <c r="AK33" i="83" s="1"/>
  <c r="W52" i="83"/>
  <c r="S46" i="83"/>
  <c r="K45" i="83"/>
  <c r="O45" i="83"/>
  <c r="AC45" i="83" s="1"/>
  <c r="N18" i="8"/>
  <c r="AK37" i="83" l="1"/>
  <c r="AQ37" i="83" s="1"/>
  <c r="AU37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9" i="83"/>
  <c r="AY39" i="83" s="1"/>
  <c r="AU52" i="83"/>
  <c r="AY52" i="83" s="1"/>
  <c r="BG52" i="83" s="1"/>
  <c r="AQ45" i="83"/>
  <c r="AK45" i="83"/>
  <c r="AG45" i="83"/>
  <c r="AC51" i="83"/>
  <c r="AG46" i="83"/>
  <c r="W45" i="83"/>
  <c r="S45" i="83"/>
  <c r="S51" i="83"/>
  <c r="W46" i="83"/>
  <c r="W51" i="83" s="1"/>
  <c r="N107" i="9"/>
  <c r="AB107" i="9" s="1"/>
  <c r="AF107" i="9" s="1"/>
  <c r="N108" i="9"/>
  <c r="AB108" i="9" s="1"/>
  <c r="AF108" i="9" s="1"/>
  <c r="M135" i="73"/>
  <c r="Q135" i="73" s="1"/>
  <c r="U135" i="73" s="1"/>
  <c r="M134" i="73"/>
  <c r="Q134" i="73" s="1"/>
  <c r="U134" i="73" s="1"/>
  <c r="M130" i="73"/>
  <c r="Q130" i="73" s="1"/>
  <c r="U130" i="73" s="1"/>
  <c r="M127" i="73"/>
  <c r="Q127" i="73" s="1"/>
  <c r="M126" i="73"/>
  <c r="Q126" i="73" s="1"/>
  <c r="M124" i="73"/>
  <c r="Q124" i="73" s="1"/>
  <c r="M123" i="73"/>
  <c r="Q123" i="73" s="1"/>
  <c r="M122" i="73"/>
  <c r="Q122" i="73" s="1"/>
  <c r="M116" i="73"/>
  <c r="M115" i="73"/>
  <c r="M113" i="73"/>
  <c r="M112" i="73"/>
  <c r="M111" i="73"/>
  <c r="Q111" i="73" s="1"/>
  <c r="U111" i="73" s="1"/>
  <c r="M110" i="73"/>
  <c r="M109" i="73"/>
  <c r="M107" i="73"/>
  <c r="M106" i="73"/>
  <c r="M104" i="73"/>
  <c r="M103" i="73"/>
  <c r="M66" i="73"/>
  <c r="M64" i="73"/>
  <c r="M60" i="73"/>
  <c r="M59" i="73"/>
  <c r="Q59" i="73" s="1"/>
  <c r="U59" i="73" s="1"/>
  <c r="M57" i="73"/>
  <c r="Q57" i="73" s="1"/>
  <c r="U57" i="73" s="1"/>
  <c r="M55" i="73"/>
  <c r="Q55" i="73" s="1"/>
  <c r="U55" i="73" s="1"/>
  <c r="M54" i="73"/>
  <c r="M52" i="73"/>
  <c r="Q52" i="73" s="1"/>
  <c r="U52" i="73" s="1"/>
  <c r="M51" i="73"/>
  <c r="Q51" i="73" s="1"/>
  <c r="U51" i="73" s="1"/>
  <c r="M50" i="73"/>
  <c r="Q50" i="73" s="1"/>
  <c r="U50" i="73" s="1"/>
  <c r="M49" i="73"/>
  <c r="M35" i="73"/>
  <c r="M33" i="73"/>
  <c r="Q33" i="73" s="1"/>
  <c r="U33" i="73" s="1"/>
  <c r="M24" i="73"/>
  <c r="Q115" i="73" l="1"/>
  <c r="U115" i="73" s="1"/>
  <c r="Q64" i="73"/>
  <c r="U64" i="73" s="1"/>
  <c r="Q110" i="73"/>
  <c r="U110" i="73" s="1"/>
  <c r="Q107" i="73"/>
  <c r="U107" i="73" s="1"/>
  <c r="Q116" i="73"/>
  <c r="U116" i="73" s="1"/>
  <c r="Q60" i="73"/>
  <c r="U60" i="73" s="1"/>
  <c r="Q103" i="73"/>
  <c r="U103" i="73" s="1"/>
  <c r="Q104" i="73"/>
  <c r="U104" i="73" s="1"/>
  <c r="Q112" i="73"/>
  <c r="U112" i="73" s="1"/>
  <c r="Q24" i="73"/>
  <c r="U24" i="73" s="1"/>
  <c r="Q109" i="73"/>
  <c r="U109" i="73" s="1"/>
  <c r="Q54" i="73"/>
  <c r="U54" i="73" s="1"/>
  <c r="Q66" i="73"/>
  <c r="U66" i="73" s="1"/>
  <c r="Q49" i="73"/>
  <c r="U49" i="73" s="1"/>
  <c r="Q106" i="73"/>
  <c r="U106" i="73" s="1"/>
  <c r="Q113" i="73"/>
  <c r="U113" i="73" s="1"/>
  <c r="Q35" i="73"/>
  <c r="U35" i="73" s="1"/>
  <c r="AY45" i="83"/>
  <c r="BG39" i="83"/>
  <c r="AY37" i="83"/>
  <c r="BG37" i="83" s="1"/>
  <c r="AQ15" i="83"/>
  <c r="AU15" i="83" s="1"/>
  <c r="AQ33" i="83"/>
  <c r="AU33" i="83" s="1"/>
  <c r="AQ17" i="83"/>
  <c r="AU17" i="83" s="1"/>
  <c r="AQ35" i="83"/>
  <c r="AU35" i="83" s="1"/>
  <c r="AQ18" i="83"/>
  <c r="AU18" i="83" s="1"/>
  <c r="AQ16" i="83"/>
  <c r="AQ34" i="83"/>
  <c r="AU34" i="83" s="1"/>
  <c r="AQ32" i="83"/>
  <c r="AQ12" i="83"/>
  <c r="AJ108" i="9"/>
  <c r="AP108" i="9" s="1"/>
  <c r="AT108" i="9" s="1"/>
  <c r="AJ107" i="9"/>
  <c r="AP107" i="9" s="1"/>
  <c r="AT107" i="9" s="1"/>
  <c r="AA33" i="73"/>
  <c r="AE33" i="73" s="1"/>
  <c r="AI33" i="73" s="1"/>
  <c r="AO33" i="73" s="1"/>
  <c r="AS33" i="73" s="1"/>
  <c r="AA51" i="73"/>
  <c r="AE51" i="73" s="1"/>
  <c r="AI51" i="73" s="1"/>
  <c r="AO51" i="73" s="1"/>
  <c r="AS51" i="73" s="1"/>
  <c r="AA52" i="73"/>
  <c r="AE52" i="73" s="1"/>
  <c r="AI52" i="73" s="1"/>
  <c r="AO52" i="73" s="1"/>
  <c r="AS52" i="73" s="1"/>
  <c r="AA59" i="73"/>
  <c r="AE59" i="73" s="1"/>
  <c r="AI59" i="73" s="1"/>
  <c r="AO59" i="73" s="1"/>
  <c r="AS59" i="73" s="1"/>
  <c r="AA50" i="73"/>
  <c r="AE50" i="73" s="1"/>
  <c r="AI50" i="73" s="1"/>
  <c r="AO50" i="73" s="1"/>
  <c r="AS50" i="73" s="1"/>
  <c r="AA124" i="73"/>
  <c r="U124" i="73"/>
  <c r="AA122" i="73"/>
  <c r="U122" i="73"/>
  <c r="AA123" i="73"/>
  <c r="U123" i="73"/>
  <c r="AA126" i="73"/>
  <c r="U126" i="73"/>
  <c r="AA135" i="73"/>
  <c r="AA127" i="73"/>
  <c r="U127" i="73"/>
  <c r="AA55" i="73"/>
  <c r="AE55" i="73" s="1"/>
  <c r="AI55" i="73" s="1"/>
  <c r="AO55" i="73" s="1"/>
  <c r="AS55" i="73" s="1"/>
  <c r="AA57" i="73"/>
  <c r="AE57" i="73" s="1"/>
  <c r="AI57" i="73" s="1"/>
  <c r="AO57" i="73" s="1"/>
  <c r="AS57" i="73" s="1"/>
  <c r="AA111" i="73"/>
  <c r="AE111" i="73" s="1"/>
  <c r="AI111" i="73" s="1"/>
  <c r="AO111" i="73" s="1"/>
  <c r="AS111" i="73" s="1"/>
  <c r="AU45" i="83"/>
  <c r="BG14" i="61"/>
  <c r="BG13" i="61"/>
  <c r="M129" i="73"/>
  <c r="AA130" i="73"/>
  <c r="AA107" i="73"/>
  <c r="AA113" i="73"/>
  <c r="AA115" i="73"/>
  <c r="AA49" i="73"/>
  <c r="AA109" i="73"/>
  <c r="AA54" i="73"/>
  <c r="AA64" i="73"/>
  <c r="AE64" i="73" s="1"/>
  <c r="AI64" i="73" s="1"/>
  <c r="AO64" i="73" s="1"/>
  <c r="AS64" i="73" s="1"/>
  <c r="AA116" i="73"/>
  <c r="AA106" i="73"/>
  <c r="AA112" i="73"/>
  <c r="AA60" i="73"/>
  <c r="AE60" i="73" s="1"/>
  <c r="AI60" i="73" s="1"/>
  <c r="AO60" i="73" s="1"/>
  <c r="AS60" i="73" s="1"/>
  <c r="AA66" i="73"/>
  <c r="AA104" i="73"/>
  <c r="AA110" i="73"/>
  <c r="M133" i="73"/>
  <c r="AA134" i="73"/>
  <c r="AA24" i="73"/>
  <c r="AE24" i="73" s="1"/>
  <c r="AA35" i="73"/>
  <c r="AE35" i="73" s="1"/>
  <c r="AA103" i="73"/>
  <c r="M125" i="73"/>
  <c r="AG51" i="83"/>
  <c r="AK46" i="83"/>
  <c r="R108" i="9"/>
  <c r="V108" i="9" s="1"/>
  <c r="R107" i="9"/>
  <c r="V107" i="9" s="1"/>
  <c r="AA133" i="73" l="1"/>
  <c r="Q133" i="73"/>
  <c r="U133" i="73" s="1"/>
  <c r="AA125" i="73"/>
  <c r="Q125" i="73"/>
  <c r="AA129" i="73"/>
  <c r="Q129" i="73"/>
  <c r="U129" i="73" s="1"/>
  <c r="AW57" i="73"/>
  <c r="BE57" i="73" s="1"/>
  <c r="AW64" i="73"/>
  <c r="BE64" i="73" s="1"/>
  <c r="AW59" i="73"/>
  <c r="BE59" i="73" s="1"/>
  <c r="AW55" i="73"/>
  <c r="BE55" i="73" s="1"/>
  <c r="AW111" i="73"/>
  <c r="BE111" i="73" s="1"/>
  <c r="AW60" i="73"/>
  <c r="BE60" i="73" s="1"/>
  <c r="AW51" i="73"/>
  <c r="BE51" i="73" s="1"/>
  <c r="AW52" i="73"/>
  <c r="BE52" i="73" s="1"/>
  <c r="AW50" i="73"/>
  <c r="BE50" i="73" s="1"/>
  <c r="AW33" i="73"/>
  <c r="BE33" i="73" s="1"/>
  <c r="AX107" i="9"/>
  <c r="BF107" i="9" s="1"/>
  <c r="AX108" i="9"/>
  <c r="BF108" i="9" s="1"/>
  <c r="AY17" i="83"/>
  <c r="BG17" i="83" s="1"/>
  <c r="AY33" i="83"/>
  <c r="BG33" i="83" s="1"/>
  <c r="AY34" i="83"/>
  <c r="BG34" i="83" s="1"/>
  <c r="AY15" i="83"/>
  <c r="BG15" i="83" s="1"/>
  <c r="AY18" i="83"/>
  <c r="BG18" i="83" s="1"/>
  <c r="AY35" i="83"/>
  <c r="BG35" i="83" s="1"/>
  <c r="AU12" i="83"/>
  <c r="AU16" i="83"/>
  <c r="AU32" i="83"/>
  <c r="U125" i="73"/>
  <c r="AK51" i="83"/>
  <c r="AQ46" i="83"/>
  <c r="AE126" i="73"/>
  <c r="N106" i="9"/>
  <c r="AB106" i="9" s="1"/>
  <c r="AF106" i="9" s="1"/>
  <c r="N105" i="9"/>
  <c r="J106" i="9"/>
  <c r="J105" i="9"/>
  <c r="BG45" i="83" l="1"/>
  <c r="AY16" i="83"/>
  <c r="BG16" i="83" s="1"/>
  <c r="AY12" i="83"/>
  <c r="BG12" i="83" s="1"/>
  <c r="AY32" i="83"/>
  <c r="BG32" i="83" s="1"/>
  <c r="AJ106" i="9"/>
  <c r="AP106" i="9" s="1"/>
  <c r="AT106" i="9" s="1"/>
  <c r="AQ51" i="83"/>
  <c r="AU46" i="83"/>
  <c r="AI126" i="73"/>
  <c r="R106" i="9"/>
  <c r="V106" i="9" s="1"/>
  <c r="R105" i="9"/>
  <c r="V105" i="9" s="1"/>
  <c r="AB105" i="9"/>
  <c r="AF105" i="9" s="1"/>
  <c r="AX106" i="9" l="1"/>
  <c r="BF106" i="9" s="1"/>
  <c r="AU51" i="83"/>
  <c r="AY46" i="83"/>
  <c r="BG46" i="83" s="1"/>
  <c r="BG51" i="83" s="1"/>
  <c r="AJ105" i="9"/>
  <c r="AP105" i="9" s="1"/>
  <c r="AT105" i="9" s="1"/>
  <c r="AO126" i="73"/>
  <c r="AS126" i="73" s="1"/>
  <c r="M73" i="8"/>
  <c r="I73" i="8"/>
  <c r="AX105" i="9" l="1"/>
  <c r="BF105" i="9" s="1"/>
  <c r="AY51" i="83"/>
  <c r="AW126" i="73"/>
  <c r="BE126" i="73" l="1"/>
  <c r="L16" i="52" l="1"/>
  <c r="K16" i="52"/>
  <c r="M12" i="52" l="1"/>
  <c r="Q12" i="52" l="1"/>
  <c r="U12" i="52" s="1"/>
  <c r="AA12" i="52"/>
  <c r="AE12" i="52" s="1"/>
  <c r="AI12" i="52" s="1"/>
  <c r="AO12" i="52" s="1"/>
  <c r="AS12" i="52" l="1"/>
  <c r="AW12" i="52" s="1"/>
  <c r="BE12" i="52" s="1"/>
  <c r="I480" i="28"/>
  <c r="M480" i="28"/>
  <c r="E479" i="28"/>
  <c r="I479" i="28"/>
  <c r="M479" i="28"/>
  <c r="I60" i="73" l="1"/>
  <c r="I30" i="73"/>
  <c r="N7" i="10" l="1"/>
  <c r="N200" i="10" s="1"/>
  <c r="AB7" i="10" l="1"/>
  <c r="AB200" i="10" s="1"/>
  <c r="R7" i="10"/>
  <c r="V7" i="10" l="1"/>
  <c r="V200" i="10" s="1"/>
  <c r="R200" i="10"/>
  <c r="V154" i="10"/>
  <c r="V153" i="10"/>
  <c r="AF7" i="10"/>
  <c r="AJ7" i="10" s="1"/>
  <c r="V201" i="10" l="1"/>
  <c r="AJ154" i="10"/>
  <c r="AJ153" i="10"/>
  <c r="V197" i="10"/>
  <c r="V191" i="10"/>
  <c r="V193" i="10" s="1"/>
  <c r="AP7" i="10"/>
  <c r="AT7" i="10" s="1"/>
  <c r="AX7" i="10" l="1"/>
  <c r="BF7" i="10" s="1"/>
  <c r="BF200" i="10" s="1"/>
  <c r="AJ197" i="10"/>
  <c r="AJ191" i="10"/>
  <c r="AJ193" i="10" s="1"/>
  <c r="AJ178" i="10"/>
  <c r="AJ201" i="10"/>
  <c r="R30" i="8"/>
  <c r="V30" i="8" s="1"/>
  <c r="AX153" i="10" l="1"/>
  <c r="AX200" i="10"/>
  <c r="AX154" i="10"/>
  <c r="R130" i="9"/>
  <c r="V130" i="9" s="1"/>
  <c r="R129" i="9"/>
  <c r="V129" i="9" s="1"/>
  <c r="AX178" i="10" l="1"/>
  <c r="AX201" i="10"/>
  <c r="AX191" i="10"/>
  <c r="AX197" i="10"/>
  <c r="K115" i="7"/>
  <c r="K114" i="7"/>
  <c r="AX193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G98" i="50" l="1"/>
  <c r="K98" i="50" l="1"/>
  <c r="O98" i="50"/>
  <c r="D110" i="26" l="1"/>
  <c r="D80" i="26"/>
  <c r="D73" i="26"/>
  <c r="D112" i="26"/>
  <c r="D108" i="26"/>
  <c r="F143" i="45" s="1"/>
  <c r="D106" i="26"/>
  <c r="D104" i="26"/>
  <c r="E177" i="10" s="1"/>
  <c r="D102" i="26"/>
  <c r="D100" i="26"/>
  <c r="D98" i="26"/>
  <c r="D78" i="26"/>
  <c r="D71" i="26"/>
  <c r="D69" i="26"/>
  <c r="D67" i="26"/>
  <c r="D65" i="26"/>
  <c r="D63" i="26"/>
  <c r="D61" i="26"/>
  <c r="D59" i="26"/>
  <c r="E89" i="8" s="1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E88" i="8" s="1"/>
  <c r="D23" i="26"/>
  <c r="D21" i="26"/>
  <c r="E166" i="6" s="1"/>
  <c r="I61" i="6"/>
  <c r="L23" i="59" s="1"/>
  <c r="I60" i="6"/>
  <c r="L16" i="59" s="1"/>
  <c r="F109" i="8" l="1"/>
  <c r="H53" i="26" l="1"/>
  <c r="L53" i="26" s="1"/>
  <c r="H89" i="26"/>
  <c r="L89" i="26" s="1"/>
  <c r="P89" i="26" s="1"/>
  <c r="T89" i="26" s="1"/>
  <c r="I89" i="26"/>
  <c r="M89" i="26" s="1"/>
  <c r="H91" i="26"/>
  <c r="L91" i="26" s="1"/>
  <c r="P91" i="26" s="1"/>
  <c r="T91" i="26" s="1"/>
  <c r="I91" i="26"/>
  <c r="M91" i="26" s="1"/>
  <c r="I93" i="26"/>
  <c r="I87" i="26"/>
  <c r="M87" i="26" s="1"/>
  <c r="Q87" i="26" s="1"/>
  <c r="U87" i="26" s="1"/>
  <c r="H87" i="26"/>
  <c r="L87" i="26" s="1"/>
  <c r="P87" i="26" s="1"/>
  <c r="T87" i="26" s="1"/>
  <c r="P53" i="26" l="1"/>
  <c r="T53" i="26" s="1"/>
  <c r="Z53" i="26"/>
  <c r="AD53" i="26" s="1"/>
  <c r="Q89" i="26"/>
  <c r="U89" i="26" s="1"/>
  <c r="AA89" i="26"/>
  <c r="AE89" i="26" s="1"/>
  <c r="Q91" i="26"/>
  <c r="U91" i="26" s="1"/>
  <c r="AA91" i="26"/>
  <c r="AE91" i="26" s="1"/>
  <c r="J93" i="8"/>
  <c r="AI91" i="26" l="1"/>
  <c r="AO91" i="26" s="1"/>
  <c r="AS91" i="26" s="1"/>
  <c r="AI89" i="26"/>
  <c r="AO89" i="26" s="1"/>
  <c r="AS89" i="26" s="1"/>
  <c r="AH53" i="26"/>
  <c r="AN53" i="26" s="1"/>
  <c r="AR53" i="26" s="1"/>
  <c r="F177" i="10"/>
  <c r="G143" i="45"/>
  <c r="AW89" i="26" l="1"/>
  <c r="BE89" i="26" s="1"/>
  <c r="AW91" i="26"/>
  <c r="BE91" i="26" s="1"/>
  <c r="AV53" i="26"/>
  <c r="BD53" i="26" s="1"/>
  <c r="H54" i="26"/>
  <c r="L54" i="26" s="1"/>
  <c r="P54" i="26" l="1"/>
  <c r="T54" i="26" s="1"/>
  <c r="Z54" i="26"/>
  <c r="AD54" i="26" s="1"/>
  <c r="S25" i="83"/>
  <c r="W25" i="83" s="1"/>
  <c r="AG25" i="83"/>
  <c r="AK25" i="83" s="1"/>
  <c r="H52" i="26"/>
  <c r="L52" i="26" s="1"/>
  <c r="E114" i="26"/>
  <c r="E75" i="26"/>
  <c r="E45" i="26"/>
  <c r="AH54" i="26" l="1"/>
  <c r="AN54" i="26" s="1"/>
  <c r="AR54" i="26" s="1"/>
  <c r="P52" i="26"/>
  <c r="T52" i="26" s="1"/>
  <c r="Z52" i="26"/>
  <c r="E20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0" i="15"/>
  <c r="Q20" i="15" s="1"/>
  <c r="I20" i="15"/>
  <c r="I59" i="59"/>
  <c r="H59" i="59"/>
  <c r="I51" i="59"/>
  <c r="I50" i="59"/>
  <c r="H22" i="59"/>
  <c r="H15" i="59"/>
  <c r="AY25" i="83" l="1"/>
  <c r="BG25" i="83" s="1"/>
  <c r="U20" i="15"/>
  <c r="AA20" i="15"/>
  <c r="AE20" i="15" s="1"/>
  <c r="AI20" i="15" l="1"/>
  <c r="AO20" i="15" s="1"/>
  <c r="AS20" i="15" s="1"/>
  <c r="I59" i="73"/>
  <c r="I64" i="73"/>
  <c r="AW20" i="15" l="1"/>
  <c r="BE20" i="15" s="1"/>
  <c r="H16" i="52"/>
  <c r="G16" i="52"/>
  <c r="N12" i="52"/>
  <c r="R12" i="52" l="1"/>
  <c r="V12" i="52" s="1"/>
  <c r="AB12" i="52"/>
  <c r="AF12" i="52" s="1"/>
  <c r="AJ12" i="52" s="1"/>
  <c r="AP12" i="52" s="1"/>
  <c r="AT12" i="52" s="1"/>
  <c r="AX12" i="52" s="1"/>
  <c r="BF12" i="52" s="1"/>
  <c r="J1" i="35"/>
  <c r="I1" i="35"/>
  <c r="I196" i="73" l="1"/>
  <c r="F58" i="73"/>
  <c r="F117" i="73" s="1"/>
  <c r="H58" i="73"/>
  <c r="E58" i="73"/>
  <c r="I50" i="73"/>
  <c r="H117" i="73" l="1"/>
  <c r="M58" i="73"/>
  <c r="I58" i="73"/>
  <c r="Q58" i="73" l="1"/>
  <c r="U58" i="73" s="1"/>
  <c r="AA58" i="73"/>
  <c r="AJ185" i="28" l="1"/>
  <c r="J11" i="52"/>
  <c r="J12" i="52"/>
  <c r="J13" i="52"/>
  <c r="J14" i="52"/>
  <c r="J15" i="52"/>
  <c r="I11" i="52"/>
  <c r="I12" i="52"/>
  <c r="I13" i="52"/>
  <c r="I14" i="52"/>
  <c r="I15" i="52"/>
  <c r="AP185" i="28" l="1"/>
  <c r="AT185" i="28" l="1"/>
  <c r="J200" i="10"/>
  <c r="AX185" i="28" l="1"/>
  <c r="BF185" i="28" s="1"/>
  <c r="J30" i="8"/>
  <c r="J40" i="7" l="1"/>
  <c r="J41" i="7"/>
  <c r="J42" i="7"/>
  <c r="J43" i="7"/>
  <c r="J44" i="7"/>
  <c r="J45" i="7"/>
  <c r="J46" i="7"/>
  <c r="J48" i="7"/>
  <c r="I40" i="7"/>
  <c r="I41" i="7"/>
  <c r="I42" i="7"/>
  <c r="I43" i="7"/>
  <c r="I44" i="7"/>
  <c r="I45" i="7"/>
  <c r="I46" i="7"/>
  <c r="I48" i="7"/>
  <c r="I7" i="7"/>
  <c r="I8" i="7"/>
  <c r="I9" i="7"/>
  <c r="I10" i="7"/>
  <c r="I11" i="7"/>
  <c r="I12" i="7"/>
  <c r="I14" i="7"/>
  <c r="I15" i="7"/>
  <c r="I18" i="7"/>
  <c r="I19" i="7"/>
  <c r="J7" i="7"/>
  <c r="J8" i="7"/>
  <c r="J9" i="7"/>
  <c r="J10" i="7"/>
  <c r="J11" i="7"/>
  <c r="J12" i="7"/>
  <c r="J14" i="7"/>
  <c r="J15" i="7"/>
  <c r="J18" i="7"/>
  <c r="J19" i="7"/>
  <c r="G115" i="7"/>
  <c r="G114" i="7"/>
  <c r="J113" i="6"/>
  <c r="I113" i="6"/>
  <c r="J118" i="6"/>
  <c r="I118" i="6"/>
  <c r="I32" i="28" l="1"/>
  <c r="I31" i="28"/>
  <c r="I30" i="28"/>
  <c r="I25" i="28"/>
  <c r="I24" i="28"/>
  <c r="I23" i="28"/>
  <c r="I17" i="28"/>
  <c r="M17" i="28" s="1"/>
  <c r="Q17" i="28" s="1"/>
  <c r="U17" i="28" s="1"/>
  <c r="I18" i="28"/>
  <c r="M18" i="28" s="1"/>
  <c r="I16" i="28"/>
  <c r="I11" i="28"/>
  <c r="M11" i="28" s="1"/>
  <c r="J7" i="28"/>
  <c r="N7" i="28" s="1"/>
  <c r="R7" i="28" s="1"/>
  <c r="I10" i="28"/>
  <c r="M10" i="28" s="1"/>
  <c r="I9" i="28"/>
  <c r="M9" i="28" s="1"/>
  <c r="AB7" i="28" l="1"/>
  <c r="AF7" i="28" s="1"/>
  <c r="AJ7" i="28" s="1"/>
  <c r="AP7" i="28" s="1"/>
  <c r="AT7" i="28" s="1"/>
  <c r="V7" i="28"/>
  <c r="AJ8" i="28"/>
  <c r="AP8" i="28" s="1"/>
  <c r="AT8" i="28" s="1"/>
  <c r="AJ21" i="28"/>
  <c r="AP21" i="28" s="1"/>
  <c r="AT21" i="28" s="1"/>
  <c r="AJ14" i="28"/>
  <c r="AP14" i="28" s="1"/>
  <c r="AT14" i="28" s="1"/>
  <c r="AJ10" i="28"/>
  <c r="AP10" i="28" s="1"/>
  <c r="AT10" i="28" s="1"/>
  <c r="AJ11" i="28"/>
  <c r="AP11" i="28" s="1"/>
  <c r="AT11" i="28" s="1"/>
  <c r="AJ9" i="28"/>
  <c r="AP9" i="28" s="1"/>
  <c r="AT9" i="28" s="1"/>
  <c r="Q25" i="28"/>
  <c r="Q10" i="28"/>
  <c r="Q24" i="28"/>
  <c r="AA17" i="28"/>
  <c r="AE17" i="28" s="1"/>
  <c r="AI17" i="28" s="1"/>
  <c r="AO17" i="28" s="1"/>
  <c r="AS17" i="28" s="1"/>
  <c r="Q30" i="28"/>
  <c r="Q32" i="28"/>
  <c r="Q18" i="28"/>
  <c r="Q9" i="28"/>
  <c r="Q11" i="28"/>
  <c r="Q31" i="28"/>
  <c r="I278" i="28"/>
  <c r="M16" i="28"/>
  <c r="I392" i="28"/>
  <c r="I186" i="73"/>
  <c r="I126" i="73"/>
  <c r="I111" i="73"/>
  <c r="I95" i="73"/>
  <c r="I96" i="73"/>
  <c r="I97" i="73"/>
  <c r="I107" i="73"/>
  <c r="AX7" i="28" l="1"/>
  <c r="BF7" i="28" s="1"/>
  <c r="AX21" i="28"/>
  <c r="BF21" i="28" s="1"/>
  <c r="AX9" i="28"/>
  <c r="BF9" i="28" s="1"/>
  <c r="AX10" i="28"/>
  <c r="BF10" i="28" s="1"/>
  <c r="AX8" i="28"/>
  <c r="BF8" i="28" s="1"/>
  <c r="AW17" i="28"/>
  <c r="BE17" i="28" s="1"/>
  <c r="AX11" i="28"/>
  <c r="BF11" i="28" s="1"/>
  <c r="AX14" i="28"/>
  <c r="BF14" i="28" s="1"/>
  <c r="AJ42" i="28"/>
  <c r="AP42" i="28" s="1"/>
  <c r="AT42" i="28" s="1"/>
  <c r="AA10" i="28"/>
  <c r="AE10" i="28" s="1"/>
  <c r="AI10" i="28" s="1"/>
  <c r="AO10" i="28" s="1"/>
  <c r="AS10" i="28" s="1"/>
  <c r="U10" i="28"/>
  <c r="AA9" i="28"/>
  <c r="AE9" i="28" s="1"/>
  <c r="AI9" i="28" s="1"/>
  <c r="AO9" i="28" s="1"/>
  <c r="AS9" i="28" s="1"/>
  <c r="U9" i="28"/>
  <c r="AJ235" i="28"/>
  <c r="AP235" i="28" s="1"/>
  <c r="AT235" i="28" s="1"/>
  <c r="AJ379" i="28"/>
  <c r="AP379" i="28" s="1"/>
  <c r="AT379" i="28" s="1"/>
  <c r="AJ275" i="28"/>
  <c r="AP275" i="28" s="1"/>
  <c r="AT275" i="28" s="1"/>
  <c r="AJ219" i="28"/>
  <c r="AP219" i="28" s="1"/>
  <c r="AT219" i="28" s="1"/>
  <c r="AA31" i="28"/>
  <c r="AE31" i="28" s="1"/>
  <c r="AI31" i="28" s="1"/>
  <c r="AO31" i="28" s="1"/>
  <c r="AS31" i="28" s="1"/>
  <c r="U31" i="28"/>
  <c r="AA11" i="28"/>
  <c r="AE11" i="28" s="1"/>
  <c r="AI11" i="28" s="1"/>
  <c r="AO11" i="28" s="1"/>
  <c r="AS11" i="28" s="1"/>
  <c r="U11" i="28"/>
  <c r="AA32" i="28"/>
  <c r="AE32" i="28" s="1"/>
  <c r="AI32" i="28" s="1"/>
  <c r="AO32" i="28" s="1"/>
  <c r="AS32" i="28" s="1"/>
  <c r="U32" i="28"/>
  <c r="AA25" i="28"/>
  <c r="AE25" i="28" s="1"/>
  <c r="AI25" i="28" s="1"/>
  <c r="AO25" i="28" s="1"/>
  <c r="AS25" i="28" s="1"/>
  <c r="U25" i="28"/>
  <c r="AA24" i="28"/>
  <c r="AE24" i="28" s="1"/>
  <c r="AI24" i="28" s="1"/>
  <c r="AO24" i="28" s="1"/>
  <c r="AS24" i="28" s="1"/>
  <c r="U24" i="28"/>
  <c r="AA18" i="28"/>
  <c r="AE18" i="28" s="1"/>
  <c r="AI18" i="28" s="1"/>
  <c r="AO18" i="28" s="1"/>
  <c r="AS18" i="28" s="1"/>
  <c r="U18" i="28"/>
  <c r="AA30" i="28"/>
  <c r="AE30" i="28" s="1"/>
  <c r="AI30" i="28" s="1"/>
  <c r="AO30" i="28" s="1"/>
  <c r="AS30" i="28" s="1"/>
  <c r="U30" i="28"/>
  <c r="AJ86" i="28"/>
  <c r="AP86" i="28" s="1"/>
  <c r="AT86" i="28" s="1"/>
  <c r="Q23" i="28"/>
  <c r="U23" i="28" s="1"/>
  <c r="U392" i="28" s="1"/>
  <c r="Q16" i="28"/>
  <c r="U16" i="28" s="1"/>
  <c r="U278" i="28" s="1"/>
  <c r="AX235" i="28" l="1"/>
  <c r="BF235" i="28" s="1"/>
  <c r="AX275" i="28"/>
  <c r="BF275" i="28" s="1"/>
  <c r="AX219" i="28"/>
  <c r="BF219" i="28" s="1"/>
  <c r="AX379" i="28"/>
  <c r="BF379" i="28" s="1"/>
  <c r="AW9" i="28"/>
  <c r="BE9" i="28" s="1"/>
  <c r="AW25" i="28"/>
  <c r="BE25" i="28" s="1"/>
  <c r="AW10" i="28"/>
  <c r="BE10" i="28" s="1"/>
  <c r="AW31" i="28"/>
  <c r="BE31" i="28" s="1"/>
  <c r="AW32" i="28"/>
  <c r="BE32" i="28" s="1"/>
  <c r="AX42" i="28"/>
  <c r="BF42" i="28" s="1"/>
  <c r="AX86" i="28"/>
  <c r="BF86" i="28" s="1"/>
  <c r="AW24" i="28"/>
  <c r="BE24" i="28" s="1"/>
  <c r="AW11" i="28"/>
  <c r="BE11" i="28" s="1"/>
  <c r="AW30" i="28"/>
  <c r="BE30" i="28" s="1"/>
  <c r="AW18" i="28"/>
  <c r="BE18" i="28" s="1"/>
  <c r="AJ398" i="28"/>
  <c r="AP398" i="28" s="1"/>
  <c r="AT398" i="28" s="1"/>
  <c r="AJ65" i="28"/>
  <c r="AP65" i="28" s="1"/>
  <c r="AT65" i="28" s="1"/>
  <c r="AJ35" i="28"/>
  <c r="AP35" i="28" s="1"/>
  <c r="AT35" i="28" s="1"/>
  <c r="Q278" i="28"/>
  <c r="Q392" i="28"/>
  <c r="AX398" i="28" l="1"/>
  <c r="BF398" i="28" s="1"/>
  <c r="AX65" i="28"/>
  <c r="BF65" i="28" s="1"/>
  <c r="AX35" i="28"/>
  <c r="BF35" i="28" s="1"/>
  <c r="Y278" i="28" l="1"/>
  <c r="AA16" i="28"/>
  <c r="AA23" i="28"/>
  <c r="H95" i="50"/>
  <c r="H93" i="50" s="1"/>
  <c r="AA392" i="28" l="1"/>
  <c r="AE23" i="28"/>
  <c r="AA278" i="28"/>
  <c r="AE16" i="28"/>
  <c r="N60" i="6"/>
  <c r="N61" i="6"/>
  <c r="G9" i="50" l="1"/>
  <c r="K9" i="50" s="1"/>
  <c r="F154" i="10"/>
  <c r="F153" i="10"/>
  <c r="F197" i="10" s="1"/>
  <c r="AE278" i="28"/>
  <c r="AI16" i="28"/>
  <c r="AE392" i="28"/>
  <c r="AI23" i="28"/>
  <c r="K29" i="83"/>
  <c r="K9" i="83"/>
  <c r="K27" i="83"/>
  <c r="K24" i="83"/>
  <c r="K30" i="83"/>
  <c r="K31" i="83"/>
  <c r="G4" i="50"/>
  <c r="G4" i="83"/>
  <c r="E73" i="8"/>
  <c r="F161" i="10" l="1"/>
  <c r="O9" i="50"/>
  <c r="J153" i="10"/>
  <c r="J154" i="10"/>
  <c r="N153" i="10"/>
  <c r="N154" i="10"/>
  <c r="N201" i="10" s="1"/>
  <c r="O4" i="50"/>
  <c r="K4" i="50"/>
  <c r="F201" i="10"/>
  <c r="AI278" i="28"/>
  <c r="AO278" i="28" s="1"/>
  <c r="AO16" i="28"/>
  <c r="AS16" i="28" s="1"/>
  <c r="AW16" i="28" s="1"/>
  <c r="AW278" i="28" s="1"/>
  <c r="AI392" i="28"/>
  <c r="AO392" i="28" s="1"/>
  <c r="AO23" i="28"/>
  <c r="AS23" i="28" s="1"/>
  <c r="AW23" i="28" s="1"/>
  <c r="AW392" i="28" s="1"/>
  <c r="S24" i="83"/>
  <c r="S9" i="83"/>
  <c r="K4" i="83"/>
  <c r="G38" i="83"/>
  <c r="O4" i="83"/>
  <c r="G112" i="50"/>
  <c r="J201" i="10" l="1"/>
  <c r="O39" i="50"/>
  <c r="AC9" i="50"/>
  <c r="AG9" i="50" s="1"/>
  <c r="AK9" i="50" s="1"/>
  <c r="AQ9" i="50" s="1"/>
  <c r="AU9" i="50" s="1"/>
  <c r="AY9" i="50" s="1"/>
  <c r="BG9" i="50" s="1"/>
  <c r="S9" i="50"/>
  <c r="W9" i="50" s="1"/>
  <c r="AK27" i="50"/>
  <c r="AQ27" i="50" s="1"/>
  <c r="AU27" i="50" s="1"/>
  <c r="AY27" i="50" s="1"/>
  <c r="BG27" i="50" s="1"/>
  <c r="AK29" i="50"/>
  <c r="AQ29" i="50" s="1"/>
  <c r="AU29" i="50" s="1"/>
  <c r="AY29" i="50" s="1"/>
  <c r="BG29" i="50" s="1"/>
  <c r="AK30" i="50"/>
  <c r="AQ30" i="50" s="1"/>
  <c r="AU30" i="50" s="1"/>
  <c r="AY30" i="50" s="1"/>
  <c r="BG30" i="50" s="1"/>
  <c r="K112" i="50"/>
  <c r="O112" i="50"/>
  <c r="K39" i="50"/>
  <c r="AC4" i="50"/>
  <c r="S4" i="50"/>
  <c r="AS392" i="28"/>
  <c r="AS278" i="28"/>
  <c r="S27" i="83"/>
  <c r="W27" i="83" s="1"/>
  <c r="AG27" i="83"/>
  <c r="AK27" i="83" s="1"/>
  <c r="S31" i="83"/>
  <c r="W31" i="83" s="1"/>
  <c r="AG31" i="83"/>
  <c r="AK31" i="83" s="1"/>
  <c r="S30" i="83"/>
  <c r="W30" i="83" s="1"/>
  <c r="AG30" i="83"/>
  <c r="AK30" i="83" s="1"/>
  <c r="W9" i="83"/>
  <c r="AG9" i="83"/>
  <c r="AK9" i="83" s="1"/>
  <c r="AQ9" i="83" s="1"/>
  <c r="W24" i="83"/>
  <c r="AG24" i="83"/>
  <c r="AK24" i="83" s="1"/>
  <c r="S4" i="83"/>
  <c r="W4" i="83" s="1"/>
  <c r="AC4" i="83"/>
  <c r="AG4" i="83" s="1"/>
  <c r="AK4" i="83" s="1"/>
  <c r="AQ4" i="83" s="1"/>
  <c r="S29" i="83"/>
  <c r="W29" i="83" s="1"/>
  <c r="AG29" i="83"/>
  <c r="AK29" i="83" s="1"/>
  <c r="O38" i="83"/>
  <c r="AC38" i="83" s="1"/>
  <c r="K38" i="83"/>
  <c r="AU9" i="83" l="1"/>
  <c r="AY9" i="83" s="1"/>
  <c r="BG9" i="83" s="1"/>
  <c r="S112" i="50"/>
  <c r="W112" i="50" s="1"/>
  <c r="AC112" i="50"/>
  <c r="AG112" i="50" s="1"/>
  <c r="AK112" i="50" s="1"/>
  <c r="AQ112" i="50" s="1"/>
  <c r="AU112" i="50" s="1"/>
  <c r="AY112" i="50" s="1"/>
  <c r="BG112" i="50" s="1"/>
  <c r="AC39" i="50"/>
  <c r="S39" i="50"/>
  <c r="W4" i="50"/>
  <c r="W39" i="50" s="1"/>
  <c r="AG4" i="50"/>
  <c r="AU4" i="83"/>
  <c r="BE16" i="28"/>
  <c r="BE278" i="28" s="1"/>
  <c r="BE23" i="28"/>
  <c r="BE392" i="28" s="1"/>
  <c r="AG38" i="83"/>
  <c r="W38" i="83"/>
  <c r="S38" i="83"/>
  <c r="D47" i="28"/>
  <c r="D447" i="28" s="1"/>
  <c r="D40" i="28"/>
  <c r="D26" i="28"/>
  <c r="D19" i="28"/>
  <c r="D273" i="28" s="1"/>
  <c r="D12" i="28"/>
  <c r="D216" i="28" s="1"/>
  <c r="E392" i="28"/>
  <c r="M392" i="28" s="1"/>
  <c r="D392" i="28"/>
  <c r="E232" i="28"/>
  <c r="D232" i="28"/>
  <c r="E278" i="28"/>
  <c r="M278" i="28" s="1"/>
  <c r="D278" i="28"/>
  <c r="E54" i="28"/>
  <c r="E53" i="28"/>
  <c r="E52" i="28"/>
  <c r="D32" i="28"/>
  <c r="D54" i="28" s="1"/>
  <c r="D31" i="28"/>
  <c r="D53" i="28" s="1"/>
  <c r="D30" i="28"/>
  <c r="D52" i="28" s="1"/>
  <c r="D28" i="28"/>
  <c r="D430" i="28" l="1"/>
  <c r="D377" i="28"/>
  <c r="AY4" i="83"/>
  <c r="BG4" i="83" s="1"/>
  <c r="AQ30" i="83"/>
  <c r="AU30" i="83" s="1"/>
  <c r="AQ24" i="83"/>
  <c r="AQ29" i="83"/>
  <c r="AU29" i="83" s="1"/>
  <c r="AQ27" i="83"/>
  <c r="AU27" i="83" s="1"/>
  <c r="AQ31" i="83"/>
  <c r="AU31" i="83" s="1"/>
  <c r="AK38" i="83"/>
  <c r="AK4" i="50"/>
  <c r="AG39" i="50"/>
  <c r="V162" i="10"/>
  <c r="V163" i="10" s="1"/>
  <c r="I52" i="28"/>
  <c r="M52" i="28"/>
  <c r="Q52" i="28" s="1"/>
  <c r="I53" i="28"/>
  <c r="M53" i="28"/>
  <c r="AA53" i="28" s="1"/>
  <c r="AE53" i="28" s="1"/>
  <c r="AI53" i="28" s="1"/>
  <c r="AO53" i="28" s="1"/>
  <c r="AS53" i="28" s="1"/>
  <c r="I54" i="28"/>
  <c r="M54" i="28"/>
  <c r="AA54" i="28" s="1"/>
  <c r="AE54" i="28" s="1"/>
  <c r="AI54" i="28" s="1"/>
  <c r="AO54" i="28" s="1"/>
  <c r="AS54" i="28" s="1"/>
  <c r="I232" i="28"/>
  <c r="M232" i="28"/>
  <c r="Q232" i="28" s="1"/>
  <c r="D33" i="28"/>
  <c r="D448" i="28" s="1"/>
  <c r="D50" i="28"/>
  <c r="E65" i="73"/>
  <c r="AY27" i="83" l="1"/>
  <c r="BG27" i="83" s="1"/>
  <c r="AY30" i="83"/>
  <c r="BG30" i="83" s="1"/>
  <c r="AY29" i="83"/>
  <c r="BG29" i="83" s="1"/>
  <c r="AY31" i="83"/>
  <c r="BG31" i="83" s="1"/>
  <c r="AW54" i="28"/>
  <c r="BE54" i="28" s="1"/>
  <c r="AW53" i="28"/>
  <c r="BE53" i="28" s="1"/>
  <c r="AU24" i="83"/>
  <c r="AK39" i="50"/>
  <c r="AQ4" i="50"/>
  <c r="AQ38" i="83"/>
  <c r="AA232" i="28"/>
  <c r="AE232" i="28" s="1"/>
  <c r="AI232" i="28" s="1"/>
  <c r="AO232" i="28" s="1"/>
  <c r="AS232" i="28" s="1"/>
  <c r="U232" i="28"/>
  <c r="AA52" i="28"/>
  <c r="AE52" i="28" s="1"/>
  <c r="AI52" i="28" s="1"/>
  <c r="AO52" i="28" s="1"/>
  <c r="AS52" i="28" s="1"/>
  <c r="U52" i="28"/>
  <c r="Q54" i="28"/>
  <c r="U54" i="28" s="1"/>
  <c r="Q53" i="28"/>
  <c r="U53" i="28" s="1"/>
  <c r="I65" i="73"/>
  <c r="M65" i="73"/>
  <c r="AE107" i="73"/>
  <c r="AI107" i="73" s="1"/>
  <c r="AO107" i="73" s="1"/>
  <c r="AS107" i="73" s="1"/>
  <c r="D27" i="21"/>
  <c r="Q65" i="73" l="1"/>
  <c r="U65" i="73" s="1"/>
  <c r="AW107" i="73"/>
  <c r="BE107" i="73" s="1"/>
  <c r="AY24" i="83"/>
  <c r="BG24" i="83" s="1"/>
  <c r="BG38" i="83" s="1"/>
  <c r="AW232" i="28"/>
  <c r="BE232" i="28" s="1"/>
  <c r="AW52" i="28"/>
  <c r="BE52" i="28" s="1"/>
  <c r="AQ39" i="50"/>
  <c r="AP162" i="10" s="1"/>
  <c r="AU4" i="50"/>
  <c r="AU38" i="83"/>
  <c r="AJ162" i="10"/>
  <c r="AJ163" i="10" s="1"/>
  <c r="AA65" i="73"/>
  <c r="AY38" i="83" l="1"/>
  <c r="AU39" i="50"/>
  <c r="AY4" i="50"/>
  <c r="M29" i="15"/>
  <c r="Q29" i="15" s="1"/>
  <c r="I29" i="15"/>
  <c r="F16" i="52"/>
  <c r="E16" i="52"/>
  <c r="F376" i="28"/>
  <c r="J376" i="28" s="1"/>
  <c r="N376" i="28" s="1"/>
  <c r="F272" i="28"/>
  <c r="J272" i="28" s="1"/>
  <c r="N272" i="28" s="1"/>
  <c r="F271" i="28"/>
  <c r="J271" i="28" s="1"/>
  <c r="N271" i="28" s="1"/>
  <c r="F215" i="28"/>
  <c r="J215" i="28" s="1"/>
  <c r="N215" i="28" s="1"/>
  <c r="F214" i="28"/>
  <c r="J214" i="28" s="1"/>
  <c r="N214" i="28" s="1"/>
  <c r="F47" i="28"/>
  <c r="J47" i="28" s="1"/>
  <c r="N47" i="28" s="1"/>
  <c r="F40" i="28"/>
  <c r="J40" i="28" s="1"/>
  <c r="N40" i="28" s="1"/>
  <c r="AB214" i="28" l="1"/>
  <c r="AF214" i="28" s="1"/>
  <c r="R214" i="28"/>
  <c r="V214" i="28" s="1"/>
  <c r="AB272" i="28"/>
  <c r="AF272" i="28" s="1"/>
  <c r="R272" i="28"/>
  <c r="V272" i="28" s="1"/>
  <c r="AB271" i="28"/>
  <c r="AF271" i="28" s="1"/>
  <c r="R271" i="28"/>
  <c r="V271" i="28" s="1"/>
  <c r="AB40" i="28"/>
  <c r="AF40" i="28" s="1"/>
  <c r="R40" i="28"/>
  <c r="V40" i="28" s="1"/>
  <c r="AB215" i="28"/>
  <c r="AF215" i="28" s="1"/>
  <c r="R215" i="28"/>
  <c r="V215" i="28" s="1"/>
  <c r="AB376" i="28"/>
  <c r="AF376" i="28" s="1"/>
  <c r="R376" i="28"/>
  <c r="V376" i="28" s="1"/>
  <c r="AB47" i="28"/>
  <c r="AF47" i="28" s="1"/>
  <c r="R47" i="28"/>
  <c r="V47" i="28" s="1"/>
  <c r="AY39" i="50"/>
  <c r="BG4" i="50"/>
  <c r="BG39" i="50" s="1"/>
  <c r="BF162" i="10" s="1"/>
  <c r="U29" i="15"/>
  <c r="AA29" i="15"/>
  <c r="AE29" i="15" s="1"/>
  <c r="F33" i="28"/>
  <c r="J33" i="28" s="1"/>
  <c r="N33" i="28" s="1"/>
  <c r="F31" i="28"/>
  <c r="F30" i="28"/>
  <c r="F29" i="28"/>
  <c r="J29" i="28" s="1"/>
  <c r="N29" i="28" s="1"/>
  <c r="F28" i="28"/>
  <c r="J28" i="28" s="1"/>
  <c r="N28" i="28" s="1"/>
  <c r="G41" i="50"/>
  <c r="G42" i="50"/>
  <c r="G44" i="50"/>
  <c r="G45" i="50"/>
  <c r="G46" i="50"/>
  <c r="G40" i="50"/>
  <c r="AB29" i="28" l="1"/>
  <c r="AF29" i="28" s="1"/>
  <c r="R29" i="28"/>
  <c r="V29" i="28" s="1"/>
  <c r="AB28" i="28"/>
  <c r="AF28" i="28" s="1"/>
  <c r="R28" i="28"/>
  <c r="V28" i="28" s="1"/>
  <c r="J30" i="28"/>
  <c r="N30" i="28" s="1"/>
  <c r="R33" i="28"/>
  <c r="V33" i="28" s="1"/>
  <c r="AB33" i="28"/>
  <c r="AF33" i="28" s="1"/>
  <c r="J31" i="28"/>
  <c r="N31" i="28" s="1"/>
  <c r="AI29" i="15"/>
  <c r="AO29" i="15" s="1"/>
  <c r="AS29" i="15" s="1"/>
  <c r="O41" i="50"/>
  <c r="K41" i="50"/>
  <c r="O42" i="50"/>
  <c r="K42" i="50"/>
  <c r="O40" i="50"/>
  <c r="K40" i="50"/>
  <c r="O46" i="50"/>
  <c r="K46" i="50"/>
  <c r="K45" i="50"/>
  <c r="O45" i="50"/>
  <c r="K44" i="50"/>
  <c r="O44" i="50"/>
  <c r="AJ214" i="28"/>
  <c r="AP214" i="28" s="1"/>
  <c r="AT214" i="28" s="1"/>
  <c r="AJ215" i="28"/>
  <c r="AP215" i="28" s="1"/>
  <c r="AT215" i="28" s="1"/>
  <c r="F53" i="28"/>
  <c r="J53" i="28" s="1"/>
  <c r="N53" i="28" s="1"/>
  <c r="F50" i="28"/>
  <c r="J50" i="28" s="1"/>
  <c r="F54" i="28"/>
  <c r="J54" i="28" s="1"/>
  <c r="N54" i="28" s="1"/>
  <c r="F51" i="28"/>
  <c r="J51" i="28" s="1"/>
  <c r="N51" i="28" s="1"/>
  <c r="F52" i="28"/>
  <c r="J52" i="28" s="1"/>
  <c r="N52" i="28" s="1"/>
  <c r="E28" i="27"/>
  <c r="R54" i="28" l="1"/>
  <c r="V54" i="28" s="1"/>
  <c r="AB54" i="28"/>
  <c r="AF54" i="28" s="1"/>
  <c r="AJ54" i="28" s="1"/>
  <c r="AP54" i="28" s="1"/>
  <c r="AT54" i="28" s="1"/>
  <c r="AB30" i="28"/>
  <c r="AF30" i="28" s="1"/>
  <c r="AJ30" i="28" s="1"/>
  <c r="AP30" i="28" s="1"/>
  <c r="AT30" i="28" s="1"/>
  <c r="AX30" i="28" s="1"/>
  <c r="BF30" i="28" s="1"/>
  <c r="R30" i="28"/>
  <c r="V30" i="28" s="1"/>
  <c r="AB31" i="28"/>
  <c r="AF31" i="28" s="1"/>
  <c r="AJ31" i="28" s="1"/>
  <c r="AP31" i="28" s="1"/>
  <c r="AT31" i="28" s="1"/>
  <c r="AX31" i="28" s="1"/>
  <c r="BF31" i="28" s="1"/>
  <c r="R31" i="28"/>
  <c r="V31" i="28" s="1"/>
  <c r="AB51" i="28"/>
  <c r="AF51" i="28" s="1"/>
  <c r="AJ51" i="28" s="1"/>
  <c r="AP51" i="28" s="1"/>
  <c r="AT51" i="28" s="1"/>
  <c r="R51" i="28"/>
  <c r="V51" i="28" s="1"/>
  <c r="N50" i="28"/>
  <c r="AB52" i="28"/>
  <c r="AF52" i="28" s="1"/>
  <c r="AJ52" i="28" s="1"/>
  <c r="AP52" i="28" s="1"/>
  <c r="AT52" i="28" s="1"/>
  <c r="R52" i="28"/>
  <c r="V52" i="28" s="1"/>
  <c r="AB53" i="28"/>
  <c r="AF53" i="28" s="1"/>
  <c r="AJ53" i="28" s="1"/>
  <c r="AP53" i="28" s="1"/>
  <c r="AT53" i="28" s="1"/>
  <c r="R53" i="28"/>
  <c r="V53" i="28" s="1"/>
  <c r="AW29" i="15"/>
  <c r="BE29" i="15" s="1"/>
  <c r="AX214" i="28"/>
  <c r="BF214" i="28" s="1"/>
  <c r="AX215" i="28"/>
  <c r="BF215" i="28" s="1"/>
  <c r="AC45" i="50"/>
  <c r="AG45" i="50" s="1"/>
  <c r="AK45" i="50" s="1"/>
  <c r="AQ45" i="50" s="1"/>
  <c r="AU45" i="50" s="1"/>
  <c r="AY45" i="50" s="1"/>
  <c r="BG45" i="50" s="1"/>
  <c r="S45" i="50"/>
  <c r="W45" i="50" s="1"/>
  <c r="K47" i="50"/>
  <c r="K92" i="50" s="1"/>
  <c r="S44" i="50"/>
  <c r="W44" i="50" s="1"/>
  <c r="AC44" i="50"/>
  <c r="AG44" i="50" s="1"/>
  <c r="AK44" i="50" s="1"/>
  <c r="AQ44" i="50" s="1"/>
  <c r="AU44" i="50" s="1"/>
  <c r="AY44" i="50" s="1"/>
  <c r="BG44" i="50" s="1"/>
  <c r="AC46" i="50"/>
  <c r="AG46" i="50" s="1"/>
  <c r="AK46" i="50" s="1"/>
  <c r="AQ46" i="50" s="1"/>
  <c r="AU46" i="50" s="1"/>
  <c r="AY46" i="50" s="1"/>
  <c r="BG46" i="50" s="1"/>
  <c r="S46" i="50"/>
  <c r="W46" i="50" s="1"/>
  <c r="AC40" i="50"/>
  <c r="O47" i="50"/>
  <c r="O92" i="50" s="1"/>
  <c r="S40" i="50"/>
  <c r="S42" i="50"/>
  <c r="W42" i="50" s="1"/>
  <c r="AC42" i="50"/>
  <c r="AG42" i="50" s="1"/>
  <c r="AK42" i="50" s="1"/>
  <c r="AQ42" i="50" s="1"/>
  <c r="AU42" i="50" s="1"/>
  <c r="AY42" i="50" s="1"/>
  <c r="BG42" i="50" s="1"/>
  <c r="AC41" i="50"/>
  <c r="AG41" i="50" s="1"/>
  <c r="AK41" i="50" s="1"/>
  <c r="AQ41" i="50" s="1"/>
  <c r="AU41" i="50" s="1"/>
  <c r="AY41" i="50" s="1"/>
  <c r="BG41" i="50" s="1"/>
  <c r="S41" i="50"/>
  <c r="W41" i="50" s="1"/>
  <c r="AJ272" i="28"/>
  <c r="AP272" i="28" s="1"/>
  <c r="AT272" i="28" s="1"/>
  <c r="AJ40" i="28"/>
  <c r="AJ480" i="28" s="1"/>
  <c r="AJ47" i="28"/>
  <c r="AP47" i="28" s="1"/>
  <c r="AT47" i="28" s="1"/>
  <c r="AJ33" i="28"/>
  <c r="AP33" i="28" s="1"/>
  <c r="AT33" i="28" s="1"/>
  <c r="AJ376" i="28"/>
  <c r="AP376" i="28" s="1"/>
  <c r="AT376" i="28" s="1"/>
  <c r="AJ29" i="28"/>
  <c r="AP29" i="28" s="1"/>
  <c r="AT29" i="28" s="1"/>
  <c r="AB50" i="28" l="1"/>
  <c r="R50" i="28"/>
  <c r="AX376" i="28"/>
  <c r="BF376" i="28" s="1"/>
  <c r="AX272" i="28"/>
  <c r="BF272" i="28" s="1"/>
  <c r="AX51" i="28"/>
  <c r="BF51" i="28" s="1"/>
  <c r="AX47" i="28"/>
  <c r="BF47" i="28" s="1"/>
  <c r="AX52" i="28"/>
  <c r="BF52" i="28" s="1"/>
  <c r="AX33" i="28"/>
  <c r="BF33" i="28" s="1"/>
  <c r="AX54" i="28"/>
  <c r="BF54" i="28" s="1"/>
  <c r="AX29" i="28"/>
  <c r="BF29" i="28" s="1"/>
  <c r="AX53" i="28"/>
  <c r="BF53" i="28" s="1"/>
  <c r="AC47" i="50"/>
  <c r="AC92" i="50" s="1"/>
  <c r="AG40" i="50"/>
  <c r="W40" i="50"/>
  <c r="W47" i="50" s="1"/>
  <c r="W92" i="50" s="1"/>
  <c r="S47" i="50"/>
  <c r="S92" i="50" s="1"/>
  <c r="AP40" i="28"/>
  <c r="AP480" i="28" s="1"/>
  <c r="AJ271" i="28"/>
  <c r="AP271" i="28" s="1"/>
  <c r="AT271" i="28" s="1"/>
  <c r="AJ28" i="28"/>
  <c r="AP28" i="28" s="1"/>
  <c r="AT28" i="28" s="1"/>
  <c r="F28" i="22"/>
  <c r="F24" i="22"/>
  <c r="F23" i="22"/>
  <c r="F14" i="22"/>
  <c r="F10" i="22"/>
  <c r="F9" i="22"/>
  <c r="D39" i="27"/>
  <c r="E36" i="27"/>
  <c r="E39" i="27" s="1"/>
  <c r="D33" i="27"/>
  <c r="E26" i="27"/>
  <c r="E33" i="27" s="1"/>
  <c r="D24" i="27"/>
  <c r="E24" i="27"/>
  <c r="G120" i="50"/>
  <c r="G39" i="50"/>
  <c r="G4" i="61"/>
  <c r="AF50" i="28" l="1"/>
  <c r="V50" i="28"/>
  <c r="AX271" i="28"/>
  <c r="BF271" i="28" s="1"/>
  <c r="AX28" i="28"/>
  <c r="BF28" i="28" s="1"/>
  <c r="AT40" i="28"/>
  <c r="AX40" i="28" s="1"/>
  <c r="O120" i="50"/>
  <c r="K120" i="50"/>
  <c r="AG47" i="50"/>
  <c r="AG92" i="50" s="1"/>
  <c r="AK40" i="50"/>
  <c r="G106" i="50"/>
  <c r="AB162" i="10"/>
  <c r="F26" i="22"/>
  <c r="N24" i="22"/>
  <c r="N10" i="22"/>
  <c r="N15" i="22" s="1"/>
  <c r="G134" i="50"/>
  <c r="F12" i="22"/>
  <c r="J15" i="22"/>
  <c r="D130" i="26"/>
  <c r="E94" i="26"/>
  <c r="E83" i="26"/>
  <c r="E82" i="26"/>
  <c r="E50" i="26"/>
  <c r="E56" i="26" s="1"/>
  <c r="D50" i="26"/>
  <c r="D17" i="26"/>
  <c r="D15" i="26"/>
  <c r="E12" i="26"/>
  <c r="E18" i="26" s="1"/>
  <c r="D11" i="26"/>
  <c r="D9" i="26"/>
  <c r="E24" i="15"/>
  <c r="E23" i="15"/>
  <c r="E22" i="15"/>
  <c r="E21" i="15"/>
  <c r="D18" i="15"/>
  <c r="E17" i="15"/>
  <c r="E14" i="15"/>
  <c r="D11" i="15"/>
  <c r="D12" i="15" s="1"/>
  <c r="E10" i="15"/>
  <c r="E9" i="15"/>
  <c r="D9" i="15"/>
  <c r="E8" i="15"/>
  <c r="D8" i="15"/>
  <c r="E7" i="15"/>
  <c r="E6" i="15"/>
  <c r="E5" i="15"/>
  <c r="AJ50" i="28" l="1"/>
  <c r="AT480" i="28"/>
  <c r="AK47" i="50"/>
  <c r="AK92" i="50" s="1"/>
  <c r="AQ40" i="50"/>
  <c r="O134" i="50"/>
  <c r="K134" i="50"/>
  <c r="O106" i="50"/>
  <c r="K106" i="50"/>
  <c r="S120" i="50"/>
  <c r="W120" i="50" s="1"/>
  <c r="AC120" i="50"/>
  <c r="AG120" i="50" s="1"/>
  <c r="AK120" i="50" s="1"/>
  <c r="AQ120" i="50" s="1"/>
  <c r="AU120" i="50" s="1"/>
  <c r="AY120" i="50" s="1"/>
  <c r="BG120" i="50" s="1"/>
  <c r="M30" i="15"/>
  <c r="Q30" i="15" s="1"/>
  <c r="I30" i="15"/>
  <c r="M24" i="15"/>
  <c r="Q24" i="15" s="1"/>
  <c r="I24" i="15"/>
  <c r="I23" i="15"/>
  <c r="M23" i="15"/>
  <c r="Q23" i="15" s="1"/>
  <c r="I22" i="15"/>
  <c r="M22" i="15"/>
  <c r="Q22" i="15" s="1"/>
  <c r="E31" i="15"/>
  <c r="E35" i="15" s="1"/>
  <c r="M21" i="15"/>
  <c r="Q21" i="15" s="1"/>
  <c r="I21" i="15"/>
  <c r="M28" i="15"/>
  <c r="Q28" i="15" s="1"/>
  <c r="I28" i="15"/>
  <c r="AX480" i="28"/>
  <c r="BF40" i="28"/>
  <c r="BF480" i="28" s="1"/>
  <c r="G136" i="50"/>
  <c r="G135" i="50"/>
  <c r="D12" i="26"/>
  <c r="D18" i="26" s="1"/>
  <c r="D114" i="26"/>
  <c r="D75" i="26"/>
  <c r="D45" i="26"/>
  <c r="D83" i="26"/>
  <c r="D82" i="26"/>
  <c r="D56" i="26"/>
  <c r="E51" i="26"/>
  <c r="E57" i="26"/>
  <c r="D57" i="26"/>
  <c r="D51" i="26"/>
  <c r="E13" i="26"/>
  <c r="E19" i="26"/>
  <c r="AP50" i="28" l="1"/>
  <c r="E15" i="15"/>
  <c r="E16" i="15" s="1"/>
  <c r="AQ47" i="50"/>
  <c r="AQ92" i="50" s="1"/>
  <c r="AU40" i="50"/>
  <c r="AC134" i="50"/>
  <c r="AG134" i="50" s="1"/>
  <c r="AK134" i="50" s="1"/>
  <c r="AQ134" i="50" s="1"/>
  <c r="S134" i="50"/>
  <c r="W134" i="50" s="1"/>
  <c r="AC106" i="50"/>
  <c r="AG106" i="50" s="1"/>
  <c r="AK106" i="50" s="1"/>
  <c r="AQ106" i="50" s="1"/>
  <c r="AU106" i="50" s="1"/>
  <c r="AY106" i="50" s="1"/>
  <c r="BG106" i="50" s="1"/>
  <c r="S106" i="50"/>
  <c r="W106" i="50" s="1"/>
  <c r="O136" i="50"/>
  <c r="K136" i="50"/>
  <c r="G142" i="50"/>
  <c r="U30" i="15"/>
  <c r="AA30" i="15"/>
  <c r="AE30" i="15" s="1"/>
  <c r="U24" i="15"/>
  <c r="AA24" i="15"/>
  <c r="AE24" i="15" s="1"/>
  <c r="U23" i="15"/>
  <c r="AA23" i="15"/>
  <c r="AE23" i="15" s="1"/>
  <c r="U22" i="15"/>
  <c r="AA22" i="15"/>
  <c r="AE22" i="15" s="1"/>
  <c r="U21" i="15"/>
  <c r="AA21" i="15"/>
  <c r="AE21" i="15" s="1"/>
  <c r="I31" i="15"/>
  <c r="I35" i="15" s="1"/>
  <c r="M31" i="15"/>
  <c r="Q31" i="15" s="1"/>
  <c r="Q35" i="15" s="1"/>
  <c r="AA28" i="15"/>
  <c r="D19" i="26"/>
  <c r="D13" i="26"/>
  <c r="F140" i="6"/>
  <c r="F132" i="6"/>
  <c r="F131" i="6"/>
  <c r="N131" i="6" s="1"/>
  <c r="F129" i="6"/>
  <c r="F128" i="6"/>
  <c r="F136" i="6"/>
  <c r="J136" i="6" s="1"/>
  <c r="AT50" i="28" l="1"/>
  <c r="AX50" i="28" s="1"/>
  <c r="BF50" i="28" s="1"/>
  <c r="R131" i="6"/>
  <c r="V131" i="6" s="1"/>
  <c r="AB131" i="6"/>
  <c r="AF131" i="6" s="1"/>
  <c r="AJ131" i="6" s="1"/>
  <c r="AP131" i="6" s="1"/>
  <c r="AT131" i="6" s="1"/>
  <c r="AX131" i="6" s="1"/>
  <c r="BF131" i="6" s="1"/>
  <c r="AI30" i="15"/>
  <c r="AO30" i="15" s="1"/>
  <c r="AS30" i="15" s="1"/>
  <c r="AU47" i="50"/>
  <c r="AU92" i="50" s="1"/>
  <c r="AY40" i="50"/>
  <c r="AQ135" i="50"/>
  <c r="AU134" i="50"/>
  <c r="AI24" i="15"/>
  <c r="AO24" i="15" s="1"/>
  <c r="AS24" i="15" s="1"/>
  <c r="S136" i="50"/>
  <c r="W136" i="50" s="1"/>
  <c r="AC136" i="50"/>
  <c r="AG136" i="50" s="1"/>
  <c r="AK136" i="50" s="1"/>
  <c r="AQ136" i="50" s="1"/>
  <c r="AU136" i="50" s="1"/>
  <c r="AY136" i="50" s="1"/>
  <c r="BG136" i="50" s="1"/>
  <c r="K142" i="50"/>
  <c r="O142" i="50"/>
  <c r="AI21" i="15"/>
  <c r="AO21" i="15" s="1"/>
  <c r="AS21" i="15" s="1"/>
  <c r="AW21" i="15" s="1"/>
  <c r="AI22" i="15"/>
  <c r="AO22" i="15" s="1"/>
  <c r="AS22" i="15" s="1"/>
  <c r="AI23" i="15"/>
  <c r="AO23" i="15" s="1"/>
  <c r="AS23" i="15" s="1"/>
  <c r="U31" i="15"/>
  <c r="AA31" i="15"/>
  <c r="AE31" i="15" s="1"/>
  <c r="M35" i="15"/>
  <c r="AE28" i="15"/>
  <c r="AI28" i="15" s="1"/>
  <c r="U28" i="15"/>
  <c r="J129" i="6"/>
  <c r="N129" i="6"/>
  <c r="AB129" i="6" s="1"/>
  <c r="AF129" i="6" s="1"/>
  <c r="M10" i="17"/>
  <c r="AA10" i="17" s="1"/>
  <c r="AE10" i="17" s="1"/>
  <c r="AI10" i="17" s="1"/>
  <c r="AW24" i="15" l="1"/>
  <c r="BE24" i="15" s="1"/>
  <c r="AW22" i="15"/>
  <c r="BE22" i="15" s="1"/>
  <c r="AW23" i="15"/>
  <c r="BE23" i="15" s="1"/>
  <c r="AW30" i="15"/>
  <c r="AY47" i="50"/>
  <c r="AY92" i="50" s="1"/>
  <c r="BG40" i="50"/>
  <c r="BG47" i="50" s="1"/>
  <c r="BG92" i="50" s="1"/>
  <c r="AU135" i="50"/>
  <c r="AY134" i="50"/>
  <c r="BE21" i="15"/>
  <c r="S142" i="50"/>
  <c r="W142" i="50" s="1"/>
  <c r="AC142" i="50"/>
  <c r="AG142" i="50" s="1"/>
  <c r="AK142" i="50" s="1"/>
  <c r="AQ142" i="50" s="1"/>
  <c r="AI31" i="15"/>
  <c r="AJ129" i="6"/>
  <c r="AO10" i="17"/>
  <c r="R129" i="6"/>
  <c r="V129" i="6" s="1"/>
  <c r="E108" i="73"/>
  <c r="M108" i="73" s="1"/>
  <c r="Q108" i="73" s="1"/>
  <c r="U108" i="73" s="1"/>
  <c r="AU142" i="50" l="1"/>
  <c r="AY142" i="50" s="1"/>
  <c r="BG142" i="50" s="1"/>
  <c r="BE142" i="50"/>
  <c r="BE30" i="15"/>
  <c r="AY135" i="50"/>
  <c r="BG134" i="50"/>
  <c r="BG135" i="50" s="1"/>
  <c r="AS10" i="17"/>
  <c r="AW10" i="17" s="1"/>
  <c r="AO31" i="15"/>
  <c r="AO28" i="15"/>
  <c r="AP129" i="6"/>
  <c r="G119" i="50"/>
  <c r="AS31" i="15" l="1"/>
  <c r="BE10" i="17"/>
  <c r="O119" i="50"/>
  <c r="K119" i="50"/>
  <c r="AS28" i="15"/>
  <c r="AW28" i="15" s="1"/>
  <c r="AT129" i="6"/>
  <c r="AX129" i="6" s="1"/>
  <c r="BF129" i="6" s="1"/>
  <c r="G121" i="50"/>
  <c r="AW31" i="15" l="1"/>
  <c r="S119" i="50"/>
  <c r="W119" i="50" s="1"/>
  <c r="AC119" i="50"/>
  <c r="AG119" i="50" s="1"/>
  <c r="AK119" i="50" s="1"/>
  <c r="BE31" i="15" l="1"/>
  <c r="AK121" i="50"/>
  <c r="AQ119" i="50"/>
  <c r="BE28" i="15"/>
  <c r="G100" i="50"/>
  <c r="N95" i="9"/>
  <c r="AQ121" i="50" l="1"/>
  <c r="AU119" i="50"/>
  <c r="K100" i="50"/>
  <c r="F111" i="8"/>
  <c r="F94" i="8"/>
  <c r="F91" i="8"/>
  <c r="N91" i="8" s="1"/>
  <c r="F89" i="8"/>
  <c r="F69" i="8"/>
  <c r="F65" i="8"/>
  <c r="F61" i="8"/>
  <c r="F49" i="8"/>
  <c r="F26" i="8"/>
  <c r="F17" i="8"/>
  <c r="N15" i="8"/>
  <c r="N14" i="8"/>
  <c r="F13" i="8"/>
  <c r="F6" i="8"/>
  <c r="D30" i="8"/>
  <c r="AU121" i="50" l="1"/>
  <c r="AY119" i="50"/>
  <c r="F44" i="8"/>
  <c r="I48" i="59" s="1"/>
  <c r="F62" i="8"/>
  <c r="R66" i="8"/>
  <c r="V66" i="8" s="1"/>
  <c r="D67" i="8"/>
  <c r="D37" i="8" s="1"/>
  <c r="F67" i="8"/>
  <c r="J66" i="8"/>
  <c r="J56" i="8" s="1"/>
  <c r="F16" i="8"/>
  <c r="F82" i="8"/>
  <c r="F92" i="8"/>
  <c r="F39" i="8"/>
  <c r="F45" i="8"/>
  <c r="F72" i="8"/>
  <c r="F34" i="8"/>
  <c r="N34" i="8" s="1"/>
  <c r="F74" i="8"/>
  <c r="F36" i="8"/>
  <c r="N36" i="8" s="1"/>
  <c r="F40" i="8"/>
  <c r="F46" i="8"/>
  <c r="I47" i="59" s="1"/>
  <c r="F86" i="8"/>
  <c r="F41" i="8"/>
  <c r="F47" i="8"/>
  <c r="F59" i="8"/>
  <c r="F110" i="8"/>
  <c r="F43" i="8"/>
  <c r="I46" i="59" s="1"/>
  <c r="F50" i="8"/>
  <c r="E128" i="6"/>
  <c r="E129" i="6"/>
  <c r="E131" i="6"/>
  <c r="E132" i="6"/>
  <c r="D128" i="6"/>
  <c r="D129" i="6"/>
  <c r="D131" i="6"/>
  <c r="D132" i="6"/>
  <c r="E135" i="6"/>
  <c r="E136" i="6"/>
  <c r="I136" i="6" s="1"/>
  <c r="D135" i="6"/>
  <c r="D136" i="6"/>
  <c r="D137" i="6"/>
  <c r="I131" i="6" l="1"/>
  <c r="M131" i="6"/>
  <c r="F78" i="8"/>
  <c r="E2" i="17"/>
  <c r="E2" i="26"/>
  <c r="AY121" i="50"/>
  <c r="BG119" i="50"/>
  <c r="BG121" i="50" s="1"/>
  <c r="I49" i="59"/>
  <c r="F37" i="8"/>
  <c r="N37" i="8" s="1"/>
  <c r="AB37" i="8" s="1"/>
  <c r="AF37" i="8" s="1"/>
  <c r="N56" i="8"/>
  <c r="N67" i="8" s="1"/>
  <c r="F73" i="8"/>
  <c r="I129" i="6"/>
  <c r="M129" i="6"/>
  <c r="J67" i="8"/>
  <c r="J73" i="8" s="1"/>
  <c r="F42" i="8"/>
  <c r="F52" i="8"/>
  <c r="I42" i="59" s="1"/>
  <c r="F112" i="8"/>
  <c r="F53" i="8" s="1"/>
  <c r="I43" i="59" s="1"/>
  <c r="F63" i="8"/>
  <c r="F71" i="8" s="1"/>
  <c r="AA131" i="6" l="1"/>
  <c r="AE131" i="6" s="1"/>
  <c r="AI131" i="6" s="1"/>
  <c r="AO131" i="6" s="1"/>
  <c r="AS131" i="6" s="1"/>
  <c r="AW131" i="6" s="1"/>
  <c r="BE131" i="6" s="1"/>
  <c r="Q131" i="6"/>
  <c r="U131" i="6" s="1"/>
  <c r="AJ37" i="8"/>
  <c r="AP37" i="8" s="1"/>
  <c r="AT37" i="8" s="1"/>
  <c r="I44" i="59"/>
  <c r="Q129" i="6"/>
  <c r="U129" i="6" s="1"/>
  <c r="R56" i="8"/>
  <c r="V56" i="8" s="1"/>
  <c r="R37" i="8"/>
  <c r="V37" i="8" s="1"/>
  <c r="J37" i="8"/>
  <c r="R67" i="8"/>
  <c r="V67" i="8" s="1"/>
  <c r="V73" i="8" s="1"/>
  <c r="N73" i="8"/>
  <c r="F35" i="8"/>
  <c r="N35" i="8" s="1"/>
  <c r="F70" i="8"/>
  <c r="D13" i="36"/>
  <c r="G40" i="59" s="1"/>
  <c r="AX37" i="8" l="1"/>
  <c r="BF37" i="8" s="1"/>
  <c r="R73" i="8"/>
  <c r="E21" i="28"/>
  <c r="E14" i="28"/>
  <c r="I14" i="28" s="1"/>
  <c r="M14" i="28" s="1"/>
  <c r="E7" i="28"/>
  <c r="I21" i="28" l="1"/>
  <c r="M21" i="28"/>
  <c r="Q21" i="28" s="1"/>
  <c r="Q14" i="28"/>
  <c r="I7" i="28"/>
  <c r="D17" i="15"/>
  <c r="D14" i="15" s="1"/>
  <c r="D15" i="15" s="1"/>
  <c r="AA21" i="28" l="1"/>
  <c r="AE21" i="28" s="1"/>
  <c r="AI21" i="28" s="1"/>
  <c r="AO21" i="28" s="1"/>
  <c r="AS21" i="28" s="1"/>
  <c r="U21" i="28"/>
  <c r="AA14" i="28"/>
  <c r="AE14" i="28" s="1"/>
  <c r="AI14" i="28" s="1"/>
  <c r="AO14" i="28" s="1"/>
  <c r="AS14" i="28" s="1"/>
  <c r="U14" i="28"/>
  <c r="AW14" i="28" l="1"/>
  <c r="BE14" i="28" s="1"/>
  <c r="AW21" i="28"/>
  <c r="BE21" i="28" s="1"/>
  <c r="H10" i="15"/>
  <c r="I10" i="15" l="1"/>
  <c r="V108" i="73" l="1"/>
  <c r="V117" i="73" s="1"/>
  <c r="T108" i="73"/>
  <c r="T117" i="73" s="1"/>
  <c r="Y108" i="73"/>
  <c r="AA108" i="73" s="1"/>
  <c r="Z87" i="26" l="1"/>
  <c r="AA87" i="26"/>
  <c r="AE87" i="26" s="1"/>
  <c r="Z89" i="26"/>
  <c r="Z91" i="26"/>
  <c r="AI87" i="26" l="1"/>
  <c r="AO87" i="26" s="1"/>
  <c r="AS87" i="26" s="1"/>
  <c r="M136" i="6"/>
  <c r="N136" i="6"/>
  <c r="AB136" i="6" s="1"/>
  <c r="AF136" i="6" s="1"/>
  <c r="M118" i="6"/>
  <c r="Q118" i="6" s="1"/>
  <c r="U118" i="6" s="1"/>
  <c r="N118" i="6"/>
  <c r="Y118" i="6"/>
  <c r="Z118" i="6"/>
  <c r="AW87" i="26" l="1"/>
  <c r="BE87" i="26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BF118" i="6" s="1"/>
  <c r="AW118" i="6"/>
  <c r="BE118" i="6" s="1"/>
  <c r="AO136" i="6"/>
  <c r="AP136" i="6"/>
  <c r="AT136" i="6" l="1"/>
  <c r="AX136" i="6" s="1"/>
  <c r="BF136" i="6" s="1"/>
  <c r="AS136" i="6"/>
  <c r="AW136" i="6" s="1"/>
  <c r="BE136" i="6" s="1"/>
  <c r="E41" i="8" l="1"/>
  <c r="BC51" i="36" l="1"/>
  <c r="BC49" i="36"/>
  <c r="BC48" i="36"/>
  <c r="BC29" i="36"/>
  <c r="BC28" i="36"/>
  <c r="BC27" i="36"/>
  <c r="BC23" i="36"/>
  <c r="BC22" i="36"/>
  <c r="BF68" i="59" s="1"/>
  <c r="BC21" i="36"/>
  <c r="BC16" i="36"/>
  <c r="BF54" i="59" s="1"/>
  <c r="BC9" i="36"/>
  <c r="BF10" i="59" s="1"/>
  <c r="BC8" i="36"/>
  <c r="BF9" i="59" s="1"/>
  <c r="BC7" i="36"/>
  <c r="BF8" i="59" s="1"/>
  <c r="BC5" i="36"/>
  <c r="BA51" i="36"/>
  <c r="BA49" i="36"/>
  <c r="BA48" i="36"/>
  <c r="BB46" i="36"/>
  <c r="BB54" i="36" s="1"/>
  <c r="BB43" i="36"/>
  <c r="BB41" i="36"/>
  <c r="BB49" i="36" s="1"/>
  <c r="BA41" i="36"/>
  <c r="BB40" i="36"/>
  <c r="BB48" i="36" s="1"/>
  <c r="BB39" i="36"/>
  <c r="BB17" i="36" s="1"/>
  <c r="BE55" i="59" s="1"/>
  <c r="BB38" i="36"/>
  <c r="BB16" i="36" s="1"/>
  <c r="BE54" i="59" s="1"/>
  <c r="BA38" i="36"/>
  <c r="BB31" i="36"/>
  <c r="BA31" i="36"/>
  <c r="BA29" i="36"/>
  <c r="BA28" i="36"/>
  <c r="BA27" i="36"/>
  <c r="BA23" i="36"/>
  <c r="BA22" i="36"/>
  <c r="BD68" i="59" s="1"/>
  <c r="BA21" i="36"/>
  <c r="BA16" i="36"/>
  <c r="BD54" i="59" s="1"/>
  <c r="BA9" i="36"/>
  <c r="BD10" i="59" s="1"/>
  <c r="BA8" i="36"/>
  <c r="BD9" i="59" s="1"/>
  <c r="BA7" i="36"/>
  <c r="BD8" i="59" s="1"/>
  <c r="BA5" i="36"/>
  <c r="BD79" i="59" l="1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45" i="36"/>
  <c r="BB51" i="36"/>
  <c r="BB53" i="36" s="1"/>
  <c r="BA50" i="36"/>
  <c r="BC50" i="36"/>
  <c r="BB42" i="36"/>
  <c r="BC20" i="49" l="1"/>
  <c r="BC15" i="36" s="1"/>
  <c r="BF53" i="59" s="1"/>
  <c r="BB18" i="36"/>
  <c r="BE56" i="59" s="1"/>
  <c r="BB50" i="36"/>
  <c r="BB19" i="36" s="1"/>
  <c r="BE57" i="59" s="1"/>
  <c r="Q100" i="50" l="1"/>
  <c r="W100" i="50" l="1"/>
  <c r="W101" i="50" s="1"/>
  <c r="I191" i="73" l="1"/>
  <c r="I192" i="73"/>
  <c r="I195" i="73"/>
  <c r="I178" i="73"/>
  <c r="I180" i="73"/>
  <c r="I181" i="73"/>
  <c r="I183" i="73"/>
  <c r="I187" i="73"/>
  <c r="I122" i="73"/>
  <c r="I123" i="73"/>
  <c r="I124" i="73"/>
  <c r="I127" i="73"/>
  <c r="I125" i="73" s="1"/>
  <c r="I130" i="73"/>
  <c r="I129" i="73" s="1"/>
  <c r="I134" i="73"/>
  <c r="I133" i="73" s="1"/>
  <c r="I135" i="73"/>
  <c r="I24" i="73"/>
  <c r="I25" i="73"/>
  <c r="I26" i="73"/>
  <c r="I28" i="73"/>
  <c r="I29" i="73"/>
  <c r="I31" i="73"/>
  <c r="I32" i="73"/>
  <c r="I33" i="73"/>
  <c r="I35" i="73"/>
  <c r="I36" i="73"/>
  <c r="I49" i="73"/>
  <c r="I51" i="73"/>
  <c r="I52" i="73"/>
  <c r="I54" i="73"/>
  <c r="I55" i="73"/>
  <c r="I113" i="73"/>
  <c r="I66" i="73"/>
  <c r="I103" i="73"/>
  <c r="I104" i="73"/>
  <c r="I106" i="73"/>
  <c r="I110" i="73"/>
  <c r="I112" i="73"/>
  <c r="I115" i="73"/>
  <c r="I116" i="73"/>
  <c r="AE112" i="73" l="1"/>
  <c r="AI112" i="73" s="1"/>
  <c r="AO112" i="73" s="1"/>
  <c r="AS112" i="73" s="1"/>
  <c r="AE116" i="73"/>
  <c r="AI116" i="73" s="1"/>
  <c r="AO116" i="73" s="1"/>
  <c r="AS116" i="73" s="1"/>
  <c r="AE104" i="73"/>
  <c r="AI104" i="73" s="1"/>
  <c r="AO104" i="73" s="1"/>
  <c r="AS104" i="73" s="1"/>
  <c r="AE54" i="73"/>
  <c r="AI54" i="73" s="1"/>
  <c r="AO54" i="73" s="1"/>
  <c r="AS54" i="73" s="1"/>
  <c r="AI35" i="73"/>
  <c r="AO35" i="73" s="1"/>
  <c r="AS35" i="73" s="1"/>
  <c r="AE123" i="73"/>
  <c r="AI123" i="73" s="1"/>
  <c r="AO123" i="73" s="1"/>
  <c r="AS123" i="73" s="1"/>
  <c r="AE113" i="73"/>
  <c r="AI113" i="73" s="1"/>
  <c r="AO113" i="73" s="1"/>
  <c r="AS113" i="73" s="1"/>
  <c r="AI24" i="73"/>
  <c r="AO24" i="73" s="1"/>
  <c r="AS24" i="73" s="1"/>
  <c r="AE122" i="73"/>
  <c r="AI122" i="73" s="1"/>
  <c r="AO122" i="73" s="1"/>
  <c r="AS122" i="73" s="1"/>
  <c r="AE115" i="73"/>
  <c r="AI115" i="73" s="1"/>
  <c r="AO115" i="73" s="1"/>
  <c r="AS115" i="73" s="1"/>
  <c r="AE103" i="73"/>
  <c r="AI103" i="73" s="1"/>
  <c r="AO103" i="73" s="1"/>
  <c r="AS103" i="73" s="1"/>
  <c r="AE66" i="73"/>
  <c r="AI66" i="73" s="1"/>
  <c r="AO66" i="73" s="1"/>
  <c r="AS66" i="73" s="1"/>
  <c r="AW66" i="73" s="1"/>
  <c r="AE49" i="73"/>
  <c r="AI49" i="73" s="1"/>
  <c r="AO49" i="73" s="1"/>
  <c r="AS49" i="73" s="1"/>
  <c r="AE124" i="73"/>
  <c r="AI124" i="73" s="1"/>
  <c r="AO124" i="73" s="1"/>
  <c r="AS124" i="73" s="1"/>
  <c r="AE110" i="73"/>
  <c r="AI110" i="73" s="1"/>
  <c r="AO110" i="73" s="1"/>
  <c r="AS110" i="73" s="1"/>
  <c r="AE106" i="73"/>
  <c r="AI106" i="73" s="1"/>
  <c r="AO106" i="73" s="1"/>
  <c r="AS106" i="73" s="1"/>
  <c r="AW103" i="73" l="1"/>
  <c r="BE103" i="73" s="1"/>
  <c r="AW112" i="73"/>
  <c r="BE112" i="73" s="1"/>
  <c r="AW110" i="73"/>
  <c r="BE110" i="73" s="1"/>
  <c r="AW113" i="73"/>
  <c r="BE113" i="73" s="1"/>
  <c r="BE10" i="15" s="1"/>
  <c r="AW106" i="73"/>
  <c r="BE106" i="73" s="1"/>
  <c r="AW104" i="73"/>
  <c r="BE104" i="73" s="1"/>
  <c r="AW54" i="73"/>
  <c r="BE54" i="73" s="1"/>
  <c r="AW49" i="73"/>
  <c r="BE49" i="73" s="1"/>
  <c r="AW24" i="73"/>
  <c r="BE24" i="73" s="1"/>
  <c r="AW115" i="73"/>
  <c r="BE115" i="73" s="1"/>
  <c r="AW116" i="73"/>
  <c r="BE116" i="73" s="1"/>
  <c r="AW124" i="73"/>
  <c r="BE124" i="73" s="1"/>
  <c r="AW122" i="73"/>
  <c r="BE122" i="73" s="1"/>
  <c r="AW123" i="73"/>
  <c r="BE123" i="73" s="1"/>
  <c r="AW35" i="73"/>
  <c r="BE35" i="73" s="1"/>
  <c r="BE66" i="73"/>
  <c r="AE127" i="73"/>
  <c r="AE134" i="73"/>
  <c r="AE130" i="73"/>
  <c r="AE135" i="73"/>
  <c r="AI130" i="73" l="1"/>
  <c r="AE129" i="73"/>
  <c r="AI134" i="73"/>
  <c r="AE133" i="73"/>
  <c r="AI127" i="73"/>
  <c r="AE125" i="73"/>
  <c r="AI135" i="73"/>
  <c r="AO127" i="73" l="1"/>
  <c r="AS127" i="73" s="1"/>
  <c r="AW127" i="73" s="1"/>
  <c r="AW125" i="73" s="1"/>
  <c r="AI125" i="73"/>
  <c r="AO125" i="73" s="1"/>
  <c r="AO134" i="73"/>
  <c r="AS134" i="73" s="1"/>
  <c r="AW134" i="73" s="1"/>
  <c r="AW133" i="73" s="1"/>
  <c r="AI133" i="73"/>
  <c r="AO133" i="73" s="1"/>
  <c r="AO135" i="73"/>
  <c r="AS135" i="73" s="1"/>
  <c r="AO130" i="73"/>
  <c r="AS130" i="73" s="1"/>
  <c r="AW130" i="73" s="1"/>
  <c r="AW129" i="73" s="1"/>
  <c r="AI129" i="73"/>
  <c r="AO129" i="73" s="1"/>
  <c r="AW135" i="73" l="1"/>
  <c r="BE135" i="73" s="1"/>
  <c r="AS129" i="73"/>
  <c r="AS133" i="73"/>
  <c r="AS125" i="73"/>
  <c r="BE127" i="73" l="1"/>
  <c r="BE125" i="73" s="1"/>
  <c r="BE134" i="73"/>
  <c r="BE133" i="73" s="1"/>
  <c r="BE130" i="73"/>
  <c r="BE129" i="73" s="1"/>
  <c r="M19" i="7" l="1"/>
  <c r="Q19" i="7" l="1"/>
  <c r="U19" i="7" s="1"/>
  <c r="AA19" i="7"/>
  <c r="R19" i="7"/>
  <c r="V19" i="7" s="1"/>
  <c r="AE19" i="7" l="1"/>
  <c r="B24" i="15"/>
  <c r="AI19" i="7" l="1"/>
  <c r="E20" i="7"/>
  <c r="F20" i="7"/>
  <c r="D20" i="7"/>
  <c r="AO19" i="7" l="1"/>
  <c r="E49" i="39"/>
  <c r="AS19" i="7" l="1"/>
  <c r="AW19" i="7" s="1"/>
  <c r="M49" i="39"/>
  <c r="I49" i="39"/>
  <c r="E51" i="39"/>
  <c r="BE19" i="7" l="1"/>
  <c r="M51" i="39"/>
  <c r="Q49" i="39"/>
  <c r="I51" i="39"/>
  <c r="U49" i="39" l="1"/>
  <c r="Q51" i="39"/>
  <c r="BN24" i="21"/>
  <c r="U51" i="39" l="1"/>
  <c r="AA49" i="39"/>
  <c r="Y129" i="6"/>
  <c r="AA129" i="6" s="1"/>
  <c r="AE129" i="6" s="1"/>
  <c r="AI129" i="6" s="1"/>
  <c r="AE49" i="39" l="1"/>
  <c r="AA51" i="39"/>
  <c r="AO129" i="6"/>
  <c r="AS129" i="6" s="1"/>
  <c r="AW129" i="6" s="1"/>
  <c r="BE129" i="6" s="1"/>
  <c r="AE51" i="39" l="1"/>
  <c r="AI49" i="39"/>
  <c r="AO49" i="39" l="1"/>
  <c r="AI51" i="39"/>
  <c r="AO51" i="39" l="1"/>
  <c r="AS49" i="39"/>
  <c r="AW49" i="39" l="1"/>
  <c r="AS51" i="39"/>
  <c r="AF155" i="10"/>
  <c r="AF192" i="10" s="1"/>
  <c r="AB155" i="10"/>
  <c r="V54" i="11"/>
  <c r="AB44" i="11"/>
  <c r="AF44" i="11" s="1"/>
  <c r="AJ44" i="11" s="1"/>
  <c r="AW51" i="39" l="1"/>
  <c r="BE49" i="39"/>
  <c r="AJ57" i="11"/>
  <c r="AB154" i="10"/>
  <c r="AB201" i="10" s="1"/>
  <c r="AB153" i="10"/>
  <c r="AP155" i="10"/>
  <c r="AF184" i="10"/>
  <c r="AF57" i="11"/>
  <c r="AF93" i="11" s="1"/>
  <c r="F39" i="35"/>
  <c r="BE51" i="39" l="1"/>
  <c r="AJ93" i="11"/>
  <c r="AJ85" i="11"/>
  <c r="AF153" i="10"/>
  <c r="AF154" i="10"/>
  <c r="AB163" i="10"/>
  <c r="AT155" i="10"/>
  <c r="AF85" i="11"/>
  <c r="AP44" i="11"/>
  <c r="AT44" i="11" s="1"/>
  <c r="AX44" i="11" s="1"/>
  <c r="AX57" i="11" s="1"/>
  <c r="AF200" i="10"/>
  <c r="Z98" i="8"/>
  <c r="AX93" i="11" l="1"/>
  <c r="AX85" i="11"/>
  <c r="AT57" i="11"/>
  <c r="AT85" i="11" s="1"/>
  <c r="AT184" i="10"/>
  <c r="AP192" i="10"/>
  <c r="AP184" i="10"/>
  <c r="AP57" i="11"/>
  <c r="AF201" i="10"/>
  <c r="AF178" i="10"/>
  <c r="AI66" i="59" s="1"/>
  <c r="AF191" i="10"/>
  <c r="AF193" i="10" s="1"/>
  <c r="AF197" i="10"/>
  <c r="Z10" i="52"/>
  <c r="Y10" i="52"/>
  <c r="Z5" i="52"/>
  <c r="Y5" i="52"/>
  <c r="AT93" i="11" l="1"/>
  <c r="BF44" i="11"/>
  <c r="BF57" i="11" s="1"/>
  <c r="AP154" i="10"/>
  <c r="AP153" i="10"/>
  <c r="BF155" i="10"/>
  <c r="AP200" i="10"/>
  <c r="AT192" i="10"/>
  <c r="AP93" i="11"/>
  <c r="AP85" i="11"/>
  <c r="AM66" i="59"/>
  <c r="Y9" i="52"/>
  <c r="Z16" i="52"/>
  <c r="Y16" i="52"/>
  <c r="Z9" i="52"/>
  <c r="AP163" i="10" l="1"/>
  <c r="AP191" i="10"/>
  <c r="AP193" i="10" s="1"/>
  <c r="BF93" i="11"/>
  <c r="BF85" i="11"/>
  <c r="AP201" i="10"/>
  <c r="BF192" i="10"/>
  <c r="BF184" i="10"/>
  <c r="AP178" i="10"/>
  <c r="AS66" i="59" s="1"/>
  <c r="AT153" i="10"/>
  <c r="AT154" i="10"/>
  <c r="AP197" i="10"/>
  <c r="AT200" i="10"/>
  <c r="Y17" i="52"/>
  <c r="Z17" i="52"/>
  <c r="AT191" i="10" l="1"/>
  <c r="AT193" i="10" s="1"/>
  <c r="AT178" i="10"/>
  <c r="AW66" i="59" s="1"/>
  <c r="AT197" i="10"/>
  <c r="AT201" i="10"/>
  <c r="BF154" i="10" l="1"/>
  <c r="BF153" i="10"/>
  <c r="BA66" i="59"/>
  <c r="M56" i="71"/>
  <c r="F59" i="11"/>
  <c r="V44" i="11"/>
  <c r="V57" i="11" s="1"/>
  <c r="BF201" i="10" l="1"/>
  <c r="BF163" i="10"/>
  <c r="V85" i="11"/>
  <c r="V93" i="11"/>
  <c r="BF191" i="10"/>
  <c r="BF197" i="10"/>
  <c r="R154" i="10"/>
  <c r="R201" i="10" s="1"/>
  <c r="BF178" i="10"/>
  <c r="BI66" i="59" s="1"/>
  <c r="N197" i="10"/>
  <c r="R155" i="10" l="1"/>
  <c r="R153" i="10"/>
  <c r="BF193" i="10"/>
  <c r="Y190" i="6" l="1"/>
  <c r="Y73" i="11" l="1"/>
  <c r="Y172" i="10"/>
  <c r="AA109" i="45" l="1"/>
  <c r="Z57" i="11"/>
  <c r="AA159" i="45" l="1"/>
  <c r="AA150" i="45"/>
  <c r="Z197" i="10"/>
  <c r="Z39" i="9"/>
  <c r="Z40" i="9"/>
  <c r="Z41" i="9"/>
  <c r="Z42" i="9"/>
  <c r="Z43" i="9"/>
  <c r="Z44" i="9"/>
  <c r="Y6" i="7" l="1"/>
  <c r="W115" i="7"/>
  <c r="W114" i="7"/>
  <c r="Y20" i="7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BF113" i="6" s="1"/>
  <c r="AW113" i="6"/>
  <c r="BE113" i="6" s="1"/>
  <c r="AX95" i="6"/>
  <c r="BF95" i="6" s="1"/>
  <c r="Y61" i="6"/>
  <c r="AB23" i="59" s="1"/>
  <c r="AB12" i="59"/>
  <c r="Y60" i="6"/>
  <c r="AB16" i="59" s="1"/>
  <c r="AA95" i="6"/>
  <c r="AE95" i="6" s="1"/>
  <c r="AI95" i="6" s="1"/>
  <c r="AO95" i="6" s="1"/>
  <c r="AS95" i="6" s="1"/>
  <c r="AW95" i="6" l="1"/>
  <c r="BE95" i="6" s="1"/>
  <c r="Z8" i="6"/>
  <c r="X9" i="15"/>
  <c r="Y9" i="15"/>
  <c r="Y56" i="11"/>
  <c r="Y74" i="11" s="1"/>
  <c r="Z108" i="45"/>
  <c r="AA135" i="50" l="1"/>
  <c r="Y55" i="11"/>
  <c r="Y98" i="11"/>
  <c r="Y17" i="15"/>
  <c r="Z52" i="36"/>
  <c r="Z10" i="6"/>
  <c r="Z124" i="45"/>
  <c r="Z107" i="45"/>
  <c r="N11" i="52" l="1"/>
  <c r="AB11" i="52" s="1"/>
  <c r="AF11" i="52" s="1"/>
  <c r="AJ11" i="52" s="1"/>
  <c r="AP11" i="52" s="1"/>
  <c r="AT11" i="52" s="1"/>
  <c r="AX11" i="52" s="1"/>
  <c r="BF11" i="52" s="1"/>
  <c r="M11" i="52"/>
  <c r="AA11" i="52" s="1"/>
  <c r="AE11" i="52" s="1"/>
  <c r="AI11" i="52" s="1"/>
  <c r="AO11" i="52" s="1"/>
  <c r="AS11" i="52" l="1"/>
  <c r="AW11" i="52" s="1"/>
  <c r="BE11" i="52" s="1"/>
  <c r="Q11" i="52"/>
  <c r="U11" i="52" s="1"/>
  <c r="R11" i="52"/>
  <c r="V11" i="52" s="1"/>
  <c r="AD43" i="38" l="1"/>
  <c r="AD41" i="38"/>
  <c r="AD35" i="38"/>
  <c r="AD19" i="38"/>
  <c r="AD13" i="38"/>
  <c r="AA157" i="45"/>
  <c r="AA130" i="50" l="1"/>
  <c r="Z57" i="9"/>
  <c r="AD18" i="38"/>
  <c r="AD40" i="38"/>
  <c r="AD16" i="38"/>
  <c r="Z26" i="36" l="1"/>
  <c r="Z62" i="9"/>
  <c r="AD17" i="38"/>
  <c r="AD49" i="38" s="1"/>
  <c r="Z91" i="8" l="1"/>
  <c r="AB91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AX15" i="8"/>
  <c r="BF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BF36" i="8" s="1"/>
  <c r="AJ35" i="8"/>
  <c r="AP35" i="8" s="1"/>
  <c r="AT35" i="8" s="1"/>
  <c r="AJ34" i="8"/>
  <c r="AP34" i="8" s="1"/>
  <c r="AT34" i="8" s="1"/>
  <c r="Y190" i="73"/>
  <c r="Y53" i="73"/>
  <c r="Y48" i="73"/>
  <c r="AX34" i="8" l="1"/>
  <c r="BF34" i="8" s="1"/>
  <c r="AX35" i="8"/>
  <c r="BF35" i="8" s="1"/>
  <c r="Y121" i="73"/>
  <c r="Y188" i="73"/>
  <c r="T7" i="15"/>
  <c r="T6" i="15"/>
  <c r="T5" i="15"/>
  <c r="Z18" i="21"/>
  <c r="Y117" i="73" l="1"/>
  <c r="AC12" i="59"/>
  <c r="Z61" i="6"/>
  <c r="AC23" i="59" s="1"/>
  <c r="Z60" i="6"/>
  <c r="AC16" i="59" s="1"/>
  <c r="Q115" i="7" l="1"/>
  <c r="Q114" i="7"/>
  <c r="Q113" i="7"/>
  <c r="Q112" i="7"/>
  <c r="Q111" i="7"/>
  <c r="Q110" i="7"/>
  <c r="Q109" i="7"/>
  <c r="Q108" i="7"/>
  <c r="Q107" i="7"/>
  <c r="Q106" i="7"/>
  <c r="Q85" i="7"/>
  <c r="Z1" i="35" l="1"/>
  <c r="Y1" i="35"/>
  <c r="Y21" i="35" s="1"/>
  <c r="Q23" i="36"/>
  <c r="Q22" i="36"/>
  <c r="Q21" i="36"/>
  <c r="Z21" i="35" l="1"/>
  <c r="O100" i="50"/>
  <c r="S100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Y14" i="36" l="1"/>
  <c r="N1" i="35" l="1"/>
  <c r="M1" i="35"/>
  <c r="Q1" i="35" s="1"/>
  <c r="R1" i="35" l="1"/>
  <c r="V1" i="35" s="1"/>
  <c r="U1" i="35"/>
  <c r="Y26" i="36"/>
  <c r="X17" i="15"/>
  <c r="AA1" i="35" l="1"/>
  <c r="AE1" i="35" s="1"/>
  <c r="AI1" i="35" s="1"/>
  <c r="AO1" i="35" s="1"/>
  <c r="AS1" i="35" s="1"/>
  <c r="AW1" i="35" s="1"/>
  <c r="BE1" i="35" s="1"/>
  <c r="AB1" i="35"/>
  <c r="AF1" i="35" l="1"/>
  <c r="AJ1" i="35" s="1"/>
  <c r="AP1" i="35"/>
  <c r="AT1" i="35" s="1"/>
  <c r="Y154" i="10"/>
  <c r="Y153" i="10" l="1"/>
  <c r="Y173" i="10"/>
  <c r="AX1" i="35"/>
  <c r="BF1" i="35" s="1"/>
  <c r="BE56" i="71"/>
  <c r="BA56" i="71"/>
  <c r="X61" i="17"/>
  <c r="Y91" i="17"/>
  <c r="X58" i="17"/>
  <c r="X52" i="17"/>
  <c r="X48" i="17"/>
  <c r="X46" i="17"/>
  <c r="X44" i="17"/>
  <c r="Y26" i="17"/>
  <c r="X21" i="17"/>
  <c r="X19" i="17"/>
  <c r="X18" i="17"/>
  <c r="X16" i="17"/>
  <c r="X9" i="17"/>
  <c r="BC56" i="71" l="1"/>
  <c r="Y25" i="36"/>
  <c r="Z95" i="50"/>
  <c r="Z93" i="50" s="1"/>
  <c r="Z10" i="22"/>
  <c r="Z15" i="22" s="1"/>
  <c r="R15" i="22"/>
  <c r="X57" i="17"/>
  <c r="X59" i="17" s="1"/>
  <c r="X62" i="17" s="1"/>
  <c r="X116" i="17"/>
  <c r="Z24" i="22"/>
  <c r="Z26" i="22" s="1"/>
  <c r="Y35" i="17"/>
  <c r="X22" i="17"/>
  <c r="Y52" i="17"/>
  <c r="Y9" i="17"/>
  <c r="X50" i="17"/>
  <c r="X54" i="17" s="1"/>
  <c r="J58" i="71"/>
  <c r="Y81" i="8"/>
  <c r="Y39" i="7"/>
  <c r="BK56" i="71" l="1"/>
  <c r="BG56" i="71"/>
  <c r="Z12" i="22"/>
  <c r="Y16" i="17"/>
  <c r="Y33" i="17" s="1"/>
  <c r="X91" i="17"/>
  <c r="X35" i="17"/>
  <c r="X32" i="17"/>
  <c r="X34" i="17"/>
  <c r="X31" i="17"/>
  <c r="Y50" i="17"/>
  <c r="Y116" i="17"/>
  <c r="M44" i="72"/>
  <c r="M46" i="72" l="1"/>
  <c r="W44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P14" i="27" s="1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AN22" i="17" s="1"/>
  <c r="AN32" i="17" s="1"/>
  <c r="Z14" i="27"/>
  <c r="AD14" i="27" s="1"/>
  <c r="T14" i="27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D34" i="17"/>
  <c r="AD31" i="17"/>
  <c r="AD32" i="17"/>
  <c r="AR19" i="17" l="1"/>
  <c r="AW13" i="27"/>
  <c r="BE13" i="27" s="1"/>
  <c r="AW15" i="27"/>
  <c r="BE15" i="27" s="1"/>
  <c r="AS38" i="27"/>
  <c r="AW38" i="27" s="1"/>
  <c r="BE38" i="27" s="1"/>
  <c r="AV11" i="27"/>
  <c r="BD11" i="27" s="1"/>
  <c r="AW11" i="27"/>
  <c r="BE11" i="27" s="1"/>
  <c r="AV8" i="27"/>
  <c r="BD8" i="27" s="1"/>
  <c r="AW12" i="27"/>
  <c r="BE12" i="27" s="1"/>
  <c r="AW7" i="27"/>
  <c r="BE7" i="27" s="1"/>
  <c r="AV7" i="27"/>
  <c r="BD7" i="27" s="1"/>
  <c r="AW9" i="27"/>
  <c r="BE9" i="27" s="1"/>
  <c r="AW14" i="27"/>
  <c r="BE14" i="27" s="1"/>
  <c r="AV10" i="27"/>
  <c r="BD10" i="27" s="1"/>
  <c r="AV9" i="27"/>
  <c r="BD9" i="27" s="1"/>
  <c r="AW10" i="27"/>
  <c r="BE10" i="27" s="1"/>
  <c r="AR12" i="27"/>
  <c r="AV12" i="27" s="1"/>
  <c r="BD12" i="27" s="1"/>
  <c r="AR38" i="27"/>
  <c r="AV38" i="27" s="1"/>
  <c r="BD38" i="27" s="1"/>
  <c r="AW6" i="27"/>
  <c r="BE6" i="27" s="1"/>
  <c r="AW8" i="27"/>
  <c r="BE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7" i="50"/>
  <c r="AV19" i="17" l="1"/>
  <c r="AR22" i="17"/>
  <c r="AV6" i="27"/>
  <c r="BD6" i="27" s="1"/>
  <c r="AV14" i="27"/>
  <c r="BD14" i="27" s="1"/>
  <c r="AV15" i="27"/>
  <c r="BD15" i="27" s="1"/>
  <c r="BD18" i="17"/>
  <c r="G116" i="50"/>
  <c r="E26" i="9"/>
  <c r="F392" i="28"/>
  <c r="J392" i="28" s="1"/>
  <c r="N392" i="28" s="1"/>
  <c r="R392" i="28" l="1"/>
  <c r="V392" i="28" s="1"/>
  <c r="AB392" i="28"/>
  <c r="AF392" i="28" s="1"/>
  <c r="AR34" i="17"/>
  <c r="AR31" i="17"/>
  <c r="AR32" i="17"/>
  <c r="BD19" i="17"/>
  <c r="BD22" i="17" s="1"/>
  <c r="AV22" i="17"/>
  <c r="O116" i="50"/>
  <c r="K116" i="50"/>
  <c r="F471" i="28"/>
  <c r="J471" i="28" s="1"/>
  <c r="N471" i="28" s="1"/>
  <c r="R471" i="28" l="1"/>
  <c r="V471" i="28" s="1"/>
  <c r="AB471" i="28"/>
  <c r="AF471" i="28" s="1"/>
  <c r="BD32" i="17"/>
  <c r="BD31" i="17"/>
  <c r="BD34" i="17"/>
  <c r="AV34" i="17"/>
  <c r="AV32" i="17"/>
  <c r="AV31" i="17"/>
  <c r="S116" i="50"/>
  <c r="W116" i="50" s="1"/>
  <c r="AC116" i="50"/>
  <c r="AG116" i="50" s="1"/>
  <c r="AK116" i="50" s="1"/>
  <c r="AQ116" i="50" s="1"/>
  <c r="AU116" i="50" s="1"/>
  <c r="AY116" i="50" s="1"/>
  <c r="BG116" i="50" s="1"/>
  <c r="K7" i="72"/>
  <c r="E44" i="72" l="1"/>
  <c r="E46" i="72" l="1"/>
  <c r="L21" i="15"/>
  <c r="P21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1" i="15"/>
  <c r="Z21" i="15"/>
  <c r="AD21" i="15" s="1"/>
  <c r="T10" i="15"/>
  <c r="X10" i="15"/>
  <c r="F57" i="9"/>
  <c r="N57" i="9" s="1"/>
  <c r="AH21" i="15" l="1"/>
  <c r="AN21" i="15" s="1"/>
  <c r="Z10" i="15"/>
  <c r="AD10" i="15" s="1"/>
  <c r="AH10" i="15" s="1"/>
  <c r="X12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38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I76" i="99"/>
  <c r="BB21" i="15"/>
  <c r="AR21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F193" i="6"/>
  <c r="AF167" i="6"/>
  <c r="AN10" i="15"/>
  <c r="AR10" i="15" s="1"/>
  <c r="AV10" i="15" s="1"/>
  <c r="AL10" i="15"/>
  <c r="AL12" i="15" s="1"/>
  <c r="AJ392" i="28"/>
  <c r="R111" i="9"/>
  <c r="V111" i="9" s="1"/>
  <c r="AB111" i="9"/>
  <c r="AF111" i="9" s="1"/>
  <c r="N40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V29" i="9" l="1"/>
  <c r="BK76" i="99" s="1"/>
  <c r="BG58" i="71"/>
  <c r="AV21" i="15"/>
  <c r="BD21" i="15" s="1"/>
  <c r="BK58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V40" i="36"/>
  <c r="V10" i="9"/>
  <c r="V38" i="36"/>
  <c r="V25" i="9"/>
  <c r="R36" i="9"/>
  <c r="AF42" i="9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471" i="28"/>
  <c r="AP392" i="28"/>
  <c r="R62" i="9"/>
  <c r="V62" i="9" s="1"/>
  <c r="N42" i="36"/>
  <c r="R40" i="36"/>
  <c r="R38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P62" i="9"/>
  <c r="AT62" i="9" s="1"/>
  <c r="V36" i="9"/>
  <c r="V42" i="36"/>
  <c r="AX45" i="38"/>
  <c r="AX44" i="38"/>
  <c r="AX39" i="38"/>
  <c r="AX38" i="38"/>
  <c r="AX36" i="38"/>
  <c r="BB36" i="38" s="1"/>
  <c r="AP167" i="6"/>
  <c r="AX46" i="38"/>
  <c r="AP471" i="28"/>
  <c r="AT392" i="28"/>
  <c r="AX392" i="28" s="1"/>
  <c r="AX42" i="38"/>
  <c r="AX14" i="38"/>
  <c r="AX7" i="38"/>
  <c r="AX47" i="38"/>
  <c r="AX20" i="38"/>
  <c r="BB20" i="38" s="1"/>
  <c r="AP193" i="6"/>
  <c r="AX37" i="38"/>
  <c r="R42" i="36"/>
  <c r="M81" i="8"/>
  <c r="E81" i="8"/>
  <c r="M74" i="8"/>
  <c r="M72" i="8"/>
  <c r="M71" i="8"/>
  <c r="E74" i="8"/>
  <c r="E72" i="8"/>
  <c r="E52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M15" i="8" s="1"/>
  <c r="AA15" i="8" s="1"/>
  <c r="AE15" i="8" s="1"/>
  <c r="E14" i="8"/>
  <c r="M14" i="8" s="1"/>
  <c r="AA14" i="8" s="1"/>
  <c r="AE14" i="8" s="1"/>
  <c r="E13" i="8"/>
  <c r="M87" i="8"/>
  <c r="E87" i="8"/>
  <c r="M61" i="8"/>
  <c r="N33" i="8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2" i="7"/>
  <c r="M72" i="7"/>
  <c r="R70" i="7"/>
  <c r="V70" i="7" s="1"/>
  <c r="Q70" i="7"/>
  <c r="U70" i="7" s="1"/>
  <c r="N66" i="7"/>
  <c r="N64" i="7"/>
  <c r="M64" i="7"/>
  <c r="Q64" i="7" s="1"/>
  <c r="U64" i="7" s="1"/>
  <c r="N63" i="7"/>
  <c r="M63" i="7"/>
  <c r="Q63" i="7" s="1"/>
  <c r="U63" i="7" s="1"/>
  <c r="R48" i="7"/>
  <c r="V48" i="7" s="1"/>
  <c r="R46" i="7"/>
  <c r="V46" i="7" s="1"/>
  <c r="R45" i="7"/>
  <c r="V45" i="7" s="1"/>
  <c r="R44" i="7"/>
  <c r="V44" i="7" s="1"/>
  <c r="R43" i="7"/>
  <c r="V43" i="7" s="1"/>
  <c r="R42" i="7"/>
  <c r="V42" i="7" s="1"/>
  <c r="R41" i="7"/>
  <c r="V41" i="7" s="1"/>
  <c r="R40" i="7"/>
  <c r="V40" i="7" s="1"/>
  <c r="M7" i="7"/>
  <c r="AA7" i="7" s="1"/>
  <c r="AE7" i="7" s="1"/>
  <c r="M8" i="7"/>
  <c r="M9" i="7"/>
  <c r="M10" i="7"/>
  <c r="M11" i="7"/>
  <c r="M12" i="7"/>
  <c r="M14" i="7"/>
  <c r="M15" i="7"/>
  <c r="N6" i="7"/>
  <c r="M6" i="7"/>
  <c r="M115" i="7"/>
  <c r="M114" i="7"/>
  <c r="M113" i="7"/>
  <c r="M112" i="7"/>
  <c r="M111" i="7"/>
  <c r="M110" i="7"/>
  <c r="M109" i="7"/>
  <c r="M108" i="7"/>
  <c r="M107" i="7"/>
  <c r="M106" i="7"/>
  <c r="M85" i="7"/>
  <c r="AI7" i="7" l="1"/>
  <c r="AO7" i="7" s="1"/>
  <c r="AS7" i="7" s="1"/>
  <c r="AW7" i="7" s="1"/>
  <c r="BE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BF167" i="6" s="1"/>
  <c r="AX167" i="6"/>
  <c r="BJ20" i="38"/>
  <c r="BF193" i="6" s="1"/>
  <c r="AX193" i="6"/>
  <c r="AI15" i="8"/>
  <c r="AO15" i="8" s="1"/>
  <c r="AS15" i="8" s="1"/>
  <c r="AI14" i="8"/>
  <c r="AO14" i="8" s="1"/>
  <c r="AS14" i="8" s="1"/>
  <c r="U65" i="7"/>
  <c r="U59" i="7" s="1"/>
  <c r="U101" i="7" s="1"/>
  <c r="H45" i="59"/>
  <c r="H49" i="59"/>
  <c r="H51" i="59"/>
  <c r="Q61" i="8"/>
  <c r="U61" i="8" s="1"/>
  <c r="BD168" i="6"/>
  <c r="BD194" i="6"/>
  <c r="AP42" i="9"/>
  <c r="BB168" i="6"/>
  <c r="BB194" i="6"/>
  <c r="AT471" i="28"/>
  <c r="AT193" i="6"/>
  <c r="AT167" i="6"/>
  <c r="Q8" i="8"/>
  <c r="U8" i="8" s="1"/>
  <c r="Q72" i="7"/>
  <c r="U72" i="7" s="1"/>
  <c r="U73" i="7" s="1"/>
  <c r="R72" i="7"/>
  <c r="V72" i="7" s="1"/>
  <c r="V73" i="7" s="1"/>
  <c r="R6" i="7"/>
  <c r="V6" i="7" s="1"/>
  <c r="Q8" i="7"/>
  <c r="U8" i="7" s="1"/>
  <c r="AA8" i="7"/>
  <c r="AE8" i="7" s="1"/>
  <c r="AI8" i="7" s="1"/>
  <c r="R66" i="7"/>
  <c r="V66" i="7" s="1"/>
  <c r="AA18" i="7"/>
  <c r="Q15" i="7"/>
  <c r="U15" i="7" s="1"/>
  <c r="AA15" i="7"/>
  <c r="AE15" i="7" s="1"/>
  <c r="Q12" i="7"/>
  <c r="U12" i="7" s="1"/>
  <c r="AA12" i="7"/>
  <c r="AE12" i="7" s="1"/>
  <c r="R64" i="7"/>
  <c r="V64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U9" i="7" s="1"/>
  <c r="AA9" i="7"/>
  <c r="AE9" i="7" s="1"/>
  <c r="R63" i="7"/>
  <c r="V63" i="7" s="1"/>
  <c r="R15" i="7"/>
  <c r="V15" i="7" s="1"/>
  <c r="R12" i="7"/>
  <c r="V12" i="7" s="1"/>
  <c r="R8" i="7"/>
  <c r="V8" i="7" s="1"/>
  <c r="V18" i="7"/>
  <c r="R14" i="7"/>
  <c r="V14" i="7" s="1"/>
  <c r="R11" i="7"/>
  <c r="V11" i="7" s="1"/>
  <c r="R9" i="7"/>
  <c r="V9" i="7" s="1"/>
  <c r="R10" i="7"/>
  <c r="V10" i="7" s="1"/>
  <c r="N109" i="8"/>
  <c r="N110" i="8" s="1"/>
  <c r="Q33" i="8"/>
  <c r="U33" i="8" s="1"/>
  <c r="M11" i="49"/>
  <c r="Q11" i="49" s="1"/>
  <c r="U11" i="49" s="1"/>
  <c r="R7" i="7"/>
  <c r="V7" i="7" s="1"/>
  <c r="N20" i="7"/>
  <c r="Q7" i="7"/>
  <c r="U7" i="7" s="1"/>
  <c r="M20" i="7"/>
  <c r="N87" i="8"/>
  <c r="R85" i="8"/>
  <c r="V85" i="8" s="1"/>
  <c r="R60" i="8"/>
  <c r="V60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5" i="7"/>
  <c r="Q59" i="7" s="1"/>
  <c r="Q101" i="7" s="1"/>
  <c r="Q15" i="8"/>
  <c r="U15" i="8" s="1"/>
  <c r="M13" i="8"/>
  <c r="M73" i="7"/>
  <c r="N73" i="7"/>
  <c r="N65" i="7"/>
  <c r="N33" i="7" s="1"/>
  <c r="N97" i="7" s="1"/>
  <c r="M65" i="7"/>
  <c r="U33" i="7" l="1"/>
  <c r="U97" i="7" s="1"/>
  <c r="U32" i="7"/>
  <c r="U99" i="7" s="1"/>
  <c r="Q33" i="7"/>
  <c r="Q97" i="7" s="1"/>
  <c r="Q32" i="7"/>
  <c r="Q99" i="7" s="1"/>
  <c r="M26" i="7"/>
  <c r="M91" i="7" s="1"/>
  <c r="M59" i="7"/>
  <c r="M101" i="7" s="1"/>
  <c r="M33" i="7"/>
  <c r="M97" i="7" s="1"/>
  <c r="M32" i="7"/>
  <c r="M99" i="7" s="1"/>
  <c r="AI12" i="7"/>
  <c r="AO12" i="7" s="1"/>
  <c r="AS12" i="7" s="1"/>
  <c r="AI10" i="7"/>
  <c r="AO10" i="7" s="1"/>
  <c r="AS10" i="7" s="1"/>
  <c r="AI9" i="7"/>
  <c r="AO9" i="7" s="1"/>
  <c r="AS9" i="7" s="1"/>
  <c r="AI11" i="7"/>
  <c r="AO11" i="7" s="1"/>
  <c r="AS11" i="7" s="1"/>
  <c r="AI15" i="7"/>
  <c r="AO15" i="7" s="1"/>
  <c r="AS15" i="7" s="1"/>
  <c r="AI14" i="7"/>
  <c r="AO14" i="7" s="1"/>
  <c r="AS14" i="7" s="1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AW15" i="8"/>
  <c r="BE15" i="8" s="1"/>
  <c r="V65" i="7"/>
  <c r="V27" i="7" s="1"/>
  <c r="V92" i="7" s="1"/>
  <c r="U74" i="7"/>
  <c r="U81" i="7"/>
  <c r="X28" i="59" s="1"/>
  <c r="N32" i="7"/>
  <c r="N99" i="7" s="1"/>
  <c r="N59" i="7"/>
  <c r="N101" i="7" s="1"/>
  <c r="U18" i="8"/>
  <c r="T8" i="15" s="1"/>
  <c r="P8" i="15"/>
  <c r="V25" i="8"/>
  <c r="V23" i="8"/>
  <c r="V18" i="8"/>
  <c r="U8" i="15" s="1"/>
  <c r="Q8" i="15"/>
  <c r="V109" i="8"/>
  <c r="V110" i="8" s="1"/>
  <c r="V24" i="8"/>
  <c r="V144" i="7"/>
  <c r="V146" i="7" s="1"/>
  <c r="V147" i="7" s="1"/>
  <c r="U18" i="7"/>
  <c r="U34" i="7" s="1"/>
  <c r="U90" i="7" s="1"/>
  <c r="Q34" i="7"/>
  <c r="V20" i="7"/>
  <c r="V138" i="7"/>
  <c r="V140" i="7" s="1"/>
  <c r="V141" i="7" s="1"/>
  <c r="AE18" i="7"/>
  <c r="R73" i="7"/>
  <c r="R65" i="7"/>
  <c r="AT42" i="9"/>
  <c r="AX471" i="28"/>
  <c r="BF392" i="28"/>
  <c r="BF471" i="28" s="1"/>
  <c r="Q73" i="7"/>
  <c r="AO6" i="7"/>
  <c r="AO8" i="7"/>
  <c r="AS8" i="7" s="1"/>
  <c r="AW8" i="7" s="1"/>
  <c r="N56" i="7"/>
  <c r="N54" i="7"/>
  <c r="N96" i="7" s="1"/>
  <c r="N55" i="7"/>
  <c r="N100" i="7" s="1"/>
  <c r="N57" i="7"/>
  <c r="N58" i="7"/>
  <c r="N53" i="7"/>
  <c r="N60" i="7"/>
  <c r="Q13" i="8"/>
  <c r="U13" i="8" s="1"/>
  <c r="U16" i="8" s="1"/>
  <c r="N111" i="8"/>
  <c r="N112" i="8" s="1"/>
  <c r="N26" i="7"/>
  <c r="N91" i="7" s="1"/>
  <c r="N29" i="7"/>
  <c r="N94" i="7" s="1"/>
  <c r="R20" i="7"/>
  <c r="N52" i="8"/>
  <c r="Q42" i="59" s="1"/>
  <c r="R109" i="8"/>
  <c r="R111" i="8" s="1"/>
  <c r="R26" i="8"/>
  <c r="N30" i="7"/>
  <c r="N35" i="7"/>
  <c r="N102" i="7" s="1"/>
  <c r="Q20" i="7"/>
  <c r="R87" i="8"/>
  <c r="V87" i="8" s="1"/>
  <c r="N74" i="7"/>
  <c r="Q81" i="7"/>
  <c r="Q74" i="7"/>
  <c r="N76" i="7"/>
  <c r="N28" i="7"/>
  <c r="N25" i="7"/>
  <c r="N52" i="7"/>
  <c r="M74" i="7"/>
  <c r="N31" i="7"/>
  <c r="N98" i="7" s="1"/>
  <c r="N23" i="7"/>
  <c r="N24" i="7"/>
  <c r="N89" i="7" s="1"/>
  <c r="N22" i="7"/>
  <c r="N87" i="7" s="1"/>
  <c r="N27" i="7"/>
  <c r="N92" i="7" s="1"/>
  <c r="N67" i="7"/>
  <c r="N34" i="7"/>
  <c r="N90" i="7" s="1"/>
  <c r="N81" i="7"/>
  <c r="M81" i="7"/>
  <c r="N88" i="7" l="1"/>
  <c r="N93" i="7"/>
  <c r="Q33" i="59" s="1"/>
  <c r="N95" i="7"/>
  <c r="Q35" i="59" s="1"/>
  <c r="V23" i="7"/>
  <c r="V33" i="7"/>
  <c r="V97" i="7" s="1"/>
  <c r="R58" i="7"/>
  <c r="R33" i="7"/>
  <c r="R97" i="7" s="1"/>
  <c r="R28" i="7"/>
  <c r="R93" i="7" s="1"/>
  <c r="U33" i="59" s="1"/>
  <c r="R81" i="7"/>
  <c r="R31" i="7"/>
  <c r="R98" i="7" s="1"/>
  <c r="R30" i="7"/>
  <c r="R95" i="7" s="1"/>
  <c r="U35" i="59" s="1"/>
  <c r="R55" i="7"/>
  <c r="R53" i="7"/>
  <c r="R34" i="7"/>
  <c r="R90" i="7" s="1"/>
  <c r="R54" i="7"/>
  <c r="R96" i="7" s="1"/>
  <c r="R35" i="7"/>
  <c r="R102" i="7" s="1"/>
  <c r="R67" i="7"/>
  <c r="AW11" i="7"/>
  <c r="BE11" i="7" s="1"/>
  <c r="AW9" i="7"/>
  <c r="BE9" i="7" s="1"/>
  <c r="AW10" i="7"/>
  <c r="BE10" i="7" s="1"/>
  <c r="AW15" i="7"/>
  <c r="BE15" i="7" s="1"/>
  <c r="AW12" i="7"/>
  <c r="BE12" i="7" s="1"/>
  <c r="AW14" i="7"/>
  <c r="BE14" i="7" s="1"/>
  <c r="AE20" i="7"/>
  <c r="AI18" i="7"/>
  <c r="AI20" i="7" s="1"/>
  <c r="U20" i="7"/>
  <c r="AX42" i="9"/>
  <c r="V59" i="7"/>
  <c r="V101" i="7" s="1"/>
  <c r="V74" i="7"/>
  <c r="V81" i="7"/>
  <c r="Y28" i="59" s="1"/>
  <c r="V32" i="7"/>
  <c r="V99" i="7" s="1"/>
  <c r="V29" i="7"/>
  <c r="V94" i="7" s="1"/>
  <c r="Y34" i="59" s="1"/>
  <c r="V35" i="7"/>
  <c r="V102" i="7" s="1"/>
  <c r="V52" i="7"/>
  <c r="V54" i="7"/>
  <c r="V96" i="7" s="1"/>
  <c r="V57" i="7"/>
  <c r="V58" i="7"/>
  <c r="V53" i="7"/>
  <c r="V60" i="7"/>
  <c r="V55" i="7"/>
  <c r="V56" i="7"/>
  <c r="V76" i="7"/>
  <c r="R32" i="7"/>
  <c r="R99" i="7" s="1"/>
  <c r="R59" i="7"/>
  <c r="R101" i="7" s="1"/>
  <c r="V31" i="7"/>
  <c r="V98" i="7" s="1"/>
  <c r="V25" i="7"/>
  <c r="V34" i="7"/>
  <c r="V90" i="7" s="1"/>
  <c r="V26" i="7"/>
  <c r="V91" i="7" s="1"/>
  <c r="V30" i="7"/>
  <c r="V95" i="7" s="1"/>
  <c r="Y35" i="59" s="1"/>
  <c r="V28" i="7"/>
  <c r="V93" i="7" s="1"/>
  <c r="Y33" i="59" s="1"/>
  <c r="R52" i="7"/>
  <c r="R22" i="7"/>
  <c r="R87" i="7" s="1"/>
  <c r="R23" i="7"/>
  <c r="V24" i="7"/>
  <c r="V22" i="7"/>
  <c r="V87" i="7" s="1"/>
  <c r="Y29" i="59" s="1"/>
  <c r="R57" i="7"/>
  <c r="R74" i="7"/>
  <c r="R24" i="7"/>
  <c r="R29" i="7"/>
  <c r="R94" i="7" s="1"/>
  <c r="U34" i="59" s="1"/>
  <c r="V67" i="7"/>
  <c r="V123" i="7"/>
  <c r="V124" i="7" s="1"/>
  <c r="V52" i="8"/>
  <c r="V111" i="8"/>
  <c r="V112" i="8" s="1"/>
  <c r="V53" i="8" s="1"/>
  <c r="V26" i="8"/>
  <c r="R56" i="7"/>
  <c r="R25" i="7"/>
  <c r="R26" i="7"/>
  <c r="R91" i="7" s="1"/>
  <c r="R76" i="7"/>
  <c r="R27" i="7"/>
  <c r="R92" i="7" s="1"/>
  <c r="R60" i="7"/>
  <c r="Q16" i="8"/>
  <c r="BE8" i="7"/>
  <c r="AS6" i="7"/>
  <c r="AW6" i="7" s="1"/>
  <c r="R110" i="8"/>
  <c r="R112" i="8" s="1"/>
  <c r="Q34" i="59"/>
  <c r="N53" i="8"/>
  <c r="Q43" i="59" s="1"/>
  <c r="Q44" i="59" s="1"/>
  <c r="N36" i="7"/>
  <c r="N51" i="7" s="1"/>
  <c r="N75" i="7" s="1"/>
  <c r="V88" i="7" l="1"/>
  <c r="Y30" i="59" s="1"/>
  <c r="R100" i="7"/>
  <c r="R89" i="7"/>
  <c r="R88" i="7"/>
  <c r="V100" i="7"/>
  <c r="Y32" i="59" s="1"/>
  <c r="V89" i="7"/>
  <c r="Y31" i="59" s="1"/>
  <c r="V125" i="7"/>
  <c r="V126" i="7"/>
  <c r="V127" i="7" s="1"/>
  <c r="V36" i="7"/>
  <c r="V51" i="7" s="1"/>
  <c r="V75" i="7" s="1"/>
  <c r="R36" i="7"/>
  <c r="R51" i="7" s="1"/>
  <c r="AO18" i="7"/>
  <c r="BF42" i="9"/>
  <c r="Y42" i="59"/>
  <c r="R53" i="8"/>
  <c r="U43" i="59" s="1"/>
  <c r="R52" i="8"/>
  <c r="U42" i="59" s="1"/>
  <c r="N103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R103" i="7" l="1"/>
  <c r="V128" i="7"/>
  <c r="V103" i="7"/>
  <c r="V61" i="7"/>
  <c r="AS18" i="7"/>
  <c r="AW18" i="7" s="1"/>
  <c r="AO20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U66" i="6" l="1"/>
  <c r="V102" i="6"/>
  <c r="V29" i="6"/>
  <c r="V69" i="6"/>
  <c r="AW20" i="7"/>
  <c r="V32" i="6"/>
  <c r="V120" i="6"/>
  <c r="V66" i="6"/>
  <c r="U69" i="6"/>
  <c r="U120" i="6"/>
  <c r="V26" i="6"/>
  <c r="AX99" i="6"/>
  <c r="BF99" i="6" s="1"/>
  <c r="AX75" i="6"/>
  <c r="BF75" i="6" s="1"/>
  <c r="AX117" i="6"/>
  <c r="BF117" i="6" s="1"/>
  <c r="AW99" i="6"/>
  <c r="BE99" i="6" s="1"/>
  <c r="AX96" i="6"/>
  <c r="BF96" i="6" s="1"/>
  <c r="U102" i="6"/>
  <c r="V115" i="6"/>
  <c r="AX73" i="6"/>
  <c r="BF73" i="6" s="1"/>
  <c r="U115" i="6"/>
  <c r="AW117" i="6"/>
  <c r="BE117" i="6" s="1"/>
  <c r="AX76" i="6"/>
  <c r="BF76" i="6" s="1"/>
  <c r="U97" i="6"/>
  <c r="V97" i="6"/>
  <c r="AX74" i="6"/>
  <c r="BF74" i="6" s="1"/>
  <c r="V77" i="6"/>
  <c r="U77" i="6"/>
  <c r="AS20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52" i="45"/>
  <c r="O147" i="45"/>
  <c r="O146" i="45"/>
  <c r="O135" i="45"/>
  <c r="N135" i="45"/>
  <c r="O133" i="45"/>
  <c r="N133" i="45"/>
  <c r="O109" i="45"/>
  <c r="O159" i="45" s="1"/>
  <c r="O8" i="45"/>
  <c r="O171" i="45" s="1"/>
  <c r="O177" i="45" s="1"/>
  <c r="O7" i="45"/>
  <c r="N7" i="45"/>
  <c r="O108" i="45" l="1"/>
  <c r="V121" i="6"/>
  <c r="V125" i="6" s="1"/>
  <c r="V175" i="6" s="1"/>
  <c r="U121" i="6"/>
  <c r="U125" i="6" s="1"/>
  <c r="U175" i="6" s="1"/>
  <c r="U103" i="6"/>
  <c r="U107" i="6" s="1"/>
  <c r="U150" i="6" s="1"/>
  <c r="V103" i="6"/>
  <c r="V107" i="6" s="1"/>
  <c r="V147" i="6" s="1"/>
  <c r="BE18" i="7"/>
  <c r="O137" i="45"/>
  <c r="O121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37" i="45"/>
  <c r="U173" i="6" l="1"/>
  <c r="V172" i="6"/>
  <c r="V173" i="6"/>
  <c r="Y22" i="59" s="1"/>
  <c r="U172" i="6"/>
  <c r="U147" i="6"/>
  <c r="U148" i="6"/>
  <c r="U149" i="6" s="1"/>
  <c r="V148" i="6"/>
  <c r="V149" i="6" s="1"/>
  <c r="V150" i="6"/>
  <c r="BE20" i="7"/>
  <c r="Q172" i="6"/>
  <c r="R175" i="6"/>
  <c r="R173" i="6"/>
  <c r="U22" i="59" s="1"/>
  <c r="Q173" i="6"/>
  <c r="R147" i="6"/>
  <c r="R148" i="6"/>
  <c r="R150" i="6"/>
  <c r="Q148" i="6"/>
  <c r="Q149" i="6" s="1"/>
  <c r="Q150" i="6"/>
  <c r="AC109" i="45"/>
  <c r="U174" i="6" l="1"/>
  <c r="V174" i="6"/>
  <c r="V8" i="36" s="1"/>
  <c r="Y9" i="59" s="1"/>
  <c r="Y15" i="59"/>
  <c r="V7" i="36"/>
  <c r="Y8" i="59" s="1"/>
  <c r="Q174" i="6"/>
  <c r="R174" i="6"/>
  <c r="R149" i="6"/>
  <c r="U15" i="59"/>
  <c r="N86" i="11" l="1"/>
  <c r="N91" i="11" s="1"/>
  <c r="N82" i="11"/>
  <c r="N81" i="11"/>
  <c r="N7" i="11"/>
  <c r="N5" i="11"/>
  <c r="M5" i="11"/>
  <c r="N185" i="10"/>
  <c r="N190" i="10" s="1"/>
  <c r="N181" i="10"/>
  <c r="N180" i="10"/>
  <c r="N5" i="10"/>
  <c r="N171" i="10" s="1"/>
  <c r="M5" i="10"/>
  <c r="N161" i="10" l="1"/>
  <c r="N72" i="11"/>
  <c r="N168" i="10"/>
  <c r="Q65" i="59" s="1"/>
  <c r="M72" i="11"/>
  <c r="AB57" i="11"/>
  <c r="N57" i="11"/>
  <c r="N59" i="11"/>
  <c r="N56" i="11"/>
  <c r="N55" i="11"/>
  <c r="N83" i="11"/>
  <c r="N90" i="11" s="1"/>
  <c r="M171" i="10"/>
  <c r="M69" i="11"/>
  <c r="P69" i="59" s="1"/>
  <c r="N170" i="10"/>
  <c r="N182" i="10"/>
  <c r="N189" i="10" s="1"/>
  <c r="N188" i="10"/>
  <c r="N69" i="11"/>
  <c r="Q69" i="59" s="1"/>
  <c r="N71" i="11"/>
  <c r="M71" i="11"/>
  <c r="N89" i="11"/>
  <c r="M170" i="10"/>
  <c r="M168" i="10"/>
  <c r="P65" i="59" s="1"/>
  <c r="N58" i="11" l="1"/>
  <c r="N183" i="10"/>
  <c r="N60" i="11"/>
  <c r="N84" i="11"/>
  <c r="R57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3" i="35"/>
  <c r="R53" i="35" s="1"/>
  <c r="M53" i="35"/>
  <c r="Q53" i="35" s="1"/>
  <c r="M51" i="35"/>
  <c r="M50" i="35"/>
  <c r="N42" i="35"/>
  <c r="R42" i="35" s="1"/>
  <c r="V42" i="35" s="1"/>
  <c r="N35" i="35"/>
  <c r="M35" i="35"/>
  <c r="N34" i="35"/>
  <c r="M34" i="35"/>
  <c r="M32" i="35"/>
  <c r="Q32" i="35" s="1"/>
  <c r="U32" i="35" s="1"/>
  <c r="V108" i="45" s="1"/>
  <c r="M31" i="35"/>
  <c r="Q31" i="35" s="1"/>
  <c r="U31" i="35" s="1"/>
  <c r="U56" i="11" s="1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7" i="15"/>
  <c r="R35" i="35"/>
  <c r="V13" i="35"/>
  <c r="V15" i="35" s="1"/>
  <c r="R15" i="35"/>
  <c r="AA50" i="35"/>
  <c r="AE50" i="35" s="1"/>
  <c r="AI50" i="35" s="1"/>
  <c r="AO50" i="35" s="1"/>
  <c r="AS50" i="35" s="1"/>
  <c r="AW50" i="35" s="1"/>
  <c r="BE50" i="35" s="1"/>
  <c r="Q50" i="35"/>
  <c r="U50" i="35" s="1"/>
  <c r="V18" i="35"/>
  <c r="Q17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AT27" i="35" s="1"/>
  <c r="AX27" i="35" s="1"/>
  <c r="BF27" i="35" s="1"/>
  <c r="R27" i="35"/>
  <c r="V27" i="35" s="1"/>
  <c r="AA34" i="35"/>
  <c r="AE34" i="35" s="1"/>
  <c r="Q34" i="35"/>
  <c r="AA51" i="35"/>
  <c r="AE51" i="35" s="1"/>
  <c r="AI51" i="35" s="1"/>
  <c r="AO51" i="35" s="1"/>
  <c r="AS51" i="35" s="1"/>
  <c r="AW51" i="35" s="1"/>
  <c r="BE51" i="35" s="1"/>
  <c r="Q51" i="35"/>
  <c r="U51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U53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5" i="11"/>
  <c r="U98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AE35" i="35" s="1"/>
  <c r="Q35" i="35"/>
  <c r="V53" i="35"/>
  <c r="V21" i="35" s="1"/>
  <c r="V26" i="9" s="1"/>
  <c r="R21" i="35"/>
  <c r="V107" i="45"/>
  <c r="V124" i="45"/>
  <c r="AF10" i="35"/>
  <c r="AB9" i="6"/>
  <c r="AB35" i="35"/>
  <c r="M46" i="36"/>
  <c r="M43" i="36"/>
  <c r="M45" i="36" s="1"/>
  <c r="M40" i="36"/>
  <c r="M42" i="36" s="1"/>
  <c r="N49" i="36"/>
  <c r="N51" i="36"/>
  <c r="N52" i="36"/>
  <c r="N54" i="36"/>
  <c r="N48" i="36"/>
  <c r="N15" i="35"/>
  <c r="AB9" i="35"/>
  <c r="N11" i="35"/>
  <c r="N10" i="6" s="1"/>
  <c r="AA32" i="35"/>
  <c r="AE32" i="35" s="1"/>
  <c r="N108" i="45"/>
  <c r="L9" i="15"/>
  <c r="AA28" i="35"/>
  <c r="AE28" i="35" s="1"/>
  <c r="M9" i="15"/>
  <c r="AB28" i="35"/>
  <c r="AF28" i="35" s="1"/>
  <c r="L17" i="15"/>
  <c r="AA18" i="35"/>
  <c r="AE18" i="35" s="1"/>
  <c r="AI18" i="35" s="1"/>
  <c r="M17" i="15"/>
  <c r="AB18" i="35"/>
  <c r="AF18" i="35" s="1"/>
  <c r="AJ18" i="35" s="1"/>
  <c r="AA31" i="35"/>
  <c r="AE31" i="35" s="1"/>
  <c r="M56" i="11"/>
  <c r="AB42" i="35"/>
  <c r="AF42" i="35" s="1"/>
  <c r="AJ42" i="35" s="1"/>
  <c r="AP42" i="35" s="1"/>
  <c r="AB53" i="35"/>
  <c r="AF53" i="35" s="1"/>
  <c r="N21" i="35"/>
  <c r="AA53" i="35"/>
  <c r="AE53" i="35" s="1"/>
  <c r="M21" i="35"/>
  <c r="M26" i="9" s="1"/>
  <c r="N28" i="21"/>
  <c r="N12" i="21"/>
  <c r="N24" i="21"/>
  <c r="N25" i="21" s="1"/>
  <c r="AQ52" i="36" l="1"/>
  <c r="O52" i="36"/>
  <c r="M98" i="11"/>
  <c r="R12" i="21"/>
  <c r="V12" i="21"/>
  <c r="U7" i="21"/>
  <c r="AE26" i="35"/>
  <c r="AJ17" i="35"/>
  <c r="AF11" i="36"/>
  <c r="AI38" i="59" s="1"/>
  <c r="AF12" i="36"/>
  <c r="AI39" i="59" s="1"/>
  <c r="AE98" i="50"/>
  <c r="AG98" i="50" s="1"/>
  <c r="AI26" i="35"/>
  <c r="AF26" i="35"/>
  <c r="AO26" i="35"/>
  <c r="AP26" i="35"/>
  <c r="AJ26" i="35"/>
  <c r="V9" i="35"/>
  <c r="R11" i="35"/>
  <c r="AI98" i="50"/>
  <c r="AP18" i="35"/>
  <c r="AO17" i="15" s="1"/>
  <c r="AI17" i="15"/>
  <c r="AJ5" i="9"/>
  <c r="V35" i="35"/>
  <c r="U35" i="35"/>
  <c r="V5" i="9"/>
  <c r="V49" i="36"/>
  <c r="V52" i="36"/>
  <c r="W52" i="36" s="1"/>
  <c r="V54" i="36"/>
  <c r="V51" i="36"/>
  <c r="V16" i="36"/>
  <c r="Y54" i="59" s="1"/>
  <c r="V48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40" i="36" s="1"/>
  <c r="AO42" i="36" s="1"/>
  <c r="AH17" i="15"/>
  <c r="AI5" i="9"/>
  <c r="U34" i="35"/>
  <c r="Q36" i="35"/>
  <c r="Q48" i="35" s="1"/>
  <c r="U5" i="9"/>
  <c r="U46" i="36"/>
  <c r="U40" i="36"/>
  <c r="U42" i="36" s="1"/>
  <c r="U43" i="36"/>
  <c r="U45" i="36" s="1"/>
  <c r="BC52" i="36"/>
  <c r="AI35" i="35"/>
  <c r="AF9" i="35"/>
  <c r="AF8" i="6" s="1"/>
  <c r="AB8" i="6"/>
  <c r="AJ10" i="35"/>
  <c r="AF9" i="6"/>
  <c r="O135" i="50"/>
  <c r="AF35" i="35"/>
  <c r="AW26" i="35"/>
  <c r="BE26" i="35"/>
  <c r="AT42" i="35"/>
  <c r="AX42" i="35" s="1"/>
  <c r="BF42" i="35" s="1"/>
  <c r="AS26" i="35"/>
  <c r="AT26" i="35"/>
  <c r="AX24" i="35"/>
  <c r="AI53" i="35"/>
  <c r="AE21" i="35"/>
  <c r="AE26" i="9" s="1"/>
  <c r="AJ28" i="35"/>
  <c r="AI9" i="15" s="1"/>
  <c r="AE9" i="15"/>
  <c r="AF21" i="35"/>
  <c r="AF26" i="9" s="1"/>
  <c r="AJ53" i="35"/>
  <c r="AJ21" i="35" s="1"/>
  <c r="AI28" i="35"/>
  <c r="AH9" i="15" s="1"/>
  <c r="AD9" i="15"/>
  <c r="AI34" i="35"/>
  <c r="AM98" i="50" s="1"/>
  <c r="AM101" i="50" s="1"/>
  <c r="AM102" i="50" s="1"/>
  <c r="AE36" i="35"/>
  <c r="AE48" i="35" s="1"/>
  <c r="AJ54" i="36"/>
  <c r="AI43" i="36"/>
  <c r="AI45" i="36" s="1"/>
  <c r="AI46" i="36"/>
  <c r="AI40" i="36"/>
  <c r="AI42" i="36" s="1"/>
  <c r="AE56" i="11"/>
  <c r="AI31" i="35"/>
  <c r="AI56" i="11" s="1"/>
  <c r="AF108" i="45"/>
  <c r="AI32" i="35"/>
  <c r="AJ108" i="45" s="1"/>
  <c r="AD17" i="15"/>
  <c r="AE40" i="36"/>
  <c r="AE42" i="36" s="1"/>
  <c r="AE43" i="36"/>
  <c r="AE45" i="36" s="1"/>
  <c r="AE46" i="36"/>
  <c r="AE5" i="9"/>
  <c r="AF5" i="9"/>
  <c r="AE17" i="15"/>
  <c r="AF54" i="36"/>
  <c r="N50" i="36"/>
  <c r="AB52" i="36"/>
  <c r="AC52" i="36" s="1"/>
  <c r="N53" i="36"/>
  <c r="AB11" i="35"/>
  <c r="AB10" i="6" s="1"/>
  <c r="M55" i="11"/>
  <c r="M58" i="11"/>
  <c r="AA56" i="11"/>
  <c r="N124" i="45"/>
  <c r="N107" i="45"/>
  <c r="N123" i="45"/>
  <c r="M79" i="11"/>
  <c r="P70" i="59" s="1"/>
  <c r="AB108" i="45"/>
  <c r="F26" i="9"/>
  <c r="AE101" i="50" l="1"/>
  <c r="AE102" i="50" s="1"/>
  <c r="AF107" i="45"/>
  <c r="AE55" i="11"/>
  <c r="AP17" i="35"/>
  <c r="AJ11" i="36"/>
  <c r="AM38" i="59" s="1"/>
  <c r="AJ12" i="36"/>
  <c r="AM39" i="59" s="1"/>
  <c r="U36" i="35"/>
  <c r="U48" i="35" s="1"/>
  <c r="AY52" i="36"/>
  <c r="AI101" i="50"/>
  <c r="AI102" i="50" s="1"/>
  <c r="AQ98" i="50"/>
  <c r="AQ101" i="50" s="1"/>
  <c r="AQ102" i="50" s="1"/>
  <c r="AN17" i="15"/>
  <c r="AO5" i="9"/>
  <c r="AO33" i="22" s="1"/>
  <c r="AS18" i="35"/>
  <c r="AW18" i="35" s="1"/>
  <c r="AO46" i="36"/>
  <c r="AO43" i="36"/>
  <c r="AO45" i="36" s="1"/>
  <c r="AT18" i="35"/>
  <c r="AX18" i="35" s="1"/>
  <c r="AW17" i="15" s="1"/>
  <c r="V53" i="36"/>
  <c r="AP5" i="9"/>
  <c r="AO132" i="26" s="1"/>
  <c r="AP54" i="36"/>
  <c r="AI33" i="22"/>
  <c r="AH132" i="26"/>
  <c r="AI132" i="26"/>
  <c r="AJ33" i="22"/>
  <c r="AJ78" i="9"/>
  <c r="AJ77" i="9"/>
  <c r="AJ79" i="9"/>
  <c r="AI98" i="11"/>
  <c r="AI55" i="11"/>
  <c r="T132" i="26"/>
  <c r="U33" i="22"/>
  <c r="U89" i="9"/>
  <c r="Y37" i="59"/>
  <c r="V13" i="36"/>
  <c r="Y40" i="59" s="1"/>
  <c r="V50" i="36"/>
  <c r="U132" i="26"/>
  <c r="V33" i="22"/>
  <c r="V77" i="9"/>
  <c r="V76" i="9"/>
  <c r="V73" i="9"/>
  <c r="V75" i="9"/>
  <c r="V78" i="9"/>
  <c r="V94" i="9"/>
  <c r="Y60" i="59"/>
  <c r="V89" i="9"/>
  <c r="V72" i="9"/>
  <c r="V74" i="9"/>
  <c r="V79" i="9"/>
  <c r="AJ124" i="45"/>
  <c r="AJ107" i="45"/>
  <c r="AK98" i="50"/>
  <c r="AK101" i="50" s="1"/>
  <c r="AK102" i="50" s="1"/>
  <c r="V8" i="6"/>
  <c r="V11" i="35"/>
  <c r="V10" i="6" s="1"/>
  <c r="AF11" i="35"/>
  <c r="AF10" i="6" s="1"/>
  <c r="AJ9" i="35"/>
  <c r="AJ8" i="6" s="1"/>
  <c r="AO35" i="35"/>
  <c r="AP10" i="35"/>
  <c r="AJ9" i="6"/>
  <c r="AC135" i="50"/>
  <c r="AJ35" i="35"/>
  <c r="AX26" i="35"/>
  <c r="BF24" i="35"/>
  <c r="BF26" i="35" s="1"/>
  <c r="AI36" i="35"/>
  <c r="AI48" i="35" s="1"/>
  <c r="AO48" i="35" s="1"/>
  <c r="AO34" i="35"/>
  <c r="AS98" i="50" s="1"/>
  <c r="AG101" i="50"/>
  <c r="AP28" i="35"/>
  <c r="AP53" i="35"/>
  <c r="AJ26" i="9"/>
  <c r="AO28" i="35"/>
  <c r="AO53" i="35"/>
  <c r="AI21" i="35"/>
  <c r="AI26" i="9" s="1"/>
  <c r="AO32" i="35"/>
  <c r="AO31" i="35"/>
  <c r="AE98" i="11"/>
  <c r="AF124" i="45"/>
  <c r="AM60" i="59"/>
  <c r="AF33" i="22"/>
  <c r="AE132" i="26"/>
  <c r="AF78" i="9"/>
  <c r="AF79" i="9"/>
  <c r="AI60" i="59"/>
  <c r="AF77" i="9"/>
  <c r="AE33" i="22"/>
  <c r="AD132" i="26"/>
  <c r="AA55" i="11"/>
  <c r="AA98" i="11"/>
  <c r="AB124" i="45"/>
  <c r="AB107" i="45"/>
  <c r="BL42" i="35"/>
  <c r="BL39" i="35"/>
  <c r="AT54" i="36" l="1"/>
  <c r="AS60" i="59"/>
  <c r="V19" i="36"/>
  <c r="Y57" i="59" s="1"/>
  <c r="AP33" i="22"/>
  <c r="AP12" i="36"/>
  <c r="AS39" i="59" s="1"/>
  <c r="AT17" i="35"/>
  <c r="AP11" i="36"/>
  <c r="AS38" i="59" s="1"/>
  <c r="AS101" i="50"/>
  <c r="AS102" i="50" s="1"/>
  <c r="AU98" i="50"/>
  <c r="AU101" i="50" s="1"/>
  <c r="AU102" i="50" s="1"/>
  <c r="AN132" i="26"/>
  <c r="AW46" i="36"/>
  <c r="AV17" i="15"/>
  <c r="AW5" i="9"/>
  <c r="AP78" i="9"/>
  <c r="AX5" i="9"/>
  <c r="AS46" i="36"/>
  <c r="AW43" i="36"/>
  <c r="AW45" i="36" s="1"/>
  <c r="BE18" i="35"/>
  <c r="BE5" i="9" s="1"/>
  <c r="AS43" i="36"/>
  <c r="AS45" i="36" s="1"/>
  <c r="AR17" i="15"/>
  <c r="AS40" i="36"/>
  <c r="AS42" i="36" s="1"/>
  <c r="AW40" i="36"/>
  <c r="AW42" i="36" s="1"/>
  <c r="AP79" i="9"/>
  <c r="AP77" i="9"/>
  <c r="AS5" i="9"/>
  <c r="AS33" i="22" s="1"/>
  <c r="BF18" i="35"/>
  <c r="BF5" i="9" s="1"/>
  <c r="AT5" i="9"/>
  <c r="AW60" i="59" s="1"/>
  <c r="AX54" i="36"/>
  <c r="AS17" i="15"/>
  <c r="AP9" i="35"/>
  <c r="AP8" i="6" s="1"/>
  <c r="AJ11" i="35"/>
  <c r="AJ10" i="6" s="1"/>
  <c r="AS35" i="35"/>
  <c r="AP9" i="6"/>
  <c r="AT10" i="35"/>
  <c r="AG135" i="50"/>
  <c r="AP35" i="35"/>
  <c r="AS31" i="35"/>
  <c r="AS56" i="11" s="1"/>
  <c r="AS34" i="35"/>
  <c r="AW98" i="50" s="1"/>
  <c r="AY98" i="50" s="1"/>
  <c r="AY101" i="50" s="1"/>
  <c r="AY102" i="50" s="1"/>
  <c r="AO36" i="35"/>
  <c r="AP108" i="45"/>
  <c r="AS32" i="35"/>
  <c r="AS53" i="35"/>
  <c r="AO21" i="35"/>
  <c r="AO26" i="9" s="1"/>
  <c r="AT53" i="35"/>
  <c r="AP21" i="35"/>
  <c r="AP26" i="9" s="1"/>
  <c r="AT28" i="35"/>
  <c r="AO9" i="15"/>
  <c r="AN9" i="15"/>
  <c r="AS28" i="35"/>
  <c r="AO56" i="11"/>
  <c r="BQ42" i="35"/>
  <c r="BN48" i="35"/>
  <c r="BN42" i="35"/>
  <c r="BN41" i="35"/>
  <c r="BN39" i="35"/>
  <c r="BM49" i="35"/>
  <c r="BO49" i="35"/>
  <c r="BP49" i="35"/>
  <c r="BL49" i="35"/>
  <c r="AP124" i="45" l="1"/>
  <c r="AX17" i="35"/>
  <c r="AT11" i="36"/>
  <c r="AW38" i="59" s="1"/>
  <c r="AT12" i="36"/>
  <c r="AW39" i="59" s="1"/>
  <c r="AW101" i="50"/>
  <c r="AW102" i="50" s="1"/>
  <c r="AW33" i="22"/>
  <c r="AV132" i="26"/>
  <c r="AW132" i="26"/>
  <c r="AX33" i="22"/>
  <c r="AR132" i="26"/>
  <c r="AX77" i="9"/>
  <c r="AX78" i="9"/>
  <c r="AX79" i="9"/>
  <c r="BA60" i="59"/>
  <c r="AT79" i="9"/>
  <c r="AS132" i="26"/>
  <c r="AT78" i="9"/>
  <c r="AT77" i="9"/>
  <c r="AT33" i="22"/>
  <c r="AP11" i="35"/>
  <c r="AP10" i="6" s="1"/>
  <c r="AT9" i="35"/>
  <c r="AT8" i="6" s="1"/>
  <c r="AK135" i="50"/>
  <c r="AW35" i="35"/>
  <c r="AX10" i="35"/>
  <c r="AX9" i="6" s="1"/>
  <c r="AT9" i="6"/>
  <c r="BE33" i="22"/>
  <c r="BD132" i="26"/>
  <c r="AT35" i="35"/>
  <c r="BF33" i="22"/>
  <c r="BE132" i="26"/>
  <c r="BI60" i="59"/>
  <c r="AS55" i="11"/>
  <c r="AS98" i="11"/>
  <c r="AW31" i="35"/>
  <c r="BF77" i="9"/>
  <c r="BF78" i="9"/>
  <c r="BF79" i="9"/>
  <c r="AS9" i="15"/>
  <c r="AX28" i="35"/>
  <c r="AW9" i="15" s="1"/>
  <c r="AT21" i="35"/>
  <c r="AT26" i="9" s="1"/>
  <c r="AX53" i="35"/>
  <c r="AS21" i="35"/>
  <c r="AS26" i="9" s="1"/>
  <c r="AW53" i="35"/>
  <c r="AS36" i="35"/>
  <c r="AS48" i="35" s="1"/>
  <c r="AW34" i="35"/>
  <c r="BA98" i="50" s="1"/>
  <c r="BA101" i="50" s="1"/>
  <c r="BA102" i="50" s="1"/>
  <c r="AR9" i="15"/>
  <c r="AW28" i="35"/>
  <c r="AV9" i="15" s="1"/>
  <c r="AT108" i="45"/>
  <c r="AW32" i="35"/>
  <c r="AP107" i="45"/>
  <c r="AO98" i="11"/>
  <c r="AO55" i="11"/>
  <c r="BN49" i="35"/>
  <c r="BL55" i="35" s="1"/>
  <c r="BJ55" i="35"/>
  <c r="BK55" i="35"/>
  <c r="BM55" i="35"/>
  <c r="AT124" i="45" l="1"/>
  <c r="BF17" i="35"/>
  <c r="AX11" i="36"/>
  <c r="BA38" i="59" s="1"/>
  <c r="AX12" i="36"/>
  <c r="BA39" i="59" s="1"/>
  <c r="BG98" i="50"/>
  <c r="BG101" i="50" s="1"/>
  <c r="BG102" i="50" s="1"/>
  <c r="AW56" i="11"/>
  <c r="BE32" i="35"/>
  <c r="BF108" i="45" s="1"/>
  <c r="AX108" i="45"/>
  <c r="AX9" i="35"/>
  <c r="AX8" i="6" s="1"/>
  <c r="AT11" i="35"/>
  <c r="AT10" i="6" s="1"/>
  <c r="BE35" i="35"/>
  <c r="BF10" i="35"/>
  <c r="BF9" i="6" s="1"/>
  <c r="BF28" i="35"/>
  <c r="BE9" i="15" s="1"/>
  <c r="AX35" i="35"/>
  <c r="AX21" i="35"/>
  <c r="AX26" i="9" s="1"/>
  <c r="BF53" i="35"/>
  <c r="BF21" i="35" s="1"/>
  <c r="BF26" i="9" s="1"/>
  <c r="AW21" i="35"/>
  <c r="AW26" i="9" s="1"/>
  <c r="BE53" i="35"/>
  <c r="BE21" i="35" s="1"/>
  <c r="BE26" i="9" s="1"/>
  <c r="BE31" i="35"/>
  <c r="BE28" i="35"/>
  <c r="BD9" i="15" s="1"/>
  <c r="AW36" i="35"/>
  <c r="AW48" i="35" s="1"/>
  <c r="BE48" i="35" s="1"/>
  <c r="BE34" i="35"/>
  <c r="AT107" i="45"/>
  <c r="N39" i="35"/>
  <c r="BF107" i="45" l="1"/>
  <c r="BF9" i="35"/>
  <c r="BF11" i="35" s="1"/>
  <c r="BF10" i="6" s="1"/>
  <c r="AW55" i="11"/>
  <c r="BE55" i="11" s="1"/>
  <c r="BF124" i="45"/>
  <c r="AW98" i="11"/>
  <c r="BF12" i="36"/>
  <c r="BI39" i="59" s="1"/>
  <c r="BF11" i="36"/>
  <c r="BI38" i="59" s="1"/>
  <c r="AX11" i="35"/>
  <c r="AX10" i="6" s="1"/>
  <c r="BE56" i="11"/>
  <c r="AX124" i="45"/>
  <c r="AX107" i="45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35" i="35"/>
  <c r="BF8" i="6" l="1"/>
  <c r="BE98" i="11"/>
  <c r="H21" i="15"/>
  <c r="I103" i="17" l="1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I112" i="17"/>
  <c r="Q112" i="17" s="1"/>
  <c r="U112" i="17" s="1"/>
  <c r="J10" i="52" l="1"/>
  <c r="I10" i="52"/>
  <c r="J6" i="52"/>
  <c r="J8" i="52"/>
  <c r="J5" i="52"/>
  <c r="I6" i="52"/>
  <c r="I8" i="52"/>
  <c r="I5" i="52"/>
  <c r="J9" i="52" l="1"/>
  <c r="J16" i="52"/>
  <c r="I9" i="52"/>
  <c r="I16" i="52"/>
  <c r="J17" i="52" l="1"/>
  <c r="I17" i="52"/>
  <c r="H10" i="17"/>
  <c r="P10" i="17" s="1"/>
  <c r="T10" i="17" s="1"/>
  <c r="E12" i="17"/>
  <c r="G58" i="71" l="1"/>
  <c r="F56" i="11" l="1"/>
  <c r="F60" i="11" l="1"/>
  <c r="G115" i="50"/>
  <c r="F174" i="26"/>
  <c r="N79" i="11"/>
  <c r="Q70" i="59" s="1"/>
  <c r="N22" i="36"/>
  <c r="Q68" i="59" s="1"/>
  <c r="F31" i="35"/>
  <c r="F98" i="11" s="1"/>
  <c r="F169" i="26"/>
  <c r="K115" i="50" l="1"/>
  <c r="O115" i="50"/>
  <c r="G117" i="50"/>
  <c r="N31" i="35"/>
  <c r="R31" i="35" s="1"/>
  <c r="V31" i="35" s="1"/>
  <c r="F173" i="26"/>
  <c r="F166" i="26"/>
  <c r="S115" i="50" l="1"/>
  <c r="W115" i="50" s="1"/>
  <c r="AC115" i="50"/>
  <c r="AG115" i="50" s="1"/>
  <c r="AK115" i="50" s="1"/>
  <c r="AQ115" i="50" s="1"/>
  <c r="AB31" i="35"/>
  <c r="AF31" i="35" s="1"/>
  <c r="N98" i="11"/>
  <c r="AQ117" i="50" l="1"/>
  <c r="AU115" i="50"/>
  <c r="AJ31" i="35"/>
  <c r="K109" i="45"/>
  <c r="AU117" i="50" l="1"/>
  <c r="AY115" i="50"/>
  <c r="O4" i="61"/>
  <c r="O16" i="61" s="1"/>
  <c r="AP31" i="35"/>
  <c r="F79" i="11"/>
  <c r="AY117" i="50" l="1"/>
  <c r="BG115" i="50"/>
  <c r="BG117" i="50" s="1"/>
  <c r="AT31" i="35"/>
  <c r="AX31" i="35" s="1"/>
  <c r="J57" i="11"/>
  <c r="BF31" i="35" l="1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J43" i="9"/>
  <c r="J44" i="9"/>
  <c r="J45" i="9"/>
  <c r="J159" i="9"/>
  <c r="J158" i="9"/>
  <c r="J157" i="9"/>
  <c r="A41" i="9" l="1"/>
  <c r="AA85" i="7" l="1"/>
  <c r="Y85" i="7"/>
  <c r="I85" i="7"/>
  <c r="E85" i="7"/>
  <c r="AA115" i="7"/>
  <c r="AA114" i="7"/>
  <c r="AA113" i="7"/>
  <c r="AA112" i="7"/>
  <c r="AA111" i="7"/>
  <c r="AA110" i="7"/>
  <c r="AA109" i="7"/>
  <c r="AA108" i="7"/>
  <c r="AA107" i="7"/>
  <c r="AA106" i="7"/>
  <c r="Y115" i="7"/>
  <c r="BK115" i="7" s="1"/>
  <c r="BM115" i="7" s="1"/>
  <c r="Y114" i="7"/>
  <c r="BK114" i="7" s="1"/>
  <c r="BM114" i="7" s="1"/>
  <c r="Y113" i="7"/>
  <c r="Y112" i="7"/>
  <c r="Y111" i="7"/>
  <c r="Y110" i="7"/>
  <c r="Y109" i="7"/>
  <c r="Y108" i="7"/>
  <c r="Y107" i="7"/>
  <c r="Y106" i="7"/>
  <c r="I115" i="7"/>
  <c r="I114" i="7"/>
  <c r="I113" i="7"/>
  <c r="I112" i="7"/>
  <c r="I111" i="7"/>
  <c r="I110" i="7"/>
  <c r="I109" i="7"/>
  <c r="I108" i="7"/>
  <c r="I107" i="7"/>
  <c r="I106" i="7"/>
  <c r="E115" i="7"/>
  <c r="E114" i="7"/>
  <c r="E113" i="7"/>
  <c r="E112" i="7"/>
  <c r="E111" i="7"/>
  <c r="E110" i="7"/>
  <c r="E109" i="7"/>
  <c r="E108" i="7"/>
  <c r="E107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21" i="73" l="1"/>
  <c r="Q121" i="73" l="1"/>
  <c r="M136" i="73"/>
  <c r="U121" i="73"/>
  <c r="AA121" i="73"/>
  <c r="I121" i="73"/>
  <c r="I136" i="73" s="1"/>
  <c r="Q136" i="73" l="1"/>
  <c r="U136" i="73" s="1"/>
  <c r="AA136" i="73"/>
  <c r="BE51" i="36"/>
  <c r="BE49" i="36"/>
  <c r="BE48" i="36"/>
  <c r="AA54" i="36"/>
  <c r="AA51" i="36"/>
  <c r="AA53" i="36" s="1"/>
  <c r="AA49" i="36"/>
  <c r="AA48" i="36"/>
  <c r="Y54" i="36"/>
  <c r="Y51" i="36"/>
  <c r="Y53" i="36" s="1"/>
  <c r="Y49" i="36"/>
  <c r="Y48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BH54" i="59" s="1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54" i="36"/>
  <c r="E51" i="36"/>
  <c r="E49" i="36"/>
  <c r="E41" i="36" s="1"/>
  <c r="E48" i="36"/>
  <c r="D50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I13" i="49" l="1"/>
  <c r="L6" i="59"/>
  <c r="BH79" i="59"/>
  <c r="BD7" i="15"/>
  <c r="BH78" i="59"/>
  <c r="BD6" i="15"/>
  <c r="BH77" i="59"/>
  <c r="BD5" i="15"/>
  <c r="BH6" i="59"/>
  <c r="BE13" i="49"/>
  <c r="D19" i="36"/>
  <c r="AE121" i="73"/>
  <c r="AE136" i="73" s="1"/>
  <c r="L5" i="15"/>
  <c r="P77" i="59"/>
  <c r="P6" i="59"/>
  <c r="L6" i="15"/>
  <c r="P78" i="59"/>
  <c r="L7" i="15"/>
  <c r="P79" i="59"/>
  <c r="Y50" i="36"/>
  <c r="AA50" i="36"/>
  <c r="BE50" i="36"/>
  <c r="O19" i="36" l="1"/>
  <c r="R57" i="59" s="1"/>
  <c r="W19" i="36"/>
  <c r="Z57" i="59" s="1"/>
  <c r="S19" i="36"/>
  <c r="V57" i="59" s="1"/>
  <c r="K19" i="36"/>
  <c r="N57" i="59" s="1"/>
  <c r="G19" i="36"/>
  <c r="J57" i="59" s="1"/>
  <c r="AY19" i="36"/>
  <c r="BB57" i="59" s="1"/>
  <c r="AU19" i="36"/>
  <c r="AX57" i="59" s="1"/>
  <c r="AQ19" i="36"/>
  <c r="AT57" i="59" s="1"/>
  <c r="AK19" i="36"/>
  <c r="AN57" i="59" s="1"/>
  <c r="AC19" i="36"/>
  <c r="AF57" i="59" s="1"/>
  <c r="U19" i="36"/>
  <c r="X57" i="59" s="1"/>
  <c r="G57" i="59"/>
  <c r="BE19" i="36"/>
  <c r="BH57" i="59" s="1"/>
  <c r="BC19" i="36"/>
  <c r="BF57" i="59" s="1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AG19" i="36"/>
  <c r="AJ57" i="59" s="1"/>
  <c r="I19" i="36"/>
  <c r="L57" i="59" s="1"/>
  <c r="E19" i="36"/>
  <c r="H57" i="59" s="1"/>
  <c r="AS19" i="36"/>
  <c r="AV57" i="59" s="1"/>
  <c r="BA19" i="36"/>
  <c r="BD57" i="59" s="1"/>
  <c r="Q19" i="36"/>
  <c r="AE19" i="36"/>
  <c r="AH57" i="59" s="1"/>
  <c r="AM19" i="36"/>
  <c r="AP57" i="59" s="1"/>
  <c r="AI121" i="73"/>
  <c r="AI136" i="73" s="1"/>
  <c r="J10" i="21"/>
  <c r="J6" i="21"/>
  <c r="J42" i="35"/>
  <c r="J43" i="35"/>
  <c r="AO121" i="73" l="1"/>
  <c r="AS121" i="73" l="1"/>
  <c r="AO136" i="73"/>
  <c r="AW121" i="73" l="1"/>
  <c r="AS136" i="73"/>
  <c r="L14" i="15"/>
  <c r="P14" i="15" s="1"/>
  <c r="L12" i="15"/>
  <c r="P12" i="15" s="1"/>
  <c r="H12" i="15"/>
  <c r="L11" i="15"/>
  <c r="P11" i="15" s="1"/>
  <c r="H11" i="15"/>
  <c r="I14" i="15"/>
  <c r="M14" i="15"/>
  <c r="Q14" i="15" s="1"/>
  <c r="L15" i="15"/>
  <c r="P15" i="15" s="1"/>
  <c r="H14" i="15"/>
  <c r="P16" i="15" l="1"/>
  <c r="AW136" i="73"/>
  <c r="BE121" i="73"/>
  <c r="BE136" i="73" s="1"/>
  <c r="T12" i="15"/>
  <c r="T11" i="15"/>
  <c r="Z11" i="15"/>
  <c r="AD11" i="15" s="1"/>
  <c r="T14" i="15"/>
  <c r="U14" i="15"/>
  <c r="Z14" i="15"/>
  <c r="AD14" i="15" s="1"/>
  <c r="D174" i="26"/>
  <c r="AH14" i="15" l="1"/>
  <c r="AN14" i="15" s="1"/>
  <c r="AR14" i="15" s="1"/>
  <c r="AH11" i="15"/>
  <c r="AN11" i="15" s="1"/>
  <c r="AR11" i="15" s="1"/>
  <c r="T15" i="15"/>
  <c r="Z15" i="15"/>
  <c r="AD15" i="15" s="1"/>
  <c r="D169" i="26"/>
  <c r="D166" i="26"/>
  <c r="D16" i="17"/>
  <c r="D117" i="17"/>
  <c r="D115" i="17"/>
  <c r="E87" i="17"/>
  <c r="D87" i="17"/>
  <c r="E86" i="17"/>
  <c r="D86" i="17"/>
  <c r="E85" i="17"/>
  <c r="D85" i="17"/>
  <c r="E84" i="17"/>
  <c r="D84" i="17"/>
  <c r="E83" i="17"/>
  <c r="D83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E45" i="17" s="1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AV11" i="15" l="1"/>
  <c r="BD11" i="15" s="1"/>
  <c r="AV14" i="15"/>
  <c r="BD14" i="15" s="1"/>
  <c r="AH15" i="15"/>
  <c r="AN15" i="15" s="1"/>
  <c r="AR15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6" i="15"/>
  <c r="D59" i="17"/>
  <c r="D60" i="17" s="1"/>
  <c r="E13" i="17"/>
  <c r="D22" i="17"/>
  <c r="D31" i="17" s="1"/>
  <c r="D173" i="26"/>
  <c r="D50" i="17"/>
  <c r="D114" i="17" s="1"/>
  <c r="E33" i="17"/>
  <c r="D119" i="17"/>
  <c r="D116" i="17"/>
  <c r="E30" i="17"/>
  <c r="E32" i="17"/>
  <c r="E34" i="17"/>
  <c r="E50" i="17"/>
  <c r="E116" i="17"/>
  <c r="E62" i="17"/>
  <c r="AI32" i="17" l="1"/>
  <c r="AI31" i="17"/>
  <c r="AI34" i="17"/>
  <c r="AI33" i="17"/>
  <c r="AV15" i="15"/>
  <c r="BD15" i="15" s="1"/>
  <c r="AV44" i="17"/>
  <c r="AS26" i="17"/>
  <c r="AI11" i="17"/>
  <c r="AI116" i="17"/>
  <c r="AE34" i="17"/>
  <c r="AO16" i="17"/>
  <c r="AS16" i="17" s="1"/>
  <c r="AE32" i="17"/>
  <c r="AE31" i="17"/>
  <c r="AN9" i="17"/>
  <c r="AE33" i="17"/>
  <c r="AO52" i="17"/>
  <c r="AO9" i="17"/>
  <c r="AE116" i="17"/>
  <c r="AE11" i="17"/>
  <c r="AN16" i="17"/>
  <c r="AR16" i="17" s="1"/>
  <c r="D62" i="17"/>
  <c r="E117" i="17"/>
  <c r="AA116" i="17"/>
  <c r="D34" i="17"/>
  <c r="D33" i="17"/>
  <c r="D32" i="17"/>
  <c r="E15" i="17"/>
  <c r="D118" i="17"/>
  <c r="D54" i="17"/>
  <c r="E54" i="17"/>
  <c r="E51" i="17"/>
  <c r="E114" i="17"/>
  <c r="E118" i="17" s="1"/>
  <c r="G109" i="45"/>
  <c r="F108" i="45"/>
  <c r="G157" i="45"/>
  <c r="G154" i="45"/>
  <c r="G148" i="45"/>
  <c r="G141" i="45"/>
  <c r="F141" i="45"/>
  <c r="G140" i="45"/>
  <c r="F140" i="45"/>
  <c r="G138" i="45"/>
  <c r="G139" i="45" s="1"/>
  <c r="G136" i="45"/>
  <c r="F136" i="45"/>
  <c r="G134" i="45"/>
  <c r="F134" i="45"/>
  <c r="G131" i="45"/>
  <c r="F131" i="45"/>
  <c r="AS31" i="17" l="1"/>
  <c r="AW16" i="17"/>
  <c r="BE16" i="17" s="1"/>
  <c r="AS34" i="17"/>
  <c r="AS32" i="17"/>
  <c r="AV16" i="17"/>
  <c r="BD16" i="17" s="1"/>
  <c r="AR9" i="17"/>
  <c r="AS9" i="17"/>
  <c r="AS52" i="17"/>
  <c r="O157" i="45"/>
  <c r="N131" i="45"/>
  <c r="G155" i="45"/>
  <c r="BD44" i="17"/>
  <c r="AS33" i="17"/>
  <c r="AW26" i="17"/>
  <c r="E115" i="17"/>
  <c r="E119" i="17" s="1"/>
  <c r="E55" i="17"/>
  <c r="AO34" i="17"/>
  <c r="AO32" i="17"/>
  <c r="AO31" i="17"/>
  <c r="AO116" i="17"/>
  <c r="AO11" i="17"/>
  <c r="AO33" i="17"/>
  <c r="F123" i="45"/>
  <c r="G124" i="45"/>
  <c r="G132" i="45"/>
  <c r="O131" i="45"/>
  <c r="F132" i="45"/>
  <c r="O138" i="45"/>
  <c r="O139" i="45" s="1"/>
  <c r="G107" i="45"/>
  <c r="G159" i="45"/>
  <c r="F107" i="45"/>
  <c r="F144" i="45"/>
  <c r="G149" i="45"/>
  <c r="F124" i="45"/>
  <c r="G150" i="45"/>
  <c r="AW33" i="17" l="1"/>
  <c r="AW31" i="17"/>
  <c r="AW34" i="17"/>
  <c r="AW32" i="17"/>
  <c r="AV9" i="17"/>
  <c r="AW52" i="17"/>
  <c r="AW9" i="17"/>
  <c r="AS116" i="17"/>
  <c r="AS11" i="17"/>
  <c r="G158" i="45"/>
  <c r="G160" i="45" s="1"/>
  <c r="BE26" i="17"/>
  <c r="BE33" i="17" s="1"/>
  <c r="BE34" i="17"/>
  <c r="BE31" i="17"/>
  <c r="BE32" i="17"/>
  <c r="O107" i="45"/>
  <c r="F32" i="35"/>
  <c r="G144" i="45"/>
  <c r="G125" i="45"/>
  <c r="E69" i="11"/>
  <c r="E56" i="11"/>
  <c r="F55" i="11"/>
  <c r="BD9" i="17" l="1"/>
  <c r="AW116" i="17"/>
  <c r="AW11" i="17"/>
  <c r="BE9" i="17"/>
  <c r="BE52" i="17"/>
  <c r="F23" i="36"/>
  <c r="E79" i="11"/>
  <c r="E98" i="11"/>
  <c r="N32" i="35"/>
  <c r="R32" i="35" s="1"/>
  <c r="V32" i="35" s="1"/>
  <c r="O123" i="45"/>
  <c r="O124" i="45"/>
  <c r="O125" i="45" s="1"/>
  <c r="F58" i="11"/>
  <c r="F22" i="36" s="1"/>
  <c r="E55" i="11"/>
  <c r="E58" i="11"/>
  <c r="BE11" i="17" l="1"/>
  <c r="BE116" i="17"/>
  <c r="AB32" i="35"/>
  <c r="AF32" i="35" s="1"/>
  <c r="N92" i="11"/>
  <c r="N96" i="11" s="1"/>
  <c r="F91" i="11"/>
  <c r="F89" i="11"/>
  <c r="F90" i="11"/>
  <c r="F78" i="11"/>
  <c r="E78" i="11"/>
  <c r="F76" i="11"/>
  <c r="E76" i="11"/>
  <c r="F75" i="11"/>
  <c r="E75" i="11"/>
  <c r="F73" i="11"/>
  <c r="F71" i="11"/>
  <c r="E71" i="11"/>
  <c r="F69" i="11"/>
  <c r="F66" i="11"/>
  <c r="E66" i="11"/>
  <c r="M66" i="11" s="1"/>
  <c r="F57" i="11"/>
  <c r="N73" i="11" l="1"/>
  <c r="N74" i="11" s="1"/>
  <c r="F74" i="11"/>
  <c r="AJ32" i="35"/>
  <c r="E67" i="11"/>
  <c r="M67" i="11"/>
  <c r="F67" i="11"/>
  <c r="N66" i="11"/>
  <c r="N67" i="11" s="1"/>
  <c r="N85" i="11"/>
  <c r="N93" i="11"/>
  <c r="N94" i="11" s="1"/>
  <c r="F93" i="11"/>
  <c r="F84" i="11"/>
  <c r="F85" i="11"/>
  <c r="F92" i="11"/>
  <c r="AP32" i="35" l="1"/>
  <c r="AT32" i="35" s="1"/>
  <c r="F40" i="35"/>
  <c r="N40" i="35" s="1"/>
  <c r="R40" i="35" s="1"/>
  <c r="V40" i="35" s="1"/>
  <c r="G105" i="50"/>
  <c r="F94" i="11"/>
  <c r="F30" i="35"/>
  <c r="F178" i="10"/>
  <c r="F96" i="11"/>
  <c r="AX32" i="35" l="1"/>
  <c r="BF32" i="35" s="1"/>
  <c r="O105" i="50"/>
  <c r="K105" i="50"/>
  <c r="K107" i="50" s="1"/>
  <c r="N30" i="35"/>
  <c r="R30" i="35" s="1"/>
  <c r="J40" i="35"/>
  <c r="G108" i="50"/>
  <c r="G113" i="50" s="1"/>
  <c r="G107" i="50"/>
  <c r="AB40" i="35"/>
  <c r="AF40" i="35" s="1"/>
  <c r="AJ40" i="35" s="1"/>
  <c r="AP40" i="35" s="1"/>
  <c r="F21" i="36"/>
  <c r="E154" i="10"/>
  <c r="F190" i="10"/>
  <c r="F188" i="10"/>
  <c r="F182" i="10"/>
  <c r="F189" i="10" s="1"/>
  <c r="F175" i="10"/>
  <c r="E175" i="10"/>
  <c r="F174" i="10"/>
  <c r="E174" i="10"/>
  <c r="F172" i="10"/>
  <c r="F173" i="10" s="1"/>
  <c r="F170" i="10"/>
  <c r="E170" i="10"/>
  <c r="F168" i="10"/>
  <c r="E168" i="10"/>
  <c r="F165" i="10"/>
  <c r="N165" i="10" s="1"/>
  <c r="E165" i="10"/>
  <c r="N172" i="10" l="1"/>
  <c r="K108" i="50"/>
  <c r="K113" i="50" s="1"/>
  <c r="O108" i="50"/>
  <c r="O113" i="50" s="1"/>
  <c r="S105" i="50"/>
  <c r="AC105" i="50"/>
  <c r="O107" i="50"/>
  <c r="R33" i="35"/>
  <c r="V30" i="35"/>
  <c r="V33" i="35" s="1"/>
  <c r="AT40" i="35"/>
  <c r="AX40" i="35" s="1"/>
  <c r="BF40" i="35" s="1"/>
  <c r="E161" i="10"/>
  <c r="AB30" i="35"/>
  <c r="R64" i="9"/>
  <c r="V64" i="9" s="1"/>
  <c r="R95" i="9"/>
  <c r="V95" i="9" s="1"/>
  <c r="V96" i="9" s="1"/>
  <c r="E166" i="10"/>
  <c r="F166" i="10"/>
  <c r="F192" i="10"/>
  <c r="E153" i="10"/>
  <c r="F183" i="10"/>
  <c r="E178" i="10"/>
  <c r="F184" i="10"/>
  <c r="F191" i="10"/>
  <c r="F195" i="10" s="1"/>
  <c r="AB172" i="10" l="1"/>
  <c r="N173" i="10"/>
  <c r="AC108" i="50"/>
  <c r="S108" i="50"/>
  <c r="AG105" i="50"/>
  <c r="AC107" i="50"/>
  <c r="W105" i="50"/>
  <c r="W107" i="50" s="1"/>
  <c r="S107" i="50"/>
  <c r="AF30" i="35"/>
  <c r="F193" i="10"/>
  <c r="N166" i="10"/>
  <c r="AF172" i="10" l="1"/>
  <c r="AB173" i="10"/>
  <c r="W108" i="50"/>
  <c r="W113" i="50" s="1"/>
  <c r="S113" i="50"/>
  <c r="AG108" i="50"/>
  <c r="AC113" i="50"/>
  <c r="AK105" i="50"/>
  <c r="AG107" i="50"/>
  <c r="AJ30" i="35"/>
  <c r="AP30" i="35" s="1"/>
  <c r="AF33" i="35"/>
  <c r="AJ172" i="10" l="1"/>
  <c r="AF173" i="10"/>
  <c r="AK107" i="50"/>
  <c r="AQ105" i="50"/>
  <c r="AK108" i="50"/>
  <c r="AG113" i="50"/>
  <c r="AP33" i="35"/>
  <c r="AT30" i="35"/>
  <c r="AJ33" i="35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39" i="36" s="1"/>
  <c r="F10" i="9"/>
  <c r="F5" i="9"/>
  <c r="E5" i="9"/>
  <c r="N21" i="8"/>
  <c r="R21" i="8" s="1"/>
  <c r="V21" i="8" s="1"/>
  <c r="AJ173" i="10" l="1"/>
  <c r="AP172" i="10"/>
  <c r="E89" i="90"/>
  <c r="G129" i="50"/>
  <c r="AX30" i="35"/>
  <c r="BF30" i="35" s="1"/>
  <c r="BF33" i="35" s="1"/>
  <c r="AQ107" i="50"/>
  <c r="AU105" i="50"/>
  <c r="AK113" i="50"/>
  <c r="AQ108" i="50"/>
  <c r="R20" i="35"/>
  <c r="V20" i="35" s="1"/>
  <c r="AB20" i="35"/>
  <c r="AF20" i="35" s="1"/>
  <c r="F14" i="9"/>
  <c r="I60" i="59"/>
  <c r="F96" i="9"/>
  <c r="AT33" i="35"/>
  <c r="E59" i="9"/>
  <c r="M59" i="9" s="1"/>
  <c r="E55" i="9"/>
  <c r="E61" i="9"/>
  <c r="M61" i="9" s="1"/>
  <c r="E56" i="9"/>
  <c r="M56" i="9" s="1"/>
  <c r="E58" i="9"/>
  <c r="M58" i="9" s="1"/>
  <c r="G99" i="50"/>
  <c r="F33" i="22"/>
  <c r="E132" i="26"/>
  <c r="E33" i="22"/>
  <c r="D132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8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M92" i="9" s="1"/>
  <c r="Q92" i="9" s="1"/>
  <c r="U92" i="9" s="1"/>
  <c r="E68" i="9"/>
  <c r="E7" i="9"/>
  <c r="E66" i="9"/>
  <c r="E70" i="9"/>
  <c r="E63" i="9"/>
  <c r="AP173" i="10" l="1"/>
  <c r="AT172" i="10"/>
  <c r="AX33" i="35"/>
  <c r="E95" i="90"/>
  <c r="E101" i="90" s="1"/>
  <c r="M89" i="90"/>
  <c r="I89" i="90"/>
  <c r="AA89" i="90"/>
  <c r="BE89" i="90" s="1"/>
  <c r="Q89" i="90"/>
  <c r="AI89" i="90"/>
  <c r="AE89" i="90"/>
  <c r="U89" i="90"/>
  <c r="AO89" i="90"/>
  <c r="AS89" i="90" s="1"/>
  <c r="AW89" i="90" s="1"/>
  <c r="U25" i="9"/>
  <c r="U88" i="9" s="1"/>
  <c r="O129" i="50"/>
  <c r="K129" i="50"/>
  <c r="AU107" i="50"/>
  <c r="AY105" i="50"/>
  <c r="AQ113" i="50"/>
  <c r="AU108" i="50"/>
  <c r="U93" i="9"/>
  <c r="U94" i="9"/>
  <c r="R19" i="35"/>
  <c r="V19" i="35" s="1"/>
  <c r="AB19" i="35"/>
  <c r="AF19" i="35" s="1"/>
  <c r="G101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39" i="36"/>
  <c r="E57" i="9"/>
  <c r="M57" i="9" s="1"/>
  <c r="E60" i="9"/>
  <c r="M60" i="9" s="1"/>
  <c r="I58" i="9"/>
  <c r="I59" i="9"/>
  <c r="Q47" i="9"/>
  <c r="U47" i="9" s="1"/>
  <c r="K99" i="50"/>
  <c r="K101" i="50" s="1"/>
  <c r="O99" i="50"/>
  <c r="G130" i="50"/>
  <c r="E21" i="22"/>
  <c r="M21" i="22" s="1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AX172" i="10" l="1"/>
  <c r="AT173" i="10"/>
  <c r="AA95" i="90"/>
  <c r="M95" i="90"/>
  <c r="M101" i="90" s="1"/>
  <c r="I95" i="90"/>
  <c r="I101" i="90" s="1"/>
  <c r="Q95" i="90"/>
  <c r="AI95" i="90"/>
  <c r="AE95" i="90"/>
  <c r="U95" i="90"/>
  <c r="AO95" i="90"/>
  <c r="E125" i="90"/>
  <c r="E128" i="90" s="1"/>
  <c r="U85" i="9"/>
  <c r="U87" i="9"/>
  <c r="X61" i="59" s="1"/>
  <c r="U82" i="9"/>
  <c r="X62" i="59" s="1"/>
  <c r="U83" i="9"/>
  <c r="S129" i="50"/>
  <c r="W129" i="50" s="1"/>
  <c r="AC129" i="50"/>
  <c r="AG129" i="50" s="1"/>
  <c r="AK129" i="50" s="1"/>
  <c r="AQ129" i="50" s="1"/>
  <c r="AU129" i="50" s="1"/>
  <c r="AY129" i="50" s="1"/>
  <c r="BG129" i="50" s="1"/>
  <c r="AY107" i="50"/>
  <c r="BG105" i="50"/>
  <c r="BG107" i="50" s="1"/>
  <c r="AU113" i="50"/>
  <c r="AY108" i="50"/>
  <c r="K130" i="50"/>
  <c r="O130" i="50"/>
  <c r="U80" i="9"/>
  <c r="U81" i="9"/>
  <c r="U84" i="9"/>
  <c r="U53" i="9"/>
  <c r="U52" i="9"/>
  <c r="U86" i="9"/>
  <c r="V39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22" i="22" s="1"/>
  <c r="M7" i="22"/>
  <c r="M15" i="22" s="1"/>
  <c r="E8" i="22"/>
  <c r="M8" i="22" s="1"/>
  <c r="E62" i="9"/>
  <c r="M62" i="9" s="1"/>
  <c r="I57" i="9"/>
  <c r="Q58" i="9"/>
  <c r="U58" i="9" s="1"/>
  <c r="U75" i="9" s="1"/>
  <c r="F75" i="9"/>
  <c r="F73" i="9"/>
  <c r="F78" i="9"/>
  <c r="F72" i="9"/>
  <c r="F76" i="9"/>
  <c r="R39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99" i="50"/>
  <c r="O101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s="1"/>
  <c r="AX173" i="10" l="1"/>
  <c r="BF172" i="10"/>
  <c r="BF173" i="10" s="1"/>
  <c r="BE95" i="90"/>
  <c r="AS95" i="90"/>
  <c r="AA125" i="90"/>
  <c r="I125" i="90"/>
  <c r="I128" i="90" s="1"/>
  <c r="M125" i="90"/>
  <c r="M128" i="90" s="1"/>
  <c r="U125" i="90"/>
  <c r="Q125" i="90"/>
  <c r="AI125" i="90"/>
  <c r="AO125" i="90"/>
  <c r="AE125" i="90"/>
  <c r="AY113" i="50"/>
  <c r="BG108" i="50"/>
  <c r="BG113" i="50" s="1"/>
  <c r="S130" i="50"/>
  <c r="AC130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M10" i="22" s="1"/>
  <c r="M9" i="22"/>
  <c r="M17" i="22" s="1"/>
  <c r="E24" i="22"/>
  <c r="M24" i="22" s="1"/>
  <c r="M23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69" i="7"/>
  <c r="BE125" i="90" l="1"/>
  <c r="AW95" i="90"/>
  <c r="AS125" i="90"/>
  <c r="AX47" i="9"/>
  <c r="BF47" i="9" s="1"/>
  <c r="AX48" i="9"/>
  <c r="BF48" i="9" s="1"/>
  <c r="AG130" i="50"/>
  <c r="W130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M11" i="22" s="1"/>
  <c r="M12" i="22" s="1"/>
  <c r="E25" i="22"/>
  <c r="M25" i="22" s="1"/>
  <c r="M30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4" i="7"/>
  <c r="F138" i="7"/>
  <c r="F84" i="7"/>
  <c r="E84" i="7"/>
  <c r="F82" i="7"/>
  <c r="F73" i="7"/>
  <c r="E73" i="7"/>
  <c r="F69" i="7"/>
  <c r="F71" i="7" s="1"/>
  <c r="E69" i="7"/>
  <c r="E71" i="7" s="1"/>
  <c r="F65" i="7"/>
  <c r="E65" i="7"/>
  <c r="F39" i="7"/>
  <c r="E39" i="7"/>
  <c r="M39" i="7" s="1"/>
  <c r="AA39" i="7" s="1"/>
  <c r="AE39" i="7" s="1"/>
  <c r="AI39" i="7" s="1"/>
  <c r="AI49" i="7" s="1"/>
  <c r="F135" i="6"/>
  <c r="F17" i="49"/>
  <c r="N17" i="49" s="1"/>
  <c r="F11" i="49"/>
  <c r="E11" i="49"/>
  <c r="I11" i="49" s="1"/>
  <c r="F9" i="49"/>
  <c r="F8" i="49"/>
  <c r="F278" i="28"/>
  <c r="J278" i="28" s="1"/>
  <c r="N278" i="28" s="1"/>
  <c r="F232" i="28"/>
  <c r="J232" i="28" s="1"/>
  <c r="N232" i="28" s="1"/>
  <c r="F216" i="28"/>
  <c r="J216" i="28" s="1"/>
  <c r="N216" i="28" s="1"/>
  <c r="F82" i="28"/>
  <c r="J82" i="28" s="1"/>
  <c r="F81" i="28"/>
  <c r="J81" i="28" s="1"/>
  <c r="N81" i="28" s="1"/>
  <c r="F79" i="28"/>
  <c r="J79" i="28" s="1"/>
  <c r="N79" i="28" s="1"/>
  <c r="F75" i="28"/>
  <c r="J75" i="28" s="1"/>
  <c r="N75" i="28" s="1"/>
  <c r="F71" i="28"/>
  <c r="J71" i="28" s="1"/>
  <c r="N71" i="28" s="1"/>
  <c r="F67" i="28"/>
  <c r="J67" i="28" s="1"/>
  <c r="N67" i="28" s="1"/>
  <c r="F26" i="28"/>
  <c r="J26" i="28" s="1"/>
  <c r="N26" i="28" s="1"/>
  <c r="F19" i="28"/>
  <c r="J19" i="28" s="1"/>
  <c r="N19" i="28" s="1"/>
  <c r="F12" i="28"/>
  <c r="J12" i="28" s="1"/>
  <c r="N12" i="28" s="1"/>
  <c r="N113" i="7" l="1"/>
  <c r="N110" i="7"/>
  <c r="N108" i="7"/>
  <c r="N107" i="7"/>
  <c r="N111" i="7"/>
  <c r="AB79" i="28"/>
  <c r="AF79" i="28" s="1"/>
  <c r="R79" i="28"/>
  <c r="V79" i="28" s="1"/>
  <c r="AB81" i="28"/>
  <c r="AF81" i="28" s="1"/>
  <c r="R81" i="28"/>
  <c r="V81" i="28" s="1"/>
  <c r="AB75" i="28"/>
  <c r="AF75" i="28" s="1"/>
  <c r="R75" i="28"/>
  <c r="V75" i="28" s="1"/>
  <c r="AB278" i="28"/>
  <c r="AF278" i="28" s="1"/>
  <c r="R278" i="28"/>
  <c r="V278" i="28" s="1"/>
  <c r="N82" i="28"/>
  <c r="AB26" i="28"/>
  <c r="AF26" i="28" s="1"/>
  <c r="R26" i="28"/>
  <c r="V26" i="28" s="1"/>
  <c r="AB232" i="28"/>
  <c r="AF232" i="28" s="1"/>
  <c r="R232" i="28"/>
  <c r="V232" i="28" s="1"/>
  <c r="AB19" i="28"/>
  <c r="AF19" i="28" s="1"/>
  <c r="R19" i="28"/>
  <c r="V19" i="28" s="1"/>
  <c r="AB67" i="28"/>
  <c r="AF67" i="28" s="1"/>
  <c r="R67" i="28"/>
  <c r="V67" i="28" s="1"/>
  <c r="AB216" i="28"/>
  <c r="AF216" i="28" s="1"/>
  <c r="R216" i="28"/>
  <c r="V216" i="28" s="1"/>
  <c r="R12" i="28"/>
  <c r="V12" i="28" s="1"/>
  <c r="AB12" i="28"/>
  <c r="AF12" i="28" s="1"/>
  <c r="AB71" i="28"/>
  <c r="AF71" i="28" s="1"/>
  <c r="R71" i="28"/>
  <c r="V71" i="28" s="1"/>
  <c r="E59" i="7"/>
  <c r="E101" i="7" s="1"/>
  <c r="E33" i="7"/>
  <c r="E97" i="7" s="1"/>
  <c r="F59" i="7"/>
  <c r="F101" i="7" s="1"/>
  <c r="F33" i="7"/>
  <c r="F97" i="7" s="1"/>
  <c r="AW125" i="90"/>
  <c r="AK130" i="50"/>
  <c r="AQ130" i="50" s="1"/>
  <c r="AU130" i="50" s="1"/>
  <c r="AY130" i="50" s="1"/>
  <c r="BG130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6" i="7"/>
  <c r="E60" i="7"/>
  <c r="E55" i="7"/>
  <c r="E58" i="7"/>
  <c r="E54" i="7"/>
  <c r="E96" i="7" s="1"/>
  <c r="E57" i="7"/>
  <c r="E53" i="7"/>
  <c r="E52" i="7"/>
  <c r="E35" i="7"/>
  <c r="E102" i="7" s="1"/>
  <c r="E32" i="7"/>
  <c r="E99" i="7" s="1"/>
  <c r="M19" i="22"/>
  <c r="F26" i="7"/>
  <c r="F91" i="7" s="1"/>
  <c r="F32" i="7"/>
  <c r="F99" i="7" s="1"/>
  <c r="F467" i="28"/>
  <c r="J467" i="28" s="1"/>
  <c r="N467" i="28" s="1"/>
  <c r="E13" i="22"/>
  <c r="M13" i="22" s="1"/>
  <c r="M14" i="22" s="1"/>
  <c r="AE49" i="7"/>
  <c r="E29" i="7"/>
  <c r="E94" i="7" s="1"/>
  <c r="H34" i="59" s="1"/>
  <c r="E26" i="7"/>
  <c r="E91" i="7" s="1"/>
  <c r="AP49" i="9"/>
  <c r="F29" i="7"/>
  <c r="F94" i="7" s="1"/>
  <c r="I34" i="59" s="1"/>
  <c r="F54" i="7"/>
  <c r="F96" i="7" s="1"/>
  <c r="F55" i="7"/>
  <c r="F56" i="7"/>
  <c r="F57" i="7"/>
  <c r="F58" i="7"/>
  <c r="F60" i="7"/>
  <c r="F53" i="7"/>
  <c r="I271" i="28"/>
  <c r="M271" i="28"/>
  <c r="Q271" i="28" s="1"/>
  <c r="I272" i="28"/>
  <c r="M272" i="28"/>
  <c r="Q272" i="28" s="1"/>
  <c r="E27" i="22"/>
  <c r="M27" i="22" s="1"/>
  <c r="M26" i="22"/>
  <c r="F35" i="7"/>
  <c r="F102" i="7" s="1"/>
  <c r="F480" i="28"/>
  <c r="J480" i="28" s="1"/>
  <c r="N480" i="28" s="1"/>
  <c r="F479" i="28"/>
  <c r="J479" i="28" s="1"/>
  <c r="N479" i="28" s="1"/>
  <c r="F464" i="28"/>
  <c r="J464" i="28" s="1"/>
  <c r="N464" i="28" s="1"/>
  <c r="F468" i="28"/>
  <c r="J468" i="28" s="1"/>
  <c r="N468" i="28" s="1"/>
  <c r="F463" i="28"/>
  <c r="J463" i="28" s="1"/>
  <c r="N463" i="28" s="1"/>
  <c r="E28" i="7"/>
  <c r="E93" i="7" s="1"/>
  <c r="H33" i="59" s="1"/>
  <c r="E24" i="7"/>
  <c r="E30" i="7"/>
  <c r="E95" i="7" s="1"/>
  <c r="H35" i="59" s="1"/>
  <c r="E31" i="7"/>
  <c r="E98" i="7" s="1"/>
  <c r="E23" i="7"/>
  <c r="E34" i="7"/>
  <c r="E90" i="7" s="1"/>
  <c r="E22" i="7"/>
  <c r="E87" i="7" s="1"/>
  <c r="H29" i="59" s="1"/>
  <c r="E25" i="7"/>
  <c r="E27" i="7"/>
  <c r="E92" i="7" s="1"/>
  <c r="F472" i="28"/>
  <c r="J472" i="28" s="1"/>
  <c r="N472" i="28" s="1"/>
  <c r="F58" i="28"/>
  <c r="J58" i="28" s="1"/>
  <c r="N58" i="28" s="1"/>
  <c r="F460" i="28"/>
  <c r="J460" i="28" s="1"/>
  <c r="N460" i="28" s="1"/>
  <c r="F461" i="28"/>
  <c r="J461" i="28" s="1"/>
  <c r="N461" i="28" s="1"/>
  <c r="F462" i="28"/>
  <c r="J462" i="28" s="1"/>
  <c r="N462" i="28" s="1"/>
  <c r="F140" i="7"/>
  <c r="F146" i="7"/>
  <c r="J135" i="6"/>
  <c r="N135" i="6"/>
  <c r="AB135" i="6" s="1"/>
  <c r="AF135" i="6" s="1"/>
  <c r="F27" i="7"/>
  <c r="F92" i="7" s="1"/>
  <c r="F24" i="7"/>
  <c r="F30" i="7"/>
  <c r="F95" i="7" s="1"/>
  <c r="F34" i="7"/>
  <c r="F90" i="7" s="1"/>
  <c r="F23" i="7"/>
  <c r="F25" i="7"/>
  <c r="F31" i="7"/>
  <c r="F98" i="7" s="1"/>
  <c r="F28" i="7"/>
  <c r="F93" i="7" s="1"/>
  <c r="M6" i="21"/>
  <c r="I6" i="21"/>
  <c r="I135" i="6"/>
  <c r="M135" i="6"/>
  <c r="E26" i="28"/>
  <c r="M26" i="28" s="1"/>
  <c r="E12" i="28"/>
  <c r="E19" i="28"/>
  <c r="M19" i="28" s="1"/>
  <c r="F377" i="28"/>
  <c r="J377" i="28" s="1"/>
  <c r="N377" i="28" s="1"/>
  <c r="F83" i="7"/>
  <c r="F123" i="7"/>
  <c r="F52" i="7"/>
  <c r="E81" i="7"/>
  <c r="H28" i="59" s="1"/>
  <c r="E66" i="7"/>
  <c r="E74" i="7"/>
  <c r="E76" i="7"/>
  <c r="F49" i="7"/>
  <c r="F22" i="7"/>
  <c r="F87" i="7" s="1"/>
  <c r="F67" i="7"/>
  <c r="F74" i="7"/>
  <c r="F76" i="7"/>
  <c r="F81" i="7"/>
  <c r="F83" i="28"/>
  <c r="J83" i="28" s="1"/>
  <c r="N83" i="28" s="1"/>
  <c r="F60" i="28"/>
  <c r="J60" i="28" s="1"/>
  <c r="N60" i="28" s="1"/>
  <c r="F273" i="28"/>
  <c r="J273" i="28" s="1"/>
  <c r="N273" i="28" s="1"/>
  <c r="F55" i="28"/>
  <c r="J55" i="28" s="1"/>
  <c r="F59" i="28"/>
  <c r="J59" i="28" s="1"/>
  <c r="N59" i="28" s="1"/>
  <c r="F61" i="28"/>
  <c r="J61" i="28" s="1"/>
  <c r="N61" i="28" s="1"/>
  <c r="E100" i="7" l="1"/>
  <c r="H32" i="59" s="1"/>
  <c r="J84" i="28"/>
  <c r="R273" i="28"/>
  <c r="V273" i="28" s="1"/>
  <c r="AB273" i="28"/>
  <c r="AF273" i="28" s="1"/>
  <c r="AB463" i="28"/>
  <c r="AF463" i="28" s="1"/>
  <c r="R463" i="28"/>
  <c r="V463" i="28" s="1"/>
  <c r="AB60" i="28"/>
  <c r="AF60" i="28" s="1"/>
  <c r="AJ60" i="28" s="1"/>
  <c r="AP60" i="28" s="1"/>
  <c r="AT60" i="28" s="1"/>
  <c r="R60" i="28"/>
  <c r="V60" i="28" s="1"/>
  <c r="AB58" i="28"/>
  <c r="AF58" i="28" s="1"/>
  <c r="R58" i="28"/>
  <c r="V58" i="28" s="1"/>
  <c r="AB467" i="28"/>
  <c r="AF467" i="28" s="1"/>
  <c r="R467" i="28"/>
  <c r="V467" i="28" s="1"/>
  <c r="R61" i="28"/>
  <c r="V61" i="28" s="1"/>
  <c r="AB61" i="28"/>
  <c r="AF61" i="28" s="1"/>
  <c r="AB464" i="28"/>
  <c r="AF464" i="28" s="1"/>
  <c r="R464" i="28"/>
  <c r="V464" i="28" s="1"/>
  <c r="AB377" i="28"/>
  <c r="AF377" i="28" s="1"/>
  <c r="R377" i="28"/>
  <c r="V377" i="28" s="1"/>
  <c r="AB479" i="28"/>
  <c r="AF479" i="28" s="1"/>
  <c r="R479" i="28"/>
  <c r="V479" i="28" s="1"/>
  <c r="AB82" i="28"/>
  <c r="N84" i="28"/>
  <c r="R82" i="28"/>
  <c r="AB461" i="28"/>
  <c r="AF461" i="28" s="1"/>
  <c r="R461" i="28"/>
  <c r="V461" i="28" s="1"/>
  <c r="AB460" i="28"/>
  <c r="AF460" i="28" s="1"/>
  <c r="R460" i="28"/>
  <c r="V460" i="28" s="1"/>
  <c r="AB480" i="28"/>
  <c r="AF480" i="28" s="1"/>
  <c r="R480" i="28"/>
  <c r="V480" i="28" s="1"/>
  <c r="AB468" i="28"/>
  <c r="AF468" i="28" s="1"/>
  <c r="R468" i="28"/>
  <c r="V468" i="28" s="1"/>
  <c r="AB59" i="28"/>
  <c r="AF59" i="28" s="1"/>
  <c r="AJ59" i="28" s="1"/>
  <c r="AP59" i="28" s="1"/>
  <c r="AT59" i="28" s="1"/>
  <c r="R59" i="28"/>
  <c r="V59" i="28" s="1"/>
  <c r="N55" i="28"/>
  <c r="J56" i="28"/>
  <c r="AB462" i="28"/>
  <c r="AF462" i="28" s="1"/>
  <c r="R462" i="28"/>
  <c r="V462" i="28" s="1"/>
  <c r="AB83" i="28"/>
  <c r="AF83" i="28" s="1"/>
  <c r="AJ83" i="28" s="1"/>
  <c r="R83" i="28"/>
  <c r="V83" i="28" s="1"/>
  <c r="AB472" i="28"/>
  <c r="AF472" i="28" s="1"/>
  <c r="R472" i="28"/>
  <c r="V472" i="28" s="1"/>
  <c r="E88" i="7"/>
  <c r="H30" i="59" s="1"/>
  <c r="M12" i="21"/>
  <c r="M22" i="21" s="1"/>
  <c r="Q6" i="21"/>
  <c r="AJ71" i="28"/>
  <c r="AP71" i="28" s="1"/>
  <c r="AT71" i="28" s="1"/>
  <c r="AJ79" i="28"/>
  <c r="AP79" i="28" s="1"/>
  <c r="AJ75" i="28"/>
  <c r="AP75" i="28" s="1"/>
  <c r="AT75" i="28" s="1"/>
  <c r="E89" i="7"/>
  <c r="H31" i="59" s="1"/>
  <c r="AA271" i="28"/>
  <c r="AE271" i="28" s="1"/>
  <c r="AI271" i="28" s="1"/>
  <c r="AO271" i="28" s="1"/>
  <c r="AS271" i="28" s="1"/>
  <c r="U271" i="28"/>
  <c r="AA272" i="28"/>
  <c r="AE272" i="28" s="1"/>
  <c r="AI272" i="28" s="1"/>
  <c r="AO272" i="28" s="1"/>
  <c r="AS272" i="28" s="1"/>
  <c r="U272" i="28"/>
  <c r="J18" i="49"/>
  <c r="N18" i="49"/>
  <c r="AJ135" i="6"/>
  <c r="AO39" i="7"/>
  <c r="AT49" i="9"/>
  <c r="Q135" i="6"/>
  <c r="U135" i="6" s="1"/>
  <c r="AA135" i="6"/>
  <c r="AE135" i="6" s="1"/>
  <c r="AI135" i="6" s="1"/>
  <c r="M31" i="22"/>
  <c r="M29" i="22"/>
  <c r="R135" i="6"/>
  <c r="V135" i="6" s="1"/>
  <c r="F100" i="7"/>
  <c r="F89" i="7"/>
  <c r="F88" i="7"/>
  <c r="F474" i="28"/>
  <c r="J474" i="28" s="1"/>
  <c r="N474" i="28" s="1"/>
  <c r="F84" i="28"/>
  <c r="E59" i="28"/>
  <c r="I19" i="28"/>
  <c r="E58" i="28"/>
  <c r="I12" i="28"/>
  <c r="E377" i="28"/>
  <c r="M377" i="28" s="1"/>
  <c r="I26" i="28"/>
  <c r="F56" i="28"/>
  <c r="F473" i="28"/>
  <c r="J473" i="28" s="1"/>
  <c r="N473" i="28" s="1"/>
  <c r="F469" i="28"/>
  <c r="J469" i="28" s="1"/>
  <c r="N469" i="28" s="1"/>
  <c r="F470" i="28"/>
  <c r="J470" i="28" s="1"/>
  <c r="N470" i="28" s="1"/>
  <c r="F458" i="28"/>
  <c r="J458" i="28" s="1"/>
  <c r="N458" i="28" s="1"/>
  <c r="F465" i="28"/>
  <c r="J465" i="28" s="1"/>
  <c r="N465" i="28" s="1"/>
  <c r="F457" i="28"/>
  <c r="J457" i="28" s="1"/>
  <c r="N457" i="28" s="1"/>
  <c r="F466" i="28"/>
  <c r="J466" i="28" s="1"/>
  <c r="N466" i="28" s="1"/>
  <c r="E216" i="28"/>
  <c r="F124" i="7"/>
  <c r="F147" i="7"/>
  <c r="F141" i="7"/>
  <c r="F36" i="7"/>
  <c r="F51" i="7" s="1"/>
  <c r="F61" i="7" s="1"/>
  <c r="F452" i="28"/>
  <c r="J452" i="28" s="1"/>
  <c r="N452" i="28" s="1"/>
  <c r="E60" i="28"/>
  <c r="M60" i="28" s="1"/>
  <c r="AA60" i="28" s="1"/>
  <c r="AE60" i="28" s="1"/>
  <c r="AI60" i="28" s="1"/>
  <c r="AO60" i="28" s="1"/>
  <c r="AS60" i="28" s="1"/>
  <c r="E273" i="28"/>
  <c r="M273" i="28" s="1"/>
  <c r="F451" i="28"/>
  <c r="J451" i="28" s="1"/>
  <c r="N451" i="28" s="1"/>
  <c r="F62" i="28"/>
  <c r="J62" i="28" s="1"/>
  <c r="N62" i="28" s="1"/>
  <c r="AF82" i="28" l="1"/>
  <c r="AB84" i="28"/>
  <c r="AB55" i="28"/>
  <c r="R55" i="28"/>
  <c r="N56" i="28"/>
  <c r="AB62" i="28"/>
  <c r="AF62" i="28" s="1"/>
  <c r="R62" i="28"/>
  <c r="V62" i="28" s="1"/>
  <c r="AB470" i="28"/>
  <c r="AF470" i="28" s="1"/>
  <c r="R470" i="28"/>
  <c r="V470" i="28" s="1"/>
  <c r="AB457" i="28"/>
  <c r="AF457" i="28" s="1"/>
  <c r="R457" i="28"/>
  <c r="V457" i="28" s="1"/>
  <c r="AB465" i="28"/>
  <c r="AF465" i="28" s="1"/>
  <c r="R465" i="28"/>
  <c r="V465" i="28" s="1"/>
  <c r="AB474" i="28"/>
  <c r="AF474" i="28" s="1"/>
  <c r="R474" i="28"/>
  <c r="V474" i="28" s="1"/>
  <c r="AB473" i="28"/>
  <c r="AF473" i="28" s="1"/>
  <c r="R473" i="28"/>
  <c r="V473" i="28" s="1"/>
  <c r="AB451" i="28"/>
  <c r="AF451" i="28" s="1"/>
  <c r="R451" i="28"/>
  <c r="V451" i="28" s="1"/>
  <c r="AB452" i="28"/>
  <c r="AF452" i="28" s="1"/>
  <c r="R452" i="28"/>
  <c r="V452" i="28" s="1"/>
  <c r="AB466" i="28"/>
  <c r="AF466" i="28" s="1"/>
  <c r="R466" i="28"/>
  <c r="V466" i="28" s="1"/>
  <c r="R84" i="28"/>
  <c r="V82" i="28"/>
  <c r="V84" i="28" s="1"/>
  <c r="AB469" i="28"/>
  <c r="AF469" i="28" s="1"/>
  <c r="R469" i="28"/>
  <c r="V469" i="28" s="1"/>
  <c r="AB458" i="28"/>
  <c r="AF458" i="28" s="1"/>
  <c r="R458" i="28"/>
  <c r="V458" i="28" s="1"/>
  <c r="U6" i="21"/>
  <c r="U12" i="21" s="1"/>
  <c r="U22" i="21" s="1"/>
  <c r="Q12" i="21"/>
  <c r="Q22" i="21" s="1"/>
  <c r="AX49" i="9"/>
  <c r="AW271" i="28"/>
  <c r="BE271" i="28" s="1"/>
  <c r="AW272" i="28"/>
  <c r="BE272" i="28" s="1"/>
  <c r="AX60" i="28"/>
  <c r="BF60" i="28" s="1"/>
  <c r="AX75" i="28"/>
  <c r="BF75" i="28" s="1"/>
  <c r="AX59" i="28"/>
  <c r="BF59" i="28" s="1"/>
  <c r="AX71" i="28"/>
  <c r="BF71" i="28" s="1"/>
  <c r="AW60" i="28"/>
  <c r="BE60" i="28" s="1"/>
  <c r="AJ472" i="28"/>
  <c r="R18" i="49"/>
  <c r="V18" i="49" s="1"/>
  <c r="AB18" i="49"/>
  <c r="AJ67" i="28"/>
  <c r="AP67" i="28" s="1"/>
  <c r="AT67" i="28" s="1"/>
  <c r="AJ61" i="28"/>
  <c r="AP61" i="28" s="1"/>
  <c r="AT61" i="28" s="1"/>
  <c r="AJ81" i="28"/>
  <c r="AP81" i="28" s="1"/>
  <c r="AT81" i="28" s="1"/>
  <c r="F126" i="7"/>
  <c r="AP135" i="6"/>
  <c r="AS39" i="7"/>
  <c r="AW39" i="7" s="1"/>
  <c r="AW49" i="7" s="1"/>
  <c r="AO49" i="7"/>
  <c r="AP472" i="28"/>
  <c r="AT79" i="28"/>
  <c r="AX79" i="28" s="1"/>
  <c r="AO135" i="6"/>
  <c r="AP83" i="28"/>
  <c r="I59" i="28"/>
  <c r="M59" i="28"/>
  <c r="AA59" i="28" s="1"/>
  <c r="AE59" i="28" s="1"/>
  <c r="AI59" i="28" s="1"/>
  <c r="AO59" i="28" s="1"/>
  <c r="AS59" i="28" s="1"/>
  <c r="I58" i="28"/>
  <c r="Q26" i="28"/>
  <c r="AJ273" i="28"/>
  <c r="AP273" i="28" s="1"/>
  <c r="AT273" i="28" s="1"/>
  <c r="Q19" i="28"/>
  <c r="E65" i="28"/>
  <c r="E69" i="28"/>
  <c r="E462" i="28"/>
  <c r="I216" i="28"/>
  <c r="E458" i="28"/>
  <c r="I273" i="28"/>
  <c r="E73" i="28"/>
  <c r="I60" i="28"/>
  <c r="E470" i="28"/>
  <c r="I377" i="28"/>
  <c r="F75" i="7"/>
  <c r="F125" i="7"/>
  <c r="E466" i="28"/>
  <c r="E49" i="7"/>
  <c r="AF55" i="28" l="1"/>
  <c r="AF56" i="28" s="1"/>
  <c r="AB56" i="28"/>
  <c r="AF84" i="28"/>
  <c r="AJ82" i="28"/>
  <c r="V55" i="28"/>
  <c r="V56" i="28" s="1"/>
  <c r="R56" i="28"/>
  <c r="BF49" i="9"/>
  <c r="AX273" i="28"/>
  <c r="BF273" i="28" s="1"/>
  <c r="AX61" i="28"/>
  <c r="BF61" i="28" s="1"/>
  <c r="AX67" i="28"/>
  <c r="BF67" i="28" s="1"/>
  <c r="AX81" i="28"/>
  <c r="BF81" i="28" s="1"/>
  <c r="AW59" i="28"/>
  <c r="BE59" i="28" s="1"/>
  <c r="AJ55" i="28"/>
  <c r="F127" i="7"/>
  <c r="AA26" i="28"/>
  <c r="AE26" i="28" s="1"/>
  <c r="AI26" i="28" s="1"/>
  <c r="AO26" i="28" s="1"/>
  <c r="AS26" i="28" s="1"/>
  <c r="U26" i="28"/>
  <c r="AJ58" i="28"/>
  <c r="AP58" i="28" s="1"/>
  <c r="AT58" i="28" s="1"/>
  <c r="AA19" i="28"/>
  <c r="AE19" i="28" s="1"/>
  <c r="AI19" i="28" s="1"/>
  <c r="AO19" i="28" s="1"/>
  <c r="AS19" i="28" s="1"/>
  <c r="U19" i="28"/>
  <c r="AS49" i="7"/>
  <c r="AT472" i="28"/>
  <c r="AT83" i="28"/>
  <c r="AX83" i="28" s="1"/>
  <c r="AT135" i="6"/>
  <c r="AX135" i="6" s="1"/>
  <c r="BF135" i="6" s="1"/>
  <c r="AT457" i="28"/>
  <c r="AT465" i="28"/>
  <c r="AS135" i="6"/>
  <c r="AW135" i="6" s="1"/>
  <c r="BE135" i="6" s="1"/>
  <c r="AP457" i="28"/>
  <c r="AP465" i="28"/>
  <c r="AJ12" i="28"/>
  <c r="AP12" i="28" s="1"/>
  <c r="AT12" i="28" s="1"/>
  <c r="AJ457" i="28"/>
  <c r="AJ465" i="28"/>
  <c r="AJ19" i="28"/>
  <c r="AP19" i="28" s="1"/>
  <c r="I69" i="28"/>
  <c r="I464" i="28" s="1"/>
  <c r="M69" i="28"/>
  <c r="AA69" i="28" s="1"/>
  <c r="AE69" i="28" s="1"/>
  <c r="AI69" i="28" s="1"/>
  <c r="I65" i="28"/>
  <c r="I460" i="28" s="1"/>
  <c r="I73" i="28"/>
  <c r="I468" i="28" s="1"/>
  <c r="M73" i="28"/>
  <c r="AA73" i="28" s="1"/>
  <c r="AE73" i="28" s="1"/>
  <c r="AI73" i="28" s="1"/>
  <c r="AO73" i="28" s="1"/>
  <c r="Q59" i="28"/>
  <c r="U59" i="28" s="1"/>
  <c r="Q273" i="28"/>
  <c r="U273" i="28" s="1"/>
  <c r="Q60" i="28"/>
  <c r="U60" i="28" s="1"/>
  <c r="E460" i="28"/>
  <c r="E461" i="28"/>
  <c r="E464" i="28"/>
  <c r="E465" i="28"/>
  <c r="M458" i="28"/>
  <c r="E457" i="28"/>
  <c r="M466" i="28"/>
  <c r="I470" i="28"/>
  <c r="I462" i="28"/>
  <c r="E468" i="28"/>
  <c r="I458" i="28"/>
  <c r="I466" i="28"/>
  <c r="E469" i="28"/>
  <c r="N94" i="8"/>
  <c r="N17" i="8"/>
  <c r="N13" i="8"/>
  <c r="AP82" i="28" l="1"/>
  <c r="AJ84" i="28"/>
  <c r="AP55" i="28"/>
  <c r="AJ56" i="28"/>
  <c r="AX457" i="28"/>
  <c r="AX465" i="28"/>
  <c r="F128" i="7"/>
  <c r="BF465" i="28"/>
  <c r="BF457" i="28"/>
  <c r="AX12" i="28"/>
  <c r="BF12" i="28" s="1"/>
  <c r="BF460" i="28" s="1"/>
  <c r="AW19" i="28"/>
  <c r="BE19" i="28" s="1"/>
  <c r="AX58" i="28"/>
  <c r="BF58" i="28" s="1"/>
  <c r="AW26" i="28"/>
  <c r="BE26" i="28" s="1"/>
  <c r="AJ26" i="28"/>
  <c r="AP26" i="28" s="1"/>
  <c r="AT26" i="28" s="1"/>
  <c r="AT468" i="28" s="1"/>
  <c r="AJ448" i="28"/>
  <c r="AP448" i="28" s="1"/>
  <c r="AT448" i="28" s="1"/>
  <c r="U466" i="28"/>
  <c r="U458" i="28"/>
  <c r="AX472" i="28"/>
  <c r="BF79" i="28"/>
  <c r="BF472" i="28" s="1"/>
  <c r="BE39" i="7"/>
  <c r="BE49" i="7" s="1"/>
  <c r="AO468" i="28"/>
  <c r="AS73" i="28"/>
  <c r="AP458" i="28"/>
  <c r="AT19" i="28"/>
  <c r="AT460" i="28"/>
  <c r="AP460" i="28"/>
  <c r="AP464" i="28"/>
  <c r="AP466" i="28"/>
  <c r="AI464" i="28"/>
  <c r="AO69" i="28"/>
  <c r="AS69" i="28" s="1"/>
  <c r="AJ466" i="28"/>
  <c r="AJ464" i="28"/>
  <c r="AJ458" i="28"/>
  <c r="AJ460" i="28"/>
  <c r="AI468" i="28"/>
  <c r="AJ216" i="28"/>
  <c r="I469" i="28"/>
  <c r="Q69" i="28"/>
  <c r="AE464" i="28"/>
  <c r="AE468" i="28"/>
  <c r="Q73" i="28"/>
  <c r="M457" i="28"/>
  <c r="I465" i="28"/>
  <c r="I461" i="28"/>
  <c r="I457" i="28"/>
  <c r="M465" i="28"/>
  <c r="M464" i="28"/>
  <c r="Q458" i="28"/>
  <c r="Q466" i="28"/>
  <c r="M470" i="28"/>
  <c r="Q377" i="28"/>
  <c r="U377" i="28" s="1"/>
  <c r="U470" i="28" s="1"/>
  <c r="M469" i="28"/>
  <c r="M468" i="28"/>
  <c r="R94" i="8"/>
  <c r="V94" i="8" s="1"/>
  <c r="R15" i="8"/>
  <c r="V15" i="8" s="1"/>
  <c r="R14" i="8"/>
  <c r="V14" i="8" s="1"/>
  <c r="R13" i="8"/>
  <c r="V13" i="8" s="1"/>
  <c r="R17" i="8"/>
  <c r="V17" i="8" s="1"/>
  <c r="F121" i="7"/>
  <c r="F129" i="7"/>
  <c r="H72" i="59"/>
  <c r="H68" i="59"/>
  <c r="H64" i="59"/>
  <c r="E190" i="73"/>
  <c r="E179" i="73"/>
  <c r="M179" i="73" s="1"/>
  <c r="Q179" i="73" s="1"/>
  <c r="E114" i="73"/>
  <c r="E102" i="73"/>
  <c r="M102" i="73" s="1"/>
  <c r="E53" i="73"/>
  <c r="M53" i="73" s="1"/>
  <c r="E48" i="73"/>
  <c r="M48" i="73" s="1"/>
  <c r="E34" i="73"/>
  <c r="M34" i="73" s="1"/>
  <c r="Q34" i="73" s="1"/>
  <c r="U34" i="73" s="1"/>
  <c r="E23" i="73"/>
  <c r="AT55" i="28" l="1"/>
  <c r="AP56" i="28"/>
  <c r="AT82" i="28"/>
  <c r="AP84" i="28"/>
  <c r="Q53" i="73"/>
  <c r="U53" i="73" s="1"/>
  <c r="Q102" i="73"/>
  <c r="U102" i="73" s="1"/>
  <c r="Q48" i="73"/>
  <c r="U48" i="73" s="1"/>
  <c r="AJ468" i="28"/>
  <c r="AX460" i="28"/>
  <c r="AX448" i="28"/>
  <c r="BF448" i="28" s="1"/>
  <c r="AW69" i="28"/>
  <c r="BE69" i="28" s="1"/>
  <c r="BE464" i="28" s="1"/>
  <c r="AX19" i="28"/>
  <c r="AX464" i="28" s="1"/>
  <c r="AX26" i="28"/>
  <c r="AX468" i="28" s="1"/>
  <c r="AW73" i="28"/>
  <c r="BE73" i="28" s="1"/>
  <c r="BE468" i="28" s="1"/>
  <c r="AP468" i="28"/>
  <c r="AJ473" i="28"/>
  <c r="AT473" i="28"/>
  <c r="AT474" i="28"/>
  <c r="AJ452" i="28"/>
  <c r="AP452" i="28"/>
  <c r="AP451" i="28"/>
  <c r="AJ474" i="28"/>
  <c r="AT451" i="28"/>
  <c r="AJ451" i="28"/>
  <c r="AT452" i="28"/>
  <c r="AP474" i="28"/>
  <c r="AP473" i="28"/>
  <c r="V16" i="8"/>
  <c r="Y468" i="28"/>
  <c r="U73" i="28"/>
  <c r="Q465" i="28"/>
  <c r="U69" i="28"/>
  <c r="AA179" i="73"/>
  <c r="E117" i="73"/>
  <c r="AA48" i="73"/>
  <c r="AA53" i="73"/>
  <c r="AA102" i="73"/>
  <c r="AA34" i="73"/>
  <c r="BF83" i="28"/>
  <c r="AS468" i="28"/>
  <c r="AS464" i="28"/>
  <c r="AT464" i="28"/>
  <c r="AT466" i="28"/>
  <c r="AT458" i="28"/>
  <c r="AJ461" i="28"/>
  <c r="AP216" i="28"/>
  <c r="AT216" i="28" s="1"/>
  <c r="AO464" i="28"/>
  <c r="AJ462" i="28"/>
  <c r="AJ62" i="28"/>
  <c r="Q468" i="28"/>
  <c r="Q457" i="28"/>
  <c r="Q464" i="28"/>
  <c r="Y458" i="28"/>
  <c r="Y457" i="28"/>
  <c r="Y466" i="28"/>
  <c r="AA273" i="28"/>
  <c r="AE273" i="28" s="1"/>
  <c r="AI273" i="28" s="1"/>
  <c r="AO273" i="28" s="1"/>
  <c r="AS273" i="28" s="1"/>
  <c r="AW273" i="28" s="1"/>
  <c r="AA468" i="28"/>
  <c r="Y461" i="28"/>
  <c r="Y460" i="28"/>
  <c r="Y465" i="28"/>
  <c r="AA464" i="28"/>
  <c r="Y464" i="28"/>
  <c r="M188" i="73"/>
  <c r="Q470" i="28"/>
  <c r="Q469" i="28"/>
  <c r="E11" i="15"/>
  <c r="E12" i="15" s="1"/>
  <c r="E13" i="15" s="1"/>
  <c r="M114" i="73"/>
  <c r="E188" i="73"/>
  <c r="M23" i="73"/>
  <c r="M190" i="73"/>
  <c r="Q190" i="73" s="1"/>
  <c r="U190" i="73" s="1"/>
  <c r="I109" i="73"/>
  <c r="I108" i="73" s="1"/>
  <c r="I114" i="73"/>
  <c r="I23" i="73"/>
  <c r="I34" i="73"/>
  <c r="I102" i="73"/>
  <c r="I48" i="73"/>
  <c r="I179" i="73"/>
  <c r="I188" i="73" s="1"/>
  <c r="I53" i="73"/>
  <c r="R16" i="8"/>
  <c r="R62" i="8"/>
  <c r="V62" i="8" s="1"/>
  <c r="N57" i="8"/>
  <c r="N69" i="8" s="1"/>
  <c r="R68" i="8"/>
  <c r="V68" i="8" s="1"/>
  <c r="N55" i="8"/>
  <c r="N65" i="8" s="1"/>
  <c r="R64" i="8"/>
  <c r="V64" i="8" s="1"/>
  <c r="N54" i="8"/>
  <c r="R58" i="8"/>
  <c r="V58" i="8" s="1"/>
  <c r="I190" i="73"/>
  <c r="F10" i="49"/>
  <c r="N10" i="49" s="1"/>
  <c r="R10" i="49" s="1"/>
  <c r="V10" i="49" s="1"/>
  <c r="F131" i="7"/>
  <c r="F130" i="7"/>
  <c r="AX82" i="28" l="1"/>
  <c r="AT84" i="28"/>
  <c r="AT56" i="28"/>
  <c r="AX55" i="28"/>
  <c r="AA188" i="73"/>
  <c r="Q188" i="73"/>
  <c r="U188" i="73" s="1"/>
  <c r="Q114" i="73"/>
  <c r="U114" i="73" s="1"/>
  <c r="Q23" i="73"/>
  <c r="U23" i="73" s="1"/>
  <c r="BF26" i="28"/>
  <c r="BF468" i="28" s="1"/>
  <c r="AW468" i="28"/>
  <c r="AX451" i="28"/>
  <c r="AX473" i="28"/>
  <c r="AX452" i="28"/>
  <c r="AX474" i="28"/>
  <c r="AX458" i="28"/>
  <c r="AW464" i="28"/>
  <c r="BF451" i="28"/>
  <c r="BF473" i="28"/>
  <c r="BF474" i="28"/>
  <c r="BF452" i="28"/>
  <c r="AX466" i="28"/>
  <c r="BF19" i="28"/>
  <c r="AX216" i="28"/>
  <c r="BF216" i="28" s="1"/>
  <c r="U179" i="73"/>
  <c r="AA190" i="73"/>
  <c r="AE190" i="73" s="1"/>
  <c r="U465" i="28"/>
  <c r="U457" i="28"/>
  <c r="U464" i="28"/>
  <c r="U469" i="28"/>
  <c r="U468" i="28"/>
  <c r="AA23" i="73"/>
  <c r="M117" i="73"/>
  <c r="F12" i="49"/>
  <c r="J10" i="49"/>
  <c r="F132" i="7"/>
  <c r="I117" i="73"/>
  <c r="AA114" i="73"/>
  <c r="AE114" i="73" s="1"/>
  <c r="AI114" i="73" s="1"/>
  <c r="AO114" i="73" s="1"/>
  <c r="AS114" i="73" s="1"/>
  <c r="AS465" i="28"/>
  <c r="BE273" i="28"/>
  <c r="AS458" i="28"/>
  <c r="AS457" i="28"/>
  <c r="AS466" i="28"/>
  <c r="AT461" i="28"/>
  <c r="AT462" i="28"/>
  <c r="AP62" i="28"/>
  <c r="AP461" i="28"/>
  <c r="AP462" i="28"/>
  <c r="AO458" i="28"/>
  <c r="AO457" i="28"/>
  <c r="AO466" i="28"/>
  <c r="AO465" i="28"/>
  <c r="AJ447" i="28"/>
  <c r="AI458" i="28"/>
  <c r="AI457" i="28"/>
  <c r="AI466" i="28"/>
  <c r="AI465" i="28"/>
  <c r="AE179" i="73"/>
  <c r="AE458" i="28"/>
  <c r="AE457" i="28"/>
  <c r="AE466" i="28"/>
  <c r="AE465" i="28"/>
  <c r="Y470" i="28"/>
  <c r="AA377" i="28"/>
  <c r="AE377" i="28" s="1"/>
  <c r="AI377" i="28" s="1"/>
  <c r="AO377" i="28" s="1"/>
  <c r="AS377" i="28" s="1"/>
  <c r="Y469" i="28"/>
  <c r="Y462" i="28"/>
  <c r="AA465" i="28"/>
  <c r="AA458" i="28"/>
  <c r="AA457" i="28"/>
  <c r="AA466" i="28"/>
  <c r="R65" i="8"/>
  <c r="V65" i="8" s="1"/>
  <c r="V72" i="8" s="1"/>
  <c r="N61" i="8"/>
  <c r="N59" i="8"/>
  <c r="R69" i="8"/>
  <c r="V69" i="8" s="1"/>
  <c r="V74" i="8" s="1"/>
  <c r="AE109" i="73"/>
  <c r="AE102" i="73"/>
  <c r="AI102" i="73" s="1"/>
  <c r="AO102" i="73" s="1"/>
  <c r="AS102" i="73" s="1"/>
  <c r="AE58" i="73"/>
  <c r="AI58" i="73" s="1"/>
  <c r="AO58" i="73" s="1"/>
  <c r="AS58" i="73" s="1"/>
  <c r="AE53" i="73"/>
  <c r="AI53" i="73" s="1"/>
  <c r="AE34" i="73"/>
  <c r="AI34" i="73" s="1"/>
  <c r="AO34" i="73" s="1"/>
  <c r="AS34" i="73" s="1"/>
  <c r="AE65" i="73"/>
  <c r="AI65" i="73" s="1"/>
  <c r="AO65" i="73" s="1"/>
  <c r="AS65" i="73" s="1"/>
  <c r="AE48" i="73"/>
  <c r="AI48" i="73" s="1"/>
  <c r="AO48" i="73" s="1"/>
  <c r="AS48" i="73" s="1"/>
  <c r="R35" i="8"/>
  <c r="V35" i="8" s="1"/>
  <c r="R34" i="8"/>
  <c r="V34" i="8" s="1"/>
  <c r="R55" i="8"/>
  <c r="V55" i="8" s="1"/>
  <c r="R36" i="8"/>
  <c r="V36" i="8" s="1"/>
  <c r="R54" i="8"/>
  <c r="V54" i="8" s="1"/>
  <c r="R57" i="8"/>
  <c r="V57" i="8" s="1"/>
  <c r="M15" i="15"/>
  <c r="Q15" i="15" s="1"/>
  <c r="Q16" i="15" s="1"/>
  <c r="AX56" i="28" l="1"/>
  <c r="BF55" i="28"/>
  <c r="BF56" i="28" s="1"/>
  <c r="BF82" i="28"/>
  <c r="BF84" i="28" s="1"/>
  <c r="AX84" i="28"/>
  <c r="AA117" i="73"/>
  <c r="Q117" i="73"/>
  <c r="U117" i="73" s="1"/>
  <c r="AW102" i="73"/>
  <c r="BE102" i="73" s="1"/>
  <c r="AW65" i="73"/>
  <c r="BE65" i="73" s="1"/>
  <c r="AW58" i="73"/>
  <c r="BE58" i="73" s="1"/>
  <c r="AW114" i="73"/>
  <c r="BE114" i="73" s="1"/>
  <c r="AW48" i="73"/>
  <c r="BE48" i="73" s="1"/>
  <c r="AW34" i="73"/>
  <c r="AX462" i="28"/>
  <c r="AX461" i="28"/>
  <c r="BF462" i="28"/>
  <c r="BF461" i="28"/>
  <c r="BF458" i="28"/>
  <c r="BF464" i="28"/>
  <c r="BF466" i="28"/>
  <c r="AW377" i="28"/>
  <c r="BE377" i="28" s="1"/>
  <c r="AO53" i="73"/>
  <c r="AS53" i="73" s="1"/>
  <c r="F133" i="7"/>
  <c r="J12" i="49"/>
  <c r="N12" i="49"/>
  <c r="R12" i="49" s="1"/>
  <c r="V12" i="49" s="1"/>
  <c r="R61" i="8"/>
  <c r="V61" i="8" s="1"/>
  <c r="BE458" i="28"/>
  <c r="BE457" i="28"/>
  <c r="BE466" i="28"/>
  <c r="BE465" i="28"/>
  <c r="AW466" i="28"/>
  <c r="AW457" i="28"/>
  <c r="AW458" i="28"/>
  <c r="AW465" i="28"/>
  <c r="AS470" i="28"/>
  <c r="AS469" i="28"/>
  <c r="AT62" i="28"/>
  <c r="AO470" i="28"/>
  <c r="AO469" i="28"/>
  <c r="AJ479" i="28"/>
  <c r="AP447" i="28"/>
  <c r="AE23" i="73"/>
  <c r="AI190" i="73"/>
  <c r="AO190" i="73" s="1"/>
  <c r="AS190" i="73" s="1"/>
  <c r="AE108" i="73"/>
  <c r="AI109" i="73"/>
  <c r="AE188" i="73"/>
  <c r="AI179" i="73"/>
  <c r="AJ232" i="28"/>
  <c r="AJ278" i="28"/>
  <c r="AJ467" i="28" s="1"/>
  <c r="AI470" i="28"/>
  <c r="AI469" i="28"/>
  <c r="AE470" i="28"/>
  <c r="AE469" i="28"/>
  <c r="R72" i="8"/>
  <c r="AA470" i="28"/>
  <c r="AA469" i="28"/>
  <c r="N63" i="8"/>
  <c r="R63" i="8" s="1"/>
  <c r="V63" i="8" s="1"/>
  <c r="R59" i="8"/>
  <c r="V59" i="8" s="1"/>
  <c r="R74" i="8"/>
  <c r="M16" i="15"/>
  <c r="I15" i="15"/>
  <c r="I16" i="15" s="1"/>
  <c r="AE117" i="73" l="1"/>
  <c r="AW53" i="73"/>
  <c r="BE53" i="73" s="1"/>
  <c r="AW190" i="73"/>
  <c r="BE190" i="73" s="1"/>
  <c r="BE34" i="73"/>
  <c r="AX62" i="28"/>
  <c r="BF62" i="28" s="1"/>
  <c r="AW469" i="28"/>
  <c r="BE470" i="28"/>
  <c r="BE469" i="28"/>
  <c r="AW470" i="28"/>
  <c r="F135" i="7"/>
  <c r="V71" i="8"/>
  <c r="V70" i="8"/>
  <c r="AP479" i="28"/>
  <c r="AT447" i="28"/>
  <c r="AX447" i="28" s="1"/>
  <c r="AP278" i="28"/>
  <c r="AP467" i="28" s="1"/>
  <c r="AJ463" i="28"/>
  <c r="AP232" i="28"/>
  <c r="BD463" i="28" s="1"/>
  <c r="AI108" i="73"/>
  <c r="AO108" i="73" s="1"/>
  <c r="AO109" i="73"/>
  <c r="AS109" i="73" s="1"/>
  <c r="AW109" i="73" s="1"/>
  <c r="AW108" i="73" s="1"/>
  <c r="AI188" i="73"/>
  <c r="AO188" i="73" s="1"/>
  <c r="AO179" i="73"/>
  <c r="AS179" i="73" s="1"/>
  <c r="AW179" i="73" s="1"/>
  <c r="AW188" i="73" s="1"/>
  <c r="AI23" i="73"/>
  <c r="R71" i="8"/>
  <c r="R70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N193" i="6" s="1"/>
  <c r="F192" i="6"/>
  <c r="E192" i="6"/>
  <c r="F191" i="6"/>
  <c r="E191" i="6"/>
  <c r="F167" i="6"/>
  <c r="N167" i="6" s="1"/>
  <c r="F166" i="6"/>
  <c r="F142" i="6"/>
  <c r="N142" i="6" s="1"/>
  <c r="F141" i="6"/>
  <c r="N140" i="6"/>
  <c r="E140" i="6"/>
  <c r="F137" i="6"/>
  <c r="N137" i="6" s="1"/>
  <c r="AB137" i="6" s="1"/>
  <c r="AF137" i="6" s="1"/>
  <c r="E137" i="6"/>
  <c r="F134" i="6"/>
  <c r="N134" i="6" s="1"/>
  <c r="AB134" i="6" s="1"/>
  <c r="AF134" i="6" s="1"/>
  <c r="E134" i="6"/>
  <c r="M134" i="6" s="1"/>
  <c r="N132" i="6"/>
  <c r="M132" i="6"/>
  <c r="AA132" i="6" s="1"/>
  <c r="N128" i="6"/>
  <c r="AB128" i="6" s="1"/>
  <c r="AF128" i="6" s="1"/>
  <c r="M128" i="6"/>
  <c r="F127" i="6"/>
  <c r="N127" i="6" s="1"/>
  <c r="AB127" i="6" s="1"/>
  <c r="AF127" i="6" s="1"/>
  <c r="E127" i="6"/>
  <c r="M127" i="6" s="1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AI117" i="73" l="1"/>
  <c r="AB132" i="6"/>
  <c r="AF132" i="6" s="1"/>
  <c r="AJ132" i="6" s="1"/>
  <c r="N141" i="6"/>
  <c r="R141" i="6" s="1"/>
  <c r="V141" i="6" s="1"/>
  <c r="M140" i="6"/>
  <c r="Q140" i="6" s="1"/>
  <c r="U140" i="6" s="1"/>
  <c r="M18" i="6"/>
  <c r="M195" i="6" s="1"/>
  <c r="AT479" i="28"/>
  <c r="AS188" i="73"/>
  <c r="AS108" i="73"/>
  <c r="AJ127" i="6"/>
  <c r="AT278" i="28"/>
  <c r="AJ128" i="6"/>
  <c r="AJ137" i="6"/>
  <c r="AJ134" i="6"/>
  <c r="AF138" i="6"/>
  <c r="AP463" i="28"/>
  <c r="AT232" i="28"/>
  <c r="AX232" i="28" s="1"/>
  <c r="AO23" i="73"/>
  <c r="AO117" i="73" s="1"/>
  <c r="Q128" i="6"/>
  <c r="U128" i="6" s="1"/>
  <c r="AA128" i="6"/>
  <c r="AE128" i="6" s="1"/>
  <c r="AI128" i="6" s="1"/>
  <c r="Q127" i="6"/>
  <c r="U127" i="6" s="1"/>
  <c r="AA127" i="6"/>
  <c r="AE127" i="6" s="1"/>
  <c r="Q134" i="6"/>
  <c r="U134" i="6" s="1"/>
  <c r="AA134" i="6"/>
  <c r="AE134" i="6" s="1"/>
  <c r="AI134" i="6" s="1"/>
  <c r="Q132" i="6"/>
  <c r="U132" i="6" s="1"/>
  <c r="AE132" i="6"/>
  <c r="AI132" i="6" s="1"/>
  <c r="R132" i="6"/>
  <c r="V132" i="6" s="1"/>
  <c r="R137" i="6"/>
  <c r="V137" i="6" s="1"/>
  <c r="R142" i="6"/>
  <c r="V142" i="6" s="1"/>
  <c r="AB142" i="6"/>
  <c r="AF142" i="6" s="1"/>
  <c r="R127" i="6"/>
  <c r="V127" i="6" s="1"/>
  <c r="R134" i="6"/>
  <c r="V134" i="6" s="1"/>
  <c r="R140" i="6"/>
  <c r="V140" i="6" s="1"/>
  <c r="AB140" i="6"/>
  <c r="AF140" i="6" s="1"/>
  <c r="R128" i="6"/>
  <c r="V128" i="6" s="1"/>
  <c r="M137" i="6"/>
  <c r="D138" i="6"/>
  <c r="N21" i="6"/>
  <c r="F34" i="6"/>
  <c r="N22" i="6"/>
  <c r="E7" i="6"/>
  <c r="F121" i="6"/>
  <c r="F125" i="6" s="1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M31" i="6" s="1"/>
  <c r="E28" i="6"/>
  <c r="M28" i="6" s="1"/>
  <c r="E25" i="6"/>
  <c r="M25" i="6" s="1"/>
  <c r="E188" i="6"/>
  <c r="E22" i="6"/>
  <c r="M22" i="6" s="1"/>
  <c r="F103" i="6"/>
  <c r="F107" i="6" s="1"/>
  <c r="E138" i="6"/>
  <c r="E16" i="6"/>
  <c r="E103" i="6"/>
  <c r="E107" i="6" s="1"/>
  <c r="E150" i="6" s="1"/>
  <c r="E121" i="6"/>
  <c r="E125" i="6" s="1"/>
  <c r="F23" i="6"/>
  <c r="F33" i="6"/>
  <c r="Q18" i="6" l="1"/>
  <c r="U18" i="6" s="1"/>
  <c r="U188" i="6" s="1"/>
  <c r="AB141" i="6"/>
  <c r="AF141" i="6" s="1"/>
  <c r="AF133" i="6"/>
  <c r="AF139" i="6" s="1"/>
  <c r="AA140" i="6"/>
  <c r="AE140" i="6" s="1"/>
  <c r="AI140" i="6" s="1"/>
  <c r="AO140" i="6" s="1"/>
  <c r="E175" i="6"/>
  <c r="AT467" i="28"/>
  <c r="AX278" i="28"/>
  <c r="AX467" i="28" s="1"/>
  <c r="V138" i="6"/>
  <c r="U133" i="6"/>
  <c r="V133" i="6"/>
  <c r="Q195" i="6"/>
  <c r="U195" i="6" s="1"/>
  <c r="M17" i="6"/>
  <c r="Q17" i="6" s="1"/>
  <c r="BE109" i="73"/>
  <c r="BE108" i="73" s="1"/>
  <c r="BE179" i="73"/>
  <c r="BE188" i="73" s="1"/>
  <c r="AX479" i="28"/>
  <c r="BF447" i="28"/>
  <c r="BF479" i="28" s="1"/>
  <c r="AT463" i="28"/>
  <c r="R138" i="6"/>
  <c r="AP128" i="6"/>
  <c r="AJ142" i="6"/>
  <c r="AJ141" i="6"/>
  <c r="AO132" i="6"/>
  <c r="AO134" i="6"/>
  <c r="AO128" i="6"/>
  <c r="AP137" i="6"/>
  <c r="AP134" i="6"/>
  <c r="AJ138" i="6"/>
  <c r="AP132" i="6"/>
  <c r="AJ140" i="6"/>
  <c r="AI127" i="6"/>
  <c r="AE133" i="6"/>
  <c r="AP127" i="6"/>
  <c r="AS23" i="73"/>
  <c r="Q133" i="6"/>
  <c r="Q137" i="6"/>
  <c r="U137" i="6" s="1"/>
  <c r="U138" i="6" s="1"/>
  <c r="AA137" i="6"/>
  <c r="AE137" i="6" s="1"/>
  <c r="F147" i="6"/>
  <c r="F175" i="6"/>
  <c r="R133" i="6"/>
  <c r="D139" i="6"/>
  <c r="D143" i="6" s="1"/>
  <c r="N34" i="6"/>
  <c r="R34" i="6" s="1"/>
  <c r="V34" i="6" s="1"/>
  <c r="Q188" i="6"/>
  <c r="Q25" i="6"/>
  <c r="U25" i="6" s="1"/>
  <c r="N160" i="6"/>
  <c r="Q22" i="6"/>
  <c r="U22" i="6" s="1"/>
  <c r="Q28" i="6"/>
  <c r="U28" i="6" s="1"/>
  <c r="Q31" i="6"/>
  <c r="U31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M21" i="6" s="1"/>
  <c r="E163" i="6"/>
  <c r="E27" i="6"/>
  <c r="E24" i="6"/>
  <c r="E30" i="6"/>
  <c r="F173" i="6"/>
  <c r="F172" i="6"/>
  <c r="F139" i="6"/>
  <c r="E139" i="6"/>
  <c r="E143" i="6" s="1"/>
  <c r="E206" i="6" s="1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E172" i="6"/>
  <c r="F150" i="6"/>
  <c r="E147" i="6"/>
  <c r="E34" i="6"/>
  <c r="M34" i="6" s="1"/>
  <c r="F148" i="6"/>
  <c r="E173" i="6"/>
  <c r="V139" i="6" l="1"/>
  <c r="V143" i="6" s="1"/>
  <c r="V206" i="6" s="1"/>
  <c r="AJ133" i="6"/>
  <c r="M169" i="6"/>
  <c r="Q169" i="6" s="1"/>
  <c r="D210" i="6"/>
  <c r="D206" i="6"/>
  <c r="AW23" i="73"/>
  <c r="AW117" i="73" s="1"/>
  <c r="AS117" i="73"/>
  <c r="I22" i="59"/>
  <c r="V216" i="6"/>
  <c r="V199" i="6"/>
  <c r="V217" i="6"/>
  <c r="Q19" i="6"/>
  <c r="Q84" i="6" s="1"/>
  <c r="U17" i="6"/>
  <c r="V23" i="6"/>
  <c r="U139" i="6"/>
  <c r="U143" i="6" s="1"/>
  <c r="V203" i="6"/>
  <c r="V205" i="6"/>
  <c r="V210" i="6"/>
  <c r="V204" i="6"/>
  <c r="V208" i="6"/>
  <c r="V211" i="6"/>
  <c r="V213" i="6"/>
  <c r="V212" i="6"/>
  <c r="V207" i="6"/>
  <c r="V218" i="6"/>
  <c r="Q138" i="6"/>
  <c r="Q139" i="6" s="1"/>
  <c r="Q143" i="6" s="1"/>
  <c r="BF278" i="28"/>
  <c r="BF467" i="28" s="1"/>
  <c r="AX463" i="28"/>
  <c r="BF232" i="28"/>
  <c r="BF463" i="28" s="1"/>
  <c r="R139" i="6"/>
  <c r="R143" i="6" s="1"/>
  <c r="AJ139" i="6"/>
  <c r="AJ143" i="6" s="1"/>
  <c r="AJ206" i="6" s="1"/>
  <c r="AE138" i="6"/>
  <c r="AE139" i="6" s="1"/>
  <c r="AE143" i="6" s="1"/>
  <c r="AI137" i="6"/>
  <c r="AS140" i="6"/>
  <c r="AP140" i="6"/>
  <c r="AT134" i="6"/>
  <c r="AX134" i="6" s="1"/>
  <c r="BF134" i="6" s="1"/>
  <c r="AP138" i="6"/>
  <c r="AS128" i="6"/>
  <c r="AW128" i="6" s="1"/>
  <c r="BE128" i="6" s="1"/>
  <c r="AS132" i="6"/>
  <c r="AP142" i="6"/>
  <c r="AT127" i="6"/>
  <c r="AX127" i="6" s="1"/>
  <c r="BF127" i="6" s="1"/>
  <c r="AP133" i="6"/>
  <c r="AF143" i="6"/>
  <c r="AT132" i="6"/>
  <c r="AX132" i="6" s="1"/>
  <c r="BF132" i="6" s="1"/>
  <c r="AO127" i="6"/>
  <c r="AI133" i="6"/>
  <c r="AT137" i="6"/>
  <c r="AX137" i="6" s="1"/>
  <c r="BF137" i="6" s="1"/>
  <c r="AS134" i="6"/>
  <c r="AW134" i="6" s="1"/>
  <c r="BE134" i="6" s="1"/>
  <c r="AP141" i="6"/>
  <c r="AT128" i="6"/>
  <c r="AX128" i="6" s="1"/>
  <c r="BF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F149" i="6"/>
  <c r="I15" i="59"/>
  <c r="E212" i="6"/>
  <c r="E208" i="6"/>
  <c r="E207" i="6"/>
  <c r="E211" i="6"/>
  <c r="E204" i="6"/>
  <c r="E205" i="6"/>
  <c r="E213" i="6"/>
  <c r="D205" i="6"/>
  <c r="D211" i="6"/>
  <c r="D204" i="6"/>
  <c r="D208" i="6"/>
  <c r="D213" i="6"/>
  <c r="D212" i="6"/>
  <c r="D207" i="6"/>
  <c r="Q163" i="6"/>
  <c r="Q34" i="6"/>
  <c r="U34" i="6" s="1"/>
  <c r="R33" i="6"/>
  <c r="V33" i="6" s="1"/>
  <c r="V35" i="6" s="1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E33" i="6"/>
  <c r="F143" i="6"/>
  <c r="F206" i="6" s="1"/>
  <c r="E81" i="6"/>
  <c r="E210" i="6"/>
  <c r="D81" i="6"/>
  <c r="F174" i="6"/>
  <c r="E203" i="6"/>
  <c r="E216" i="6"/>
  <c r="D149" i="6"/>
  <c r="D34" i="6"/>
  <c r="D35" i="6" s="1"/>
  <c r="E149" i="6"/>
  <c r="E174" i="6"/>
  <c r="Q81" i="6" l="1"/>
  <c r="AF199" i="6"/>
  <c r="AF206" i="6"/>
  <c r="R199" i="6"/>
  <c r="R206" i="6"/>
  <c r="U204" i="6"/>
  <c r="U206" i="6"/>
  <c r="AE210" i="6"/>
  <c r="AE206" i="6"/>
  <c r="Q210" i="6"/>
  <c r="Q206" i="6"/>
  <c r="BF133" i="6"/>
  <c r="F205" i="6"/>
  <c r="V219" i="6"/>
  <c r="E219" i="6"/>
  <c r="BF138" i="6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Q207" i="6"/>
  <c r="Q212" i="6"/>
  <c r="AX133" i="6"/>
  <c r="AW140" i="6"/>
  <c r="BE140" i="6" s="1"/>
  <c r="U208" i="6"/>
  <c r="U211" i="6"/>
  <c r="U19" i="6"/>
  <c r="U81" i="6" s="1"/>
  <c r="U163" i="6"/>
  <c r="Q213" i="6"/>
  <c r="AW132" i="6"/>
  <c r="BE132" i="6" s="1"/>
  <c r="U207" i="6"/>
  <c r="V214" i="6"/>
  <c r="Q205" i="6"/>
  <c r="V209" i="6"/>
  <c r="Q204" i="6"/>
  <c r="Q216" i="6"/>
  <c r="Q219" i="6" s="1"/>
  <c r="BE23" i="73"/>
  <c r="BE117" i="73" s="1"/>
  <c r="AE203" i="6"/>
  <c r="AE212" i="6"/>
  <c r="AE213" i="6"/>
  <c r="AE208" i="6"/>
  <c r="AE207" i="6"/>
  <c r="AE216" i="6"/>
  <c r="AE219" i="6" s="1"/>
  <c r="AE205" i="6"/>
  <c r="AP139" i="6"/>
  <c r="AP143" i="6" s="1"/>
  <c r="AP206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I206" i="6" s="1"/>
  <c r="AS127" i="6"/>
  <c r="AW127" i="6" s="1"/>
  <c r="BE127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E214" i="6"/>
  <c r="F213" i="6"/>
  <c r="F211" i="6"/>
  <c r="F208" i="6"/>
  <c r="E209" i="6"/>
  <c r="BF139" i="6" l="1"/>
  <c r="BE133" i="6"/>
  <c r="AW133" i="6"/>
  <c r="Q214" i="6"/>
  <c r="Q209" i="6"/>
  <c r="U214" i="6"/>
  <c r="V215" i="6"/>
  <c r="V220" i="6" s="1"/>
  <c r="U209" i="6"/>
  <c r="AX139" i="6"/>
  <c r="Q29" i="6"/>
  <c r="U27" i="6"/>
  <c r="U29" i="6" s="1"/>
  <c r="Q23" i="6"/>
  <c r="U21" i="6"/>
  <c r="U23" i="6" s="1"/>
  <c r="AX141" i="6"/>
  <c r="BF141" i="6" s="1"/>
  <c r="Q26" i="6"/>
  <c r="U24" i="6"/>
  <c r="U26" i="6" s="1"/>
  <c r="AX142" i="6"/>
  <c r="BF142" i="6" s="1"/>
  <c r="AX140" i="6"/>
  <c r="BF140" i="6" s="1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BE137" i="6" s="1"/>
  <c r="BE138" i="6" s="1"/>
  <c r="BE139" i="6" s="1"/>
  <c r="BE143" i="6" s="1"/>
  <c r="BE206" i="6" s="1"/>
  <c r="AO138" i="6"/>
  <c r="AO139" i="6" s="1"/>
  <c r="AO143" i="6" s="1"/>
  <c r="AV11" i="59"/>
  <c r="AF209" i="6"/>
  <c r="AP218" i="6"/>
  <c r="AS133" i="6"/>
  <c r="AF214" i="6"/>
  <c r="AI11" i="59" s="1"/>
  <c r="AT139" i="6"/>
  <c r="AT143" i="6" s="1"/>
  <c r="AT206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AO213" i="6" l="1"/>
  <c r="AO206" i="6"/>
  <c r="Q215" i="6"/>
  <c r="Q220" i="6" s="1"/>
  <c r="E220" i="6"/>
  <c r="I11" i="59"/>
  <c r="BF143" i="6"/>
  <c r="BF206" i="6" s="1"/>
  <c r="U215" i="6"/>
  <c r="U220" i="6" s="1"/>
  <c r="AT217" i="6"/>
  <c r="AX143" i="6"/>
  <c r="AX206" i="6" s="1"/>
  <c r="AW138" i="6"/>
  <c r="AW139" i="6" s="1"/>
  <c r="AW143" i="6" s="1"/>
  <c r="AW206" i="6" s="1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S206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AM47" i="38" s="1"/>
  <c r="I46" i="38"/>
  <c r="Q46" i="38" s="1"/>
  <c r="AE46" i="38" s="1"/>
  <c r="AI46" i="38" s="1"/>
  <c r="AM46" i="38" s="1"/>
  <c r="I45" i="38"/>
  <c r="Q45" i="38" s="1"/>
  <c r="AE45" i="38" s="1"/>
  <c r="AI45" i="38" s="1"/>
  <c r="AM45" i="38" s="1"/>
  <c r="I44" i="38"/>
  <c r="Q44" i="38" s="1"/>
  <c r="AE44" i="38" s="1"/>
  <c r="AI44" i="38" s="1"/>
  <c r="AM44" i="38" s="1"/>
  <c r="J43" i="38"/>
  <c r="I42" i="38"/>
  <c r="J41" i="38"/>
  <c r="I39" i="38"/>
  <c r="Q39" i="38" s="1"/>
  <c r="AE39" i="38" s="1"/>
  <c r="AI39" i="38" s="1"/>
  <c r="AM39" i="38" s="1"/>
  <c r="I38" i="38"/>
  <c r="Q38" i="38" s="1"/>
  <c r="AE38" i="38" s="1"/>
  <c r="AI38" i="38" s="1"/>
  <c r="AM38" i="38" s="1"/>
  <c r="I37" i="38"/>
  <c r="Q37" i="38" s="1"/>
  <c r="AE37" i="38" s="1"/>
  <c r="AI37" i="38" s="1"/>
  <c r="AM37" i="38" s="1"/>
  <c r="I36" i="38"/>
  <c r="J35" i="38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J19" i="38"/>
  <c r="R19" i="38" s="1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J13" i="38"/>
  <c r="F220" i="6" l="1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W203" i="6"/>
  <c r="AW212" i="6"/>
  <c r="AW205" i="6"/>
  <c r="AW211" i="6"/>
  <c r="AW210" i="6"/>
  <c r="AW204" i="6"/>
  <c r="AW207" i="6"/>
  <c r="AW208" i="6"/>
  <c r="AW216" i="6"/>
  <c r="AW219" i="6" s="1"/>
  <c r="AW213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1" i="8"/>
  <c r="I67" i="38"/>
  <c r="J62" i="38"/>
  <c r="R13" i="38"/>
  <c r="AF13" i="38" s="1"/>
  <c r="AJ13" i="38" s="1"/>
  <c r="AN13" i="38" s="1"/>
  <c r="E99" i="9"/>
  <c r="M99" i="9" s="1"/>
  <c r="I41" i="38"/>
  <c r="Q41" i="38" s="1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82" i="7"/>
  <c r="E83" i="7" s="1"/>
  <c r="H36" i="59" s="1"/>
  <c r="E172" i="10"/>
  <c r="E173" i="10" s="1"/>
  <c r="J84" i="38"/>
  <c r="R35" i="38"/>
  <c r="AF35" i="38" s="1"/>
  <c r="AJ35" i="38" s="1"/>
  <c r="AN35" i="38" s="1"/>
  <c r="E193" i="6"/>
  <c r="E194" i="6" s="1"/>
  <c r="Q20" i="38"/>
  <c r="AE20" i="38" s="1"/>
  <c r="AI20" i="38" s="1"/>
  <c r="AM20" i="38" s="1"/>
  <c r="F138" i="45"/>
  <c r="F139" i="45" s="1"/>
  <c r="E73" i="11"/>
  <c r="E74" i="11" s="1"/>
  <c r="E167" i="6"/>
  <c r="E168" i="6" s="1"/>
  <c r="Q36" i="38"/>
  <c r="AE36" i="38" s="1"/>
  <c r="AI36" i="38" s="1"/>
  <c r="AM36" i="38" s="1"/>
  <c r="J90" i="38"/>
  <c r="R41" i="38"/>
  <c r="AF41" i="38" s="1"/>
  <c r="AJ41" i="38" s="1"/>
  <c r="AN41" i="38" s="1"/>
  <c r="I43" i="38"/>
  <c r="Q43" i="38" s="1"/>
  <c r="AE43" i="38" s="1"/>
  <c r="AI43" i="38" s="1"/>
  <c r="AM43" i="38" s="1"/>
  <c r="I89" i="38"/>
  <c r="I19" i="38"/>
  <c r="Q19" i="38" s="1"/>
  <c r="AE19" i="38" s="1"/>
  <c r="AI19" i="38" s="1"/>
  <c r="AM19" i="38" s="1"/>
  <c r="I35" i="38"/>
  <c r="Q35" i="38" s="1"/>
  <c r="AE35" i="38" s="1"/>
  <c r="AI35" i="38" s="1"/>
  <c r="AM35" i="38" s="1"/>
  <c r="I13" i="38"/>
  <c r="Q13" i="38" s="1"/>
  <c r="AE13" i="38" s="1"/>
  <c r="AI13" i="38" s="1"/>
  <c r="AM13" i="38" s="1"/>
  <c r="J18" i="38"/>
  <c r="J68" i="38"/>
  <c r="J16" i="38"/>
  <c r="J40" i="38"/>
  <c r="I72" i="59"/>
  <c r="I68" i="59"/>
  <c r="I64" i="59"/>
  <c r="AW214" i="6" l="1"/>
  <c r="AX214" i="6"/>
  <c r="BF199" i="6"/>
  <c r="BF207" i="6"/>
  <c r="BF208" i="6"/>
  <c r="AX219" i="6"/>
  <c r="AX209" i="6"/>
  <c r="AW209" i="6"/>
  <c r="AS23" i="38"/>
  <c r="BG72" i="38" s="1"/>
  <c r="AI91" i="8"/>
  <c r="V9" i="36"/>
  <c r="Y10" i="59" s="1"/>
  <c r="AT215" i="6"/>
  <c r="AT9" i="36" s="1"/>
  <c r="AW10" i="59" s="1"/>
  <c r="AP9" i="36"/>
  <c r="AS10" i="59" s="1"/>
  <c r="BA11" i="59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M73" i="11"/>
  <c r="M74" i="11" s="1"/>
  <c r="M172" i="10"/>
  <c r="AA172" i="10" s="1"/>
  <c r="AE172" i="10" s="1"/>
  <c r="AI172" i="10" s="1"/>
  <c r="I40" i="38"/>
  <c r="Q40" i="38" s="1"/>
  <c r="AE40" i="38" s="1"/>
  <c r="AI40" i="38" s="1"/>
  <c r="AM40" i="38" s="1"/>
  <c r="N138" i="45"/>
  <c r="N139" i="45" s="1"/>
  <c r="J67" i="38"/>
  <c r="R18" i="38"/>
  <c r="AF18" i="38" s="1"/>
  <c r="AJ18" i="38" s="1"/>
  <c r="AN18" i="38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J17" i="38"/>
  <c r="J49" i="38" s="1"/>
  <c r="AW215" i="6" l="1"/>
  <c r="AW220" i="6" s="1"/>
  <c r="AX215" i="6"/>
  <c r="AX220" i="6" s="1"/>
  <c r="AW23" i="38"/>
  <c r="BA23" i="38" s="1"/>
  <c r="BI23" i="38" s="1"/>
  <c r="BE91" i="8" s="1"/>
  <c r="AO91" i="8"/>
  <c r="BE216" i="6"/>
  <c r="BE219" i="6" s="1"/>
  <c r="BE207" i="6"/>
  <c r="BE208" i="6"/>
  <c r="BE205" i="6"/>
  <c r="AT220" i="6"/>
  <c r="BE210" i="6"/>
  <c r="BE204" i="6"/>
  <c r="BE211" i="6"/>
  <c r="BE203" i="6"/>
  <c r="BE212" i="6"/>
  <c r="BA92" i="8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72" i="10"/>
  <c r="AE26" i="36"/>
  <c r="AT18" i="38"/>
  <c r="AF26" i="36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F28" i="21"/>
  <c r="E27" i="21"/>
  <c r="F24" i="21"/>
  <c r="F25" i="21" s="1"/>
  <c r="F18" i="21"/>
  <c r="F15" i="21"/>
  <c r="N15" i="21" s="1"/>
  <c r="R15" i="21" s="1"/>
  <c r="F12" i="21"/>
  <c r="E12" i="21"/>
  <c r="W18" i="36" l="1"/>
  <c r="Z56" i="59" s="1"/>
  <c r="S18" i="36"/>
  <c r="V56" i="59" s="1"/>
  <c r="O18" i="36"/>
  <c r="R56" i="59" s="1"/>
  <c r="K18" i="36"/>
  <c r="N56" i="59" s="1"/>
  <c r="G18" i="36"/>
  <c r="J56" i="59" s="1"/>
  <c r="AW91" i="8"/>
  <c r="AY18" i="36"/>
  <c r="BB56" i="59" s="1"/>
  <c r="AU18" i="36"/>
  <c r="AX56" i="59" s="1"/>
  <c r="AQ18" i="36"/>
  <c r="AT56" i="59" s="1"/>
  <c r="AK18" i="36"/>
  <c r="AN56" i="59" s="1"/>
  <c r="AC18" i="36"/>
  <c r="AF56" i="59" s="1"/>
  <c r="U18" i="36"/>
  <c r="X56" i="59" s="1"/>
  <c r="V15" i="21"/>
  <c r="AS91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AW167" i="6"/>
  <c r="BI20" i="38"/>
  <c r="BE193" i="6" s="1"/>
  <c r="AW193" i="6"/>
  <c r="G56" i="59"/>
  <c r="BE209" i="6"/>
  <c r="BF215" i="6"/>
  <c r="BA168" i="6"/>
  <c r="BA194" i="6"/>
  <c r="BE214" i="6"/>
  <c r="AX9" i="36"/>
  <c r="BA10" i="59" s="1"/>
  <c r="AW18" i="36"/>
  <c r="AZ56" i="59" s="1"/>
  <c r="AX18" i="38"/>
  <c r="AP26" i="36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72" i="10"/>
  <c r="AW172" i="10" s="1"/>
  <c r="AX43" i="38"/>
  <c r="AS167" i="6"/>
  <c r="AS40" i="38"/>
  <c r="AW19" i="38"/>
  <c r="AW42" i="38"/>
  <c r="AW43" i="38"/>
  <c r="AS193" i="6"/>
  <c r="AX41" i="38"/>
  <c r="AQ76" i="59"/>
  <c r="AS18" i="38"/>
  <c r="AI26" i="36"/>
  <c r="AI18" i="36"/>
  <c r="AL56" i="59" s="1"/>
  <c r="AG18" i="36"/>
  <c r="AJ56" i="59" s="1"/>
  <c r="AE18" i="36"/>
  <c r="AH56" i="59" s="1"/>
  <c r="AJ26" i="36"/>
  <c r="Y18" i="36"/>
  <c r="AB56" i="59" s="1"/>
  <c r="N18" i="21"/>
  <c r="R18" i="21" s="1"/>
  <c r="V18" i="21" s="1"/>
  <c r="F20" i="21"/>
  <c r="F477" i="28"/>
  <c r="J477" i="28" s="1"/>
  <c r="N477" i="28" s="1"/>
  <c r="F478" i="28"/>
  <c r="J478" i="28" s="1"/>
  <c r="N478" i="28" s="1"/>
  <c r="BA18" i="36"/>
  <c r="BD56" i="59" s="1"/>
  <c r="BC18" i="36"/>
  <c r="BF56" i="59" s="1"/>
  <c r="M11" i="15"/>
  <c r="I11" i="15"/>
  <c r="M27" i="21"/>
  <c r="Q27" i="21" s="1"/>
  <c r="U27" i="21" s="1"/>
  <c r="BE18" i="36"/>
  <c r="BH56" i="59" s="1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AB477" i="28" l="1"/>
  <c r="AF477" i="28" s="1"/>
  <c r="R477" i="28"/>
  <c r="V477" i="28" s="1"/>
  <c r="AB478" i="28"/>
  <c r="AF478" i="28" s="1"/>
  <c r="R478" i="28"/>
  <c r="V478" i="28" s="1"/>
  <c r="R20" i="21"/>
  <c r="V20" i="21"/>
  <c r="BI31" i="38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1" i="15"/>
  <c r="U11" i="15" s="1"/>
  <c r="BF220" i="6"/>
  <c r="BE215" i="6"/>
  <c r="BE172" i="10"/>
  <c r="AX40" i="38"/>
  <c r="AW18" i="38"/>
  <c r="AO26" i="36"/>
  <c r="AW40" i="38"/>
  <c r="AT26" i="36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1" i="15"/>
  <c r="AE11" i="15" s="1"/>
  <c r="M12" i="15"/>
  <c r="Q12" i="15" s="1"/>
  <c r="Q13" i="15" s="1"/>
  <c r="I12" i="15"/>
  <c r="N51" i="35"/>
  <c r="N50" i="35"/>
  <c r="E42" i="35"/>
  <c r="D42" i="35"/>
  <c r="F41" i="35"/>
  <c r="E41" i="35"/>
  <c r="M41" i="35" s="1"/>
  <c r="D41" i="35"/>
  <c r="E39" i="35"/>
  <c r="D39" i="35"/>
  <c r="F36" i="35"/>
  <c r="F48" i="35" s="1"/>
  <c r="N48" i="35" s="1"/>
  <c r="E36" i="35"/>
  <c r="E28" i="28" s="1"/>
  <c r="M28" i="28" s="1"/>
  <c r="D36" i="35"/>
  <c r="D48" i="35" s="1"/>
  <c r="F33" i="35"/>
  <c r="E33" i="35"/>
  <c r="D33" i="35"/>
  <c r="F26" i="35"/>
  <c r="E26" i="35"/>
  <c r="E26" i="21" s="1"/>
  <c r="D26" i="35"/>
  <c r="D33" i="36" s="1"/>
  <c r="D34" i="36" s="1"/>
  <c r="D35" i="36" s="1"/>
  <c r="D36" i="36" s="1"/>
  <c r="E10" i="35"/>
  <c r="E9" i="6" s="1"/>
  <c r="D10" i="35"/>
  <c r="E9" i="35"/>
  <c r="D9" i="35"/>
  <c r="E8" i="35"/>
  <c r="D8" i="35"/>
  <c r="F7" i="35"/>
  <c r="F8" i="35" s="1"/>
  <c r="BJ18" i="38" l="1"/>
  <c r="BJ43" i="38"/>
  <c r="BF26" i="36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51" i="35"/>
  <c r="AF51" i="35" s="1"/>
  <c r="AJ51" i="35" s="1"/>
  <c r="AP51" i="35" s="1"/>
  <c r="AT51" i="35" s="1"/>
  <c r="AX51" i="35" s="1"/>
  <c r="BF51" i="35" s="1"/>
  <c r="R51" i="35"/>
  <c r="V51" i="35" s="1"/>
  <c r="AA41" i="35"/>
  <c r="AE41" i="35" s="1"/>
  <c r="AI41" i="35" s="1"/>
  <c r="AO41" i="35" s="1"/>
  <c r="AS41" i="35" s="1"/>
  <c r="AW41" i="35" s="1"/>
  <c r="BE41" i="35" s="1"/>
  <c r="Q41" i="35"/>
  <c r="U41" i="35" s="1"/>
  <c r="AB50" i="35"/>
  <c r="AF50" i="35" s="1"/>
  <c r="AJ50" i="35" s="1"/>
  <c r="AP50" i="35" s="1"/>
  <c r="AT50" i="35" s="1"/>
  <c r="AX50" i="35" s="1"/>
  <c r="BF50" i="35" s="1"/>
  <c r="R50" i="35"/>
  <c r="V50" i="35" s="1"/>
  <c r="AI11" i="15"/>
  <c r="AO11" i="15" s="1"/>
  <c r="AS11" i="15" s="1"/>
  <c r="E13" i="35"/>
  <c r="E8" i="6"/>
  <c r="D14" i="35"/>
  <c r="D9" i="6"/>
  <c r="D13" i="35"/>
  <c r="D8" i="6"/>
  <c r="M10" i="35"/>
  <c r="E14" i="35"/>
  <c r="M14" i="35" s="1"/>
  <c r="M26" i="21"/>
  <c r="E28" i="21"/>
  <c r="AX17" i="38"/>
  <c r="AW17" i="38"/>
  <c r="AS26" i="36"/>
  <c r="D11" i="35"/>
  <c r="D10" i="6" s="1"/>
  <c r="M9" i="35"/>
  <c r="Q9" i="35" s="1"/>
  <c r="E11" i="35"/>
  <c r="E10" i="6" s="1"/>
  <c r="I28" i="28"/>
  <c r="E33" i="28"/>
  <c r="M33" i="28" s="1"/>
  <c r="E50" i="28"/>
  <c r="M13" i="15"/>
  <c r="F6" i="6"/>
  <c r="M42" i="35"/>
  <c r="Q42" i="35" s="1"/>
  <c r="U42" i="35" s="1"/>
  <c r="I42" i="35"/>
  <c r="J41" i="35"/>
  <c r="N41" i="35"/>
  <c r="R41" i="35" s="1"/>
  <c r="F37" i="35"/>
  <c r="F49" i="35"/>
  <c r="D49" i="35"/>
  <c r="D37" i="35"/>
  <c r="E37" i="35"/>
  <c r="E48" i="35"/>
  <c r="D15" i="35" l="1"/>
  <c r="BB17" i="38"/>
  <c r="BA17" i="38"/>
  <c r="BJ40" i="38"/>
  <c r="BI18" i="38"/>
  <c r="AW26" i="36"/>
  <c r="BI40" i="38"/>
  <c r="AW11" i="15"/>
  <c r="BE11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V41" i="35"/>
  <c r="F79" i="83"/>
  <c r="AA10" i="35"/>
  <c r="AA9" i="6" s="1"/>
  <c r="AA9" i="35"/>
  <c r="AA8" i="6" s="1"/>
  <c r="M8" i="6"/>
  <c r="G79" i="83"/>
  <c r="O79" i="83" s="1"/>
  <c r="G95" i="50"/>
  <c r="Q28" i="28"/>
  <c r="F18" i="6"/>
  <c r="M13" i="35"/>
  <c r="Q13" i="35" s="1"/>
  <c r="E15" i="35"/>
  <c r="M11" i="35"/>
  <c r="M10" i="6" s="1"/>
  <c r="U12" i="15"/>
  <c r="U13" i="15" s="1"/>
  <c r="I50" i="28"/>
  <c r="E55" i="28"/>
  <c r="J60" i="6"/>
  <c r="M16" i="59" s="1"/>
  <c r="J61" i="6"/>
  <c r="M23" i="59" s="1"/>
  <c r="I33" i="28"/>
  <c r="E61" i="28"/>
  <c r="M61" i="28" s="1"/>
  <c r="AA61" i="28" s="1"/>
  <c r="AE61" i="28" s="1"/>
  <c r="AI61" i="28" s="1"/>
  <c r="AO61" i="28" s="1"/>
  <c r="AS61" i="28" s="1"/>
  <c r="E448" i="28"/>
  <c r="M448" i="28" s="1"/>
  <c r="AA448" i="28" s="1"/>
  <c r="F16" i="6"/>
  <c r="AA42" i="35"/>
  <c r="AE42" i="35" s="1"/>
  <c r="AB41" i="35"/>
  <c r="AF41" i="35" s="1"/>
  <c r="E49" i="35"/>
  <c r="E55" i="35" s="1"/>
  <c r="M48" i="35"/>
  <c r="F55" i="35"/>
  <c r="F17" i="6"/>
  <c r="F15" i="6"/>
  <c r="F7" i="6"/>
  <c r="BI17" i="38" l="1"/>
  <c r="BE26" i="36"/>
  <c r="BJ17" i="38"/>
  <c r="AW61" i="28"/>
  <c r="BE61" i="28" s="1"/>
  <c r="Q28" i="21"/>
  <c r="U26" i="21"/>
  <c r="U28" i="21" s="1"/>
  <c r="U11" i="35"/>
  <c r="U10" i="6" s="1"/>
  <c r="U8" i="6"/>
  <c r="Q11" i="35"/>
  <c r="U13" i="35"/>
  <c r="U15" i="35" s="1"/>
  <c r="Q15" i="35"/>
  <c r="AA28" i="28"/>
  <c r="AE28" i="28" s="1"/>
  <c r="AI28" i="28" s="1"/>
  <c r="AO28" i="28" s="1"/>
  <c r="AS28" i="28" s="1"/>
  <c r="U28" i="28"/>
  <c r="AA11" i="35"/>
  <c r="AA10" i="6" s="1"/>
  <c r="N18" i="6"/>
  <c r="N80" i="6" s="1"/>
  <c r="F194" i="6"/>
  <c r="F189" i="6"/>
  <c r="AJ41" i="35"/>
  <c r="AI42" i="35"/>
  <c r="AA13" i="35"/>
  <c r="AE13" i="35" s="1"/>
  <c r="M15" i="35"/>
  <c r="Q23" i="59"/>
  <c r="E474" i="28"/>
  <c r="E451" i="28"/>
  <c r="Q16" i="59"/>
  <c r="I61" i="28"/>
  <c r="E77" i="28"/>
  <c r="M77" i="28" s="1"/>
  <c r="AA77" i="28" s="1"/>
  <c r="AE77" i="28" s="1"/>
  <c r="AI77" i="28" s="1"/>
  <c r="AO77" i="28" s="1"/>
  <c r="AS77" i="28" s="1"/>
  <c r="E62" i="28"/>
  <c r="I55" i="28"/>
  <c r="E477" i="28"/>
  <c r="I448" i="28"/>
  <c r="I474" i="28" s="1"/>
  <c r="Q12" i="59"/>
  <c r="N17" i="6"/>
  <c r="N85" i="6" s="1"/>
  <c r="F168" i="6"/>
  <c r="F19" i="6"/>
  <c r="AW77" i="28" l="1"/>
  <c r="BE77" i="28" s="1"/>
  <c r="AW28" i="28"/>
  <c r="BE28" i="28" s="1"/>
  <c r="R18" i="6"/>
  <c r="V18" i="6" s="1"/>
  <c r="V189" i="6" s="1"/>
  <c r="N195" i="6"/>
  <c r="R195" i="6" s="1"/>
  <c r="V195" i="6" s="1"/>
  <c r="N83" i="6"/>
  <c r="R83" i="6" s="1"/>
  <c r="V83" i="6" s="1"/>
  <c r="N82" i="6"/>
  <c r="R82" i="6" s="1"/>
  <c r="V82" i="6" s="1"/>
  <c r="N79" i="6"/>
  <c r="AE15" i="35"/>
  <c r="AI13" i="35"/>
  <c r="AO42" i="35"/>
  <c r="AP41" i="35"/>
  <c r="Q61" i="28"/>
  <c r="U61" i="28" s="1"/>
  <c r="N169" i="6"/>
  <c r="I451" i="28"/>
  <c r="I62" i="28"/>
  <c r="E478" i="28"/>
  <c r="Q33" i="28"/>
  <c r="I77" i="28"/>
  <c r="I452" i="28" s="1"/>
  <c r="E81" i="28"/>
  <c r="E473" i="28"/>
  <c r="E472" i="28"/>
  <c r="E452" i="28"/>
  <c r="R17" i="6"/>
  <c r="V17" i="6" s="1"/>
  <c r="F84" i="6"/>
  <c r="F81" i="6"/>
  <c r="F38" i="6"/>
  <c r="F39" i="6"/>
  <c r="F40" i="6"/>
  <c r="F37" i="6"/>
  <c r="R85" i="6" l="1"/>
  <c r="V85" i="6" s="1"/>
  <c r="R79" i="6"/>
  <c r="V79" i="6" s="1"/>
  <c r="R80" i="6"/>
  <c r="V80" i="6" s="1"/>
  <c r="R189" i="6"/>
  <c r="V164" i="6"/>
  <c r="V19" i="6"/>
  <c r="R169" i="6"/>
  <c r="V169" i="6" s="1"/>
  <c r="AA33" i="28"/>
  <c r="AE33" i="28" s="1"/>
  <c r="AI33" i="28" s="1"/>
  <c r="AO33" i="28" s="1"/>
  <c r="AS33" i="28" s="1"/>
  <c r="U33" i="28"/>
  <c r="AS42" i="35"/>
  <c r="AO13" i="35"/>
  <c r="BC15" i="35" s="1"/>
  <c r="AI15" i="35"/>
  <c r="AT41" i="35"/>
  <c r="I81" i="28"/>
  <c r="Y474" i="28"/>
  <c r="I473" i="28"/>
  <c r="I472" i="28"/>
  <c r="M474" i="28"/>
  <c r="M451" i="28"/>
  <c r="Q448" i="28"/>
  <c r="Q474" i="28" s="1"/>
  <c r="R19" i="6"/>
  <c r="R164" i="6"/>
  <c r="F41" i="6"/>
  <c r="AW33" i="28" l="1"/>
  <c r="AW448" i="28" s="1"/>
  <c r="V40" i="6"/>
  <c r="V38" i="6"/>
  <c r="V39" i="6"/>
  <c r="V37" i="6"/>
  <c r="AE472" i="28"/>
  <c r="AO472" i="28"/>
  <c r="AA474" i="28"/>
  <c r="AE448" i="28"/>
  <c r="AE474" i="28" s="1"/>
  <c r="AS472" i="28"/>
  <c r="AI448" i="28"/>
  <c r="AO448" i="28" s="1"/>
  <c r="AO474" i="28" s="1"/>
  <c r="AI472" i="28"/>
  <c r="AS448" i="28"/>
  <c r="AS451" i="28" s="1"/>
  <c r="U448" i="28"/>
  <c r="U474" i="28" s="1"/>
  <c r="AX41" i="35"/>
  <c r="AW42" i="35"/>
  <c r="AS13" i="35"/>
  <c r="AO15" i="35"/>
  <c r="M452" i="28"/>
  <c r="Y451" i="28"/>
  <c r="AA451" i="28"/>
  <c r="Q451" i="28"/>
  <c r="Q77" i="28"/>
  <c r="U77" i="28" s="1"/>
  <c r="M473" i="28"/>
  <c r="M472" i="28"/>
  <c r="R40" i="6"/>
  <c r="R38" i="6"/>
  <c r="R39" i="6"/>
  <c r="R37" i="6"/>
  <c r="V41" i="6" l="1"/>
  <c r="AW472" i="28"/>
  <c r="AW474" i="28"/>
  <c r="BE33" i="28"/>
  <c r="U473" i="28"/>
  <c r="AI452" i="28"/>
  <c r="AE451" i="28"/>
  <c r="AE473" i="28"/>
  <c r="AE452" i="28"/>
  <c r="AO451" i="28"/>
  <c r="AW452" i="28"/>
  <c r="AW473" i="28"/>
  <c r="AS474" i="28"/>
  <c r="AW451" i="28"/>
  <c r="AS452" i="28"/>
  <c r="AS473" i="28"/>
  <c r="AI451" i="28"/>
  <c r="AI474" i="28"/>
  <c r="AO473" i="28"/>
  <c r="AI473" i="28"/>
  <c r="AO452" i="28"/>
  <c r="U472" i="28"/>
  <c r="U451" i="28"/>
  <c r="U452" i="28"/>
  <c r="BE42" i="35"/>
  <c r="BF41" i="35"/>
  <c r="AS15" i="35"/>
  <c r="AW13" i="35"/>
  <c r="AA473" i="28"/>
  <c r="AA472" i="28"/>
  <c r="AA452" i="28"/>
  <c r="Y473" i="28"/>
  <c r="Y472" i="28"/>
  <c r="Y452" i="28"/>
  <c r="Q473" i="28"/>
  <c r="Q472" i="28"/>
  <c r="Q452" i="28"/>
  <c r="R41" i="6"/>
  <c r="K58" i="71"/>
  <c r="H58" i="71"/>
  <c r="BE472" i="28" l="1"/>
  <c r="BE448" i="28"/>
  <c r="AW15" i="35"/>
  <c r="BE13" i="35"/>
  <c r="BE15" i="35" s="1"/>
  <c r="BE474" i="28" l="1"/>
  <c r="BE451" i="28"/>
  <c r="BE473" i="28"/>
  <c r="BE452" i="28"/>
  <c r="W7" i="72" l="1"/>
  <c r="F56" i="71"/>
  <c r="CO56" i="71"/>
  <c r="CO58" i="71" s="1"/>
  <c r="CK56" i="71"/>
  <c r="CK58" i="71" s="1"/>
  <c r="V56" i="71"/>
  <c r="R56" i="71"/>
  <c r="N56" i="71"/>
  <c r="AU56" i="71" l="1"/>
  <c r="AY56" i="71" s="1"/>
  <c r="I56" i="71"/>
  <c r="X56" i="71" s="1"/>
  <c r="AR56" i="71" s="1"/>
  <c r="F58" i="71"/>
  <c r="BM56" i="71"/>
  <c r="BM58" i="71" s="1"/>
  <c r="CG56" i="71"/>
  <c r="CG58" i="71" s="1"/>
  <c r="CQ56" i="71"/>
  <c r="CQ58" i="71" s="1"/>
  <c r="CA56" i="71"/>
  <c r="CA58" i="71" s="1"/>
  <c r="CU56" i="71"/>
  <c r="BW56" i="71"/>
  <c r="BW58" i="71" s="1"/>
  <c r="BY56" i="71"/>
  <c r="BO56" i="71"/>
  <c r="C44" i="72"/>
  <c r="I58" i="71"/>
  <c r="W56" i="71"/>
  <c r="Y7" i="72"/>
  <c r="AC7" i="72" s="1"/>
  <c r="AG7" i="72" s="1"/>
  <c r="BA58" i="71"/>
  <c r="BE58" i="71"/>
  <c r="AU58" i="71"/>
  <c r="AW58" i="71"/>
  <c r="C46" i="72" l="1"/>
  <c r="K44" i="72"/>
  <c r="Y44" i="72" s="1"/>
  <c r="AC44" i="72" s="1"/>
  <c r="AG44" i="72" s="1"/>
  <c r="AM44" i="72" s="1"/>
  <c r="AQ44" i="72" s="1"/>
  <c r="AU44" i="72" s="1"/>
  <c r="BC44" i="72" s="1"/>
  <c r="O44" i="72"/>
  <c r="S44" i="72" s="1"/>
  <c r="G44" i="72"/>
  <c r="CC56" i="71"/>
  <c r="CC58" i="71" s="1"/>
  <c r="CS56" i="71"/>
  <c r="CS58" i="71" s="1"/>
  <c r="BU56" i="71"/>
  <c r="BQ56" i="71"/>
  <c r="A84" i="9"/>
  <c r="CE56" i="71" l="1"/>
  <c r="O46" i="72"/>
  <c r="AM7" i="72"/>
  <c r="CI56" i="71" l="1"/>
  <c r="AQ7" i="72"/>
  <c r="AU7" i="72" s="1"/>
  <c r="CM56" i="71" l="1"/>
  <c r="BA46" i="72"/>
  <c r="X168" i="26"/>
  <c r="L168" i="26"/>
  <c r="BC7" i="72" l="1"/>
  <c r="Z168" i="26"/>
  <c r="BE31" i="36" l="1"/>
  <c r="BB2" i="36"/>
  <c r="BA2" i="36"/>
  <c r="Y122" i="6" l="1"/>
  <c r="BB13" i="36" l="1"/>
  <c r="BE40" i="59" s="1"/>
  <c r="BA13" i="36" l="1"/>
  <c r="BD40" i="59" s="1"/>
  <c r="BP25" i="21" l="1"/>
  <c r="BP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2" i="15" l="1"/>
  <c r="AE12" i="15" s="1"/>
  <c r="AI12" i="15" s="1"/>
  <c r="BD46" i="36" l="1"/>
  <c r="BD54" i="36" s="1"/>
  <c r="BD43" i="36"/>
  <c r="BD41" i="36"/>
  <c r="BD49" i="36" s="1"/>
  <c r="BC41" i="36"/>
  <c r="BD40" i="36"/>
  <c r="BD48" i="36" s="1"/>
  <c r="BD39" i="36"/>
  <c r="BD17" i="36" s="1"/>
  <c r="BG55" i="59" s="1"/>
  <c r="BD38" i="36"/>
  <c r="BD16" i="36" s="1"/>
  <c r="BG54" i="59" s="1"/>
  <c r="BC38" i="36"/>
  <c r="BD45" i="36" l="1"/>
  <c r="BD51" i="36"/>
  <c r="BD53" i="36" s="1"/>
  <c r="AO12" i="15"/>
  <c r="BR20" i="21"/>
  <c r="AS12" i="15" l="1"/>
  <c r="AK80" i="59"/>
  <c r="AW12" i="15" l="1"/>
  <c r="AG30" i="36"/>
  <c r="AJ80" i="59" s="1"/>
  <c r="BE12" i="15" l="1"/>
  <c r="S31" i="52"/>
  <c r="N31" i="52"/>
  <c r="M31" i="52"/>
  <c r="L31" i="52"/>
  <c r="H31" i="52"/>
  <c r="G31" i="52"/>
  <c r="F31" i="52"/>
  <c r="O30" i="52"/>
  <c r="K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N15" i="52"/>
  <c r="N14" i="52"/>
  <c r="N13" i="52"/>
  <c r="N10" i="52"/>
  <c r="N8" i="52"/>
  <c r="N6" i="52"/>
  <c r="N5" i="52"/>
  <c r="M15" i="52"/>
  <c r="M14" i="52"/>
  <c r="M13" i="52"/>
  <c r="M10" i="52"/>
  <c r="M8" i="52"/>
  <c r="M6" i="52"/>
  <c r="M5" i="52"/>
  <c r="Q13" i="52" l="1"/>
  <c r="U13" i="52" s="1"/>
  <c r="AA13" i="52"/>
  <c r="AE13" i="52" s="1"/>
  <c r="AI13" i="52" s="1"/>
  <c r="AO13" i="52" s="1"/>
  <c r="R14" i="52"/>
  <c r="V14" i="52" s="1"/>
  <c r="AB14" i="52"/>
  <c r="AF14" i="52" s="1"/>
  <c r="AJ14" i="52" s="1"/>
  <c r="AP14" i="52" s="1"/>
  <c r="AT14" i="52" s="1"/>
  <c r="AX14" i="52" s="1"/>
  <c r="BF14" i="52" s="1"/>
  <c r="Q6" i="52"/>
  <c r="U6" i="52" s="1"/>
  <c r="AA6" i="52"/>
  <c r="AE6" i="52" s="1"/>
  <c r="AI6" i="52" s="1"/>
  <c r="AO6" i="52" s="1"/>
  <c r="AS6" i="52" s="1"/>
  <c r="AW6" i="52" s="1"/>
  <c r="BE6" i="52" s="1"/>
  <c r="Q14" i="52"/>
  <c r="U14" i="52" s="1"/>
  <c r="AA14" i="52"/>
  <c r="AE14" i="52" s="1"/>
  <c r="AI14" i="52" s="1"/>
  <c r="AO14" i="52" s="1"/>
  <c r="AS14" i="52" s="1"/>
  <c r="AW14" i="52" s="1"/>
  <c r="BE14" i="52" s="1"/>
  <c r="R8" i="52"/>
  <c r="V8" i="52" s="1"/>
  <c r="AB8" i="52"/>
  <c r="AF8" i="52" s="1"/>
  <c r="AJ8" i="52" s="1"/>
  <c r="AP8" i="52" s="1"/>
  <c r="AT8" i="52" s="1"/>
  <c r="AX8" i="52" s="1"/>
  <c r="BF8" i="52" s="1"/>
  <c r="R15" i="52"/>
  <c r="V15" i="52" s="1"/>
  <c r="AB15" i="52"/>
  <c r="AF15" i="52" s="1"/>
  <c r="AJ15" i="52" s="1"/>
  <c r="AP15" i="52" s="1"/>
  <c r="AT15" i="52" s="1"/>
  <c r="AX15" i="52" s="1"/>
  <c r="BF15" i="52" s="1"/>
  <c r="R13" i="52"/>
  <c r="V13" i="52" s="1"/>
  <c r="AB13" i="52"/>
  <c r="AF13" i="52" s="1"/>
  <c r="AJ13" i="52" s="1"/>
  <c r="AP13" i="52" s="1"/>
  <c r="AT13" i="52" s="1"/>
  <c r="AX13" i="52" s="1"/>
  <c r="BF13" i="52" s="1"/>
  <c r="R6" i="52"/>
  <c r="V6" i="52" s="1"/>
  <c r="AB6" i="52"/>
  <c r="AF6" i="52" s="1"/>
  <c r="AJ6" i="52" s="1"/>
  <c r="AP6" i="52" s="1"/>
  <c r="AT6" i="52" s="1"/>
  <c r="AX6" i="52" s="1"/>
  <c r="BF6" i="52" s="1"/>
  <c r="Q8" i="52"/>
  <c r="U8" i="52" s="1"/>
  <c r="AA8" i="52"/>
  <c r="AE8" i="52" s="1"/>
  <c r="AI8" i="52" s="1"/>
  <c r="AO8" i="52" s="1"/>
  <c r="AS8" i="52" s="1"/>
  <c r="AW8" i="52" s="1"/>
  <c r="BE8" i="52" s="1"/>
  <c r="Q15" i="52"/>
  <c r="U15" i="52" s="1"/>
  <c r="AA15" i="52"/>
  <c r="AE15" i="52" s="1"/>
  <c r="AI15" i="52" s="1"/>
  <c r="AO15" i="52" s="1"/>
  <c r="AS15" i="52" s="1"/>
  <c r="AW15" i="52" s="1"/>
  <c r="BE15" i="52" s="1"/>
  <c r="N16" i="52"/>
  <c r="M16" i="52"/>
  <c r="AA10" i="52"/>
  <c r="Q10" i="52"/>
  <c r="U10" i="52" s="1"/>
  <c r="AB10" i="52"/>
  <c r="AF10" i="52" s="1"/>
  <c r="R10" i="52"/>
  <c r="V10" i="52" s="1"/>
  <c r="AA5" i="52"/>
  <c r="AE5" i="52" s="1"/>
  <c r="Q5" i="52"/>
  <c r="U5" i="52" s="1"/>
  <c r="AB5" i="52"/>
  <c r="AF5" i="52" s="1"/>
  <c r="R5" i="52"/>
  <c r="V5" i="52" s="1"/>
  <c r="P27" i="52"/>
  <c r="T27" i="52" s="1"/>
  <c r="P25" i="52"/>
  <c r="T25" i="52" s="1"/>
  <c r="P29" i="52"/>
  <c r="T29" i="52" s="1"/>
  <c r="P24" i="52"/>
  <c r="T24" i="52" s="1"/>
  <c r="P26" i="52"/>
  <c r="T26" i="52" s="1"/>
  <c r="P28" i="52"/>
  <c r="T28" i="52" s="1"/>
  <c r="P30" i="52"/>
  <c r="T30" i="52" s="1"/>
  <c r="O31" i="52"/>
  <c r="K31" i="52"/>
  <c r="AS13" i="52" l="1"/>
  <c r="AW13" i="52" s="1"/>
  <c r="BE13" i="52" s="1"/>
  <c r="U16" i="52"/>
  <c r="AJ5" i="52"/>
  <c r="AF9" i="52"/>
  <c r="AA16" i="52"/>
  <c r="AE10" i="52"/>
  <c r="AI5" i="52"/>
  <c r="AE9" i="52"/>
  <c r="AJ10" i="52"/>
  <c r="AF16" i="52"/>
  <c r="V9" i="52"/>
  <c r="U9" i="52"/>
  <c r="V16" i="52"/>
  <c r="AB16" i="52"/>
  <c r="Q16" i="52"/>
  <c r="R16" i="52"/>
  <c r="AB9" i="52"/>
  <c r="R9" i="52"/>
  <c r="Q9" i="52"/>
  <c r="AA9" i="52"/>
  <c r="T31" i="52"/>
  <c r="P31" i="52"/>
  <c r="U17" i="52" l="1"/>
  <c r="AO5" i="52"/>
  <c r="AI9" i="52"/>
  <c r="AF17" i="52"/>
  <c r="AI10" i="52"/>
  <c r="AE16" i="52"/>
  <c r="AE17" i="52" s="1"/>
  <c r="V17" i="52"/>
  <c r="AP10" i="52"/>
  <c r="AJ16" i="52"/>
  <c r="AP5" i="52"/>
  <c r="AJ9" i="52"/>
  <c r="R17" i="52"/>
  <c r="AA17" i="52"/>
  <c r="Q17" i="52"/>
  <c r="AB17" i="52"/>
  <c r="AP9" i="52" l="1"/>
  <c r="AT5" i="52"/>
  <c r="AO9" i="52"/>
  <c r="AS5" i="52"/>
  <c r="AP16" i="52"/>
  <c r="AT10" i="52"/>
  <c r="AJ17" i="52"/>
  <c r="AO10" i="52"/>
  <c r="AI16" i="52"/>
  <c r="AI17" i="52" s="1"/>
  <c r="N98" i="8"/>
  <c r="AT16" i="52" l="1"/>
  <c r="AX10" i="52"/>
  <c r="AS9" i="52"/>
  <c r="AW5" i="52"/>
  <c r="AT9" i="52"/>
  <c r="AX5" i="52"/>
  <c r="AP17" i="52"/>
  <c r="AO16" i="52"/>
  <c r="AO17" i="52" s="1"/>
  <c r="AS10" i="52"/>
  <c r="R98" i="8"/>
  <c r="V98" i="8" s="1"/>
  <c r="AB98" i="8"/>
  <c r="AF98" i="8" s="1"/>
  <c r="AJ98" i="8" s="1"/>
  <c r="AS16" i="52" l="1"/>
  <c r="AS17" i="52" s="1"/>
  <c r="AW10" i="52"/>
  <c r="BF10" i="52"/>
  <c r="BF16" i="52" s="1"/>
  <c r="AX16" i="52"/>
  <c r="BF5" i="52"/>
  <c r="BF9" i="52" s="1"/>
  <c r="AX9" i="52"/>
  <c r="BE5" i="52"/>
  <c r="BE9" i="52" s="1"/>
  <c r="AW9" i="52"/>
  <c r="AT17" i="52"/>
  <c r="AF18" i="49" l="1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7" i="52"/>
  <c r="BF17" i="52"/>
  <c r="BE10" i="52"/>
  <c r="BE16" i="52" s="1"/>
  <c r="BE17" i="52" s="1"/>
  <c r="AW16" i="52"/>
  <c r="AW17" i="52" s="1"/>
  <c r="AP98" i="8"/>
  <c r="AT98" i="8" s="1"/>
  <c r="AX98" i="8" s="1"/>
  <c r="BF98" i="8" l="1"/>
  <c r="H79" i="59" l="1"/>
  <c r="H78" i="59"/>
  <c r="H77" i="59"/>
  <c r="H75" i="59"/>
  <c r="H8" i="59"/>
  <c r="H9" i="59"/>
  <c r="H10" i="59"/>
  <c r="Y112" i="26" l="1"/>
  <c r="X112" i="26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Y82" i="26" l="1"/>
  <c r="K157" i="45" l="1"/>
  <c r="S157" i="45" s="1"/>
  <c r="W157" i="45" s="1"/>
  <c r="K152" i="45"/>
  <c r="AC157" i="45" l="1"/>
  <c r="AG157" i="45" s="1"/>
  <c r="AC152" i="45"/>
  <c r="AG152" i="45" s="1"/>
  <c r="S152" i="45"/>
  <c r="W152" i="45" s="1"/>
  <c r="AK152" i="45" l="1"/>
  <c r="AQ152" i="45" s="1"/>
  <c r="AU152" i="45" s="1"/>
  <c r="AK157" i="45"/>
  <c r="AQ157" i="45" s="1"/>
  <c r="AU157" i="45" s="1"/>
  <c r="AA4" i="61"/>
  <c r="AA16" i="61" s="1"/>
  <c r="AY157" i="45" l="1"/>
  <c r="BG157" i="45" s="1"/>
  <c r="AY152" i="45"/>
  <c r="BG152" i="45" s="1"/>
  <c r="AA135" i="45"/>
  <c r="Z135" i="45"/>
  <c r="AA133" i="45"/>
  <c r="Z133" i="45"/>
  <c r="AA8" i="45"/>
  <c r="AA7" i="45"/>
  <c r="Z7" i="45"/>
  <c r="AA2" i="45"/>
  <c r="AA142" i="45" s="1"/>
  <c r="Z2" i="45"/>
  <c r="Z142" i="45" s="1"/>
  <c r="Z86" i="11"/>
  <c r="Z91" i="11" s="1"/>
  <c r="Z82" i="11"/>
  <c r="Z81" i="11"/>
  <c r="Z7" i="11"/>
  <c r="Z5" i="11"/>
  <c r="Y5" i="11"/>
  <c r="Z2" i="11"/>
  <c r="Z77" i="11" s="1"/>
  <c r="Y2" i="11"/>
  <c r="Y77" i="11" s="1"/>
  <c r="Z185" i="10"/>
  <c r="Z190" i="10" s="1"/>
  <c r="Z180" i="10"/>
  <c r="Z181" i="10"/>
  <c r="Z5" i="10"/>
  <c r="Z161" i="10" s="1"/>
  <c r="Y5" i="10"/>
  <c r="Y161" i="10" s="1"/>
  <c r="Z2" i="10"/>
  <c r="Z176" i="10" s="1"/>
  <c r="Y2" i="10"/>
  <c r="Y176" i="10" s="1"/>
  <c r="D100" i="9"/>
  <c r="D95" i="9"/>
  <c r="D92" i="9"/>
  <c r="D90" i="9"/>
  <c r="D89" i="9"/>
  <c r="D74" i="9"/>
  <c r="D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2" i="8"/>
  <c r="W79" i="9" l="1"/>
  <c r="S79" i="9"/>
  <c r="O79" i="9"/>
  <c r="AA171" i="45"/>
  <c r="AA177" i="45" s="1"/>
  <c r="G79" i="9"/>
  <c r="K79" i="9"/>
  <c r="AA108" i="45"/>
  <c r="AY79" i="9"/>
  <c r="AU79" i="9"/>
  <c r="AQ79" i="9"/>
  <c r="AK79" i="9"/>
  <c r="AG79" i="9"/>
  <c r="AC79" i="9"/>
  <c r="AJ18" i="9"/>
  <c r="AP18" i="9" s="1"/>
  <c r="AT18" i="9" s="1"/>
  <c r="AA121" i="50"/>
  <c r="Z56" i="11"/>
  <c r="Z74" i="11" s="1"/>
  <c r="Z55" i="11"/>
  <c r="AB15" i="9"/>
  <c r="AF15" i="9" s="1"/>
  <c r="AJ15" i="9" s="1"/>
  <c r="AJ89" i="9" s="1"/>
  <c r="AA137" i="45"/>
  <c r="AA154" i="45"/>
  <c r="AA149" i="45"/>
  <c r="Z72" i="11"/>
  <c r="E79" i="9"/>
  <c r="Y51" i="9"/>
  <c r="AA15" i="9"/>
  <c r="AE15" i="9" s="1"/>
  <c r="AI15" i="9" s="1"/>
  <c r="AI89" i="9" s="1"/>
  <c r="Z171" i="10"/>
  <c r="Z21" i="36"/>
  <c r="AA107" i="45"/>
  <c r="AA158" i="45" s="1"/>
  <c r="AA160" i="45" s="1"/>
  <c r="Z137" i="45"/>
  <c r="Z123" i="45"/>
  <c r="Y72" i="11"/>
  <c r="Y58" i="11"/>
  <c r="Z59" i="11"/>
  <c r="Z89" i="11"/>
  <c r="D25" i="9"/>
  <c r="D91" i="9"/>
  <c r="Z83" i="11"/>
  <c r="Z84" i="11" s="1"/>
  <c r="Z188" i="10"/>
  <c r="Y171" i="10"/>
  <c r="AA136" i="45"/>
  <c r="Z136" i="45"/>
  <c r="Z134" i="45"/>
  <c r="AB73" i="59" s="1"/>
  <c r="AA134" i="45"/>
  <c r="AC73" i="59" s="1"/>
  <c r="Z93" i="11"/>
  <c r="Y168" i="10"/>
  <c r="AB65" i="59" s="1"/>
  <c r="Z166" i="10"/>
  <c r="Z182" i="10"/>
  <c r="Z189" i="10" s="1"/>
  <c r="Z170" i="10"/>
  <c r="Y170" i="10"/>
  <c r="Z168" i="10"/>
  <c r="AC65" i="59" s="1"/>
  <c r="D19" i="9"/>
  <c r="D75" i="8"/>
  <c r="D49" i="8"/>
  <c r="D50" i="8" s="1"/>
  <c r="D25" i="8"/>
  <c r="D24" i="8"/>
  <c r="D23" i="8"/>
  <c r="D31" i="8"/>
  <c r="D29" i="8"/>
  <c r="D28" i="8"/>
  <c r="D69" i="8" s="1"/>
  <c r="D27" i="8"/>
  <c r="D16" i="8"/>
  <c r="Z6" i="7"/>
  <c r="D73" i="7"/>
  <c r="D71" i="7"/>
  <c r="D65" i="7"/>
  <c r="D49" i="7"/>
  <c r="D1" i="7"/>
  <c r="D59" i="7" l="1"/>
  <c r="D101" i="7" s="1"/>
  <c r="D33" i="7"/>
  <c r="AX18" i="9"/>
  <c r="BF18" i="9" s="1"/>
  <c r="D55" i="7"/>
  <c r="D60" i="7"/>
  <c r="D56" i="7"/>
  <c r="D52" i="7"/>
  <c r="D53" i="7"/>
  <c r="D57" i="7"/>
  <c r="D54" i="7"/>
  <c r="D58" i="7"/>
  <c r="D29" i="7"/>
  <c r="D31" i="7"/>
  <c r="D35" i="7"/>
  <c r="D30" i="7"/>
  <c r="D34" i="7"/>
  <c r="M34" i="7" s="1"/>
  <c r="M90" i="7" s="1"/>
  <c r="D32" i="7"/>
  <c r="D99" i="7" s="1"/>
  <c r="D26" i="7"/>
  <c r="Z98" i="11"/>
  <c r="AA117" i="50"/>
  <c r="AP7" i="9"/>
  <c r="AF38" i="36"/>
  <c r="AF16" i="36" s="1"/>
  <c r="AF89" i="9"/>
  <c r="AP8" i="9"/>
  <c r="AE89" i="9"/>
  <c r="Z58" i="11"/>
  <c r="Z22" i="36" s="1"/>
  <c r="D59" i="8"/>
  <c r="D63" i="8" s="1"/>
  <c r="D35" i="8" s="1"/>
  <c r="D109" i="8"/>
  <c r="D111" i="8" s="1"/>
  <c r="Z20" i="7"/>
  <c r="AB6" i="7"/>
  <c r="AF6" i="7" s="1"/>
  <c r="AJ6" i="7" s="1"/>
  <c r="D66" i="7"/>
  <c r="AA51" i="9"/>
  <c r="AE51" i="9" s="1"/>
  <c r="AI51" i="9" s="1"/>
  <c r="Z60" i="11"/>
  <c r="AA123" i="45"/>
  <c r="Z23" i="36" s="1"/>
  <c r="AA124" i="45"/>
  <c r="AA125" i="45" s="1"/>
  <c r="D22" i="7"/>
  <c r="D25" i="7"/>
  <c r="D28" i="7"/>
  <c r="D24" i="7"/>
  <c r="D27" i="7"/>
  <c r="D23" i="7"/>
  <c r="D65" i="8"/>
  <c r="D34" i="8" s="1"/>
  <c r="Z90" i="11"/>
  <c r="D83" i="7"/>
  <c r="D81" i="7"/>
  <c r="D74" i="7"/>
  <c r="D76" i="7"/>
  <c r="D26" i="8"/>
  <c r="D78" i="7"/>
  <c r="D36" i="8"/>
  <c r="Z183" i="10"/>
  <c r="Z85" i="11"/>
  <c r="D42" i="8"/>
  <c r="AA29" i="7" l="1"/>
  <c r="AA94" i="7" s="1"/>
  <c r="AD34" i="59" s="1"/>
  <c r="Y29" i="7"/>
  <c r="Y94" i="7" s="1"/>
  <c r="AB34" i="59" s="1"/>
  <c r="D91" i="7"/>
  <c r="AA26" i="7"/>
  <c r="Y26" i="7"/>
  <c r="Y91" i="7" s="1"/>
  <c r="U56" i="7"/>
  <c r="AW56" i="7"/>
  <c r="AI56" i="7"/>
  <c r="U60" i="7"/>
  <c r="AW60" i="7"/>
  <c r="AI60" i="7"/>
  <c r="U52" i="7"/>
  <c r="AW52" i="7"/>
  <c r="AI52" i="7"/>
  <c r="U55" i="7"/>
  <c r="AW55" i="7"/>
  <c r="AI55" i="7"/>
  <c r="U53" i="7"/>
  <c r="AW53" i="7"/>
  <c r="AI53" i="7"/>
  <c r="U58" i="7"/>
  <c r="AW58" i="7"/>
  <c r="AI58" i="7"/>
  <c r="U54" i="7"/>
  <c r="U96" i="7" s="1"/>
  <c r="AW54" i="7"/>
  <c r="AW96" i="7" s="1"/>
  <c r="AI54" i="7"/>
  <c r="AI96" i="7" s="1"/>
  <c r="U57" i="7"/>
  <c r="AW57" i="7"/>
  <c r="AI57" i="7"/>
  <c r="AW29" i="7"/>
  <c r="AW94" i="7" s="1"/>
  <c r="AZ34" i="59" s="1"/>
  <c r="AI29" i="7"/>
  <c r="AI94" i="7" s="1"/>
  <c r="AL34" i="59" s="1"/>
  <c r="U25" i="7"/>
  <c r="AW25" i="7"/>
  <c r="AI25" i="7"/>
  <c r="AW28" i="7"/>
  <c r="AW93" i="7" s="1"/>
  <c r="AZ33" i="59" s="1"/>
  <c r="AI28" i="7"/>
  <c r="AI93" i="7" s="1"/>
  <c r="AJ20" i="7"/>
  <c r="AW31" i="7"/>
  <c r="AW98" i="7" s="1"/>
  <c r="AI31" i="7"/>
  <c r="AI98" i="7" s="1"/>
  <c r="U22" i="7"/>
  <c r="U87" i="7" s="1"/>
  <c r="AW22" i="7"/>
  <c r="AI22" i="7"/>
  <c r="U23" i="7"/>
  <c r="AW23" i="7"/>
  <c r="AI23" i="7"/>
  <c r="AW27" i="7"/>
  <c r="AW92" i="7" s="1"/>
  <c r="AI27" i="7"/>
  <c r="AI92" i="7" s="1"/>
  <c r="U24" i="7"/>
  <c r="U89" i="7" s="1"/>
  <c r="X31" i="59" s="1"/>
  <c r="AW24" i="7"/>
  <c r="AI24" i="7"/>
  <c r="AW30" i="7"/>
  <c r="AW95" i="7" s="1"/>
  <c r="AZ35" i="59" s="1"/>
  <c r="AI30" i="7"/>
  <c r="AI95" i="7" s="1"/>
  <c r="AL35" i="59" s="1"/>
  <c r="U31" i="7"/>
  <c r="U98" i="7" s="1"/>
  <c r="M31" i="7"/>
  <c r="M98" i="7" s="1"/>
  <c r="U29" i="7"/>
  <c r="U94" i="7" s="1"/>
  <c r="X34" i="59" s="1"/>
  <c r="M29" i="7"/>
  <c r="M94" i="7" s="1"/>
  <c r="U30" i="7"/>
  <c r="U95" i="7" s="1"/>
  <c r="X35" i="59" s="1"/>
  <c r="M30" i="7"/>
  <c r="U35" i="7"/>
  <c r="U102" i="7" s="1"/>
  <c r="M35" i="7"/>
  <c r="M102" i="7" s="1"/>
  <c r="U28" i="7"/>
  <c r="U93" i="7" s="1"/>
  <c r="X33" i="59" s="1"/>
  <c r="M28" i="7"/>
  <c r="M93" i="7" s="1"/>
  <c r="P33" i="59" s="1"/>
  <c r="Q26" i="7"/>
  <c r="Q91" i="7" s="1"/>
  <c r="U26" i="7"/>
  <c r="U91" i="7" s="1"/>
  <c r="U27" i="7"/>
  <c r="U92" i="7" s="1"/>
  <c r="M27" i="7"/>
  <c r="M92" i="7" s="1"/>
  <c r="D110" i="8"/>
  <c r="D112" i="8" s="1"/>
  <c r="BA58" i="7"/>
  <c r="BE58" i="7"/>
  <c r="BC58" i="7"/>
  <c r="AS58" i="7"/>
  <c r="AO58" i="7"/>
  <c r="AM58" i="7"/>
  <c r="AE58" i="7"/>
  <c r="Q58" i="7"/>
  <c r="M58" i="7"/>
  <c r="AA58" i="7"/>
  <c r="Y58" i="7"/>
  <c r="BA52" i="7"/>
  <c r="BE52" i="7"/>
  <c r="BC52" i="7"/>
  <c r="AS52" i="7"/>
  <c r="AO52" i="7"/>
  <c r="AM52" i="7"/>
  <c r="AE52" i="7"/>
  <c r="Q52" i="7"/>
  <c r="M52" i="7"/>
  <c r="AA52" i="7"/>
  <c r="Y52" i="7"/>
  <c r="BA54" i="7"/>
  <c r="BA96" i="7" s="1"/>
  <c r="BE54" i="7"/>
  <c r="BE96" i="7" s="1"/>
  <c r="BC54" i="7"/>
  <c r="BC96" i="7" s="1"/>
  <c r="AS54" i="7"/>
  <c r="AS96" i="7" s="1"/>
  <c r="AO54" i="7"/>
  <c r="AO96" i="7" s="1"/>
  <c r="AM54" i="7"/>
  <c r="AM96" i="7" s="1"/>
  <c r="AE54" i="7"/>
  <c r="AE96" i="7" s="1"/>
  <c r="D96" i="7"/>
  <c r="Q54" i="7"/>
  <c r="Q96" i="7" s="1"/>
  <c r="M54" i="7"/>
  <c r="M96" i="7" s="1"/>
  <c r="AA54" i="7"/>
  <c r="AA96" i="7" s="1"/>
  <c r="Y54" i="7"/>
  <c r="Y96" i="7" s="1"/>
  <c r="BA56" i="7"/>
  <c r="BE56" i="7"/>
  <c r="BC56" i="7"/>
  <c r="AS56" i="7"/>
  <c r="AO56" i="7"/>
  <c r="AM56" i="7"/>
  <c r="AE56" i="7"/>
  <c r="Q56" i="7"/>
  <c r="M56" i="7"/>
  <c r="AA56" i="7"/>
  <c r="Y56" i="7"/>
  <c r="BA57" i="7"/>
  <c r="BE57" i="7"/>
  <c r="BC57" i="7"/>
  <c r="AS57" i="7"/>
  <c r="AM57" i="7"/>
  <c r="AO57" i="7"/>
  <c r="AE57" i="7"/>
  <c r="Q57" i="7"/>
  <c r="M57" i="7"/>
  <c r="Y57" i="7"/>
  <c r="AA57" i="7"/>
  <c r="BA60" i="7"/>
  <c r="BC60" i="7"/>
  <c r="BE60" i="7"/>
  <c r="AS60" i="7"/>
  <c r="AM60" i="7"/>
  <c r="AO60" i="7"/>
  <c r="AE60" i="7"/>
  <c r="Q60" i="7"/>
  <c r="M60" i="7"/>
  <c r="AA60" i="7"/>
  <c r="Y60" i="7"/>
  <c r="BA53" i="7"/>
  <c r="BE53" i="7"/>
  <c r="BC53" i="7"/>
  <c r="AS53" i="7"/>
  <c r="AM53" i="7"/>
  <c r="AO53" i="7"/>
  <c r="AE53" i="7"/>
  <c r="Q53" i="7"/>
  <c r="M53" i="7"/>
  <c r="Y53" i="7"/>
  <c r="AA53" i="7"/>
  <c r="BC55" i="7"/>
  <c r="BE55" i="7"/>
  <c r="BA55" i="7"/>
  <c r="AS55" i="7"/>
  <c r="AM55" i="7"/>
  <c r="AO55" i="7"/>
  <c r="AE55" i="7"/>
  <c r="Q55" i="7"/>
  <c r="M55" i="7"/>
  <c r="AA55" i="7"/>
  <c r="Y55" i="7"/>
  <c r="D102" i="7"/>
  <c r="Q35" i="7"/>
  <c r="Q102" i="7" s="1"/>
  <c r="BE29" i="7"/>
  <c r="BE94" i="7" s="1"/>
  <c r="BH34" i="59" s="1"/>
  <c r="AS29" i="7"/>
  <c r="AS94" i="7" s="1"/>
  <c r="AV34" i="59" s="1"/>
  <c r="AO29" i="7"/>
  <c r="AO94" i="7" s="1"/>
  <c r="AR34" i="59" s="1"/>
  <c r="AE29" i="7"/>
  <c r="D94" i="7"/>
  <c r="Q29" i="7"/>
  <c r="Q94" i="7" s="1"/>
  <c r="T34" i="59" s="1"/>
  <c r="BC31" i="7"/>
  <c r="BC98" i="7" s="1"/>
  <c r="BA31" i="7"/>
  <c r="BA98" i="7" s="1"/>
  <c r="BC30" i="7"/>
  <c r="BC95" i="7" s="1"/>
  <c r="BF35" i="59" s="1"/>
  <c r="BA30" i="7"/>
  <c r="BA95" i="7" s="1"/>
  <c r="BD35" i="59" s="1"/>
  <c r="BC90" i="7"/>
  <c r="BA90" i="7"/>
  <c r="BA27" i="7"/>
  <c r="BA92" i="7" s="1"/>
  <c r="BC27" i="7"/>
  <c r="BC92" i="7" s="1"/>
  <c r="BC24" i="7"/>
  <c r="BC89" i="7" s="1"/>
  <c r="BF31" i="59" s="1"/>
  <c r="BA24" i="7"/>
  <c r="BC22" i="7"/>
  <c r="BA22" i="7"/>
  <c r="BC28" i="7"/>
  <c r="BC93" i="7" s="1"/>
  <c r="BF33" i="59" s="1"/>
  <c r="BA28" i="7"/>
  <c r="BA93" i="7" s="1"/>
  <c r="BD33" i="59" s="1"/>
  <c r="BC25" i="7"/>
  <c r="BC100" i="7" s="1"/>
  <c r="BF32" i="59" s="1"/>
  <c r="BA25" i="7"/>
  <c r="BA23" i="7"/>
  <c r="BC23" i="7"/>
  <c r="BE22" i="7"/>
  <c r="BE27" i="7"/>
  <c r="BE92" i="7" s="1"/>
  <c r="BE24" i="7"/>
  <c r="BE25" i="7"/>
  <c r="BE31" i="7"/>
  <c r="BE98" i="7" s="1"/>
  <c r="BE28" i="7"/>
  <c r="BE93" i="7" s="1"/>
  <c r="BH33" i="59" s="1"/>
  <c r="BE23" i="7"/>
  <c r="BE30" i="7"/>
  <c r="BE95" i="7" s="1"/>
  <c r="BH35" i="59" s="1"/>
  <c r="AS27" i="7"/>
  <c r="AS92" i="7" s="1"/>
  <c r="AM27" i="7"/>
  <c r="AM92" i="7" s="1"/>
  <c r="AO27" i="7"/>
  <c r="AO92" i="7" s="1"/>
  <c r="AS31" i="7"/>
  <c r="AS98" i="7" s="1"/>
  <c r="AM31" i="7"/>
  <c r="AM98" i="7" s="1"/>
  <c r="AO31" i="7"/>
  <c r="AO98" i="7" s="1"/>
  <c r="AM90" i="7"/>
  <c r="AS30" i="7"/>
  <c r="AS95" i="7" s="1"/>
  <c r="AV35" i="59" s="1"/>
  <c r="AM30" i="7"/>
  <c r="AM95" i="7" s="1"/>
  <c r="AP35" i="59" s="1"/>
  <c r="AO30" i="7"/>
  <c r="AO95" i="7" s="1"/>
  <c r="AR35" i="59" s="1"/>
  <c r="AO15" i="9"/>
  <c r="AS24" i="7"/>
  <c r="AS89" i="7" s="1"/>
  <c r="AV31" i="59" s="1"/>
  <c r="AO24" i="7"/>
  <c r="AO89" i="7" s="1"/>
  <c r="AR31" i="59" s="1"/>
  <c r="AM24" i="7"/>
  <c r="AE22" i="7"/>
  <c r="AE87" i="7" s="1"/>
  <c r="AS22" i="7"/>
  <c r="AM22" i="7"/>
  <c r="AO22" i="7"/>
  <c r="AF20" i="7"/>
  <c r="AT8" i="9"/>
  <c r="AX8" i="9" s="1"/>
  <c r="AP15" i="9"/>
  <c r="AJ38" i="36"/>
  <c r="AE25" i="7"/>
  <c r="AS25" i="7"/>
  <c r="AM25" i="7"/>
  <c r="AO25" i="7"/>
  <c r="AS23" i="7"/>
  <c r="AS88" i="7" s="1"/>
  <c r="AV30" i="59" s="1"/>
  <c r="AO23" i="7"/>
  <c r="AO88" i="7" s="1"/>
  <c r="AR30" i="59" s="1"/>
  <c r="AM23" i="7"/>
  <c r="AM88" i="7" s="1"/>
  <c r="AP30" i="59" s="1"/>
  <c r="AS28" i="7"/>
  <c r="AS93" i="7" s="1"/>
  <c r="AV33" i="59" s="1"/>
  <c r="AO28" i="7"/>
  <c r="AO93" i="7" s="1"/>
  <c r="AR33" i="59" s="1"/>
  <c r="AM28" i="7"/>
  <c r="AM93" i="7" s="1"/>
  <c r="AP33" i="59" s="1"/>
  <c r="AL33" i="59"/>
  <c r="AT7" i="9"/>
  <c r="AX7" i="9" s="1"/>
  <c r="AA24" i="7"/>
  <c r="AE24" i="7"/>
  <c r="AA23" i="7"/>
  <c r="AE23" i="7"/>
  <c r="AA30" i="7"/>
  <c r="AE30" i="7"/>
  <c r="AE95" i="7" s="1"/>
  <c r="AH35" i="59" s="1"/>
  <c r="AA28" i="7"/>
  <c r="AE94" i="7"/>
  <c r="AH34" i="59" s="1"/>
  <c r="AE28" i="7"/>
  <c r="AE93" i="7" s="1"/>
  <c r="AH33" i="59" s="1"/>
  <c r="AA27" i="7"/>
  <c r="AE27" i="7"/>
  <c r="AE92" i="7" s="1"/>
  <c r="AA31" i="7"/>
  <c r="AE31" i="7"/>
  <c r="AE98" i="7" s="1"/>
  <c r="AA91" i="7"/>
  <c r="AA25" i="7"/>
  <c r="D88" i="7"/>
  <c r="D93" i="7"/>
  <c r="D92" i="7"/>
  <c r="D100" i="7"/>
  <c r="D90" i="7"/>
  <c r="D95" i="7"/>
  <c r="D98" i="7"/>
  <c r="D89" i="7"/>
  <c r="D87" i="7"/>
  <c r="D36" i="7"/>
  <c r="D51" i="7" s="1"/>
  <c r="Q22" i="7"/>
  <c r="Q31" i="7"/>
  <c r="Q98" i="7" s="1"/>
  <c r="Q30" i="7"/>
  <c r="Q95" i="7" s="1"/>
  <c r="T35" i="59" s="1"/>
  <c r="Q27" i="7"/>
  <c r="Q92" i="7" s="1"/>
  <c r="Q28" i="7"/>
  <c r="Q93" i="7" s="1"/>
  <c r="T33" i="59" s="1"/>
  <c r="Q23" i="7"/>
  <c r="Q90" i="7"/>
  <c r="Q24" i="7"/>
  <c r="Q25" i="7"/>
  <c r="M25" i="7"/>
  <c r="M100" i="7" s="1"/>
  <c r="M23" i="7"/>
  <c r="M22" i="7"/>
  <c r="M87" i="7" s="1"/>
  <c r="M24" i="7"/>
  <c r="Y23" i="7"/>
  <c r="Y88" i="7" s="1"/>
  <c r="Y28" i="7"/>
  <c r="Y93" i="7" s="1"/>
  <c r="Y31" i="7"/>
  <c r="Y98" i="7" s="1"/>
  <c r="Y30" i="7"/>
  <c r="Y95" i="7" s="1"/>
  <c r="Y24" i="7"/>
  <c r="Y22" i="7"/>
  <c r="Y87" i="7" s="1"/>
  <c r="AA22" i="7"/>
  <c r="Y27" i="7"/>
  <c r="Y92" i="7" s="1"/>
  <c r="Y25" i="7"/>
  <c r="AE88" i="7" l="1"/>
  <c r="AH30" i="59" s="1"/>
  <c r="U88" i="7"/>
  <c r="X30" i="59" s="1"/>
  <c r="BA89" i="7"/>
  <c r="BD31" i="59" s="1"/>
  <c r="Y89" i="7"/>
  <c r="AE89" i="7"/>
  <c r="AH31" i="59" s="1"/>
  <c r="AE100" i="7"/>
  <c r="AH32" i="59" s="1"/>
  <c r="AI88" i="7"/>
  <c r="AL30" i="59" s="1"/>
  <c r="AW88" i="7"/>
  <c r="AZ30" i="59" s="1"/>
  <c r="BA88" i="7"/>
  <c r="BD30" i="59" s="1"/>
  <c r="M95" i="7"/>
  <c r="P35" i="59" s="1"/>
  <c r="AS100" i="7"/>
  <c r="AV32" i="59" s="1"/>
  <c r="AI89" i="7"/>
  <c r="AL31" i="59" s="1"/>
  <c r="M89" i="7"/>
  <c r="P31" i="59" s="1"/>
  <c r="M88" i="7"/>
  <c r="P30" i="59" s="1"/>
  <c r="AW89" i="7"/>
  <c r="AZ31" i="59" s="1"/>
  <c r="Q89" i="7"/>
  <c r="P34" i="59"/>
  <c r="BE89" i="7"/>
  <c r="BH31" i="59" s="1"/>
  <c r="AM100" i="7"/>
  <c r="AP32" i="59" s="1"/>
  <c r="BE100" i="7"/>
  <c r="BH32" i="59" s="1"/>
  <c r="BA100" i="7"/>
  <c r="BD32" i="59" s="1"/>
  <c r="P32" i="59"/>
  <c r="U36" i="7"/>
  <c r="U51" i="7" s="1"/>
  <c r="U61" i="7" s="1"/>
  <c r="AI100" i="7"/>
  <c r="AL32" i="59" s="1"/>
  <c r="AW100" i="7"/>
  <c r="AZ32" i="59" s="1"/>
  <c r="U100" i="7"/>
  <c r="X32" i="59" s="1"/>
  <c r="BE88" i="7"/>
  <c r="BH30" i="59" s="1"/>
  <c r="Y100" i="7"/>
  <c r="AO100" i="7"/>
  <c r="AR32" i="59" s="1"/>
  <c r="AI87" i="7"/>
  <c r="AW87" i="7"/>
  <c r="AM89" i="7"/>
  <c r="AP31" i="59" s="1"/>
  <c r="X29" i="59"/>
  <c r="Q88" i="7"/>
  <c r="BC88" i="7"/>
  <c r="BF30" i="59" s="1"/>
  <c r="BA87" i="7"/>
  <c r="BA36" i="7"/>
  <c r="BA51" i="7" s="1"/>
  <c r="BC87" i="7"/>
  <c r="BC36" i="7"/>
  <c r="BC51" i="7" s="1"/>
  <c r="BF7" i="9"/>
  <c r="BF8" i="9"/>
  <c r="BE87" i="7"/>
  <c r="AO87" i="7"/>
  <c r="AT15" i="9"/>
  <c r="AX15" i="9" s="1"/>
  <c r="AX89" i="9" s="1"/>
  <c r="AP38" i="36"/>
  <c r="AP16" i="36" s="1"/>
  <c r="AP89" i="9"/>
  <c r="AM87" i="7"/>
  <c r="AM36" i="7"/>
  <c r="AM51" i="7" s="1"/>
  <c r="AP6" i="7"/>
  <c r="AS87" i="7"/>
  <c r="AO51" i="9"/>
  <c r="AS15" i="9"/>
  <c r="AW15" i="9" s="1"/>
  <c r="AW89" i="9" s="1"/>
  <c r="AO89" i="9"/>
  <c r="AH29" i="59"/>
  <c r="E36" i="7"/>
  <c r="E51" i="7" s="1"/>
  <c r="M36" i="7"/>
  <c r="M51" i="7" s="1"/>
  <c r="Q87" i="7"/>
  <c r="Q36" i="7"/>
  <c r="Q51" i="7" s="1"/>
  <c r="Q75" i="7" s="1"/>
  <c r="D103" i="7"/>
  <c r="Q100" i="7"/>
  <c r="D61" i="7"/>
  <c r="D75" i="7"/>
  <c r="U103" i="7" l="1"/>
  <c r="U75" i="7"/>
  <c r="AZ29" i="59"/>
  <c r="BH29" i="59"/>
  <c r="BC61" i="7"/>
  <c r="BC75" i="7"/>
  <c r="BF29" i="59"/>
  <c r="BC103" i="7"/>
  <c r="BA75" i="7"/>
  <c r="BA61" i="7"/>
  <c r="BD29" i="59"/>
  <c r="BA103" i="7"/>
  <c r="AS89" i="9"/>
  <c r="BF15" i="9"/>
  <c r="BF89" i="9" s="1"/>
  <c r="AX38" i="36"/>
  <c r="AX16" i="36" s="1"/>
  <c r="BA54" i="59" s="1"/>
  <c r="AS54" i="59"/>
  <c r="AS51" i="9"/>
  <c r="AW51" i="9" s="1"/>
  <c r="AM75" i="7"/>
  <c r="AM61" i="7"/>
  <c r="AT38" i="36"/>
  <c r="AT16" i="36" s="1"/>
  <c r="AT89" i="9"/>
  <c r="AL29" i="59"/>
  <c r="AV29" i="59"/>
  <c r="AT6" i="7"/>
  <c r="AX6" i="7" s="1"/>
  <c r="AP20" i="7"/>
  <c r="AM103" i="7"/>
  <c r="AP29" i="59"/>
  <c r="AR29" i="59"/>
  <c r="E103" i="7"/>
  <c r="Q103" i="7"/>
  <c r="M103" i="7"/>
  <c r="Q61" i="7"/>
  <c r="E75" i="7"/>
  <c r="E61" i="7"/>
  <c r="P29" i="59"/>
  <c r="M75" i="7"/>
  <c r="M61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61" i="28"/>
  <c r="D77" i="28" s="1"/>
  <c r="D60" i="28"/>
  <c r="D59" i="28"/>
  <c r="D58" i="28"/>
  <c r="D55" i="28"/>
  <c r="AX20" i="7" l="1"/>
  <c r="AW92" i="6"/>
  <c r="BE92" i="6" s="1"/>
  <c r="AW96" i="6"/>
  <c r="BE96" i="6" s="1"/>
  <c r="AX110" i="6"/>
  <c r="BF110" i="6" s="1"/>
  <c r="AX93" i="6"/>
  <c r="BF93" i="6" s="1"/>
  <c r="AX106" i="6"/>
  <c r="BF106" i="6" s="1"/>
  <c r="AW93" i="6"/>
  <c r="BE93" i="6" s="1"/>
  <c r="AW114" i="6"/>
  <c r="BE114" i="6" s="1"/>
  <c r="AX111" i="6"/>
  <c r="BF111" i="6" s="1"/>
  <c r="AX92" i="6"/>
  <c r="BF92" i="6" s="1"/>
  <c r="AX123" i="6"/>
  <c r="BF123" i="6" s="1"/>
  <c r="BF6" i="7"/>
  <c r="BE15" i="9"/>
  <c r="AJ91" i="6"/>
  <c r="AF97" i="6"/>
  <c r="AP122" i="6"/>
  <c r="AT122" i="6" s="1"/>
  <c r="AW54" i="59"/>
  <c r="AJ104" i="6"/>
  <c r="AT20" i="7"/>
  <c r="AB105" i="6"/>
  <c r="AF105" i="6" s="1"/>
  <c r="AJ105" i="6" s="1"/>
  <c r="AP105" i="6" s="1"/>
  <c r="AT105" i="6" s="1"/>
  <c r="D69" i="28"/>
  <c r="D73" i="28"/>
  <c r="AB114" i="6"/>
  <c r="AF114" i="6" s="1"/>
  <c r="AJ114" i="6" s="1"/>
  <c r="AP114" i="6" s="1"/>
  <c r="AT114" i="6" s="1"/>
  <c r="D62" i="28"/>
  <c r="D65" i="28"/>
  <c r="Z97" i="6"/>
  <c r="Z46" i="36"/>
  <c r="Z43" i="36"/>
  <c r="Z45" i="36" s="1"/>
  <c r="Z39" i="36"/>
  <c r="Z17" i="36" s="1"/>
  <c r="AC55" i="59" s="1"/>
  <c r="Z40" i="36"/>
  <c r="Z38" i="36"/>
  <c r="Z16" i="36" s="1"/>
  <c r="Y41" i="36"/>
  <c r="BE89" i="9" l="1"/>
  <c r="AX105" i="6"/>
  <c r="BF105" i="6" s="1"/>
  <c r="AX114" i="6"/>
  <c r="BF114" i="6" s="1"/>
  <c r="AX122" i="6"/>
  <c r="BF122" i="6" s="1"/>
  <c r="BF20" i="7"/>
  <c r="BE51" i="9"/>
  <c r="AP104" i="6"/>
  <c r="AP91" i="6"/>
  <c r="AJ97" i="6"/>
  <c r="Z18" i="36"/>
  <c r="AC56" i="59" s="1"/>
  <c r="AC54" i="59"/>
  <c r="Y38" i="36"/>
  <c r="D81" i="28"/>
  <c r="AT104" i="6" l="1"/>
  <c r="AT91" i="6"/>
  <c r="AX91" i="6" s="1"/>
  <c r="AP97" i="6"/>
  <c r="D12" i="21"/>
  <c r="D15" i="21" s="1"/>
  <c r="Y6" i="21"/>
  <c r="AX97" i="6" l="1"/>
  <c r="BF91" i="6"/>
  <c r="BF97" i="6" s="1"/>
  <c r="AX104" i="6"/>
  <c r="BF104" i="6" s="1"/>
  <c r="AT97" i="6"/>
  <c r="D22" i="21"/>
  <c r="D28" i="21"/>
  <c r="J132" i="6" l="1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BE122" i="6" s="1"/>
  <c r="AS104" i="6"/>
  <c r="I139" i="6"/>
  <c r="J139" i="6"/>
  <c r="AW104" i="6" l="1"/>
  <c r="BE104" i="6" s="1"/>
  <c r="J143" i="6"/>
  <c r="J206" i="6" s="1"/>
  <c r="J199" i="6" l="1"/>
  <c r="J207" i="6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J209" i="6"/>
  <c r="J219" i="6"/>
  <c r="M11" i="59" l="1"/>
  <c r="J215" i="6"/>
  <c r="J220" i="6"/>
  <c r="AB93" i="11" l="1"/>
  <c r="AB85" i="11"/>
  <c r="K4" i="61" l="1"/>
  <c r="K16" i="61" s="1"/>
  <c r="N184" i="10" l="1"/>
  <c r="N192" i="10"/>
  <c r="G16" i="61"/>
  <c r="X78" i="26" l="1"/>
  <c r="X82" i="26" s="1"/>
  <c r="X48" i="26"/>
  <c r="Z41" i="36" l="1"/>
  <c r="Z42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9" i="8" s="1"/>
  <c r="Y110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1" i="8"/>
  <c r="Y112" i="8" s="1"/>
  <c r="Y28" i="22"/>
  <c r="Y14" i="22"/>
  <c r="Y37" i="8"/>
  <c r="Y67" i="8"/>
  <c r="Y34" i="8"/>
  <c r="BE61" i="9" l="1"/>
  <c r="BE78" i="9" s="1"/>
  <c r="AS77" i="9"/>
  <c r="AO79" i="9"/>
  <c r="AS62" i="9"/>
  <c r="AW62" i="9" s="1"/>
  <c r="AW79" i="9" s="1"/>
  <c r="BE60" i="9" l="1"/>
  <c r="BE77" i="9" s="1"/>
  <c r="AS79" i="9"/>
  <c r="BE62" i="9" l="1"/>
  <c r="BE79" i="9" s="1"/>
  <c r="Z92" i="11" l="1"/>
  <c r="AC68" i="59" l="1"/>
  <c r="Z79" i="11"/>
  <c r="AC70" i="59" s="1"/>
  <c r="Z96" i="11"/>
  <c r="Z94" i="11"/>
  <c r="AA143" i="45"/>
  <c r="Z143" i="45"/>
  <c r="AA141" i="45"/>
  <c r="Z141" i="45"/>
  <c r="AA140" i="45"/>
  <c r="Z78" i="11"/>
  <c r="Y78" i="11"/>
  <c r="Z76" i="11"/>
  <c r="Y76" i="11"/>
  <c r="Z75" i="11"/>
  <c r="J7" i="11"/>
  <c r="AB7" i="11" l="1"/>
  <c r="AF7" i="11" s="1"/>
  <c r="J59" i="11"/>
  <c r="J56" i="11"/>
  <c r="J55" i="11"/>
  <c r="AJ7" i="11" l="1"/>
  <c r="AF56" i="11"/>
  <c r="AF59" i="11"/>
  <c r="AF55" i="11"/>
  <c r="AF92" i="11" s="1"/>
  <c r="J197" i="10"/>
  <c r="J60" i="11"/>
  <c r="AB56" i="11"/>
  <c r="AB59" i="11"/>
  <c r="AB55" i="11"/>
  <c r="Z144" i="45"/>
  <c r="AA144" i="45"/>
  <c r="AJ56" i="11" l="1"/>
  <c r="AJ59" i="11"/>
  <c r="AJ60" i="11" s="1"/>
  <c r="AJ55" i="11"/>
  <c r="AJ92" i="11" s="1"/>
  <c r="AP7" i="11"/>
  <c r="AF60" i="11"/>
  <c r="AF98" i="11"/>
  <c r="AF94" i="11"/>
  <c r="AB98" i="11"/>
  <c r="AB60" i="11"/>
  <c r="AC74" i="59"/>
  <c r="AB72" i="59"/>
  <c r="AA162" i="45"/>
  <c r="AT7" i="11" l="1"/>
  <c r="AX7" i="11" s="1"/>
  <c r="AP59" i="11"/>
  <c r="AP55" i="11"/>
  <c r="AP92" i="11" s="1"/>
  <c r="AP94" i="11" s="1"/>
  <c r="AP56" i="11"/>
  <c r="AP98" i="11" s="1"/>
  <c r="AJ94" i="11"/>
  <c r="AJ98" i="11"/>
  <c r="R197" i="10"/>
  <c r="AC72" i="59"/>
  <c r="AX56" i="11" l="1"/>
  <c r="AX55" i="11"/>
  <c r="AX92" i="11" s="1"/>
  <c r="AX94" i="11" s="1"/>
  <c r="AX59" i="11"/>
  <c r="AP60" i="11"/>
  <c r="AT59" i="11"/>
  <c r="AT56" i="11"/>
  <c r="AT98" i="11" s="1"/>
  <c r="AT55" i="11"/>
  <c r="AT92" i="11" s="1"/>
  <c r="AT94" i="11" s="1"/>
  <c r="H90" i="17"/>
  <c r="H89" i="17"/>
  <c r="L89" i="17" s="1"/>
  <c r="P89" i="17" s="1"/>
  <c r="T89" i="17" s="1"/>
  <c r="H32" i="27"/>
  <c r="AX60" i="11" l="1"/>
  <c r="AT60" i="11"/>
  <c r="BF7" i="11"/>
  <c r="AX98" i="11"/>
  <c r="L90" i="17"/>
  <c r="P90" i="17" s="1"/>
  <c r="P32" i="27"/>
  <c r="T32" i="27" s="1"/>
  <c r="Z89" i="17"/>
  <c r="AD89" i="17" s="1"/>
  <c r="AH89" i="17" s="1"/>
  <c r="BF55" i="11" l="1"/>
  <c r="BF59" i="11"/>
  <c r="BF56" i="11"/>
  <c r="BF98" i="11" s="1"/>
  <c r="T90" i="17"/>
  <c r="X90" i="17" s="1"/>
  <c r="AN89" i="17"/>
  <c r="Z32" i="27"/>
  <c r="AD32" i="27" s="1"/>
  <c r="AR89" i="17" l="1"/>
  <c r="AV89" i="17" s="1"/>
  <c r="BD89" i="17" s="1"/>
  <c r="BF92" i="11"/>
  <c r="AH32" i="27"/>
  <c r="AN32" i="27" s="1"/>
  <c r="AR32" i="27" s="1"/>
  <c r="BF60" i="11"/>
  <c r="X17" i="26"/>
  <c r="X15" i="26"/>
  <c r="X11" i="26"/>
  <c r="X9" i="26"/>
  <c r="BF94" i="11" l="1"/>
  <c r="AV32" i="27"/>
  <c r="BD32" i="27" s="1"/>
  <c r="X12" i="26"/>
  <c r="X19" i="26" s="1"/>
  <c r="R31" i="36" l="1"/>
  <c r="Q31" i="36"/>
  <c r="J7" i="45"/>
  <c r="J137" i="45" s="1"/>
  <c r="Y46" i="36"/>
  <c r="Y43" i="36"/>
  <c r="Y45" i="36" s="1"/>
  <c r="Y31" i="36" l="1"/>
  <c r="Y39" i="36"/>
  <c r="Y32" i="36"/>
  <c r="Z32" i="36"/>
  <c r="R7" i="45"/>
  <c r="V7" i="45" s="1"/>
  <c r="AB7" i="45"/>
  <c r="AF7" i="45" s="1"/>
  <c r="AJ7" i="45" s="1"/>
  <c r="Y40" i="36"/>
  <c r="AJ123" i="45" l="1"/>
  <c r="V123" i="45"/>
  <c r="AP7" i="45"/>
  <c r="AF123" i="45"/>
  <c r="AB79" i="59"/>
  <c r="Z29" i="36"/>
  <c r="Y7" i="15" s="1"/>
  <c r="Z28" i="36"/>
  <c r="Y6" i="15" s="1"/>
  <c r="Z27" i="36"/>
  <c r="Y5" i="15" s="1"/>
  <c r="AB123" i="45"/>
  <c r="AB77" i="59"/>
  <c r="AB78" i="59"/>
  <c r="Y42" i="36"/>
  <c r="AP123" i="45" l="1"/>
  <c r="AR72" i="59" s="1"/>
  <c r="AT7" i="45"/>
  <c r="AX7" i="45" s="1"/>
  <c r="AX123" i="45" s="1"/>
  <c r="F162" i="10"/>
  <c r="F163" i="10" s="1"/>
  <c r="AT123" i="45" l="1"/>
  <c r="AV72" i="59" s="1"/>
  <c r="BF7" i="45" l="1"/>
  <c r="AZ72" i="59"/>
  <c r="N191" i="10"/>
  <c r="N195" i="10" s="1"/>
  <c r="BF123" i="45" l="1"/>
  <c r="N193" i="10"/>
  <c r="AC4" i="61"/>
  <c r="N178" i="10"/>
  <c r="Q66" i="59" s="1"/>
  <c r="S4" i="61"/>
  <c r="BH72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 s="1"/>
  <c r="R7" i="11"/>
  <c r="V7" i="11" s="1"/>
  <c r="I20" i="8"/>
  <c r="J20" i="8"/>
  <c r="AU4" i="61" l="1"/>
  <c r="AY4" i="61" s="1"/>
  <c r="AY16" i="61" s="1"/>
  <c r="V56" i="11"/>
  <c r="V59" i="11"/>
  <c r="V55" i="11"/>
  <c r="V92" i="11" s="1"/>
  <c r="R56" i="11"/>
  <c r="R59" i="11"/>
  <c r="R55" i="11"/>
  <c r="V60" i="11" l="1"/>
  <c r="AU16" i="61"/>
  <c r="V94" i="11"/>
  <c r="V98" i="11"/>
  <c r="BG4" i="61"/>
  <c r="BG16" i="61" s="1"/>
  <c r="R60" i="11"/>
  <c r="S109" i="45"/>
  <c r="AC150" i="45"/>
  <c r="AC159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9" i="52"/>
  <c r="G9" i="52"/>
  <c r="H9" i="52"/>
  <c r="K9" i="52"/>
  <c r="L9" i="52"/>
  <c r="AN17" i="26" l="1"/>
  <c r="AR17" i="26" s="1"/>
  <c r="G17" i="52"/>
  <c r="F17" i="52"/>
  <c r="H17" i="52"/>
  <c r="L17" i="52"/>
  <c r="K17" i="52"/>
  <c r="M9" i="52"/>
  <c r="N9" i="52"/>
  <c r="AV17" i="26" l="1"/>
  <c r="BD17" i="26" s="1"/>
  <c r="N17" i="52"/>
  <c r="M17" i="52" l="1"/>
  <c r="H11" i="26" l="1"/>
  <c r="L11" i="26" s="1"/>
  <c r="P11" i="26" s="1"/>
  <c r="T11" i="26" s="1"/>
  <c r="H9" i="26"/>
  <c r="L9" i="26" s="1"/>
  <c r="P9" i="26" s="1"/>
  <c r="T9" i="26" s="1"/>
  <c r="N82" i="7"/>
  <c r="T12" i="26" l="1"/>
  <c r="T19" i="26" s="1"/>
  <c r="P12" i="26"/>
  <c r="P19" i="26" s="1"/>
  <c r="N83" i="7"/>
  <c r="R82" i="7"/>
  <c r="V82" i="7" s="1"/>
  <c r="V83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8" i="45"/>
  <c r="K171" i="45" s="1"/>
  <c r="K177" i="45" s="1"/>
  <c r="I21" i="8"/>
  <c r="AH11" i="26" l="1"/>
  <c r="AN11" i="26" s="1"/>
  <c r="AR11" i="26" s="1"/>
  <c r="AH9" i="26"/>
  <c r="T18" i="26"/>
  <c r="N162" i="10"/>
  <c r="N163" i="10" s="1"/>
  <c r="AD12" i="26"/>
  <c r="P18" i="26"/>
  <c r="K108" i="45"/>
  <c r="K107" i="45"/>
  <c r="R83" i="7"/>
  <c r="L19" i="26"/>
  <c r="Z12" i="26"/>
  <c r="Z19" i="26" s="1"/>
  <c r="J162" i="10"/>
  <c r="J163" i="10" s="1"/>
  <c r="H19" i="26"/>
  <c r="K121" i="50" l="1"/>
  <c r="AV11" i="26"/>
  <c r="BD11" i="26" s="1"/>
  <c r="AH12" i="26"/>
  <c r="AH19" i="26" s="1"/>
  <c r="AN9" i="26"/>
  <c r="K117" i="50"/>
  <c r="R162" i="10"/>
  <c r="R163" i="10" s="1"/>
  <c r="AD19" i="26"/>
  <c r="AD18" i="26"/>
  <c r="K124" i="45"/>
  <c r="K125" i="45" s="1"/>
  <c r="Z18" i="26"/>
  <c r="AA17" i="26"/>
  <c r="AE17" i="26" s="1"/>
  <c r="AH18" i="26" l="1"/>
  <c r="AI17" i="26"/>
  <c r="AO17" i="26" s="1"/>
  <c r="AS17" i="26" s="1"/>
  <c r="AR9" i="26"/>
  <c r="AV9" i="26" s="1"/>
  <c r="AV12" i="26" s="1"/>
  <c r="AN12" i="26"/>
  <c r="AF162" i="10"/>
  <c r="AF163" i="10" s="1"/>
  <c r="E9" i="52"/>
  <c r="H69" i="59"/>
  <c r="H65" i="59"/>
  <c r="AW17" i="26" l="1"/>
  <c r="BE17" i="26" s="1"/>
  <c r="AV18" i="26"/>
  <c r="AV19" i="26"/>
  <c r="AK117" i="50"/>
  <c r="AN18" i="26"/>
  <c r="AN19" i="26"/>
  <c r="AR12" i="26"/>
  <c r="O117" i="50"/>
  <c r="S117" i="50"/>
  <c r="W117" i="50"/>
  <c r="AC117" i="50"/>
  <c r="E17" i="52"/>
  <c r="AR19" i="26" l="1"/>
  <c r="AR18" i="26"/>
  <c r="BD9" i="26"/>
  <c r="BD12" i="26" s="1"/>
  <c r="AG117" i="50"/>
  <c r="BD18" i="26" l="1"/>
  <c r="BD19" i="26"/>
  <c r="R184" i="10"/>
  <c r="R192" i="10"/>
  <c r="AB92" i="11" l="1"/>
  <c r="AB94" i="11" l="1"/>
  <c r="BA46" i="36" l="1"/>
  <c r="BC46" i="36" s="1"/>
  <c r="BA43" i="36"/>
  <c r="BA40" i="36"/>
  <c r="BA32" i="36"/>
  <c r="BA33" i="36"/>
  <c r="BC33" i="36" s="1"/>
  <c r="BC43" i="36" l="1"/>
  <c r="BC45" i="36" s="1"/>
  <c r="BA45" i="36"/>
  <c r="BB32" i="36"/>
  <c r="BD75" i="59"/>
  <c r="BC32" i="36"/>
  <c r="BA42" i="36"/>
  <c r="BC40" i="36"/>
  <c r="BA34" i="36"/>
  <c r="BC34" i="36" s="1"/>
  <c r="BA39" i="36"/>
  <c r="BA17" i="36" s="1"/>
  <c r="BD55" i="59" s="1"/>
  <c r="BB33" i="36"/>
  <c r="BD33" i="36" s="1"/>
  <c r="BD32" i="36" l="1"/>
  <c r="BB27" i="36"/>
  <c r="BB28" i="36"/>
  <c r="BB29" i="36"/>
  <c r="BF75" i="59"/>
  <c r="BA35" i="36"/>
  <c r="BA36" i="36" s="1"/>
  <c r="BB34" i="36"/>
  <c r="BD34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5" i="36"/>
  <c r="X144" i="7"/>
  <c r="X146" i="7" s="1"/>
  <c r="X147" i="7" s="1"/>
  <c r="L144" i="7"/>
  <c r="L146" i="7" s="1"/>
  <c r="L147" i="7" s="1"/>
  <c r="H144" i="7"/>
  <c r="BG79" i="59" l="1"/>
  <c r="BC7" i="15"/>
  <c r="BG77" i="59"/>
  <c r="BC5" i="15"/>
  <c r="BG78" i="59"/>
  <c r="BC6" i="15"/>
  <c r="H146" i="7"/>
  <c r="BB35" i="36"/>
  <c r="BB36" i="36" s="1"/>
  <c r="H147" i="7" l="1"/>
  <c r="BB30" i="36"/>
  <c r="BE80" i="59" s="1"/>
  <c r="BD35" i="36"/>
  <c r="X138" i="7" l="1"/>
  <c r="X140" i="7" s="1"/>
  <c r="X141" i="7" s="1"/>
  <c r="L138" i="7"/>
  <c r="L140" i="7" s="1"/>
  <c r="L141" i="7" s="1"/>
  <c r="H138" i="7"/>
  <c r="J98" i="8"/>
  <c r="H140" i="7" l="1"/>
  <c r="H141" i="7" l="1"/>
  <c r="L121" i="7"/>
  <c r="H121" i="7"/>
  <c r="X129" i="7"/>
  <c r="X121" i="7" l="1"/>
  <c r="X130" i="7" s="1"/>
  <c r="L129" i="7"/>
  <c r="H129" i="7"/>
  <c r="X131" i="7"/>
  <c r="Z121" i="7" l="1"/>
  <c r="X132" i="7"/>
  <c r="X133" i="7" s="1"/>
  <c r="J121" i="7"/>
  <c r="H131" i="7"/>
  <c r="H130" i="7"/>
  <c r="L130" i="7"/>
  <c r="L131" i="7"/>
  <c r="L132" i="7" s="1"/>
  <c r="V121" i="7" l="1"/>
  <c r="H132" i="7"/>
  <c r="N121" i="7"/>
  <c r="BL121" i="7" s="1"/>
  <c r="BN121" i="7" s="1"/>
  <c r="L133" i="7"/>
  <c r="H133" i="7" l="1"/>
  <c r="R121" i="7"/>
  <c r="V129" i="7" l="1"/>
  <c r="V131" i="7" l="1"/>
  <c r="V132" i="7" s="1"/>
  <c r="V130" i="7"/>
  <c r="V133" i="7" s="1"/>
  <c r="V135" i="7" s="1"/>
  <c r="AB121" i="7"/>
  <c r="I140" i="6" l="1"/>
  <c r="I143" i="6" l="1"/>
  <c r="I206" i="6" s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6" i="36" s="1"/>
  <c r="AN2" i="36"/>
  <c r="AN36" i="36" s="1"/>
  <c r="BC2" i="36" l="1"/>
  <c r="BC36" i="36" s="1"/>
  <c r="AM30" i="36"/>
  <c r="AP80" i="59" s="1"/>
  <c r="BD2" i="36"/>
  <c r="BD36" i="36" s="1"/>
  <c r="AN30" i="36"/>
  <c r="AQ80" i="59" s="1"/>
  <c r="BD13" i="36" l="1"/>
  <c r="BG40" i="59" s="1"/>
  <c r="BC75" i="8" l="1"/>
  <c r="AA56" i="9" l="1"/>
  <c r="AE56" i="9" s="1"/>
  <c r="AI56" i="9" s="1"/>
  <c r="AI73" i="9" s="1"/>
  <c r="E50" i="36"/>
  <c r="AA41" i="36"/>
  <c r="AE73" i="9" l="1"/>
  <c r="AB56" i="9"/>
  <c r="AF56" i="9" s="1"/>
  <c r="AJ56" i="9" s="1"/>
  <c r="AJ73" i="9" s="1"/>
  <c r="F42" i="36"/>
  <c r="AB41" i="36"/>
  <c r="AF41" i="36" l="1"/>
  <c r="AF49" i="36" s="1"/>
  <c r="AF73" i="9"/>
  <c r="AO56" i="9"/>
  <c r="AP56" i="9" l="1"/>
  <c r="AJ41" i="36"/>
  <c r="AJ49" i="36" s="1"/>
  <c r="AO73" i="9"/>
  <c r="AS56" i="9"/>
  <c r="AW56" i="9" s="1"/>
  <c r="AW73" i="9" s="1"/>
  <c r="BE41" i="36"/>
  <c r="AS73" i="9" l="1"/>
  <c r="AT56" i="9"/>
  <c r="AX56" i="9" s="1"/>
  <c r="AX73" i="9" s="1"/>
  <c r="AP41" i="36"/>
  <c r="AP49" i="36" s="1"/>
  <c r="AP73" i="9"/>
  <c r="BF56" i="9" l="1"/>
  <c r="BF73" i="9" s="1"/>
  <c r="AX41" i="36"/>
  <c r="AX49" i="36" s="1"/>
  <c r="BE56" i="9"/>
  <c r="BE73" i="9" s="1"/>
  <c r="AT41" i="36"/>
  <c r="AT73" i="9"/>
  <c r="K147" i="45"/>
  <c r="K146" i="45"/>
  <c r="K135" i="45"/>
  <c r="J135" i="45"/>
  <c r="I73" i="59"/>
  <c r="H73" i="59"/>
  <c r="K133" i="45"/>
  <c r="J133" i="45"/>
  <c r="K7" i="45"/>
  <c r="K123" i="45" s="1"/>
  <c r="K2" i="45"/>
  <c r="K142" i="45" s="1"/>
  <c r="J2" i="45"/>
  <c r="N2" i="45" l="1"/>
  <c r="N142" i="45" s="1"/>
  <c r="J142" i="45"/>
  <c r="AT49" i="36"/>
  <c r="BF41" i="36"/>
  <c r="BF49" i="36" s="1"/>
  <c r="AC133" i="45"/>
  <c r="AG133" i="45" s="1"/>
  <c r="AK133" i="45" s="1"/>
  <c r="N140" i="45"/>
  <c r="N143" i="45"/>
  <c r="N141" i="45"/>
  <c r="Z131" i="45"/>
  <c r="S146" i="45"/>
  <c r="W146" i="45" s="1"/>
  <c r="AC146" i="45"/>
  <c r="AG146" i="45" s="1"/>
  <c r="AK146" i="45" s="1"/>
  <c r="AA131" i="45"/>
  <c r="R2" i="45"/>
  <c r="V2" i="45" s="1"/>
  <c r="AB2" i="45"/>
  <c r="AF2" i="45" s="1"/>
  <c r="AJ2" i="45" s="1"/>
  <c r="AP2" i="45" s="1"/>
  <c r="AT2" i="45" s="1"/>
  <c r="AX2" i="45" s="1"/>
  <c r="BF2" i="45" s="1"/>
  <c r="S147" i="45"/>
  <c r="W147" i="45" s="1"/>
  <c r="AC147" i="45"/>
  <c r="AG147" i="45" s="1"/>
  <c r="AA138" i="45"/>
  <c r="AA139" i="45" s="1"/>
  <c r="N23" i="36"/>
  <c r="Q72" i="59" s="1"/>
  <c r="J134" i="45"/>
  <c r="L73" i="59" s="1"/>
  <c r="K134" i="45"/>
  <c r="M73" i="59" s="1"/>
  <c r="J141" i="45"/>
  <c r="J140" i="45"/>
  <c r="J143" i="45"/>
  <c r="K141" i="45"/>
  <c r="K140" i="45"/>
  <c r="O2" i="45"/>
  <c r="O142" i="45" s="1"/>
  <c r="K143" i="45"/>
  <c r="I74" i="59"/>
  <c r="H74" i="59"/>
  <c r="K136" i="45"/>
  <c r="O144" i="45"/>
  <c r="Q74" i="59" s="1"/>
  <c r="K138" i="45"/>
  <c r="K139" i="45" s="1"/>
  <c r="K154" i="45"/>
  <c r="K137" i="45"/>
  <c r="J131" i="45"/>
  <c r="O148" i="45"/>
  <c r="K131" i="45"/>
  <c r="S133" i="45"/>
  <c r="W133" i="45" s="1"/>
  <c r="J136" i="45"/>
  <c r="K148" i="45"/>
  <c r="W148" i="45" l="1"/>
  <c r="AK147" i="45"/>
  <c r="AK148" i="45" s="1"/>
  <c r="W155" i="45"/>
  <c r="R142" i="45"/>
  <c r="V142" i="45" s="1"/>
  <c r="AB142" i="45"/>
  <c r="AF142" i="45" s="1"/>
  <c r="AJ142" i="45" s="1"/>
  <c r="AP142" i="45" s="1"/>
  <c r="AT142" i="45" s="1"/>
  <c r="AX142" i="45" s="1"/>
  <c r="AQ146" i="45"/>
  <c r="AQ133" i="45"/>
  <c r="AU133" i="45" s="1"/>
  <c r="AY133" i="45" s="1"/>
  <c r="AG148" i="45"/>
  <c r="O140" i="45"/>
  <c r="O141" i="45"/>
  <c r="O143" i="45"/>
  <c r="AC135" i="45"/>
  <c r="AG135" i="45" s="1"/>
  <c r="AK135" i="45" s="1"/>
  <c r="AK134" i="45" s="1"/>
  <c r="AB135" i="45"/>
  <c r="AF135" i="45" s="1"/>
  <c r="AJ135" i="45" s="1"/>
  <c r="AC7" i="45"/>
  <c r="AG7" i="45" s="1"/>
  <c r="AK7" i="45" s="1"/>
  <c r="N144" i="45"/>
  <c r="P74" i="59" s="1"/>
  <c r="S148" i="45"/>
  <c r="S155" i="45" s="1"/>
  <c r="AC148" i="45"/>
  <c r="AC155" i="45" s="1"/>
  <c r="S2" i="45"/>
  <c r="W2" i="45" s="1"/>
  <c r="AC2" i="45"/>
  <c r="AG2" i="45" s="1"/>
  <c r="AK2" i="45" s="1"/>
  <c r="AQ2" i="45" s="1"/>
  <c r="AU2" i="45" s="1"/>
  <c r="AY2" i="45" s="1"/>
  <c r="BG2" i="45" s="1"/>
  <c r="R133" i="45"/>
  <c r="V133" i="45" s="1"/>
  <c r="AB133" i="45"/>
  <c r="AF133" i="45" s="1"/>
  <c r="AJ133" i="45" s="1"/>
  <c r="AA132" i="45"/>
  <c r="Z132" i="45"/>
  <c r="R141" i="45"/>
  <c r="V141" i="45" s="1"/>
  <c r="AB141" i="45"/>
  <c r="AF141" i="45" s="1"/>
  <c r="R143" i="45"/>
  <c r="V143" i="45" s="1"/>
  <c r="AB143" i="45"/>
  <c r="AF143" i="45" s="1"/>
  <c r="O154" i="45"/>
  <c r="S7" i="45"/>
  <c r="J132" i="45"/>
  <c r="AB131" i="45"/>
  <c r="AF131" i="45" s="1"/>
  <c r="AC138" i="45"/>
  <c r="AG138" i="45" s="1"/>
  <c r="AK138" i="45" s="1"/>
  <c r="K155" i="45"/>
  <c r="K149" i="45"/>
  <c r="O136" i="45"/>
  <c r="S135" i="45"/>
  <c r="W135" i="45" s="1"/>
  <c r="W134" i="45" s="1"/>
  <c r="O134" i="45"/>
  <c r="Q73" i="59" s="1"/>
  <c r="K132" i="45"/>
  <c r="AC131" i="45"/>
  <c r="AG131" i="45" s="1"/>
  <c r="AK131" i="45" s="1"/>
  <c r="AK132" i="45" s="1"/>
  <c r="O155" i="45"/>
  <c r="O149" i="45"/>
  <c r="N136" i="45"/>
  <c r="R135" i="45"/>
  <c r="V135" i="45" s="1"/>
  <c r="N134" i="45"/>
  <c r="P73" i="59" s="1"/>
  <c r="K159" i="45"/>
  <c r="K150" i="45"/>
  <c r="AK149" i="45" l="1"/>
  <c r="AK155" i="45"/>
  <c r="W136" i="45"/>
  <c r="S142" i="45"/>
  <c r="W142" i="45" s="1"/>
  <c r="V136" i="45"/>
  <c r="V134" i="45"/>
  <c r="X73" i="59" s="1"/>
  <c r="V144" i="45"/>
  <c r="W7" i="45"/>
  <c r="AJ136" i="45"/>
  <c r="AJ134" i="45"/>
  <c r="AJ144" i="45"/>
  <c r="AL74" i="59" s="1"/>
  <c r="AK136" i="45"/>
  <c r="AJ131" i="45"/>
  <c r="AJ132" i="45" s="1"/>
  <c r="AQ147" i="45"/>
  <c r="AU147" i="45" s="1"/>
  <c r="AK154" i="45"/>
  <c r="AC142" i="45"/>
  <c r="AG142" i="45" s="1"/>
  <c r="AK142" i="45" s="1"/>
  <c r="AQ142" i="45" s="1"/>
  <c r="AU142" i="45" s="1"/>
  <c r="AY142" i="45" s="1"/>
  <c r="AJ143" i="45"/>
  <c r="AP143" i="45" s="1"/>
  <c r="AT143" i="45" s="1"/>
  <c r="AJ141" i="45"/>
  <c r="AP141" i="45" s="1"/>
  <c r="AT141" i="45" s="1"/>
  <c r="BG133" i="45"/>
  <c r="AU146" i="45"/>
  <c r="AY146" i="45" s="1"/>
  <c r="AQ135" i="45"/>
  <c r="AU135" i="45" s="1"/>
  <c r="AY135" i="45" s="1"/>
  <c r="AM73" i="59"/>
  <c r="AF132" i="45"/>
  <c r="AQ7" i="45"/>
  <c r="AG132" i="45"/>
  <c r="AP135" i="45"/>
  <c r="AT135" i="45" s="1"/>
  <c r="AX135" i="45" s="1"/>
  <c r="AG154" i="45"/>
  <c r="AF134" i="45"/>
  <c r="AH73" i="59" s="1"/>
  <c r="AF136" i="45"/>
  <c r="AF144" i="45"/>
  <c r="AH74" i="59" s="1"/>
  <c r="AG136" i="45"/>
  <c r="AG134" i="45"/>
  <c r="AI73" i="59" s="1"/>
  <c r="AG155" i="45"/>
  <c r="AG149" i="45"/>
  <c r="Y73" i="59"/>
  <c r="AC137" i="45"/>
  <c r="AG137" i="45" s="1"/>
  <c r="AK137" i="45" s="1"/>
  <c r="AC134" i="45"/>
  <c r="AE73" i="59" s="1"/>
  <c r="AC136" i="45"/>
  <c r="AC154" i="45"/>
  <c r="AB144" i="45"/>
  <c r="AC8" i="45"/>
  <c r="AC149" i="45"/>
  <c r="AB134" i="45"/>
  <c r="AD73" i="59" s="1"/>
  <c r="AC132" i="45"/>
  <c r="AB136" i="45"/>
  <c r="R137" i="45"/>
  <c r="V137" i="45" s="1"/>
  <c r="AB137" i="45"/>
  <c r="AF137" i="45" s="1"/>
  <c r="S140" i="45"/>
  <c r="W140" i="45" s="1"/>
  <c r="AC140" i="45"/>
  <c r="AG140" i="45" s="1"/>
  <c r="S141" i="45"/>
  <c r="W141" i="45" s="1"/>
  <c r="AC141" i="45"/>
  <c r="AG141" i="45" s="1"/>
  <c r="S143" i="45"/>
  <c r="W143" i="45" s="1"/>
  <c r="AC143" i="45"/>
  <c r="AG143" i="45" s="1"/>
  <c r="AB132" i="45"/>
  <c r="S8" i="45"/>
  <c r="S171" i="45" s="1"/>
  <c r="S177" i="45" s="1"/>
  <c r="S149" i="45"/>
  <c r="S154" i="45"/>
  <c r="S137" i="45"/>
  <c r="R136" i="45"/>
  <c r="R134" i="45"/>
  <c r="T73" i="59" s="1"/>
  <c r="S131" i="45"/>
  <c r="W131" i="45" s="1"/>
  <c r="W132" i="45" s="1"/>
  <c r="O132" i="45"/>
  <c r="K158" i="45"/>
  <c r="S138" i="45"/>
  <c r="W138" i="45" s="1"/>
  <c r="O150" i="45"/>
  <c r="R131" i="45"/>
  <c r="V131" i="45" s="1"/>
  <c r="V132" i="45" s="1"/>
  <c r="N132" i="45"/>
  <c r="S159" i="45"/>
  <c r="S150" i="45"/>
  <c r="S136" i="45"/>
  <c r="S134" i="45"/>
  <c r="U73" i="59" s="1"/>
  <c r="AC171" i="45" l="1"/>
  <c r="AC177" i="45" s="1"/>
  <c r="AG8" i="45"/>
  <c r="W8" i="45"/>
  <c r="W171" i="45" s="1"/>
  <c r="W177" i="45" s="1"/>
  <c r="W137" i="45"/>
  <c r="AY147" i="45"/>
  <c r="BG147" i="45" s="1"/>
  <c r="AX141" i="45"/>
  <c r="BF141" i="45" s="1"/>
  <c r="AX144" i="45"/>
  <c r="AZ74" i="59" s="1"/>
  <c r="AY134" i="45"/>
  <c r="BA73" i="59" s="1"/>
  <c r="AY136" i="45"/>
  <c r="AX143" i="45"/>
  <c r="BF143" i="45" s="1"/>
  <c r="AP131" i="45"/>
  <c r="AT131" i="45" s="1"/>
  <c r="AJ137" i="45"/>
  <c r="AP137" i="45" s="1"/>
  <c r="AT137" i="45" s="1"/>
  <c r="W154" i="45"/>
  <c r="W149" i="45"/>
  <c r="AQ148" i="45"/>
  <c r="AQ155" i="45" s="1"/>
  <c r="AK143" i="45"/>
  <c r="AQ143" i="45" s="1"/>
  <c r="AU143" i="45" s="1"/>
  <c r="AK141" i="45"/>
  <c r="AQ141" i="45" s="1"/>
  <c r="AU141" i="45" s="1"/>
  <c r="AK140" i="45"/>
  <c r="AQ140" i="45" s="1"/>
  <c r="AU140" i="45" s="1"/>
  <c r="AU148" i="45"/>
  <c r="AU155" i="45" s="1"/>
  <c r="BG135" i="45"/>
  <c r="BF135" i="45"/>
  <c r="AU134" i="45"/>
  <c r="AW73" i="59" s="1"/>
  <c r="AU136" i="45"/>
  <c r="AT144" i="45"/>
  <c r="AV74" i="59" s="1"/>
  <c r="AQ154" i="45"/>
  <c r="AU7" i="45"/>
  <c r="AY7" i="45" s="1"/>
  <c r="AY154" i="45" s="1"/>
  <c r="AQ137" i="45"/>
  <c r="AP133" i="45"/>
  <c r="AP134" i="45" s="1"/>
  <c r="AR73" i="59" s="1"/>
  <c r="AP144" i="45"/>
  <c r="AR74" i="59" s="1"/>
  <c r="AQ131" i="45"/>
  <c r="AL73" i="59"/>
  <c r="AQ134" i="45"/>
  <c r="AS73" i="59" s="1"/>
  <c r="AQ136" i="45"/>
  <c r="AQ138" i="45"/>
  <c r="AG108" i="45"/>
  <c r="AG139" i="45" s="1"/>
  <c r="AG107" i="45"/>
  <c r="AC108" i="45"/>
  <c r="S108" i="45"/>
  <c r="S139" i="45" s="1"/>
  <c r="AC107" i="45"/>
  <c r="AC158" i="45" s="1"/>
  <c r="S107" i="45"/>
  <c r="AD72" i="59"/>
  <c r="R132" i="45"/>
  <c r="K160" i="45"/>
  <c r="O158" i="45"/>
  <c r="S132" i="45"/>
  <c r="AG171" i="45" l="1"/>
  <c r="AG177" i="45" s="1"/>
  <c r="W107" i="45"/>
  <c r="W158" i="45" s="1"/>
  <c r="W160" i="45" s="1"/>
  <c r="O160" i="45"/>
  <c r="AC121" i="50"/>
  <c r="AC139" i="45"/>
  <c r="W108" i="45"/>
  <c r="AK8" i="45"/>
  <c r="AQ149" i="45"/>
  <c r="S121" i="50"/>
  <c r="AG158" i="45"/>
  <c r="AG160" i="45" s="1"/>
  <c r="AG121" i="50"/>
  <c r="AY148" i="45"/>
  <c r="AY155" i="45" s="1"/>
  <c r="AY141" i="45"/>
  <c r="BG141" i="45" s="1"/>
  <c r="AX137" i="45"/>
  <c r="BF137" i="45" s="1"/>
  <c r="AY143" i="45"/>
  <c r="BG143" i="45" s="1"/>
  <c r="AX131" i="45"/>
  <c r="BF131" i="45" s="1"/>
  <c r="AY140" i="45"/>
  <c r="BG140" i="45" s="1"/>
  <c r="AU154" i="45"/>
  <c r="BG146" i="45"/>
  <c r="BF144" i="45"/>
  <c r="AP136" i="45"/>
  <c r="BG134" i="45"/>
  <c r="BG136" i="45"/>
  <c r="AU137" i="45"/>
  <c r="AY137" i="45" s="1"/>
  <c r="AP132" i="45"/>
  <c r="AT133" i="45"/>
  <c r="AX133" i="45" s="1"/>
  <c r="AU149" i="45"/>
  <c r="AU138" i="45"/>
  <c r="AY138" i="45" s="1"/>
  <c r="AQ132" i="45"/>
  <c r="AU131" i="45"/>
  <c r="AY131" i="45" s="1"/>
  <c r="AY132" i="45" s="1"/>
  <c r="AG123" i="45"/>
  <c r="AF23" i="36" s="1"/>
  <c r="AI72" i="59" s="1"/>
  <c r="AG144" i="45"/>
  <c r="AI74" i="59" s="1"/>
  <c r="AG124" i="45"/>
  <c r="AG125" i="45" s="1"/>
  <c r="W121" i="50"/>
  <c r="S124" i="45"/>
  <c r="S125" i="45" s="1"/>
  <c r="S123" i="45"/>
  <c r="S144" i="45"/>
  <c r="U74" i="59" s="1"/>
  <c r="AC123" i="45"/>
  <c r="AE72" i="59" s="1"/>
  <c r="AC124" i="45"/>
  <c r="AC125" i="45" s="1"/>
  <c r="AC144" i="45"/>
  <c r="AE74" i="59" s="1"/>
  <c r="AC160" i="45"/>
  <c r="S158" i="45"/>
  <c r="AK171" i="45" l="1"/>
  <c r="AK177" i="45" s="1"/>
  <c r="W124" i="45"/>
  <c r="W125" i="45" s="1"/>
  <c r="W139" i="45"/>
  <c r="W144" i="45"/>
  <c r="Y74" i="59" s="1"/>
  <c r="W123" i="45"/>
  <c r="AK107" i="45"/>
  <c r="AK158" i="45" s="1"/>
  <c r="AK160" i="45" s="1"/>
  <c r="AQ8" i="45"/>
  <c r="AK108" i="45"/>
  <c r="AK139" i="45" s="1"/>
  <c r="AY149" i="45"/>
  <c r="BH74" i="59"/>
  <c r="BG148" i="45"/>
  <c r="BI73" i="59"/>
  <c r="AX134" i="45"/>
  <c r="AZ73" i="59" s="1"/>
  <c r="AX132" i="45"/>
  <c r="AX136" i="45"/>
  <c r="AU132" i="45"/>
  <c r="BG7" i="45"/>
  <c r="BF133" i="45"/>
  <c r="AT136" i="45"/>
  <c r="AT132" i="45"/>
  <c r="AT134" i="45"/>
  <c r="AV73" i="59" s="1"/>
  <c r="U72" i="59"/>
  <c r="R23" i="36"/>
  <c r="AB23" i="36"/>
  <c r="S160" i="45"/>
  <c r="AQ171" i="45" l="1"/>
  <c r="AQ177" i="45" s="1"/>
  <c r="AK124" i="45"/>
  <c r="AK125" i="45" s="1"/>
  <c r="AK123" i="45"/>
  <c r="AJ23" i="36" s="1"/>
  <c r="AM72" i="59" s="1"/>
  <c r="AK144" i="45"/>
  <c r="AM74" i="59" s="1"/>
  <c r="AU8" i="45"/>
  <c r="AQ108" i="45"/>
  <c r="AQ139" i="45" s="1"/>
  <c r="AQ107" i="45"/>
  <c r="AQ158" i="45" s="1"/>
  <c r="AQ160" i="45" s="1"/>
  <c r="BG154" i="45"/>
  <c r="BG137" i="45"/>
  <c r="BG155" i="45"/>
  <c r="Y72" i="59"/>
  <c r="V23" i="36"/>
  <c r="BG149" i="45"/>
  <c r="BG131" i="45"/>
  <c r="BG138" i="45"/>
  <c r="BF132" i="45"/>
  <c r="BF136" i="45"/>
  <c r="BF134" i="45"/>
  <c r="AU171" i="45" l="1"/>
  <c r="AU177" i="45" s="1"/>
  <c r="AQ144" i="45"/>
  <c r="AS74" i="59" s="1"/>
  <c r="AQ124" i="45"/>
  <c r="AQ125" i="45" s="1"/>
  <c r="AQ123" i="45"/>
  <c r="AY8" i="45"/>
  <c r="AU108" i="45"/>
  <c r="AU139" i="45" s="1"/>
  <c r="AU107" i="45"/>
  <c r="AU158" i="45" s="1"/>
  <c r="AU160" i="45" s="1"/>
  <c r="BH73" i="59"/>
  <c r="BG132" i="45"/>
  <c r="BC13" i="36"/>
  <c r="BF40" i="59" s="1"/>
  <c r="AY171" i="45" l="1"/>
  <c r="AY177" i="45" s="1"/>
  <c r="AP23" i="36"/>
  <c r="AS72" i="59"/>
  <c r="AU144" i="45"/>
  <c r="AW74" i="59" s="1"/>
  <c r="AU123" i="45"/>
  <c r="AU124" i="45"/>
  <c r="AU125" i="45" s="1"/>
  <c r="BG8" i="45"/>
  <c r="AY107" i="45"/>
  <c r="AY158" i="45" s="1"/>
  <c r="AY160" i="45" s="1"/>
  <c r="AY108" i="45"/>
  <c r="AY139" i="45" s="1"/>
  <c r="Z3" i="22"/>
  <c r="Y3" i="22"/>
  <c r="J3" i="22"/>
  <c r="N3" i="22" s="1"/>
  <c r="R3" i="22" s="1"/>
  <c r="I3" i="22"/>
  <c r="M3" i="22" s="1"/>
  <c r="Q3" i="22" s="1"/>
  <c r="BG171" i="45" l="1"/>
  <c r="BG177" i="45" s="1"/>
  <c r="V3" i="22"/>
  <c r="AB3" i="22" s="1"/>
  <c r="AF3" i="22" s="1"/>
  <c r="AJ3" i="22" s="1"/>
  <c r="AP3" i="22" s="1"/>
  <c r="AT3" i="22" s="1"/>
  <c r="AX3" i="22" s="1"/>
  <c r="BF3" i="22" s="1"/>
  <c r="U3" i="22"/>
  <c r="AA3" i="22" s="1"/>
  <c r="AE3" i="22" s="1"/>
  <c r="AI3" i="22" s="1"/>
  <c r="AO3" i="22" s="1"/>
  <c r="AS3" i="22" s="1"/>
  <c r="AW3" i="22" s="1"/>
  <c r="BE3" i="22" s="1"/>
  <c r="AY144" i="45"/>
  <c r="BA74" i="59" s="1"/>
  <c r="AY123" i="45"/>
  <c r="AY124" i="45"/>
  <c r="AY125" i="45" s="1"/>
  <c r="AW72" i="59"/>
  <c r="AT23" i="36"/>
  <c r="BG107" i="45"/>
  <c r="BG108" i="45"/>
  <c r="BG139" i="45" s="1"/>
  <c r="Y2" i="27"/>
  <c r="X2" i="27"/>
  <c r="BG123" i="45" l="1"/>
  <c r="BG144" i="45"/>
  <c r="BG124" i="45"/>
  <c r="BA72" i="59"/>
  <c r="AX23" i="36"/>
  <c r="BG158" i="45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X68" i="17" s="1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J76" i="9" s="1"/>
  <c r="AB58" i="9"/>
  <c r="AF58" i="9" s="1"/>
  <c r="AJ58" i="9" s="1"/>
  <c r="AJ75" i="9" s="1"/>
  <c r="Y38" i="9"/>
  <c r="AA38" i="9" s="1"/>
  <c r="AE38" i="9" s="1"/>
  <c r="AI38" i="9" s="1"/>
  <c r="AF46" i="72" s="1"/>
  <c r="Z45" i="9"/>
  <c r="AB45" i="9" s="1"/>
  <c r="AF45" i="9" s="1"/>
  <c r="Z38" i="9"/>
  <c r="W46" i="72" s="1"/>
  <c r="Y29" i="9"/>
  <c r="BN76" i="99" s="1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BO58" i="71" l="1"/>
  <c r="BO76" i="99"/>
  <c r="BG125" i="45"/>
  <c r="BI74" i="59"/>
  <c r="BG160" i="45"/>
  <c r="BF23" i="36"/>
  <c r="BI72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P76" i="99" s="1"/>
  <c r="BN58" i="71"/>
  <c r="AJ134" i="9"/>
  <c r="AP134" i="9" s="1"/>
  <c r="AT134" i="9" s="1"/>
  <c r="AO38" i="9"/>
  <c r="AI20" i="35"/>
  <c r="AP51" i="9"/>
  <c r="AT51" i="9" s="1"/>
  <c r="AF80" i="9"/>
  <c r="AF83" i="9"/>
  <c r="AF43" i="36"/>
  <c r="AF75" i="9"/>
  <c r="AF84" i="9"/>
  <c r="AF44" i="36"/>
  <c r="AF52" i="36" s="1"/>
  <c r="AF76" i="9"/>
  <c r="AF85" i="9"/>
  <c r="Y24" i="27"/>
  <c r="X33" i="27"/>
  <c r="Y33" i="27"/>
  <c r="X24" i="27"/>
  <c r="Y12" i="17"/>
  <c r="Y11" i="17"/>
  <c r="Y114" i="17"/>
  <c r="Y118" i="17" s="1"/>
  <c r="X81" i="17"/>
  <c r="X75" i="17"/>
  <c r="X65" i="17"/>
  <c r="X72" i="17"/>
  <c r="X77" i="17"/>
  <c r="X13" i="17"/>
  <c r="X73" i="17"/>
  <c r="X71" i="17"/>
  <c r="X82" i="17"/>
  <c r="X76" i="17"/>
  <c r="X66" i="17"/>
  <c r="X78" i="17"/>
  <c r="X14" i="17"/>
  <c r="X49" i="17"/>
  <c r="X60" i="17"/>
  <c r="X53" i="17"/>
  <c r="X47" i="17"/>
  <c r="X45" i="17"/>
  <c r="X30" i="17"/>
  <c r="Y84" i="17"/>
  <c r="Y85" i="17"/>
  <c r="Y86" i="17"/>
  <c r="Y87" i="17"/>
  <c r="Y88" i="17" s="1"/>
  <c r="Y72" i="17"/>
  <c r="Y65" i="17"/>
  <c r="Y71" i="17"/>
  <c r="Y73" i="17"/>
  <c r="Y77" i="17"/>
  <c r="Y82" i="17"/>
  <c r="Y76" i="17"/>
  <c r="Y68" i="17"/>
  <c r="Y81" i="17"/>
  <c r="Y75" i="17"/>
  <c r="Y66" i="17"/>
  <c r="Y49" i="17"/>
  <c r="Y41" i="17"/>
  <c r="Y47" i="17"/>
  <c r="Y39" i="17"/>
  <c r="Y43" i="17"/>
  <c r="Y60" i="17"/>
  <c r="Y78" i="17"/>
  <c r="Y14" i="17"/>
  <c r="Y13" i="17"/>
  <c r="Y30" i="17"/>
  <c r="Y45" i="17"/>
  <c r="Y53" i="17"/>
  <c r="Y51" i="17"/>
  <c r="Y55" i="17"/>
  <c r="X87" i="17"/>
  <c r="X88" i="17" s="1"/>
  <c r="X85" i="17"/>
  <c r="X11" i="17"/>
  <c r="X114" i="17"/>
  <c r="X118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9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AJ72" i="9" s="1"/>
  <c r="Y12" i="26"/>
  <c r="Y19" i="26" s="1"/>
  <c r="X13" i="26"/>
  <c r="Y114" i="26"/>
  <c r="Y96" i="26" s="1"/>
  <c r="Y94" i="26"/>
  <c r="Y45" i="26"/>
  <c r="Y51" i="26"/>
  <c r="Y56" i="26"/>
  <c r="X74" i="17" l="1"/>
  <c r="Y74" i="17"/>
  <c r="BQ76" i="99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46" i="72"/>
  <c r="AE29" i="9"/>
  <c r="BT76" i="99" s="1"/>
  <c r="BP58" i="71"/>
  <c r="AJ94" i="9"/>
  <c r="AI18" i="15" s="1"/>
  <c r="AJ93" i="9"/>
  <c r="AJ53" i="9"/>
  <c r="AJ32" i="9"/>
  <c r="AP32" i="9" s="1"/>
  <c r="AT32" i="9" s="1"/>
  <c r="AJ25" i="9"/>
  <c r="AJ52" i="9" s="1"/>
  <c r="AF29" i="9"/>
  <c r="BQ58" i="71"/>
  <c r="AF10" i="9"/>
  <c r="AF82" i="9"/>
  <c r="AI62" i="59" s="1"/>
  <c r="AO20" i="9"/>
  <c r="AP67" i="9"/>
  <c r="AB36" i="9"/>
  <c r="AF30" i="9"/>
  <c r="AF86" i="9"/>
  <c r="AP66" i="9"/>
  <c r="AF40" i="36"/>
  <c r="AF72" i="9"/>
  <c r="AF53" i="9"/>
  <c r="AF93" i="9"/>
  <c r="AF94" i="9"/>
  <c r="AE18" i="15" s="1"/>
  <c r="AP59" i="9"/>
  <c r="AJ44" i="36"/>
  <c r="AJ52" i="36" s="1"/>
  <c r="AF45" i="36"/>
  <c r="AF51" i="36"/>
  <c r="AF53" i="36" s="1"/>
  <c r="AF87" i="9"/>
  <c r="AI61" i="59" s="1"/>
  <c r="AF25" i="9"/>
  <c r="AF52" i="9" s="1"/>
  <c r="AI58" i="59" s="1"/>
  <c r="AP68" i="9"/>
  <c r="AP58" i="9"/>
  <c r="AJ43" i="36"/>
  <c r="AP63" i="9"/>
  <c r="Y83" i="17"/>
  <c r="X79" i="17"/>
  <c r="Y67" i="17"/>
  <c r="Y69" i="17" s="1"/>
  <c r="X83" i="17"/>
  <c r="Y117" i="17"/>
  <c r="X67" i="17"/>
  <c r="X69" i="17" s="1"/>
  <c r="Y79" i="17"/>
  <c r="X51" i="17"/>
  <c r="X117" i="17"/>
  <c r="X15" i="17"/>
  <c r="Y115" i="17"/>
  <c r="Y15" i="17"/>
  <c r="AA14" i="15"/>
  <c r="AE14" i="15" s="1"/>
  <c r="AI14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31" i="7"/>
  <c r="Z130" i="7"/>
  <c r="Y13" i="26"/>
  <c r="Z10" i="9"/>
  <c r="BU58" i="71" l="1"/>
  <c r="BU76" i="99"/>
  <c r="AW38" i="9"/>
  <c r="BE38" i="9" s="1"/>
  <c r="AI29" i="9"/>
  <c r="AI19" i="35" s="1"/>
  <c r="BT58" i="71"/>
  <c r="AX32" i="9"/>
  <c r="BF32" i="9" s="1"/>
  <c r="Z132" i="7"/>
  <c r="AJ35" i="9"/>
  <c r="AP35" i="9" s="1"/>
  <c r="AT35" i="9" s="1"/>
  <c r="AJ29" i="9"/>
  <c r="BY76" i="99" s="1"/>
  <c r="AJ31" i="9"/>
  <c r="AP31" i="9" s="1"/>
  <c r="AT31" i="9" s="1"/>
  <c r="AJ34" i="9"/>
  <c r="AP34" i="9" s="1"/>
  <c r="AT34" i="9" s="1"/>
  <c r="AJ30" i="9"/>
  <c r="AP30" i="9" s="1"/>
  <c r="AT30" i="9" s="1"/>
  <c r="AJ38" i="9"/>
  <c r="AC46" i="72"/>
  <c r="AP46" i="9"/>
  <c r="AJ20" i="35"/>
  <c r="AF36" i="9"/>
  <c r="AT63" i="9"/>
  <c r="AX63" i="9" s="1"/>
  <c r="AX80" i="9" s="1"/>
  <c r="AP80" i="9"/>
  <c r="AP20" i="9"/>
  <c r="AP55" i="9"/>
  <c r="AJ40" i="36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J45" i="36"/>
  <c r="AJ51" i="36"/>
  <c r="AJ53" i="36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43" i="36"/>
  <c r="AP75" i="9"/>
  <c r="AP22" i="9"/>
  <c r="AM58" i="59"/>
  <c r="AT59" i="9"/>
  <c r="AX59" i="9" s="1"/>
  <c r="AX76" i="9" s="1"/>
  <c r="AP44" i="36"/>
  <c r="AP52" i="36" s="1"/>
  <c r="AP76" i="9"/>
  <c r="AP23" i="9"/>
  <c r="AF42" i="36"/>
  <c r="AF48" i="36"/>
  <c r="AF50" i="36" s="1"/>
  <c r="Y119" i="17"/>
  <c r="X55" i="17"/>
  <c r="X115" i="17"/>
  <c r="X119" i="17" s="1"/>
  <c r="AB37" i="9"/>
  <c r="AF37" i="9" s="1"/>
  <c r="AJ37" i="9" s="1"/>
  <c r="Z133" i="7"/>
  <c r="Z25" i="9"/>
  <c r="Z93" i="9"/>
  <c r="BX58" i="71" l="1"/>
  <c r="BX76" i="99"/>
  <c r="AX30" i="9"/>
  <c r="BF30" i="9" s="1"/>
  <c r="AX35" i="9"/>
  <c r="BF35" i="9" s="1"/>
  <c r="AX34" i="9"/>
  <c r="BF34" i="9" s="1"/>
  <c r="AX31" i="9"/>
  <c r="BF31" i="9" s="1"/>
  <c r="AO29" i="9"/>
  <c r="AO19" i="35" s="1"/>
  <c r="AS19" i="35" s="1"/>
  <c r="AW19" i="35" s="1"/>
  <c r="BE19" i="35" s="1"/>
  <c r="AP29" i="9"/>
  <c r="CE76" i="99" s="1"/>
  <c r="BY58" i="71"/>
  <c r="AT46" i="9"/>
  <c r="AP20" i="35"/>
  <c r="AT20" i="35" s="1"/>
  <c r="AX20" i="35" s="1"/>
  <c r="BF20" i="35" s="1"/>
  <c r="AP38" i="9"/>
  <c r="AT38" i="9" s="1"/>
  <c r="AG46" i="72"/>
  <c r="AJ36" i="9"/>
  <c r="AP37" i="9"/>
  <c r="AJ19" i="35"/>
  <c r="AT84" i="9"/>
  <c r="AT85" i="9"/>
  <c r="AP138" i="9"/>
  <c r="AT83" i="9"/>
  <c r="BF59" i="9"/>
  <c r="AX44" i="36"/>
  <c r="AX52" i="36" s="1"/>
  <c r="BE20" i="9"/>
  <c r="BF58" i="9"/>
  <c r="BF75" i="9" s="1"/>
  <c r="AX43" i="36"/>
  <c r="AT80" i="9"/>
  <c r="AS101" i="9"/>
  <c r="AW101" i="9" s="1"/>
  <c r="AP101" i="9"/>
  <c r="AF19" i="36"/>
  <c r="AP137" i="9"/>
  <c r="AT22" i="9"/>
  <c r="AX22" i="9" s="1"/>
  <c r="AT20" i="9"/>
  <c r="AX20" i="9" s="1"/>
  <c r="AP53" i="9"/>
  <c r="AP136" i="9"/>
  <c r="AT9" i="9"/>
  <c r="AX9" i="9" s="1"/>
  <c r="AP10" i="9"/>
  <c r="AT70" i="9"/>
  <c r="AX70" i="9" s="1"/>
  <c r="AX87" i="9" s="1"/>
  <c r="AP87" i="9"/>
  <c r="AS61" i="59" s="1"/>
  <c r="AJ42" i="36"/>
  <c r="AJ48" i="36"/>
  <c r="AJ50" i="36" s="1"/>
  <c r="AP25" i="9"/>
  <c r="AP52" i="9" s="1"/>
  <c r="AS58" i="59" s="1"/>
  <c r="AT23" i="9"/>
  <c r="AX23" i="9" s="1"/>
  <c r="AT44" i="36"/>
  <c r="AT52" i="36" s="1"/>
  <c r="AT76" i="9"/>
  <c r="AP45" i="36"/>
  <c r="AP51" i="36"/>
  <c r="AP53" i="36" s="1"/>
  <c r="AP139" i="9"/>
  <c r="AT24" i="9"/>
  <c r="AX24" i="9" s="1"/>
  <c r="AT55" i="9"/>
  <c r="AX55" i="9" s="1"/>
  <c r="AX72" i="9" s="1"/>
  <c r="AP40" i="36"/>
  <c r="AP72" i="9"/>
  <c r="AT43" i="36"/>
  <c r="AT75" i="9"/>
  <c r="AT92" i="9"/>
  <c r="AX92" i="9" s="1"/>
  <c r="AP93" i="9"/>
  <c r="AP94" i="9"/>
  <c r="AO18" i="15" s="1"/>
  <c r="AT65" i="9"/>
  <c r="AX65" i="9" s="1"/>
  <c r="AX82" i="9" s="1"/>
  <c r="AP82" i="9"/>
  <c r="AS62" i="59" s="1"/>
  <c r="AT69" i="9"/>
  <c r="AX69" i="9" s="1"/>
  <c r="AX86" i="9" s="1"/>
  <c r="AP86" i="9"/>
  <c r="AO14" i="15"/>
  <c r="Z72" i="7"/>
  <c r="AB72" i="7" s="1"/>
  <c r="AF72" i="7" s="1"/>
  <c r="AJ72" i="7" s="1"/>
  <c r="AJ73" i="7" s="1"/>
  <c r="Y72" i="7"/>
  <c r="AA72" i="7" s="1"/>
  <c r="AE72" i="7" s="1"/>
  <c r="AI72" i="7" s="1"/>
  <c r="AI73" i="7" s="1"/>
  <c r="Z66" i="7"/>
  <c r="AB66" i="7" s="1"/>
  <c r="AF66" i="7" s="1"/>
  <c r="AJ66" i="7" s="1"/>
  <c r="Z64" i="7"/>
  <c r="AB64" i="7" s="1"/>
  <c r="AF64" i="7" s="1"/>
  <c r="Y64" i="7"/>
  <c r="Z63" i="7"/>
  <c r="AB63" i="7" s="1"/>
  <c r="AF63" i="7" s="1"/>
  <c r="AJ63" i="7" s="1"/>
  <c r="Y63" i="7"/>
  <c r="Z2" i="7"/>
  <c r="Z84" i="7" s="1"/>
  <c r="Y2" i="7"/>
  <c r="X1" i="7"/>
  <c r="X78" i="7" s="1"/>
  <c r="W1" i="7"/>
  <c r="W78" i="7" s="1"/>
  <c r="CD58" i="71" l="1"/>
  <c r="CD76" i="99"/>
  <c r="AJ64" i="7"/>
  <c r="AP64" i="7" s="1"/>
  <c r="AT64" i="7" s="1"/>
  <c r="AJ65" i="7"/>
  <c r="AJ33" i="7" s="1"/>
  <c r="AJ97" i="7" s="1"/>
  <c r="AX10" i="9"/>
  <c r="AX38" i="9"/>
  <c r="BF38" i="9" s="1"/>
  <c r="BC46" i="72" s="1"/>
  <c r="AT29" i="9"/>
  <c r="CI76" i="99" s="1"/>
  <c r="CE58" i="71"/>
  <c r="AX53" i="9"/>
  <c r="AS29" i="9"/>
  <c r="CH76" i="99" s="1"/>
  <c r="AX25" i="9"/>
  <c r="AX52" i="9" s="1"/>
  <c r="AX93" i="9"/>
  <c r="AX94" i="9"/>
  <c r="AW18" i="15" s="1"/>
  <c r="AX46" i="9"/>
  <c r="BF46" i="9" s="1"/>
  <c r="AT37" i="9"/>
  <c r="AP19" i="35"/>
  <c r="AT19" i="35" s="1"/>
  <c r="AX19" i="35" s="1"/>
  <c r="BF19" i="35" s="1"/>
  <c r="AP36" i="9"/>
  <c r="BF76" i="9"/>
  <c r="BF44" i="36"/>
  <c r="BF52" i="36" s="1"/>
  <c r="BF9" i="9"/>
  <c r="BF10" i="9" s="1"/>
  <c r="BF20" i="9"/>
  <c r="BF63" i="9"/>
  <c r="BF80" i="9" s="1"/>
  <c r="BE101" i="9"/>
  <c r="BF55" i="9"/>
  <c r="BF72" i="9" s="1"/>
  <c r="AX40" i="36"/>
  <c r="BF22" i="9"/>
  <c r="BF24" i="9"/>
  <c r="AT138" i="9"/>
  <c r="AX138" i="9" s="1"/>
  <c r="AT137" i="9"/>
  <c r="AX137" i="9" s="1"/>
  <c r="BF68" i="9"/>
  <c r="BF85" i="9" s="1"/>
  <c r="AX45" i="36"/>
  <c r="AX51" i="36"/>
  <c r="AX53" i="36" s="1"/>
  <c r="BF92" i="9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4" i="15"/>
  <c r="AW14" i="15" s="1"/>
  <c r="AT40" i="36"/>
  <c r="AT72" i="9"/>
  <c r="AT25" i="9"/>
  <c r="AT52" i="9" s="1"/>
  <c r="AW58" i="59" s="1"/>
  <c r="AE1" i="7"/>
  <c r="AE73" i="7"/>
  <c r="AT45" i="36"/>
  <c r="AT51" i="36"/>
  <c r="AT53" i="36" s="1"/>
  <c r="AF65" i="7"/>
  <c r="AF33" i="7" s="1"/>
  <c r="AF97" i="7" s="1"/>
  <c r="AF1" i="7"/>
  <c r="AF73" i="7"/>
  <c r="AT136" i="9"/>
  <c r="AX136" i="9" s="1"/>
  <c r="AT10" i="9"/>
  <c r="AT93" i="9"/>
  <c r="AT94" i="9"/>
  <c r="AS18" i="15" s="1"/>
  <c r="AP42" i="36"/>
  <c r="AP48" i="36"/>
  <c r="AP50" i="36" s="1"/>
  <c r="AT101" i="9"/>
  <c r="AX101" i="9" s="1"/>
  <c r="AT53" i="9"/>
  <c r="Z144" i="7"/>
  <c r="Z146" i="7" s="1"/>
  <c r="Z147" i="7" s="1"/>
  <c r="Y65" i="7"/>
  <c r="Z138" i="7"/>
  <c r="Z140" i="7" s="1"/>
  <c r="Z141" i="7" s="1"/>
  <c r="Z65" i="7"/>
  <c r="Z33" i="7" s="1"/>
  <c r="Z97" i="7" s="1"/>
  <c r="Z73" i="7"/>
  <c r="Y73" i="7"/>
  <c r="X123" i="7"/>
  <c r="X124" i="7" s="1"/>
  <c r="Y33" i="7" l="1"/>
  <c r="Y97" i="7" s="1"/>
  <c r="Y32" i="7"/>
  <c r="Y99" i="7" s="1"/>
  <c r="Y35" i="7"/>
  <c r="Y102" i="7" s="1"/>
  <c r="Y59" i="7"/>
  <c r="Y101" i="7" s="1"/>
  <c r="AX64" i="7"/>
  <c r="AJ81" i="7"/>
  <c r="AJ67" i="7"/>
  <c r="AJ74" i="7"/>
  <c r="AJ59" i="7"/>
  <c r="AJ101" i="7" s="1"/>
  <c r="AJ32" i="7"/>
  <c r="AJ99" i="7" s="1"/>
  <c r="AJ53" i="7"/>
  <c r="AJ31" i="7"/>
  <c r="AJ98" i="7" s="1"/>
  <c r="AJ29" i="7"/>
  <c r="AJ94" i="7" s="1"/>
  <c r="AJ57" i="7"/>
  <c r="AJ56" i="7"/>
  <c r="AJ24" i="7"/>
  <c r="AJ28" i="7"/>
  <c r="AJ93" i="7" s="1"/>
  <c r="AJ58" i="7"/>
  <c r="AJ27" i="7"/>
  <c r="AJ92" i="7" s="1"/>
  <c r="AJ52" i="7"/>
  <c r="AJ55" i="7"/>
  <c r="AJ54" i="7"/>
  <c r="AJ96" i="7" s="1"/>
  <c r="AJ60" i="7"/>
  <c r="AJ23" i="7"/>
  <c r="AJ26" i="7"/>
  <c r="AJ91" i="7" s="1"/>
  <c r="AJ35" i="7"/>
  <c r="AJ102" i="7" s="1"/>
  <c r="AJ30" i="7"/>
  <c r="AJ95" i="7" s="1"/>
  <c r="AJ25" i="7"/>
  <c r="AJ34" i="7"/>
  <c r="AJ90" i="7" s="1"/>
  <c r="AJ76" i="7"/>
  <c r="AJ22" i="7"/>
  <c r="CI58" i="71"/>
  <c r="AX29" i="9"/>
  <c r="CH58" i="71"/>
  <c r="AW29" i="9"/>
  <c r="AX37" i="9"/>
  <c r="BF37" i="9" s="1"/>
  <c r="AF32" i="7"/>
  <c r="AF99" i="7" s="1"/>
  <c r="AF59" i="7"/>
  <c r="AF101" i="7" s="1"/>
  <c r="Z32" i="7"/>
  <c r="Z99" i="7" s="1"/>
  <c r="Z59" i="7"/>
  <c r="Z101" i="7" s="1"/>
  <c r="BF136" i="9"/>
  <c r="Y74" i="7"/>
  <c r="Y34" i="7"/>
  <c r="AT36" i="9"/>
  <c r="BF139" i="9"/>
  <c r="BF137" i="9"/>
  <c r="BF94" i="9"/>
  <c r="BF93" i="9"/>
  <c r="BF23" i="9"/>
  <c r="BF70" i="9"/>
  <c r="BF87" i="9" s="1"/>
  <c r="BI61" i="59" s="1"/>
  <c r="BA61" i="59"/>
  <c r="AX42" i="36"/>
  <c r="AX48" i="36"/>
  <c r="AX50" i="36" s="1"/>
  <c r="AX19" i="36" s="1"/>
  <c r="BA57" i="59" s="1"/>
  <c r="BF101" i="9"/>
  <c r="BF53" i="9"/>
  <c r="BF65" i="9"/>
  <c r="BF82" i="9" s="1"/>
  <c r="BI62" i="59" s="1"/>
  <c r="BA62" i="59"/>
  <c r="BF69" i="9"/>
  <c r="BF86" i="9" s="1"/>
  <c r="BA58" i="59"/>
  <c r="AO72" i="7"/>
  <c r="AI1" i="7"/>
  <c r="AJ1" i="7"/>
  <c r="AJ78" i="7" s="1"/>
  <c r="AP72" i="7"/>
  <c r="AT42" i="36"/>
  <c r="AT48" i="36"/>
  <c r="AT50" i="36" s="1"/>
  <c r="AP19" i="36"/>
  <c r="AS57" i="59" s="1"/>
  <c r="AP63" i="7"/>
  <c r="AP66" i="7"/>
  <c r="AF74" i="7"/>
  <c r="AF81" i="7"/>
  <c r="AI28" i="59" s="1"/>
  <c r="AF78" i="7"/>
  <c r="AF27" i="7"/>
  <c r="AF92" i="7" s="1"/>
  <c r="AF52" i="7"/>
  <c r="AF23" i="7"/>
  <c r="AF34" i="7"/>
  <c r="AF90" i="7" s="1"/>
  <c r="AF58" i="7"/>
  <c r="AF31" i="7"/>
  <c r="AF98" i="7" s="1"/>
  <c r="AF60" i="7"/>
  <c r="AF55" i="7"/>
  <c r="AF54" i="7"/>
  <c r="AF96" i="7" s="1"/>
  <c r="AF30" i="7"/>
  <c r="AF95" i="7" s="1"/>
  <c r="AI35" i="59" s="1"/>
  <c r="AF76" i="7"/>
  <c r="AF35" i="7"/>
  <c r="AF102" i="7" s="1"/>
  <c r="AF26" i="7"/>
  <c r="AF91" i="7" s="1"/>
  <c r="AF29" i="7"/>
  <c r="AF94" i="7" s="1"/>
  <c r="AI34" i="59" s="1"/>
  <c r="AF53" i="7"/>
  <c r="AF25" i="7"/>
  <c r="AF56" i="7"/>
  <c r="AF28" i="7"/>
  <c r="AF93" i="7" s="1"/>
  <c r="AI33" i="59" s="1"/>
  <c r="AF57" i="7"/>
  <c r="AF24" i="7"/>
  <c r="AF22" i="7"/>
  <c r="AF67" i="7"/>
  <c r="Z74" i="7"/>
  <c r="Z54" i="7"/>
  <c r="Z96" i="7" s="1"/>
  <c r="Z58" i="7"/>
  <c r="Z53" i="7"/>
  <c r="Z55" i="7"/>
  <c r="Z52" i="7"/>
  <c r="Z57" i="7"/>
  <c r="Z56" i="7"/>
  <c r="Z60" i="7"/>
  <c r="Z29" i="7"/>
  <c r="Z94" i="7" s="1"/>
  <c r="AC34" i="59" s="1"/>
  <c r="Z109" i="7"/>
  <c r="Z35" i="7"/>
  <c r="Z102" i="7" s="1"/>
  <c r="Z26" i="7"/>
  <c r="Z91" i="7" s="1"/>
  <c r="Z110" i="7"/>
  <c r="Z111" i="7"/>
  <c r="Z113" i="7"/>
  <c r="Z112" i="7"/>
  <c r="Z25" i="7"/>
  <c r="Z24" i="7"/>
  <c r="Z23" i="7"/>
  <c r="Z31" i="7"/>
  <c r="Z98" i="7" s="1"/>
  <c r="Z30" i="7"/>
  <c r="Z34" i="7"/>
  <c r="Z90" i="7" s="1"/>
  <c r="Z28" i="7"/>
  <c r="Z27" i="7"/>
  <c r="Z92" i="7" s="1"/>
  <c r="AB35" i="59"/>
  <c r="Z81" i="7"/>
  <c r="AC28" i="59" s="1"/>
  <c r="Z22" i="7"/>
  <c r="Z87" i="7" s="1"/>
  <c r="AB33" i="59"/>
  <c r="Y81" i="7"/>
  <c r="AB28" i="59" s="1"/>
  <c r="AB29" i="59"/>
  <c r="Z76" i="7"/>
  <c r="Z67" i="7"/>
  <c r="Z123" i="7"/>
  <c r="Z124" i="7" s="1"/>
  <c r="Z125" i="7" s="1"/>
  <c r="X125" i="7"/>
  <c r="X126" i="7"/>
  <c r="X127" i="7" s="1"/>
  <c r="CM58" i="71" l="1"/>
  <c r="CM76" i="99"/>
  <c r="CL58" i="71"/>
  <c r="CL76" i="99"/>
  <c r="AJ87" i="7"/>
  <c r="AJ36" i="7"/>
  <c r="AJ51" i="7" s="1"/>
  <c r="AJ88" i="7"/>
  <c r="AJ100" i="7"/>
  <c r="AJ89" i="7"/>
  <c r="BF64" i="7"/>
  <c r="AX36" i="9"/>
  <c r="BE29" i="9"/>
  <c r="BF29" i="9"/>
  <c r="AP1" i="7"/>
  <c r="AO1" i="7"/>
  <c r="Y90" i="7"/>
  <c r="Y36" i="7"/>
  <c r="Y51" i="7" s="1"/>
  <c r="Z89" i="7"/>
  <c r="AC31" i="59" s="1"/>
  <c r="BF138" i="9"/>
  <c r="AF100" i="7"/>
  <c r="AI32" i="59" s="1"/>
  <c r="BE14" i="15"/>
  <c r="BF25" i="9"/>
  <c r="BF52" i="9" s="1"/>
  <c r="BI58" i="59" s="1"/>
  <c r="AF88" i="7"/>
  <c r="AI30" i="59" s="1"/>
  <c r="Z100" i="7"/>
  <c r="AC32" i="59" s="1"/>
  <c r="AF89" i="7"/>
  <c r="AI31" i="59" s="1"/>
  <c r="AT63" i="7"/>
  <c r="AX63" i="7" s="1"/>
  <c r="AX65" i="7" s="1"/>
  <c r="AX33" i="7" s="1"/>
  <c r="AX97" i="7" s="1"/>
  <c r="AP65" i="7"/>
  <c r="AT19" i="36"/>
  <c r="AW57" i="59" s="1"/>
  <c r="Z88" i="7"/>
  <c r="AC30" i="59" s="1"/>
  <c r="AM28" i="59"/>
  <c r="AM34" i="59"/>
  <c r="AM35" i="59"/>
  <c r="AM33" i="59"/>
  <c r="AF87" i="7"/>
  <c r="AF36" i="7"/>
  <c r="AF51" i="7" s="1"/>
  <c r="AT66" i="7"/>
  <c r="AT72" i="7"/>
  <c r="AX72" i="7" s="1"/>
  <c r="AX73" i="7" s="1"/>
  <c r="AP73" i="7"/>
  <c r="AS72" i="7"/>
  <c r="AW72" i="7" s="1"/>
  <c r="AW73" i="7" s="1"/>
  <c r="AO73" i="7"/>
  <c r="Z95" i="7"/>
  <c r="AC35" i="59" s="1"/>
  <c r="Z93" i="7"/>
  <c r="AC33" i="59" s="1"/>
  <c r="AC29" i="59"/>
  <c r="Z36" i="7"/>
  <c r="Z51" i="7" s="1"/>
  <c r="Z75" i="7" s="1"/>
  <c r="Z126" i="7"/>
  <c r="Z127" i="7" s="1"/>
  <c r="X128" i="7"/>
  <c r="AP59" i="7" l="1"/>
  <c r="AP101" i="7" s="1"/>
  <c r="AP33" i="7"/>
  <c r="AP97" i="7" s="1"/>
  <c r="CU58" i="71"/>
  <c r="CU76" i="99"/>
  <c r="CT58" i="71"/>
  <c r="CT76" i="99"/>
  <c r="AX66" i="7"/>
  <c r="BF66" i="7" s="1"/>
  <c r="AX74" i="7"/>
  <c r="AX81" i="7"/>
  <c r="AX59" i="7"/>
  <c r="AX101" i="7" s="1"/>
  <c r="AX32" i="7"/>
  <c r="AX99" i="7" s="1"/>
  <c r="AX52" i="7"/>
  <c r="AX23" i="7"/>
  <c r="AX31" i="7"/>
  <c r="AX98" i="7" s="1"/>
  <c r="AX58" i="7"/>
  <c r="AX27" i="7"/>
  <c r="AX92" i="7" s="1"/>
  <c r="AX60" i="7"/>
  <c r="AX54" i="7"/>
  <c r="AX96" i="7" s="1"/>
  <c r="AX34" i="7"/>
  <c r="AX90" i="7" s="1"/>
  <c r="AX55" i="7"/>
  <c r="AX35" i="7"/>
  <c r="AX102" i="7" s="1"/>
  <c r="AX25" i="7"/>
  <c r="AX24" i="7"/>
  <c r="AX30" i="7"/>
  <c r="AX95" i="7" s="1"/>
  <c r="AX29" i="7"/>
  <c r="AX94" i="7" s="1"/>
  <c r="AX53" i="7"/>
  <c r="AX28" i="7"/>
  <c r="AX93" i="7" s="1"/>
  <c r="AX26" i="7"/>
  <c r="AX91" i="7" s="1"/>
  <c r="AX76" i="7"/>
  <c r="AX56" i="7"/>
  <c r="AX57" i="7"/>
  <c r="AX22" i="7"/>
  <c r="AJ61" i="7"/>
  <c r="AJ75" i="7"/>
  <c r="AJ103" i="7"/>
  <c r="Y75" i="7"/>
  <c r="Y61" i="7"/>
  <c r="AM31" i="59"/>
  <c r="AX1" i="7"/>
  <c r="AX78" i="7" s="1"/>
  <c r="BF72" i="7"/>
  <c r="AW1" i="7"/>
  <c r="BE72" i="7"/>
  <c r="AP67" i="7"/>
  <c r="AP32" i="7"/>
  <c r="AP99" i="7" s="1"/>
  <c r="AT65" i="7"/>
  <c r="AT33" i="7" s="1"/>
  <c r="AT97" i="7" s="1"/>
  <c r="BF36" i="9"/>
  <c r="AM30" i="59"/>
  <c r="AS1" i="7"/>
  <c r="AS73" i="7"/>
  <c r="AM32" i="59"/>
  <c r="AF61" i="7"/>
  <c r="AF75" i="7"/>
  <c r="AT1" i="7"/>
  <c r="AT73" i="7"/>
  <c r="AI29" i="59"/>
  <c r="AF103" i="7"/>
  <c r="AP22" i="7"/>
  <c r="AP81" i="7"/>
  <c r="AS28" i="59" s="1"/>
  <c r="AP74" i="7"/>
  <c r="AP78" i="7"/>
  <c r="AP23" i="7"/>
  <c r="AP54" i="7"/>
  <c r="AP96" i="7" s="1"/>
  <c r="AP31" i="7"/>
  <c r="AP98" i="7" s="1"/>
  <c r="AP58" i="7"/>
  <c r="AP52" i="7"/>
  <c r="AP55" i="7"/>
  <c r="AP34" i="7"/>
  <c r="AP90" i="7" s="1"/>
  <c r="AP60" i="7"/>
  <c r="AP27" i="7"/>
  <c r="AP92" i="7" s="1"/>
  <c r="AP25" i="7"/>
  <c r="AP29" i="7"/>
  <c r="AP94" i="7" s="1"/>
  <c r="AS34" i="59" s="1"/>
  <c r="AP24" i="7"/>
  <c r="AP35" i="7"/>
  <c r="AP102" i="7" s="1"/>
  <c r="AP53" i="7"/>
  <c r="AP76" i="7"/>
  <c r="AP26" i="7"/>
  <c r="AP91" i="7" s="1"/>
  <c r="AP28" i="7"/>
  <c r="AP93" i="7" s="1"/>
  <c r="AS33" i="59" s="1"/>
  <c r="AP57" i="7"/>
  <c r="AP56" i="7"/>
  <c r="AP30" i="7"/>
  <c r="AP95" i="7" s="1"/>
  <c r="AS35" i="59" s="1"/>
  <c r="Z128" i="7"/>
  <c r="X135" i="7"/>
  <c r="AD3" i="38"/>
  <c r="AC3" i="38"/>
  <c r="AX89" i="7" l="1"/>
  <c r="AX100" i="7"/>
  <c r="AX67" i="7"/>
  <c r="AX87" i="7"/>
  <c r="AX36" i="7"/>
  <c r="AX51" i="7" s="1"/>
  <c r="AX88" i="7"/>
  <c r="AT32" i="7"/>
  <c r="AT99" i="7" s="1"/>
  <c r="AT59" i="7"/>
  <c r="AT101" i="7" s="1"/>
  <c r="AT81" i="7"/>
  <c r="AW28" i="59" s="1"/>
  <c r="AT76" i="7"/>
  <c r="AT74" i="7"/>
  <c r="AT53" i="7"/>
  <c r="AT78" i="7"/>
  <c r="AT25" i="7"/>
  <c r="AT26" i="7"/>
  <c r="AT91" i="7" s="1"/>
  <c r="AT55" i="7"/>
  <c r="AT57" i="7"/>
  <c r="AT67" i="7"/>
  <c r="AT22" i="7"/>
  <c r="AT87" i="7" s="1"/>
  <c r="AT60" i="7"/>
  <c r="AT56" i="7"/>
  <c r="AT27" i="7"/>
  <c r="AT92" i="7" s="1"/>
  <c r="AT30" i="7"/>
  <c r="AT95" i="7" s="1"/>
  <c r="AW35" i="59" s="1"/>
  <c r="AT54" i="7"/>
  <c r="AT96" i="7" s="1"/>
  <c r="AT24" i="7"/>
  <c r="AT35" i="7"/>
  <c r="AT102" i="7" s="1"/>
  <c r="AT58" i="7"/>
  <c r="AD61" i="38"/>
  <c r="AD60" i="38"/>
  <c r="AC61" i="38"/>
  <c r="AC60" i="38"/>
  <c r="AT28" i="7"/>
  <c r="AT93" i="7" s="1"/>
  <c r="AW33" i="59" s="1"/>
  <c r="AT52" i="7"/>
  <c r="AT29" i="7"/>
  <c r="AT94" i="7" s="1"/>
  <c r="AW34" i="59" s="1"/>
  <c r="AT23" i="7"/>
  <c r="AT34" i="7"/>
  <c r="AT90" i="7" s="1"/>
  <c r="AT31" i="7"/>
  <c r="AT98" i="7" s="1"/>
  <c r="BE1" i="7"/>
  <c r="BE73" i="7"/>
  <c r="BF1" i="7"/>
  <c r="BF73" i="7"/>
  <c r="BF63" i="7"/>
  <c r="BF65" i="7" s="1"/>
  <c r="AP100" i="7"/>
  <c r="AS32" i="59" s="1"/>
  <c r="AM29" i="59"/>
  <c r="AP88" i="7"/>
  <c r="AS30" i="59" s="1"/>
  <c r="AP87" i="7"/>
  <c r="AP36" i="7"/>
  <c r="AP51" i="7" s="1"/>
  <c r="AP89" i="7"/>
  <c r="AS31" i="59" s="1"/>
  <c r="AC52" i="38"/>
  <c r="AC67" i="38"/>
  <c r="AD52" i="38"/>
  <c r="AD67" i="38"/>
  <c r="Z135" i="7"/>
  <c r="AA81" i="8"/>
  <c r="BF59" i="7" l="1"/>
  <c r="BF101" i="7" s="1"/>
  <c r="BF33" i="7"/>
  <c r="BF97" i="7" s="1"/>
  <c r="AX75" i="7"/>
  <c r="AX61" i="7"/>
  <c r="AX103" i="7"/>
  <c r="AT89" i="7"/>
  <c r="AW31" i="59" s="1"/>
  <c r="AT100" i="7"/>
  <c r="AW32" i="59" s="1"/>
  <c r="AT88" i="7"/>
  <c r="AW30" i="59" s="1"/>
  <c r="AT36" i="7"/>
  <c r="AT51" i="7" s="1"/>
  <c r="AT61" i="7" s="1"/>
  <c r="BF32" i="7"/>
  <c r="BF99" i="7" s="1"/>
  <c r="BF78" i="7"/>
  <c r="BF74" i="7"/>
  <c r="BF81" i="7"/>
  <c r="BI28" i="59" s="1"/>
  <c r="BF67" i="7"/>
  <c r="BF52" i="7"/>
  <c r="BF60" i="7"/>
  <c r="BF23" i="7"/>
  <c r="BF34" i="7"/>
  <c r="BF90" i="7" s="1"/>
  <c r="BF58" i="7"/>
  <c r="BF55" i="7"/>
  <c r="BF54" i="7"/>
  <c r="BF96" i="7" s="1"/>
  <c r="BF27" i="7"/>
  <c r="BF92" i="7" s="1"/>
  <c r="BF31" i="7"/>
  <c r="BF98" i="7" s="1"/>
  <c r="BF56" i="7"/>
  <c r="BF30" i="7"/>
  <c r="BF95" i="7" s="1"/>
  <c r="BI35" i="59" s="1"/>
  <c r="BF28" i="7"/>
  <c r="BF93" i="7" s="1"/>
  <c r="BI33" i="59" s="1"/>
  <c r="BF53" i="7"/>
  <c r="BF26" i="7"/>
  <c r="BF91" i="7" s="1"/>
  <c r="BF24" i="7"/>
  <c r="BF25" i="7"/>
  <c r="BF29" i="7"/>
  <c r="BF94" i="7" s="1"/>
  <c r="BI34" i="59" s="1"/>
  <c r="BF35" i="7"/>
  <c r="BF102" i="7" s="1"/>
  <c r="BF76" i="7"/>
  <c r="BF57" i="7"/>
  <c r="BF22" i="7"/>
  <c r="BA28" i="59"/>
  <c r="BA34" i="59"/>
  <c r="BA35" i="59"/>
  <c r="BA33" i="59"/>
  <c r="AS29" i="59"/>
  <c r="AP103" i="7"/>
  <c r="AP75" i="7"/>
  <c r="AP61" i="7"/>
  <c r="AW29" i="59"/>
  <c r="AD45" i="59"/>
  <c r="AT103" i="7" l="1"/>
  <c r="AT75" i="7"/>
  <c r="BA32" i="59"/>
  <c r="BF100" i="7"/>
  <c r="BI32" i="59" s="1"/>
  <c r="BA29" i="59"/>
  <c r="BF87" i="7"/>
  <c r="BF36" i="7"/>
  <c r="BF51" i="7" s="1"/>
  <c r="BF89" i="7"/>
  <c r="BI31" i="59" s="1"/>
  <c r="BF88" i="7"/>
  <c r="BI30" i="59" s="1"/>
  <c r="BA31" i="59"/>
  <c r="BA30" i="59"/>
  <c r="BI29" i="59" l="1"/>
  <c r="BF103" i="7"/>
  <c r="BF75" i="7"/>
  <c r="BF61" i="7"/>
  <c r="AB45" i="59"/>
  <c r="Z85" i="8" l="1"/>
  <c r="AB85" i="8" s="1"/>
  <c r="Z57" i="8"/>
  <c r="Z55" i="8"/>
  <c r="Z60" i="8"/>
  <c r="AB60" i="8" s="1"/>
  <c r="AF60" i="8" s="1"/>
  <c r="Y61" i="8"/>
  <c r="AA61" i="8" s="1"/>
  <c r="Z33" i="8"/>
  <c r="Z11" i="49" s="1"/>
  <c r="Y33" i="8"/>
  <c r="Z23" i="8"/>
  <c r="Z18" i="8"/>
  <c r="Y8" i="15" s="1"/>
  <c r="Y13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Z88" i="8" s="1"/>
  <c r="Y2" i="8"/>
  <c r="Y89" i="8" s="1"/>
  <c r="AJ8" i="8" l="1"/>
  <c r="AP8" i="8" s="1"/>
  <c r="AT8" i="8" s="1"/>
  <c r="AI8" i="8"/>
  <c r="AO8" i="8" s="1"/>
  <c r="AS8" i="8" s="1"/>
  <c r="AJ60" i="8"/>
  <c r="AP60" i="8" s="1"/>
  <c r="AJ17" i="8"/>
  <c r="AP17" i="8" s="1"/>
  <c r="AT17" i="8" s="1"/>
  <c r="AI17" i="8"/>
  <c r="AO17" i="8" s="1"/>
  <c r="AS17" i="8" s="1"/>
  <c r="Z89" i="8"/>
  <c r="AF85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AF23" i="8" s="1"/>
  <c r="Z10" i="36"/>
  <c r="Z8" i="49"/>
  <c r="Z11" i="36"/>
  <c r="Z9" i="49"/>
  <c r="Z109" i="8"/>
  <c r="Z110" i="8" s="1"/>
  <c r="Z87" i="8"/>
  <c r="AB58" i="8"/>
  <c r="AF58" i="8" s="1"/>
  <c r="AJ58" i="8" s="1"/>
  <c r="AB64" i="8"/>
  <c r="AF64" i="8" s="1"/>
  <c r="AJ64" i="8" s="1"/>
  <c r="AB68" i="8"/>
  <c r="AF68" i="8" s="1"/>
  <c r="AJ68" i="8" s="1"/>
  <c r="AB18" i="8"/>
  <c r="AF18" i="8" s="1"/>
  <c r="AJ18" i="8" s="1"/>
  <c r="AI8" i="15" s="1"/>
  <c r="AI13" i="15" s="1"/>
  <c r="AB33" i="8"/>
  <c r="AF33" i="8" s="1"/>
  <c r="AJ33" i="8" s="1"/>
  <c r="Z81" i="8"/>
  <c r="AC45" i="59" s="1"/>
  <c r="Z26" i="8"/>
  <c r="AW17" i="8" l="1"/>
  <c r="BE17" i="8" s="1"/>
  <c r="AX17" i="8"/>
  <c r="BF17" i="8" s="1"/>
  <c r="AW8" i="8"/>
  <c r="BE8" i="8" s="1"/>
  <c r="AX8" i="8"/>
  <c r="BF8" i="8" s="1"/>
  <c r="AJ85" i="8"/>
  <c r="AF10" i="36"/>
  <c r="AF13" i="36" s="1"/>
  <c r="AJ23" i="8"/>
  <c r="BD60" i="8"/>
  <c r="AT60" i="8"/>
  <c r="AE8" i="15"/>
  <c r="AE13" i="15" s="1"/>
  <c r="AP68" i="8"/>
  <c r="AP64" i="8"/>
  <c r="AF26" i="8"/>
  <c r="AD8" i="15"/>
  <c r="AP58" i="8"/>
  <c r="AT58" i="8" s="1"/>
  <c r="AP13" i="8"/>
  <c r="Z13" i="36"/>
  <c r="Z111" i="8"/>
  <c r="Z112" i="8" s="1"/>
  <c r="Z53" i="8" s="1"/>
  <c r="AC43" i="59" s="1"/>
  <c r="Z52" i="8"/>
  <c r="AC42" i="59" s="1"/>
  <c r="AB109" i="8"/>
  <c r="AB111" i="8" s="1"/>
  <c r="AB54" i="8"/>
  <c r="AF54" i="8" s="1"/>
  <c r="AJ54" i="8" s="1"/>
  <c r="AB57" i="8"/>
  <c r="AB55" i="8"/>
  <c r="AF55" i="8" s="1"/>
  <c r="AJ55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8" i="8" l="1"/>
  <c r="AX60" i="8"/>
  <c r="BF60" i="8" s="1"/>
  <c r="AX87" i="6"/>
  <c r="BF87" i="6" s="1"/>
  <c r="AW119" i="6"/>
  <c r="BE119" i="6" s="1"/>
  <c r="AW65" i="6"/>
  <c r="BE65" i="6" s="1"/>
  <c r="AW88" i="6"/>
  <c r="BE88" i="6" s="1"/>
  <c r="AW70" i="6"/>
  <c r="BE70" i="6" s="1"/>
  <c r="AW76" i="6"/>
  <c r="BE76" i="6" s="1"/>
  <c r="AX88" i="6"/>
  <c r="BF88" i="6" s="1"/>
  <c r="AX28" i="6"/>
  <c r="BF28" i="6" s="1"/>
  <c r="AW86" i="6"/>
  <c r="BE86" i="6" s="1"/>
  <c r="AW74" i="6"/>
  <c r="BE74" i="6" s="1"/>
  <c r="AX31" i="6"/>
  <c r="BF31" i="6" s="1"/>
  <c r="AX86" i="6"/>
  <c r="BF86" i="6" s="1"/>
  <c r="AX25" i="6"/>
  <c r="BF25" i="6" s="1"/>
  <c r="AX70" i="6"/>
  <c r="BF70" i="6" s="1"/>
  <c r="AW68" i="6"/>
  <c r="BE68" i="6" s="1"/>
  <c r="AW73" i="6"/>
  <c r="BE73" i="6" s="1"/>
  <c r="AW87" i="6"/>
  <c r="BE87" i="6" s="1"/>
  <c r="AJ10" i="36"/>
  <c r="AJ13" i="36" s="1"/>
  <c r="AJ26" i="8"/>
  <c r="AP85" i="8"/>
  <c r="AT85" i="8" s="1"/>
  <c r="AP54" i="8"/>
  <c r="AT54" i="8" s="1"/>
  <c r="AC44" i="59"/>
  <c r="BF65" i="6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5" i="8"/>
  <c r="AT64" i="8"/>
  <c r="AT68" i="8"/>
  <c r="AJ24" i="6"/>
  <c r="AF26" i="6"/>
  <c r="AI72" i="6"/>
  <c r="AE77" i="6"/>
  <c r="AS75" i="6"/>
  <c r="AT119" i="6"/>
  <c r="AP18" i="8"/>
  <c r="AF57" i="8"/>
  <c r="AE120" i="6"/>
  <c r="Z165" i="6"/>
  <c r="AB163" i="6"/>
  <c r="AF163" i="6" s="1"/>
  <c r="AJ163" i="6" s="1"/>
  <c r="AB67" i="6"/>
  <c r="AF67" i="6" s="1"/>
  <c r="AB110" i="8"/>
  <c r="AB52" i="8" s="1"/>
  <c r="AE42" i="59" s="1"/>
  <c r="AB68" i="6"/>
  <c r="AF68" i="6" s="1"/>
  <c r="AJ68" i="6" s="1"/>
  <c r="AP68" i="6" s="1"/>
  <c r="AT68" i="6" s="1"/>
  <c r="AX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AX85" i="8" l="1"/>
  <c r="AX54" i="8"/>
  <c r="AX68" i="8"/>
  <c r="AX64" i="8"/>
  <c r="BF58" i="8"/>
  <c r="BF54" i="8" s="1"/>
  <c r="AX124" i="6"/>
  <c r="BF124" i="6" s="1"/>
  <c r="Y12" i="6"/>
  <c r="Y222" i="6" s="1"/>
  <c r="Y13" i="6"/>
  <c r="Y223" i="6" s="1"/>
  <c r="AW110" i="6"/>
  <c r="BE110" i="6" s="1"/>
  <c r="AX119" i="6"/>
  <c r="BF119" i="6" s="1"/>
  <c r="AW111" i="6"/>
  <c r="BE111" i="6" s="1"/>
  <c r="AW75" i="6"/>
  <c r="BE75" i="6" s="1"/>
  <c r="AJ57" i="8"/>
  <c r="AP57" i="8" s="1"/>
  <c r="AT57" i="8" s="1"/>
  <c r="BF68" i="6"/>
  <c r="AT16" i="8"/>
  <c r="AT18" i="8"/>
  <c r="AX18" i="8" s="1"/>
  <c r="AO8" i="15"/>
  <c r="AO13" i="15" s="1"/>
  <c r="AF103" i="6"/>
  <c r="AF107" i="6" s="1"/>
  <c r="AS116" i="6"/>
  <c r="AW116" i="6" s="1"/>
  <c r="AO120" i="6"/>
  <c r="AO98" i="6"/>
  <c r="AI102" i="6"/>
  <c r="AO72" i="6"/>
  <c r="AI77" i="6"/>
  <c r="AP30" i="6"/>
  <c r="AJ32" i="6"/>
  <c r="AT33" i="8"/>
  <c r="AX33" i="8" s="1"/>
  <c r="AT23" i="8"/>
  <c r="AX23" i="8" s="1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BF188" i="6" s="1"/>
  <c r="AJ67" i="6"/>
  <c r="AF69" i="6"/>
  <c r="AT55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2" i="8"/>
  <c r="AB53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AV8" i="15" l="1"/>
  <c r="AW8" i="15"/>
  <c r="AW13" i="15" s="1"/>
  <c r="BF85" i="8"/>
  <c r="AX26" i="8"/>
  <c r="AW120" i="6"/>
  <c r="BE116" i="6"/>
  <c r="BE120" i="6" s="1"/>
  <c r="AX55" i="8"/>
  <c r="BF64" i="8"/>
  <c r="AX57" i="8"/>
  <c r="BF68" i="8"/>
  <c r="AE172" i="6"/>
  <c r="AE174" i="6" s="1"/>
  <c r="AE175" i="6"/>
  <c r="AS120" i="6"/>
  <c r="BF18" i="8"/>
  <c r="BE8" i="15" s="1"/>
  <c r="BE13" i="15" s="1"/>
  <c r="BF13" i="8"/>
  <c r="BF16" i="8" s="1"/>
  <c r="BF23" i="8"/>
  <c r="AX10" i="36"/>
  <c r="BA37" i="59" s="1"/>
  <c r="BE18" i="8"/>
  <c r="BD8" i="15" s="1"/>
  <c r="AS67" i="6"/>
  <c r="AW67" i="6" s="1"/>
  <c r="AW69" i="6" s="1"/>
  <c r="AO69" i="6"/>
  <c r="AR8" i="15"/>
  <c r="AT64" i="6"/>
  <c r="AX64" i="6" s="1"/>
  <c r="AX66" i="6" s="1"/>
  <c r="AP66" i="6"/>
  <c r="AT98" i="6"/>
  <c r="AX98" i="6" s="1"/>
  <c r="AP102" i="6"/>
  <c r="AS72" i="6"/>
  <c r="AW72" i="6" s="1"/>
  <c r="AW77" i="6" s="1"/>
  <c r="AO77" i="6"/>
  <c r="AJ121" i="6"/>
  <c r="AJ125" i="6" s="1"/>
  <c r="AJ172" i="6" s="1"/>
  <c r="AT24" i="6"/>
  <c r="AX24" i="6" s="1"/>
  <c r="AX26" i="6" s="1"/>
  <c r="AP26" i="6"/>
  <c r="AT72" i="6"/>
  <c r="AX72" i="6" s="1"/>
  <c r="AX77" i="6" s="1"/>
  <c r="AP77" i="6"/>
  <c r="AS64" i="6"/>
  <c r="AW64" i="6" s="1"/>
  <c r="AW66" i="6" s="1"/>
  <c r="AO66" i="6"/>
  <c r="AF147" i="6"/>
  <c r="AF150" i="6"/>
  <c r="AT109" i="6"/>
  <c r="AX109" i="6" s="1"/>
  <c r="AP115" i="6"/>
  <c r="AT163" i="6"/>
  <c r="AX163" i="6" s="1"/>
  <c r="BF163" i="6" s="1"/>
  <c r="AI172" i="6"/>
  <c r="AI174" i="6" s="1"/>
  <c r="AI175" i="6"/>
  <c r="AT27" i="6"/>
  <c r="AX27" i="6" s="1"/>
  <c r="AX29" i="6" s="1"/>
  <c r="AP29" i="6"/>
  <c r="AE103" i="6"/>
  <c r="AE107" i="6" s="1"/>
  <c r="AE147" i="6" s="1"/>
  <c r="AT116" i="6"/>
  <c r="AX116" i="6" s="1"/>
  <c r="AP120" i="6"/>
  <c r="AT26" i="8"/>
  <c r="AT10" i="36"/>
  <c r="AT30" i="6"/>
  <c r="AX30" i="6" s="1"/>
  <c r="AX32" i="6" s="1"/>
  <c r="AP32" i="6"/>
  <c r="AS98" i="6"/>
  <c r="AW98" i="6" s="1"/>
  <c r="AO102" i="6"/>
  <c r="AF148" i="6"/>
  <c r="AI15" i="59" s="1"/>
  <c r="AS8" i="15"/>
  <c r="AS13" i="15" s="1"/>
  <c r="AS109" i="6"/>
  <c r="AW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F57" i="8" l="1"/>
  <c r="BF55" i="8"/>
  <c r="AX102" i="6"/>
  <c r="AX103" i="6" s="1"/>
  <c r="AX107" i="6" s="1"/>
  <c r="BF98" i="6"/>
  <c r="BF102" i="6" s="1"/>
  <c r="BF103" i="6" s="1"/>
  <c r="BF107" i="6" s="1"/>
  <c r="AX115" i="6"/>
  <c r="BF109" i="6"/>
  <c r="BF115" i="6" s="1"/>
  <c r="AW115" i="6"/>
  <c r="AW121" i="6" s="1"/>
  <c r="AW125" i="6" s="1"/>
  <c r="AW173" i="6" s="1"/>
  <c r="BE109" i="6"/>
  <c r="BE115" i="6" s="1"/>
  <c r="BE121" i="6" s="1"/>
  <c r="BE125" i="6" s="1"/>
  <c r="AW102" i="6"/>
  <c r="BE98" i="6"/>
  <c r="BE102" i="6" s="1"/>
  <c r="AX120" i="6"/>
  <c r="BF116" i="6"/>
  <c r="BF120" i="6" s="1"/>
  <c r="AJ173" i="6"/>
  <c r="AM22" i="59" s="1"/>
  <c r="BF64" i="6"/>
  <c r="BF66" i="6" s="1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F33" i="8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X69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AO97" i="6"/>
  <c r="AO103" i="6" s="1"/>
  <c r="AO107" i="6" s="1"/>
  <c r="AO172" i="6"/>
  <c r="AE150" i="6"/>
  <c r="AE148" i="6"/>
  <c r="AE149" i="6" s="1"/>
  <c r="AT66" i="6"/>
  <c r="Y143" i="6"/>
  <c r="Z143" i="6"/>
  <c r="Y149" i="6"/>
  <c r="Y26" i="9"/>
  <c r="AB68" i="59"/>
  <c r="Y79" i="11"/>
  <c r="AB70" i="59" s="1"/>
  <c r="I6" i="59"/>
  <c r="F13" i="49"/>
  <c r="F14" i="49" s="1"/>
  <c r="N14" i="49" s="1"/>
  <c r="Z174" i="6"/>
  <c r="Z8" i="36" s="1"/>
  <c r="Y174" i="6"/>
  <c r="AB74" i="59"/>
  <c r="Z48" i="36"/>
  <c r="Z49" i="36"/>
  <c r="Z54" i="36"/>
  <c r="Z51" i="36"/>
  <c r="Z53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AX121" i="6" l="1"/>
  <c r="AX125" i="6" s="1"/>
  <c r="AX172" i="6" s="1"/>
  <c r="Y207" i="6"/>
  <c r="Y206" i="6"/>
  <c r="Z212" i="6"/>
  <c r="Z206" i="6"/>
  <c r="AX173" i="6"/>
  <c r="AX174" i="6" s="1"/>
  <c r="BF121" i="6"/>
  <c r="BF125" i="6" s="1"/>
  <c r="AW175" i="6"/>
  <c r="AW172" i="6"/>
  <c r="AW174" i="6" s="1"/>
  <c r="AW97" i="6"/>
  <c r="AW103" i="6" s="1"/>
  <c r="AW107" i="6" s="1"/>
  <c r="AW148" i="6" s="1"/>
  <c r="BE91" i="6"/>
  <c r="BE97" i="6" s="1"/>
  <c r="BE103" i="6" s="1"/>
  <c r="BE107" i="6" s="1"/>
  <c r="AJ174" i="6"/>
  <c r="AJ8" i="36" s="1"/>
  <c r="AM9" i="59" s="1"/>
  <c r="AX175" i="6"/>
  <c r="AX147" i="6"/>
  <c r="AX150" i="6"/>
  <c r="AX148" i="6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F69" i="6" s="1"/>
  <c r="BE67" i="6"/>
  <c r="BE69" i="6" s="1"/>
  <c r="BE64" i="6"/>
  <c r="BE66" i="6" s="1"/>
  <c r="BF24" i="6"/>
  <c r="BF26" i="6" s="1"/>
  <c r="BF27" i="6"/>
  <c r="BF29" i="6" s="1"/>
  <c r="BF30" i="6"/>
  <c r="BF32" i="6" s="1"/>
  <c r="Z207" i="6"/>
  <c r="Y205" i="6"/>
  <c r="Z203" i="6"/>
  <c r="Y208" i="6"/>
  <c r="Y204" i="6"/>
  <c r="Y203" i="6"/>
  <c r="Y212" i="6"/>
  <c r="Y213" i="6"/>
  <c r="Y216" i="6"/>
  <c r="Y219" i="6" s="1"/>
  <c r="BF72" i="6"/>
  <c r="BF77" i="6" s="1"/>
  <c r="AS97" i="6"/>
  <c r="AS103" i="6" s="1"/>
  <c r="AS107" i="6" s="1"/>
  <c r="AS147" i="6" s="1"/>
  <c r="BE72" i="6"/>
  <c r="BE77" i="6" s="1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477" i="28"/>
  <c r="Y478" i="28"/>
  <c r="Z33" i="22"/>
  <c r="AC60" i="59"/>
  <c r="AB64" i="59"/>
  <c r="Y178" i="10"/>
  <c r="AB66" i="59" s="1"/>
  <c r="Z50" i="36"/>
  <c r="AC40" i="59"/>
  <c r="Y132" i="26"/>
  <c r="Z102" i="9"/>
  <c r="Z104" i="9"/>
  <c r="AC59" i="59" s="1"/>
  <c r="Z94" i="9"/>
  <c r="Y18" i="15" s="1"/>
  <c r="Y104" i="9"/>
  <c r="AB59" i="59" s="1"/>
  <c r="Y102" i="9"/>
  <c r="X132" i="26"/>
  <c r="Y130" i="26" l="1"/>
  <c r="AW147" i="6"/>
  <c r="AW149" i="6" s="1"/>
  <c r="AW150" i="6"/>
  <c r="AX149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BE172" i="6"/>
  <c r="BF173" i="6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X130" i="26" l="1"/>
  <c r="Z6" i="35"/>
  <c r="Z7" i="35"/>
  <c r="BI22" i="59"/>
  <c r="Y6" i="35"/>
  <c r="Y7" i="35"/>
  <c r="Y6" i="6" s="1"/>
  <c r="R16" i="49"/>
  <c r="V16" i="49" s="1"/>
  <c r="AB16" i="49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47" i="6"/>
  <c r="BE175" i="6"/>
  <c r="BE173" i="6"/>
  <c r="BF172" i="6"/>
  <c r="BF175" i="6"/>
  <c r="Z215" i="6"/>
  <c r="Z9" i="36" s="1"/>
  <c r="BA15" i="59"/>
  <c r="E13" i="49"/>
  <c r="Z8" i="35" l="1"/>
  <c r="BF174" i="6"/>
  <c r="BH22" i="59"/>
  <c r="Y8" i="35"/>
  <c r="Y5" i="6"/>
  <c r="Y7" i="6" s="1"/>
  <c r="AX8" i="36"/>
  <c r="BA9" i="59" s="1"/>
  <c r="J19" i="49"/>
  <c r="N19" i="49"/>
  <c r="BE174" i="6"/>
  <c r="Z220" i="6"/>
  <c r="BF149" i="6"/>
  <c r="BF7" i="36" s="1"/>
  <c r="BI8" i="59" s="1"/>
  <c r="BI15" i="59"/>
  <c r="BE150" i="6"/>
  <c r="BE148" i="6"/>
  <c r="AX7" i="36"/>
  <c r="BA8" i="59" s="1"/>
  <c r="H6" i="59"/>
  <c r="BP33" i="35"/>
  <c r="BQ33" i="35"/>
  <c r="BP36" i="35"/>
  <c r="BQ36" i="35"/>
  <c r="BQ48" i="35" s="1"/>
  <c r="BQ49" i="35" s="1"/>
  <c r="BF8" i="36" l="1"/>
  <c r="BI9" i="59" s="1"/>
  <c r="R19" i="49"/>
  <c r="V19" i="49" s="1"/>
  <c r="AB19" i="49"/>
  <c r="BE149" i="6"/>
  <c r="BH15" i="59"/>
  <c r="BP37" i="35"/>
  <c r="BQ37" i="35"/>
  <c r="BO55" i="35" s="1"/>
  <c r="BN55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1" i="8" l="1"/>
  <c r="T1" i="7" l="1"/>
  <c r="T78" i="7" s="1"/>
  <c r="S1" i="7"/>
  <c r="S78" i="7" s="1"/>
  <c r="E43" i="36" l="1"/>
  <c r="E45" i="36" s="1"/>
  <c r="E46" i="36"/>
  <c r="E40" i="36"/>
  <c r="E42" i="36" s="1"/>
  <c r="Y16" i="6" l="1"/>
  <c r="Y15" i="6"/>
  <c r="Z94" i="8" l="1"/>
  <c r="AB94" i="8" l="1"/>
  <c r="AF94" i="8" s="1"/>
  <c r="AJ94" i="8" s="1"/>
  <c r="J17" i="35"/>
  <c r="J14" i="36" s="1"/>
  <c r="M41" i="59" s="1"/>
  <c r="AP94" i="8" l="1"/>
  <c r="I90" i="17"/>
  <c r="M90" i="17" s="1"/>
  <c r="Q90" i="17" s="1"/>
  <c r="I89" i="17"/>
  <c r="M89" i="17" s="1"/>
  <c r="Q89" i="17" s="1"/>
  <c r="U89" i="17" s="1"/>
  <c r="AT94" i="8" l="1"/>
  <c r="U90" i="17"/>
  <c r="AA89" i="17"/>
  <c r="AE89" i="17" s="1"/>
  <c r="AI89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78" i="7" s="1"/>
  <c r="L1" i="7"/>
  <c r="L78" i="7" s="1"/>
  <c r="O1" i="7"/>
  <c r="O78" i="7" s="1"/>
  <c r="P1" i="7"/>
  <c r="P78" i="7" s="1"/>
  <c r="F1" i="7"/>
  <c r="F78" i="7" s="1"/>
  <c r="G1" i="7"/>
  <c r="G78" i="7" s="1"/>
  <c r="H1" i="7"/>
  <c r="H78" i="7" s="1"/>
  <c r="E1" i="7"/>
  <c r="E78" i="7" s="1"/>
  <c r="AX94" i="8" l="1"/>
  <c r="BF94" i="8" s="1"/>
  <c r="Y90" i="17"/>
  <c r="AA90" i="17" s="1"/>
  <c r="AE90" i="17" s="1"/>
  <c r="AO89" i="17"/>
  <c r="Q46" i="17"/>
  <c r="U46" i="17" s="1"/>
  <c r="AA46" i="17"/>
  <c r="AE46" i="17" s="1"/>
  <c r="AI46" i="17" s="1"/>
  <c r="AI50" i="17" s="1"/>
  <c r="Z1" i="7"/>
  <c r="Z78" i="7" s="1"/>
  <c r="Y1" i="7"/>
  <c r="Y78" i="7" s="1"/>
  <c r="Q40" i="17"/>
  <c r="U40" i="17" s="1"/>
  <c r="Q38" i="17"/>
  <c r="U38" i="17" s="1"/>
  <c r="Q48" i="17"/>
  <c r="U48" i="17" s="1"/>
  <c r="AS89" i="17" l="1"/>
  <c r="AW89" i="17" s="1"/>
  <c r="BE89" i="17" s="1"/>
  <c r="AI114" i="17"/>
  <c r="AI118" i="17" s="1"/>
  <c r="AI54" i="17"/>
  <c r="AI90" i="17"/>
  <c r="AO90" i="17" s="1"/>
  <c r="AS90" i="17" s="1"/>
  <c r="AW90" i="17" s="1"/>
  <c r="AO46" i="17"/>
  <c r="AS46" i="17" s="1"/>
  <c r="AE50" i="17"/>
  <c r="AM90" i="17" l="1"/>
  <c r="AW46" i="17"/>
  <c r="AW50" i="17" s="1"/>
  <c r="AS50" i="17"/>
  <c r="BE90" i="17"/>
  <c r="BA90" i="17"/>
  <c r="BC90" i="17" s="1"/>
  <c r="BE46" i="17"/>
  <c r="AO50" i="17"/>
  <c r="AE114" i="17"/>
  <c r="AE118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5" i="8"/>
  <c r="J94" i="8"/>
  <c r="Z62" i="8"/>
  <c r="AB62" i="8" s="1"/>
  <c r="AF62" i="8" s="1"/>
  <c r="Z61" i="8"/>
  <c r="Z59" i="8"/>
  <c r="AS114" i="17" l="1"/>
  <c r="AS118" i="17" s="1"/>
  <c r="AS54" i="17"/>
  <c r="AW114" i="17"/>
  <c r="AW118" i="17" s="1"/>
  <c r="AW54" i="17"/>
  <c r="AJ62" i="8"/>
  <c r="AP62" i="8" s="1"/>
  <c r="AT62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1" i="8"/>
  <c r="AF61" i="8" s="1"/>
  <c r="BE50" i="17"/>
  <c r="AE25" i="9"/>
  <c r="AE88" i="9" s="1"/>
  <c r="AO68" i="9"/>
  <c r="AO70" i="9"/>
  <c r="AO69" i="9"/>
  <c r="AO65" i="9"/>
  <c r="AO67" i="9"/>
  <c r="AO63" i="9"/>
  <c r="AO66" i="9"/>
  <c r="AO54" i="17"/>
  <c r="AO114" i="17"/>
  <c r="AO118" i="17" s="1"/>
  <c r="AE96" i="9"/>
  <c r="AE75" i="9"/>
  <c r="AE76" i="9"/>
  <c r="AE94" i="9"/>
  <c r="AD18" i="15" s="1"/>
  <c r="AE93" i="9"/>
  <c r="Y81" i="9"/>
  <c r="Y80" i="9"/>
  <c r="Y86" i="9"/>
  <c r="Y83" i="9"/>
  <c r="Y85" i="9"/>
  <c r="Y84" i="9"/>
  <c r="Y82" i="9"/>
  <c r="Y87" i="9"/>
  <c r="AB59" i="8"/>
  <c r="AF59" i="8" s="1"/>
  <c r="AJ59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5" i="8"/>
  <c r="Z10" i="49" s="1"/>
  <c r="Z12" i="49" s="1"/>
  <c r="Z69" i="8"/>
  <c r="Z19" i="9"/>
  <c r="Z90" i="9" s="1"/>
  <c r="Z99" i="9"/>
  <c r="Z14" i="9"/>
  <c r="AB14" i="9" s="1"/>
  <c r="AF14" i="9" s="1"/>
  <c r="AW27" i="9" l="1"/>
  <c r="BE27" i="9" s="1"/>
  <c r="AX27" i="9"/>
  <c r="BF27" i="9" s="1"/>
  <c r="AX62" i="8"/>
  <c r="BF62" i="8" s="1"/>
  <c r="AJ61" i="8"/>
  <c r="AI85" i="9"/>
  <c r="AI84" i="9"/>
  <c r="AO24" i="9"/>
  <c r="AS24" i="9" s="1"/>
  <c r="AI86" i="9"/>
  <c r="AI83" i="9"/>
  <c r="AI52" i="9"/>
  <c r="AI7" i="9" s="1"/>
  <c r="AI53" i="9"/>
  <c r="AI93" i="9"/>
  <c r="AI94" i="9"/>
  <c r="AH18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4" i="17"/>
  <c r="BE118" i="17" s="1"/>
  <c r="BE54" i="17"/>
  <c r="AO47" i="9"/>
  <c r="AO83" i="9" s="1"/>
  <c r="AP59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5" i="8"/>
  <c r="AF65" i="8" s="1"/>
  <c r="AJ65" i="8" s="1"/>
  <c r="AJ72" i="8" s="1"/>
  <c r="Z56" i="8"/>
  <c r="N46" i="8"/>
  <c r="Q47" i="59" s="1"/>
  <c r="AB19" i="9"/>
  <c r="AF19" i="9" s="1"/>
  <c r="AJ19" i="9" s="1"/>
  <c r="AJ90" i="9" s="1"/>
  <c r="AJ91" i="9" s="1"/>
  <c r="Z100" i="9"/>
  <c r="AB99" i="9"/>
  <c r="AF99" i="9" s="1"/>
  <c r="AJ99" i="9" s="1"/>
  <c r="AJ100" i="9" s="1"/>
  <c r="Z74" i="8"/>
  <c r="AB69" i="8"/>
  <c r="AF69" i="8" s="1"/>
  <c r="AJ69" i="8" s="1"/>
  <c r="AJ74" i="8" s="1"/>
  <c r="AA55" i="9"/>
  <c r="AE55" i="9" s="1"/>
  <c r="AI55" i="9" s="1"/>
  <c r="AI72" i="9" s="1"/>
  <c r="R6" i="8"/>
  <c r="V6" i="8" s="1"/>
  <c r="N49" i="8"/>
  <c r="E6" i="26"/>
  <c r="N50" i="8"/>
  <c r="N83" i="8"/>
  <c r="Q50" i="59" s="1"/>
  <c r="N84" i="8"/>
  <c r="Q51" i="59" s="1"/>
  <c r="N90" i="8"/>
  <c r="Z72" i="8"/>
  <c r="Z63" i="8"/>
  <c r="M2" i="26" l="1"/>
  <c r="M2" i="17"/>
  <c r="AX14" i="9"/>
  <c r="BF14" i="9" s="1"/>
  <c r="AW24" i="9"/>
  <c r="BE24" i="9" s="1"/>
  <c r="AP61" i="8"/>
  <c r="AT61" i="8" s="1"/>
  <c r="AS92" i="9"/>
  <c r="AW92" i="9" s="1"/>
  <c r="AO94" i="9"/>
  <c r="AN18" i="15" s="1"/>
  <c r="AO93" i="9"/>
  <c r="V86" i="8"/>
  <c r="V46" i="8"/>
  <c r="Y47" i="59" s="1"/>
  <c r="V45" i="8"/>
  <c r="V43" i="8"/>
  <c r="Y46" i="59" s="1"/>
  <c r="V44" i="8"/>
  <c r="Y48" i="59" s="1"/>
  <c r="V47" i="8"/>
  <c r="V41" i="8"/>
  <c r="V40" i="8"/>
  <c r="V82" i="8"/>
  <c r="Y52" i="59" s="1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9" i="8"/>
  <c r="AF74" i="8"/>
  <c r="AF39" i="36"/>
  <c r="AF17" i="36" s="1"/>
  <c r="AF18" i="36" s="1"/>
  <c r="AF90" i="9"/>
  <c r="AF91" i="9" s="1"/>
  <c r="AP65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2" i="8"/>
  <c r="Z67" i="8"/>
  <c r="AB56" i="8"/>
  <c r="AF56" i="8" s="1"/>
  <c r="AB63" i="8"/>
  <c r="AF63" i="8" s="1"/>
  <c r="AJ63" i="8" s="1"/>
  <c r="AJ71" i="8" s="1"/>
  <c r="Z71" i="8"/>
  <c r="R46" i="8"/>
  <c r="U47" i="59" s="1"/>
  <c r="R90" i="8"/>
  <c r="V90" i="8" s="1"/>
  <c r="R83" i="8"/>
  <c r="V83" i="8" s="1"/>
  <c r="R84" i="8"/>
  <c r="V84" i="8" s="1"/>
  <c r="R49" i="8"/>
  <c r="R86" i="8"/>
  <c r="R44" i="8"/>
  <c r="U48" i="59" s="1"/>
  <c r="R47" i="8"/>
  <c r="R40" i="8"/>
  <c r="R39" i="8"/>
  <c r="R43" i="8"/>
  <c r="U46" i="59" s="1"/>
  <c r="R41" i="8"/>
  <c r="R45" i="8"/>
  <c r="R82" i="8"/>
  <c r="M6" i="26"/>
  <c r="R50" i="8"/>
  <c r="Z70" i="8"/>
  <c r="AC62" i="59"/>
  <c r="Z52" i="9"/>
  <c r="AC58" i="59" s="1"/>
  <c r="Z53" i="9"/>
  <c r="AC61" i="59"/>
  <c r="Z192" i="6"/>
  <c r="Z191" i="6"/>
  <c r="Z166" i="6"/>
  <c r="AW25" i="9" l="1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8" i="15" s="1"/>
  <c r="AW93" i="9"/>
  <c r="AW86" i="9"/>
  <c r="AX59" i="8"/>
  <c r="AX61" i="8"/>
  <c r="BF61" i="8" s="1"/>
  <c r="AJ56" i="8"/>
  <c r="AP56" i="8" s="1"/>
  <c r="AT56" i="8" s="1"/>
  <c r="AJ70" i="8"/>
  <c r="AS93" i="9"/>
  <c r="AS94" i="9"/>
  <c r="AR18" i="15" s="1"/>
  <c r="V42" i="8"/>
  <c r="V50" i="8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3" i="8"/>
  <c r="AS83" i="9"/>
  <c r="AS87" i="9"/>
  <c r="AV61" i="59" s="1"/>
  <c r="AS53" i="9"/>
  <c r="AS82" i="9"/>
  <c r="AV62" i="59" s="1"/>
  <c r="AP72" i="8"/>
  <c r="AT65" i="8"/>
  <c r="AP19" i="9"/>
  <c r="AJ39" i="36"/>
  <c r="AT64" i="9"/>
  <c r="AX64" i="9" s="1"/>
  <c r="AX81" i="9" s="1"/>
  <c r="AP81" i="9"/>
  <c r="AP69" i="8"/>
  <c r="AO55" i="9"/>
  <c r="AP99" i="9"/>
  <c r="AF70" i="8"/>
  <c r="AF71" i="8"/>
  <c r="Z73" i="8"/>
  <c r="AB67" i="8"/>
  <c r="AF67" i="8" s="1"/>
  <c r="AJ67" i="8" s="1"/>
  <c r="AJ73" i="8" s="1"/>
  <c r="U51" i="59"/>
  <c r="Y51" i="59"/>
  <c r="U50" i="59"/>
  <c r="Y50" i="59"/>
  <c r="R42" i="8"/>
  <c r="U2" i="26" l="1"/>
  <c r="U2" i="17"/>
  <c r="AX56" i="8"/>
  <c r="BF56" i="8" s="1"/>
  <c r="AX65" i="8"/>
  <c r="AX72" i="8" s="1"/>
  <c r="BF59" i="8"/>
  <c r="BE92" i="9"/>
  <c r="AR58" i="59"/>
  <c r="BE47" i="9"/>
  <c r="AZ62" i="59"/>
  <c r="AZ61" i="59"/>
  <c r="AS52" i="9"/>
  <c r="AS7" i="9" s="1"/>
  <c r="BE22" i="9"/>
  <c r="BE25" i="9" s="1"/>
  <c r="BE88" i="9" s="1"/>
  <c r="BE58" i="9"/>
  <c r="BE75" i="9" s="1"/>
  <c r="AT96" i="9"/>
  <c r="BE95" i="9"/>
  <c r="BE96" i="9" s="1"/>
  <c r="BE59" i="9"/>
  <c r="BE76" i="9" s="1"/>
  <c r="AT81" i="9"/>
  <c r="AT19" i="9"/>
  <c r="AX19" i="9" s="1"/>
  <c r="AX90" i="9" s="1"/>
  <c r="AX91" i="9" s="1"/>
  <c r="AP39" i="36"/>
  <c r="AP17" i="36" s="1"/>
  <c r="AP90" i="9"/>
  <c r="AP91" i="9" s="1"/>
  <c r="AP67" i="8"/>
  <c r="AP100" i="9"/>
  <c r="AT99" i="9"/>
  <c r="AX99" i="9" s="1"/>
  <c r="AX100" i="9" s="1"/>
  <c r="AT69" i="8"/>
  <c r="AX69" i="8" s="1"/>
  <c r="AX74" i="8" s="1"/>
  <c r="AP74" i="8"/>
  <c r="AT72" i="8"/>
  <c r="AT63" i="8"/>
  <c r="AP70" i="8"/>
  <c r="AP71" i="8"/>
  <c r="AO72" i="9"/>
  <c r="AS55" i="9"/>
  <c r="AW55" i="9" s="1"/>
  <c r="AW72" i="9" s="1"/>
  <c r="AF73" i="8"/>
  <c r="AB73" i="8"/>
  <c r="BF65" i="8" l="1"/>
  <c r="BF72" i="8" s="1"/>
  <c r="AX63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BF90" i="9" s="1"/>
  <c r="BF91" i="9" s="1"/>
  <c r="AX39" i="36"/>
  <c r="AX17" i="36" s="1"/>
  <c r="BA55" i="59" s="1"/>
  <c r="AS72" i="9"/>
  <c r="AT100" i="9"/>
  <c r="AT74" i="8"/>
  <c r="AT39" i="36"/>
  <c r="AT17" i="36" s="1"/>
  <c r="AT90" i="9"/>
  <c r="AT91" i="9" s="1"/>
  <c r="AT67" i="8"/>
  <c r="AX67" i="8" s="1"/>
  <c r="AX73" i="8" s="1"/>
  <c r="AP73" i="8"/>
  <c r="AT70" i="8"/>
  <c r="AT71" i="8"/>
  <c r="AS55" i="59"/>
  <c r="AP18" i="36"/>
  <c r="AS56" i="59" s="1"/>
  <c r="J70" i="11"/>
  <c r="J68" i="11"/>
  <c r="I69" i="59"/>
  <c r="AX70" i="8" l="1"/>
  <c r="AX71" i="8"/>
  <c r="BF63" i="8"/>
  <c r="BE7" i="9"/>
  <c r="BH58" i="59"/>
  <c r="AX18" i="36"/>
  <c r="BA56" i="59" s="1"/>
  <c r="BE55" i="9"/>
  <c r="BE72" i="9" s="1"/>
  <c r="BF100" i="9"/>
  <c r="BF69" i="8"/>
  <c r="BF74" i="8" s="1"/>
  <c r="AT73" i="8"/>
  <c r="AW55" i="59"/>
  <c r="AT18" i="36"/>
  <c r="AW56" i="59" s="1"/>
  <c r="R70" i="11"/>
  <c r="V70" i="11" s="1"/>
  <c r="AB70" i="11"/>
  <c r="AF70" i="11" s="1"/>
  <c r="J66" i="11"/>
  <c r="R68" i="11"/>
  <c r="V68" i="11" s="1"/>
  <c r="J69" i="11"/>
  <c r="M69" i="59" s="1"/>
  <c r="BF70" i="8" l="1"/>
  <c r="BF71" i="8"/>
  <c r="AJ70" i="11"/>
  <c r="V69" i="11"/>
  <c r="Y69" i="59" s="1"/>
  <c r="V71" i="11"/>
  <c r="V79" i="11"/>
  <c r="Y70" i="59" s="1"/>
  <c r="BF67" i="8"/>
  <c r="BF73" i="8" s="1"/>
  <c r="AF79" i="11"/>
  <c r="AI70" i="59" s="1"/>
  <c r="AB79" i="11"/>
  <c r="AE70" i="59" s="1"/>
  <c r="R71" i="11"/>
  <c r="R69" i="11"/>
  <c r="U69" i="59" s="1"/>
  <c r="J67" i="11"/>
  <c r="AB66" i="11"/>
  <c r="AF66" i="11" s="1"/>
  <c r="AJ79" i="11" l="1"/>
  <c r="AM70" i="59" s="1"/>
  <c r="AJ66" i="11"/>
  <c r="AP66" i="11" s="1"/>
  <c r="AT66" i="11" s="1"/>
  <c r="AP70" i="11"/>
  <c r="Z71" i="11"/>
  <c r="Z69" i="11"/>
  <c r="AC69" i="59" s="1"/>
  <c r="Z67" i="11"/>
  <c r="AB68" i="11"/>
  <c r="AF68" i="11" s="1"/>
  <c r="R66" i="11"/>
  <c r="V66" i="11" s="1"/>
  <c r="V67" i="11" s="1"/>
  <c r="J169" i="10"/>
  <c r="J167" i="10"/>
  <c r="J165" i="10"/>
  <c r="AX66" i="11" l="1"/>
  <c r="BF66" i="11" s="1"/>
  <c r="AT70" i="11"/>
  <c r="AX70" i="11" s="1"/>
  <c r="AP79" i="11"/>
  <c r="AS70" i="59" s="1"/>
  <c r="AJ68" i="11"/>
  <c r="AP68" i="11" s="1"/>
  <c r="AB67" i="11"/>
  <c r="AF67" i="11"/>
  <c r="AF69" i="11"/>
  <c r="AI69" i="59" s="1"/>
  <c r="AF71" i="11"/>
  <c r="AB71" i="11"/>
  <c r="AB69" i="11"/>
  <c r="AE69" i="59" s="1"/>
  <c r="R169" i="10"/>
  <c r="V169" i="10" s="1"/>
  <c r="R167" i="10"/>
  <c r="V167" i="10" s="1"/>
  <c r="R67" i="11"/>
  <c r="J166" i="10"/>
  <c r="J168" i="10"/>
  <c r="M65" i="59" s="1"/>
  <c r="AX79" i="11" l="1"/>
  <c r="AT68" i="11"/>
  <c r="AX68" i="11" s="1"/>
  <c r="AX67" i="11" s="1"/>
  <c r="AP71" i="11"/>
  <c r="AP69" i="11"/>
  <c r="AS69" i="59" s="1"/>
  <c r="AP67" i="11"/>
  <c r="AJ67" i="11"/>
  <c r="AJ69" i="11"/>
  <c r="AM69" i="59" s="1"/>
  <c r="AJ71" i="11"/>
  <c r="AT79" i="11"/>
  <c r="AW70" i="59" s="1"/>
  <c r="V170" i="10"/>
  <c r="V168" i="10"/>
  <c r="Y65" i="59" s="1"/>
  <c r="V178" i="10"/>
  <c r="Y66" i="59" s="1"/>
  <c r="R178" i="10"/>
  <c r="R165" i="10"/>
  <c r="V165" i="10" s="1"/>
  <c r="V166" i="10" s="1"/>
  <c r="AB165" i="10"/>
  <c r="AF165" i="10" s="1"/>
  <c r="AJ165" i="10" s="1"/>
  <c r="AJ166" i="10" s="1"/>
  <c r="AB168" i="10"/>
  <c r="AE65" i="59" s="1"/>
  <c r="AB170" i="10"/>
  <c r="R168" i="10"/>
  <c r="U65" i="59" s="1"/>
  <c r="R170" i="10"/>
  <c r="AX69" i="11" l="1"/>
  <c r="AX71" i="11"/>
  <c r="BF70" i="11"/>
  <c r="BA70" i="59"/>
  <c r="AT69" i="11"/>
  <c r="AW69" i="59" s="1"/>
  <c r="AT67" i="11"/>
  <c r="AT71" i="11"/>
  <c r="AF166" i="10"/>
  <c r="R166" i="10"/>
  <c r="AB166" i="10"/>
  <c r="BF68" i="11" l="1"/>
  <c r="BF67" i="11" s="1"/>
  <c r="BA69" i="59"/>
  <c r="BF79" i="11"/>
  <c r="BI70" i="59" s="1"/>
  <c r="BF71" i="11"/>
  <c r="BF69" i="11"/>
  <c r="BI69" i="59" s="1"/>
  <c r="AP165" i="10"/>
  <c r="I38" i="27"/>
  <c r="Q38" i="27" s="1"/>
  <c r="U38" i="27" s="1"/>
  <c r="H38" i="27"/>
  <c r="P38" i="27" s="1"/>
  <c r="T38" i="27" s="1"/>
  <c r="I23" i="27"/>
  <c r="H23" i="27"/>
  <c r="P23" i="27" s="1"/>
  <c r="T23" i="27" s="1"/>
  <c r="AT165" i="10" l="1"/>
  <c r="AX165" i="10" s="1"/>
  <c r="AX166" i="10" s="1"/>
  <c r="AP166" i="10"/>
  <c r="Z23" i="27"/>
  <c r="AD23" i="27" s="1"/>
  <c r="Q23" i="27"/>
  <c r="U23" i="27" s="1"/>
  <c r="AH23" i="27" l="1"/>
  <c r="AN23" i="27" s="1"/>
  <c r="AR23" i="27" s="1"/>
  <c r="AT166" i="10"/>
  <c r="AA23" i="27"/>
  <c r="AE23" i="27" s="1"/>
  <c r="AV23" i="27" l="1"/>
  <c r="BD23" i="27" s="1"/>
  <c r="AI23" i="27"/>
  <c r="AO23" i="27" s="1"/>
  <c r="AS23" i="27" s="1"/>
  <c r="BF165" i="10"/>
  <c r="BF166" i="10" s="1"/>
  <c r="J16" i="9"/>
  <c r="J17" i="9"/>
  <c r="AW23" i="27" l="1"/>
  <c r="BE23" i="27" s="1"/>
  <c r="Z82" i="7"/>
  <c r="Z83" i="7" l="1"/>
  <c r="AC36" i="59" s="1"/>
  <c r="AB82" i="7"/>
  <c r="AF82" i="7" s="1"/>
  <c r="AJ82" i="7" s="1"/>
  <c r="AJ83" i="7" s="1"/>
  <c r="Z138" i="45"/>
  <c r="Z139" i="45" s="1"/>
  <c r="AF83" i="7" l="1"/>
  <c r="AI36" i="59" s="1"/>
  <c r="Y99" i="9"/>
  <c r="AP82" i="7" l="1"/>
  <c r="AM36" i="59"/>
  <c r="Y100" i="9"/>
  <c r="AA99" i="9"/>
  <c r="AE99" i="9" s="1"/>
  <c r="AI99" i="9" s="1"/>
  <c r="AI100" i="9" s="1"/>
  <c r="AP83" i="7" l="1"/>
  <c r="AS36" i="59" s="1"/>
  <c r="AT82" i="7"/>
  <c r="AX82" i="7" s="1"/>
  <c r="AX83" i="7" s="1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A18" i="6" l="1"/>
  <c r="AE18" i="6" s="1"/>
  <c r="AI18" i="6" s="1"/>
  <c r="AO18" i="6" s="1"/>
  <c r="Y195" i="6"/>
  <c r="AA195" i="6" s="1"/>
  <c r="AE195" i="6" s="1"/>
  <c r="AI195" i="6" s="1"/>
  <c r="AO195" i="6" s="1"/>
  <c r="AW28" i="6"/>
  <c r="AW24" i="6"/>
  <c r="AW25" i="6"/>
  <c r="BE25" i="6" s="1"/>
  <c r="AA17" i="6"/>
  <c r="AE17" i="6" s="1"/>
  <c r="AI17" i="6" s="1"/>
  <c r="AO17" i="6" s="1"/>
  <c r="AS17" i="6" s="1"/>
  <c r="Y169" i="6"/>
  <c r="AW31" i="6"/>
  <c r="BE31" i="6" s="1"/>
  <c r="AS18" i="6"/>
  <c r="AS194" i="6" s="1"/>
  <c r="AT83" i="7"/>
  <c r="AW36" i="59" s="1"/>
  <c r="AS26" i="6"/>
  <c r="AO29" i="6"/>
  <c r="AS27" i="6"/>
  <c r="AW27" i="6" s="1"/>
  <c r="AI32" i="6"/>
  <c r="AO30" i="6"/>
  <c r="AO194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AS195" i="6" l="1"/>
  <c r="AO168" i="6"/>
  <c r="AE168" i="6"/>
  <c r="AW26" i="6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AS163" i="6"/>
  <c r="AS168" i="6"/>
  <c r="BE24" i="6"/>
  <c r="BE26" i="6" s="1"/>
  <c r="AW34" i="6"/>
  <c r="BE34" i="6" s="1"/>
  <c r="AW29" i="6"/>
  <c r="AW18" i="6"/>
  <c r="AW195" i="6" s="1"/>
  <c r="BE28" i="6"/>
  <c r="AW33" i="6"/>
  <c r="AO19" i="6"/>
  <c r="AO84" i="6" s="1"/>
  <c r="AS19" i="6"/>
  <c r="AS84" i="6" s="1"/>
  <c r="AS188" i="6"/>
  <c r="Y84" i="8"/>
  <c r="Y83" i="8"/>
  <c r="BA36" i="59"/>
  <c r="BF82" i="7"/>
  <c r="BF83" i="7" s="1"/>
  <c r="BI36" i="59" s="1"/>
  <c r="AS29" i="6"/>
  <c r="AI81" i="6"/>
  <c r="AS35" i="6"/>
  <c r="AO100" i="9"/>
  <c r="AS99" i="9"/>
  <c r="AW99" i="9" s="1"/>
  <c r="AW100" i="9" s="1"/>
  <c r="AO32" i="6"/>
  <c r="AS30" i="6"/>
  <c r="AW30" i="6" s="1"/>
  <c r="AW32" i="6" s="1"/>
  <c r="AO35" i="6"/>
  <c r="AI35" i="6"/>
  <c r="AE35" i="6"/>
  <c r="Y6" i="49"/>
  <c r="Y46" i="8"/>
  <c r="AB47" i="59" s="1"/>
  <c r="E30" i="8"/>
  <c r="M30" i="8" s="1"/>
  <c r="AA30" i="8" s="1"/>
  <c r="AE30" i="8" s="1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M83" i="8" s="1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AE81" i="6" l="1"/>
  <c r="AS81" i="6"/>
  <c r="AW35" i="6"/>
  <c r="BE18" i="6"/>
  <c r="BE195" i="6" s="1"/>
  <c r="BE194" i="6"/>
  <c r="AW21" i="6"/>
  <c r="BE21" i="6" s="1"/>
  <c r="BE33" i="6"/>
  <c r="BE35" i="6" s="1"/>
  <c r="AW169" i="6"/>
  <c r="AW19" i="6"/>
  <c r="AW81" i="6" s="1"/>
  <c r="AW163" i="6"/>
  <c r="AW168" i="6"/>
  <c r="AO81" i="6"/>
  <c r="AW188" i="6"/>
  <c r="AW194" i="6"/>
  <c r="BE17" i="6"/>
  <c r="AI30" i="8"/>
  <c r="P50" i="59"/>
  <c r="AB50" i="59"/>
  <c r="AB51" i="59"/>
  <c r="M84" i="8"/>
  <c r="BE27" i="6"/>
  <c r="BE29" i="6" s="1"/>
  <c r="AS32" i="6"/>
  <c r="AS100" i="9"/>
  <c r="AE23" i="6"/>
  <c r="AI22" i="6"/>
  <c r="AO22" i="6" s="1"/>
  <c r="AE16" i="8"/>
  <c r="M6" i="49"/>
  <c r="Q6" i="49" s="1"/>
  <c r="U6" i="49" s="1"/>
  <c r="AA6" i="8"/>
  <c r="AE6" i="8" s="1"/>
  <c r="Z6" i="49"/>
  <c r="Z90" i="8"/>
  <c r="AB6" i="8"/>
  <c r="AF6" i="8" s="1"/>
  <c r="Z46" i="8"/>
  <c r="AC47" i="59" s="1"/>
  <c r="E67" i="8"/>
  <c r="I30" i="8"/>
  <c r="M90" i="8"/>
  <c r="Q6" i="8"/>
  <c r="U6" i="8" s="1"/>
  <c r="Y47" i="8"/>
  <c r="Z41" i="8"/>
  <c r="Z40" i="8"/>
  <c r="Z39" i="8"/>
  <c r="Z82" i="8"/>
  <c r="AC52" i="59" s="1"/>
  <c r="Z44" i="8"/>
  <c r="AC48" i="59" s="1"/>
  <c r="Z47" i="8"/>
  <c r="Z43" i="8"/>
  <c r="AC46" i="59" s="1"/>
  <c r="Z45" i="8"/>
  <c r="Z86" i="8"/>
  <c r="Z49" i="8"/>
  <c r="Y49" i="8"/>
  <c r="Y82" i="8"/>
  <c r="AB52" i="59" s="1"/>
  <c r="Y50" i="8"/>
  <c r="Z83" i="8"/>
  <c r="Z84" i="8"/>
  <c r="Y90" i="8"/>
  <c r="Z50" i="8"/>
  <c r="Y59" i="8"/>
  <c r="Y69" i="8"/>
  <c r="Y45" i="8"/>
  <c r="Y78" i="8" l="1"/>
  <c r="X2" i="26"/>
  <c r="X2" i="17"/>
  <c r="Y2" i="26"/>
  <c r="Y2" i="17"/>
  <c r="BE169" i="6"/>
  <c r="AW84" i="6"/>
  <c r="BE188" i="6"/>
  <c r="BE163" i="6"/>
  <c r="BE168" i="6"/>
  <c r="BE19" i="6"/>
  <c r="BE84" i="6" s="1"/>
  <c r="AI6" i="8"/>
  <c r="AI46" i="8" s="1"/>
  <c r="AL47" i="59" s="1"/>
  <c r="AJ6" i="8"/>
  <c r="AO30" i="8"/>
  <c r="AS30" i="8" s="1"/>
  <c r="P51" i="59"/>
  <c r="Q84" i="8"/>
  <c r="U82" i="8"/>
  <c r="Q83" i="8"/>
  <c r="AA84" i="8"/>
  <c r="AA83" i="8"/>
  <c r="AC49" i="59"/>
  <c r="M67" i="8"/>
  <c r="AA67" i="8" s="1"/>
  <c r="AE67" i="8" s="1"/>
  <c r="I67" i="8"/>
  <c r="I37" i="8" s="1"/>
  <c r="BE30" i="6"/>
  <c r="BE32" i="6" s="1"/>
  <c r="BE100" i="9"/>
  <c r="AI23" i="6"/>
  <c r="AO23" i="6"/>
  <c r="AS22" i="6"/>
  <c r="AW22" i="6" s="1"/>
  <c r="AW23" i="6" s="1"/>
  <c r="AO13" i="8"/>
  <c r="AE92" i="8"/>
  <c r="AE82" i="8"/>
  <c r="AH52" i="59" s="1"/>
  <c r="AF47" i="8"/>
  <c r="AF41" i="8"/>
  <c r="AF43" i="8"/>
  <c r="AI46" i="59" s="1"/>
  <c r="AF45" i="8"/>
  <c r="AF46" i="8"/>
  <c r="AI47" i="59" s="1"/>
  <c r="AF40" i="8"/>
  <c r="AF82" i="8"/>
  <c r="AI52" i="59" s="1"/>
  <c r="AF44" i="8"/>
  <c r="AI48" i="59" s="1"/>
  <c r="AF92" i="8"/>
  <c r="AF86" i="8"/>
  <c r="AF39" i="8"/>
  <c r="AE46" i="8"/>
  <c r="AH47" i="59" s="1"/>
  <c r="AA90" i="8"/>
  <c r="AE90" i="8" s="1"/>
  <c r="AB90" i="8"/>
  <c r="AF90" i="8" s="1"/>
  <c r="AB49" i="8"/>
  <c r="Y44" i="8"/>
  <c r="AB48" i="59" s="1"/>
  <c r="Y43" i="8"/>
  <c r="AB46" i="59" s="1"/>
  <c r="E37" i="8"/>
  <c r="M37" i="8" s="1"/>
  <c r="AA37" i="8" s="1"/>
  <c r="AE37" i="8" s="1"/>
  <c r="Q30" i="8"/>
  <c r="U30" i="8" s="1"/>
  <c r="U46" i="8" s="1"/>
  <c r="M46" i="8"/>
  <c r="P47" i="59" s="1"/>
  <c r="P49" i="59" s="1"/>
  <c r="AB84" i="8"/>
  <c r="AC51" i="59"/>
  <c r="AB83" i="8"/>
  <c r="AC50" i="59"/>
  <c r="AB50" i="8"/>
  <c r="Z78" i="8"/>
  <c r="Q82" i="8"/>
  <c r="Q90" i="8"/>
  <c r="U90" i="8" s="1"/>
  <c r="Y6" i="26"/>
  <c r="Y74" i="8"/>
  <c r="Z42" i="8"/>
  <c r="AW30" i="8" l="1"/>
  <c r="AF14" i="36"/>
  <c r="AI41" i="59" s="1"/>
  <c r="AA2" i="17"/>
  <c r="AA2" i="26"/>
  <c r="BE81" i="6"/>
  <c r="Q67" i="8"/>
  <c r="U67" i="8" s="1"/>
  <c r="AI37" i="8"/>
  <c r="AO37" i="8" s="1"/>
  <c r="AS37" i="8" s="1"/>
  <c r="AJ90" i="8"/>
  <c r="AJ46" i="8"/>
  <c r="AM47" i="59" s="1"/>
  <c r="AJ86" i="8"/>
  <c r="AJ43" i="8"/>
  <c r="AM46" i="59" s="1"/>
  <c r="AJ82" i="8"/>
  <c r="AM52" i="59" s="1"/>
  <c r="AJ39" i="8"/>
  <c r="AJ44" i="8"/>
  <c r="AM48" i="59" s="1"/>
  <c r="AJ41" i="8"/>
  <c r="AJ47" i="8"/>
  <c r="AJ40" i="8"/>
  <c r="AJ45" i="8"/>
  <c r="AJ92" i="8"/>
  <c r="AP6" i="8"/>
  <c r="AI67" i="8"/>
  <c r="AO67" i="8" s="1"/>
  <c r="AS67" i="8" s="1"/>
  <c r="AI90" i="8"/>
  <c r="AI82" i="8"/>
  <c r="AL52" i="59" s="1"/>
  <c r="AI92" i="8"/>
  <c r="AO6" i="8"/>
  <c r="U83" i="8"/>
  <c r="X50" i="59" s="1"/>
  <c r="T50" i="59"/>
  <c r="U84" i="8"/>
  <c r="X51" i="59" s="1"/>
  <c r="T51" i="59"/>
  <c r="AB49" i="59"/>
  <c r="AE83" i="8"/>
  <c r="AI83" i="8" s="1"/>
  <c r="AD50" i="59"/>
  <c r="AE84" i="8"/>
  <c r="AI84" i="8" s="1"/>
  <c r="AD51" i="59"/>
  <c r="AI49" i="59"/>
  <c r="AS23" i="6"/>
  <c r="AO16" i="8"/>
  <c r="AS13" i="8"/>
  <c r="AW13" i="8" s="1"/>
  <c r="AW16" i="8" s="1"/>
  <c r="AF42" i="8"/>
  <c r="AE50" i="59"/>
  <c r="AF83" i="8"/>
  <c r="AJ83" i="8" s="1"/>
  <c r="AF50" i="8"/>
  <c r="AE51" i="59"/>
  <c r="AF84" i="8"/>
  <c r="AJ84" i="8" s="1"/>
  <c r="AF49" i="8"/>
  <c r="Y52" i="8"/>
  <c r="AB42" i="59" s="1"/>
  <c r="Y53" i="8"/>
  <c r="AB43" i="59" s="1"/>
  <c r="X47" i="59"/>
  <c r="X52" i="59"/>
  <c r="Q46" i="8"/>
  <c r="T47" i="59" s="1"/>
  <c r="Y63" i="8"/>
  <c r="Y71" i="8" s="1"/>
  <c r="AE2" i="26" l="1"/>
  <c r="AE2" i="17"/>
  <c r="BE30" i="8"/>
  <c r="AW37" i="8"/>
  <c r="BE37" i="8" s="1"/>
  <c r="AW67" i="8"/>
  <c r="BE67" i="8" s="1"/>
  <c r="AO90" i="8"/>
  <c r="AJ50" i="8"/>
  <c r="AJ14" i="36"/>
  <c r="AM41" i="59" s="1"/>
  <c r="AM49" i="59"/>
  <c r="AP90" i="8"/>
  <c r="AT6" i="8"/>
  <c r="AX6" i="8" s="1"/>
  <c r="AP92" i="8"/>
  <c r="AP82" i="8"/>
  <c r="AS52" i="59" s="1"/>
  <c r="AP40" i="8"/>
  <c r="AP43" i="8"/>
  <c r="AS46" i="59" s="1"/>
  <c r="AP45" i="8"/>
  <c r="AP44" i="8"/>
  <c r="AS48" i="59" s="1"/>
  <c r="AP46" i="8"/>
  <c r="AS47" i="59" s="1"/>
  <c r="AP86" i="8"/>
  <c r="AP41" i="8"/>
  <c r="AP39" i="8"/>
  <c r="AP47" i="8"/>
  <c r="AJ49" i="8"/>
  <c r="AS6" i="8"/>
  <c r="AW6" i="8" s="1"/>
  <c r="AW46" i="8" s="1"/>
  <c r="AO46" i="8"/>
  <c r="AR47" i="59" s="1"/>
  <c r="AO92" i="8"/>
  <c r="AO82" i="8"/>
  <c r="AR52" i="59" s="1"/>
  <c r="AJ42" i="8"/>
  <c r="AH51" i="59"/>
  <c r="AH50" i="59"/>
  <c r="AB44" i="59"/>
  <c r="BE22" i="6"/>
  <c r="BE23" i="6" s="1"/>
  <c r="AS16" i="8"/>
  <c r="AI50" i="59"/>
  <c r="AI51" i="59"/>
  <c r="AX44" i="8" l="1"/>
  <c r="AX46" i="8"/>
  <c r="AX45" i="8"/>
  <c r="AX43" i="8"/>
  <c r="AX40" i="8"/>
  <c r="AX47" i="8"/>
  <c r="AX41" i="8"/>
  <c r="AX92" i="8"/>
  <c r="AX82" i="8"/>
  <c r="AX39" i="8"/>
  <c r="AX86" i="8"/>
  <c r="AI2" i="26"/>
  <c r="AI2" i="17"/>
  <c r="AW92" i="8"/>
  <c r="AW82" i="8"/>
  <c r="AT47" i="8"/>
  <c r="AT92" i="8"/>
  <c r="AT41" i="8"/>
  <c r="AT86" i="8"/>
  <c r="AT46" i="8"/>
  <c r="AW47" i="59" s="1"/>
  <c r="AT39" i="8"/>
  <c r="AT43" i="8"/>
  <c r="AW46" i="59" s="1"/>
  <c r="AT82" i="8"/>
  <c r="AW52" i="59" s="1"/>
  <c r="AT44" i="8"/>
  <c r="AW48" i="59" s="1"/>
  <c r="AT45" i="8"/>
  <c r="AT40" i="8"/>
  <c r="AS92" i="8"/>
  <c r="AS82" i="8"/>
  <c r="AV52" i="59" s="1"/>
  <c r="AS46" i="8"/>
  <c r="AV47" i="59" s="1"/>
  <c r="AP42" i="8"/>
  <c r="AS90" i="8"/>
  <c r="AW90" i="8" s="1"/>
  <c r="AS49" i="59"/>
  <c r="AT90" i="8"/>
  <c r="AX90" i="8" s="1"/>
  <c r="AO83" i="8"/>
  <c r="AL50" i="59"/>
  <c r="AO84" i="8"/>
  <c r="AL51" i="59"/>
  <c r="BE13" i="8"/>
  <c r="BE16" i="8" s="1"/>
  <c r="AM50" i="59"/>
  <c r="AP83" i="8"/>
  <c r="AP50" i="8"/>
  <c r="AP14" i="36"/>
  <c r="AS41" i="59" s="1"/>
  <c r="AP49" i="8"/>
  <c r="AM51" i="59"/>
  <c r="AP84" i="8"/>
  <c r="Y82" i="7"/>
  <c r="Y83" i="7" s="1"/>
  <c r="AB36" i="59" s="1"/>
  <c r="Z193" i="6"/>
  <c r="AB193" i="6" s="1"/>
  <c r="Z167" i="6"/>
  <c r="AB167" i="6" s="1"/>
  <c r="AX42" i="8" l="1"/>
  <c r="AO2" i="17"/>
  <c r="AO2" i="26"/>
  <c r="AW49" i="59"/>
  <c r="BE6" i="8"/>
  <c r="AZ52" i="59"/>
  <c r="AZ47" i="59"/>
  <c r="AT42" i="8"/>
  <c r="BF6" i="8"/>
  <c r="BF90" i="8" s="1"/>
  <c r="BA52" i="59"/>
  <c r="BA48" i="59"/>
  <c r="BA46" i="59"/>
  <c r="BA47" i="59"/>
  <c r="AS84" i="8"/>
  <c r="AW84" i="8" s="1"/>
  <c r="AR51" i="59"/>
  <c r="AS83" i="8"/>
  <c r="AW83" i="8" s="1"/>
  <c r="AR50" i="59"/>
  <c r="AS51" i="59"/>
  <c r="AT84" i="8"/>
  <c r="AX84" i="8" s="1"/>
  <c r="AT50" i="8"/>
  <c r="AT14" i="36"/>
  <c r="AW41" i="59" s="1"/>
  <c r="AT49" i="8"/>
  <c r="AS50" i="59"/>
  <c r="AT83" i="8"/>
  <c r="AX83" i="8" s="1"/>
  <c r="Y69" i="7"/>
  <c r="Y71" i="7" s="1"/>
  <c r="Y66" i="7"/>
  <c r="Y67" i="7" s="1"/>
  <c r="AB32" i="59"/>
  <c r="AB30" i="59"/>
  <c r="AB31" i="59"/>
  <c r="AS2" i="26" l="1"/>
  <c r="AS2" i="17"/>
  <c r="AX50" i="8"/>
  <c r="AX49" i="8"/>
  <c r="BA49" i="59"/>
  <c r="BE90" i="8"/>
  <c r="BF41" i="8"/>
  <c r="BF39" i="8"/>
  <c r="BF92" i="8"/>
  <c r="BF45" i="8"/>
  <c r="BF40" i="8"/>
  <c r="BF86" i="8"/>
  <c r="BF46" i="8"/>
  <c r="BI47" i="59" s="1"/>
  <c r="BF47" i="8"/>
  <c r="BF43" i="8"/>
  <c r="BI46" i="59" s="1"/>
  <c r="BF44" i="8"/>
  <c r="BI48" i="59" s="1"/>
  <c r="BF82" i="8"/>
  <c r="BI52" i="59" s="1"/>
  <c r="BE92" i="8"/>
  <c r="BE46" i="8"/>
  <c r="BH47" i="59" s="1"/>
  <c r="BE82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6" i="7"/>
  <c r="AW2" i="26" l="1"/>
  <c r="AW2" i="17"/>
  <c r="BF14" i="36"/>
  <c r="BI41" i="59" s="1"/>
  <c r="BF42" i="8"/>
  <c r="BI49" i="59"/>
  <c r="BE84" i="8"/>
  <c r="BH51" i="59" s="1"/>
  <c r="BE83" i="8"/>
  <c r="BH50" i="59" s="1"/>
  <c r="BF83" i="8"/>
  <c r="BI50" i="59" s="1"/>
  <c r="BF84" i="8"/>
  <c r="BI51" i="59" s="1"/>
  <c r="BF50" i="8"/>
  <c r="BF49" i="8"/>
  <c r="AB6" i="59"/>
  <c r="Y33" i="36"/>
  <c r="BE2" i="26" l="1"/>
  <c r="BE2" i="17"/>
  <c r="Z33" i="36"/>
  <c r="Y34" i="36"/>
  <c r="Y35" i="36"/>
  <c r="Y36" i="36" s="1"/>
  <c r="Z5" i="6"/>
  <c r="Z6" i="6"/>
  <c r="Z16" i="6" s="1"/>
  <c r="Z18" i="6"/>
  <c r="Z80" i="6" l="1"/>
  <c r="Z83" i="6"/>
  <c r="Y30" i="36"/>
  <c r="AB80" i="59" s="1"/>
  <c r="AB18" i="6"/>
  <c r="Z34" i="36"/>
  <c r="Z35" i="36"/>
  <c r="Z36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AJ18" i="6" s="1"/>
  <c r="AP18" i="6" s="1"/>
  <c r="AT18" i="6" s="1"/>
  <c r="Z30" i="36"/>
  <c r="AC80" i="59" s="1"/>
  <c r="AB17" i="6"/>
  <c r="Z169" i="6"/>
  <c r="Z19" i="6"/>
  <c r="BB81" i="6" s="1"/>
  <c r="BD81" i="6" s="1"/>
  <c r="Z168" i="6"/>
  <c r="AF83" i="6" l="1"/>
  <c r="AJ83" i="6" s="1"/>
  <c r="AF80" i="6"/>
  <c r="AJ80" i="6" s="1"/>
  <c r="AB169" i="6"/>
  <c r="AX18" i="6"/>
  <c r="AB85" i="6"/>
  <c r="Z81" i="6"/>
  <c r="Z84" i="6"/>
  <c r="AB82" i="6"/>
  <c r="AF82" i="6" s="1"/>
  <c r="AJ82" i="6" s="1"/>
  <c r="AB79" i="6"/>
  <c r="AT194" i="6"/>
  <c r="AT189" i="6"/>
  <c r="AP189" i="6"/>
  <c r="AP194" i="6"/>
  <c r="AJ189" i="6"/>
  <c r="AJ194" i="6"/>
  <c r="AF17" i="6"/>
  <c r="AJ17" i="6" s="1"/>
  <c r="AP17" i="6" s="1"/>
  <c r="AT17" i="6" s="1"/>
  <c r="AF194" i="6"/>
  <c r="AF189" i="6"/>
  <c r="Z39" i="6"/>
  <c r="Z40" i="6"/>
  <c r="Z38" i="6"/>
  <c r="AF79" i="6" l="1"/>
  <c r="AJ79" i="6" s="1"/>
  <c r="AX17" i="6"/>
  <c r="AX194" i="6"/>
  <c r="AX189" i="6"/>
  <c r="BF18" i="6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AX168" i="6"/>
  <c r="AX164" i="6"/>
  <c r="BF189" i="6"/>
  <c r="BF194" i="6"/>
  <c r="BF17" i="6"/>
  <c r="AT40" i="6"/>
  <c r="AT38" i="6"/>
  <c r="AT39" i="6"/>
  <c r="AP40" i="6"/>
  <c r="AP38" i="6"/>
  <c r="AP39" i="6"/>
  <c r="AJ38" i="6"/>
  <c r="AJ39" i="6"/>
  <c r="AJ40" i="6"/>
  <c r="AF39" i="6"/>
  <c r="AF38" i="6"/>
  <c r="AF40" i="6"/>
  <c r="J81" i="11"/>
  <c r="J86" i="11"/>
  <c r="J91" i="11" s="1"/>
  <c r="J82" i="11"/>
  <c r="J181" i="10"/>
  <c r="AB181" i="10" s="1"/>
  <c r="AF181" i="10" s="1"/>
  <c r="J185" i="10"/>
  <c r="J190" i="10" s="1"/>
  <c r="J180" i="10"/>
  <c r="AJ181" i="10" l="1"/>
  <c r="AP181" i="10" s="1"/>
  <c r="AT181" i="10" s="1"/>
  <c r="BF168" i="6"/>
  <c r="BF19" i="6"/>
  <c r="BF164" i="6"/>
  <c r="AX40" i="6"/>
  <c r="AX39" i="6"/>
  <c r="AX38" i="6"/>
  <c r="R82" i="11"/>
  <c r="V82" i="11" s="1"/>
  <c r="AB82" i="11"/>
  <c r="AF82" i="11" s="1"/>
  <c r="R181" i="10"/>
  <c r="V181" i="10" s="1"/>
  <c r="J83" i="11"/>
  <c r="J90" i="11" s="1"/>
  <c r="J182" i="10"/>
  <c r="J189" i="10" s="1"/>
  <c r="AB86" i="11"/>
  <c r="AF86" i="11" s="1"/>
  <c r="AJ86" i="11" s="1"/>
  <c r="AJ91" i="11" s="1"/>
  <c r="AB185" i="10"/>
  <c r="AF185" i="10" s="1"/>
  <c r="AJ185" i="10" s="1"/>
  <c r="AJ190" i="10" s="1"/>
  <c r="AX181" i="10" l="1"/>
  <c r="BF181" i="10" s="1"/>
  <c r="BF40" i="6"/>
  <c r="BF39" i="6"/>
  <c r="BF38" i="6"/>
  <c r="AJ82" i="11"/>
  <c r="AP82" i="11" s="1"/>
  <c r="AT82" i="11" s="1"/>
  <c r="AF190" i="10"/>
  <c r="AF91" i="11"/>
  <c r="AB91" i="11"/>
  <c r="AB190" i="10"/>
  <c r="R81" i="11"/>
  <c r="V81" i="11" s="1"/>
  <c r="V83" i="11" s="1"/>
  <c r="AB81" i="11"/>
  <c r="AF81" i="11" s="1"/>
  <c r="AJ81" i="11" s="1"/>
  <c r="R180" i="10"/>
  <c r="V180" i="10" s="1"/>
  <c r="V182" i="10" s="1"/>
  <c r="V189" i="10" s="1"/>
  <c r="AB180" i="10"/>
  <c r="AF180" i="10" s="1"/>
  <c r="AJ180" i="10" s="1"/>
  <c r="AJ182" i="10" s="1"/>
  <c r="AJ189" i="10" s="1"/>
  <c r="R185" i="10"/>
  <c r="V185" i="10" s="1"/>
  <c r="V190" i="10" s="1"/>
  <c r="R86" i="11"/>
  <c r="V86" i="11" s="1"/>
  <c r="V91" i="11" s="1"/>
  <c r="AJ83" i="11" l="1"/>
  <c r="AX82" i="11"/>
  <c r="BF82" i="11" s="1"/>
  <c r="AJ90" i="11"/>
  <c r="V90" i="11"/>
  <c r="AF182" i="10"/>
  <c r="AF189" i="10" s="1"/>
  <c r="AP185" i="10"/>
  <c r="AF83" i="11"/>
  <c r="AP86" i="11"/>
  <c r="AB83" i="11"/>
  <c r="AB90" i="11" s="1"/>
  <c r="R83" i="11"/>
  <c r="R90" i="11" s="1"/>
  <c r="AB182" i="10"/>
  <c r="AB189" i="10" s="1"/>
  <c r="R182" i="10"/>
  <c r="R189" i="10" s="1"/>
  <c r="R190" i="10"/>
  <c r="R91" i="11"/>
  <c r="AP91" i="11" l="1"/>
  <c r="AT86" i="11"/>
  <c r="AX86" i="11" s="1"/>
  <c r="AX91" i="11" s="1"/>
  <c r="AT185" i="10"/>
  <c r="AX185" i="10" s="1"/>
  <c r="AX190" i="10" s="1"/>
  <c r="AP190" i="10"/>
  <c r="AP180" i="10"/>
  <c r="AF90" i="11"/>
  <c r="AP81" i="11"/>
  <c r="AT91" i="11" l="1"/>
  <c r="AT190" i="10"/>
  <c r="AP83" i="11"/>
  <c r="AP90" i="11" s="1"/>
  <c r="AT81" i="11"/>
  <c r="AX81" i="11" s="1"/>
  <c r="AX83" i="11" s="1"/>
  <c r="AT180" i="10"/>
  <c r="AX180" i="10" s="1"/>
  <c r="AX182" i="10" s="1"/>
  <c r="AP182" i="10"/>
  <c r="Q53" i="38"/>
  <c r="AX90" i="11" l="1"/>
  <c r="AX189" i="10"/>
  <c r="BF86" i="11"/>
  <c r="BF91" i="11" s="1"/>
  <c r="AT83" i="11"/>
  <c r="AT90" i="11" s="1"/>
  <c r="AT182" i="10"/>
  <c r="AT189" i="10" s="1"/>
  <c r="BF185" i="10"/>
  <c r="BF190" i="10" s="1"/>
  <c r="AP189" i="10"/>
  <c r="J93" i="11"/>
  <c r="BF81" i="11" l="1"/>
  <c r="BF83" i="11" s="1"/>
  <c r="BF90" i="11" s="1"/>
  <c r="BF180" i="10"/>
  <c r="BF182" i="10" s="1"/>
  <c r="J85" i="11"/>
  <c r="BF189" i="10" l="1"/>
  <c r="M165" i="10"/>
  <c r="M166" i="10" s="1"/>
  <c r="R93" i="11"/>
  <c r="R85" i="11"/>
  <c r="J192" i="10"/>
  <c r="J184" i="10" l="1"/>
  <c r="Y165" i="10" l="1"/>
  <c r="Y166" i="10" s="1"/>
  <c r="E49" i="8" l="1"/>
  <c r="E50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1" i="36"/>
  <c r="M31" i="36"/>
  <c r="AB39" i="36" l="1"/>
  <c r="AB40" i="36"/>
  <c r="AB43" i="36"/>
  <c r="AB46" i="36"/>
  <c r="AB38" i="36"/>
  <c r="AB51" i="36" l="1"/>
  <c r="AB53" i="36" s="1"/>
  <c r="AB45" i="36"/>
  <c r="F19" i="36"/>
  <c r="I57" i="59" s="1"/>
  <c r="AB42" i="36"/>
  <c r="AI54" i="59" l="1"/>
  <c r="AI55" i="59"/>
  <c r="BF46" i="36" l="1"/>
  <c r="BF54" i="36" s="1"/>
  <c r="AJ17" i="36"/>
  <c r="AM55" i="59" s="1"/>
  <c r="AJ16" i="36"/>
  <c r="AI56" i="59"/>
  <c r="BF43" i="36" l="1"/>
  <c r="AJ18" i="36"/>
  <c r="AM56" i="59" s="1"/>
  <c r="AM54" i="59"/>
  <c r="BD50" i="36"/>
  <c r="BD19" i="36" s="1"/>
  <c r="BG57" i="59" s="1"/>
  <c r="BD42" i="36"/>
  <c r="BD18" i="36"/>
  <c r="BG56" i="59" s="1"/>
  <c r="BF45" i="36" l="1"/>
  <c r="BF51" i="36"/>
  <c r="BF53" i="36" s="1"/>
  <c r="BF38" i="36"/>
  <c r="BF16" i="36" s="1"/>
  <c r="BI54" i="59" s="1"/>
  <c r="BF40" i="36" l="1"/>
  <c r="BF48" i="36" s="1"/>
  <c r="BF39" i="36"/>
  <c r="BF17" i="36" s="1"/>
  <c r="BI55" i="59" s="1"/>
  <c r="BF42" i="36"/>
  <c r="J111" i="9" l="1"/>
  <c r="E28" i="8" l="1"/>
  <c r="E29" i="8"/>
  <c r="M29" i="8" s="1"/>
  <c r="AA29" i="8" s="1"/>
  <c r="AE29" i="8" s="1"/>
  <c r="AI29" i="8" s="1"/>
  <c r="AI45" i="8" s="1"/>
  <c r="E31" i="8"/>
  <c r="E27" i="8"/>
  <c r="AE45" i="8" l="1"/>
  <c r="E109" i="8"/>
  <c r="E110" i="8" s="1"/>
  <c r="M27" i="8"/>
  <c r="M31" i="8"/>
  <c r="AA31" i="8" s="1"/>
  <c r="AE31" i="8" s="1"/>
  <c r="AI31" i="8" s="1"/>
  <c r="AI47" i="8" s="1"/>
  <c r="M28" i="8"/>
  <c r="Q29" i="8"/>
  <c r="U29" i="8" s="1"/>
  <c r="U45" i="8" s="1"/>
  <c r="E59" i="8"/>
  <c r="E69" i="8"/>
  <c r="M69" i="8" s="1"/>
  <c r="E111" i="8" l="1"/>
  <c r="E112" i="8" s="1"/>
  <c r="AO29" i="8"/>
  <c r="AE47" i="8"/>
  <c r="AA27" i="8"/>
  <c r="AE27" i="8" s="1"/>
  <c r="M109" i="8"/>
  <c r="M110" i="8" s="1"/>
  <c r="AA28" i="8"/>
  <c r="AE28" i="8" s="1"/>
  <c r="Q31" i="8"/>
  <c r="U31" i="8" s="1"/>
  <c r="U47" i="8" s="1"/>
  <c r="Q69" i="8"/>
  <c r="U69" i="8" s="1"/>
  <c r="AA69" i="8"/>
  <c r="AE69" i="8" s="1"/>
  <c r="Q28" i="8"/>
  <c r="U28" i="8" s="1"/>
  <c r="Q45" i="8"/>
  <c r="Q37" i="8"/>
  <c r="U37" i="8" s="1"/>
  <c r="Q27" i="8"/>
  <c r="U27" i="8" s="1"/>
  <c r="E63" i="8"/>
  <c r="M63" i="8" s="1"/>
  <c r="M59" i="8"/>
  <c r="AI28" i="8" l="1"/>
  <c r="AI69" i="8"/>
  <c r="AI27" i="8"/>
  <c r="U44" i="8"/>
  <c r="U74" i="8"/>
  <c r="U43" i="8"/>
  <c r="U109" i="8"/>
  <c r="U111" i="8" s="1"/>
  <c r="AO45" i="8"/>
  <c r="AS29" i="8"/>
  <c r="AW29" i="8" s="1"/>
  <c r="AW45" i="8" s="1"/>
  <c r="AO31" i="8"/>
  <c r="M111" i="8"/>
  <c r="M112" i="8" s="1"/>
  <c r="M53" i="8" s="1"/>
  <c r="P43" i="59" s="1"/>
  <c r="P44" i="59" s="1"/>
  <c r="AE44" i="8"/>
  <c r="AH48" i="59" s="1"/>
  <c r="AE74" i="8"/>
  <c r="AE43" i="8"/>
  <c r="AH46" i="59" s="1"/>
  <c r="AE109" i="8"/>
  <c r="AE111" i="8" s="1"/>
  <c r="Q74" i="8"/>
  <c r="Q47" i="8"/>
  <c r="Q44" i="8"/>
  <c r="T48" i="59" s="1"/>
  <c r="Q63" i="8"/>
  <c r="U63" i="8" s="1"/>
  <c r="AA63" i="8"/>
  <c r="AE63" i="8" s="1"/>
  <c r="Q59" i="8"/>
  <c r="U59" i="8" s="1"/>
  <c r="AA59" i="8"/>
  <c r="AE59" i="8" s="1"/>
  <c r="Q43" i="8"/>
  <c r="T46" i="59" s="1"/>
  <c r="Q109" i="8"/>
  <c r="Q110" i="8" s="1"/>
  <c r="M82" i="7"/>
  <c r="AA82" i="7" s="1"/>
  <c r="AE82" i="7" s="1"/>
  <c r="AI82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U110" i="8" l="1"/>
  <c r="AI74" i="8"/>
  <c r="AI109" i="8"/>
  <c r="AI110" i="8" s="1"/>
  <c r="AI43" i="8"/>
  <c r="AL46" i="59" s="1"/>
  <c r="AO27" i="8"/>
  <c r="AO69" i="8"/>
  <c r="AI59" i="8"/>
  <c r="AI63" i="8"/>
  <c r="AO63" i="8" s="1"/>
  <c r="AS63" i="8" s="1"/>
  <c r="AI44" i="8"/>
  <c r="AL48" i="59" s="1"/>
  <c r="AO28" i="8"/>
  <c r="U112" i="8"/>
  <c r="U53" i="8" s="1"/>
  <c r="U71" i="8"/>
  <c r="AH49" i="59"/>
  <c r="T49" i="59"/>
  <c r="V11" i="38"/>
  <c r="Z11" i="38" s="1"/>
  <c r="AS45" i="8"/>
  <c r="AE110" i="8"/>
  <c r="AE112" i="8" s="1"/>
  <c r="AE53" i="8" s="1"/>
  <c r="AH43" i="59" s="1"/>
  <c r="AH44" i="59" s="1"/>
  <c r="AO47" i="8"/>
  <c r="AS31" i="8"/>
  <c r="AW31" i="8" s="1"/>
  <c r="AW47" i="8" s="1"/>
  <c r="AE71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1" i="8"/>
  <c r="Q112" i="8" s="1"/>
  <c r="Q53" i="8" s="1"/>
  <c r="T43" i="59" s="1"/>
  <c r="T44" i="59" s="1"/>
  <c r="Q71" i="8"/>
  <c r="X46" i="59"/>
  <c r="X48" i="59"/>
  <c r="M83" i="7"/>
  <c r="Q82" i="7"/>
  <c r="U82" i="7" s="1"/>
  <c r="U83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1" i="8"/>
  <c r="M37" i="38"/>
  <c r="M86" i="38" s="1"/>
  <c r="M26" i="38"/>
  <c r="M30" i="38"/>
  <c r="M79" i="38" s="1"/>
  <c r="Q3" i="38"/>
  <c r="Q61" i="38" s="1"/>
  <c r="M52" i="38"/>
  <c r="J138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72" i="10"/>
  <c r="J173" i="10" s="1"/>
  <c r="M23" i="38"/>
  <c r="I91" i="8" s="1"/>
  <c r="E91" i="8"/>
  <c r="M91" i="8" s="1"/>
  <c r="AA91" i="8" s="1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AI111" i="8" l="1"/>
  <c r="AL49" i="59"/>
  <c r="AW63" i="8"/>
  <c r="AI71" i="8"/>
  <c r="AO44" i="8"/>
  <c r="AR48" i="59" s="1"/>
  <c r="AS28" i="8"/>
  <c r="AW28" i="8" s="1"/>
  <c r="AW44" i="8" s="1"/>
  <c r="AO59" i="8"/>
  <c r="AO74" i="8"/>
  <c r="AS69" i="8"/>
  <c r="AW69" i="8" s="1"/>
  <c r="AS27" i="8"/>
  <c r="AW27" i="8" s="1"/>
  <c r="AO43" i="8"/>
  <c r="AR46" i="59" s="1"/>
  <c r="AO109" i="8"/>
  <c r="AI112" i="8"/>
  <c r="AI53" i="8" s="1"/>
  <c r="AL43" i="59" s="1"/>
  <c r="AL44" i="59" s="1"/>
  <c r="X49" i="59"/>
  <c r="N52" i="38"/>
  <c r="N61" i="38"/>
  <c r="BE29" i="8"/>
  <c r="BE45" i="8" s="1"/>
  <c r="AS47" i="8"/>
  <c r="AO82" i="7"/>
  <c r="V193" i="6"/>
  <c r="V194" i="6" s="1"/>
  <c r="AD69" i="38"/>
  <c r="V91" i="8"/>
  <c r="V92" i="8" s="1"/>
  <c r="V167" i="6"/>
  <c r="V168" i="6" s="1"/>
  <c r="AD85" i="38"/>
  <c r="X43" i="59"/>
  <c r="X44" i="59" s="1"/>
  <c r="R167" i="6"/>
  <c r="R168" i="6" s="1"/>
  <c r="R193" i="6"/>
  <c r="R194" i="6" s="1"/>
  <c r="R91" i="8"/>
  <c r="R92" i="8" s="1"/>
  <c r="Q83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AB138" i="45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R49" i="59" l="1"/>
  <c r="AF138" i="45"/>
  <c r="AB139" i="45"/>
  <c r="AW74" i="8"/>
  <c r="U61" i="38"/>
  <c r="Y3" i="38"/>
  <c r="Y78" i="38"/>
  <c r="AW43" i="8"/>
  <c r="AW109" i="8"/>
  <c r="AW111" i="8" s="1"/>
  <c r="BE63" i="8"/>
  <c r="AS43" i="8"/>
  <c r="AV46" i="59" s="1"/>
  <c r="AS109" i="8"/>
  <c r="AS74" i="8"/>
  <c r="AS59" i="8"/>
  <c r="AW59" i="8" s="1"/>
  <c r="AW71" i="8" s="1"/>
  <c r="AO71" i="8"/>
  <c r="AO111" i="8"/>
  <c r="AO110" i="8"/>
  <c r="AS44" i="8"/>
  <c r="AV48" i="59" s="1"/>
  <c r="R61" i="38"/>
  <c r="R60" i="38"/>
  <c r="BE31" i="8"/>
  <c r="BE47" i="8" s="1"/>
  <c r="AS82" i="7"/>
  <c r="AW82" i="7" s="1"/>
  <c r="AD84" i="38"/>
  <c r="AC75" i="38"/>
  <c r="AC94" i="38"/>
  <c r="AC78" i="38"/>
  <c r="AC95" i="38"/>
  <c r="AD72" i="38"/>
  <c r="Z92" i="8"/>
  <c r="AD68" i="38"/>
  <c r="AC74" i="38"/>
  <c r="AC59" i="38"/>
  <c r="AC93" i="38"/>
  <c r="AC86" i="38"/>
  <c r="Q95" i="38"/>
  <c r="Q86" i="38"/>
  <c r="U21" i="38"/>
  <c r="Y21" i="38" s="1"/>
  <c r="N90" i="38"/>
  <c r="R172" i="10"/>
  <c r="F26" i="36"/>
  <c r="U30" i="38"/>
  <c r="Y30" i="38" s="1"/>
  <c r="Q78" i="38"/>
  <c r="U15" i="38"/>
  <c r="Y15" i="38" s="1"/>
  <c r="R55" i="38"/>
  <c r="V6" i="38"/>
  <c r="Z6" i="38" s="1"/>
  <c r="R52" i="38"/>
  <c r="V3" i="38"/>
  <c r="Z3" i="38" s="1"/>
  <c r="Z84" i="38" s="1"/>
  <c r="R138" i="45"/>
  <c r="V138" i="45" s="1"/>
  <c r="V139" i="45" s="1"/>
  <c r="N43" i="38"/>
  <c r="U52" i="38"/>
  <c r="Q76" i="38"/>
  <c r="U27" i="38"/>
  <c r="Y27" i="38" s="1"/>
  <c r="Y76" i="38" s="1"/>
  <c r="U86" i="38"/>
  <c r="U78" i="38"/>
  <c r="U74" i="38"/>
  <c r="N68" i="38"/>
  <c r="Q69" i="38"/>
  <c r="U20" i="38"/>
  <c r="Y20" i="38" s="1"/>
  <c r="Q91" i="38"/>
  <c r="U42" i="38"/>
  <c r="Y42" i="38" s="1"/>
  <c r="Y91" i="38" s="1"/>
  <c r="Q82" i="38"/>
  <c r="U33" i="38"/>
  <c r="Y33" i="38" s="1"/>
  <c r="Y82" i="38" s="1"/>
  <c r="Q96" i="38"/>
  <c r="U47" i="38"/>
  <c r="Y47" i="38" s="1"/>
  <c r="Y96" i="38" s="1"/>
  <c r="Q87" i="38"/>
  <c r="U38" i="38"/>
  <c r="Y38" i="38" s="1"/>
  <c r="Q90" i="38"/>
  <c r="U41" i="38"/>
  <c r="Y41" i="38" s="1"/>
  <c r="U95" i="38"/>
  <c r="Q63" i="38"/>
  <c r="U14" i="38"/>
  <c r="Y14" i="38" s="1"/>
  <c r="Y63" i="38" s="1"/>
  <c r="Q80" i="38"/>
  <c r="U31" i="38"/>
  <c r="Y31" i="38" s="1"/>
  <c r="Q77" i="38"/>
  <c r="U28" i="38"/>
  <c r="Y28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Y88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Y77" i="38" l="1"/>
  <c r="Y80" i="38"/>
  <c r="Y79" i="38"/>
  <c r="AJ138" i="45"/>
  <c r="AJ139" i="45" s="1"/>
  <c r="AF139" i="45"/>
  <c r="V172" i="10"/>
  <c r="V173" i="10" s="1"/>
  <c r="R173" i="10"/>
  <c r="AW110" i="8"/>
  <c r="AW112" i="8" s="1"/>
  <c r="AW53" i="8" s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2" i="8"/>
  <c r="AO53" i="8" s="1"/>
  <c r="AR43" i="59" s="1"/>
  <c r="AR44" i="59" s="1"/>
  <c r="AS71" i="8"/>
  <c r="BE28" i="8"/>
  <c r="AZ48" i="59"/>
  <c r="BE69" i="8"/>
  <c r="AS111" i="8"/>
  <c r="AS110" i="8"/>
  <c r="BE27" i="8"/>
  <c r="AZ46" i="59"/>
  <c r="V84" i="38"/>
  <c r="V61" i="38"/>
  <c r="V60" i="38"/>
  <c r="BE82" i="7"/>
  <c r="AP138" i="45"/>
  <c r="AP139" i="45" s="1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1" i="8"/>
  <c r="Q92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AS112" i="8" l="1"/>
  <c r="AS53" i="8" s="1"/>
  <c r="AV43" i="59" s="1"/>
  <c r="AV44" i="59" s="1"/>
  <c r="BE74" i="8"/>
  <c r="AZ49" i="59"/>
  <c r="BE43" i="8"/>
  <c r="BH46" i="59" s="1"/>
  <c r="BE109" i="8"/>
  <c r="BE110" i="8" s="1"/>
  <c r="BE44" i="8"/>
  <c r="BH48" i="59" s="1"/>
  <c r="BH49" i="59" s="1"/>
  <c r="BE59" i="8"/>
  <c r="BE71" i="8" s="1"/>
  <c r="V26" i="36"/>
  <c r="U91" i="8"/>
  <c r="U92" i="8" s="1"/>
  <c r="U193" i="6"/>
  <c r="U194" i="6" s="1"/>
  <c r="AI3" i="38"/>
  <c r="AI61" i="38" s="1"/>
  <c r="AE61" i="38"/>
  <c r="AT138" i="45"/>
  <c r="AD55" i="38"/>
  <c r="AF6" i="38"/>
  <c r="AJ6" i="38" s="1"/>
  <c r="AN6" i="38" s="1"/>
  <c r="AC72" i="38"/>
  <c r="Y92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BE111" i="8" l="1"/>
  <c r="BE112" i="8" s="1"/>
  <c r="BE53" i="8" s="1"/>
  <c r="BH43" i="59" s="1"/>
  <c r="BH44" i="59" s="1"/>
  <c r="AX138" i="45"/>
  <c r="AX139" i="45" s="1"/>
  <c r="AT139" i="45"/>
  <c r="AZ43" i="59"/>
  <c r="AZ44" i="59" s="1"/>
  <c r="U26" i="36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J52" i="38" l="1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BF138" i="45"/>
  <c r="BF139" i="45" s="1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AN52" i="38" l="1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D65" i="38"/>
  <c r="AF16" i="38"/>
  <c r="AD66" i="38"/>
  <c r="AE66" i="38"/>
  <c r="AE67" i="38"/>
  <c r="V66" i="38"/>
  <c r="V98" i="38" s="1"/>
  <c r="AT64" i="38" l="1"/>
  <c r="AT56" i="38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1" i="36"/>
  <c r="I31" i="36"/>
  <c r="BB65" i="38" l="1"/>
  <c r="BB98" i="38" s="1"/>
  <c r="BB49" i="38"/>
  <c r="BJ16" i="38"/>
  <c r="AA46" i="36"/>
  <c r="AA43" i="36"/>
  <c r="AA45" i="36" s="1"/>
  <c r="BJ49" i="38" l="1"/>
  <c r="BJ65" i="38"/>
  <c r="BJ98" i="38" s="1"/>
  <c r="AA40" i="36"/>
  <c r="AA42" i="36" l="1"/>
  <c r="F17" i="36" l="1"/>
  <c r="I55" i="59" s="1"/>
  <c r="F16" i="36"/>
  <c r="I54" i="59" s="1"/>
  <c r="BE46" i="36" l="1"/>
  <c r="BE43" i="36"/>
  <c r="BE45" i="36" s="1"/>
  <c r="BC42" i="36"/>
  <c r="BR28" i="21" l="1"/>
  <c r="BQ28" i="21"/>
  <c r="BR24" i="21"/>
  <c r="BR25" i="21" s="1"/>
  <c r="BQ22" i="21"/>
  <c r="BQ15" i="21"/>
  <c r="BE40" i="36" l="1"/>
  <c r="BE42" i="36" s="1"/>
  <c r="J23" i="21" l="1"/>
  <c r="I50" i="35"/>
  <c r="I51" i="35"/>
  <c r="I44" i="35"/>
  <c r="J44" i="35"/>
  <c r="I45" i="35"/>
  <c r="J45" i="35"/>
  <c r="I34" i="35"/>
  <c r="I35" i="35"/>
  <c r="J35" i="35"/>
  <c r="N26" i="9" l="1"/>
  <c r="I36" i="35"/>
  <c r="I48" i="35" s="1"/>
  <c r="K135" i="50" l="1"/>
  <c r="S135" i="50"/>
  <c r="M36" i="35"/>
  <c r="J53" i="35"/>
  <c r="I53" i="35"/>
  <c r="W135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8" i="35" s="1"/>
  <c r="AA21" i="35" l="1"/>
  <c r="AA26" i="9" s="1"/>
  <c r="E92" i="8"/>
  <c r="AB21" i="35" l="1"/>
  <c r="AB26" i="9" s="1"/>
  <c r="F32" i="36" l="1"/>
  <c r="E32" i="36"/>
  <c r="F18" i="36"/>
  <c r="I56" i="59" s="1"/>
  <c r="J2" i="36"/>
  <c r="I2" i="36"/>
  <c r="J51" i="35"/>
  <c r="J50" i="35"/>
  <c r="I43" i="35"/>
  <c r="J39" i="35"/>
  <c r="I32" i="35"/>
  <c r="J108" i="45" s="1"/>
  <c r="J139" i="45" s="1"/>
  <c r="J32" i="35"/>
  <c r="I31" i="35"/>
  <c r="I56" i="11" s="1"/>
  <c r="I30" i="35"/>
  <c r="I154" i="10" s="1"/>
  <c r="I28" i="35"/>
  <c r="J28" i="35"/>
  <c r="I9" i="15" s="1"/>
  <c r="I27" i="35"/>
  <c r="J27" i="35"/>
  <c r="E33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3" i="10"/>
  <c r="I55" i="11"/>
  <c r="I98" i="11"/>
  <c r="J15" i="35"/>
  <c r="I15" i="35"/>
  <c r="J52" i="36"/>
  <c r="K52" i="36" s="1"/>
  <c r="J49" i="36"/>
  <c r="J51" i="36"/>
  <c r="J54" i="36"/>
  <c r="E39" i="36"/>
  <c r="E38" i="36"/>
  <c r="J6" i="35"/>
  <c r="J7" i="35"/>
  <c r="J6" i="6" s="1"/>
  <c r="I5" i="9"/>
  <c r="I46" i="36"/>
  <c r="I43" i="36"/>
  <c r="I45" i="36" s="1"/>
  <c r="I40" i="36"/>
  <c r="I42" i="36" s="1"/>
  <c r="J107" i="45"/>
  <c r="J124" i="45"/>
  <c r="J123" i="45"/>
  <c r="E34" i="36"/>
  <c r="M34" i="36" s="1"/>
  <c r="M33" i="36"/>
  <c r="M32" i="36"/>
  <c r="N32" i="36"/>
  <c r="J144" i="45"/>
  <c r="L74" i="59" s="1"/>
  <c r="J5" i="9"/>
  <c r="I17" i="15"/>
  <c r="I26" i="36"/>
  <c r="J26" i="36"/>
  <c r="H9" i="15"/>
  <c r="H17" i="15"/>
  <c r="I41" i="35"/>
  <c r="I39" i="35"/>
  <c r="I33" i="35"/>
  <c r="I37" i="35" s="1"/>
  <c r="J95" i="50" s="1"/>
  <c r="J93" i="50" s="1"/>
  <c r="N5" i="36"/>
  <c r="N13" i="49" s="1"/>
  <c r="N2" i="35"/>
  <c r="M2" i="35"/>
  <c r="I7" i="35"/>
  <c r="I6" i="6" s="1"/>
  <c r="I6" i="35"/>
  <c r="M2" i="36"/>
  <c r="I32" i="36"/>
  <c r="N2" i="36"/>
  <c r="I33" i="36"/>
  <c r="J32" i="36"/>
  <c r="J23" i="35"/>
  <c r="J25" i="35"/>
  <c r="M5" i="9"/>
  <c r="I24" i="35"/>
  <c r="J30" i="35"/>
  <c r="M60" i="59" l="1"/>
  <c r="J53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39" i="36"/>
  <c r="I38" i="36"/>
  <c r="M38" i="36"/>
  <c r="AA38" i="36" s="1"/>
  <c r="M39" i="36"/>
  <c r="J5" i="6"/>
  <c r="J8" i="35"/>
  <c r="I5" i="6"/>
  <c r="I8" i="35"/>
  <c r="J29" i="36"/>
  <c r="M79" i="59" s="1"/>
  <c r="J27" i="36"/>
  <c r="M77" i="59" s="1"/>
  <c r="N29" i="36"/>
  <c r="M7" i="15" s="1"/>
  <c r="E35" i="36"/>
  <c r="E36" i="36" s="1"/>
  <c r="AA33" i="36"/>
  <c r="I34" i="36"/>
  <c r="AA34" i="36" s="1"/>
  <c r="L132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Q6" i="35" s="1"/>
  <c r="U6" i="35" s="1"/>
  <c r="M7" i="35"/>
  <c r="Q7" i="35" s="1"/>
  <c r="M33" i="22"/>
  <c r="M104" i="9"/>
  <c r="P59" i="59" s="1"/>
  <c r="M102" i="9"/>
  <c r="Q6" i="59"/>
  <c r="K144" i="45"/>
  <c r="M74" i="59" s="1"/>
  <c r="J23" i="36"/>
  <c r="M72" i="59" s="1"/>
  <c r="N5" i="9"/>
  <c r="N94" i="9" s="1"/>
  <c r="Q34" i="36"/>
  <c r="U34" i="36" s="1"/>
  <c r="Q33" i="36"/>
  <c r="U33" i="36" s="1"/>
  <c r="H76" i="59"/>
  <c r="F95" i="50"/>
  <c r="R2" i="36"/>
  <c r="V2" i="36" s="1"/>
  <c r="Q2" i="36"/>
  <c r="U2" i="36" s="1"/>
  <c r="F33" i="36"/>
  <c r="N26" i="36"/>
  <c r="M26" i="36"/>
  <c r="I49" i="35"/>
  <c r="I55" i="35" s="1"/>
  <c r="N16" i="36"/>
  <c r="Q54" i="59" s="1"/>
  <c r="N17" i="36"/>
  <c r="Q55" i="59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Q78" i="59" l="1"/>
  <c r="R6" i="35"/>
  <c r="R7" i="35"/>
  <c r="V7" i="35" s="1"/>
  <c r="V6" i="6" s="1"/>
  <c r="Q8" i="35"/>
  <c r="U7" i="35"/>
  <c r="U6" i="6" s="1"/>
  <c r="U5" i="6"/>
  <c r="BE2" i="35"/>
  <c r="BC6" i="35"/>
  <c r="BC5" i="6" s="1"/>
  <c r="E30" i="36"/>
  <c r="H80" i="59" s="1"/>
  <c r="AE34" i="36"/>
  <c r="AI34" i="36" s="1"/>
  <c r="AO34" i="36" s="1"/>
  <c r="AS34" i="36" s="1"/>
  <c r="AW34" i="36" s="1"/>
  <c r="AE33" i="36"/>
  <c r="AI33" i="36" s="1"/>
  <c r="AO33" i="36" s="1"/>
  <c r="AS33" i="36" s="1"/>
  <c r="AW33" i="36" s="1"/>
  <c r="I35" i="36"/>
  <c r="I36" i="36" s="1"/>
  <c r="I11" i="35"/>
  <c r="I10" i="6" s="1"/>
  <c r="Q46" i="36"/>
  <c r="Q43" i="36"/>
  <c r="Q45" i="36" s="1"/>
  <c r="Q40" i="36"/>
  <c r="Q42" i="36" s="1"/>
  <c r="N8" i="35"/>
  <c r="R51" i="36"/>
  <c r="R54" i="36"/>
  <c r="R49" i="36"/>
  <c r="R52" i="36"/>
  <c r="S52" i="36" s="1"/>
  <c r="R48" i="36"/>
  <c r="Q60" i="59"/>
  <c r="N78" i="9"/>
  <c r="N73" i="9"/>
  <c r="N76" i="9"/>
  <c r="N75" i="9"/>
  <c r="N77" i="9"/>
  <c r="N72" i="9"/>
  <c r="N74" i="9"/>
  <c r="N79" i="9"/>
  <c r="M8" i="35"/>
  <c r="T9" i="15"/>
  <c r="R108" i="45"/>
  <c r="R139" i="45" s="1"/>
  <c r="U9" i="15"/>
  <c r="R5" i="36"/>
  <c r="R13" i="49" s="1"/>
  <c r="Q56" i="11"/>
  <c r="AA6" i="35"/>
  <c r="Q79" i="59"/>
  <c r="M35" i="36"/>
  <c r="M36" i="36" s="1"/>
  <c r="Q5" i="9"/>
  <c r="AA7" i="35"/>
  <c r="AE7" i="35" s="1"/>
  <c r="M132" i="26"/>
  <c r="R5" i="9"/>
  <c r="Q77" i="59"/>
  <c r="M6" i="15"/>
  <c r="M5" i="15"/>
  <c r="N33" i="22"/>
  <c r="N104" i="9"/>
  <c r="Q59" i="59" s="1"/>
  <c r="N102" i="9"/>
  <c r="F34" i="36"/>
  <c r="N34" i="36" s="1"/>
  <c r="N33" i="36"/>
  <c r="AA32" i="36"/>
  <c r="J178" i="10"/>
  <c r="M66" i="59" s="1"/>
  <c r="J33" i="36"/>
  <c r="AA39" i="36"/>
  <c r="AA2" i="36"/>
  <c r="AE2" i="36" s="1"/>
  <c r="AI2" i="36" s="1"/>
  <c r="AO2" i="36" s="1"/>
  <c r="AB32" i="36"/>
  <c r="AB28" i="36" s="1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2" i="36"/>
  <c r="V32" i="36" s="1"/>
  <c r="Q32" i="36"/>
  <c r="U32" i="36" s="1"/>
  <c r="Q8" i="6"/>
  <c r="N5" i="6"/>
  <c r="AB2" i="35"/>
  <c r="AF2" i="35" s="1"/>
  <c r="AJ2" i="35" s="1"/>
  <c r="AP2" i="35" s="1"/>
  <c r="AT2" i="35" s="1"/>
  <c r="AX2" i="35" s="1"/>
  <c r="N6" i="6"/>
  <c r="M5" i="6"/>
  <c r="M6" i="6"/>
  <c r="H5" i="15"/>
  <c r="N18" i="36"/>
  <c r="Q56" i="59" s="1"/>
  <c r="N26" i="35"/>
  <c r="M26" i="35"/>
  <c r="L130" i="26" l="1"/>
  <c r="R8" i="35"/>
  <c r="V6" i="35"/>
  <c r="V8" i="35" s="1"/>
  <c r="AU52" i="36"/>
  <c r="U7" i="6"/>
  <c r="U8" i="35"/>
  <c r="U39" i="36"/>
  <c r="U38" i="36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5" i="11"/>
  <c r="Q98" i="11"/>
  <c r="AF32" i="36"/>
  <c r="AJ32" i="36" s="1"/>
  <c r="AE32" i="36"/>
  <c r="R123" i="45"/>
  <c r="T72" i="59" s="1"/>
  <c r="AA5" i="6"/>
  <c r="AE6" i="35"/>
  <c r="R53" i="36"/>
  <c r="R50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7" i="15"/>
  <c r="AA8" i="35"/>
  <c r="Q38" i="36"/>
  <c r="Q39" i="36"/>
  <c r="N19" i="36"/>
  <c r="Q57" i="59" s="1"/>
  <c r="Q102" i="9"/>
  <c r="U102" i="9" s="1"/>
  <c r="U17" i="15"/>
  <c r="X72" i="59"/>
  <c r="X74" i="59"/>
  <c r="R124" i="45"/>
  <c r="R27" i="36"/>
  <c r="Q5" i="15" s="1"/>
  <c r="R107" i="45"/>
  <c r="AA35" i="36"/>
  <c r="AA36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32" i="26"/>
  <c r="Q96" i="9"/>
  <c r="Q90" i="9"/>
  <c r="Q94" i="9"/>
  <c r="P18" i="15" s="1"/>
  <c r="Q104" i="9"/>
  <c r="U104" i="9" s="1"/>
  <c r="X59" i="59" s="1"/>
  <c r="AB6" i="35"/>
  <c r="AF6" i="35" s="1"/>
  <c r="R6" i="6"/>
  <c r="Q5" i="6"/>
  <c r="R102" i="9"/>
  <c r="V102" i="9" s="1"/>
  <c r="R33" i="22"/>
  <c r="Q132" i="26"/>
  <c r="R100" i="9"/>
  <c r="R96" i="9"/>
  <c r="R89" i="9"/>
  <c r="R94" i="9"/>
  <c r="Q18" i="15" s="1"/>
  <c r="R90" i="9"/>
  <c r="R144" i="45"/>
  <c r="T74" i="59" s="1"/>
  <c r="F35" i="36"/>
  <c r="F36" i="36" s="1"/>
  <c r="AB33" i="36"/>
  <c r="J34" i="36"/>
  <c r="AB34" i="36" s="1"/>
  <c r="R29" i="36"/>
  <c r="R28" i="36"/>
  <c r="T57" i="59"/>
  <c r="R33" i="36"/>
  <c r="V33" i="36" s="1"/>
  <c r="AD77" i="59"/>
  <c r="AD79" i="59"/>
  <c r="AD78" i="59"/>
  <c r="AB5" i="9"/>
  <c r="Q35" i="36"/>
  <c r="R34" i="36"/>
  <c r="V34" i="36" s="1"/>
  <c r="T55" i="59"/>
  <c r="R18" i="36"/>
  <c r="U56" i="59" s="1"/>
  <c r="T78" i="59"/>
  <c r="T79" i="59"/>
  <c r="T77" i="59"/>
  <c r="AA15" i="35"/>
  <c r="M30" i="36"/>
  <c r="P80" i="59" s="1"/>
  <c r="Y55" i="35"/>
  <c r="V5" i="6" l="1"/>
  <c r="V7" i="6" s="1"/>
  <c r="M130" i="26"/>
  <c r="V104" i="9"/>
  <c r="Y59" i="59" s="1"/>
  <c r="V27" i="36"/>
  <c r="Y77" i="59" s="1"/>
  <c r="Q6" i="15"/>
  <c r="V28" i="36"/>
  <c r="Y78" i="59" s="1"/>
  <c r="Q36" i="36"/>
  <c r="Q30" i="36" s="1"/>
  <c r="T80" i="59" s="1"/>
  <c r="U35" i="36"/>
  <c r="U36" i="36" s="1"/>
  <c r="U30" i="36" s="1"/>
  <c r="X80" i="59" s="1"/>
  <c r="V29" i="36"/>
  <c r="Y79" i="59" s="1"/>
  <c r="Q7" i="15"/>
  <c r="Q9" i="6"/>
  <c r="AE35" i="36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2" i="36"/>
  <c r="AP29" i="36" s="1"/>
  <c r="AI32" i="36"/>
  <c r="AE38" i="36"/>
  <c r="AE39" i="36"/>
  <c r="AF34" i="36"/>
  <c r="AJ34" i="36" s="1"/>
  <c r="AP34" i="36" s="1"/>
  <c r="AT34" i="36" s="1"/>
  <c r="AX34" i="36" s="1"/>
  <c r="AF33" i="36"/>
  <c r="AJ33" i="36" s="1"/>
  <c r="AP33" i="36" s="1"/>
  <c r="AT33" i="36" s="1"/>
  <c r="AX33" i="36" s="1"/>
  <c r="AE8" i="35"/>
  <c r="AE9" i="35"/>
  <c r="AE60" i="59"/>
  <c r="AB78" i="9"/>
  <c r="AB77" i="9"/>
  <c r="AB79" i="9"/>
  <c r="AB76" i="9"/>
  <c r="AC77" i="59"/>
  <c r="AB27" i="36"/>
  <c r="AF27" i="36" s="1"/>
  <c r="AE5" i="15" s="1"/>
  <c r="AC78" i="59"/>
  <c r="AE78" i="59"/>
  <c r="AC79" i="59"/>
  <c r="AB29" i="36"/>
  <c r="T18" i="15"/>
  <c r="U18" i="15"/>
  <c r="AB8" i="35"/>
  <c r="R19" i="36"/>
  <c r="U57" i="59" s="1"/>
  <c r="Q10" i="6"/>
  <c r="T59" i="59"/>
  <c r="J35" i="36"/>
  <c r="J36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32" i="26"/>
  <c r="N35" i="36"/>
  <c r="N36" i="36" s="1"/>
  <c r="U78" i="59"/>
  <c r="U79" i="59"/>
  <c r="AA9" i="15"/>
  <c r="AA26" i="36"/>
  <c r="AA17" i="15"/>
  <c r="AB49" i="36"/>
  <c r="AB16" i="36"/>
  <c r="AE54" i="59" s="1"/>
  <c r="AB17" i="36"/>
  <c r="AE55" i="59" s="1"/>
  <c r="AB48" i="36"/>
  <c r="AB54" i="36"/>
  <c r="AB26" i="36"/>
  <c r="U77" i="59"/>
  <c r="Z17" i="15"/>
  <c r="T56" i="59"/>
  <c r="AA5" i="9"/>
  <c r="AB76" i="59"/>
  <c r="Z9" i="15"/>
  <c r="AA26" i="35"/>
  <c r="AB26" i="35"/>
  <c r="Q130" i="26" l="1"/>
  <c r="U130" i="26" s="1"/>
  <c r="P130" i="26"/>
  <c r="T130" i="26" s="1"/>
  <c r="AP28" i="36"/>
  <c r="AJ102" i="9"/>
  <c r="AP102" i="9" s="1"/>
  <c r="AT102" i="9" s="1"/>
  <c r="N24" i="36"/>
  <c r="AE11" i="35"/>
  <c r="AE10" i="6" s="1"/>
  <c r="AE8" i="6"/>
  <c r="AE36" i="36"/>
  <c r="AE30" i="36" s="1"/>
  <c r="AH80" i="59" s="1"/>
  <c r="AI35" i="36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2" i="36"/>
  <c r="AT29" i="36" s="1"/>
  <c r="AO32" i="36"/>
  <c r="AI39" i="36"/>
  <c r="AI38" i="36"/>
  <c r="AJ27" i="36"/>
  <c r="AF104" i="9"/>
  <c r="AJ104" i="9" s="1"/>
  <c r="AI77" i="59"/>
  <c r="AF29" i="36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5" i="36"/>
  <c r="AB36" i="36" s="1"/>
  <c r="N30" i="36"/>
  <c r="Q80" i="59" s="1"/>
  <c r="AB7" i="6"/>
  <c r="AA102" i="9"/>
  <c r="AE102" i="9" s="1"/>
  <c r="AA104" i="9"/>
  <c r="AD59" i="59" s="1"/>
  <c r="AB18" i="36"/>
  <c r="AE56" i="59" s="1"/>
  <c r="AB50" i="36"/>
  <c r="AD74" i="59"/>
  <c r="R35" i="36"/>
  <c r="AA130" i="26" l="1"/>
  <c r="AX102" i="9"/>
  <c r="BF102" i="9" s="1"/>
  <c r="BE7" i="35"/>
  <c r="BE6" i="6" s="1"/>
  <c r="AW6" i="6"/>
  <c r="AT28" i="36"/>
  <c r="AP27" i="36"/>
  <c r="AS77" i="59" s="1"/>
  <c r="AI5" i="15"/>
  <c r="AS78" i="59"/>
  <c r="AI6" i="15"/>
  <c r="AS79" i="59"/>
  <c r="AI7" i="15"/>
  <c r="AI102" i="9"/>
  <c r="AO102" i="9" s="1"/>
  <c r="AS102" i="9" s="1"/>
  <c r="V24" i="36"/>
  <c r="Y75" i="59" s="1"/>
  <c r="R36" i="36"/>
  <c r="R30" i="36" s="1"/>
  <c r="U80" i="59" s="1"/>
  <c r="V35" i="36"/>
  <c r="V36" i="36" s="1"/>
  <c r="V30" i="36" s="1"/>
  <c r="Y80" i="59" s="1"/>
  <c r="AO9" i="35"/>
  <c r="AO8" i="6" s="1"/>
  <c r="AI8" i="6"/>
  <c r="AI36" i="36"/>
  <c r="AI30" i="36" s="1"/>
  <c r="AL80" i="59" s="1"/>
  <c r="AO35" i="36"/>
  <c r="BD8" i="35"/>
  <c r="BC11" i="35"/>
  <c r="BC10" i="6" s="1"/>
  <c r="AF35" i="36"/>
  <c r="AB30" i="36"/>
  <c r="AE80" i="59" s="1"/>
  <c r="AW10" i="35"/>
  <c r="AW9" i="6" s="1"/>
  <c r="AX32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2" i="36"/>
  <c r="AB19" i="36"/>
  <c r="AE57" i="59" s="1"/>
  <c r="AO39" i="36"/>
  <c r="AO38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W102" i="9" l="1"/>
  <c r="BE102" i="9" s="1"/>
  <c r="BF6" i="35"/>
  <c r="BF5" i="6" s="1"/>
  <c r="AX5" i="6"/>
  <c r="AW7" i="6"/>
  <c r="AJ24" i="36"/>
  <c r="AO6" i="15"/>
  <c r="AT27" i="36"/>
  <c r="AW77" i="59" s="1"/>
  <c r="AO5" i="15"/>
  <c r="AX29" i="36"/>
  <c r="AO7" i="15"/>
  <c r="AO11" i="35"/>
  <c r="AO10" i="6" s="1"/>
  <c r="BE10" i="35"/>
  <c r="BE9" i="6" s="1"/>
  <c r="AF36" i="36"/>
  <c r="AF30" i="36" s="1"/>
  <c r="AO36" i="36"/>
  <c r="AO30" i="36" s="1"/>
  <c r="AR80" i="59" s="1"/>
  <c r="AS35" i="36"/>
  <c r="AJ35" i="36"/>
  <c r="AJ36" i="36" s="1"/>
  <c r="BE6" i="35"/>
  <c r="BE5" i="6" s="1"/>
  <c r="AW9" i="35"/>
  <c r="AW8" i="6" s="1"/>
  <c r="AW8" i="35"/>
  <c r="AT6" i="6"/>
  <c r="AX7" i="35"/>
  <c r="AW32" i="36"/>
  <c r="AX28" i="36"/>
  <c r="AT5" i="6"/>
  <c r="AT8" i="35"/>
  <c r="AP7" i="6"/>
  <c r="AS5" i="6"/>
  <c r="AS8" i="35"/>
  <c r="AS9" i="35"/>
  <c r="AO7" i="6"/>
  <c r="AW78" i="59"/>
  <c r="AS6" i="15"/>
  <c r="AS38" i="36"/>
  <c r="AS39" i="36"/>
  <c r="AM59" i="59"/>
  <c r="AP104" i="9"/>
  <c r="AH59" i="59"/>
  <c r="AI57" i="59"/>
  <c r="AA13" i="49"/>
  <c r="AW7" i="15" l="1"/>
  <c r="BA78" i="59"/>
  <c r="AW6" i="15"/>
  <c r="BF7" i="35"/>
  <c r="BF6" i="6" s="1"/>
  <c r="BF7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5" i="36"/>
  <c r="AP36" i="36" s="1"/>
  <c r="AP30" i="36" s="1"/>
  <c r="AS80" i="59" s="1"/>
  <c r="AS36" i="36"/>
  <c r="AS30" i="36" s="1"/>
  <c r="AV80" i="59" s="1"/>
  <c r="AW35" i="36"/>
  <c r="BE7" i="6"/>
  <c r="BE8" i="35"/>
  <c r="AX8" i="35"/>
  <c r="AW11" i="35"/>
  <c r="AW10" i="6" s="1"/>
  <c r="BE9" i="35"/>
  <c r="AW38" i="36"/>
  <c r="BE38" i="36" s="1"/>
  <c r="AW39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F8" i="35" l="1"/>
  <c r="BA77" i="59"/>
  <c r="AT35" i="36"/>
  <c r="AT36" i="36" s="1"/>
  <c r="AT30" i="36" s="1"/>
  <c r="AW80" i="59" s="1"/>
  <c r="BE11" i="35"/>
  <c r="BE10" i="6" s="1"/>
  <c r="BE8" i="6"/>
  <c r="AW36" i="36"/>
  <c r="AW30" i="36" s="1"/>
  <c r="AZ80" i="59" s="1"/>
  <c r="AW59" i="59"/>
  <c r="BA59" i="59"/>
  <c r="AR59" i="59"/>
  <c r="AS104" i="9"/>
  <c r="AW104" i="9" s="1"/>
  <c r="BE33" i="36"/>
  <c r="BE34" i="36"/>
  <c r="BF32" i="36"/>
  <c r="BD30" i="36"/>
  <c r="BG80" i="59" s="1"/>
  <c r="BF28" i="36" l="1"/>
  <c r="BF29" i="36"/>
  <c r="AX35" i="36"/>
  <c r="AX36" i="36" s="1"/>
  <c r="AX30" i="36" s="1"/>
  <c r="BA80" i="59" s="1"/>
  <c r="BF104" i="9"/>
  <c r="BI59" i="59" s="1"/>
  <c r="AV59" i="59"/>
  <c r="AZ59" i="59"/>
  <c r="BF34" i="36"/>
  <c r="BF33" i="36"/>
  <c r="BE32" i="36"/>
  <c r="BI78" i="59" l="1"/>
  <c r="BE6" i="15"/>
  <c r="BE104" i="9"/>
  <c r="BH59" i="59" s="1"/>
  <c r="BF27" i="36"/>
  <c r="BF50" i="36"/>
  <c r="BF19" i="36" s="1"/>
  <c r="BI57" i="59" s="1"/>
  <c r="BF18" i="36"/>
  <c r="BI56" i="59" s="1"/>
  <c r="BF35" i="36"/>
  <c r="BF36" i="36" s="1"/>
  <c r="BE35" i="36"/>
  <c r="BE36" i="36" s="1"/>
  <c r="BI79" i="59" l="1"/>
  <c r="BE7" i="15"/>
  <c r="BI77" i="59"/>
  <c r="BE5" i="15"/>
  <c r="BE30" i="36"/>
  <c r="BH80" i="59" s="1"/>
  <c r="BF30" i="36"/>
  <c r="BI80" i="59" s="1"/>
  <c r="T45" i="59" l="1"/>
  <c r="P45" i="59"/>
  <c r="I81" i="8"/>
  <c r="L45" i="59" s="1"/>
  <c r="X85" i="26" l="1"/>
  <c r="X86" i="17" s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2" i="26"/>
  <c r="M112" i="26" s="1"/>
  <c r="Q112" i="26" s="1"/>
  <c r="U112" i="26" s="1"/>
  <c r="I110" i="26"/>
  <c r="M110" i="26" s="1"/>
  <c r="Q110" i="26" s="1"/>
  <c r="U110" i="26" s="1"/>
  <c r="I104" i="26"/>
  <c r="M104" i="26" s="1"/>
  <c r="Q104" i="26" s="1"/>
  <c r="U104" i="26" s="1"/>
  <c r="I102" i="26"/>
  <c r="M102" i="26" s="1"/>
  <c r="Q102" i="26" s="1"/>
  <c r="U102" i="26" s="1"/>
  <c r="H98" i="26"/>
  <c r="M93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3" i="26"/>
  <c r="U93" i="26" s="1"/>
  <c r="AA93" i="26"/>
  <c r="AE93" i="26" s="1"/>
  <c r="L98" i="26"/>
  <c r="P98" i="26" s="1"/>
  <c r="T98" i="26" s="1"/>
  <c r="M59" i="26"/>
  <c r="Q59" i="26" s="1"/>
  <c r="U59" i="26" s="1"/>
  <c r="M11" i="26"/>
  <c r="L80" i="26"/>
  <c r="P80" i="26" s="1"/>
  <c r="T80" i="26" s="1"/>
  <c r="J169" i="26"/>
  <c r="N169" i="26"/>
  <c r="H87" i="17"/>
  <c r="AA27" i="26"/>
  <c r="AE27" i="26" s="1"/>
  <c r="AA52" i="26"/>
  <c r="AE52" i="26" s="1"/>
  <c r="AA65" i="26"/>
  <c r="AE65" i="26" s="1"/>
  <c r="AA112" i="26"/>
  <c r="AE112" i="26" s="1"/>
  <c r="AA33" i="26"/>
  <c r="AE33" i="26" s="1"/>
  <c r="AA69" i="26"/>
  <c r="AE69" i="26" s="1"/>
  <c r="AA102" i="26"/>
  <c r="AE102" i="26" s="1"/>
  <c r="AA35" i="26"/>
  <c r="AE35" i="26" s="1"/>
  <c r="AA71" i="26"/>
  <c r="AE71" i="26" s="1"/>
  <c r="AA104" i="26"/>
  <c r="AE104" i="26" s="1"/>
  <c r="AA25" i="26"/>
  <c r="AA41" i="26"/>
  <c r="AE41" i="26" s="1"/>
  <c r="AA110" i="26"/>
  <c r="AE110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4" i="26"/>
  <c r="L104" i="26" s="1"/>
  <c r="P104" i="26" s="1"/>
  <c r="T104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6" i="26"/>
  <c r="L106" i="26" s="1"/>
  <c r="P106" i="26" s="1"/>
  <c r="T106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74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6" i="26"/>
  <c r="M106" i="26" s="1"/>
  <c r="Q106" i="26" s="1"/>
  <c r="U106" i="26" s="1"/>
  <c r="H108" i="26"/>
  <c r="L108" i="26" s="1"/>
  <c r="P108" i="26" s="1"/>
  <c r="T108" i="26" s="1"/>
  <c r="Q6" i="27"/>
  <c r="U6" i="27" s="1"/>
  <c r="Q10" i="27"/>
  <c r="U10" i="27" s="1"/>
  <c r="Q14" i="27"/>
  <c r="U14" i="27" s="1"/>
  <c r="H43" i="26"/>
  <c r="L43" i="26" s="1"/>
  <c r="J174" i="26"/>
  <c r="H59" i="26"/>
  <c r="I63" i="26"/>
  <c r="M63" i="26" s="1"/>
  <c r="I67" i="26"/>
  <c r="H69" i="26"/>
  <c r="L69" i="26" s="1"/>
  <c r="P69" i="26" s="1"/>
  <c r="T69" i="26" s="1"/>
  <c r="I100" i="26"/>
  <c r="H102" i="26"/>
  <c r="L102" i="26" s="1"/>
  <c r="P102" i="26" s="1"/>
  <c r="T102" i="26" s="1"/>
  <c r="I108" i="26"/>
  <c r="M108" i="26" s="1"/>
  <c r="Q108" i="26" s="1"/>
  <c r="U108" i="26" s="1"/>
  <c r="H110" i="26"/>
  <c r="L110" i="26" s="1"/>
  <c r="P110" i="26" s="1"/>
  <c r="T110" i="26" s="1"/>
  <c r="H112" i="26"/>
  <c r="L112" i="26" s="1"/>
  <c r="P112" i="26" s="1"/>
  <c r="T112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8" i="26"/>
  <c r="H100" i="26"/>
  <c r="L100" i="26" s="1"/>
  <c r="P100" i="26" s="1"/>
  <c r="T100" i="26" s="1"/>
  <c r="BF176" i="10" l="1"/>
  <c r="BF77" i="11"/>
  <c r="BG142" i="45"/>
  <c r="AI93" i="26"/>
  <c r="AO93" i="26" s="1"/>
  <c r="AS93" i="26" s="1"/>
  <c r="AI102" i="26"/>
  <c r="AO102" i="26" s="1"/>
  <c r="AS102" i="26" s="1"/>
  <c r="AI104" i="26"/>
  <c r="AO104" i="26" s="1"/>
  <c r="AS104" i="26" s="1"/>
  <c r="AI112" i="26"/>
  <c r="AO112" i="26" s="1"/>
  <c r="AS112" i="26" s="1"/>
  <c r="AI110" i="26"/>
  <c r="AO110" i="26" s="1"/>
  <c r="AS110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4" i="26"/>
  <c r="L48" i="26"/>
  <c r="P48" i="26" s="1"/>
  <c r="T48" i="26" s="1"/>
  <c r="T50" i="26" s="1"/>
  <c r="M100" i="26"/>
  <c r="Q100" i="26" s="1"/>
  <c r="U100" i="26" s="1"/>
  <c r="I114" i="26"/>
  <c r="I96" i="26" s="1"/>
  <c r="H114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4" i="26"/>
  <c r="M85" i="17"/>
  <c r="Q63" i="26"/>
  <c r="U63" i="26" s="1"/>
  <c r="U85" i="17" s="1"/>
  <c r="M84" i="17"/>
  <c r="Q29" i="26"/>
  <c r="U29" i="26" s="1"/>
  <c r="U84" i="17" s="1"/>
  <c r="L8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L31" i="27"/>
  <c r="L27" i="27"/>
  <c r="P3" i="26"/>
  <c r="L13" i="26"/>
  <c r="L87" i="17"/>
  <c r="L114" i="26"/>
  <c r="L85" i="17"/>
  <c r="M12" i="26"/>
  <c r="M18" i="26" s="1"/>
  <c r="I77" i="26"/>
  <c r="M78" i="26"/>
  <c r="I87" i="17"/>
  <c r="M98" i="26"/>
  <c r="H82" i="26"/>
  <c r="L78" i="26"/>
  <c r="Z78" i="26" s="1"/>
  <c r="AD78" i="26" s="1"/>
  <c r="Z80" i="26"/>
  <c r="AD80" i="26" s="1"/>
  <c r="H86" i="17"/>
  <c r="L85" i="26"/>
  <c r="P85" i="26" s="1"/>
  <c r="T85" i="26" s="1"/>
  <c r="M67" i="26"/>
  <c r="AA43" i="26"/>
  <c r="AE43" i="26" s="1"/>
  <c r="AI43" i="26" s="1"/>
  <c r="X57" i="26"/>
  <c r="N173" i="26"/>
  <c r="N166" i="26"/>
  <c r="J173" i="26"/>
  <c r="J166" i="26"/>
  <c r="H85" i="17"/>
  <c r="H84" i="17"/>
  <c r="H24" i="27"/>
  <c r="Z98" i="26"/>
  <c r="AD98" i="26" s="1"/>
  <c r="AH98" i="26" s="1"/>
  <c r="I84" i="17"/>
  <c r="I85" i="17"/>
  <c r="I39" i="27"/>
  <c r="I24" i="27"/>
  <c r="H39" i="27"/>
  <c r="I33" i="27"/>
  <c r="H33" i="27"/>
  <c r="Z102" i="26"/>
  <c r="AD102" i="26" s="1"/>
  <c r="AA73" i="26"/>
  <c r="AE73" i="26" s="1"/>
  <c r="Z41" i="26"/>
  <c r="AD41" i="26" s="1"/>
  <c r="Z73" i="26"/>
  <c r="AD73" i="26" s="1"/>
  <c r="Z104" i="26"/>
  <c r="AD104" i="26" s="1"/>
  <c r="Z112" i="26"/>
  <c r="AD112" i="26" s="1"/>
  <c r="Z108" i="26"/>
  <c r="AD108" i="26" s="1"/>
  <c r="Z67" i="26"/>
  <c r="AD67" i="26" s="1"/>
  <c r="AA39" i="26"/>
  <c r="AE39" i="26" s="1"/>
  <c r="Z106" i="26"/>
  <c r="AD106" i="26" s="1"/>
  <c r="Z65" i="26"/>
  <c r="AD65" i="26" s="1"/>
  <c r="AA59" i="26"/>
  <c r="AE59" i="26" s="1"/>
  <c r="AI59" i="26" s="1"/>
  <c r="AA9" i="26"/>
  <c r="AE9" i="26" s="1"/>
  <c r="Z100" i="26"/>
  <c r="AD100" i="26" s="1"/>
  <c r="Z110" i="26"/>
  <c r="AD110" i="26" s="1"/>
  <c r="AA106" i="26"/>
  <c r="AE106" i="26" s="1"/>
  <c r="AA37" i="26"/>
  <c r="AE37" i="26" s="1"/>
  <c r="AA61" i="26"/>
  <c r="AE61" i="26" s="1"/>
  <c r="AI61" i="26" s="1"/>
  <c r="AA108" i="26"/>
  <c r="AE108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I50" i="26"/>
  <c r="AA48" i="26"/>
  <c r="AE48" i="26" s="1"/>
  <c r="AI48" i="26" s="1"/>
  <c r="AI50" i="26" s="1"/>
  <c r="H57" i="26"/>
  <c r="H83" i="26"/>
  <c r="P22" i="27" l="1"/>
  <c r="Z48" i="26"/>
  <c r="AD48" i="26" s="1"/>
  <c r="AH48" i="26" s="1"/>
  <c r="AH50" i="26" s="1"/>
  <c r="AH56" i="26" s="1"/>
  <c r="AW93" i="26"/>
  <c r="BE93" i="26" s="1"/>
  <c r="T2" i="27"/>
  <c r="U2" i="27"/>
  <c r="AW110" i="26"/>
  <c r="BE110" i="26" s="1"/>
  <c r="AW112" i="26"/>
  <c r="BE112" i="26" s="1"/>
  <c r="AW104" i="26"/>
  <c r="BE104" i="26" s="1"/>
  <c r="AW102" i="26"/>
  <c r="BE102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L50" i="26"/>
  <c r="L56" i="26" s="1"/>
  <c r="AH100" i="26"/>
  <c r="AI108" i="26"/>
  <c r="AO108" i="26" s="1"/>
  <c r="AS108" i="26" s="1"/>
  <c r="AH108" i="26"/>
  <c r="AN108" i="26" s="1"/>
  <c r="AR108" i="26" s="1"/>
  <c r="AI106" i="26"/>
  <c r="AO106" i="26" s="1"/>
  <c r="AS106" i="26" s="1"/>
  <c r="AH110" i="26"/>
  <c r="AN110" i="26" s="1"/>
  <c r="AR110" i="26" s="1"/>
  <c r="AH112" i="26"/>
  <c r="AN112" i="26" s="1"/>
  <c r="AR112" i="26" s="1"/>
  <c r="AH102" i="26"/>
  <c r="AN102" i="26" s="1"/>
  <c r="AR102" i="26" s="1"/>
  <c r="AH106" i="26"/>
  <c r="AN106" i="26" s="1"/>
  <c r="AR106" i="26" s="1"/>
  <c r="AH104" i="26"/>
  <c r="AN104" i="26" s="1"/>
  <c r="AR104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5" i="17"/>
  <c r="T3" i="26"/>
  <c r="U45" i="26"/>
  <c r="T75" i="26"/>
  <c r="U57" i="26"/>
  <c r="U51" i="26"/>
  <c r="U169" i="26"/>
  <c r="U56" i="26"/>
  <c r="U13" i="26"/>
  <c r="U19" i="26"/>
  <c r="U18" i="26"/>
  <c r="T86" i="17"/>
  <c r="T169" i="26"/>
  <c r="T51" i="26"/>
  <c r="T56" i="26"/>
  <c r="H56" i="26"/>
  <c r="AO61" i="26"/>
  <c r="AE50" i="26"/>
  <c r="AE56" i="26" s="1"/>
  <c r="AD82" i="26"/>
  <c r="AE12" i="26"/>
  <c r="AD114" i="26"/>
  <c r="AD83" i="26"/>
  <c r="AA100" i="26"/>
  <c r="AE100" i="26" s="1"/>
  <c r="P20" i="27"/>
  <c r="P37" i="27"/>
  <c r="Q21" i="27"/>
  <c r="Q36" i="27"/>
  <c r="Q22" i="27"/>
  <c r="L57" i="26"/>
  <c r="Z57" i="26" s="1"/>
  <c r="AD57" i="26" s="1"/>
  <c r="Q31" i="27"/>
  <c r="P36" i="27"/>
  <c r="T36" i="27" s="1"/>
  <c r="P27" i="27"/>
  <c r="T27" i="27" s="1"/>
  <c r="P31" i="27"/>
  <c r="P29" i="27"/>
  <c r="T29" i="27" s="1"/>
  <c r="P28" i="27"/>
  <c r="Q27" i="27"/>
  <c r="P19" i="27"/>
  <c r="T19" i="27" s="1"/>
  <c r="Q28" i="27"/>
  <c r="U28" i="27" s="1"/>
  <c r="Q19" i="27"/>
  <c r="U19" i="27" s="1"/>
  <c r="P21" i="27"/>
  <c r="T21" i="27" s="1"/>
  <c r="Q20" i="27"/>
  <c r="Q37" i="27"/>
  <c r="AA21" i="26"/>
  <c r="AE21" i="26" s="1"/>
  <c r="M57" i="26"/>
  <c r="L75" i="26"/>
  <c r="M51" i="26"/>
  <c r="L45" i="26"/>
  <c r="M45" i="26"/>
  <c r="M24" i="27"/>
  <c r="M87" i="17"/>
  <c r="Q98" i="26"/>
  <c r="U98" i="26" s="1"/>
  <c r="P50" i="26"/>
  <c r="P56" i="26" s="1"/>
  <c r="M82" i="26"/>
  <c r="Q78" i="26"/>
  <c r="U78" i="26" s="1"/>
  <c r="Q50" i="26"/>
  <c r="Q12" i="26"/>
  <c r="P13" i="26"/>
  <c r="P87" i="17"/>
  <c r="Q85" i="17"/>
  <c r="P75" i="26"/>
  <c r="M75" i="26"/>
  <c r="Q67" i="26"/>
  <c r="U67" i="26" s="1"/>
  <c r="U75" i="26" s="1"/>
  <c r="L83" i="26"/>
  <c r="P78" i="26"/>
  <c r="T78" i="26" s="1"/>
  <c r="P86" i="17"/>
  <c r="Q84" i="17"/>
  <c r="Q45" i="26"/>
  <c r="M39" i="27"/>
  <c r="L33" i="27"/>
  <c r="L39" i="27"/>
  <c r="L24" i="27"/>
  <c r="M33" i="27"/>
  <c r="M13" i="26"/>
  <c r="M19" i="26"/>
  <c r="M83" i="26"/>
  <c r="AA67" i="26"/>
  <c r="AE67" i="26" s="1"/>
  <c r="L86" i="17"/>
  <c r="L82" i="26"/>
  <c r="M77" i="26"/>
  <c r="M114" i="26"/>
  <c r="M96" i="26" s="1"/>
  <c r="AA63" i="26"/>
  <c r="AE63" i="26" s="1"/>
  <c r="AI63" i="26" s="1"/>
  <c r="Z63" i="26"/>
  <c r="AD63" i="26" s="1"/>
  <c r="AH63" i="26" s="1"/>
  <c r="H166" i="26"/>
  <c r="I56" i="26"/>
  <c r="I169" i="26"/>
  <c r="H51" i="26"/>
  <c r="H169" i="26"/>
  <c r="AA29" i="26"/>
  <c r="AE29" i="26" s="1"/>
  <c r="AI29" i="26" s="1"/>
  <c r="Z85" i="26"/>
  <c r="AD85" i="26" s="1"/>
  <c r="AH85" i="26" s="1"/>
  <c r="P26" i="27"/>
  <c r="T26" i="27" s="1"/>
  <c r="Q29" i="27"/>
  <c r="U29" i="27" s="1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4" i="26"/>
  <c r="X114" i="26"/>
  <c r="Q18" i="27"/>
  <c r="U18" i="27" s="1"/>
  <c r="P30" i="27"/>
  <c r="T30" i="27" s="1"/>
  <c r="P18" i="27"/>
  <c r="T18" i="27" s="1"/>
  <c r="Q35" i="27"/>
  <c r="U35" i="27" s="1"/>
  <c r="P35" i="27"/>
  <c r="T35" i="27" s="1"/>
  <c r="I57" i="26"/>
  <c r="I51" i="26"/>
  <c r="I47" i="26" s="1"/>
  <c r="U27" i="27" l="1"/>
  <c r="U22" i="27"/>
  <c r="U36" i="27"/>
  <c r="U37" i="27"/>
  <c r="U21" i="27"/>
  <c r="AA21" i="27" s="1"/>
  <c r="U20" i="27"/>
  <c r="U24" i="27" s="1"/>
  <c r="T31" i="27"/>
  <c r="AD50" i="26"/>
  <c r="AI83" i="26"/>
  <c r="T20" i="27"/>
  <c r="T28" i="27"/>
  <c r="U39" i="27"/>
  <c r="Z2" i="27"/>
  <c r="Z19" i="27" s="1"/>
  <c r="U31" i="27"/>
  <c r="U33" i="27" s="1"/>
  <c r="T22" i="27"/>
  <c r="T37" i="27"/>
  <c r="T39" i="27" s="1"/>
  <c r="AA2" i="27"/>
  <c r="AV110" i="26"/>
  <c r="BD110" i="26" s="1"/>
  <c r="AW106" i="26"/>
  <c r="BE106" i="26" s="1"/>
  <c r="AV104" i="26"/>
  <c r="BD104" i="26" s="1"/>
  <c r="AV108" i="26"/>
  <c r="BD108" i="26" s="1"/>
  <c r="AV106" i="26"/>
  <c r="BD106" i="26" s="1"/>
  <c r="AW108" i="26"/>
  <c r="BE108" i="26" s="1"/>
  <c r="AV102" i="26"/>
  <c r="BD102" i="26" s="1"/>
  <c r="AV112" i="26"/>
  <c r="BD112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100" i="26"/>
  <c r="AO100" i="26" s="1"/>
  <c r="AS100" i="26" s="1"/>
  <c r="AH114" i="26"/>
  <c r="AN100" i="26"/>
  <c r="AR100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8" i="26"/>
  <c r="AO59" i="26"/>
  <c r="AS59" i="26" s="1"/>
  <c r="AW59" i="26" s="1"/>
  <c r="T13" i="26"/>
  <c r="T7" i="26" s="1"/>
  <c r="T85" i="17"/>
  <c r="T87" i="17"/>
  <c r="U83" i="26"/>
  <c r="U82" i="26"/>
  <c r="T83" i="26"/>
  <c r="T82" i="26"/>
  <c r="U114" i="26"/>
  <c r="U87" i="17"/>
  <c r="U166" i="26"/>
  <c r="AS61" i="26"/>
  <c r="AW61" i="26" s="1"/>
  <c r="AN48" i="26"/>
  <c r="AO48" i="26"/>
  <c r="AO43" i="26"/>
  <c r="AE51" i="26"/>
  <c r="AE57" i="26"/>
  <c r="AE85" i="17"/>
  <c r="AE83" i="26"/>
  <c r="AO78" i="26"/>
  <c r="AS78" i="26" s="1"/>
  <c r="AI84" i="17"/>
  <c r="AE84" i="17"/>
  <c r="AD56" i="26"/>
  <c r="AE82" i="26"/>
  <c r="AE75" i="26"/>
  <c r="AD75" i="26"/>
  <c r="AE45" i="26"/>
  <c r="AE19" i="26"/>
  <c r="AE13" i="26"/>
  <c r="AE18" i="26"/>
  <c r="AA20" i="27"/>
  <c r="AA22" i="27"/>
  <c r="Z3" i="26"/>
  <c r="Z13" i="26" s="1"/>
  <c r="I166" i="26"/>
  <c r="P57" i="26"/>
  <c r="T57" i="26" s="1"/>
  <c r="T166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7" i="17"/>
  <c r="Q114" i="26"/>
  <c r="Q96" i="26" s="1"/>
  <c r="P83" i="26"/>
  <c r="P82" i="26"/>
  <c r="AA85" i="17"/>
  <c r="Q75" i="26"/>
  <c r="Q33" i="27"/>
  <c r="L166" i="26"/>
  <c r="L169" i="26"/>
  <c r="AA84" i="17"/>
  <c r="P33" i="27"/>
  <c r="AA77" i="26"/>
  <c r="AE77" i="26" s="1"/>
  <c r="AI77" i="26" s="1"/>
  <c r="AA82" i="26"/>
  <c r="AA13" i="26"/>
  <c r="X94" i="26"/>
  <c r="X50" i="26"/>
  <c r="X169" i="26" s="1"/>
  <c r="X75" i="26"/>
  <c r="T33" i="27" l="1"/>
  <c r="Z20" i="27"/>
  <c r="AN114" i="26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Z29" i="27"/>
  <c r="Z37" i="27"/>
  <c r="AD37" i="27" s="1"/>
  <c r="Z28" i="27"/>
  <c r="AD28" i="27" s="1"/>
  <c r="Z22" i="27"/>
  <c r="AD22" i="27" s="1"/>
  <c r="AD19" i="27"/>
  <c r="AH19" i="27" s="1"/>
  <c r="AN19" i="27" s="1"/>
  <c r="AR19" i="27" s="1"/>
  <c r="Z21" i="27"/>
  <c r="AD21" i="27" s="1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E27" i="27" s="1"/>
  <c r="AA31" i="27"/>
  <c r="AE31" i="27" s="1"/>
  <c r="AI31" i="27" s="1"/>
  <c r="AO31" i="27" s="1"/>
  <c r="AS31" i="27" s="1"/>
  <c r="AW31" i="27" s="1"/>
  <c r="AA28" i="27"/>
  <c r="AA26" i="27"/>
  <c r="T24" i="27"/>
  <c r="AV100" i="26"/>
  <c r="AW100" i="26"/>
  <c r="BE100" i="26" s="1"/>
  <c r="AW80" i="26"/>
  <c r="AW78" i="26"/>
  <c r="AV57" i="26"/>
  <c r="BD57" i="26" s="1"/>
  <c r="AW25" i="26"/>
  <c r="BE25" i="26" s="1"/>
  <c r="BD59" i="26"/>
  <c r="BE59" i="26"/>
  <c r="AR98" i="26"/>
  <c r="AV98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5" i="17"/>
  <c r="AN85" i="26"/>
  <c r="U96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5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6" i="17"/>
  <c r="Z87" i="17"/>
  <c r="X39" i="27"/>
  <c r="Y39" i="27"/>
  <c r="X166" i="26"/>
  <c r="AA19" i="27"/>
  <c r="AA7" i="26"/>
  <c r="AE7" i="26" s="1"/>
  <c r="Q7" i="26"/>
  <c r="U7" i="26" s="1"/>
  <c r="P166" i="26"/>
  <c r="P169" i="26"/>
  <c r="AA57" i="26"/>
  <c r="Q169" i="26"/>
  <c r="X51" i="26"/>
  <c r="X56" i="26"/>
  <c r="AA18" i="26"/>
  <c r="AA18" i="27"/>
  <c r="AE18" i="27" s="1"/>
  <c r="AI18" i="27" s="1"/>
  <c r="Z75" i="26"/>
  <c r="Z83" i="26"/>
  <c r="AA45" i="26"/>
  <c r="X83" i="26"/>
  <c r="Z50" i="26"/>
  <c r="Z169" i="26" s="1"/>
  <c r="AA50" i="26"/>
  <c r="Z18" i="27"/>
  <c r="AD18" i="27" s="1"/>
  <c r="AH18" i="27" s="1"/>
  <c r="AD29" i="27" l="1"/>
  <c r="AD27" i="27"/>
  <c r="AV82" i="26"/>
  <c r="AV19" i="27"/>
  <c r="BD19" i="27" s="1"/>
  <c r="AH22" i="27"/>
  <c r="AN22" i="27" s="1"/>
  <c r="AR22" i="27" s="1"/>
  <c r="AH36" i="27"/>
  <c r="AN36" i="27" s="1"/>
  <c r="AR36" i="27" s="1"/>
  <c r="AI27" i="27"/>
  <c r="AO27" i="27" s="1"/>
  <c r="AS27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D31" i="27"/>
  <c r="AD33" i="27" s="1"/>
  <c r="AD20" i="27"/>
  <c r="AD24" i="27" s="1"/>
  <c r="AR114" i="26"/>
  <c r="AV114" i="26"/>
  <c r="BD100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6" i="26"/>
  <c r="AW43" i="26"/>
  <c r="AW21" i="26"/>
  <c r="AW13" i="26"/>
  <c r="AW18" i="26"/>
  <c r="AW19" i="26"/>
  <c r="AR85" i="26"/>
  <c r="AV85" i="26" s="1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5" i="17"/>
  <c r="AR61" i="26"/>
  <c r="AR63" i="26"/>
  <c r="AV63" i="26" s="1"/>
  <c r="AS23" i="26"/>
  <c r="AS29" i="26"/>
  <c r="AO84" i="17"/>
  <c r="AH3" i="26"/>
  <c r="AD13" i="26"/>
  <c r="AD87" i="17"/>
  <c r="AD85" i="17"/>
  <c r="AD51" i="26"/>
  <c r="AD86" i="17"/>
  <c r="AN75" i="26"/>
  <c r="AO45" i="26"/>
  <c r="Z166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E24" i="27" l="1"/>
  <c r="AH13" i="26"/>
  <c r="AH51" i="26"/>
  <c r="AH85" i="17"/>
  <c r="AH87" i="17"/>
  <c r="AH86" i="17"/>
  <c r="AW75" i="26"/>
  <c r="BE83" i="26"/>
  <c r="AW27" i="27"/>
  <c r="BE27" i="27" s="1"/>
  <c r="AV28" i="27"/>
  <c r="BD28" i="27" s="1"/>
  <c r="AV37" i="27"/>
  <c r="BD37" i="27" s="1"/>
  <c r="AV36" i="27"/>
  <c r="BD36" i="27" s="1"/>
  <c r="AV21" i="27"/>
  <c r="BD21" i="27" s="1"/>
  <c r="AV22" i="27"/>
  <c r="BD22" i="27" s="1"/>
  <c r="AV29" i="27"/>
  <c r="BD29" i="27" s="1"/>
  <c r="AV30" i="27"/>
  <c r="BD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N26" i="27"/>
  <c r="BE77" i="26"/>
  <c r="BE43" i="26"/>
  <c r="BE82" i="26"/>
  <c r="AV61" i="26"/>
  <c r="AV75" i="26" s="1"/>
  <c r="AS84" i="17"/>
  <c r="AW29" i="26"/>
  <c r="AW84" i="17" s="1"/>
  <c r="AW23" i="26"/>
  <c r="BE21" i="26"/>
  <c r="AS85" i="17"/>
  <c r="BD98" i="26"/>
  <c r="BD114" i="26" s="1"/>
  <c r="AO7" i="26"/>
  <c r="BD78" i="26"/>
  <c r="BD80" i="26"/>
  <c r="BE9" i="26"/>
  <c r="BE12" i="26" s="1"/>
  <c r="AS19" i="26"/>
  <c r="AS18" i="26"/>
  <c r="AS13" i="26"/>
  <c r="AO47" i="26"/>
  <c r="AS47" i="26" s="1"/>
  <c r="AW47" i="26" s="1"/>
  <c r="BE31" i="27"/>
  <c r="AS56" i="26"/>
  <c r="BE48" i="26"/>
  <c r="BE50" i="26" s="1"/>
  <c r="BD48" i="26"/>
  <c r="BD50" i="26" s="1"/>
  <c r="AS57" i="26"/>
  <c r="AS45" i="26"/>
  <c r="BD63" i="26"/>
  <c r="AR75" i="26"/>
  <c r="AS75" i="26"/>
  <c r="AN3" i="26"/>
  <c r="AN18" i="27"/>
  <c r="AO18" i="27"/>
  <c r="E16" i="8"/>
  <c r="AW45" i="26" l="1"/>
  <c r="AH33" i="27"/>
  <c r="AN20" i="27"/>
  <c r="AR20" i="27" s="1"/>
  <c r="AW29" i="27"/>
  <c r="BE29" i="27" s="1"/>
  <c r="AW28" i="27"/>
  <c r="BE28" i="27" s="1"/>
  <c r="AW36" i="27"/>
  <c r="BE36" i="27" s="1"/>
  <c r="AW37" i="27"/>
  <c r="BE37" i="27" s="1"/>
  <c r="AV31" i="27"/>
  <c r="BD31" i="27" s="1"/>
  <c r="AW22" i="27"/>
  <c r="BE22" i="27" s="1"/>
  <c r="AI39" i="27"/>
  <c r="AO35" i="27"/>
  <c r="AW20" i="27"/>
  <c r="BE20" i="27" s="1"/>
  <c r="AI33" i="27"/>
  <c r="AW21" i="27"/>
  <c r="BE21" i="27" s="1"/>
  <c r="AO26" i="27"/>
  <c r="AV20" i="27"/>
  <c r="BD20" i="27" s="1"/>
  <c r="AR35" i="27"/>
  <c r="AN39" i="27"/>
  <c r="AI24" i="27"/>
  <c r="AN33" i="27"/>
  <c r="AR26" i="27"/>
  <c r="AO19" i="27"/>
  <c r="AS19" i="27" s="1"/>
  <c r="AW19" i="27" s="1"/>
  <c r="BE19" i="27" s="1"/>
  <c r="BD61" i="26"/>
  <c r="BD75" i="26" s="1"/>
  <c r="BE23" i="26"/>
  <c r="BE63" i="26"/>
  <c r="BE75" i="26" s="1"/>
  <c r="AW85" i="17"/>
  <c r="BD82" i="26"/>
  <c r="BD85" i="26"/>
  <c r="AS7" i="26"/>
  <c r="AW7" i="26" s="1"/>
  <c r="BD83" i="26"/>
  <c r="BE18" i="26"/>
  <c r="BE13" i="26"/>
  <c r="BE19" i="26"/>
  <c r="BD56" i="26"/>
  <c r="BE57" i="26"/>
  <c r="BE51" i="26"/>
  <c r="BE56" i="26"/>
  <c r="BE29" i="26"/>
  <c r="AR18" i="27"/>
  <c r="AV18" i="27" s="1"/>
  <c r="AS18" i="27"/>
  <c r="AW18" i="27" s="1"/>
  <c r="AR3" i="26"/>
  <c r="AN87" i="17"/>
  <c r="AN86" i="17"/>
  <c r="AN85" i="17"/>
  <c r="AN13" i="26"/>
  <c r="AN51" i="26"/>
  <c r="J27" i="22"/>
  <c r="N27" i="22" s="1"/>
  <c r="R27" i="22" s="1"/>
  <c r="J13" i="22"/>
  <c r="R13" i="22" s="1"/>
  <c r="V13" i="22" s="1"/>
  <c r="AV3" i="26" l="1"/>
  <c r="AR87" i="17"/>
  <c r="AR85" i="17"/>
  <c r="AR86" i="17"/>
  <c r="AN24" i="27"/>
  <c r="Z28" i="22"/>
  <c r="V27" i="22"/>
  <c r="AB27" i="22" s="1"/>
  <c r="AF27" i="22" s="1"/>
  <c r="AJ27" i="22" s="1"/>
  <c r="BE8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D3" i="26"/>
  <c r="BE45" i="26"/>
  <c r="BE84" i="17"/>
  <c r="AS24" i="27"/>
  <c r="AR24" i="27"/>
  <c r="BE47" i="26"/>
  <c r="AR13" i="26"/>
  <c r="AR51" i="26"/>
  <c r="BF142" i="45" l="1"/>
  <c r="BE176" i="10"/>
  <c r="BE77" i="11"/>
  <c r="AV13" i="26"/>
  <c r="AV87" i="17"/>
  <c r="AV51" i="26"/>
  <c r="AV86" i="17"/>
  <c r="AV85" i="17"/>
  <c r="AW35" i="27"/>
  <c r="AS39" i="27"/>
  <c r="AV39" i="27"/>
  <c r="BD35" i="27"/>
  <c r="BD39" i="27" s="1"/>
  <c r="AW26" i="27"/>
  <c r="AW33" i="27" s="1"/>
  <c r="AS33" i="27"/>
  <c r="AV33" i="27"/>
  <c r="BD26" i="27"/>
  <c r="BD33" i="27" s="1"/>
  <c r="BD13" i="26"/>
  <c r="BD87" i="17"/>
  <c r="BD86" i="17"/>
  <c r="BD51" i="26"/>
  <c r="BD85" i="17"/>
  <c r="BE18" i="27"/>
  <c r="BE24" i="27" s="1"/>
  <c r="BD18" i="27"/>
  <c r="BD24" i="27" s="1"/>
  <c r="AB13" i="22"/>
  <c r="AF13" i="22" s="1"/>
  <c r="AJ13" i="22" s="1"/>
  <c r="BE26" i="27" l="1"/>
  <c r="BE33" i="27" s="1"/>
  <c r="AW39" i="27"/>
  <c r="BE35" i="27"/>
  <c r="BE39" i="27" s="1"/>
  <c r="AP27" i="22"/>
  <c r="Z6" i="24"/>
  <c r="Y6" i="24"/>
  <c r="AP13" i="22" l="1"/>
  <c r="AT27" i="22"/>
  <c r="Z12" i="15"/>
  <c r="AD12" i="15" s="1"/>
  <c r="AX27" i="22" l="1"/>
  <c r="BF27" i="22" s="1"/>
  <c r="AH12" i="15"/>
  <c r="AN12" i="15" s="1"/>
  <c r="AR12" i="15" s="1"/>
  <c r="AT13" i="22"/>
  <c r="I61" i="8"/>
  <c r="AX13" i="22" l="1"/>
  <c r="BF13" i="22" s="1"/>
  <c r="AV12" i="15"/>
  <c r="BD12" i="15" s="1"/>
  <c r="AE61" i="8"/>
  <c r="AI61" i="8" l="1"/>
  <c r="AO61" i="8" s="1"/>
  <c r="AS61" i="8" s="1"/>
  <c r="J69" i="8"/>
  <c r="AW61" i="8" l="1"/>
  <c r="BE61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1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J60" i="8"/>
  <c r="AJ477" i="28" l="1"/>
  <c r="AJ478" i="28"/>
  <c r="AT6" i="21"/>
  <c r="AP12" i="21"/>
  <c r="AE22" i="21"/>
  <c r="AO6" i="21"/>
  <c r="AI12" i="21"/>
  <c r="J62" i="8"/>
  <c r="J59" i="8"/>
  <c r="AT12" i="21" l="1"/>
  <c r="AT477" i="28" s="1"/>
  <c r="AX6" i="21"/>
  <c r="AS6" i="21"/>
  <c r="AO12" i="21"/>
  <c r="AP477" i="28"/>
  <c r="AP478" i="28"/>
  <c r="AI22" i="21"/>
  <c r="AO22" i="21" s="1"/>
  <c r="J63" i="8"/>
  <c r="AT478" i="28" l="1"/>
  <c r="AX12" i="21"/>
  <c r="AX478" i="28" s="1"/>
  <c r="BF6" i="21"/>
  <c r="BF12" i="21" s="1"/>
  <c r="AS12" i="21"/>
  <c r="AW6" i="21"/>
  <c r="BE6" i="21" s="1"/>
  <c r="I66" i="9"/>
  <c r="J66" i="9"/>
  <c r="AX477" i="28" l="1"/>
  <c r="BF477" i="28"/>
  <c r="BF478" i="28"/>
  <c r="AW12" i="2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AW22" i="21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R19" i="22"/>
  <c r="R17" i="22"/>
  <c r="R18" i="22"/>
  <c r="R16" i="22"/>
  <c r="N14" i="22"/>
  <c r="R11" i="22"/>
  <c r="V11" i="22" s="1"/>
  <c r="V14" i="22" s="1"/>
  <c r="R9" i="22"/>
  <c r="N26" i="22"/>
  <c r="R24" i="22"/>
  <c r="V24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16" i="22" l="1"/>
  <c r="V26" i="22"/>
  <c r="V18" i="22"/>
  <c r="V17" i="22"/>
  <c r="V30" i="22"/>
  <c r="V19" i="22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F7" i="22" s="1"/>
  <c r="AJ7" i="22" s="1"/>
  <c r="AB22" i="22"/>
  <c r="AF22" i="22" s="1"/>
  <c r="AJ22" i="22" s="1"/>
  <c r="AB21" i="22"/>
  <c r="AF21" i="22" s="1"/>
  <c r="AJ21" i="22" s="1"/>
  <c r="AB24" i="22"/>
  <c r="AF24" i="22" s="1"/>
  <c r="AA13" i="22"/>
  <c r="AE13" i="22" s="1"/>
  <c r="I12" i="22"/>
  <c r="AJ9" i="22" l="1"/>
  <c r="AJ23" i="22"/>
  <c r="AJ24" i="22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23" i="22"/>
  <c r="AF11" i="22"/>
  <c r="AJ11" i="22" s="1"/>
  <c r="AJ14" i="22" s="1"/>
  <c r="AB15" i="22"/>
  <c r="AF26" i="22"/>
  <c r="AF28" i="22"/>
  <c r="AP21" i="22"/>
  <c r="AT21" i="22" s="1"/>
  <c r="AP7" i="22"/>
  <c r="AT7" i="22" s="1"/>
  <c r="AX7" i="22" s="1"/>
  <c r="AF9" i="22"/>
  <c r="AP8" i="22"/>
  <c r="AO24" i="22"/>
  <c r="AS24" i="22" s="1"/>
  <c r="AW24" i="22" s="1"/>
  <c r="AM30" i="22"/>
  <c r="AB17" i="22"/>
  <c r="AF17" i="22" s="1"/>
  <c r="AB18" i="22"/>
  <c r="AF18" i="22" s="1"/>
  <c r="AB19" i="22"/>
  <c r="AF19" i="22" s="1"/>
  <c r="AB16" i="22"/>
  <c r="AF16" i="22" s="1"/>
  <c r="AJ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9" i="22" l="1"/>
  <c r="AJ18" i="22"/>
  <c r="AX21" i="22"/>
  <c r="AP24" i="22"/>
  <c r="AT24" i="22" s="1"/>
  <c r="AX24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W10" i="22" s="1"/>
  <c r="AP31" i="22"/>
  <c r="AP30" i="22"/>
  <c r="BF7" i="22"/>
  <c r="BE24" i="22"/>
  <c r="BA30" i="22"/>
  <c r="AF14" i="22"/>
  <c r="AP25" i="22"/>
  <c r="AB12" i="22"/>
  <c r="AF10" i="22"/>
  <c r="AT8" i="22"/>
  <c r="AX8" i="22" s="1"/>
  <c r="AX9" i="22" s="1"/>
  <c r="AP9" i="22"/>
  <c r="AF15" i="22"/>
  <c r="AT22" i="22"/>
  <c r="AX22" i="22" s="1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3" i="22" l="1"/>
  <c r="BF24" i="22"/>
  <c r="BF21" i="22"/>
  <c r="AJ10" i="22"/>
  <c r="AJ12" i="22" s="1"/>
  <c r="AJ15" i="22"/>
  <c r="AP15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BE10" i="22"/>
  <c r="BA18" i="22"/>
  <c r="AT23" i="22"/>
  <c r="AT25" i="22"/>
  <c r="AX25" i="22" s="1"/>
  <c r="AX28" i="22" s="1"/>
  <c r="AP28" i="22"/>
  <c r="AP26" i="22"/>
  <c r="AP11" i="22"/>
  <c r="AT30" i="22"/>
  <c r="AX30" i="22" s="1"/>
  <c r="AP18" i="22"/>
  <c r="AP16" i="22"/>
  <c r="AP17" i="22"/>
  <c r="AF12" i="22"/>
  <c r="AT31" i="22"/>
  <c r="AX31" i="22" s="1"/>
  <c r="AO11" i="22"/>
  <c r="AS11" i="22" s="1"/>
  <c r="AW11" i="22" s="1"/>
  <c r="AW12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T17" i="22" l="1"/>
  <c r="AX26" i="22"/>
  <c r="AP10" i="22"/>
  <c r="AW14" i="22"/>
  <c r="AW27" i="22"/>
  <c r="BE27" i="22" s="1"/>
  <c r="AI29" i="22"/>
  <c r="AI28" i="22"/>
  <c r="AS22" i="22"/>
  <c r="AW22" i="22" s="1"/>
  <c r="AW23" i="22" s="1"/>
  <c r="AO23" i="22"/>
  <c r="AT16" i="22"/>
  <c r="BF31" i="22"/>
  <c r="BF30" i="22"/>
  <c r="AT19" i="22"/>
  <c r="AT18" i="22"/>
  <c r="BF25" i="22"/>
  <c r="BF22" i="22"/>
  <c r="BF23" i="22" s="1"/>
  <c r="BF8" i="22"/>
  <c r="BF9" i="22" s="1"/>
  <c r="BE11" i="22"/>
  <c r="BE14" i="22" s="1"/>
  <c r="BA19" i="22"/>
  <c r="AO15" i="22"/>
  <c r="AS15" i="22" s="1"/>
  <c r="AW15" i="22" s="1"/>
  <c r="AO14" i="22"/>
  <c r="AO9" i="22"/>
  <c r="AS8" i="22"/>
  <c r="AS12" i="22"/>
  <c r="AS14" i="22"/>
  <c r="AT11" i="22"/>
  <c r="AX11" i="22" s="1"/>
  <c r="AX14" i="22" s="1"/>
  <c r="AP14" i="22"/>
  <c r="AO12" i="22"/>
  <c r="AT26" i="22"/>
  <c r="AT28" i="22"/>
  <c r="AO25" i="22"/>
  <c r="Q32" i="27"/>
  <c r="U32" i="27" s="1"/>
  <c r="AX16" i="22" l="1"/>
  <c r="AX19" i="22"/>
  <c r="AX18" i="22"/>
  <c r="AX17" i="22"/>
  <c r="BF17" i="22" s="1"/>
  <c r="AP12" i="22"/>
  <c r="AT10" i="22"/>
  <c r="AX10" i="22" s="1"/>
  <c r="AT15" i="22"/>
  <c r="AX15" i="22" s="1"/>
  <c r="BF15" i="22" s="1"/>
  <c r="BA16" i="22"/>
  <c r="AW8" i="22"/>
  <c r="AW9" i="22" s="1"/>
  <c r="AS23" i="22"/>
  <c r="BE12" i="22"/>
  <c r="BE15" i="22"/>
  <c r="BF28" i="22"/>
  <c r="BF26" i="22"/>
  <c r="BF11" i="22"/>
  <c r="BF14" i="22" s="1"/>
  <c r="BF18" i="22"/>
  <c r="BF16" i="22"/>
  <c r="BF19" i="22"/>
  <c r="AS9" i="22"/>
  <c r="BA17" i="22" s="1"/>
  <c r="AO26" i="22"/>
  <c r="AS25" i="22"/>
  <c r="AW25" i="22" s="1"/>
  <c r="AW26" i="22" s="1"/>
  <c r="AO29" i="22"/>
  <c r="AT12" i="22"/>
  <c r="AT14" i="22"/>
  <c r="AO28" i="22"/>
  <c r="AA32" i="27"/>
  <c r="AE32" i="27" s="1"/>
  <c r="Z69" i="7"/>
  <c r="Z71" i="7" s="1"/>
  <c r="Z39" i="7"/>
  <c r="AX12" i="22" l="1"/>
  <c r="BF10" i="22"/>
  <c r="AW28" i="22"/>
  <c r="AI32" i="27"/>
  <c r="AO32" i="27" s="1"/>
  <c r="AS32" i="27" s="1"/>
  <c r="BE22" i="22"/>
  <c r="BE23" i="22" s="1"/>
  <c r="BF12" i="22"/>
  <c r="AS29" i="22"/>
  <c r="AW29" i="22" s="1"/>
  <c r="BE25" i="22"/>
  <c r="BE26" i="22" s="1"/>
  <c r="BA31" i="22"/>
  <c r="BE8" i="22"/>
  <c r="BE9" i="22" s="1"/>
  <c r="AS26" i="22"/>
  <c r="AS28" i="22"/>
  <c r="Z49" i="7"/>
  <c r="AW32" i="27" l="1"/>
  <c r="BE32" i="27" s="1"/>
  <c r="BE28" i="22"/>
  <c r="BE29" i="22"/>
  <c r="Z106" i="7"/>
  <c r="Z107" i="7"/>
  <c r="Z108" i="7"/>
  <c r="Z85" i="7"/>
  <c r="Z61" i="7"/>
  <c r="I85" i="26" l="1"/>
  <c r="I86" i="17" l="1"/>
  <c r="M85" i="26"/>
  <c r="Q85" i="26" s="1"/>
  <c r="U85" i="26" s="1"/>
  <c r="AA83" i="26"/>
  <c r="Y83" i="26"/>
  <c r="I94" i="26"/>
  <c r="U94" i="26" l="1"/>
  <c r="U86" i="17"/>
  <c r="Q86" i="17"/>
  <c r="Q94" i="26"/>
  <c r="M94" i="26"/>
  <c r="M86" i="17"/>
  <c r="AA85" i="26"/>
  <c r="AE85" i="26" s="1"/>
  <c r="AI85" i="26" s="1"/>
  <c r="AI94" i="26" s="1"/>
  <c r="Y15" i="21"/>
  <c r="AE94" i="26" l="1"/>
  <c r="AE86" i="17"/>
  <c r="AA86" i="17"/>
  <c r="AO85" i="26" l="1"/>
  <c r="AO94" i="26" s="1"/>
  <c r="AI86" i="17"/>
  <c r="AA94" i="26"/>
  <c r="AS85" i="26" l="1"/>
  <c r="AW85" i="26" s="1"/>
  <c r="AW94" i="26" s="1"/>
  <c r="AO86" i="17"/>
  <c r="AW86" i="17"/>
  <c r="AS86" i="17"/>
  <c r="BE85" i="26"/>
  <c r="AS94" i="26"/>
  <c r="L123" i="7"/>
  <c r="L124" i="7" s="1"/>
  <c r="BE94" i="26" l="1"/>
  <c r="BE86" i="17"/>
  <c r="L125" i="7"/>
  <c r="L126" i="7"/>
  <c r="L127" i="7" s="1"/>
  <c r="L128" i="7" l="1"/>
  <c r="L135" i="7" l="1"/>
  <c r="Y75" i="26" l="1"/>
  <c r="I95" i="17" l="1"/>
  <c r="Q95" i="17" s="1"/>
  <c r="U95" i="17" s="1"/>
  <c r="I99" i="17"/>
  <c r="Q99" i="17" s="1"/>
  <c r="U99" i="17" s="1"/>
  <c r="I93" i="17"/>
  <c r="Q93" i="17" s="1"/>
  <c r="U93" i="17" s="1"/>
  <c r="I94" i="17"/>
  <c r="Q94" i="17" s="1"/>
  <c r="U94" i="17" s="1"/>
  <c r="I98" i="17"/>
  <c r="Q98" i="17" s="1"/>
  <c r="U98" i="17" s="1"/>
  <c r="I102" i="17"/>
  <c r="Q102" i="17" s="1"/>
  <c r="U102" i="17" s="1"/>
  <c r="I96" i="17"/>
  <c r="Q96" i="17" s="1"/>
  <c r="U96" i="17" s="1"/>
  <c r="I100" i="17"/>
  <c r="Q100" i="17" s="1"/>
  <c r="U100" i="17" s="1"/>
  <c r="I97" i="17"/>
  <c r="Q97" i="17" s="1"/>
  <c r="U97" i="17" s="1"/>
  <c r="I101" i="17"/>
  <c r="Q101" i="17" s="1"/>
  <c r="U101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H68" i="17" s="1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1" i="17"/>
  <c r="H75" i="17"/>
  <c r="H66" i="17"/>
  <c r="H82" i="17"/>
  <c r="H76" i="17"/>
  <c r="H78" i="17"/>
  <c r="H73" i="17"/>
  <c r="H65" i="17"/>
  <c r="H71" i="17"/>
  <c r="H77" i="17"/>
  <c r="I75" i="17"/>
  <c r="I66" i="17"/>
  <c r="I71" i="17"/>
  <c r="I74" i="17" s="1"/>
  <c r="I82" i="17"/>
  <c r="I78" i="17"/>
  <c r="I73" i="17"/>
  <c r="I65" i="17"/>
  <c r="I68" i="17"/>
  <c r="I81" i="17"/>
  <c r="I77" i="17"/>
  <c r="I76" i="17"/>
  <c r="I41" i="17"/>
  <c r="I53" i="17"/>
  <c r="I43" i="17"/>
  <c r="I39" i="17"/>
  <c r="I49" i="17"/>
  <c r="I47" i="17"/>
  <c r="L3" i="17"/>
  <c r="L68" i="17" s="1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3" i="1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H74" i="17" l="1"/>
  <c r="H79" i="17" s="1"/>
  <c r="AB73" i="11"/>
  <c r="AF73" i="11" s="1"/>
  <c r="J74" i="11"/>
  <c r="AI61" i="17"/>
  <c r="AO61" i="17" s="1"/>
  <c r="AS61" i="17" s="1"/>
  <c r="AI58" i="17"/>
  <c r="AO58" i="17" s="1"/>
  <c r="AR61" i="17"/>
  <c r="AV61" i="17" s="1"/>
  <c r="BD61" i="17" s="1"/>
  <c r="BB61" i="17"/>
  <c r="BB62" i="17" s="1"/>
  <c r="T11" i="17"/>
  <c r="U116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8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5" i="17"/>
  <c r="L78" i="17"/>
  <c r="L30" i="17"/>
  <c r="P16" i="17"/>
  <c r="T16" i="17" s="1"/>
  <c r="M71" i="17"/>
  <c r="L75" i="17"/>
  <c r="L49" i="17"/>
  <c r="P48" i="17"/>
  <c r="T48" i="17" s="1"/>
  <c r="L81" i="17"/>
  <c r="Q116" i="17"/>
  <c r="L76" i="17"/>
  <c r="L82" i="17"/>
  <c r="M14" i="17"/>
  <c r="M76" i="17"/>
  <c r="L72" i="17"/>
  <c r="M78" i="17"/>
  <c r="M82" i="17"/>
  <c r="L73" i="17"/>
  <c r="M72" i="17"/>
  <c r="M81" i="17"/>
  <c r="L77" i="17"/>
  <c r="M53" i="17"/>
  <c r="M43" i="17"/>
  <c r="M47" i="17"/>
  <c r="M41" i="17"/>
  <c r="M49" i="17"/>
  <c r="M39" i="17"/>
  <c r="M77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6" i="17"/>
  <c r="M13" i="17"/>
  <c r="Q8" i="17"/>
  <c r="U8" i="17" s="1"/>
  <c r="I12" i="17"/>
  <c r="H88" i="17"/>
  <c r="L88" i="17" s="1"/>
  <c r="Z8" i="17"/>
  <c r="AD8" i="17" s="1"/>
  <c r="AH8" i="17" s="1"/>
  <c r="AH11" i="17" s="1"/>
  <c r="H49" i="17"/>
  <c r="I67" i="17"/>
  <c r="I69" i="17" s="1"/>
  <c r="I79" i="17"/>
  <c r="I33" i="17"/>
  <c r="I88" i="17"/>
  <c r="I91" i="17"/>
  <c r="I34" i="17"/>
  <c r="I31" i="17"/>
  <c r="I83" i="17"/>
  <c r="I35" i="17"/>
  <c r="I32" i="17"/>
  <c r="R73" i="11"/>
  <c r="I44" i="17"/>
  <c r="H19" i="17"/>
  <c r="P19" i="17" s="1"/>
  <c r="T19" i="17" s="1"/>
  <c r="H18" i="17"/>
  <c r="P18" i="17" s="1"/>
  <c r="T18" i="17" s="1"/>
  <c r="Q3" i="17"/>
  <c r="H83" i="17"/>
  <c r="H15" i="17"/>
  <c r="H30" i="17"/>
  <c r="H59" i="17"/>
  <c r="H62" i="17" s="1"/>
  <c r="I14" i="17"/>
  <c r="I60" i="17"/>
  <c r="H67" i="17"/>
  <c r="H69" i="17" s="1"/>
  <c r="I13" i="17"/>
  <c r="H11" i="17"/>
  <c r="H116" i="17"/>
  <c r="I11" i="17"/>
  <c r="I70" i="11"/>
  <c r="I68" i="11"/>
  <c r="J2" i="11"/>
  <c r="J77" i="11" s="1"/>
  <c r="I2" i="11"/>
  <c r="I77" i="11" s="1"/>
  <c r="I5" i="11"/>
  <c r="I58" i="11" s="1"/>
  <c r="I169" i="10"/>
  <c r="I167" i="10"/>
  <c r="J2" i="10"/>
  <c r="J176" i="10" s="1"/>
  <c r="I2" i="10"/>
  <c r="I176" i="10" s="1"/>
  <c r="T49" i="17" l="1"/>
  <c r="P68" i="17"/>
  <c r="T68" i="17" s="1"/>
  <c r="L74" i="17"/>
  <c r="AB74" i="11"/>
  <c r="M74" i="17"/>
  <c r="M79" i="17" s="1"/>
  <c r="V73" i="11"/>
  <c r="V74" i="11" s="1"/>
  <c r="R74" i="11"/>
  <c r="AJ73" i="11"/>
  <c r="AJ74" i="11" s="1"/>
  <c r="AF74" i="11"/>
  <c r="AI59" i="17"/>
  <c r="AI62" i="17" s="1"/>
  <c r="AS58" i="17"/>
  <c r="AW58" i="17" s="1"/>
  <c r="BE58" i="17" s="1"/>
  <c r="M91" i="17"/>
  <c r="AH50" i="17"/>
  <c r="AH114" i="17" s="1"/>
  <c r="T30" i="17"/>
  <c r="AH58" i="17"/>
  <c r="AH59" i="17" s="1"/>
  <c r="Q14" i="17"/>
  <c r="U3" i="17"/>
  <c r="AW61" i="17"/>
  <c r="AV48" i="17"/>
  <c r="BD48" i="17" s="1"/>
  <c r="U59" i="17"/>
  <c r="U11" i="17"/>
  <c r="T22" i="17"/>
  <c r="AO57" i="17"/>
  <c r="AS57" i="17" s="1"/>
  <c r="AE62" i="17"/>
  <c r="M60" i="17"/>
  <c r="Z116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3" i="17"/>
  <c r="L15" i="17"/>
  <c r="P71" i="17"/>
  <c r="P88" i="17"/>
  <c r="T88" i="17" s="1"/>
  <c r="P65" i="17"/>
  <c r="T65" i="17" s="1"/>
  <c r="P75" i="17"/>
  <c r="T75" i="17" s="1"/>
  <c r="Q88" i="17"/>
  <c r="U88" i="17" s="1"/>
  <c r="P76" i="17"/>
  <c r="T76" i="17" s="1"/>
  <c r="P77" i="17"/>
  <c r="T77" i="17" s="1"/>
  <c r="P66" i="17"/>
  <c r="T66" i="17" s="1"/>
  <c r="P81" i="17"/>
  <c r="T81" i="17" s="1"/>
  <c r="Q77" i="17"/>
  <c r="P73" i="17"/>
  <c r="T73" i="17" s="1"/>
  <c r="P72" i="17"/>
  <c r="T72" i="17" s="1"/>
  <c r="P82" i="17"/>
  <c r="T82" i="17" s="1"/>
  <c r="H117" i="17"/>
  <c r="M30" i="17"/>
  <c r="Q16" i="17"/>
  <c r="U16" i="17" s="1"/>
  <c r="Q82" i="17"/>
  <c r="U82" i="17" s="1"/>
  <c r="L53" i="17"/>
  <c r="L117" i="17" s="1"/>
  <c r="P52" i="17"/>
  <c r="T52" i="17" s="1"/>
  <c r="M67" i="17"/>
  <c r="M69" i="17" s="1"/>
  <c r="Q65" i="17"/>
  <c r="U65" i="17" s="1"/>
  <c r="Q13" i="17"/>
  <c r="Q71" i="17"/>
  <c r="Q73" i="17"/>
  <c r="U73" i="17" s="1"/>
  <c r="Q68" i="17"/>
  <c r="U68" i="17" s="1"/>
  <c r="Q78" i="17"/>
  <c r="U78" i="17" s="1"/>
  <c r="Q66" i="17"/>
  <c r="U66" i="17" s="1"/>
  <c r="L47" i="17"/>
  <c r="P46" i="17"/>
  <c r="T46" i="17" s="1"/>
  <c r="T47" i="17" s="1"/>
  <c r="M83" i="17"/>
  <c r="Q81" i="17"/>
  <c r="U81" i="17" s="1"/>
  <c r="P49" i="17"/>
  <c r="P30" i="17"/>
  <c r="P78" i="17"/>
  <c r="T78" i="17" s="1"/>
  <c r="Q47" i="17"/>
  <c r="Q43" i="17"/>
  <c r="Q53" i="17"/>
  <c r="Q49" i="17"/>
  <c r="Q39" i="17"/>
  <c r="Q41" i="17"/>
  <c r="P22" i="17"/>
  <c r="P14" i="17"/>
  <c r="Q72" i="17"/>
  <c r="U72" i="17" s="1"/>
  <c r="Q76" i="17"/>
  <c r="U76" i="17" s="1"/>
  <c r="P13" i="17"/>
  <c r="T13" i="17" s="1"/>
  <c r="Q75" i="17"/>
  <c r="M117" i="17"/>
  <c r="Q12" i="17"/>
  <c r="Q11" i="17"/>
  <c r="M33" i="17"/>
  <c r="M32" i="17"/>
  <c r="L79" i="17"/>
  <c r="L67" i="17"/>
  <c r="L69" i="17" s="1"/>
  <c r="M35" i="17"/>
  <c r="I50" i="17"/>
  <c r="I54" i="17" s="1"/>
  <c r="Q44" i="17"/>
  <c r="U44" i="17" s="1"/>
  <c r="L116" i="17"/>
  <c r="M12" i="17"/>
  <c r="M11" i="17"/>
  <c r="M31" i="17"/>
  <c r="L22" i="17"/>
  <c r="M34" i="17"/>
  <c r="I178" i="10"/>
  <c r="L66" i="59" s="1"/>
  <c r="I79" i="11"/>
  <c r="L70" i="59" s="1"/>
  <c r="Q169" i="10"/>
  <c r="U169" i="10" s="1"/>
  <c r="AA59" i="17"/>
  <c r="H91" i="17"/>
  <c r="Q68" i="11"/>
  <c r="U68" i="11" s="1"/>
  <c r="I78" i="11"/>
  <c r="I75" i="11"/>
  <c r="I76" i="11"/>
  <c r="Q70" i="11"/>
  <c r="U70" i="11" s="1"/>
  <c r="N2" i="11"/>
  <c r="N77" i="11" s="1"/>
  <c r="J78" i="11"/>
  <c r="J76" i="11"/>
  <c r="J75" i="11"/>
  <c r="I45" i="17"/>
  <c r="I175" i="10"/>
  <c r="I177" i="10"/>
  <c r="I174" i="10"/>
  <c r="N2" i="10"/>
  <c r="N176" i="10" s="1"/>
  <c r="J177" i="10"/>
  <c r="J175" i="10"/>
  <c r="J174" i="10"/>
  <c r="H22" i="17"/>
  <c r="I66" i="11"/>
  <c r="H60" i="17"/>
  <c r="M2" i="11"/>
  <c r="M77" i="11" s="1"/>
  <c r="I72" i="11"/>
  <c r="I170" i="10"/>
  <c r="I71" i="11"/>
  <c r="I172" i="10"/>
  <c r="I173" i="10" s="1"/>
  <c r="I165" i="10"/>
  <c r="M2" i="10"/>
  <c r="M176" i="10" s="1"/>
  <c r="H70" i="59"/>
  <c r="H66" i="59"/>
  <c r="I15" i="17"/>
  <c r="I73" i="11"/>
  <c r="I69" i="11"/>
  <c r="L69" i="59" s="1"/>
  <c r="I168" i="10"/>
  <c r="L65" i="59" s="1"/>
  <c r="J5" i="11"/>
  <c r="J58" i="11" s="1"/>
  <c r="Q74" i="17" l="1"/>
  <c r="T71" i="17"/>
  <c r="T74" i="17" s="1"/>
  <c r="P74" i="17"/>
  <c r="AA73" i="11"/>
  <c r="AE73" i="11" s="1"/>
  <c r="I74" i="11"/>
  <c r="AP73" i="11"/>
  <c r="AV8" i="17"/>
  <c r="AV11" i="17" s="1"/>
  <c r="AR11" i="17"/>
  <c r="AW57" i="17"/>
  <c r="AW59" i="17" s="1"/>
  <c r="AW62" i="17" s="1"/>
  <c r="AS59" i="17"/>
  <c r="AS62" i="17" s="1"/>
  <c r="L91" i="17"/>
  <c r="T67" i="17"/>
  <c r="T69" i="17" s="1"/>
  <c r="AH54" i="17"/>
  <c r="AH62" i="17"/>
  <c r="AV46" i="17"/>
  <c r="BD46" i="17" s="1"/>
  <c r="BD50" i="17" s="1"/>
  <c r="U43" i="17"/>
  <c r="U53" i="17"/>
  <c r="U49" i="17"/>
  <c r="U39" i="17"/>
  <c r="U41" i="17"/>
  <c r="U47" i="17"/>
  <c r="U14" i="17"/>
  <c r="U13" i="17"/>
  <c r="U12" i="17"/>
  <c r="AN58" i="17"/>
  <c r="AH116" i="17"/>
  <c r="AH118" i="17" s="1"/>
  <c r="U71" i="17"/>
  <c r="U74" i="17" s="1"/>
  <c r="U75" i="17"/>
  <c r="U77" i="17"/>
  <c r="AR50" i="17"/>
  <c r="AR114" i="17" s="1"/>
  <c r="BE61" i="17"/>
  <c r="Q77" i="11"/>
  <c r="U77" i="11" s="1"/>
  <c r="U79" i="11"/>
  <c r="X70" i="59" s="1"/>
  <c r="U71" i="11"/>
  <c r="U69" i="11"/>
  <c r="U67" i="17"/>
  <c r="U69" i="17" s="1"/>
  <c r="T15" i="17"/>
  <c r="T83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U83" i="17"/>
  <c r="T53" i="17"/>
  <c r="T117" i="17" s="1"/>
  <c r="T116" i="17"/>
  <c r="T59" i="17"/>
  <c r="Q91" i="17"/>
  <c r="U91" i="17" s="1"/>
  <c r="L62" i="17"/>
  <c r="AO59" i="17"/>
  <c r="AO62" i="17" s="1"/>
  <c r="Q60" i="17"/>
  <c r="P83" i="17"/>
  <c r="AN11" i="17"/>
  <c r="AN57" i="17"/>
  <c r="AR57" i="17" s="1"/>
  <c r="AN50" i="17"/>
  <c r="AD54" i="17"/>
  <c r="AD62" i="17"/>
  <c r="AD114" i="17"/>
  <c r="AN52" i="17"/>
  <c r="AD116" i="17"/>
  <c r="AA91" i="17"/>
  <c r="AE91" i="17" s="1"/>
  <c r="AI91" i="17" s="1"/>
  <c r="P59" i="17"/>
  <c r="P67" i="17"/>
  <c r="P69" i="17" s="1"/>
  <c r="P79" i="17"/>
  <c r="Q35" i="17"/>
  <c r="U35" i="17" s="1"/>
  <c r="P15" i="17"/>
  <c r="Q117" i="17"/>
  <c r="Q79" i="17"/>
  <c r="P31" i="17"/>
  <c r="P34" i="17"/>
  <c r="P32" i="17"/>
  <c r="P47" i="17"/>
  <c r="Z3" i="17"/>
  <c r="Z68" i="17" s="1"/>
  <c r="P53" i="17"/>
  <c r="P117" i="17" s="1"/>
  <c r="P116" i="17"/>
  <c r="Q30" i="17"/>
  <c r="Q34" i="17"/>
  <c r="Q32" i="17"/>
  <c r="Q33" i="17"/>
  <c r="Q31" i="17"/>
  <c r="Q45" i="17"/>
  <c r="Q50" i="17"/>
  <c r="Q83" i="17"/>
  <c r="Q67" i="17"/>
  <c r="Q69" i="17" s="1"/>
  <c r="AA62" i="17"/>
  <c r="Q15" i="17"/>
  <c r="M45" i="17"/>
  <c r="M50" i="17"/>
  <c r="L32" i="17"/>
  <c r="L31" i="17"/>
  <c r="L34" i="17"/>
  <c r="L33" i="17"/>
  <c r="M15" i="17"/>
  <c r="N75" i="11"/>
  <c r="N78" i="11"/>
  <c r="N76" i="11"/>
  <c r="M174" i="10"/>
  <c r="M175" i="10"/>
  <c r="Y175" i="10" s="1"/>
  <c r="M177" i="10"/>
  <c r="Y177" i="10" s="1"/>
  <c r="M75" i="11"/>
  <c r="M78" i="11"/>
  <c r="M76" i="11"/>
  <c r="N175" i="10"/>
  <c r="Z175" i="10" s="1"/>
  <c r="N174" i="10"/>
  <c r="Z174" i="10" s="1"/>
  <c r="N177" i="10"/>
  <c r="Z177" i="10" s="1"/>
  <c r="Q79" i="11"/>
  <c r="T70" i="59" s="1"/>
  <c r="AA70" i="11"/>
  <c r="AE70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6" i="11"/>
  <c r="U66" i="11" s="1"/>
  <c r="U67" i="11" s="1"/>
  <c r="AA66" i="11"/>
  <c r="AE66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70" i="10"/>
  <c r="AA168" i="10"/>
  <c r="AD65" i="59" s="1"/>
  <c r="AA3" i="17"/>
  <c r="AE3" i="17" s="1"/>
  <c r="AA22" i="17"/>
  <c r="Q167" i="10"/>
  <c r="U167" i="10" s="1"/>
  <c r="U170" i="10" s="1"/>
  <c r="H32" i="17"/>
  <c r="H31" i="17"/>
  <c r="H34" i="17"/>
  <c r="H33" i="17"/>
  <c r="J89" i="11"/>
  <c r="J84" i="11"/>
  <c r="J72" i="11"/>
  <c r="Q71" i="11"/>
  <c r="Q69" i="11"/>
  <c r="T69" i="59" s="1"/>
  <c r="Q73" i="11"/>
  <c r="I51" i="17"/>
  <c r="I70" i="59"/>
  <c r="Q5" i="11"/>
  <c r="U5" i="11" s="1"/>
  <c r="U58" i="11" s="1"/>
  <c r="AA165" i="10"/>
  <c r="AE165" i="10" s="1"/>
  <c r="AI165" i="10" s="1"/>
  <c r="AI166" i="10" s="1"/>
  <c r="H35" i="17"/>
  <c r="L35" i="17" s="1"/>
  <c r="P35" i="17" s="1"/>
  <c r="T35" i="17" s="1"/>
  <c r="I67" i="11"/>
  <c r="I166" i="10"/>
  <c r="J92" i="11"/>
  <c r="I66" i="59"/>
  <c r="T79" i="17" l="1"/>
  <c r="BD8" i="17"/>
  <c r="AA74" i="11"/>
  <c r="U73" i="11"/>
  <c r="U74" i="11" s="1"/>
  <c r="Q74" i="11"/>
  <c r="AT73" i="11"/>
  <c r="AP74" i="11"/>
  <c r="AI73" i="11"/>
  <c r="AI74" i="11" s="1"/>
  <c r="AE74" i="11"/>
  <c r="U117" i="17"/>
  <c r="U79" i="17"/>
  <c r="AV57" i="17"/>
  <c r="AR52" i="17"/>
  <c r="AV50" i="17"/>
  <c r="AV114" i="17" s="1"/>
  <c r="AR58" i="17"/>
  <c r="AV58" i="17" s="1"/>
  <c r="BD58" i="17" s="1"/>
  <c r="U15" i="17"/>
  <c r="AA77" i="11"/>
  <c r="AE77" i="11" s="1"/>
  <c r="AI77" i="11" s="1"/>
  <c r="AO77" i="11" s="1"/>
  <c r="AS77" i="11" s="1"/>
  <c r="AW77" i="11" s="1"/>
  <c r="R77" i="11"/>
  <c r="V77" i="11" s="1"/>
  <c r="AB77" i="11"/>
  <c r="AF77" i="11" s="1"/>
  <c r="AJ77" i="11" s="1"/>
  <c r="AP77" i="11" s="1"/>
  <c r="AT77" i="11" s="1"/>
  <c r="AX77" i="11" s="1"/>
  <c r="AA176" i="10"/>
  <c r="AE176" i="10" s="1"/>
  <c r="AI176" i="10" s="1"/>
  <c r="AO176" i="10" s="1"/>
  <c r="Q176" i="10"/>
  <c r="U176" i="10" s="1"/>
  <c r="R176" i="10"/>
  <c r="V176" i="10" s="1"/>
  <c r="AB176" i="10"/>
  <c r="AF176" i="10" s="1"/>
  <c r="AJ176" i="10" s="1"/>
  <c r="AP176" i="10" s="1"/>
  <c r="AI5" i="11"/>
  <c r="AI70" i="11"/>
  <c r="AI66" i="11"/>
  <c r="AO66" i="11" s="1"/>
  <c r="AS66" i="11" s="1"/>
  <c r="U168" i="10"/>
  <c r="X65" i="59" s="1"/>
  <c r="T62" i="17"/>
  <c r="T60" i="17"/>
  <c r="U51" i="17"/>
  <c r="U115" i="17" s="1"/>
  <c r="U54" i="17"/>
  <c r="U55" i="17" s="1"/>
  <c r="U114" i="17"/>
  <c r="U118" i="17" s="1"/>
  <c r="AO91" i="17"/>
  <c r="AS91" i="17" s="1"/>
  <c r="AW91" i="17" s="1"/>
  <c r="AT2" i="10"/>
  <c r="AX2" i="10" s="1"/>
  <c r="BF2" i="10" s="1"/>
  <c r="BD2" i="10"/>
  <c r="AS2" i="10"/>
  <c r="AW2" i="10" s="1"/>
  <c r="BE2" i="10" s="1"/>
  <c r="BC2" i="10"/>
  <c r="BD11" i="17"/>
  <c r="BD114" i="17"/>
  <c r="AN59" i="17"/>
  <c r="AN62" i="17" s="1"/>
  <c r="AN54" i="17"/>
  <c r="AN116" i="17"/>
  <c r="AN114" i="17"/>
  <c r="AE58" i="11"/>
  <c r="AE166" i="10"/>
  <c r="AD3" i="17"/>
  <c r="AD88" i="17" s="1"/>
  <c r="AD118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9" i="11"/>
  <c r="AH70" i="59" s="1"/>
  <c r="AA65" i="17"/>
  <c r="AE65" i="17" s="1"/>
  <c r="AI65" i="17" s="1"/>
  <c r="AA66" i="17"/>
  <c r="AE66" i="17" s="1"/>
  <c r="AI66" i="17" s="1"/>
  <c r="AA68" i="17"/>
  <c r="AE68" i="17" s="1"/>
  <c r="AI68" i="17" s="1"/>
  <c r="Z14" i="17"/>
  <c r="Z71" i="17"/>
  <c r="Z76" i="17"/>
  <c r="Z13" i="17"/>
  <c r="Z78" i="17"/>
  <c r="Z72" i="17"/>
  <c r="Z77" i="17"/>
  <c r="Z73" i="17"/>
  <c r="Z75" i="17"/>
  <c r="P62" i="17"/>
  <c r="P60" i="17"/>
  <c r="P91" i="17"/>
  <c r="T91" i="17" s="1"/>
  <c r="Y71" i="11"/>
  <c r="Y69" i="11"/>
  <c r="AB69" i="59" s="1"/>
  <c r="Y67" i="11"/>
  <c r="AA68" i="11"/>
  <c r="AE68" i="11" s="1"/>
  <c r="AI68" i="11" s="1"/>
  <c r="Z66" i="17"/>
  <c r="Q51" i="17"/>
  <c r="Q115" i="17" s="1"/>
  <c r="Q119" i="17" s="1"/>
  <c r="Q54" i="17"/>
  <c r="Q55" i="17" s="1"/>
  <c r="Q114" i="17"/>
  <c r="Q118" i="17" s="1"/>
  <c r="Z81" i="17"/>
  <c r="Z82" i="17"/>
  <c r="AA35" i="17"/>
  <c r="AE35" i="17" s="1"/>
  <c r="AA58" i="11"/>
  <c r="AD68" i="59" s="1"/>
  <c r="Q58" i="11"/>
  <c r="T68" i="59" s="1"/>
  <c r="AA60" i="17"/>
  <c r="AA72" i="17"/>
  <c r="AE72" i="17" s="1"/>
  <c r="AI72" i="17" s="1"/>
  <c r="AA41" i="17"/>
  <c r="AA49" i="17"/>
  <c r="AA43" i="17"/>
  <c r="M51" i="17"/>
  <c r="M115" i="17" s="1"/>
  <c r="M119" i="17" s="1"/>
  <c r="M54" i="17"/>
  <c r="M55" i="17" s="1"/>
  <c r="M114" i="17"/>
  <c r="AA53" i="17"/>
  <c r="AA47" i="17"/>
  <c r="AA39" i="17"/>
  <c r="AA11" i="17"/>
  <c r="AA79" i="11"/>
  <c r="AD70" i="59" s="1"/>
  <c r="AA72" i="11"/>
  <c r="AE72" i="11" s="1"/>
  <c r="AB175" i="10"/>
  <c r="AF175" i="10" s="1"/>
  <c r="AB174" i="10"/>
  <c r="AF174" i="10" s="1"/>
  <c r="AA13" i="17"/>
  <c r="AA177" i="10"/>
  <c r="AE177" i="10" s="1"/>
  <c r="Q67" i="11"/>
  <c r="X68" i="59"/>
  <c r="AB5" i="11"/>
  <c r="AF5" i="11" s="1"/>
  <c r="AJ5" i="11" s="1"/>
  <c r="AA166" i="10"/>
  <c r="AA81" i="17"/>
  <c r="AE81" i="17" s="1"/>
  <c r="AI81" i="17" s="1"/>
  <c r="AA77" i="17"/>
  <c r="AE77" i="17" s="1"/>
  <c r="AI77" i="17" s="1"/>
  <c r="AA82" i="17"/>
  <c r="AE82" i="17" s="1"/>
  <c r="AI82" i="17" s="1"/>
  <c r="AA71" i="17"/>
  <c r="AA78" i="17"/>
  <c r="AE78" i="17" s="1"/>
  <c r="AI78" i="17" s="1"/>
  <c r="AA76" i="17"/>
  <c r="AE76" i="17" s="1"/>
  <c r="AI76" i="17" s="1"/>
  <c r="AA73" i="17"/>
  <c r="AE73" i="17" s="1"/>
  <c r="AI73" i="17" s="1"/>
  <c r="AA75" i="17"/>
  <c r="AE75" i="17" s="1"/>
  <c r="Q76" i="11"/>
  <c r="U76" i="11" s="1"/>
  <c r="AA76" i="11"/>
  <c r="AE76" i="11" s="1"/>
  <c r="R76" i="11"/>
  <c r="V76" i="11" s="1"/>
  <c r="AB76" i="11"/>
  <c r="AF76" i="11" s="1"/>
  <c r="R78" i="11"/>
  <c r="V78" i="11" s="1"/>
  <c r="AB78" i="11"/>
  <c r="AF78" i="11" s="1"/>
  <c r="Q78" i="11"/>
  <c r="U78" i="11" s="1"/>
  <c r="AA78" i="11"/>
  <c r="AE78" i="11" s="1"/>
  <c r="R75" i="11"/>
  <c r="V75" i="11" s="1"/>
  <c r="AB75" i="11"/>
  <c r="AF75" i="11" s="1"/>
  <c r="AA175" i="10"/>
  <c r="AE175" i="10" s="1"/>
  <c r="AB177" i="10"/>
  <c r="AF177" i="10" s="1"/>
  <c r="Z65" i="17"/>
  <c r="Q168" i="10"/>
  <c r="T65" i="59" s="1"/>
  <c r="Q170" i="10"/>
  <c r="Q177" i="10"/>
  <c r="U177" i="10" s="1"/>
  <c r="Q165" i="10"/>
  <c r="U165" i="10" s="1"/>
  <c r="U166" i="10" s="1"/>
  <c r="R177" i="10"/>
  <c r="V177" i="10" s="1"/>
  <c r="R174" i="10"/>
  <c r="V174" i="10" s="1"/>
  <c r="Q172" i="10"/>
  <c r="U172" i="10" s="1"/>
  <c r="Q175" i="10"/>
  <c r="U175" i="10" s="1"/>
  <c r="R175" i="10"/>
  <c r="V175" i="10" s="1"/>
  <c r="Z11" i="17"/>
  <c r="Z59" i="17"/>
  <c r="Z91" i="17" s="1"/>
  <c r="AD91" i="17" s="1"/>
  <c r="AH91" i="17" s="1"/>
  <c r="Z30" i="17"/>
  <c r="AA14" i="17"/>
  <c r="I55" i="17"/>
  <c r="AA30" i="17"/>
  <c r="AA31" i="17"/>
  <c r="AA34" i="17"/>
  <c r="AA32" i="17"/>
  <c r="AA33" i="17"/>
  <c r="J96" i="11"/>
  <c r="J94" i="11"/>
  <c r="J191" i="10"/>
  <c r="J193" i="10" s="1"/>
  <c r="R5" i="11"/>
  <c r="V5" i="11" s="1"/>
  <c r="Q72" i="11"/>
  <c r="U72" i="11" s="1"/>
  <c r="I5" i="10"/>
  <c r="I161" i="10" s="1"/>
  <c r="AD78" i="17" l="1"/>
  <c r="AD68" i="17"/>
  <c r="Z74" i="17"/>
  <c r="AE71" i="17"/>
  <c r="AA74" i="17"/>
  <c r="U119" i="17"/>
  <c r="AI72" i="11"/>
  <c r="AO73" i="11"/>
  <c r="AS73" i="11" s="1"/>
  <c r="AI83" i="17"/>
  <c r="AX73" i="11"/>
  <c r="AT74" i="11"/>
  <c r="AI35" i="17"/>
  <c r="AO35" i="17" s="1"/>
  <c r="AI67" i="17"/>
  <c r="AI69" i="17" s="1"/>
  <c r="AI75" i="17"/>
  <c r="AO75" i="17" s="1"/>
  <c r="AS75" i="17" s="1"/>
  <c r="AV52" i="17"/>
  <c r="AR116" i="17"/>
  <c r="AR118" i="17" s="1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76" i="10"/>
  <c r="AW176" i="10" s="1"/>
  <c r="AT176" i="10"/>
  <c r="AX176" i="10" s="1"/>
  <c r="AW66" i="11"/>
  <c r="BE66" i="11" s="1"/>
  <c r="AJ89" i="11"/>
  <c r="AJ96" i="11" s="1"/>
  <c r="AJ58" i="11"/>
  <c r="AJ84" i="11"/>
  <c r="V89" i="11"/>
  <c r="V96" i="11" s="1"/>
  <c r="V58" i="11"/>
  <c r="V84" i="11"/>
  <c r="AI58" i="11"/>
  <c r="AI69" i="11"/>
  <c r="AI67" i="11"/>
  <c r="AI71" i="11"/>
  <c r="AI79" i="11"/>
  <c r="AL70" i="59" s="1"/>
  <c r="AE69" i="11"/>
  <c r="AH69" i="59" s="1"/>
  <c r="AO70" i="11"/>
  <c r="AJ78" i="11"/>
  <c r="AP78" i="11" s="1"/>
  <c r="AT78" i="11" s="1"/>
  <c r="AI177" i="10"/>
  <c r="AO177" i="10" s="1"/>
  <c r="AS177" i="10" s="1"/>
  <c r="AI78" i="11"/>
  <c r="AO78" i="11" s="1"/>
  <c r="AS78" i="11" s="1"/>
  <c r="AJ177" i="10"/>
  <c r="AP177" i="10" s="1"/>
  <c r="AT177" i="10" s="1"/>
  <c r="AJ175" i="10"/>
  <c r="AP175" i="10" s="1"/>
  <c r="AT175" i="10" s="1"/>
  <c r="AI175" i="10"/>
  <c r="AO175" i="10" s="1"/>
  <c r="AS175" i="10" s="1"/>
  <c r="AJ76" i="11"/>
  <c r="AP76" i="11" s="1"/>
  <c r="AT76" i="11" s="1"/>
  <c r="AI76" i="11"/>
  <c r="AO76" i="11" s="1"/>
  <c r="AS76" i="11" s="1"/>
  <c r="AJ75" i="11"/>
  <c r="AP75" i="11" s="1"/>
  <c r="AT75" i="11" s="1"/>
  <c r="AJ174" i="10"/>
  <c r="AP174" i="10" s="1"/>
  <c r="AT174" i="10" s="1"/>
  <c r="AO73" i="17"/>
  <c r="AO82" i="17"/>
  <c r="AO72" i="17"/>
  <c r="AS72" i="17" s="1"/>
  <c r="AD13" i="17"/>
  <c r="AD82" i="17"/>
  <c r="AD77" i="17"/>
  <c r="AD65" i="17"/>
  <c r="AO78" i="17"/>
  <c r="AS78" i="17" s="1"/>
  <c r="AD72" i="17"/>
  <c r="AN91" i="17"/>
  <c r="AN118" i="17"/>
  <c r="BC177" i="10"/>
  <c r="BC174" i="10"/>
  <c r="BC175" i="10"/>
  <c r="BD177" i="10"/>
  <c r="BD175" i="10"/>
  <c r="BD174" i="10"/>
  <c r="BE57" i="17"/>
  <c r="BE59" i="17" s="1"/>
  <c r="BE91" i="17" s="1"/>
  <c r="AE117" i="17"/>
  <c r="AO165" i="10"/>
  <c r="AO30" i="17"/>
  <c r="AO13" i="17"/>
  <c r="AO53" i="17"/>
  <c r="AO47" i="17"/>
  <c r="AO51" i="17"/>
  <c r="AD75" i="17"/>
  <c r="AD76" i="17"/>
  <c r="AD66" i="17"/>
  <c r="AD73" i="17"/>
  <c r="AF89" i="11"/>
  <c r="AF96" i="11" s="1"/>
  <c r="AF58" i="11"/>
  <c r="AF22" i="36" s="1"/>
  <c r="AI68" i="59" s="1"/>
  <c r="AF84" i="11"/>
  <c r="AO5" i="11"/>
  <c r="AA71" i="11"/>
  <c r="AA67" i="11"/>
  <c r="AO68" i="11"/>
  <c r="AS68" i="11" s="1"/>
  <c r="AE115" i="17"/>
  <c r="AE15" i="17"/>
  <c r="AE83" i="17"/>
  <c r="AE67" i="17"/>
  <c r="AE69" i="17" s="1"/>
  <c r="AD81" i="17"/>
  <c r="AH3" i="17"/>
  <c r="AH78" i="17" s="1"/>
  <c r="AD14" i="17"/>
  <c r="AD45" i="17"/>
  <c r="AD30" i="17"/>
  <c r="AD49" i="17"/>
  <c r="AD47" i="17"/>
  <c r="AD60" i="17"/>
  <c r="AD53" i="17"/>
  <c r="AD71" i="17"/>
  <c r="AD74" i="17" s="1"/>
  <c r="AE67" i="11"/>
  <c r="AE71" i="11"/>
  <c r="AA69" i="11"/>
  <c r="AD69" i="59" s="1"/>
  <c r="AA117" i="17"/>
  <c r="M118" i="17"/>
  <c r="Z15" i="17"/>
  <c r="AB58" i="11"/>
  <c r="AE68" i="59" s="1"/>
  <c r="R58" i="11"/>
  <c r="R22" i="36" s="1"/>
  <c r="Z49" i="17"/>
  <c r="AA12" i="17"/>
  <c r="AB89" i="11"/>
  <c r="AB96" i="11" s="1"/>
  <c r="J31" i="35"/>
  <c r="J98" i="11" s="1"/>
  <c r="AB84" i="11"/>
  <c r="AB72" i="11"/>
  <c r="AF72" i="11" s="1"/>
  <c r="AJ72" i="11" s="1"/>
  <c r="AA83" i="17"/>
  <c r="AA79" i="17"/>
  <c r="Q166" i="10"/>
  <c r="Z22" i="17"/>
  <c r="Z83" i="17"/>
  <c r="Z79" i="17"/>
  <c r="Z67" i="17"/>
  <c r="R191" i="10"/>
  <c r="R193" i="10" s="1"/>
  <c r="U66" i="59"/>
  <c r="AA67" i="17"/>
  <c r="Z60" i="17"/>
  <c r="Z62" i="17"/>
  <c r="Z47" i="17"/>
  <c r="Z53" i="17"/>
  <c r="Z117" i="17" s="1"/>
  <c r="R72" i="11"/>
  <c r="V72" i="11" s="1"/>
  <c r="R89" i="11"/>
  <c r="R84" i="11"/>
  <c r="R92" i="11"/>
  <c r="I171" i="10"/>
  <c r="J5" i="10"/>
  <c r="J161" i="10" s="1"/>
  <c r="I95" i="9"/>
  <c r="AH72" i="17" l="1"/>
  <c r="AH68" i="17"/>
  <c r="AI71" i="17"/>
  <c r="AO71" i="17" s="1"/>
  <c r="AE74" i="17"/>
  <c r="AE79" i="17" s="1"/>
  <c r="AO74" i="11"/>
  <c r="AX74" i="11"/>
  <c r="BF73" i="11"/>
  <c r="BF74" i="11" s="1"/>
  <c r="AW73" i="11"/>
  <c r="AS74" i="11"/>
  <c r="AR91" i="17"/>
  <c r="AV91" i="17" s="1"/>
  <c r="AS35" i="17"/>
  <c r="AW35" i="17" s="1"/>
  <c r="BE35" i="17" s="1"/>
  <c r="AS82" i="17"/>
  <c r="AI117" i="17"/>
  <c r="AW3" i="17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55" i="17"/>
  <c r="AH65" i="17"/>
  <c r="AW78" i="17"/>
  <c r="AO14" i="17"/>
  <c r="AO66" i="17"/>
  <c r="AH73" i="17"/>
  <c r="AO39" i="17"/>
  <c r="AH77" i="17"/>
  <c r="AI115" i="17"/>
  <c r="AI15" i="17"/>
  <c r="AV116" i="17"/>
  <c r="AV118" i="17" s="1"/>
  <c r="BD52" i="17"/>
  <c r="AV54" i="17"/>
  <c r="AH66" i="17"/>
  <c r="AO45" i="17"/>
  <c r="AH82" i="17"/>
  <c r="AH14" i="17"/>
  <c r="AH45" i="17"/>
  <c r="AH30" i="17"/>
  <c r="AH49" i="17"/>
  <c r="AH47" i="17"/>
  <c r="AH60" i="17"/>
  <c r="AH53" i="17"/>
  <c r="AH76" i="17"/>
  <c r="AO41" i="17"/>
  <c r="AO77" i="17"/>
  <c r="AH75" i="17"/>
  <c r="AO43" i="17"/>
  <c r="AO76" i="17"/>
  <c r="AH88" i="17"/>
  <c r="AH81" i="17"/>
  <c r="AH71" i="17"/>
  <c r="AO60" i="17"/>
  <c r="AO12" i="17"/>
  <c r="AO115" i="17" s="1"/>
  <c r="AO68" i="17"/>
  <c r="AS68" i="17" s="1"/>
  <c r="AW68" i="17" s="1"/>
  <c r="AR62" i="17"/>
  <c r="AS73" i="17"/>
  <c r="AO55" i="17"/>
  <c r="AO49" i="17"/>
  <c r="AH13" i="17"/>
  <c r="AV62" i="17"/>
  <c r="AX75" i="11"/>
  <c r="BF75" i="11" s="1"/>
  <c r="AW78" i="11"/>
  <c r="BE78" i="11" s="1"/>
  <c r="AW76" i="11"/>
  <c r="BE76" i="11" s="1"/>
  <c r="AW68" i="11"/>
  <c r="AX76" i="11"/>
  <c r="BF76" i="11" s="1"/>
  <c r="AX78" i="11"/>
  <c r="BF78" i="11" s="1"/>
  <c r="AW177" i="10"/>
  <c r="BE177" i="10" s="1"/>
  <c r="AW175" i="10"/>
  <c r="BE175" i="10" s="1"/>
  <c r="AX175" i="10"/>
  <c r="BF175" i="10" s="1"/>
  <c r="AX174" i="10"/>
  <c r="BF174" i="10" s="1"/>
  <c r="AX177" i="10"/>
  <c r="BF177" i="10" s="1"/>
  <c r="AS70" i="11"/>
  <c r="AW70" i="11" s="1"/>
  <c r="AO79" i="11"/>
  <c r="AR70" i="59" s="1"/>
  <c r="AD83" i="17"/>
  <c r="AD67" i="17"/>
  <c r="AD69" i="17" s="1"/>
  <c r="AD117" i="17"/>
  <c r="AD15" i="17"/>
  <c r="BD57" i="17"/>
  <c r="BD59" i="17" s="1"/>
  <c r="BE62" i="17"/>
  <c r="AE119" i="17"/>
  <c r="AO58" i="11"/>
  <c r="AR68" i="59" s="1"/>
  <c r="AS5" i="11"/>
  <c r="AW5" i="11" s="1"/>
  <c r="AS165" i="10"/>
  <c r="AW165" i="10" s="1"/>
  <c r="AW166" i="10" s="1"/>
  <c r="AO166" i="10"/>
  <c r="AS67" i="11"/>
  <c r="AO117" i="17"/>
  <c r="AN3" i="17"/>
  <c r="AR3" i="17" s="1"/>
  <c r="AR60" i="17" s="1"/>
  <c r="AD51" i="17"/>
  <c r="AD55" i="17" s="1"/>
  <c r="AO81" i="17"/>
  <c r="AS81" i="17" s="1"/>
  <c r="AO65" i="17"/>
  <c r="AS65" i="17" s="1"/>
  <c r="AP5" i="11"/>
  <c r="AT5" i="11" s="1"/>
  <c r="AX5" i="11" s="1"/>
  <c r="AJ22" i="36"/>
  <c r="AM68" i="59" s="1"/>
  <c r="AO67" i="11"/>
  <c r="AO69" i="11"/>
  <c r="AR69" i="59" s="1"/>
  <c r="AO71" i="11"/>
  <c r="AO72" i="11"/>
  <c r="AL69" i="59"/>
  <c r="AD79" i="17"/>
  <c r="Z69" i="17"/>
  <c r="AA69" i="17"/>
  <c r="AA15" i="17"/>
  <c r="AB22" i="36"/>
  <c r="J33" i="35"/>
  <c r="J21" i="36"/>
  <c r="M64" i="59" s="1"/>
  <c r="AA5" i="10"/>
  <c r="Q5" i="10"/>
  <c r="Z34" i="17"/>
  <c r="Z32" i="17"/>
  <c r="Z31" i="17"/>
  <c r="Z35" i="17"/>
  <c r="AD35" i="17" s="1"/>
  <c r="R96" i="11"/>
  <c r="AA45" i="17"/>
  <c r="AA50" i="17"/>
  <c r="AA114" i="17" s="1"/>
  <c r="AA118" i="17" s="1"/>
  <c r="J188" i="10"/>
  <c r="J195" i="10" s="1"/>
  <c r="R94" i="11"/>
  <c r="R79" i="11"/>
  <c r="U70" i="59" s="1"/>
  <c r="J183" i="10"/>
  <c r="J171" i="10"/>
  <c r="N21" i="36"/>
  <c r="Q64" i="59" s="1"/>
  <c r="I92" i="9"/>
  <c r="J99" i="9"/>
  <c r="J95" i="9"/>
  <c r="J92" i="9"/>
  <c r="I99" i="9"/>
  <c r="AN68" i="17" l="1"/>
  <c r="AR68" i="17" s="1"/>
  <c r="AW73" i="17"/>
  <c r="AH74" i="17"/>
  <c r="AS117" i="17"/>
  <c r="AS71" i="17"/>
  <c r="AS74" i="17" s="1"/>
  <c r="AO74" i="17"/>
  <c r="AO79" i="17" s="1"/>
  <c r="AI74" i="17"/>
  <c r="AI79" i="17"/>
  <c r="AW74" i="11"/>
  <c r="BE73" i="11"/>
  <c r="BE74" i="11" s="1"/>
  <c r="AO15" i="17"/>
  <c r="AI119" i="17"/>
  <c r="AS15" i="17"/>
  <c r="AS66" i="17"/>
  <c r="AW66" i="17" s="1"/>
  <c r="BE66" i="17" s="1"/>
  <c r="AH67" i="17"/>
  <c r="AH69" i="17" s="1"/>
  <c r="AS77" i="17"/>
  <c r="AW77" i="17" s="1"/>
  <c r="BE77" i="17" s="1"/>
  <c r="BD116" i="17"/>
  <c r="BD118" i="17" s="1"/>
  <c r="BD54" i="17"/>
  <c r="AW65" i="17"/>
  <c r="AW12" i="17"/>
  <c r="AW30" i="17"/>
  <c r="AW60" i="17"/>
  <c r="AW39" i="17"/>
  <c r="AW49" i="17"/>
  <c r="AW41" i="17"/>
  <c r="AW43" i="17"/>
  <c r="AW47" i="17"/>
  <c r="AW45" i="17"/>
  <c r="AW51" i="17"/>
  <c r="AW14" i="17"/>
  <c r="AW13" i="17"/>
  <c r="AW53" i="17"/>
  <c r="AW55" i="17"/>
  <c r="BE3" i="17"/>
  <c r="AW81" i="17"/>
  <c r="AS83" i="17"/>
  <c r="AH79" i="17"/>
  <c r="AH51" i="17"/>
  <c r="AS115" i="17"/>
  <c r="AS119" i="17" s="1"/>
  <c r="AW82" i="17"/>
  <c r="AH83" i="17"/>
  <c r="AH15" i="17"/>
  <c r="AH117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6" i="17"/>
  <c r="AW76" i="17" s="1"/>
  <c r="BE76" i="17" s="1"/>
  <c r="AW75" i="17"/>
  <c r="AW58" i="11"/>
  <c r="AX89" i="11"/>
  <c r="AX96" i="11" s="1"/>
  <c r="AX58" i="11"/>
  <c r="AX22" i="36" s="1"/>
  <c r="BA68" i="59" s="1"/>
  <c r="AX84" i="11"/>
  <c r="AW71" i="11"/>
  <c r="AW79" i="11"/>
  <c r="AS71" i="11"/>
  <c r="AS69" i="11"/>
  <c r="AV69" i="59" s="1"/>
  <c r="AW69" i="11"/>
  <c r="AW67" i="11"/>
  <c r="BE68" i="11"/>
  <c r="BE67" i="11" s="1"/>
  <c r="AS79" i="11"/>
  <c r="AV70" i="59" s="1"/>
  <c r="U5" i="10"/>
  <c r="AN71" i="17"/>
  <c r="AN88" i="17"/>
  <c r="AN76" i="17"/>
  <c r="AR76" i="17" s="1"/>
  <c r="AN78" i="17"/>
  <c r="AR78" i="17" s="1"/>
  <c r="AV78" i="17" s="1"/>
  <c r="AN66" i="17"/>
  <c r="V22" i="36"/>
  <c r="Y68" i="59"/>
  <c r="AN75" i="17"/>
  <c r="AR75" i="17" s="1"/>
  <c r="BD91" i="17"/>
  <c r="BE5" i="11"/>
  <c r="AS72" i="11"/>
  <c r="AW72" i="11" s="1"/>
  <c r="BF5" i="11"/>
  <c r="BD62" i="17"/>
  <c r="AD115" i="17"/>
  <c r="AD119" i="17" s="1"/>
  <c r="AS166" i="10"/>
  <c r="AN73" i="17"/>
  <c r="AN13" i="17"/>
  <c r="AR13" i="17" s="1"/>
  <c r="AS58" i="11"/>
  <c r="AO83" i="17"/>
  <c r="AO119" i="17"/>
  <c r="AN72" i="17"/>
  <c r="AT89" i="11"/>
  <c r="AT96" i="11" s="1"/>
  <c r="AT58" i="11"/>
  <c r="AT22" i="36" s="1"/>
  <c r="AW68" i="59" s="1"/>
  <c r="AT84" i="11"/>
  <c r="AO67" i="17"/>
  <c r="AO69" i="17" s="1"/>
  <c r="AN82" i="17"/>
  <c r="AN65" i="17"/>
  <c r="AR65" i="17" s="1"/>
  <c r="AN81" i="17"/>
  <c r="AR81" i="17" s="1"/>
  <c r="AN14" i="17"/>
  <c r="AN45" i="17"/>
  <c r="AN30" i="17"/>
  <c r="AN49" i="17"/>
  <c r="AN47" i="17"/>
  <c r="AN60" i="17"/>
  <c r="AN53" i="17"/>
  <c r="AN77" i="17"/>
  <c r="AR77" i="17" s="1"/>
  <c r="AP89" i="11"/>
  <c r="AP96" i="11" s="1"/>
  <c r="AP58" i="11"/>
  <c r="AP84" i="11"/>
  <c r="AP72" i="11"/>
  <c r="AT72" i="11" s="1"/>
  <c r="AX72" i="11" s="1"/>
  <c r="AE5" i="10"/>
  <c r="AA54" i="17"/>
  <c r="J79" i="11"/>
  <c r="M70" i="59" s="1"/>
  <c r="J22" i="36"/>
  <c r="M68" i="59" s="1"/>
  <c r="J34" i="35"/>
  <c r="N33" i="35"/>
  <c r="AA171" i="10"/>
  <c r="AB5" i="10"/>
  <c r="AB161" i="10" s="1"/>
  <c r="R5" i="10"/>
  <c r="Q171" i="10"/>
  <c r="AA51" i="17"/>
  <c r="AA115" i="17" s="1"/>
  <c r="AA119" i="17" s="1"/>
  <c r="I38" i="9"/>
  <c r="I20" i="9"/>
  <c r="I15" i="9"/>
  <c r="J2" i="9"/>
  <c r="I2" i="9"/>
  <c r="AV77" i="17" l="1"/>
  <c r="BE82" i="17"/>
  <c r="AV68" i="17"/>
  <c r="BD68" i="17" s="1"/>
  <c r="AW71" i="17"/>
  <c r="AW83" i="17"/>
  <c r="AN74" i="17"/>
  <c r="AN79" i="17" s="1"/>
  <c r="AW74" i="17"/>
  <c r="AW79" i="17" s="1"/>
  <c r="AS67" i="17"/>
  <c r="AS69" i="17" s="1"/>
  <c r="AW67" i="17"/>
  <c r="AW69" i="17" s="1"/>
  <c r="AW115" i="17"/>
  <c r="AS79" i="17"/>
  <c r="AR15" i="17"/>
  <c r="AW117" i="17"/>
  <c r="AW119" i="17" s="1"/>
  <c r="AR35" i="17"/>
  <c r="AV35" i="17" s="1"/>
  <c r="BD35" i="17" s="1"/>
  <c r="AR73" i="17"/>
  <c r="AV73" i="17" s="1"/>
  <c r="BD73" i="17" s="1"/>
  <c r="AR66" i="17"/>
  <c r="AV66" i="17" s="1"/>
  <c r="BD66" i="17" s="1"/>
  <c r="AV76" i="17"/>
  <c r="BD76" i="17" s="1"/>
  <c r="AR51" i="17"/>
  <c r="AV81" i="17"/>
  <c r="AV65" i="17"/>
  <c r="AV13" i="17"/>
  <c r="BD13" i="17" s="1"/>
  <c r="AR117" i="17"/>
  <c r="AR71" i="17"/>
  <c r="AH115" i="17"/>
  <c r="AH119" i="17" s="1"/>
  <c r="AH55" i="17"/>
  <c r="AR82" i="17"/>
  <c r="AV82" i="17" s="1"/>
  <c r="BD82" i="17" s="1"/>
  <c r="AV14" i="17"/>
  <c r="AV45" i="17"/>
  <c r="AV30" i="17"/>
  <c r="AV49" i="17"/>
  <c r="AV47" i="17"/>
  <c r="AV60" i="17"/>
  <c r="AV53" i="17"/>
  <c r="BE75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AV75" i="17"/>
  <c r="BD75" i="17" s="1"/>
  <c r="BE72" i="17"/>
  <c r="BE73" i="17"/>
  <c r="AR72" i="17"/>
  <c r="AV72" i="17" s="1"/>
  <c r="BD72" i="17" s="1"/>
  <c r="AW15" i="17"/>
  <c r="BE78" i="17"/>
  <c r="U171" i="10"/>
  <c r="AR88" i="17"/>
  <c r="BE70" i="11"/>
  <c r="AZ70" i="59"/>
  <c r="AZ69" i="59"/>
  <c r="AI5" i="10"/>
  <c r="R161" i="10"/>
  <c r="U64" i="59" s="1"/>
  <c r="V5" i="10"/>
  <c r="AN117" i="17"/>
  <c r="BD14" i="17"/>
  <c r="BD45" i="17"/>
  <c r="BD30" i="17"/>
  <c r="BD49" i="17"/>
  <c r="BD47" i="17"/>
  <c r="BD53" i="17"/>
  <c r="BD78" i="17"/>
  <c r="AE171" i="10"/>
  <c r="BF84" i="11"/>
  <c r="BF89" i="11"/>
  <c r="BF96" i="11" s="1"/>
  <c r="BF58" i="11"/>
  <c r="BF22" i="36" s="1"/>
  <c r="BI68" i="59" s="1"/>
  <c r="BF72" i="11"/>
  <c r="BE72" i="11"/>
  <c r="BE58" i="11"/>
  <c r="BE165" i="10"/>
  <c r="BE166" i="10" s="1"/>
  <c r="AN67" i="17"/>
  <c r="AN69" i="17" s="1"/>
  <c r="AN15" i="17"/>
  <c r="AN83" i="17"/>
  <c r="AN51" i="17"/>
  <c r="AN115" i="17" s="1"/>
  <c r="AS68" i="59"/>
  <c r="AP22" i="36"/>
  <c r="AF5" i="10"/>
  <c r="R98" i="11"/>
  <c r="AA55" i="17"/>
  <c r="J36" i="35"/>
  <c r="U68" i="59"/>
  <c r="AB171" i="10"/>
  <c r="AB188" i="10"/>
  <c r="AB183" i="10"/>
  <c r="R171" i="10"/>
  <c r="R188" i="10"/>
  <c r="R195" i="10" s="1"/>
  <c r="R183" i="10"/>
  <c r="J103" i="9"/>
  <c r="J97" i="9"/>
  <c r="J98" i="9"/>
  <c r="I51" i="9"/>
  <c r="M94" i="9"/>
  <c r="L18" i="15" s="1"/>
  <c r="I104" i="9"/>
  <c r="L59" i="59" s="1"/>
  <c r="I89" i="9"/>
  <c r="I96" i="9"/>
  <c r="I94" i="9"/>
  <c r="H18" i="15" s="1"/>
  <c r="I93" i="9"/>
  <c r="H132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38" i="36" s="1"/>
  <c r="J16" i="36" s="1"/>
  <c r="M54" i="59" s="1"/>
  <c r="I102" i="9"/>
  <c r="I100" i="9"/>
  <c r="J20" i="9"/>
  <c r="J9" i="9"/>
  <c r="J7" i="9"/>
  <c r="J19" i="9"/>
  <c r="J39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AR74" i="17" l="1"/>
  <c r="AI171" i="10"/>
  <c r="BE117" i="17"/>
  <c r="AV83" i="17"/>
  <c r="AR83" i="17"/>
  <c r="R21" i="36"/>
  <c r="BE115" i="17"/>
  <c r="BE15" i="17"/>
  <c r="AR115" i="17"/>
  <c r="AR119" i="17" s="1"/>
  <c r="AR55" i="17"/>
  <c r="AV71" i="17"/>
  <c r="AV74" i="17" s="1"/>
  <c r="AR79" i="17"/>
  <c r="AV117" i="17"/>
  <c r="AV15" i="17"/>
  <c r="AV51" i="17"/>
  <c r="AR67" i="17"/>
  <c r="AR69" i="17" s="1"/>
  <c r="AV67" i="17"/>
  <c r="AV69" i="17" s="1"/>
  <c r="V171" i="10"/>
  <c r="AV88" i="17"/>
  <c r="BD88" i="17" s="1"/>
  <c r="BE79" i="11"/>
  <c r="BH70" i="59" s="1"/>
  <c r="BE71" i="11"/>
  <c r="BE69" i="11"/>
  <c r="BH69" i="59" s="1"/>
  <c r="AF161" i="10"/>
  <c r="AF21" i="36" s="1"/>
  <c r="AI64" i="59" s="1"/>
  <c r="AJ5" i="10"/>
  <c r="AN119" i="17"/>
  <c r="V188" i="10"/>
  <c r="V195" i="10" s="1"/>
  <c r="V183" i="10"/>
  <c r="V161" i="10"/>
  <c r="V21" i="36" s="1"/>
  <c r="J89" i="8"/>
  <c r="BD51" i="17"/>
  <c r="BD115" i="17" s="1"/>
  <c r="BE65" i="17"/>
  <c r="BE67" i="17" s="1"/>
  <c r="BE69" i="17" s="1"/>
  <c r="BD15" i="17"/>
  <c r="BD117" i="17"/>
  <c r="AO5" i="10"/>
  <c r="BE71" i="17"/>
  <c r="BE81" i="17"/>
  <c r="BE83" i="17" s="1"/>
  <c r="AN55" i="17"/>
  <c r="AF171" i="10"/>
  <c r="AF183" i="10"/>
  <c r="AF188" i="10"/>
  <c r="AF195" i="10" s="1"/>
  <c r="J18" i="36"/>
  <c r="M56" i="59" s="1"/>
  <c r="J72" i="9"/>
  <c r="J40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8" i="35"/>
  <c r="J49" i="35" s="1"/>
  <c r="J37" i="35"/>
  <c r="F25" i="36"/>
  <c r="I76" i="59" s="1"/>
  <c r="N36" i="35"/>
  <c r="M2" i="8"/>
  <c r="I89" i="8"/>
  <c r="J129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N78" i="8" s="1"/>
  <c r="J81" i="8"/>
  <c r="M45" i="59" s="1"/>
  <c r="J88" i="8"/>
  <c r="E35" i="8"/>
  <c r="J134" i="9"/>
  <c r="J138" i="9"/>
  <c r="J137" i="9"/>
  <c r="J139" i="9"/>
  <c r="J136" i="9"/>
  <c r="J135" i="9"/>
  <c r="J64" i="8"/>
  <c r="J55" i="8" s="1"/>
  <c r="J68" i="8"/>
  <c r="J57" i="8" s="1"/>
  <c r="I25" i="9"/>
  <c r="I52" i="9" s="1"/>
  <c r="L58" i="59" s="1"/>
  <c r="Q2" i="9"/>
  <c r="U2" i="9" s="1"/>
  <c r="I29" i="8"/>
  <c r="I88" i="8"/>
  <c r="I31" i="8"/>
  <c r="J93" i="9"/>
  <c r="J10" i="9"/>
  <c r="I27" i="8"/>
  <c r="J25" i="9"/>
  <c r="I28" i="8"/>
  <c r="BE74" i="17" l="1"/>
  <c r="BE79" i="17" s="1"/>
  <c r="BE119" i="17"/>
  <c r="H130" i="26"/>
  <c r="AV55" i="17"/>
  <c r="AV115" i="17"/>
  <c r="AV119" i="17" s="1"/>
  <c r="AV79" i="17"/>
  <c r="BD71" i="17"/>
  <c r="BD74" i="17" s="1"/>
  <c r="AJ171" i="10"/>
  <c r="AJ188" i="10"/>
  <c r="AJ195" i="10" s="1"/>
  <c r="AJ183" i="10"/>
  <c r="AJ161" i="10"/>
  <c r="AJ21" i="36" s="1"/>
  <c r="AM64" i="59" s="1"/>
  <c r="Y64" i="59"/>
  <c r="BD55" i="17"/>
  <c r="BD119" i="17"/>
  <c r="AS5" i="10"/>
  <c r="AO171" i="10"/>
  <c r="BD65" i="17"/>
  <c r="BD67" i="17" s="1"/>
  <c r="BD69" i="17" s="1"/>
  <c r="AP5" i="10"/>
  <c r="AP161" i="10" s="1"/>
  <c r="K79" i="83"/>
  <c r="K95" i="50"/>
  <c r="K93" i="50" s="1"/>
  <c r="BD81" i="17"/>
  <c r="BD83" i="17" s="1"/>
  <c r="BD77" i="17"/>
  <c r="AM39" i="36"/>
  <c r="N89" i="8"/>
  <c r="M35" i="8"/>
  <c r="AA35" i="8" s="1"/>
  <c r="AE35" i="8" s="1"/>
  <c r="J42" i="36"/>
  <c r="J48" i="36"/>
  <c r="J50" i="36" s="1"/>
  <c r="Z97" i="9"/>
  <c r="AB97" i="9" s="1"/>
  <c r="AF97" i="9" s="1"/>
  <c r="R97" i="9"/>
  <c r="V97" i="9" s="1"/>
  <c r="R98" i="9"/>
  <c r="V98" i="9" s="1"/>
  <c r="R103" i="9"/>
  <c r="V103" i="9" s="1"/>
  <c r="I109" i="8"/>
  <c r="I110" i="8" s="1"/>
  <c r="Q98" i="9"/>
  <c r="U98" i="9" s="1"/>
  <c r="Q103" i="9"/>
  <c r="U103" i="9" s="1"/>
  <c r="Q2" i="8"/>
  <c r="M88" i="8"/>
  <c r="M89" i="8"/>
  <c r="R2" i="8"/>
  <c r="R78" i="8" s="1"/>
  <c r="N81" i="8"/>
  <c r="Q45" i="59" s="1"/>
  <c r="N88" i="8"/>
  <c r="N10" i="9"/>
  <c r="J55" i="35"/>
  <c r="N49" i="35"/>
  <c r="N37" i="35"/>
  <c r="O95" i="50" s="1"/>
  <c r="O93" i="50" s="1"/>
  <c r="J25" i="36"/>
  <c r="M76" i="59" s="1"/>
  <c r="AB33" i="35"/>
  <c r="N85" i="9"/>
  <c r="I7" i="9"/>
  <c r="N129" i="7"/>
  <c r="BL129" i="7" s="1"/>
  <c r="BN129" i="7" s="1"/>
  <c r="J130" i="7"/>
  <c r="J131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I69" i="8"/>
  <c r="E36" i="8"/>
  <c r="M36" i="8" s="1"/>
  <c r="AA36" i="8" s="1"/>
  <c r="AE36" i="8" s="1"/>
  <c r="I59" i="8"/>
  <c r="AS171" i="10" l="1"/>
  <c r="BD79" i="17"/>
  <c r="AW5" i="10"/>
  <c r="AI35" i="8"/>
  <c r="AO35" i="8" s="1"/>
  <c r="AS35" i="8" s="1"/>
  <c r="AI36" i="8"/>
  <c r="AO36" i="8" s="1"/>
  <c r="AS36" i="8" s="1"/>
  <c r="AJ97" i="9"/>
  <c r="AP97" i="9" s="1"/>
  <c r="AT97" i="9" s="1"/>
  <c r="U24" i="36"/>
  <c r="X75" i="59" s="1"/>
  <c r="I24" i="36"/>
  <c r="L75" i="59" s="1"/>
  <c r="M24" i="36"/>
  <c r="P75" i="59" s="1"/>
  <c r="J132" i="7"/>
  <c r="AP183" i="10"/>
  <c r="AP188" i="10"/>
  <c r="AP195" i="10" s="1"/>
  <c r="AP171" i="10"/>
  <c r="AT5" i="10"/>
  <c r="AO2" i="9"/>
  <c r="AS2" i="9" s="1"/>
  <c r="AW2" i="9" s="1"/>
  <c r="BE2" i="9" s="1"/>
  <c r="J19" i="36"/>
  <c r="M57" i="59" s="1"/>
  <c r="AS64" i="59"/>
  <c r="AP21" i="36"/>
  <c r="AM19" i="9"/>
  <c r="BC39" i="36"/>
  <c r="BC17" i="36" s="1"/>
  <c r="BF55" i="59" s="1"/>
  <c r="BE39" i="36"/>
  <c r="BE17" i="36" s="1"/>
  <c r="BH55" i="59" s="1"/>
  <c r="Q24" i="36"/>
  <c r="T75" i="59" s="1"/>
  <c r="Q35" i="8"/>
  <c r="U35" i="8" s="1"/>
  <c r="I111" i="8"/>
  <c r="I112" i="8" s="1"/>
  <c r="I53" i="8" s="1"/>
  <c r="L43" i="59" s="1"/>
  <c r="Z103" i="9"/>
  <c r="AB103" i="9" s="1"/>
  <c r="AF103" i="9" s="1"/>
  <c r="Z98" i="9"/>
  <c r="AB98" i="9" s="1"/>
  <c r="AF98" i="9" s="1"/>
  <c r="R88" i="8"/>
  <c r="U2" i="8"/>
  <c r="Q89" i="8"/>
  <c r="R81" i="8"/>
  <c r="V2" i="8"/>
  <c r="R89" i="8"/>
  <c r="I36" i="8"/>
  <c r="Q36" i="8"/>
  <c r="U36" i="8" s="1"/>
  <c r="N55" i="35"/>
  <c r="N25" i="36"/>
  <c r="Q76" i="59" s="1"/>
  <c r="M7" i="9"/>
  <c r="R129" i="7"/>
  <c r="N83" i="9"/>
  <c r="J133" i="7"/>
  <c r="N131" i="7"/>
  <c r="N130" i="7"/>
  <c r="BL130" i="7" s="1"/>
  <c r="BN130" i="7" s="1"/>
  <c r="N53" i="9"/>
  <c r="N86" i="9"/>
  <c r="AA94" i="9"/>
  <c r="Z18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8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4" i="8"/>
  <c r="I35" i="8"/>
  <c r="I63" i="8"/>
  <c r="J52" i="9"/>
  <c r="M58" i="59" s="1"/>
  <c r="J53" i="9"/>
  <c r="I15" i="8"/>
  <c r="I10" i="8"/>
  <c r="I9" i="8"/>
  <c r="I8" i="8"/>
  <c r="J58" i="8"/>
  <c r="J54" i="8" s="1"/>
  <c r="I6" i="8"/>
  <c r="J82" i="7"/>
  <c r="J66" i="7"/>
  <c r="AW35" i="8" l="1"/>
  <c r="BE35" i="8" s="1"/>
  <c r="AW36" i="8"/>
  <c r="BE36" i="8" s="1"/>
  <c r="AT161" i="10"/>
  <c r="AW64" i="59" s="1"/>
  <c r="AX5" i="10"/>
  <c r="BF5" i="10" s="1"/>
  <c r="AW171" i="10"/>
  <c r="BE5" i="10"/>
  <c r="AX97" i="9"/>
  <c r="BF97" i="9" s="1"/>
  <c r="N132" i="7"/>
  <c r="BL132" i="7" s="1"/>
  <c r="BN132" i="7" s="1"/>
  <c r="BL131" i="7"/>
  <c r="BN131" i="7" s="1"/>
  <c r="AJ98" i="9"/>
  <c r="AP98" i="9" s="1"/>
  <c r="AT98" i="9" s="1"/>
  <c r="AJ103" i="9"/>
  <c r="AP103" i="9" s="1"/>
  <c r="AT103" i="9" s="1"/>
  <c r="AI103" i="9"/>
  <c r="AO103" i="9" s="1"/>
  <c r="AS103" i="9" s="1"/>
  <c r="V88" i="8"/>
  <c r="V78" i="8"/>
  <c r="V89" i="8"/>
  <c r="U89" i="8"/>
  <c r="V81" i="8"/>
  <c r="I83" i="8"/>
  <c r="L50" i="59" s="1"/>
  <c r="I84" i="8"/>
  <c r="L51" i="59" s="1"/>
  <c r="AO98" i="9"/>
  <c r="AS98" i="9" s="1"/>
  <c r="AT171" i="10"/>
  <c r="AT183" i="10"/>
  <c r="AT188" i="10"/>
  <c r="AT195" i="10" s="1"/>
  <c r="AM90" i="9"/>
  <c r="AM91" i="9" s="1"/>
  <c r="BC19" i="9"/>
  <c r="BC90" i="9" s="1"/>
  <c r="BC91" i="9" s="1"/>
  <c r="U45" i="59"/>
  <c r="I46" i="8"/>
  <c r="L47" i="59" s="1"/>
  <c r="AB2" i="8"/>
  <c r="AB88" i="8" s="1"/>
  <c r="AA2" i="8"/>
  <c r="AA89" i="8" s="1"/>
  <c r="M50" i="8"/>
  <c r="M49" i="8"/>
  <c r="M14" i="36"/>
  <c r="P41" i="59" s="1"/>
  <c r="N133" i="7"/>
  <c r="BL133" i="7" s="1"/>
  <c r="BN133" i="7" s="1"/>
  <c r="R131" i="7"/>
  <c r="R132" i="7" s="1"/>
  <c r="R130" i="7"/>
  <c r="Y16" i="8"/>
  <c r="AA33" i="22"/>
  <c r="Z132" i="26"/>
  <c r="AA25" i="9"/>
  <c r="AA88" i="9" s="1"/>
  <c r="U61" i="59"/>
  <c r="AA93" i="9"/>
  <c r="AB25" i="9"/>
  <c r="AA89" i="9"/>
  <c r="AA100" i="9"/>
  <c r="AA96" i="9"/>
  <c r="U58" i="59"/>
  <c r="U62" i="59"/>
  <c r="I71" i="8"/>
  <c r="I44" i="8"/>
  <c r="L48" i="59" s="1"/>
  <c r="I45" i="8"/>
  <c r="I47" i="8"/>
  <c r="I43" i="8"/>
  <c r="L46" i="59" s="1"/>
  <c r="I14" i="36"/>
  <c r="L41" i="59" s="1"/>
  <c r="J31" i="8"/>
  <c r="J28" i="8"/>
  <c r="I18" i="8"/>
  <c r="I82" i="8" s="1"/>
  <c r="L52" i="59" s="1"/>
  <c r="I49" i="8"/>
  <c r="I92" i="8"/>
  <c r="I14" i="8"/>
  <c r="I50" i="8"/>
  <c r="I90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AX171" i="10" l="1"/>
  <c r="BF171" i="10" s="1"/>
  <c r="AT21" i="36"/>
  <c r="M78" i="8"/>
  <c r="L2" i="26"/>
  <c r="L2" i="17"/>
  <c r="I78" i="8"/>
  <c r="H2" i="17"/>
  <c r="H2" i="26"/>
  <c r="AX103" i="9"/>
  <c r="BF103" i="9" s="1"/>
  <c r="AW103" i="9"/>
  <c r="BE103" i="9" s="1"/>
  <c r="BE171" i="10"/>
  <c r="AX188" i="10"/>
  <c r="AX195" i="10" s="1"/>
  <c r="AX161" i="10"/>
  <c r="BA64" i="59" s="1"/>
  <c r="AX183" i="10"/>
  <c r="AW98" i="9"/>
  <c r="BE98" i="9" s="1"/>
  <c r="AX98" i="9"/>
  <c r="BF98" i="9" s="1"/>
  <c r="L49" i="59"/>
  <c r="AF2" i="8"/>
  <c r="AF88" i="8" s="1"/>
  <c r="AB89" i="8"/>
  <c r="Y45" i="59"/>
  <c r="BF188" i="10"/>
  <c r="BF195" i="10" s="1"/>
  <c r="BF161" i="10"/>
  <c r="BF183" i="10"/>
  <c r="AE2" i="8"/>
  <c r="AB78" i="8"/>
  <c r="AA50" i="8"/>
  <c r="AA49" i="8"/>
  <c r="J74" i="8"/>
  <c r="I52" i="8"/>
  <c r="L42" i="59" s="1"/>
  <c r="L44" i="59" s="1"/>
  <c r="I13" i="15"/>
  <c r="J46" i="8"/>
  <c r="M47" i="59" s="1"/>
  <c r="J109" i="8"/>
  <c r="J110" i="8" s="1"/>
  <c r="AB81" i="8"/>
  <c r="Q50" i="8"/>
  <c r="Q49" i="8"/>
  <c r="AB84" i="9"/>
  <c r="AB21" i="8"/>
  <c r="AF21" i="8" s="1"/>
  <c r="J10" i="36"/>
  <c r="M37" i="59" s="1"/>
  <c r="R133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1" i="8"/>
  <c r="J70" i="8"/>
  <c r="M82" i="8"/>
  <c r="P52" i="59" s="1"/>
  <c r="H8" i="15"/>
  <c r="J41" i="8"/>
  <c r="J40" i="8"/>
  <c r="J82" i="8"/>
  <c r="M52" i="59" s="1"/>
  <c r="J39" i="8"/>
  <c r="J83" i="8"/>
  <c r="M50" i="59" s="1"/>
  <c r="J84" i="8"/>
  <c r="M51" i="59" s="1"/>
  <c r="J44" i="8"/>
  <c r="M48" i="59" s="1"/>
  <c r="J43" i="8"/>
  <c r="M46" i="59" s="1"/>
  <c r="J45" i="8"/>
  <c r="J47" i="8"/>
  <c r="M92" i="8"/>
  <c r="J92" i="8"/>
  <c r="I16" i="8"/>
  <c r="J35" i="8"/>
  <c r="J50" i="8"/>
  <c r="J36" i="8"/>
  <c r="J26" i="8"/>
  <c r="J49" i="8"/>
  <c r="J90" i="8"/>
  <c r="J15" i="8"/>
  <c r="Z130" i="26" l="1"/>
  <c r="Z2" i="26"/>
  <c r="Z2" i="17"/>
  <c r="J78" i="8"/>
  <c r="I2" i="26"/>
  <c r="I2" i="17"/>
  <c r="P2" i="17"/>
  <c r="P2" i="26"/>
  <c r="AF89" i="8"/>
  <c r="AF78" i="8"/>
  <c r="AJ2" i="8"/>
  <c r="AJ78" i="8" s="1"/>
  <c r="AF81" i="8"/>
  <c r="AJ81" i="8" s="1"/>
  <c r="AJ21" i="8"/>
  <c r="AP21" i="8" s="1"/>
  <c r="AT21" i="8" s="1"/>
  <c r="AB41" i="59"/>
  <c r="U50" i="8"/>
  <c r="U14" i="36"/>
  <c r="X41" i="59" s="1"/>
  <c r="U49" i="8"/>
  <c r="M49" i="59"/>
  <c r="AX21" i="36"/>
  <c r="BI64" i="59"/>
  <c r="BF21" i="36"/>
  <c r="AF74" i="9"/>
  <c r="AI2" i="8"/>
  <c r="AI89" i="8" s="1"/>
  <c r="AE89" i="8"/>
  <c r="AE50" i="8"/>
  <c r="AE14" i="36"/>
  <c r="AH41" i="59" s="1"/>
  <c r="AE49" i="8"/>
  <c r="AA74" i="9"/>
  <c r="AE57" i="9"/>
  <c r="AI57" i="9" s="1"/>
  <c r="AI74" i="9" s="1"/>
  <c r="AA109" i="8"/>
  <c r="AA110" i="8" s="1"/>
  <c r="J111" i="8"/>
  <c r="J112" i="8" s="1"/>
  <c r="Q78" i="8"/>
  <c r="J52" i="8"/>
  <c r="M42" i="59" s="1"/>
  <c r="AE45" i="59"/>
  <c r="AB129" i="7"/>
  <c r="AB72" i="9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Q48" i="59" s="1"/>
  <c r="N40" i="8"/>
  <c r="N43" i="8"/>
  <c r="Q46" i="59" s="1"/>
  <c r="N39" i="8"/>
  <c r="N47" i="8"/>
  <c r="N45" i="8"/>
  <c r="N41" i="8"/>
  <c r="N74" i="8"/>
  <c r="N71" i="8"/>
  <c r="N70" i="8"/>
  <c r="N82" i="8"/>
  <c r="Q52" i="59" s="1"/>
  <c r="AB14" i="36"/>
  <c r="I6" i="26"/>
  <c r="N26" i="8"/>
  <c r="M16" i="8"/>
  <c r="N92" i="8"/>
  <c r="J16" i="8"/>
  <c r="J42" i="8"/>
  <c r="U78" i="8" l="1"/>
  <c r="T2" i="17"/>
  <c r="T2" i="26"/>
  <c r="AI14" i="36"/>
  <c r="AL41" i="59" s="1"/>
  <c r="AD2" i="26"/>
  <c r="AD2" i="17"/>
  <c r="AP2" i="8"/>
  <c r="AT2" i="8" s="1"/>
  <c r="AX2" i="8" s="1"/>
  <c r="AJ89" i="8"/>
  <c r="AX21" i="8"/>
  <c r="BF21" i="8" s="1"/>
  <c r="AJ88" i="8"/>
  <c r="AI45" i="59"/>
  <c r="BE24" i="36"/>
  <c r="BH75" i="59" s="1"/>
  <c r="AE24" i="36"/>
  <c r="AH75" i="59" s="1"/>
  <c r="AI21" i="8"/>
  <c r="AO21" i="8" s="1"/>
  <c r="AS21" i="8" s="1"/>
  <c r="AI50" i="8"/>
  <c r="AI49" i="8"/>
  <c r="Q49" i="59"/>
  <c r="AB131" i="7"/>
  <c r="AO2" i="8"/>
  <c r="AP57" i="9"/>
  <c r="AM45" i="59"/>
  <c r="AE74" i="9"/>
  <c r="AE78" i="8"/>
  <c r="AA111" i="8"/>
  <c r="AA112" i="8" s="1"/>
  <c r="AA53" i="8" s="1"/>
  <c r="AD43" i="59" s="1"/>
  <c r="J53" i="8"/>
  <c r="M43" i="59" s="1"/>
  <c r="M44" i="59" s="1"/>
  <c r="AA64" i="9"/>
  <c r="AE64" i="9" s="1"/>
  <c r="AI64" i="9" s="1"/>
  <c r="AI81" i="9" s="1"/>
  <c r="AB130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1" i="8"/>
  <c r="AA74" i="8"/>
  <c r="N42" i="8"/>
  <c r="T52" i="59"/>
  <c r="U52" i="59"/>
  <c r="Q6" i="26"/>
  <c r="U6" i="26" s="1"/>
  <c r="N16" i="8"/>
  <c r="J72" i="7"/>
  <c r="I72" i="7"/>
  <c r="J70" i="7"/>
  <c r="I70" i="7"/>
  <c r="J2" i="7"/>
  <c r="I2" i="7"/>
  <c r="I84" i="7" s="1"/>
  <c r="J64" i="7"/>
  <c r="J63" i="7"/>
  <c r="J6" i="7"/>
  <c r="I64" i="7"/>
  <c r="I63" i="7"/>
  <c r="AP88" i="8" l="1"/>
  <c r="AT88" i="8" s="1"/>
  <c r="AX88" i="8" s="1"/>
  <c r="AI78" i="8"/>
  <c r="AH2" i="26"/>
  <c r="AH2" i="17"/>
  <c r="AP89" i="8"/>
  <c r="AW21" i="8"/>
  <c r="BE21" i="8" s="1"/>
  <c r="AP81" i="8"/>
  <c r="AT81" i="8" s="1"/>
  <c r="AX81" i="8" s="1"/>
  <c r="AP78" i="8"/>
  <c r="AX78" i="8"/>
  <c r="AX89" i="8"/>
  <c r="AI24" i="36"/>
  <c r="AL75" i="59" s="1"/>
  <c r="AB132" i="7"/>
  <c r="BF2" i="8"/>
  <c r="AT57" i="9"/>
  <c r="AX57" i="9" s="1"/>
  <c r="AX74" i="9" s="1"/>
  <c r="AP74" i="9"/>
  <c r="AT89" i="8"/>
  <c r="AT78" i="8"/>
  <c r="AS2" i="8"/>
  <c r="AO89" i="8"/>
  <c r="AO57" i="9"/>
  <c r="AO50" i="8"/>
  <c r="AO14" i="36"/>
  <c r="AR41" i="59" s="1"/>
  <c r="AO49" i="8"/>
  <c r="AE81" i="9"/>
  <c r="AA81" i="9"/>
  <c r="J20" i="7"/>
  <c r="AA46" i="8"/>
  <c r="AD47" i="59" s="1"/>
  <c r="AB12" i="36"/>
  <c r="AE39" i="59" s="1"/>
  <c r="N69" i="7"/>
  <c r="AB69" i="7" s="1"/>
  <c r="AF69" i="7" s="1"/>
  <c r="AJ69" i="7" s="1"/>
  <c r="AJ71" i="7" s="1"/>
  <c r="N85" i="7"/>
  <c r="R85" i="7" s="1"/>
  <c r="V85" i="7" s="1"/>
  <c r="R110" i="7"/>
  <c r="V110" i="7" s="1"/>
  <c r="N109" i="7"/>
  <c r="R109" i="7" s="1"/>
  <c r="V109" i="7" s="1"/>
  <c r="R113" i="7"/>
  <c r="V113" i="7" s="1"/>
  <c r="N112" i="7"/>
  <c r="R112" i="7" s="1"/>
  <c r="V112" i="7" s="1"/>
  <c r="N106" i="7"/>
  <c r="R106" i="7" s="1"/>
  <c r="V106" i="7" s="1"/>
  <c r="R108" i="7"/>
  <c r="V108" i="7" s="1"/>
  <c r="R111" i="7"/>
  <c r="V111" i="7" s="1"/>
  <c r="R107" i="7"/>
  <c r="V107" i="7" s="1"/>
  <c r="N39" i="7"/>
  <c r="M69" i="7"/>
  <c r="AA69" i="7" s="1"/>
  <c r="AE69" i="7" s="1"/>
  <c r="AI69" i="7" s="1"/>
  <c r="AI71" i="7" s="1"/>
  <c r="Y24" i="36"/>
  <c r="AB75" i="59" s="1"/>
  <c r="J144" i="7"/>
  <c r="I35" i="59"/>
  <c r="I33" i="59"/>
  <c r="AA92" i="8"/>
  <c r="AA6" i="49"/>
  <c r="AE6" i="49" s="1"/>
  <c r="AI6" i="49" s="1"/>
  <c r="AO6" i="49" s="1"/>
  <c r="AS6" i="49" s="1"/>
  <c r="AW6" i="49" s="1"/>
  <c r="BE6" i="49" s="1"/>
  <c r="R13" i="36"/>
  <c r="U40" i="59" s="1"/>
  <c r="AA64" i="7"/>
  <c r="AE64" i="7" s="1"/>
  <c r="AA6" i="26"/>
  <c r="AE6" i="26" s="1"/>
  <c r="AI6" i="26" s="1"/>
  <c r="AO6" i="26" s="1"/>
  <c r="AS6" i="26" s="1"/>
  <c r="AW6" i="26" s="1"/>
  <c r="BE6" i="26" s="1"/>
  <c r="N2" i="7"/>
  <c r="N84" i="7" s="1"/>
  <c r="J84" i="7"/>
  <c r="H123" i="7"/>
  <c r="J138" i="7"/>
  <c r="J1" i="7"/>
  <c r="AB74" i="8"/>
  <c r="AB71" i="8"/>
  <c r="AB70" i="8"/>
  <c r="AA16" i="8"/>
  <c r="AA45" i="8"/>
  <c r="AA44" i="8"/>
  <c r="AD48" i="59" s="1"/>
  <c r="AA47" i="8"/>
  <c r="AA43" i="8"/>
  <c r="AD46" i="59" s="1"/>
  <c r="M1" i="7"/>
  <c r="M78" i="7" s="1"/>
  <c r="I1" i="7"/>
  <c r="AA78" i="8"/>
  <c r="I29" i="59"/>
  <c r="Q48" i="7"/>
  <c r="U48" i="7" s="1"/>
  <c r="Q43" i="7"/>
  <c r="U43" i="7" s="1"/>
  <c r="Q44" i="7"/>
  <c r="U44" i="7" s="1"/>
  <c r="Q46" i="7"/>
  <c r="U46" i="7" s="1"/>
  <c r="Q42" i="7"/>
  <c r="U42" i="7" s="1"/>
  <c r="Q41" i="7"/>
  <c r="U41" i="7" s="1"/>
  <c r="Q40" i="7"/>
  <c r="U40" i="7" s="1"/>
  <c r="M66" i="7"/>
  <c r="J69" i="7"/>
  <c r="M2" i="7"/>
  <c r="M84" i="7" s="1"/>
  <c r="I73" i="7"/>
  <c r="I69" i="7"/>
  <c r="J73" i="7"/>
  <c r="I36" i="59"/>
  <c r="I28" i="59"/>
  <c r="J65" i="7"/>
  <c r="I65" i="7"/>
  <c r="I59" i="7" l="1"/>
  <c r="I101" i="7" s="1"/>
  <c r="I33" i="7"/>
  <c r="I97" i="7" s="1"/>
  <c r="J26" i="7"/>
  <c r="J91" i="7" s="1"/>
  <c r="J33" i="7"/>
  <c r="J97" i="7" s="1"/>
  <c r="J59" i="7"/>
  <c r="J101" i="7" s="1"/>
  <c r="AS45" i="59"/>
  <c r="AI64" i="7"/>
  <c r="AO64" i="7" s="1"/>
  <c r="AS64" i="7" s="1"/>
  <c r="AN2" i="17"/>
  <c r="AN2" i="26"/>
  <c r="AO24" i="36"/>
  <c r="AR75" i="59" s="1"/>
  <c r="AB133" i="7"/>
  <c r="AD49" i="59"/>
  <c r="J146" i="7"/>
  <c r="J140" i="7"/>
  <c r="I32" i="7"/>
  <c r="I99" i="7" s="1"/>
  <c r="I29" i="7"/>
  <c r="I94" i="7" s="1"/>
  <c r="L34" i="59" s="1"/>
  <c r="I57" i="7"/>
  <c r="I60" i="7"/>
  <c r="I58" i="7"/>
  <c r="I23" i="7"/>
  <c r="I35" i="7"/>
  <c r="I102" i="7" s="1"/>
  <c r="I53" i="7"/>
  <c r="I55" i="7"/>
  <c r="I54" i="7"/>
  <c r="I96" i="7" s="1"/>
  <c r="I56" i="7"/>
  <c r="I28" i="7"/>
  <c r="I93" i="7" s="1"/>
  <c r="L33" i="59" s="1"/>
  <c r="I31" i="7"/>
  <c r="I98" i="7" s="1"/>
  <c r="I30" i="7"/>
  <c r="I95" i="7" s="1"/>
  <c r="L35" i="59" s="1"/>
  <c r="I34" i="7"/>
  <c r="I90" i="7" s="1"/>
  <c r="I52" i="7"/>
  <c r="I24" i="7"/>
  <c r="I26" i="7"/>
  <c r="I91" i="7" s="1"/>
  <c r="I25" i="7"/>
  <c r="I27" i="7"/>
  <c r="I92" i="7" s="1"/>
  <c r="BF88" i="8"/>
  <c r="BF89" i="8"/>
  <c r="J29" i="7"/>
  <c r="J94" i="7" s="1"/>
  <c r="M34" i="59" s="1"/>
  <c r="J32" i="7"/>
  <c r="J99" i="7" s="1"/>
  <c r="AS89" i="8"/>
  <c r="AW2" i="8"/>
  <c r="AW45" i="59"/>
  <c r="BA45" i="59"/>
  <c r="BF78" i="8"/>
  <c r="AT74" i="9"/>
  <c r="AE71" i="7"/>
  <c r="AO78" i="8"/>
  <c r="AS50" i="8"/>
  <c r="AS14" i="36"/>
  <c r="AV41" i="59" s="1"/>
  <c r="AS49" i="8"/>
  <c r="AF71" i="7"/>
  <c r="AO74" i="9"/>
  <c r="AS57" i="9"/>
  <c r="AW57" i="9" s="1"/>
  <c r="AW74" i="9" s="1"/>
  <c r="AO64" i="9"/>
  <c r="R39" i="7"/>
  <c r="V39" i="7" s="1"/>
  <c r="V49" i="7" s="1"/>
  <c r="AB39" i="7"/>
  <c r="AF39" i="7" s="1"/>
  <c r="AJ39" i="7" s="1"/>
  <c r="AJ49" i="7" s="1"/>
  <c r="AA52" i="8"/>
  <c r="AD42" i="59" s="1"/>
  <c r="AD44" i="59" s="1"/>
  <c r="J52" i="7"/>
  <c r="J35" i="7"/>
  <c r="J102" i="7" s="1"/>
  <c r="H124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71" i="7"/>
  <c r="Q69" i="7"/>
  <c r="U69" i="7" s="1"/>
  <c r="U71" i="7" s="1"/>
  <c r="M67" i="7"/>
  <c r="Q66" i="7"/>
  <c r="U66" i="7" s="1"/>
  <c r="U67" i="7" s="1"/>
  <c r="N71" i="7"/>
  <c r="R69" i="7"/>
  <c r="V69" i="7" s="1"/>
  <c r="V71" i="7" s="1"/>
  <c r="J23" i="7"/>
  <c r="J28" i="7"/>
  <c r="J57" i="7"/>
  <c r="J24" i="7"/>
  <c r="Q45" i="7"/>
  <c r="U45" i="7" s="1"/>
  <c r="U76" i="7" s="1"/>
  <c r="J34" i="7"/>
  <c r="J90" i="7" s="1"/>
  <c r="J22" i="7"/>
  <c r="J87" i="7" s="1"/>
  <c r="M29" i="59" s="1"/>
  <c r="J58" i="7"/>
  <c r="J31" i="7"/>
  <c r="J98" i="7" s="1"/>
  <c r="J53" i="7"/>
  <c r="J27" i="7"/>
  <c r="J92" i="7" s="1"/>
  <c r="J55" i="7"/>
  <c r="J60" i="7"/>
  <c r="J25" i="7"/>
  <c r="J30" i="7"/>
  <c r="J54" i="7"/>
  <c r="J96" i="7" s="1"/>
  <c r="N49" i="7"/>
  <c r="J56" i="7"/>
  <c r="AA24" i="36"/>
  <c r="AD75" i="59" s="1"/>
  <c r="N144" i="7"/>
  <c r="F103" i="7"/>
  <c r="AA8" i="15"/>
  <c r="AA13" i="15" s="1"/>
  <c r="AB10" i="36"/>
  <c r="AA82" i="8"/>
  <c r="AD52" i="59" s="1"/>
  <c r="I31" i="59"/>
  <c r="AB6" i="49"/>
  <c r="AF6" i="49" s="1"/>
  <c r="AJ6" i="49" s="1"/>
  <c r="AP6" i="49" s="1"/>
  <c r="AT6" i="49" s="1"/>
  <c r="AX6" i="49" s="1"/>
  <c r="BF6" i="49" s="1"/>
  <c r="AB92" i="8"/>
  <c r="AB8" i="49"/>
  <c r="AF8" i="49" s="1"/>
  <c r="AJ8" i="49" s="1"/>
  <c r="AP8" i="49" s="1"/>
  <c r="AT8" i="49" s="1"/>
  <c r="AX8" i="49" s="1"/>
  <c r="BF8" i="49" s="1"/>
  <c r="R2" i="7"/>
  <c r="J123" i="7"/>
  <c r="J124" i="7" s="1"/>
  <c r="J125" i="7" s="1"/>
  <c r="N138" i="7"/>
  <c r="N123" i="7"/>
  <c r="Y103" i="7"/>
  <c r="AB65" i="7"/>
  <c r="U28" i="59"/>
  <c r="N1" i="7"/>
  <c r="N78" i="7" s="1"/>
  <c r="Z8" i="15"/>
  <c r="AB26" i="8"/>
  <c r="AB82" i="8"/>
  <c r="AE52" i="59" s="1"/>
  <c r="AB41" i="8"/>
  <c r="AB40" i="8"/>
  <c r="AB39" i="8"/>
  <c r="AB44" i="8"/>
  <c r="AE48" i="59" s="1"/>
  <c r="AB47" i="8"/>
  <c r="AB43" i="8"/>
  <c r="AE46" i="59" s="1"/>
  <c r="AB45" i="8"/>
  <c r="AA63" i="7"/>
  <c r="AE63" i="7" s="1"/>
  <c r="AI63" i="7" s="1"/>
  <c r="J112" i="7"/>
  <c r="J106" i="7"/>
  <c r="J108" i="7"/>
  <c r="J110" i="7"/>
  <c r="J111" i="7"/>
  <c r="J113" i="7"/>
  <c r="J107" i="7"/>
  <c r="J109" i="7"/>
  <c r="Q29" i="59"/>
  <c r="I32" i="59"/>
  <c r="I30" i="59"/>
  <c r="J76" i="7"/>
  <c r="J71" i="7"/>
  <c r="I66" i="7"/>
  <c r="I81" i="7"/>
  <c r="L28" i="59" s="1"/>
  <c r="I78" i="7"/>
  <c r="I74" i="7"/>
  <c r="Q2" i="7"/>
  <c r="P28" i="59"/>
  <c r="I71" i="7"/>
  <c r="U36" i="59"/>
  <c r="Q36" i="59"/>
  <c r="Q28" i="59"/>
  <c r="J78" i="7"/>
  <c r="J83" i="7"/>
  <c r="M36" i="59" s="1"/>
  <c r="J81" i="7"/>
  <c r="M28" i="59" s="1"/>
  <c r="J74" i="7"/>
  <c r="J67" i="7"/>
  <c r="J85" i="7"/>
  <c r="I6" i="7"/>
  <c r="I22" i="7" s="1"/>
  <c r="AI65" i="7" l="1"/>
  <c r="AI59" i="7" s="1"/>
  <c r="AI101" i="7" s="1"/>
  <c r="AB59" i="7"/>
  <c r="AB101" i="7" s="1"/>
  <c r="AB33" i="7"/>
  <c r="AB97" i="7" s="1"/>
  <c r="AW64" i="7"/>
  <c r="BE64" i="7" s="1"/>
  <c r="AI81" i="7"/>
  <c r="AI74" i="7"/>
  <c r="AI76" i="7"/>
  <c r="AI35" i="7"/>
  <c r="AI102" i="7" s="1"/>
  <c r="AI34" i="7"/>
  <c r="AI78" i="7"/>
  <c r="AI83" i="7"/>
  <c r="I89" i="7"/>
  <c r="L31" i="59" s="1"/>
  <c r="N146" i="7"/>
  <c r="BL144" i="7"/>
  <c r="BN144" i="7" s="1"/>
  <c r="N124" i="7"/>
  <c r="BL124" i="7" s="1"/>
  <c r="BN124" i="7" s="1"/>
  <c r="BL123" i="7"/>
  <c r="BN123" i="7" s="1"/>
  <c r="N140" i="7"/>
  <c r="BL138" i="7"/>
  <c r="BN138" i="7" s="1"/>
  <c r="AR2" i="17"/>
  <c r="AR2" i="26"/>
  <c r="AW50" i="8"/>
  <c r="AW78" i="8" s="1"/>
  <c r="AW49" i="8"/>
  <c r="AW89" i="8"/>
  <c r="AW24" i="36"/>
  <c r="AZ75" i="59" s="1"/>
  <c r="AS24" i="36"/>
  <c r="AV75" i="59" s="1"/>
  <c r="I100" i="7"/>
  <c r="L32" i="59" s="1"/>
  <c r="I87" i="7"/>
  <c r="L29" i="59" s="1"/>
  <c r="I36" i="7"/>
  <c r="I51" i="7" s="1"/>
  <c r="I61" i="7" s="1"/>
  <c r="H125" i="7"/>
  <c r="I88" i="7"/>
  <c r="L30" i="59" s="1"/>
  <c r="J141" i="7"/>
  <c r="J147" i="7"/>
  <c r="AE49" i="59"/>
  <c r="AB110" i="7"/>
  <c r="AF110" i="7" s="1"/>
  <c r="AB32" i="7"/>
  <c r="AB99" i="7" s="1"/>
  <c r="BF81" i="8"/>
  <c r="BI45" i="59" s="1"/>
  <c r="BE2" i="8"/>
  <c r="BF57" i="9"/>
  <c r="BF74" i="9" s="1"/>
  <c r="AS74" i="9"/>
  <c r="AS78" i="8"/>
  <c r="AW14" i="36"/>
  <c r="AZ41" i="59" s="1"/>
  <c r="AO81" i="9"/>
  <c r="AS64" i="9"/>
  <c r="AW64" i="9" s="1"/>
  <c r="AW81" i="9" s="1"/>
  <c r="J88" i="7"/>
  <c r="M30" i="59" s="1"/>
  <c r="AP69" i="7"/>
  <c r="AE65" i="7"/>
  <c r="AE59" i="7" s="1"/>
  <c r="AE101" i="7" s="1"/>
  <c r="AF49" i="7"/>
  <c r="AO69" i="7"/>
  <c r="R49" i="7"/>
  <c r="AB113" i="7"/>
  <c r="AF113" i="7" s="1"/>
  <c r="AB109" i="7"/>
  <c r="AF109" i="7" s="1"/>
  <c r="AB74" i="7"/>
  <c r="AB55" i="7"/>
  <c r="AB60" i="7"/>
  <c r="AB108" i="7"/>
  <c r="AF108" i="7" s="1"/>
  <c r="AB112" i="7"/>
  <c r="AF112" i="7" s="1"/>
  <c r="AB106" i="7"/>
  <c r="AF106" i="7" s="1"/>
  <c r="AB56" i="7"/>
  <c r="AB58" i="7"/>
  <c r="AB111" i="7"/>
  <c r="AF111" i="7" s="1"/>
  <c r="AB107" i="7"/>
  <c r="AF107" i="7" s="1"/>
  <c r="AB85" i="7"/>
  <c r="AF85" i="7" s="1"/>
  <c r="AB53" i="7"/>
  <c r="AB57" i="7"/>
  <c r="AB54" i="7"/>
  <c r="AB29" i="7"/>
  <c r="AB94" i="7" s="1"/>
  <c r="AE34" i="59" s="1"/>
  <c r="AB35" i="7"/>
  <c r="AB102" i="7" s="1"/>
  <c r="AB26" i="7"/>
  <c r="AB91" i="7" s="1"/>
  <c r="J89" i="7"/>
  <c r="M31" i="59" s="1"/>
  <c r="J95" i="7"/>
  <c r="M35" i="59" s="1"/>
  <c r="J100" i="7"/>
  <c r="M32" i="59" s="1"/>
  <c r="J93" i="7"/>
  <c r="M33" i="59" s="1"/>
  <c r="H126" i="7"/>
  <c r="J36" i="7"/>
  <c r="J51" i="7" s="1"/>
  <c r="I20" i="7"/>
  <c r="R71" i="7"/>
  <c r="Q76" i="7"/>
  <c r="Q67" i="7"/>
  <c r="V2" i="7"/>
  <c r="V84" i="7" s="1"/>
  <c r="R84" i="7"/>
  <c r="Q71" i="7"/>
  <c r="U2" i="7"/>
  <c r="M49" i="7"/>
  <c r="Q39" i="7"/>
  <c r="U39" i="7" s="1"/>
  <c r="U49" i="7" s="1"/>
  <c r="R75" i="7"/>
  <c r="R61" i="7"/>
  <c r="M76" i="7"/>
  <c r="N61" i="7"/>
  <c r="AB31" i="7"/>
  <c r="AB98" i="7" s="1"/>
  <c r="AB27" i="7"/>
  <c r="AB92" i="7" s="1"/>
  <c r="Q1" i="7"/>
  <c r="Q78" i="7" s="1"/>
  <c r="U31" i="59"/>
  <c r="Q31" i="59"/>
  <c r="AB13" i="36"/>
  <c r="AE40" i="59" s="1"/>
  <c r="AE37" i="59"/>
  <c r="U29" i="59"/>
  <c r="AB22" i="7"/>
  <c r="J126" i="7"/>
  <c r="J127" i="7" s="1"/>
  <c r="R138" i="7"/>
  <c r="R140" i="7" s="1"/>
  <c r="R141" i="7" s="1"/>
  <c r="R144" i="7"/>
  <c r="R146" i="7" s="1"/>
  <c r="R147" i="7" s="1"/>
  <c r="I67" i="7"/>
  <c r="AB67" i="7"/>
  <c r="AB83" i="7"/>
  <c r="AE36" i="59" s="1"/>
  <c r="AA65" i="7"/>
  <c r="R123" i="7"/>
  <c r="R124" i="7" s="1"/>
  <c r="Z103" i="7"/>
  <c r="R1" i="7"/>
  <c r="R78" i="7" s="1"/>
  <c r="AB42" i="8"/>
  <c r="U1" i="7"/>
  <c r="U78" i="7" s="1"/>
  <c r="Q30" i="59"/>
  <c r="Q32" i="59"/>
  <c r="T28" i="59"/>
  <c r="I76" i="7"/>
  <c r="AA33" i="7" l="1"/>
  <c r="AA97" i="7" s="1"/>
  <c r="AA32" i="7"/>
  <c r="AA99" i="7" s="1"/>
  <c r="AA35" i="7"/>
  <c r="AA102" i="7" s="1"/>
  <c r="AA59" i="7"/>
  <c r="AA101" i="7" s="1"/>
  <c r="AI90" i="7"/>
  <c r="AI103" i="7" s="1"/>
  <c r="AI36" i="7"/>
  <c r="AI51" i="7" s="1"/>
  <c r="BE14" i="36"/>
  <c r="BH41" i="59" s="1"/>
  <c r="N125" i="7"/>
  <c r="BL125" i="7" s="1"/>
  <c r="BN125" i="7" s="1"/>
  <c r="N126" i="7"/>
  <c r="N127" i="7" s="1"/>
  <c r="BL127" i="7" s="1"/>
  <c r="BN127" i="7" s="1"/>
  <c r="AJ111" i="7"/>
  <c r="AP111" i="7" s="1"/>
  <c r="AT111" i="7" s="1"/>
  <c r="AE34" i="7"/>
  <c r="AE90" i="7" s="1"/>
  <c r="AE35" i="7"/>
  <c r="AE102" i="7" s="1"/>
  <c r="AJ106" i="7"/>
  <c r="AP106" i="7" s="1"/>
  <c r="AT106" i="7" s="1"/>
  <c r="AJ109" i="7"/>
  <c r="AP109" i="7" s="1"/>
  <c r="AT109" i="7" s="1"/>
  <c r="AJ110" i="7"/>
  <c r="AP110" i="7" s="1"/>
  <c r="AT110" i="7" s="1"/>
  <c r="AJ85" i="7"/>
  <c r="AP85" i="7" s="1"/>
  <c r="AT85" i="7" s="1"/>
  <c r="AJ112" i="7"/>
  <c r="AP112" i="7" s="1"/>
  <c r="AT112" i="7" s="1"/>
  <c r="AJ113" i="7"/>
  <c r="AP113" i="7" s="1"/>
  <c r="AT113" i="7" s="1"/>
  <c r="AJ107" i="7"/>
  <c r="AP107" i="7" s="1"/>
  <c r="AT107" i="7" s="1"/>
  <c r="AJ108" i="7"/>
  <c r="AP108" i="7" s="1"/>
  <c r="AT108" i="7" s="1"/>
  <c r="N141" i="7"/>
  <c r="BL141" i="7" s="1"/>
  <c r="BN141" i="7" s="1"/>
  <c r="BL140" i="7"/>
  <c r="BN140" i="7" s="1"/>
  <c r="N147" i="7"/>
  <c r="BL147" i="7" s="1"/>
  <c r="BN147" i="7" s="1"/>
  <c r="BL146" i="7"/>
  <c r="BN146" i="7" s="1"/>
  <c r="AV2" i="17"/>
  <c r="AV2" i="26"/>
  <c r="AA74" i="7"/>
  <c r="AA34" i="7"/>
  <c r="AA36" i="7" s="1"/>
  <c r="AA51" i="7" s="1"/>
  <c r="BE89" i="8"/>
  <c r="BE57" i="9"/>
  <c r="BE74" i="9" s="1"/>
  <c r="BE50" i="8"/>
  <c r="BE49" i="8"/>
  <c r="AS81" i="9"/>
  <c r="AT69" i="7"/>
  <c r="AX69" i="7" s="1"/>
  <c r="AX71" i="7" s="1"/>
  <c r="AP71" i="7"/>
  <c r="AE81" i="7"/>
  <c r="AH28" i="59" s="1"/>
  <c r="AE78" i="7"/>
  <c r="AE74" i="7"/>
  <c r="AE76" i="7"/>
  <c r="AE83" i="7"/>
  <c r="AH36" i="59" s="1"/>
  <c r="AS69" i="7"/>
  <c r="AW69" i="7" s="1"/>
  <c r="AW71" i="7" s="1"/>
  <c r="AO71" i="7"/>
  <c r="AO63" i="7"/>
  <c r="AP39" i="7"/>
  <c r="H127" i="7"/>
  <c r="AB20" i="7"/>
  <c r="J103" i="7"/>
  <c r="AA2" i="7"/>
  <c r="AE2" i="7" s="1"/>
  <c r="AI2" i="7" s="1"/>
  <c r="AO2" i="7" s="1"/>
  <c r="AS2" i="7" s="1"/>
  <c r="AW2" i="7" s="1"/>
  <c r="BE2" i="7" s="1"/>
  <c r="AB2" i="7"/>
  <c r="Q49" i="7"/>
  <c r="AB138" i="7"/>
  <c r="U30" i="59"/>
  <c r="AA81" i="7"/>
  <c r="AD28" i="59" s="1"/>
  <c r="AA98" i="7"/>
  <c r="AA92" i="7"/>
  <c r="J128" i="7"/>
  <c r="U32" i="59"/>
  <c r="AB52" i="7"/>
  <c r="V1" i="7"/>
  <c r="V78" i="7" s="1"/>
  <c r="R126" i="7"/>
  <c r="R127" i="7" s="1"/>
  <c r="R125" i="7"/>
  <c r="AB76" i="7"/>
  <c r="AB96" i="7"/>
  <c r="AA1" i="7"/>
  <c r="AA78" i="7" s="1"/>
  <c r="AA73" i="7"/>
  <c r="AA61" i="7" l="1"/>
  <c r="AE103" i="7"/>
  <c r="AE36" i="7"/>
  <c r="AE51" i="7" s="1"/>
  <c r="AE61" i="7" s="1"/>
  <c r="BL126" i="7"/>
  <c r="BN126" i="7" s="1"/>
  <c r="AI75" i="7"/>
  <c r="AI61" i="7"/>
  <c r="AX110" i="7"/>
  <c r="BF110" i="7" s="1"/>
  <c r="AX106" i="7"/>
  <c r="BF106" i="7" s="1"/>
  <c r="AX108" i="7"/>
  <c r="BF108" i="7" s="1"/>
  <c r="AX113" i="7"/>
  <c r="BF113" i="7" s="1"/>
  <c r="AX107" i="7"/>
  <c r="BF107" i="7" s="1"/>
  <c r="AX112" i="7"/>
  <c r="BF112" i="7" s="1"/>
  <c r="AX109" i="7"/>
  <c r="BF109" i="7" s="1"/>
  <c r="AX85" i="7"/>
  <c r="BF85" i="7" s="1"/>
  <c r="AX111" i="7"/>
  <c r="BF111" i="7" s="1"/>
  <c r="N128" i="7"/>
  <c r="N135" i="7" s="1"/>
  <c r="BL135" i="7" s="1"/>
  <c r="BE78" i="8"/>
  <c r="BD2" i="26"/>
  <c r="BD2" i="17"/>
  <c r="AB140" i="7"/>
  <c r="AE75" i="7"/>
  <c r="AS71" i="7"/>
  <c r="AT71" i="7"/>
  <c r="BE64" i="9"/>
  <c r="BE81" i="9" s="1"/>
  <c r="AB84" i="7"/>
  <c r="AF2" i="7"/>
  <c r="AS63" i="7"/>
  <c r="AW63" i="7" s="1"/>
  <c r="AW65" i="7" s="1"/>
  <c r="AW59" i="7" s="1"/>
  <c r="AW101" i="7" s="1"/>
  <c r="AO65" i="7"/>
  <c r="AO59" i="7" s="1"/>
  <c r="AO101" i="7" s="1"/>
  <c r="AT39" i="7"/>
  <c r="AX39" i="7" s="1"/>
  <c r="AX49" i="7" s="1"/>
  <c r="AP49" i="7"/>
  <c r="AL28" i="59"/>
  <c r="AL36" i="59"/>
  <c r="H128" i="7"/>
  <c r="AA20" i="7"/>
  <c r="AA71" i="7"/>
  <c r="AB71" i="7"/>
  <c r="AB25" i="7"/>
  <c r="AB100" i="7" s="1"/>
  <c r="AE32" i="59" s="1"/>
  <c r="AB24" i="7"/>
  <c r="AB89" i="7" s="1"/>
  <c r="AE31" i="59" s="1"/>
  <c r="AB23" i="7"/>
  <c r="AB88" i="7" s="1"/>
  <c r="AE30" i="59" s="1"/>
  <c r="AB28" i="7"/>
  <c r="AB93" i="7" s="1"/>
  <c r="AE33" i="59" s="1"/>
  <c r="AB30" i="7"/>
  <c r="AB95" i="7" s="1"/>
  <c r="AE35" i="59" s="1"/>
  <c r="AB34" i="7"/>
  <c r="AB90" i="7" s="1"/>
  <c r="J135" i="7"/>
  <c r="R128" i="7"/>
  <c r="AB144" i="7"/>
  <c r="AB123" i="7"/>
  <c r="AB81" i="7"/>
  <c r="AE28" i="59" s="1"/>
  <c r="AB1" i="7"/>
  <c r="AB78" i="7" s="1"/>
  <c r="AB73" i="7"/>
  <c r="T29" i="59"/>
  <c r="BL128" i="7" l="1"/>
  <c r="BN128" i="7" s="1"/>
  <c r="AO34" i="7"/>
  <c r="AO90" i="7" s="1"/>
  <c r="AO35" i="7"/>
  <c r="AO102" i="7" s="1"/>
  <c r="AW74" i="7"/>
  <c r="AW81" i="7"/>
  <c r="AW76" i="7"/>
  <c r="AW35" i="7"/>
  <c r="AW102" i="7" s="1"/>
  <c r="AW34" i="7"/>
  <c r="AW78" i="7"/>
  <c r="AW83" i="7"/>
  <c r="AB124" i="7"/>
  <c r="AB126" i="7" s="1"/>
  <c r="AB146" i="7"/>
  <c r="AB141" i="7"/>
  <c r="BF69" i="7"/>
  <c r="BF71" i="7" s="1"/>
  <c r="BE69" i="7"/>
  <c r="BE71" i="7" s="1"/>
  <c r="AS65" i="7"/>
  <c r="AT49" i="7"/>
  <c r="AO78" i="7"/>
  <c r="AO74" i="7"/>
  <c r="AO81" i="7"/>
  <c r="AR28" i="59" s="1"/>
  <c r="AO76" i="7"/>
  <c r="AO83" i="7"/>
  <c r="AR36" i="59" s="1"/>
  <c r="AJ2" i="7"/>
  <c r="AJ84" i="7" s="1"/>
  <c r="AF84" i="7"/>
  <c r="H135" i="7"/>
  <c r="AB36" i="7"/>
  <c r="AB51" i="7" s="1"/>
  <c r="T30" i="59"/>
  <c r="T32" i="59"/>
  <c r="T31" i="59"/>
  <c r="AA66" i="7"/>
  <c r="AE66" i="7" s="1"/>
  <c r="AI66" i="7" s="1"/>
  <c r="AI67" i="7" s="1"/>
  <c r="R135" i="7"/>
  <c r="AB87" i="7"/>
  <c r="AE29" i="59" s="1"/>
  <c r="AS35" i="7" l="1"/>
  <c r="AS102" i="7" s="1"/>
  <c r="AS59" i="7"/>
  <c r="AS101" i="7" s="1"/>
  <c r="AO36" i="7"/>
  <c r="AO51" i="7" s="1"/>
  <c r="AO61" i="7" s="1"/>
  <c r="AB125" i="7"/>
  <c r="AW90" i="7"/>
  <c r="AW103" i="7" s="1"/>
  <c r="AW36" i="7"/>
  <c r="AW51" i="7" s="1"/>
  <c r="AO103" i="7"/>
  <c r="BN135" i="7"/>
  <c r="AB147" i="7"/>
  <c r="AB127" i="7"/>
  <c r="AS78" i="7"/>
  <c r="AS34" i="7"/>
  <c r="AS81" i="7"/>
  <c r="AV28" i="59" s="1"/>
  <c r="AS76" i="7"/>
  <c r="AS74" i="7"/>
  <c r="AS83" i="7"/>
  <c r="AV36" i="59" s="1"/>
  <c r="BE63" i="7"/>
  <c r="BE65" i="7" s="1"/>
  <c r="BE59" i="7" s="1"/>
  <c r="BE101" i="7" s="1"/>
  <c r="BF39" i="7"/>
  <c r="AE67" i="7"/>
  <c r="AP2" i="7"/>
  <c r="AB103" i="7"/>
  <c r="M115" i="6"/>
  <c r="AA67" i="7"/>
  <c r="AA93" i="7"/>
  <c r="AD33" i="59" s="1"/>
  <c r="AA90" i="7"/>
  <c r="AA76" i="7"/>
  <c r="AA95" i="7"/>
  <c r="AD35" i="59" s="1"/>
  <c r="J87" i="6"/>
  <c r="AB128" i="7" l="1"/>
  <c r="AO75" i="7"/>
  <c r="AW75" i="7"/>
  <c r="AW61" i="7"/>
  <c r="BE34" i="7"/>
  <c r="BE90" i="7" s="1"/>
  <c r="BE35" i="7"/>
  <c r="BE102" i="7" s="1"/>
  <c r="AB135" i="7"/>
  <c r="AS90" i="7"/>
  <c r="AS103" i="7" s="1"/>
  <c r="AS36" i="7"/>
  <c r="AS51" i="7" s="1"/>
  <c r="BE78" i="7"/>
  <c r="BE74" i="7"/>
  <c r="BE81" i="7"/>
  <c r="BH28" i="59" s="1"/>
  <c r="BE76" i="7"/>
  <c r="BE83" i="7"/>
  <c r="BH36" i="59" s="1"/>
  <c r="AZ28" i="59"/>
  <c r="AZ36" i="59"/>
  <c r="BF49" i="7"/>
  <c r="AT2" i="7"/>
  <c r="AP84" i="7"/>
  <c r="AO66" i="7"/>
  <c r="M121" i="6"/>
  <c r="AA100" i="7"/>
  <c r="AD32" i="59" s="1"/>
  <c r="BF13" i="36"/>
  <c r="BI40" i="59" s="1"/>
  <c r="AA88" i="7"/>
  <c r="AD30" i="59" s="1"/>
  <c r="AA89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7" i="7"/>
  <c r="AD29" i="59" s="1"/>
  <c r="J86" i="6"/>
  <c r="J88" i="6"/>
  <c r="I70" i="6"/>
  <c r="I88" i="6"/>
  <c r="I87" i="6"/>
  <c r="I86" i="6"/>
  <c r="I76" i="6"/>
  <c r="I75" i="6"/>
  <c r="I74" i="6"/>
  <c r="I73" i="6"/>
  <c r="I72" i="6"/>
  <c r="BE103" i="7" l="1"/>
  <c r="BE36" i="7"/>
  <c r="BE51" i="7" s="1"/>
  <c r="BE75" i="7" s="1"/>
  <c r="AS61" i="7"/>
  <c r="AS75" i="7"/>
  <c r="AT84" i="7"/>
  <c r="AX2" i="7"/>
  <c r="AX84" i="7" s="1"/>
  <c r="AS66" i="7"/>
  <c r="AW66" i="7" s="1"/>
  <c r="AW67" i="7" s="1"/>
  <c r="AO67" i="7"/>
  <c r="M143" i="6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M205" i="6" l="1"/>
  <c r="M206" i="6"/>
  <c r="BE61" i="7"/>
  <c r="BF2" i="7"/>
  <c r="BF84" i="7" s="1"/>
  <c r="M212" i="6"/>
  <c r="M173" i="6"/>
  <c r="M174" i="6" s="1"/>
  <c r="M211" i="6"/>
  <c r="M175" i="6"/>
  <c r="AS67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6" i="7" l="1"/>
  <c r="BE67" i="7" s="1"/>
  <c r="N125" i="6"/>
  <c r="N173" i="6" s="1"/>
  <c r="Q22" i="59" s="1"/>
  <c r="AB121" i="6"/>
  <c r="N143" i="6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N205" i="6" l="1"/>
  <c r="N206" i="6"/>
  <c r="I12" i="6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5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AA206" i="6" s="1"/>
  <c r="V15" i="36"/>
  <c r="V75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B150" i="6"/>
  <c r="AB14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AA208" i="6" l="1"/>
  <c r="AA210" i="6"/>
  <c r="AA205" i="6"/>
  <c r="AA213" i="6"/>
  <c r="AA216" i="6"/>
  <c r="AA219" i="6" s="1"/>
  <c r="AA203" i="6"/>
  <c r="AA207" i="6"/>
  <c r="AA211" i="6"/>
  <c r="AA204" i="6"/>
  <c r="V61" i="6"/>
  <c r="AA212" i="6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Y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9" i="6"/>
  <c r="AB175" i="6"/>
  <c r="AB172" i="6"/>
  <c r="AB143" i="6"/>
  <c r="AB206" i="6" s="1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A209" i="6" l="1"/>
  <c r="AA214" i="6"/>
  <c r="AB212" i="6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15" i="6" l="1"/>
  <c r="AA220" i="6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Z23" i="59" s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477" i="28"/>
  <c r="I478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5" i="6" s="1"/>
  <c r="BE13" i="6"/>
  <c r="BE16" i="6" s="1"/>
  <c r="BF13" i="6"/>
  <c r="BF16" i="6" s="1"/>
  <c r="BF12" i="6"/>
  <c r="BF15" i="6" s="1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AO28" i="21" l="1"/>
  <c r="AS27" i="21"/>
  <c r="AP15" i="21"/>
  <c r="AJ20" i="21"/>
  <c r="AA12" i="21"/>
  <c r="AS28" i="21" l="1"/>
  <c r="AW27" i="21"/>
  <c r="AT15" i="21"/>
  <c r="AP20" i="21"/>
  <c r="AA22" i="21"/>
  <c r="AW28" i="21" l="1"/>
  <c r="BE27" i="21"/>
  <c r="BE28" i="21" s="1"/>
  <c r="AT20" i="21"/>
  <c r="AX15" i="21"/>
  <c r="J71" i="11"/>
  <c r="AX20" i="21" l="1"/>
  <c r="BF15" i="21"/>
  <c r="BF20" i="21" s="1"/>
  <c r="J102" i="9"/>
  <c r="J89" i="9"/>
  <c r="J90" i="9"/>
  <c r="J33" i="22"/>
  <c r="I132" i="26"/>
  <c r="J94" i="9"/>
  <c r="I18" i="15" s="1"/>
  <c r="J96" i="9"/>
  <c r="J100" i="9"/>
  <c r="J104" i="9"/>
  <c r="M59" i="59" s="1"/>
  <c r="J188" i="6"/>
  <c r="N96" i="9" l="1"/>
  <c r="N100" i="9"/>
  <c r="M18" i="15"/>
  <c r="N90" i="9"/>
  <c r="N89" i="9"/>
  <c r="J190" i="6"/>
  <c r="J85" i="8"/>
  <c r="J87" i="8" s="1"/>
  <c r="I130" i="26" l="1"/>
  <c r="Q75" i="59"/>
  <c r="N190" i="6"/>
  <c r="Z164" i="6"/>
  <c r="J86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6" i="8"/>
  <c r="AX190" i="6" l="1"/>
  <c r="BF190" i="6" s="1"/>
  <c r="AX24" i="36"/>
  <c r="BA75" i="59" s="1"/>
  <c r="BF24" i="36"/>
  <c r="BI75" i="59" s="1"/>
  <c r="AT24" i="36"/>
  <c r="AW75" i="59" s="1"/>
  <c r="AB33" i="22"/>
  <c r="AB96" i="9"/>
  <c r="AB94" i="9"/>
  <c r="AA18" i="15" s="1"/>
  <c r="AB100" i="9"/>
  <c r="AB89" i="9"/>
  <c r="AB90" i="9"/>
  <c r="AB87" i="8" l="1"/>
  <c r="AB86" i="8"/>
  <c r="AF87" i="8" l="1"/>
  <c r="Z24" i="36"/>
  <c r="AC75" i="59" s="1"/>
  <c r="J28" i="6"/>
  <c r="AJ87" i="8" l="1"/>
  <c r="AP87" i="8" s="1"/>
  <c r="AT87" i="8" s="1"/>
  <c r="AB24" i="36"/>
  <c r="J29" i="6"/>
  <c r="J31" i="6"/>
  <c r="J25" i="6"/>
  <c r="AX87" i="8" l="1"/>
  <c r="BF87" i="8" s="1"/>
  <c r="AE75" i="59"/>
  <c r="N29" i="6"/>
  <c r="J32" i="6"/>
  <c r="J26" i="6"/>
  <c r="N26" i="6" l="1"/>
  <c r="N32" i="6"/>
  <c r="AB29" i="6" l="1"/>
  <c r="J65" i="8"/>
  <c r="J20" i="49" s="1"/>
  <c r="J34" i="8"/>
  <c r="J72" i="8" l="1"/>
  <c r="J15" i="36"/>
  <c r="M53" i="59" s="1"/>
  <c r="AB32" i="6"/>
  <c r="AB26" i="6"/>
  <c r="J75" i="8" l="1"/>
  <c r="N72" i="8"/>
  <c r="N15" i="36"/>
  <c r="Q53" i="59" s="1"/>
  <c r="J19" i="21"/>
  <c r="N75" i="8" l="1"/>
  <c r="J16" i="21"/>
  <c r="AB10" i="49" l="1"/>
  <c r="AB72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4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AB12" i="21"/>
  <c r="AJ25" i="21" l="1"/>
  <c r="AT22" i="21"/>
  <c r="AP24" i="21"/>
  <c r="AP25" i="21" s="1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70" i="10" l="1"/>
  <c r="I116" i="17"/>
  <c r="I118" i="17" s="1"/>
  <c r="I117" i="17"/>
  <c r="J24" i="36" l="1"/>
  <c r="M75" i="59" s="1"/>
  <c r="J7" i="6"/>
  <c r="J16" i="6"/>
  <c r="J15" i="6"/>
  <c r="I115" i="17"/>
  <c r="I119" i="17" s="1"/>
  <c r="J39" i="7"/>
  <c r="J61" i="7" s="1"/>
  <c r="J18" i="6"/>
  <c r="J17" i="6"/>
  <c r="J79" i="6" l="1"/>
  <c r="J82" i="6"/>
  <c r="J85" i="6"/>
  <c r="AP79" i="6"/>
  <c r="AT79" i="6" s="1"/>
  <c r="AX79" i="6" s="1"/>
  <c r="AF85" i="6"/>
  <c r="AP82" i="6"/>
  <c r="AT82" i="6" s="1"/>
  <c r="AX82" i="6" s="1"/>
  <c r="J83" i="6"/>
  <c r="J80" i="6"/>
  <c r="AP83" i="6"/>
  <c r="AT83" i="6" s="1"/>
  <c r="AX83" i="6" s="1"/>
  <c r="AP80" i="6"/>
  <c r="AT80" i="6" s="1"/>
  <c r="AX80" i="6" s="1"/>
  <c r="J168" i="6"/>
  <c r="J169" i="6"/>
  <c r="J195" i="6"/>
  <c r="J75" i="7"/>
  <c r="N7" i="6"/>
  <c r="N16" i="6"/>
  <c r="N15" i="6"/>
  <c r="J49" i="7"/>
  <c r="J194" i="6"/>
  <c r="J189" i="6"/>
  <c r="J19" i="6"/>
  <c r="AJ85" i="6" l="1"/>
  <c r="AP85" i="6" s="1"/>
  <c r="AT85" i="6" s="1"/>
  <c r="AX85" i="6" s="1"/>
  <c r="BF85" i="6" s="1"/>
  <c r="BF82" i="6"/>
  <c r="BF80" i="6"/>
  <c r="BF79" i="6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R84" i="6" s="1"/>
  <c r="V84" i="6" s="1"/>
  <c r="N81" i="6"/>
  <c r="R81" i="6" s="1"/>
  <c r="V81" i="6" s="1"/>
  <c r="U53" i="59"/>
  <c r="R75" i="8"/>
  <c r="N39" i="6"/>
  <c r="N40" i="6"/>
  <c r="N37" i="6"/>
  <c r="N38" i="6"/>
  <c r="J41" i="6"/>
  <c r="N41" i="6" l="1"/>
  <c r="AB195" i="6" l="1"/>
  <c r="AF195" i="6" s="1"/>
  <c r="AJ195" i="6" s="1"/>
  <c r="AP195" i="6" s="1"/>
  <c r="AT195" i="6" s="1"/>
  <c r="AF169" i="6"/>
  <c r="AJ169" i="6" s="1"/>
  <c r="AP169" i="6" s="1"/>
  <c r="AT169" i="6" s="1"/>
  <c r="AB189" i="6"/>
  <c r="AB194" i="6"/>
  <c r="AB75" i="7"/>
  <c r="AB168" i="6"/>
  <c r="AB19" i="6"/>
  <c r="AB49" i="7"/>
  <c r="AX169" i="6" l="1"/>
  <c r="BF169" i="6" s="1"/>
  <c r="AX195" i="6"/>
  <c r="BF195" i="6" s="1"/>
  <c r="AB81" i="6"/>
  <c r="AB84" i="6"/>
  <c r="AB39" i="6"/>
  <c r="AB61" i="7"/>
  <c r="AB40" i="6"/>
  <c r="AB38" i="6"/>
  <c r="AF84" i="6" l="1"/>
  <c r="AJ84" i="6" s="1"/>
  <c r="AP84" i="6" s="1"/>
  <c r="AT84" i="6" s="1"/>
  <c r="AX84" i="6" s="1"/>
  <c r="AF81" i="6"/>
  <c r="AJ81" i="6" s="1"/>
  <c r="AP81" i="6" s="1"/>
  <c r="AT81" i="6" s="1"/>
  <c r="AX81" i="6" s="1"/>
  <c r="BF81" i="6" s="1"/>
  <c r="I103" i="7"/>
  <c r="BF84" i="6" l="1"/>
  <c r="I39" i="7"/>
  <c r="I49" i="7" s="1"/>
  <c r="I75" i="7" l="1"/>
  <c r="AA103" i="7" l="1"/>
  <c r="AA75" i="7" l="1"/>
  <c r="I82" i="7"/>
  <c r="I83" i="7" s="1"/>
  <c r="L36" i="59" s="1"/>
  <c r="P36" i="59" l="1"/>
  <c r="T36" i="59" l="1"/>
  <c r="AA83" i="7" l="1"/>
  <c r="AD36" i="59" s="1"/>
  <c r="Q166" i="26" l="1"/>
  <c r="AA75" i="26" l="1"/>
  <c r="AA98" i="26" l="1"/>
  <c r="AE98" i="26" s="1"/>
  <c r="AI98" i="26" s="1"/>
  <c r="AI114" i="26" s="1"/>
  <c r="AE114" i="26" l="1"/>
  <c r="AE87" i="17"/>
  <c r="AA87" i="17"/>
  <c r="AA88" i="17" s="1"/>
  <c r="AO98" i="26" l="1"/>
  <c r="AS98" i="26" s="1"/>
  <c r="AW98" i="26" s="1"/>
  <c r="AW114" i="26" s="1"/>
  <c r="AI87" i="17"/>
  <c r="AE88" i="17"/>
  <c r="AO87" i="17"/>
  <c r="AA114" i="26"/>
  <c r="AA96" i="26" s="1"/>
  <c r="AE96" i="26" s="1"/>
  <c r="AI96" i="26" s="1"/>
  <c r="AO114" i="26" l="1"/>
  <c r="AO96" i="26" s="1"/>
  <c r="AS87" i="17"/>
  <c r="AI88" i="17"/>
  <c r="AO88" i="17" s="1"/>
  <c r="AS114" i="26"/>
  <c r="Y19" i="9"/>
  <c r="I31" i="6"/>
  <c r="I25" i="6"/>
  <c r="I28" i="6"/>
  <c r="I24" i="6"/>
  <c r="I22" i="6"/>
  <c r="I27" i="6"/>
  <c r="BE98" i="26" l="1"/>
  <c r="AW87" i="17"/>
  <c r="AS88" i="17"/>
  <c r="AS96" i="26"/>
  <c r="AW96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8" i="17" l="1"/>
  <c r="BE114" i="26"/>
  <c r="BE96" i="26" s="1"/>
  <c r="BE87" i="17"/>
  <c r="AE90" i="9"/>
  <c r="AE91" i="9" s="1"/>
  <c r="AA90" i="9"/>
  <c r="AA91" i="9" s="1"/>
  <c r="M29" i="6"/>
  <c r="M26" i="6"/>
  <c r="I23" i="6"/>
  <c r="I33" i="6"/>
  <c r="I32" i="6"/>
  <c r="BE88" i="17" l="1"/>
  <c r="AO19" i="9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AW90" i="9" s="1"/>
  <c r="AW91" i="9" s="1"/>
  <c r="T18" i="59"/>
  <c r="T19" i="59"/>
  <c r="M41" i="6"/>
  <c r="T17" i="59"/>
  <c r="Y23" i="6"/>
  <c r="M35" i="6"/>
  <c r="Y32" i="6"/>
  <c r="T20" i="59"/>
  <c r="AS90" i="9" l="1"/>
  <c r="AS91" i="9" s="1"/>
  <c r="AD24" i="59"/>
  <c r="AD27" i="59"/>
  <c r="AD26" i="59"/>
  <c r="AD25" i="59"/>
  <c r="AA26" i="6"/>
  <c r="AA29" i="6"/>
  <c r="Y41" i="6"/>
  <c r="Y35" i="6"/>
  <c r="BE19" i="9" l="1"/>
  <c r="BE90" i="9" s="1"/>
  <c r="BE91" i="9" s="1"/>
  <c r="AA32" i="6"/>
  <c r="AA23" i="6"/>
  <c r="AD18" i="59"/>
  <c r="AD19" i="59"/>
  <c r="AD20" i="59"/>
  <c r="AD17" i="59"/>
  <c r="Y11" i="36" l="1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M24" i="8" s="1"/>
  <c r="AA24" i="8" s="1"/>
  <c r="AE24" i="8" s="1"/>
  <c r="E39" i="8"/>
  <c r="E23" i="8" s="1"/>
  <c r="M23" i="8" s="1"/>
  <c r="E25" i="8"/>
  <c r="AI24" i="8" l="1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Q23" i="8"/>
  <c r="M8" i="49"/>
  <c r="Q8" i="49" s="1"/>
  <c r="U8" i="49" s="1"/>
  <c r="E9" i="49"/>
  <c r="I9" i="49" s="1"/>
  <c r="E8" i="49"/>
  <c r="I8" i="49" s="1"/>
  <c r="E65" i="8"/>
  <c r="M65" i="8" s="1"/>
  <c r="I25" i="8"/>
  <c r="I24" i="8"/>
  <c r="Y39" i="8"/>
  <c r="Y42" i="8" s="1"/>
  <c r="Y26" i="8"/>
  <c r="Y65" i="8"/>
  <c r="Y10" i="49" s="1"/>
  <c r="E42" i="8"/>
  <c r="E26" i="8"/>
  <c r="I23" i="8"/>
  <c r="AI40" i="8" l="1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5" i="8"/>
  <c r="AE65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5" i="8"/>
  <c r="U65" i="8" s="1"/>
  <c r="M10" i="49"/>
  <c r="Q10" i="49" s="1"/>
  <c r="U10" i="49" s="1"/>
  <c r="E10" i="49"/>
  <c r="I40" i="8"/>
  <c r="I41" i="8"/>
  <c r="AB40" i="59"/>
  <c r="Y72" i="8"/>
  <c r="I11" i="36"/>
  <c r="L38" i="59" s="1"/>
  <c r="I10" i="36"/>
  <c r="L37" i="59" s="1"/>
  <c r="I12" i="36"/>
  <c r="L39" i="59" s="1"/>
  <c r="I65" i="8"/>
  <c r="E34" i="8"/>
  <c r="M34" i="8" s="1"/>
  <c r="AA34" i="8" s="1"/>
  <c r="AE34" i="8" s="1"/>
  <c r="I26" i="8"/>
  <c r="I39" i="8"/>
  <c r="AI41" i="8" l="1"/>
  <c r="AI12" i="36"/>
  <c r="AI13" i="36" s="1"/>
  <c r="AS24" i="8"/>
  <c r="AW24" i="8" s="1"/>
  <c r="AW40" i="8" s="1"/>
  <c r="AO40" i="8"/>
  <c r="AO11" i="36"/>
  <c r="AR38" i="59" s="1"/>
  <c r="AI65" i="8"/>
  <c r="AI72" i="8" s="1"/>
  <c r="AO25" i="8"/>
  <c r="AI34" i="8"/>
  <c r="AO34" i="8" s="1"/>
  <c r="AS34" i="8" s="1"/>
  <c r="AI39" i="8"/>
  <c r="AI42" i="8" s="1"/>
  <c r="AI26" i="8"/>
  <c r="AL39" i="59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2" i="8"/>
  <c r="AB53" i="59"/>
  <c r="Y75" i="8"/>
  <c r="M12" i="49"/>
  <c r="Q40" i="8"/>
  <c r="Q41" i="8"/>
  <c r="Q72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2" i="8"/>
  <c r="M10" i="36"/>
  <c r="P37" i="59" s="1"/>
  <c r="M39" i="8"/>
  <c r="M26" i="8"/>
  <c r="AW34" i="8" l="1"/>
  <c r="BE34" i="8" s="1"/>
  <c r="AO65" i="8"/>
  <c r="AS65" i="8" s="1"/>
  <c r="AW65" i="8" s="1"/>
  <c r="AL40" i="59"/>
  <c r="AO72" i="8"/>
  <c r="U72" i="8"/>
  <c r="AS23" i="8"/>
  <c r="AW23" i="8" s="1"/>
  <c r="AO26" i="8"/>
  <c r="AO39" i="8"/>
  <c r="AO10" i="36"/>
  <c r="AS25" i="8"/>
  <c r="AW25" i="8" s="1"/>
  <c r="AW41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9" i="59" s="1"/>
  <c r="M13" i="36"/>
  <c r="P40" i="59" s="1"/>
  <c r="Q10" i="36"/>
  <c r="T37" i="59" s="1"/>
  <c r="AW26" i="8" l="1"/>
  <c r="AW39" i="8"/>
  <c r="AW42" i="8" s="1"/>
  <c r="AW72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2" i="8"/>
  <c r="U13" i="36"/>
  <c r="X40" i="59" s="1"/>
  <c r="X38" i="59"/>
  <c r="M15" i="49"/>
  <c r="AA15" i="49" s="1"/>
  <c r="Q14" i="49"/>
  <c r="U14" i="49" s="1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AS42" i="8" l="1"/>
  <c r="BE65" i="8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AW13" i="36" l="1"/>
  <c r="AZ40" i="59" s="1"/>
  <c r="BE39" i="8"/>
  <c r="BE26" i="8"/>
  <c r="BE10" i="36"/>
  <c r="BH37" i="59" s="1"/>
  <c r="BE72" i="8"/>
  <c r="BE41" i="8"/>
  <c r="BE12" i="36"/>
  <c r="BH39" i="59" s="1"/>
  <c r="M19" i="49"/>
  <c r="AA19" i="49" s="1"/>
  <c r="Q16" i="49"/>
  <c r="U16" i="49" s="1"/>
  <c r="E19" i="49"/>
  <c r="I16" i="49"/>
  <c r="BA75" i="8"/>
  <c r="AD37" i="59"/>
  <c r="AA72" i="8"/>
  <c r="AA10" i="49"/>
  <c r="BE42" i="8" l="1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5" i="8"/>
  <c r="L53" i="59"/>
  <c r="I75" i="8"/>
  <c r="AA20" i="49" l="1"/>
  <c r="AE19" i="49"/>
  <c r="AI19" i="49" s="1"/>
  <c r="U75" i="8"/>
  <c r="X53" i="59"/>
  <c r="Q75" i="8"/>
  <c r="T53" i="59"/>
  <c r="AE15" i="36"/>
  <c r="AD53" i="59"/>
  <c r="AA75" i="8"/>
  <c r="H44" i="17"/>
  <c r="P44" i="17" s="1"/>
  <c r="T44" i="17" s="1"/>
  <c r="AI20" i="49" l="1"/>
  <c r="AO19" i="49"/>
  <c r="AE20" i="49"/>
  <c r="T45" i="17"/>
  <c r="T51" i="17" s="1"/>
  <c r="T50" i="17"/>
  <c r="AI15" i="36"/>
  <c r="AI75" i="8" s="1"/>
  <c r="AE75" i="8"/>
  <c r="AH53" i="59"/>
  <c r="P45" i="17"/>
  <c r="P51" i="17" s="1"/>
  <c r="P50" i="17"/>
  <c r="L45" i="17"/>
  <c r="L51" i="17" s="1"/>
  <c r="L50" i="17"/>
  <c r="BE13" i="36"/>
  <c r="BH40" i="59" s="1"/>
  <c r="H50" i="17"/>
  <c r="H45" i="17"/>
  <c r="H51" i="17" s="1"/>
  <c r="AO20" i="49" l="1"/>
  <c r="AO15" i="36" s="1"/>
  <c r="AS19" i="49"/>
  <c r="AO75" i="8"/>
  <c r="AS15" i="36"/>
  <c r="AR53" i="59"/>
  <c r="T54" i="17"/>
  <c r="T114" i="17"/>
  <c r="T118" i="17" s="1"/>
  <c r="T55" i="17"/>
  <c r="T115" i="17"/>
  <c r="T119" i="17" s="1"/>
  <c r="AL53" i="59"/>
  <c r="P54" i="17"/>
  <c r="P114" i="17"/>
  <c r="P118" i="17" s="1"/>
  <c r="P55" i="17"/>
  <c r="P115" i="17"/>
  <c r="P119" i="17" s="1"/>
  <c r="L54" i="17"/>
  <c r="L114" i="17"/>
  <c r="L118" i="17" s="1"/>
  <c r="L115" i="17"/>
  <c r="L119" i="17" s="1"/>
  <c r="L55" i="17"/>
  <c r="H55" i="17"/>
  <c r="H115" i="17"/>
  <c r="H119" i="17" s="1"/>
  <c r="H114" i="17"/>
  <c r="H118" i="17" s="1"/>
  <c r="H54" i="17"/>
  <c r="AW19" i="49" l="1"/>
  <c r="AS20" i="49"/>
  <c r="AS75" i="8"/>
  <c r="AW15" i="36"/>
  <c r="AV53" i="59"/>
  <c r="Z45" i="17"/>
  <c r="Z50" i="17"/>
  <c r="Z114" i="17" s="1"/>
  <c r="Z118" i="17" s="1"/>
  <c r="AW20" i="49" l="1"/>
  <c r="BE19" i="49"/>
  <c r="BE20" i="49" s="1"/>
  <c r="BE15" i="36" s="1"/>
  <c r="AZ53" i="59"/>
  <c r="AW75" i="8"/>
  <c r="Z51" i="17"/>
  <c r="Z115" i="17" s="1"/>
  <c r="Z119" i="17" s="1"/>
  <c r="Z54" i="17"/>
  <c r="BH53" i="59" l="1"/>
  <c r="BE75" i="8"/>
  <c r="Z55" i="17"/>
  <c r="H15" i="15" l="1"/>
  <c r="H16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91" i="10"/>
  <c r="Z195" i="10" s="1"/>
  <c r="Z184" i="10" l="1"/>
  <c r="Z192" i="10"/>
  <c r="Z193" i="10" s="1"/>
  <c r="Z178" i="10"/>
  <c r="AC66" i="59" s="1"/>
  <c r="AB197" i="10" l="1"/>
  <c r="AC64" i="59"/>
  <c r="AB192" i="10"/>
  <c r="AB184" i="10"/>
  <c r="AB191" i="10"/>
  <c r="AB195" i="10" s="1"/>
  <c r="AB193" i="10" l="1"/>
  <c r="AB178" i="10"/>
  <c r="AE66" i="59" l="1"/>
  <c r="AE64" i="59"/>
  <c r="AB21" i="36"/>
  <c r="G79" i="50" l="1"/>
  <c r="G68" i="83" s="1"/>
  <c r="O68" i="83" l="1"/>
  <c r="K68" i="83"/>
  <c r="K69" i="83" s="1"/>
  <c r="G69" i="83"/>
  <c r="G76" i="83" s="1"/>
  <c r="G92" i="50"/>
  <c r="K102" i="50"/>
  <c r="G102" i="50"/>
  <c r="G124" i="50"/>
  <c r="K76" i="83" l="1"/>
  <c r="K77" i="83" s="1"/>
  <c r="O76" i="83"/>
  <c r="G77" i="83"/>
  <c r="AC68" i="83"/>
  <c r="AG68" i="83" s="1"/>
  <c r="S68" i="83"/>
  <c r="O69" i="83"/>
  <c r="AC69" i="83" s="1"/>
  <c r="O124" i="50"/>
  <c r="K124" i="50"/>
  <c r="K125" i="50" s="1"/>
  <c r="G126" i="50"/>
  <c r="G131" i="50" s="1"/>
  <c r="O102" i="50"/>
  <c r="G125" i="50"/>
  <c r="G93" i="50"/>
  <c r="W68" i="83" l="1"/>
  <c r="W69" i="83" s="1"/>
  <c r="S69" i="83"/>
  <c r="AK68" i="83"/>
  <c r="AG69" i="83"/>
  <c r="S76" i="83"/>
  <c r="AC76" i="83"/>
  <c r="O77" i="83"/>
  <c r="AC124" i="50"/>
  <c r="S124" i="50"/>
  <c r="O125" i="50"/>
  <c r="O126" i="50"/>
  <c r="O131" i="50" s="1"/>
  <c r="K126" i="50"/>
  <c r="K131" i="50" s="1"/>
  <c r="AG102" i="50"/>
  <c r="X21" i="26"/>
  <c r="Y166" i="6" s="1"/>
  <c r="P21" i="26"/>
  <c r="T21" i="26" s="1"/>
  <c r="AG76" i="83" l="1"/>
  <c r="W76" i="83"/>
  <c r="AQ68" i="83"/>
  <c r="AK69" i="83"/>
  <c r="W124" i="50"/>
  <c r="AG124" i="50"/>
  <c r="U166" i="6"/>
  <c r="W102" i="50"/>
  <c r="Q166" i="6"/>
  <c r="Z21" i="26"/>
  <c r="AD21" i="26" s="1"/>
  <c r="AU68" i="83" l="1"/>
  <c r="AY68" i="83" s="1"/>
  <c r="AQ69" i="83"/>
  <c r="AK76" i="83"/>
  <c r="AK124" i="50"/>
  <c r="AH21" i="26"/>
  <c r="AE166" i="6"/>
  <c r="AA166" i="6"/>
  <c r="AY69" i="83" l="1"/>
  <c r="BG68" i="83"/>
  <c r="BG69" i="83" s="1"/>
  <c r="AQ76" i="83"/>
  <c r="AU69" i="83"/>
  <c r="AQ124" i="50"/>
  <c r="AI166" i="6"/>
  <c r="AN21" i="26"/>
  <c r="P23" i="26"/>
  <c r="T23" i="26" s="1"/>
  <c r="X23" i="26"/>
  <c r="AU76" i="83" l="1"/>
  <c r="AY76" i="83" s="1"/>
  <c r="AU124" i="50"/>
  <c r="AR21" i="26"/>
  <c r="AV21" i="26" s="1"/>
  <c r="AO166" i="6"/>
  <c r="U191" i="6"/>
  <c r="Q191" i="6"/>
  <c r="Z23" i="26"/>
  <c r="AD23" i="26" s="1"/>
  <c r="Y191" i="6"/>
  <c r="BG76" i="83" l="1"/>
  <c r="AY124" i="50"/>
  <c r="AH23" i="26"/>
  <c r="AI191" i="6" s="1"/>
  <c r="AW166" i="6"/>
  <c r="AS166" i="6"/>
  <c r="AE191" i="6"/>
  <c r="AA191" i="6"/>
  <c r="BG124" i="50" l="1"/>
  <c r="BD21" i="26"/>
  <c r="BE166" i="6" s="1"/>
  <c r="AN23" i="26"/>
  <c r="P25" i="26"/>
  <c r="T25" i="26" s="1"/>
  <c r="X25" i="26"/>
  <c r="Y88" i="8" s="1"/>
  <c r="AO191" i="6" l="1"/>
  <c r="AR23" i="26"/>
  <c r="AV23" i="26" s="1"/>
  <c r="Q88" i="8"/>
  <c r="U88" i="8" s="1"/>
  <c r="Z25" i="26"/>
  <c r="AD25" i="26" l="1"/>
  <c r="AA88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BE191" i="6" s="1"/>
  <c r="AH25" i="26"/>
  <c r="AE88" i="8"/>
  <c r="AD33" i="17"/>
  <c r="P26" i="17"/>
  <c r="T26" i="17" s="1"/>
  <c r="T33" i="17" s="1"/>
  <c r="X33" i="17"/>
  <c r="Z27" i="26"/>
  <c r="AD27" i="26" s="1"/>
  <c r="AN25" i="26" l="1"/>
  <c r="AR25" i="26" s="1"/>
  <c r="AI88" i="8"/>
  <c r="AO88" i="8" s="1"/>
  <c r="AS88" i="8" s="1"/>
  <c r="AW88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BE88" i="8" s="1"/>
  <c r="P29" i="26"/>
  <c r="T29" i="26" s="1"/>
  <c r="T84" i="17" s="1"/>
  <c r="X29" i="26"/>
  <c r="BD26" i="17" l="1"/>
  <c r="BD33" i="17" s="1"/>
  <c r="Z29" i="26"/>
  <c r="AD29" i="26" s="1"/>
  <c r="AH29" i="26" s="1"/>
  <c r="X84" i="17"/>
  <c r="P84" i="17"/>
  <c r="Z84" i="17" l="1"/>
  <c r="AH84" i="17"/>
  <c r="AD84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4" i="17"/>
  <c r="Z33" i="26"/>
  <c r="AD33" i="26" s="1"/>
  <c r="Q97" i="9"/>
  <c r="U97" i="9" s="1"/>
  <c r="AR84" i="17" l="1"/>
  <c r="AV29" i="26"/>
  <c r="AW97" i="9"/>
  <c r="BE97" i="9" s="1"/>
  <c r="AH33" i="26"/>
  <c r="AN33" i="26" s="1"/>
  <c r="AR33" i="26" s="1"/>
  <c r="AV84" i="17"/>
  <c r="P35" i="26"/>
  <c r="T35" i="26" s="1"/>
  <c r="Y174" i="10"/>
  <c r="AA174" i="10" s="1"/>
  <c r="AE174" i="10" s="1"/>
  <c r="X35" i="26"/>
  <c r="Z35" i="26" s="1"/>
  <c r="AD35" i="26" s="1"/>
  <c r="AV33" i="26" l="1"/>
  <c r="BD33" i="26" s="1"/>
  <c r="AI174" i="10"/>
  <c r="AO174" i="10" s="1"/>
  <c r="AS174" i="10" s="1"/>
  <c r="AH35" i="26"/>
  <c r="AN35" i="26" s="1"/>
  <c r="AR35" i="26" s="1"/>
  <c r="BD29" i="26"/>
  <c r="BD84" i="17" s="1"/>
  <c r="Q174" i="10"/>
  <c r="U174" i="10" s="1"/>
  <c r="AV35" i="26" l="1"/>
  <c r="BD35" i="26" s="1"/>
  <c r="AW174" i="10"/>
  <c r="BE174" i="10" s="1"/>
  <c r="P37" i="26"/>
  <c r="T37" i="26" s="1"/>
  <c r="Y75" i="11"/>
  <c r="AA75" i="11" s="1"/>
  <c r="AE75" i="11" s="1"/>
  <c r="X37" i="26"/>
  <c r="Z37" i="26" s="1"/>
  <c r="AD37" i="26" s="1"/>
  <c r="AH37" i="26" l="1"/>
  <c r="AN37" i="26" s="1"/>
  <c r="AR37" i="26" s="1"/>
  <c r="AI75" i="11"/>
  <c r="AO75" i="11" s="1"/>
  <c r="AS75" i="11" s="1"/>
  <c r="Q75" i="11"/>
  <c r="U75" i="11" s="1"/>
  <c r="AV37" i="26" l="1"/>
  <c r="BD37" i="26" s="1"/>
  <c r="AW75" i="11"/>
  <c r="BE75" i="11" s="1"/>
  <c r="P39" i="26"/>
  <c r="T39" i="26" s="1"/>
  <c r="X39" i="26"/>
  <c r="Z39" i="26" s="1"/>
  <c r="AD39" i="26" s="1"/>
  <c r="R140" i="45"/>
  <c r="V140" i="45" s="1"/>
  <c r="AH39" i="26" l="1"/>
  <c r="AN39" i="26" s="1"/>
  <c r="AR39" i="26" s="1"/>
  <c r="Z140" i="45"/>
  <c r="AB140" i="45" s="1"/>
  <c r="AF140" i="45" s="1"/>
  <c r="AV39" i="26" l="1"/>
  <c r="BD39" i="26" s="1"/>
  <c r="AJ140" i="45"/>
  <c r="AP140" i="45" s="1"/>
  <c r="AT140" i="45" s="1"/>
  <c r="Y84" i="7"/>
  <c r="X43" i="26"/>
  <c r="X45" i="26" s="1"/>
  <c r="P43" i="26"/>
  <c r="T43" i="26" s="1"/>
  <c r="AX140" i="45" l="1"/>
  <c r="BF140" i="45" s="1"/>
  <c r="U84" i="7"/>
  <c r="T45" i="26"/>
  <c r="Q84" i="7"/>
  <c r="Z43" i="26"/>
  <c r="AD43" i="26" s="1"/>
  <c r="AH43" i="26" s="1"/>
  <c r="AH45" i="26" s="1"/>
  <c r="P45" i="26"/>
  <c r="AN43" i="26" l="1"/>
  <c r="AR43" i="26" s="1"/>
  <c r="AV43" i="26" s="1"/>
  <c r="AV45" i="26" s="1"/>
  <c r="AI84" i="7"/>
  <c r="AE84" i="7"/>
  <c r="AD45" i="26"/>
  <c r="Z45" i="26"/>
  <c r="AA84" i="7"/>
  <c r="AO84" i="7" l="1"/>
  <c r="AN45" i="26"/>
  <c r="BD43" i="26"/>
  <c r="BE84" i="7" s="1"/>
  <c r="AW84" i="7"/>
  <c r="BD45" i="26"/>
  <c r="AR45" i="26"/>
  <c r="AS84" i="7"/>
  <c r="Y85" i="8"/>
  <c r="Y86" i="8" l="1"/>
  <c r="E24" i="39" l="1"/>
  <c r="I24" i="39" l="1"/>
  <c r="M24" i="39"/>
  <c r="Q24" i="39" l="1"/>
  <c r="Y49" i="7"/>
  <c r="U24" i="39" l="1"/>
  <c r="AA49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4" i="39" l="1"/>
  <c r="AX34" i="6"/>
  <c r="BF34" i="6" s="1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AO24" i="39" l="1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5" i="8"/>
  <c r="AC53" i="59"/>
  <c r="AP181" i="6" l="1"/>
  <c r="AT181" i="6" s="1"/>
  <c r="AS24" i="39"/>
  <c r="AX22" i="6"/>
  <c r="AX181" i="6" s="1"/>
  <c r="AX21" i="6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W24" i="39" l="1"/>
  <c r="AT156" i="6"/>
  <c r="AX156" i="6" s="1"/>
  <c r="AX157" i="6"/>
  <c r="AX23" i="6"/>
  <c r="AX37" i="6" s="1"/>
  <c r="AX41" i="6" s="1"/>
  <c r="BF21" i="6"/>
  <c r="AX182" i="6"/>
  <c r="BF22" i="6"/>
  <c r="BF181" i="6" s="1"/>
  <c r="AB20" i="49"/>
  <c r="AB15" i="36" s="1"/>
  <c r="AF19" i="49"/>
  <c r="AJ19" i="49" s="1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AT198" i="6" l="1"/>
  <c r="BF23" i="6"/>
  <c r="BF37" i="6" s="1"/>
  <c r="BF41" i="6" s="1"/>
  <c r="BF182" i="6"/>
  <c r="BF157" i="6"/>
  <c r="BE24" i="39"/>
  <c r="AX198" i="6"/>
  <c r="BF156" i="6"/>
  <c r="BF198" i="6" s="1"/>
  <c r="AJ20" i="49"/>
  <c r="AJ15" i="36" s="1"/>
  <c r="AJ75" i="8" s="1"/>
  <c r="AP19" i="49"/>
  <c r="AT19" i="49" s="1"/>
  <c r="AX19" i="49" s="1"/>
  <c r="AF20" i="49"/>
  <c r="AF15" i="36" s="1"/>
  <c r="AB75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X35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AM53" i="59" l="1"/>
  <c r="AX20" i="49"/>
  <c r="BF19" i="49"/>
  <c r="AF75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F35" i="6" s="1"/>
  <c r="BI26" i="59"/>
  <c r="BI24" i="59"/>
  <c r="AW19" i="59"/>
  <c r="BA19" i="59"/>
  <c r="AW18" i="59"/>
  <c r="BA18" i="59"/>
  <c r="AW17" i="59"/>
  <c r="BA17" i="59"/>
  <c r="BI17" i="59" l="1"/>
  <c r="BI18" i="59"/>
  <c r="BI19" i="59"/>
  <c r="AJ377" i="28" l="1"/>
  <c r="AP377" i="28" s="1"/>
  <c r="AT377" i="28" s="1"/>
  <c r="AX377" i="28" l="1"/>
  <c r="BF377" i="28" s="1"/>
  <c r="AT469" i="28"/>
  <c r="AT470" i="28"/>
  <c r="AP469" i="28"/>
  <c r="AP470" i="28"/>
  <c r="AJ469" i="28"/>
  <c r="AJ470" i="28"/>
  <c r="AX470" i="28" l="1"/>
  <c r="BF469" i="28"/>
  <c r="BF470" i="28"/>
  <c r="AX469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L15" i="36"/>
  <c r="AN13" i="35"/>
  <c r="BD13" i="35" s="1"/>
  <c r="BA65" i="38" l="1"/>
  <c r="BA98" i="38" s="1"/>
  <c r="BA49" i="38"/>
  <c r="AO53" i="59"/>
  <c r="AL75" i="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5" i="8"/>
  <c r="BF15" i="35"/>
  <c r="BF5" i="36"/>
  <c r="AX5" i="36"/>
  <c r="AX15" i="35"/>
  <c r="AP75" i="8"/>
  <c r="AS6" i="59"/>
  <c r="AT5" i="36"/>
  <c r="AT15" i="35"/>
  <c r="BA6" i="59" l="1"/>
  <c r="AX13" i="49"/>
  <c r="BF13" i="49"/>
  <c r="BF20" i="49" s="1"/>
  <c r="BF15" i="36" s="1"/>
  <c r="BI6" i="59"/>
  <c r="BD75" i="8"/>
  <c r="BG53" i="59"/>
  <c r="AX15" i="36"/>
  <c r="AT13" i="49"/>
  <c r="AT20" i="49" s="1"/>
  <c r="AT15" i="36" s="1"/>
  <c r="AW6" i="59"/>
  <c r="BA53" i="59" l="1"/>
  <c r="AX75" i="8"/>
  <c r="BF75" i="8"/>
  <c r="BI53" i="59"/>
  <c r="AW53" i="59"/>
  <c r="AT75" i="8"/>
  <c r="E85" i="8"/>
  <c r="M85" i="8" s="1"/>
  <c r="I85" i="8" l="1"/>
  <c r="I86" i="8" s="1"/>
  <c r="AA85" i="8"/>
  <c r="Q85" i="8"/>
  <c r="U85" i="8" s="1"/>
  <c r="U86" i="8" s="1"/>
  <c r="M86" i="8"/>
  <c r="Q86" i="8" l="1"/>
  <c r="AE85" i="8"/>
  <c r="AI85" i="8" s="1"/>
  <c r="AI86" i="8" s="1"/>
  <c r="AA86" i="8"/>
  <c r="AE86" i="8" l="1"/>
  <c r="AO85" i="8" l="1"/>
  <c r="AO86" i="8" l="1"/>
  <c r="AS85" i="8"/>
  <c r="AW85" i="8" s="1"/>
  <c r="AW86" i="8" s="1"/>
  <c r="AS86" i="8" l="1"/>
  <c r="BE85" i="8" l="1"/>
  <c r="BE86" i="8" s="1"/>
  <c r="K151" i="45" l="1"/>
  <c r="K156" i="45" s="1"/>
  <c r="K162" i="45" s="1"/>
  <c r="G156" i="45"/>
  <c r="O151" i="45"/>
  <c r="O156" i="45" s="1"/>
  <c r="O162" i="45" s="1"/>
  <c r="G162" i="45" l="1"/>
  <c r="AC151" i="45"/>
  <c r="S151" i="45"/>
  <c r="AC156" i="45" l="1"/>
  <c r="AC162" i="45" s="1"/>
  <c r="AG151" i="45"/>
  <c r="W151" i="45"/>
  <c r="W156" i="45" s="1"/>
  <c r="W162" i="45" s="1"/>
  <c r="S156" i="45"/>
  <c r="S162" i="45" s="1"/>
  <c r="AG156" i="45" l="1"/>
  <c r="AG162" i="45" s="1"/>
  <c r="AK151" i="45"/>
  <c r="AK156" i="45" l="1"/>
  <c r="AK162" i="45" s="1"/>
  <c r="AQ151" i="45"/>
  <c r="AU151" i="45" l="1"/>
  <c r="AQ156" i="45"/>
  <c r="AQ162" i="45" s="1"/>
  <c r="AY151" i="45" l="1"/>
  <c r="AU156" i="45"/>
  <c r="AU162" i="45" s="1"/>
  <c r="AY156" i="45" l="1"/>
  <c r="AY162" i="45" s="1"/>
  <c r="BG151" i="45"/>
  <c r="BG156" i="45" l="1"/>
  <c r="BG162" i="45" l="1"/>
  <c r="H93" i="26" l="1"/>
  <c r="L93" i="26" s="1"/>
  <c r="L94" i="26" l="1"/>
  <c r="Z93" i="26"/>
  <c r="P93" i="26"/>
  <c r="T93" i="26" s="1"/>
  <c r="H94" i="26"/>
  <c r="T94" i="26" l="1"/>
  <c r="P94" i="26"/>
  <c r="AD93" i="26"/>
  <c r="Z94" i="26"/>
  <c r="AH93" i="26" l="1"/>
  <c r="AD94" i="26"/>
  <c r="AN93" i="26" l="1"/>
  <c r="AH94" i="26"/>
  <c r="AR93" i="26" l="1"/>
  <c r="AN94" i="26"/>
  <c r="AV93" i="26" l="1"/>
  <c r="AR94" i="26"/>
  <c r="BD93" i="26" l="1"/>
  <c r="BD94" i="26" s="1"/>
  <c r="AV94" i="26"/>
  <c r="K33" i="35" l="1"/>
  <c r="K37" i="35" s="1"/>
  <c r="K39" i="35"/>
  <c r="K49" i="35" s="1"/>
  <c r="M39" i="35"/>
  <c r="M49" i="35" s="1"/>
  <c r="M7" i="28"/>
  <c r="M30" i="35"/>
  <c r="AA30" i="35" s="1"/>
  <c r="Q7" i="28" l="1"/>
  <c r="U7" i="28" s="1"/>
  <c r="AA7" i="28"/>
  <c r="AE7" i="28" s="1"/>
  <c r="AI7" i="28" s="1"/>
  <c r="AO7" i="28" s="1"/>
  <c r="AS7" i="28" s="1"/>
  <c r="AW7" i="28" s="1"/>
  <c r="BE7" i="28" s="1"/>
  <c r="L79" i="83"/>
  <c r="L95" i="50"/>
  <c r="L93" i="50" s="1"/>
  <c r="K55" i="35"/>
  <c r="AA154" i="10"/>
  <c r="AE30" i="35"/>
  <c r="AA33" i="35"/>
  <c r="AA37" i="35" s="1"/>
  <c r="Q30" i="35"/>
  <c r="N66" i="59"/>
  <c r="M154" i="10"/>
  <c r="Q39" i="35"/>
  <c r="M33" i="35"/>
  <c r="M37" i="35" s="1"/>
  <c r="AA39" i="35"/>
  <c r="M12" i="28" l="1"/>
  <c r="M216" i="28"/>
  <c r="AA49" i="35"/>
  <c r="AA55" i="35" s="1"/>
  <c r="AE39" i="35"/>
  <c r="M55" i="35"/>
  <c r="N95" i="50"/>
  <c r="N93" i="50" s="1"/>
  <c r="M25" i="36"/>
  <c r="P76" i="59" s="1"/>
  <c r="U39" i="35"/>
  <c r="U49" i="35" s="1"/>
  <c r="Q49" i="35"/>
  <c r="AA161" i="10"/>
  <c r="AD64" i="59" s="1"/>
  <c r="AA153" i="10"/>
  <c r="AA173" i="10"/>
  <c r="AA178" i="10"/>
  <c r="AD66" i="59" s="1"/>
  <c r="Q33" i="35"/>
  <c r="Q37" i="35" s="1"/>
  <c r="Q154" i="10"/>
  <c r="U30" i="35"/>
  <c r="M50" i="28"/>
  <c r="AA25" i="36"/>
  <c r="AD76" i="59" s="1"/>
  <c r="AB95" i="50"/>
  <c r="AB93" i="50" s="1"/>
  <c r="M153" i="10"/>
  <c r="M161" i="10"/>
  <c r="M178" i="10"/>
  <c r="P66" i="59" s="1"/>
  <c r="M173" i="10"/>
  <c r="AI30" i="35"/>
  <c r="AE154" i="10"/>
  <c r="AE33" i="35"/>
  <c r="AE37" i="35" s="1"/>
  <c r="AA216" i="28" l="1"/>
  <c r="AE216" i="28" s="1"/>
  <c r="AI216" i="28" s="1"/>
  <c r="AO216" i="28" s="1"/>
  <c r="AS216" i="28" s="1"/>
  <c r="AW216" i="28" s="1"/>
  <c r="BE216" i="28" s="1"/>
  <c r="Q216" i="28"/>
  <c r="U216" i="28" s="1"/>
  <c r="M58" i="28"/>
  <c r="AE153" i="10"/>
  <c r="AE178" i="10"/>
  <c r="AH66" i="59" s="1"/>
  <c r="AE161" i="10"/>
  <c r="AE173" i="10"/>
  <c r="Q153" i="10"/>
  <c r="Q178" i="10"/>
  <c r="T66" i="59" s="1"/>
  <c r="Q161" i="10"/>
  <c r="T64" i="59" s="1"/>
  <c r="Q173" i="10"/>
  <c r="AI33" i="35"/>
  <c r="AI37" i="35" s="1"/>
  <c r="AI154" i="10"/>
  <c r="AO30" i="35"/>
  <c r="Q50" i="28"/>
  <c r="U50" i="28" s="1"/>
  <c r="AA50" i="28"/>
  <c r="AE50" i="28" s="1"/>
  <c r="AI50" i="28" s="1"/>
  <c r="AO50" i="28" s="1"/>
  <c r="AS50" i="28" s="1"/>
  <c r="AW50" i="28" s="1"/>
  <c r="BE50" i="28" s="1"/>
  <c r="AA12" i="28"/>
  <c r="M462" i="28"/>
  <c r="Q12" i="28"/>
  <c r="Q55" i="35"/>
  <c r="Q25" i="36"/>
  <c r="T76" i="59" s="1"/>
  <c r="R95" i="50"/>
  <c r="R93" i="50" s="1"/>
  <c r="M55" i="28"/>
  <c r="AE25" i="36"/>
  <c r="AH76" i="59" s="1"/>
  <c r="AF95" i="50"/>
  <c r="AF93" i="50" s="1"/>
  <c r="U154" i="10"/>
  <c r="U33" i="35"/>
  <c r="U37" i="35" s="1"/>
  <c r="AI39" i="35"/>
  <c r="AE49" i="35"/>
  <c r="AE55" i="35" s="1"/>
  <c r="Q58" i="28" l="1"/>
  <c r="U58" i="28" s="1"/>
  <c r="AA58" i="28"/>
  <c r="AE58" i="28" s="1"/>
  <c r="AI58" i="28" s="1"/>
  <c r="AO58" i="28" s="1"/>
  <c r="AS58" i="28" s="1"/>
  <c r="AW58" i="28" s="1"/>
  <c r="BE58" i="28" s="1"/>
  <c r="AO33" i="35"/>
  <c r="AO37" i="35" s="1"/>
  <c r="AO154" i="10"/>
  <c r="AS30" i="35"/>
  <c r="M81" i="28"/>
  <c r="M65" i="28"/>
  <c r="U12" i="28"/>
  <c r="Q462" i="28"/>
  <c r="AI153" i="10"/>
  <c r="AI161" i="10"/>
  <c r="AI178" i="10"/>
  <c r="AL66" i="59" s="1"/>
  <c r="AI173" i="10"/>
  <c r="M62" i="28"/>
  <c r="Q55" i="28"/>
  <c r="M477" i="28"/>
  <c r="AA55" i="28"/>
  <c r="U25" i="36"/>
  <c r="X76" i="59" s="1"/>
  <c r="U55" i="35"/>
  <c r="V95" i="50"/>
  <c r="V93" i="50" s="1"/>
  <c r="AI25" i="36"/>
  <c r="AL76" i="59" s="1"/>
  <c r="AJ95" i="50"/>
  <c r="AJ93" i="50" s="1"/>
  <c r="AI49" i="35"/>
  <c r="AI55" i="35" s="1"/>
  <c r="AO39" i="35"/>
  <c r="AE12" i="28"/>
  <c r="AA462" i="28"/>
  <c r="U173" i="10"/>
  <c r="U178" i="10"/>
  <c r="X66" i="59" s="1"/>
  <c r="U153" i="10"/>
  <c r="U161" i="10"/>
  <c r="X64" i="59" s="1"/>
  <c r="Q81" i="28" l="1"/>
  <c r="U81" i="28" s="1"/>
  <c r="AA81" i="28"/>
  <c r="AE81" i="28" s="1"/>
  <c r="AI81" i="28" s="1"/>
  <c r="AO81" i="28" s="1"/>
  <c r="AS81" i="28" s="1"/>
  <c r="AW81" i="28" s="1"/>
  <c r="BE81" i="28" s="1"/>
  <c r="AW30" i="35"/>
  <c r="AS33" i="35"/>
  <c r="AS37" i="35" s="1"/>
  <c r="AS154" i="10"/>
  <c r="AI12" i="28"/>
  <c r="AE462" i="28"/>
  <c r="AO153" i="10"/>
  <c r="AO173" i="10"/>
  <c r="AO161" i="10"/>
  <c r="AR64" i="59" s="1"/>
  <c r="AO178" i="10"/>
  <c r="AR66" i="59" s="1"/>
  <c r="AE55" i="28"/>
  <c r="AA477" i="28"/>
  <c r="AO25" i="36"/>
  <c r="AR76" i="59" s="1"/>
  <c r="Q62" i="28"/>
  <c r="AA62" i="28"/>
  <c r="M478" i="28"/>
  <c r="AA65" i="28"/>
  <c r="M461" i="28"/>
  <c r="Q65" i="28"/>
  <c r="M460" i="28"/>
  <c r="AS39" i="35"/>
  <c r="AO49" i="35"/>
  <c r="AO55" i="35" s="1"/>
  <c r="U462" i="28"/>
  <c r="U55" i="28"/>
  <c r="U477" i="28" s="1"/>
  <c r="Q477" i="28"/>
  <c r="AA478" i="28" l="1"/>
  <c r="AE62" i="28"/>
  <c r="AS178" i="10"/>
  <c r="AV66" i="59" s="1"/>
  <c r="AS153" i="10"/>
  <c r="AS173" i="10"/>
  <c r="AS161" i="10"/>
  <c r="AV64" i="59" s="1"/>
  <c r="U65" i="28"/>
  <c r="Q461" i="28"/>
  <c r="Q460" i="28"/>
  <c r="AW154" i="10"/>
  <c r="AW33" i="35"/>
  <c r="AW37" i="35" s="1"/>
  <c r="BE30" i="35"/>
  <c r="AS49" i="35"/>
  <c r="AS55" i="35" s="1"/>
  <c r="AW39" i="35"/>
  <c r="U62" i="28"/>
  <c r="U478" i="28" s="1"/>
  <c r="Q478" i="28"/>
  <c r="AS25" i="36"/>
  <c r="AV76" i="59" s="1"/>
  <c r="AT95" i="50"/>
  <c r="AT93" i="50" s="1"/>
  <c r="AE65" i="28"/>
  <c r="AA461" i="28"/>
  <c r="AA460" i="28"/>
  <c r="AI55" i="28"/>
  <c r="AE477" i="28"/>
  <c r="AI462" i="28"/>
  <c r="AO12" i="28"/>
  <c r="AO462" i="28" l="1"/>
  <c r="AS12" i="28"/>
  <c r="BE33" i="35"/>
  <c r="BE37" i="35" s="1"/>
  <c r="BE154" i="10"/>
  <c r="AX95" i="50"/>
  <c r="AX93" i="50" s="1"/>
  <c r="AW25" i="36"/>
  <c r="AZ76" i="59" s="1"/>
  <c r="AI65" i="28"/>
  <c r="AE461" i="28"/>
  <c r="AE460" i="28"/>
  <c r="AI62" i="28"/>
  <c r="AE478" i="28"/>
  <c r="AI477" i="28"/>
  <c r="AO55" i="28"/>
  <c r="AW161" i="10"/>
  <c r="AZ64" i="59" s="1"/>
  <c r="AW173" i="10"/>
  <c r="AW153" i="10"/>
  <c r="AW178" i="10"/>
  <c r="AZ66" i="59" s="1"/>
  <c r="AW49" i="35"/>
  <c r="AW55" i="35" s="1"/>
  <c r="BE39" i="35"/>
  <c r="BE49" i="35" s="1"/>
  <c r="U461" i="28"/>
  <c r="U460" i="28"/>
  <c r="AS462" i="28" l="1"/>
  <c r="AW12" i="28"/>
  <c r="AI478" i="28"/>
  <c r="AO62" i="28"/>
  <c r="BE55" i="35"/>
  <c r="BE25" i="36"/>
  <c r="BH76" i="59" s="1"/>
  <c r="BF95" i="50"/>
  <c r="BF93" i="50" s="1"/>
  <c r="AO477" i="28"/>
  <c r="AS55" i="28"/>
  <c r="BE161" i="10"/>
  <c r="BH64" i="59" s="1"/>
  <c r="BE178" i="10"/>
  <c r="BH66" i="59" s="1"/>
  <c r="BE173" i="10"/>
  <c r="BE153" i="10"/>
  <c r="AI461" i="28"/>
  <c r="AO65" i="28"/>
  <c r="AI460" i="28"/>
  <c r="AS62" i="28" l="1"/>
  <c r="AO478" i="28"/>
  <c r="AW462" i="28"/>
  <c r="BE12" i="28"/>
  <c r="AS477" i="28"/>
  <c r="AW55" i="28"/>
  <c r="AO461" i="28"/>
  <c r="AS65" i="28"/>
  <c r="AO460" i="28"/>
  <c r="BE462" i="28" l="1"/>
  <c r="AW65" i="28"/>
  <c r="AS461" i="28"/>
  <c r="AS460" i="28"/>
  <c r="BE55" i="28"/>
  <c r="BE477" i="28" s="1"/>
  <c r="AW477" i="28"/>
  <c r="AW62" i="28"/>
  <c r="AS478" i="28"/>
  <c r="AW478" i="28" l="1"/>
  <c r="BE62" i="28"/>
  <c r="BE478" i="28" s="1"/>
  <c r="BE65" i="28"/>
  <c r="AW461" i="28"/>
  <c r="AW460" i="28"/>
  <c r="BE461" i="28" l="1"/>
  <c r="BE460" i="28"/>
  <c r="Q123" i="50"/>
  <c r="Q125" i="50" s="1"/>
  <c r="Q98" i="50"/>
  <c r="S98" i="50" s="1"/>
  <c r="S101" i="50" s="1"/>
  <c r="S102" i="50" s="1"/>
  <c r="O99" i="90"/>
  <c r="O101" i="90" s="1"/>
  <c r="R34" i="35"/>
  <c r="V34" i="35" s="1"/>
  <c r="V36" i="35" s="1"/>
  <c r="R36" i="35"/>
  <c r="R48" i="35" s="1"/>
  <c r="R49" i="35" s="1"/>
  <c r="R37" i="35"/>
  <c r="S95" i="50" s="1"/>
  <c r="S93" i="50" s="1"/>
  <c r="P36" i="35"/>
  <c r="P48" i="35" s="1"/>
  <c r="P49" i="35" s="1"/>
  <c r="Z34" i="35"/>
  <c r="Z36" i="35" s="1"/>
  <c r="Q101" i="50" l="1"/>
  <c r="Q102" i="50" s="1"/>
  <c r="Q99" i="90"/>
  <c r="Q101" i="90" s="1"/>
  <c r="V48" i="35"/>
  <c r="V49" i="35" s="1"/>
  <c r="V37" i="35"/>
  <c r="Z48" i="35"/>
  <c r="Z37" i="35"/>
  <c r="AO99" i="90"/>
  <c r="AA123" i="50"/>
  <c r="R55" i="35"/>
  <c r="AA99" i="90"/>
  <c r="Q126" i="50"/>
  <c r="R25" i="36"/>
  <c r="U76" i="59" s="1"/>
  <c r="AB34" i="35"/>
  <c r="S123" i="50"/>
  <c r="U99" i="90"/>
  <c r="U101" i="90" s="1"/>
  <c r="AE99" i="90"/>
  <c r="AE101" i="90" s="1"/>
  <c r="Y99" i="90"/>
  <c r="Y101" i="90" s="1"/>
  <c r="O126" i="90"/>
  <c r="AI99" i="90"/>
  <c r="AI101" i="90" s="1"/>
  <c r="P37" i="35"/>
  <c r="Q79" i="83" s="1"/>
  <c r="Q77" i="83" s="1"/>
  <c r="S125" i="50" l="1"/>
  <c r="W123" i="50"/>
  <c r="W125" i="50" s="1"/>
  <c r="AF34" i="35"/>
  <c r="AB36" i="35"/>
  <c r="AB37" i="35" s="1"/>
  <c r="AB48" i="35"/>
  <c r="AB49" i="35" s="1"/>
  <c r="Z49" i="35"/>
  <c r="Z55" i="35" s="1"/>
  <c r="P25" i="36"/>
  <c r="S76" i="59" s="1"/>
  <c r="Q95" i="50"/>
  <c r="Q93" i="50" s="1"/>
  <c r="P55" i="35"/>
  <c r="AC123" i="50"/>
  <c r="AA125" i="50"/>
  <c r="AS99" i="90"/>
  <c r="AO101" i="90"/>
  <c r="V55" i="35"/>
  <c r="W95" i="50"/>
  <c r="W93" i="50" s="1"/>
  <c r="V25" i="36"/>
  <c r="Y76" i="59" s="1"/>
  <c r="U126" i="90"/>
  <c r="U128" i="90" s="1"/>
  <c r="AA126" i="90"/>
  <c r="AE126" i="90"/>
  <c r="AE128" i="90" s="1"/>
  <c r="Q126" i="90"/>
  <c r="Q128" i="90" s="1"/>
  <c r="AO126" i="90"/>
  <c r="AI126" i="90"/>
  <c r="AI128" i="90" s="1"/>
  <c r="O128" i="90"/>
  <c r="Y126" i="90"/>
  <c r="Y128" i="90" s="1"/>
  <c r="AA95" i="50"/>
  <c r="AA93" i="50" s="1"/>
  <c r="Z25" i="36"/>
  <c r="AC76" i="59" s="1"/>
  <c r="Q131" i="50"/>
  <c r="S126" i="50"/>
  <c r="AA126" i="50"/>
  <c r="AA101" i="90"/>
  <c r="BE99" i="90"/>
  <c r="BE101" i="90" s="1"/>
  <c r="AB55" i="35" l="1"/>
  <c r="AB25" i="36"/>
  <c r="AE76" i="59" s="1"/>
  <c r="AC95" i="50"/>
  <c r="AC93" i="50" s="1"/>
  <c r="AC125" i="50"/>
  <c r="AG123" i="50"/>
  <c r="AO128" i="90"/>
  <c r="AS126" i="90"/>
  <c r="AF36" i="35"/>
  <c r="AJ34" i="35"/>
  <c r="S79" i="83"/>
  <c r="AA79" i="83"/>
  <c r="AC126" i="50"/>
  <c r="AA131" i="50"/>
  <c r="AA128" i="90"/>
  <c r="BE126" i="90"/>
  <c r="BE128" i="90" s="1"/>
  <c r="AS101" i="90"/>
  <c r="AW99" i="90"/>
  <c r="AW101" i="90" s="1"/>
  <c r="S131" i="50"/>
  <c r="W126" i="50"/>
  <c r="W131" i="50" s="1"/>
  <c r="AP34" i="35" l="1"/>
  <c r="AJ36" i="35"/>
  <c r="AK123" i="50"/>
  <c r="AG125" i="50"/>
  <c r="AA77" i="83"/>
  <c r="AC79" i="83"/>
  <c r="W79" i="83"/>
  <c r="W77" i="83" s="1"/>
  <c r="S77" i="83"/>
  <c r="AF48" i="35"/>
  <c r="AF49" i="35" s="1"/>
  <c r="AF37" i="35"/>
  <c r="AC131" i="50"/>
  <c r="AG126" i="50"/>
  <c r="AW126" i="90"/>
  <c r="AW128" i="90" s="1"/>
  <c r="AS128" i="90"/>
  <c r="AG79" i="83" l="1"/>
  <c r="AC77" i="83"/>
  <c r="AF25" i="36"/>
  <c r="AI76" i="59" s="1"/>
  <c r="AG95" i="50"/>
  <c r="AG93" i="50" s="1"/>
  <c r="AF55" i="35"/>
  <c r="AJ37" i="35"/>
  <c r="AJ48" i="35"/>
  <c r="AG131" i="50"/>
  <c r="AK126" i="50"/>
  <c r="AQ123" i="50"/>
  <c r="AK125" i="50"/>
  <c r="AP36" i="35"/>
  <c r="AP37" i="35" s="1"/>
  <c r="AT34" i="35"/>
  <c r="AP25" i="36" l="1"/>
  <c r="AS76" i="59" s="1"/>
  <c r="AQ95" i="50"/>
  <c r="AQ93" i="50" s="1"/>
  <c r="AK131" i="50"/>
  <c r="AQ126" i="50"/>
  <c r="AJ25" i="36"/>
  <c r="AM76" i="59" s="1"/>
  <c r="AK95" i="50"/>
  <c r="AK93" i="50" s="1"/>
  <c r="AQ125" i="50"/>
  <c r="AU123" i="50"/>
  <c r="AT36" i="35"/>
  <c r="AX34" i="35"/>
  <c r="AJ49" i="35"/>
  <c r="AJ55" i="35" s="1"/>
  <c r="AP48" i="35"/>
  <c r="AP49" i="35" s="1"/>
  <c r="AP55" i="35" s="1"/>
  <c r="AG77" i="83"/>
  <c r="AK79" i="83"/>
  <c r="AT48" i="35" l="1"/>
  <c r="AT49" i="35" s="1"/>
  <c r="AT37" i="35"/>
  <c r="AQ79" i="83"/>
  <c r="AK77" i="83"/>
  <c r="BF34" i="35"/>
  <c r="BF36" i="35" s="1"/>
  <c r="BF37" i="35" s="1"/>
  <c r="AX36" i="35"/>
  <c r="AQ131" i="50"/>
  <c r="AU126" i="50"/>
  <c r="AU125" i="50"/>
  <c r="AY123" i="50"/>
  <c r="AX37" i="35" l="1"/>
  <c r="AX48" i="35"/>
  <c r="AY125" i="50"/>
  <c r="BG123" i="50"/>
  <c r="BG125" i="50" s="1"/>
  <c r="AU131" i="50"/>
  <c r="AY126" i="50"/>
  <c r="BG95" i="50"/>
  <c r="BG93" i="50" s="1"/>
  <c r="BF25" i="36"/>
  <c r="BI76" i="59" s="1"/>
  <c r="AU79" i="83"/>
  <c r="AQ77" i="83"/>
  <c r="AT55" i="35"/>
  <c r="AT25" i="36"/>
  <c r="AW76" i="59" s="1"/>
  <c r="AU95" i="50"/>
  <c r="AU93" i="50" s="1"/>
  <c r="AU77" i="83" l="1"/>
  <c r="AY79" i="83"/>
  <c r="AX49" i="35"/>
  <c r="AX55" i="35" s="1"/>
  <c r="BF48" i="35"/>
  <c r="BF49" i="35" s="1"/>
  <c r="BF55" i="35" s="1"/>
  <c r="AY131" i="50"/>
  <c r="BG126" i="50"/>
  <c r="BG131" i="50" s="1"/>
  <c r="AY95" i="50"/>
  <c r="AY93" i="50" s="1"/>
  <c r="AX25" i="36"/>
  <c r="BA76" i="59" s="1"/>
  <c r="AY77" i="83" l="1"/>
  <c r="BG79" i="83"/>
  <c r="BG77" i="83" s="1"/>
  <c r="Y27" i="15" l="1"/>
  <c r="Y35" i="15" s="1"/>
  <c r="U27" i="15"/>
  <c r="U35" i="15" s="1"/>
  <c r="S35" i="15"/>
  <c r="S15" i="15" s="1"/>
  <c r="U15" i="15" l="1"/>
  <c r="U16" i="15" s="1"/>
  <c r="S16" i="15"/>
  <c r="AA27" i="15"/>
  <c r="AA35" i="15" l="1"/>
  <c r="AE27" i="15"/>
  <c r="AE35" i="15" l="1"/>
  <c r="AI27" i="15"/>
  <c r="AO27" i="15" l="1"/>
  <c r="AI35" i="15"/>
  <c r="AS27" i="15" l="1"/>
  <c r="AO35" i="15"/>
  <c r="AW27" i="15" l="1"/>
  <c r="AS35" i="15"/>
  <c r="BE27" i="15" l="1"/>
  <c r="BE35" i="15" s="1"/>
  <c r="AW35" i="15"/>
  <c r="W35" i="15" l="1"/>
  <c r="W15" i="15" s="1"/>
  <c r="W16" i="15" l="1"/>
  <c r="Y15" i="15"/>
  <c r="Y16" i="15" l="1"/>
  <c r="AA15" i="15"/>
  <c r="AA16" i="15" l="1"/>
  <c r="AE15" i="15"/>
  <c r="AE16" i="15" l="1"/>
  <c r="AI15" i="15"/>
  <c r="AO15" i="15" l="1"/>
  <c r="AI16" i="15"/>
  <c r="AS15" i="15" l="1"/>
  <c r="AO16" i="15"/>
  <c r="AW15" i="15" l="1"/>
  <c r="AS16" i="15"/>
  <c r="BE15" i="15" l="1"/>
  <c r="BE16" i="15" s="1"/>
  <c r="AW16" i="15"/>
</calcChain>
</file>

<file path=xl/comments1.xml><?xml version="1.0" encoding="utf-8"?>
<comments xmlns="http://schemas.openxmlformats.org/spreadsheetml/2006/main">
  <authors>
    <author>Author</author>
  </authors>
  <commentList>
    <comment ref="B2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O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S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W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C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Q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U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Y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3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C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G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K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Q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U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Y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E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K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O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S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W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E7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G7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K7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O7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S7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W7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</commentList>
</comments>
</file>

<file path=xl/sharedStrings.xml><?xml version="1.0" encoding="utf-8"?>
<sst xmlns="http://schemas.openxmlformats.org/spreadsheetml/2006/main" count="9699" uniqueCount="2371">
  <si>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</si>
  <si>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</si>
  <si>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</si>
  <si>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</si>
  <si>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</si>
  <si>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</si>
  <si>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</si>
  <si>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</si>
  <si>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</si>
  <si>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</si>
  <si>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</si>
  <si>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</si>
  <si>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</si>
  <si>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</si>
  <si>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</si>
  <si>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</si>
  <si>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</si>
  <si>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</si>
  <si>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</si>
  <si>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</si>
  <si>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</si>
  <si>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</si>
  <si>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</si>
  <si>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</si>
  <si>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</si>
  <si>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</si>
  <si>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</si>
  <si>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</si>
  <si>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</si>
  <si>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</si>
  <si>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</si>
  <si>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</si>
  <si>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</si>
  <si>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</si>
  <si>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</si>
  <si>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</si>
  <si>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</si>
  <si>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</si>
  <si>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</si>
  <si>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</si>
  <si>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</si>
  <si>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</si>
  <si>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</si>
  <si>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</si>
  <si>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</si>
  <si>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</si>
  <si>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</si>
  <si>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</si>
  <si>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</si>
  <si>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</si>
  <si>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</si>
  <si>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</si>
  <si>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</si>
  <si>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</si>
  <si>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</si>
  <si>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</si>
  <si>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</si>
  <si>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</si>
  <si>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</si>
  <si>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</si>
  <si>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</si>
  <si>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</si>
  <si>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</si>
  <si>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</si>
  <si>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</si>
  <si>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</si>
  <si>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</si>
  <si>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</si>
  <si>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</si>
  <si>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</si>
  <si>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</si>
  <si>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</si>
  <si>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</si>
  <si>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</si>
  <si>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</si>
  <si>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</si>
  <si>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</si>
  <si>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</si>
  <si>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</si>
  <si>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</si>
  <si>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</si>
  <si>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</si>
  <si>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</si>
  <si>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</si>
  <si>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</si>
  <si>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</si>
  <si>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</si>
  <si>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</si>
  <si>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</si>
  <si>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</si>
  <si>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</si>
  <si>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</si>
  <si>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</si>
  <si>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</si>
  <si>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</si>
  <si>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</si>
  <si>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</si>
  <si>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</si>
  <si>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</si>
  <si>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</si>
  <si>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</si>
  <si>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</si>
  <si>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</si>
  <si>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</si>
  <si>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</si>
  <si>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</si>
  <si>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</si>
  <si>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</si>
  <si>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</si>
  <si>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</si>
  <si>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</si>
  <si>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</si>
  <si>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</si>
  <si>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</si>
  <si>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</si>
  <si>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</si>
  <si>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</si>
  <si>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</si>
  <si>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</si>
  <si>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</si>
  <si>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</si>
  <si>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</si>
  <si>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</si>
  <si>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</si>
  <si>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</si>
  <si>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</si>
  <si>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</si>
  <si>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</si>
  <si>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</si>
  <si>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</si>
  <si>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</si>
  <si>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</si>
  <si>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</si>
  <si>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</si>
  <si>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</si>
  <si>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</si>
  <si>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</si>
  <si>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</si>
  <si>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</si>
  <si>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</si>
  <si>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</si>
  <si>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</si>
  <si>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</si>
  <si>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</si>
  <si>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</si>
  <si>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</si>
  <si>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</si>
  <si>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</si>
  <si>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</si>
  <si>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</si>
  <si>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</si>
  <si>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</si>
  <si>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</si>
  <si>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</si>
  <si>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</si>
  <si>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</si>
  <si>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</si>
  <si>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</si>
  <si>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</si>
  <si>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</si>
  <si>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</si>
  <si>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</si>
  <si>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</si>
  <si>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</si>
  <si>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</si>
  <si>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</si>
  <si>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</si>
  <si>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</si>
  <si>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</si>
  <si>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</si>
  <si>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</si>
  <si>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</si>
  <si>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</si>
  <si>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</si>
  <si>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</si>
  <si>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</si>
  <si>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</si>
  <si>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</si>
  <si>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</si>
  <si>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</si>
  <si>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</si>
  <si>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</si>
  <si>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</si>
  <si>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</si>
  <si>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</si>
  <si>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</si>
  <si>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</si>
  <si>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</si>
  <si>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</si>
  <si>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</si>
  <si>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</si>
  <si>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</si>
  <si>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</si>
  <si>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</si>
  <si>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</si>
  <si>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</si>
  <si>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</si>
  <si>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</si>
  <si>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</si>
  <si>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</si>
  <si>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</si>
  <si>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</si>
  <si>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</si>
  <si>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</si>
  <si>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</si>
  <si>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</si>
  <si>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</si>
  <si>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</si>
  <si>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</si>
  <si>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</si>
  <si>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</si>
  <si>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</si>
  <si>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</si>
  <si>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</si>
  <si>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</si>
  <si>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</si>
  <si>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</si>
  <si>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</si>
  <si>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</si>
  <si>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</si>
  <si>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</si>
  <si>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</si>
  <si>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</si>
  <si>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</si>
  <si>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</si>
  <si>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</si>
  <si>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</si>
  <si>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</si>
  <si>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</si>
  <si>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</si>
  <si>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</si>
  <si>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</si>
  <si>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</si>
  <si>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</si>
  <si>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</si>
  <si>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</si>
  <si>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</si>
  <si>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</si>
  <si>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</si>
  <si>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</si>
  <si>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</si>
  <si>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</si>
  <si>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</si>
  <si>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</si>
  <si>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</si>
  <si>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</si>
  <si>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</si>
  <si>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</si>
  <si>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</si>
  <si>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</si>
  <si>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</si>
  <si>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</si>
  <si>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</si>
  <si>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</si>
  <si>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</si>
  <si>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</si>
  <si>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</si>
  <si>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</si>
  <si>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</si>
  <si>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</si>
  <si>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</si>
  <si>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</si>
  <si>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</si>
  <si>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</si>
  <si>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</si>
  <si>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</si>
  <si>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</si>
  <si>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</si>
  <si>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</si>
  <si>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</si>
  <si>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</si>
  <si>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</si>
  <si>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</si>
  <si>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</si>
  <si>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</si>
  <si>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</si>
  <si>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</si>
  <si>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</si>
  <si>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</si>
  <si>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</si>
  <si>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</si>
  <si>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</si>
  <si>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</si>
  <si>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</si>
  <si>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</si>
  <si>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</si>
  <si>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</si>
  <si>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</si>
  <si>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</si>
  <si>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</si>
  <si>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</si>
  <si>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</si>
  <si>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</si>
  <si>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</si>
  <si>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</si>
  <si>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</si>
  <si>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</si>
  <si>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</si>
  <si>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</si>
  <si>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</si>
  <si>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</si>
  <si>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</si>
  <si>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</si>
  <si>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</si>
  <si>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</si>
  <si>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</si>
  <si>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</si>
  <si>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</si>
  <si>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</si>
  <si>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</si>
  <si>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</si>
  <si>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</si>
  <si>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</si>
  <si>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</si>
  <si>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</si>
  <si>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</si>
  <si>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</si>
  <si>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</si>
  <si>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</si>
  <si>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</si>
  <si>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</si>
  <si>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</si>
  <si>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</si>
  <si>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</si>
  <si>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</si>
  <si>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</si>
  <si>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</si>
  <si>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</si>
  <si>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</si>
  <si>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</si>
  <si>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</si>
  <si>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</si>
  <si>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</si>
  <si>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</si>
  <si>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</si>
  <si>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</si>
  <si>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</si>
  <si>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</si>
  <si>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</si>
  <si>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</si>
  <si>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</si>
  <si>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</si>
  <si>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</si>
  <si>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</si>
  <si>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</si>
  <si>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</si>
  <si>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</si>
  <si>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</si>
  <si>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</si>
  <si>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</si>
  <si>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</si>
  <si>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</si>
  <si>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</si>
  <si>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</si>
  <si>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</si>
  <si>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</si>
  <si>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</si>
  <si>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</si>
  <si>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</si>
  <si>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</si>
  <si>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</si>
  <si>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</si>
  <si>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</si>
  <si>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</si>
  <si>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</si>
  <si>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</si>
  <si>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</si>
  <si>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</si>
  <si>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</si>
  <si>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</si>
  <si>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</si>
  <si>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</si>
  <si>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</si>
  <si>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</si>
  <si>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</si>
  <si>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</si>
  <si>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</si>
  <si>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</si>
  <si>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</si>
  <si>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</si>
  <si>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</si>
  <si>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</si>
  <si>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</si>
  <si>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</si>
  <si>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</si>
  <si>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</si>
  <si>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</si>
  <si>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</si>
  <si>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</si>
  <si>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</si>
  <si>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</si>
  <si>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</si>
  <si>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</si>
  <si>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</si>
  <si>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</si>
  <si>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</si>
  <si>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</si>
  <si>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</si>
  <si>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</si>
  <si>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</si>
  <si>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</si>
  <si>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</si>
  <si>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</si>
  <si>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</si>
  <si>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</si>
  <si>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</si>
  <si>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</si>
  <si>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</si>
  <si>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</si>
  <si>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</si>
  <si>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</si>
  <si>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</si>
  <si>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</si>
  <si>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</si>
  <si>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</si>
  <si>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</si>
  <si>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</si>
  <si>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</si>
  <si>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</si>
  <si>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</si>
  <si>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</si>
  <si>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</si>
  <si>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</si>
  <si>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</si>
  <si>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</si>
  <si>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</si>
  <si>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</si>
  <si>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</si>
  <si>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</si>
  <si>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</si>
  <si>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</si>
  <si>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</si>
  <si>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</si>
  <si>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</si>
  <si>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</si>
  <si>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</si>
  <si>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</si>
  <si>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</si>
  <si>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</si>
  <si>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</si>
  <si>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</si>
  <si>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</si>
  <si>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</si>
  <si>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</si>
  <si>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</si>
  <si>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</si>
  <si>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</si>
  <si>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</si>
  <si>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</si>
  <si>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</si>
  <si>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</si>
  <si>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</si>
  <si>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</si>
  <si>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</si>
  <si>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</si>
  <si>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</si>
  <si>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</si>
  <si>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</si>
  <si>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</si>
  <si>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</si>
  <si>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</si>
  <si>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</si>
  <si>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</si>
  <si>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</si>
  <si>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</si>
  <si>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</si>
  <si>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</si>
  <si>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</si>
  <si>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</si>
  <si>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</si>
  <si>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</si>
  <si>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</si>
  <si>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</si>
  <si>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</si>
  <si>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</si>
  <si>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</si>
  <si>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</si>
  <si>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</si>
  <si>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</si>
  <si>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</si>
  <si>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</si>
  <si>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</si>
  <si>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</si>
  <si>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</si>
  <si>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</si>
  <si>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</si>
  <si>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</si>
  <si>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</si>
  <si>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</si>
  <si>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</si>
  <si>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</si>
  <si>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</si>
  <si>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</si>
  <si>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</si>
  <si>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</si>
  <si>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</si>
  <si>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</si>
  <si>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</si>
  <si>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</si>
  <si>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</si>
  <si>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</si>
  <si>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</si>
  <si>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</si>
  <si>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</si>
  <si>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</si>
  <si>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</si>
  <si>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</si>
  <si>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</si>
  <si>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</si>
  <si>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</si>
  <si>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</si>
  <si>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</si>
  <si>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</si>
  <si>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</si>
  <si>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</si>
  <si>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</si>
  <si>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</si>
  <si>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</si>
  <si>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</si>
  <si>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</si>
  <si>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</si>
  <si>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</si>
  <si>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</si>
  <si>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</si>
  <si>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</si>
  <si>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</si>
  <si>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</si>
  <si>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</si>
  <si>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</si>
  <si>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</si>
  <si>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</si>
  <si>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</si>
  <si>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</si>
  <si>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</si>
  <si>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</si>
  <si>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</si>
  <si>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</si>
  <si>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</si>
  <si>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</si>
  <si>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</si>
  <si>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</si>
  <si>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</si>
  <si>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</si>
  <si>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</si>
  <si>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</si>
  <si>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</si>
  <si>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</si>
  <si>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</si>
  <si>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</si>
  <si>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</si>
  <si>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</si>
  <si>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</si>
  <si>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</si>
  <si>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</si>
  <si>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</si>
  <si>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</si>
  <si>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</si>
  <si>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</si>
  <si>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</si>
  <si>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</si>
  <si>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</si>
  <si>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</si>
  <si>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</si>
  <si>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</si>
  <si>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</si>
  <si>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</si>
  <si>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</si>
  <si>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</si>
  <si>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</si>
  <si>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</si>
  <si>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</si>
  <si>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</si>
  <si>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</si>
  <si>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</si>
  <si>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</si>
  <si>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</si>
  <si>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</si>
  <si>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</si>
  <si>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</si>
  <si>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</si>
  <si>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</si>
  <si>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</si>
  <si>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</si>
  <si>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</si>
  <si>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</si>
  <si>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</si>
  <si>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</si>
  <si>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</si>
  <si>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</si>
  <si>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</si>
  <si>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</si>
  <si>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</si>
  <si>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</si>
  <si>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</si>
  <si>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</si>
  <si>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</si>
  <si>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</si>
  <si>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</si>
  <si>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</si>
  <si>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</si>
  <si>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</si>
  <si>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</si>
  <si>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</si>
  <si>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</si>
  <si>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</si>
  <si>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</si>
  <si>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</si>
  <si>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</si>
  <si>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</si>
  <si>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</si>
  <si>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</si>
  <si>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</si>
  <si>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</si>
  <si>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</si>
  <si>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</si>
  <si>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</si>
  <si>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</si>
  <si>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</si>
  <si>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</si>
  <si>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</si>
  <si>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</si>
  <si>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</si>
  <si>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</si>
  <si>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</si>
  <si>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</si>
  <si>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</si>
  <si>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</si>
  <si>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</si>
  <si>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</si>
  <si>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</si>
  <si>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</si>
  <si>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</si>
  <si>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</si>
  <si>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</si>
  <si>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</si>
  <si>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</si>
  <si>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</si>
  <si>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</si>
  <si>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</si>
  <si>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</si>
  <si>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</si>
  <si>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</si>
  <si>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</si>
  <si>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</si>
  <si>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</si>
  <si>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</si>
  <si>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</si>
  <si>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</si>
  <si>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</si>
  <si>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</si>
  <si>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</si>
  <si>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</si>
  <si>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</si>
  <si>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</si>
  <si>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</si>
  <si>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</si>
  <si>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</si>
  <si>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</si>
  <si>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</si>
  <si>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</si>
  <si>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</si>
  <si>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</si>
  <si>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</si>
  <si>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</si>
  <si>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</si>
  <si>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</si>
  <si>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</si>
  <si>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</si>
  <si>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</si>
  <si>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</si>
  <si>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</si>
  <si>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</si>
  <si>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</si>
  <si>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</si>
  <si>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</si>
  <si>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</si>
  <si>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</si>
  <si>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</si>
  <si>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</si>
  <si>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</si>
  <si>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</si>
  <si>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</si>
  <si>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</si>
  <si>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</si>
  <si>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</si>
  <si>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</si>
  <si>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</si>
  <si>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</si>
  <si>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</si>
  <si>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</si>
  <si>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</si>
  <si>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</si>
  <si>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</si>
  <si>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</si>
  <si>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</si>
  <si>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</si>
  <si>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</si>
  <si>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</si>
  <si>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</si>
  <si>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</si>
  <si>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</si>
  <si>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</si>
  <si>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</si>
  <si>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</si>
  <si>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</si>
  <si>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</si>
  <si>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</si>
  <si>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</si>
  <si>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</si>
  <si>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</si>
  <si>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</si>
  <si>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</si>
  <si>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</si>
  <si>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</si>
  <si>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</si>
  <si>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</si>
  <si>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</si>
  <si>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</si>
  <si>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</si>
  <si>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</si>
  <si>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</si>
  <si>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</si>
  <si>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</si>
  <si>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</si>
  <si>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</si>
  <si>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</si>
  <si>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</si>
  <si>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</si>
  <si>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</si>
  <si>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</si>
  <si>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</si>
  <si>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</si>
  <si>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</si>
  <si>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</si>
  <si>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</si>
  <si>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</si>
  <si>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</si>
  <si>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</si>
  <si>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</si>
  <si>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</si>
  <si>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</si>
  <si>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</si>
  <si>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</si>
  <si>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</si>
  <si>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</si>
  <si>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</si>
  <si>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</si>
  <si>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</si>
  <si>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</si>
  <si>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</si>
  <si>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</si>
  <si>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</si>
  <si>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</si>
  <si>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</si>
  <si>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</si>
  <si>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</si>
  <si>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</si>
  <si>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</si>
  <si>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</si>
  <si>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</si>
  <si>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</si>
  <si>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</si>
  <si>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</si>
  <si>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</si>
  <si>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</si>
  <si>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</si>
  <si>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</si>
  <si>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</si>
  <si>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</si>
  <si>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</si>
  <si>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</si>
  <si>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</si>
  <si>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</si>
  <si>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</si>
  <si>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</si>
  <si>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</si>
  <si>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</si>
  <si>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</si>
  <si>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</si>
  <si>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</si>
  <si>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</si>
  <si>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</si>
  <si>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</si>
  <si>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</si>
  <si>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</si>
  <si>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</si>
  <si>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</si>
  <si>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</si>
  <si>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</si>
  <si>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</si>
  <si>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</si>
  <si>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</si>
  <si>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</si>
  <si>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</si>
  <si>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BENZOL</t>
  </si>
  <si>
    <t>LIGHT SOLVENT NAPHTHA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</si>
  <si>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</si>
  <si>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</si>
  <si>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</si>
  <si>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</si>
  <si>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</si>
  <si>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</si>
  <si>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</si>
  <si>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</si>
  <si>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</si>
  <si>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</si>
  <si>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</si>
  <si>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</si>
  <si>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</si>
  <si>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</si>
  <si>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</si>
  <si>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</si>
  <si>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</si>
  <si>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</si>
  <si>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</si>
  <si>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</si>
  <si>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</si>
  <si>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</si>
  <si>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</si>
  <si>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</si>
  <si>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</si>
  <si>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</si>
  <si>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</si>
  <si>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</si>
  <si>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</si>
  <si>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</si>
  <si>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</si>
  <si>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</si>
  <si>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</si>
  <si>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</si>
  <si>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</si>
  <si>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</si>
  <si>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</si>
  <si>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</si>
  <si>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</si>
  <si>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</si>
  <si>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</si>
  <si>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</si>
  <si>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</si>
  <si>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</si>
  <si>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</si>
  <si>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</si>
  <si>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</si>
  <si>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</si>
  <si>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</si>
  <si>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</si>
  <si>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</si>
  <si>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</si>
  <si>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</si>
  <si>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</si>
  <si>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</si>
  <si>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</si>
  <si>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</si>
  <si>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</si>
  <si>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</si>
  <si>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</si>
  <si>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</si>
  <si>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</si>
  <si>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</si>
  <si>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</si>
  <si>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</si>
  <si>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</si>
  <si>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</si>
  <si>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</si>
  <si>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</si>
  <si>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</si>
  <si>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</si>
  <si>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</si>
  <si>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</si>
  <si>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</si>
  <si>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</si>
  <si>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</si>
  <si>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</si>
  <si>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</si>
  <si>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</si>
  <si>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</si>
  <si>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</si>
  <si>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</si>
  <si>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</si>
  <si>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</si>
  <si>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</si>
  <si>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</si>
  <si>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</si>
  <si>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</si>
  <si>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</si>
  <si>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</si>
  <si>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</si>
  <si>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</si>
  <si>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</si>
  <si>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</si>
  <si>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</si>
  <si>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</si>
  <si>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</si>
  <si>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</si>
  <si>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</si>
  <si>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</si>
  <si>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E350 BR-180/8.6/66.3</t>
  </si>
  <si>
    <t>IS 2062 E250 BR-180/8.6/66.3</t>
  </si>
  <si>
    <t>IS 2062 E250 BR-190/ 9.4/77.57</t>
  </si>
  <si>
    <t>IS 2062 E350 BR-190 7.6/67.15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</si>
  <si>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</si>
  <si>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</si>
  <si>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</si>
  <si>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</si>
  <si>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</si>
  <si>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</si>
  <si>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</si>
  <si>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</si>
  <si>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</si>
  <si>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</si>
  <si>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</si>
  <si>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</si>
  <si>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</si>
  <si>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</si>
  <si>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</si>
  <si>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</si>
  <si>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</si>
  <si>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</si>
  <si>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</si>
  <si>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</si>
  <si>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</si>
  <si>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</si>
  <si>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</si>
  <si>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</si>
  <si>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</si>
  <si>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</si>
  <si>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</si>
  <si>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</si>
  <si>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</si>
  <si>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</si>
  <si>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</si>
  <si>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</si>
  <si>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</si>
  <si>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</si>
  <si>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</si>
  <si>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</si>
  <si>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</si>
  <si>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</si>
  <si>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</si>
  <si>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</si>
  <si>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</si>
  <si>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</si>
  <si>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</si>
  <si>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</si>
  <si>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</si>
  <si>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</si>
  <si>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</si>
  <si>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</si>
  <si>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</si>
  <si>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</si>
  <si>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</si>
  <si>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</si>
  <si>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</si>
  <si>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</si>
  <si>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</si>
  <si>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</si>
  <si>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</si>
  <si>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</si>
  <si>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</si>
  <si>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</si>
  <si>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</si>
  <si>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</si>
  <si>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</si>
  <si>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</si>
  <si>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</si>
  <si>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</si>
  <si>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</si>
  <si>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</si>
  <si>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</si>
  <si>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</si>
  <si>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</si>
  <si>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</si>
  <si>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</si>
  <si>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</si>
  <si>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</si>
  <si>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</si>
  <si>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</si>
  <si>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</si>
  <si>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</si>
  <si>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</si>
  <si>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</si>
  <si>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</si>
  <si>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</si>
  <si>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</si>
  <si>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</si>
  <si>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</si>
  <si>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</si>
  <si>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</si>
  <si>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</si>
  <si>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</si>
  <si>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</si>
  <si>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</si>
  <si>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</si>
  <si>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</si>
  <si>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</si>
  <si>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</si>
  <si>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</si>
  <si>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</si>
  <si>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</si>
  <si>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</si>
  <si>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</si>
  <si>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</si>
  <si>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</si>
  <si>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</si>
  <si>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</si>
  <si>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</si>
  <si>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</si>
  <si>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</si>
  <si>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</si>
  <si>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</si>
  <si>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</si>
  <si>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</si>
  <si>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</si>
  <si>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</si>
  <si>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</si>
  <si>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</si>
  <si>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</si>
  <si>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</si>
  <si>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</si>
  <si>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</si>
  <si>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</si>
  <si>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</si>
  <si>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</si>
  <si>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</si>
  <si>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</si>
  <si>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</si>
  <si>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</si>
  <si>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</si>
  <si>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</si>
  <si>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</si>
  <si>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</si>
  <si>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</si>
  <si>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</si>
  <si>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</si>
  <si>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</si>
  <si>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</si>
  <si>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</si>
  <si>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</si>
  <si>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</si>
  <si>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</si>
  <si>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</si>
  <si>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</si>
  <si>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</si>
  <si>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</si>
  <si>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</si>
  <si>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</si>
  <si>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</si>
  <si>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</si>
  <si>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</si>
  <si>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</si>
  <si>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</si>
  <si>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</si>
  <si>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</si>
  <si>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</si>
  <si>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</si>
  <si>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</si>
  <si>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</si>
  <si>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</si>
  <si>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</si>
  <si>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</si>
  <si>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</si>
  <si>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</si>
  <si>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</si>
  <si>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</si>
  <si>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</si>
  <si>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</si>
  <si>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</si>
  <si>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</si>
  <si>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</si>
  <si>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</si>
  <si>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</si>
  <si>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</si>
  <si>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</si>
  <si>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</si>
  <si>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</si>
  <si>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</si>
  <si>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</si>
  <si>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</si>
  <si>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</si>
  <si>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</si>
  <si>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</si>
  <si>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</si>
  <si>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</si>
  <si>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</si>
  <si>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</si>
  <si>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</si>
  <si>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</si>
  <si>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</si>
  <si>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</si>
  <si>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</si>
  <si>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</si>
  <si>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</si>
  <si>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</si>
  <si>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</si>
  <si>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</si>
  <si>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</si>
  <si>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</si>
  <si>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</si>
  <si>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</si>
  <si>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</si>
  <si>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</si>
  <si>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</si>
  <si>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</si>
  <si>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</si>
  <si>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</si>
  <si>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</si>
  <si>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</si>
  <si>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</si>
  <si>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</si>
  <si>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</si>
  <si>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</si>
  <si>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</si>
  <si>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</si>
  <si>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</si>
  <si>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</si>
  <si>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</si>
  <si>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</si>
  <si>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</si>
  <si>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</si>
  <si>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</si>
  <si>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</si>
  <si>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</si>
  <si>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</si>
  <si>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</si>
  <si>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</si>
  <si>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</si>
  <si>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</si>
  <si>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</si>
  <si>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</si>
  <si>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</si>
  <si>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</si>
  <si>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</si>
  <si>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</si>
  <si>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</si>
  <si>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</si>
  <si>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</si>
  <si>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</si>
  <si>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</si>
  <si>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</si>
  <si>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</si>
  <si>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</si>
  <si>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</si>
  <si>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</si>
  <si>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</si>
  <si>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</si>
  <si>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</si>
  <si>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</si>
  <si>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</si>
  <si>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</si>
  <si>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</si>
  <si>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</si>
  <si>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</si>
  <si>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</si>
  <si>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</si>
  <si>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</si>
  <si>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</si>
  <si>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</si>
  <si>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</si>
  <si>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</si>
  <si>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</si>
  <si>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</si>
  <si>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</si>
  <si>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</si>
  <si>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</si>
  <si>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</si>
  <si>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</si>
  <si>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</si>
  <si>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</si>
  <si>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</si>
  <si>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</si>
  <si>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</si>
  <si>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</si>
  <si>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</si>
  <si>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</si>
  <si>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</si>
  <si>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</si>
  <si>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</si>
  <si>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</si>
  <si>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</si>
  <si>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</si>
  <si>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</si>
  <si>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</si>
  <si>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</si>
  <si>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</si>
  <si>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</si>
  <si>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</si>
  <si>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</si>
  <si>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</si>
  <si>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</si>
  <si>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</si>
  <si>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</si>
  <si>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</si>
  <si>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</si>
  <si>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</si>
  <si>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</si>
  <si>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</si>
  <si>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</si>
  <si>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</si>
  <si>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</si>
  <si>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</si>
  <si>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</si>
  <si>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</si>
  <si>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</si>
  <si>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</si>
  <si>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</si>
  <si>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</si>
  <si>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</si>
  <si>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</si>
  <si>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</si>
  <si>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</si>
  <si>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</si>
  <si>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</si>
  <si>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</si>
  <si>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</si>
  <si>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</si>
  <si>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</si>
  <si>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SWR 14 200*280</t>
  </si>
  <si>
    <t>BLOOM CB SAILTOWER6 NB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</si>
  <si>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</si>
  <si>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</si>
  <si>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</si>
  <si>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</si>
  <si>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</si>
  <si>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</si>
  <si>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</si>
  <si>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</si>
  <si>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</si>
  <si>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</si>
  <si>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</si>
  <si>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</si>
  <si>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</si>
  <si>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</si>
  <si>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</si>
  <si>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</si>
  <si>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</si>
  <si>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</si>
  <si>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</si>
  <si>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</si>
  <si>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</si>
  <si>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</si>
  <si>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</si>
  <si>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</si>
  <si>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</si>
  <si>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</si>
  <si>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</si>
  <si>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JAMADOBA/BHELATAND/MOONIDIH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</si>
  <si>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</si>
  <si>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</si>
  <si>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</si>
  <si>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</si>
  <si>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</si>
  <si>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</si>
  <si>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</si>
  <si>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</si>
  <si>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</si>
  <si>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</si>
  <si>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</si>
  <si>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</si>
  <si>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</si>
  <si>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</si>
  <si>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</si>
  <si>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</si>
  <si>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</si>
  <si>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</si>
  <si>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</si>
  <si>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</si>
  <si>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</si>
  <si>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</si>
  <si>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</si>
  <si>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</si>
  <si>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</si>
  <si>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</si>
  <si>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</si>
  <si>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</si>
  <si>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</si>
  <si>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</si>
  <si>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</si>
  <si>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</si>
  <si>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</si>
  <si>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</si>
  <si>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</si>
  <si>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</si>
  <si>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</si>
  <si>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</si>
  <si>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</si>
  <si>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</si>
  <si>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</si>
  <si>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</si>
  <si>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</si>
  <si>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</si>
  <si>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</si>
  <si>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</si>
  <si>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</si>
  <si>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</si>
  <si>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</si>
  <si>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</si>
  <si>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</si>
  <si>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</si>
  <si>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</si>
  <si>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</si>
  <si>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</si>
  <si>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</si>
  <si>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</si>
  <si>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</si>
  <si>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</si>
  <si>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</si>
  <si>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</si>
  <si>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</si>
  <si>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</si>
  <si>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</si>
  <si>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</si>
  <si>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</si>
  <si>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</si>
  <si>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</si>
  <si>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</si>
  <si>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</si>
  <si>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</si>
  <si>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</si>
  <si>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</si>
  <si>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</si>
  <si>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</si>
  <si>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</si>
  <si>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</si>
  <si>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</si>
  <si>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</si>
  <si>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</si>
  <si>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</si>
  <si>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</si>
  <si>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</si>
  <si>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</si>
  <si>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</si>
  <si>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</si>
  <si>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</si>
  <si>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</si>
  <si>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</si>
  <si>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</si>
  <si>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</si>
  <si>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</si>
  <si>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</si>
  <si>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</si>
  <si>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</si>
  <si>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</si>
  <si>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</si>
  <si>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</si>
  <si>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Road</t>
  </si>
  <si>
    <t>Rail</t>
  </si>
  <si>
    <t>Jan'23</t>
  </si>
  <si>
    <t>IS 2062 E250 BR-220/12/154.46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</si>
  <si>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</si>
  <si>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</si>
  <si>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</si>
  <si>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</si>
  <si>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</si>
  <si>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</si>
  <si>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</si>
  <si>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</si>
  <si>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</si>
  <si>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</si>
  <si>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</si>
  <si>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</si>
  <si>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</si>
  <si>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</si>
  <si>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B.F.COKE (EXTERNAL)</t>
  </si>
  <si>
    <t>TOTAL BF COKE</t>
  </si>
  <si>
    <t>SPGSTEEL SUP11A</t>
  </si>
  <si>
    <t>Mar'23</t>
  </si>
  <si>
    <t>Russian (Soft)</t>
  </si>
  <si>
    <t>PROCESSED 50-200MM LD SLAG (BOLDER)</t>
  </si>
  <si>
    <t>RUS/S</t>
  </si>
  <si>
    <t>PROCESSED 50-200MM LD SLAG (BOULDER)</t>
  </si>
  <si>
    <t>COPPER CATHODE</t>
  </si>
  <si>
    <t>Apr'23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</si>
  <si>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</si>
  <si>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</si>
  <si>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</si>
  <si>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</si>
  <si>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</si>
  <si>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</si>
  <si>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</si>
  <si>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</si>
  <si>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</si>
  <si>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</si>
  <si>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</si>
  <si>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</si>
  <si>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</si>
  <si>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</si>
  <si>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</si>
  <si>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</si>
  <si>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</si>
  <si>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</si>
  <si>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</si>
  <si>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</si>
  <si>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</si>
  <si>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</si>
  <si>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</si>
  <si>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</si>
  <si>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</si>
  <si>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</si>
  <si>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</si>
  <si>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</si>
  <si>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</si>
  <si>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</si>
  <si>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</si>
  <si>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</si>
  <si>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</si>
  <si>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</si>
  <si>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</si>
  <si>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</si>
  <si>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</si>
  <si>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</si>
  <si>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</si>
  <si>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</si>
  <si>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</si>
  <si>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</si>
  <si>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</si>
  <si>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</si>
  <si>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</si>
  <si>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</si>
  <si>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</si>
  <si>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</si>
  <si>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</si>
  <si>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</si>
  <si>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</si>
  <si>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</si>
  <si>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</si>
  <si>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</si>
  <si>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</si>
  <si>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</si>
  <si>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</si>
  <si>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</si>
  <si>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</si>
  <si>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</si>
  <si>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DISMANTLED REFRACTORY SCRAP</t>
  </si>
  <si>
    <t>CAST IRON SCRAP</t>
  </si>
  <si>
    <t>BOF GCP SLUDGE</t>
  </si>
  <si>
    <t>USED &amp; REJECTED WOODEN PALLETS/  SLEEPER</t>
  </si>
  <si>
    <t>USED &amp; REJECTED MILD STEEL SCRAP</t>
  </si>
  <si>
    <t>COMPOSITE TRAILING CABLE,4C,16MM2</t>
  </si>
  <si>
    <t>FERRO SILICON,25-50MM</t>
  </si>
  <si>
    <t>FERRO-NIOBIUM</t>
  </si>
  <si>
    <t>LOW SILICA LIMESTONE, 30-60 MM</t>
  </si>
  <si>
    <t>BELT,CONVY,M-24,1000/4,5MM/2MM,1000MM</t>
  </si>
  <si>
    <t>CABLE 3X300SQMM,11 KV,XLPE,AL CONDUCTOR</t>
  </si>
  <si>
    <t>CABLE,ARM,440V,CU,16C,0.9MM2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</si>
  <si>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</si>
  <si>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</si>
  <si>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</si>
  <si>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</si>
  <si>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</si>
  <si>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</si>
  <si>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</si>
  <si>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</si>
  <si>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</si>
  <si>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</si>
  <si>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</si>
  <si>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</si>
  <si>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</si>
  <si>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</si>
  <si>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</si>
  <si>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</si>
  <si>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</si>
  <si>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Jun'23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</si>
  <si>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</si>
  <si>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</si>
  <si>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</si>
  <si>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</si>
  <si>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</si>
  <si>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</si>
  <si>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</si>
  <si>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</si>
  <si>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</si>
  <si>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</si>
  <si>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</si>
  <si>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</si>
  <si>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</si>
  <si>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</si>
  <si>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</si>
  <si>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</si>
  <si>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</si>
  <si>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</si>
  <si>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</si>
  <si>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</si>
  <si>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</si>
  <si>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</si>
  <si>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</si>
  <si>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</si>
  <si>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</si>
  <si>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</si>
  <si>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</si>
  <si>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</si>
  <si>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</si>
  <si>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</si>
  <si>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</si>
  <si>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</si>
  <si>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</si>
  <si>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</si>
  <si>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</si>
  <si>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</si>
  <si>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</si>
  <si>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</si>
  <si>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</si>
  <si>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</si>
  <si>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</si>
  <si>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</si>
  <si>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</si>
  <si>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</si>
  <si>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</si>
  <si>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</si>
  <si>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</si>
  <si>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</si>
  <si>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</si>
  <si>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</si>
  <si>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</si>
  <si>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</si>
  <si>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</si>
  <si>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</si>
  <si>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</si>
  <si>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</si>
  <si>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</si>
  <si>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</si>
  <si>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</si>
  <si>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</si>
  <si>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</si>
  <si>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JUL'23</t>
  </si>
  <si>
    <t>SAE10B33(VD)</t>
  </si>
  <si>
    <t>CARES</t>
  </si>
  <si>
    <t>DISMANTLED FIREBRICKS</t>
  </si>
  <si>
    <t>DISPOSABLE MOTOR,ELE. BKR &amp; PANELS SCRAP</t>
  </si>
  <si>
    <t>SWITCH GEARS/CKT BKR</t>
  </si>
  <si>
    <t>19MNB4(M)HC (VD)</t>
  </si>
  <si>
    <t>10B33(VD)</t>
  </si>
  <si>
    <t>C20HMNCMAV55RC</t>
  </si>
  <si>
    <t>CHANNEL IS 2062 E250BR 400*100*8.8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</si>
  <si>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</si>
  <si>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</si>
  <si>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</si>
  <si>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</si>
  <si>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</si>
  <si>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</si>
  <si>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</si>
  <si>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</si>
  <si>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</si>
  <si>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</si>
  <si>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</si>
  <si>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</si>
  <si>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</si>
  <si>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</si>
  <si>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</si>
  <si>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</si>
  <si>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</si>
  <si>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</si>
  <si>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</si>
  <si>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</si>
  <si>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</si>
  <si>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</si>
  <si>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</si>
  <si>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</si>
  <si>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</si>
  <si>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</si>
  <si>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</si>
  <si>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</si>
  <si>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</si>
  <si>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</si>
  <si>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</si>
  <si>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</si>
  <si>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</si>
  <si>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</si>
  <si>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</si>
  <si>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</si>
  <si>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</si>
  <si>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</si>
  <si>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</si>
  <si>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</si>
  <si>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</si>
  <si>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</si>
  <si>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</si>
  <si>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</si>
  <si>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</si>
  <si>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</si>
  <si>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</si>
  <si>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</si>
  <si>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</si>
  <si>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</si>
  <si>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</si>
  <si>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</si>
  <si>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</si>
  <si>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</si>
  <si>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</si>
  <si>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</si>
  <si>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</si>
  <si>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</si>
  <si>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</si>
  <si>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</si>
  <si>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</si>
  <si>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</si>
  <si>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</si>
  <si>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</si>
  <si>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</si>
  <si>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</si>
  <si>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</si>
  <si>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</si>
  <si>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</si>
  <si>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</si>
  <si>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</si>
  <si>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</si>
  <si>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</si>
  <si>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</si>
  <si>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</si>
  <si>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</si>
  <si>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</si>
  <si>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</si>
  <si>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</si>
  <si>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</si>
  <si>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</si>
  <si>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</si>
  <si>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WRM COILS (REBAR/WR) TRIMMED END SCRAP</t>
  </si>
  <si>
    <t>OLD ,U/ R STEEL MAINTENANCE SCRAP</t>
  </si>
  <si>
    <t>E - 250ACU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</si>
  <si>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</si>
  <si>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</si>
  <si>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</si>
  <si>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</si>
  <si>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</si>
  <si>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</si>
  <si>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</si>
  <si>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</si>
  <si>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</si>
  <si>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</si>
  <si>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IPT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</si>
  <si>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</si>
  <si>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</si>
  <si>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</si>
  <si>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</si>
  <si>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</si>
  <si>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</si>
  <si>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</si>
  <si>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</si>
  <si>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</si>
  <si>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</si>
  <si>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</si>
  <si>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</si>
  <si>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</si>
  <si>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</si>
  <si>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</si>
  <si>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</si>
  <si>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</si>
  <si>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</si>
  <si>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</si>
  <si>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</si>
  <si>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</si>
  <si>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</si>
  <si>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</si>
  <si>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</si>
  <si>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</si>
  <si>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</si>
  <si>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</si>
  <si>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</si>
  <si>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</si>
  <si>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</si>
  <si>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</si>
  <si>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</si>
  <si>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</si>
  <si>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</si>
  <si>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</si>
  <si>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</si>
  <si>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</si>
  <si>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</si>
  <si>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</si>
  <si>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</si>
  <si>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</si>
  <si>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</si>
  <si>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</si>
  <si>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</si>
  <si>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CRUDE BENZOL</t>
  </si>
  <si>
    <t>USM STRUCTURALS CROP ENDS SCRAP</t>
  </si>
  <si>
    <t>NITROGEN,LIQUID,PURITY-98% (MINIMUM)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</si>
  <si>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</si>
  <si>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</si>
  <si>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</si>
  <si>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</si>
  <si>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</si>
  <si>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</si>
  <si>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</si>
  <si>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</si>
  <si>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</si>
  <si>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</si>
  <si>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</si>
  <si>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</si>
  <si>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</si>
  <si>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JAN'24</t>
  </si>
  <si>
    <t>USED &amp; REJECTED SLEEPER</t>
  </si>
  <si>
    <t>SILICO MANGANESE</t>
  </si>
  <si>
    <t>Actual Jan'24</t>
  </si>
  <si>
    <t>FERRO NEOBIUM</t>
  </si>
  <si>
    <t>ROURKELA</t>
  </si>
  <si>
    <t>Mahalakshmi Fuels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</si>
  <si>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</si>
  <si>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</si>
  <si>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</si>
  <si>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</si>
  <si>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</si>
  <si>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</si>
  <si>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</si>
  <si>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</si>
  <si>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</si>
  <si>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</si>
  <si>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Labor productivity calculation</t>
  </si>
  <si>
    <t>Ferro Alloys Break-up</t>
  </si>
  <si>
    <t>Reservoir Filling</t>
  </si>
  <si>
    <t>QTR 4</t>
  </si>
  <si>
    <t>Mar'24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</si>
  <si>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</si>
  <si>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</si>
  <si>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</si>
  <si>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</si>
  <si>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</si>
  <si>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</si>
  <si>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</si>
  <si>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</si>
  <si>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ASSORTED CC BEAM BLANK
 (sent to sister units IPT but taken in plant sales)</t>
  </si>
  <si>
    <t>IPT (Prime)</t>
  </si>
  <si>
    <t>Plant sales- ASSORTED BILLETS 
(Consists of assorted billets to sister units taken as plant sales)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</si>
  <si>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</si>
  <si>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</si>
  <si>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</si>
  <si>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</si>
  <si>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</si>
  <si>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</si>
  <si>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</si>
  <si>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</si>
  <si>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Apr'24</t>
  </si>
  <si>
    <t>(Equiv. Pig Iron @ 65% of HM sent to Sand Pit. (Ref to Fax Msg from ED (O), vide SAIL/OPRNS/ PPMS/33 dt. 05.02.15)</t>
  </si>
  <si>
    <t>ABP 2024-25</t>
  </si>
  <si>
    <t>85.5-86</t>
  </si>
  <si>
    <t>7.5-7.6</t>
  </si>
  <si>
    <t>65.3-65.6</t>
  </si>
  <si>
    <t>22.5-23</t>
  </si>
  <si>
    <t>89.8-90.2</t>
  </si>
  <si>
    <t>5.5-5.7</t>
  </si>
  <si>
    <t>67.5-68</t>
  </si>
  <si>
    <t>19.9-20.2</t>
  </si>
  <si>
    <t>25.0-25.2</t>
  </si>
  <si>
    <t>&lt;=0.4</t>
  </si>
  <si>
    <t>FeNi</t>
  </si>
  <si>
    <t>APR'24</t>
  </si>
  <si>
    <t>2024-25</t>
  </si>
  <si>
    <t>CRUDE STEEL GRADE SUMMARY AS PER RCL - 2024-25 (Unit: MT)</t>
  </si>
  <si>
    <t>GRAPHITE POWDER,IS:1305,1984,GR:1</t>
  </si>
  <si>
    <t>LUBRICATING OIL</t>
  </si>
  <si>
    <t>PIPES SEAMLESS</t>
  </si>
  <si>
    <t>SODIUM SILICATE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</si>
  <si>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</si>
  <si>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</si>
  <si>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</si>
  <si>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</si>
  <si>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</si>
  <si>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</si>
  <si>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</si>
  <si>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</si>
  <si>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</si>
  <si>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Dept/Month</t>
  </si>
  <si>
    <t>SP</t>
  </si>
  <si>
    <t>OHP</t>
  </si>
  <si>
    <t>CHP</t>
  </si>
  <si>
    <t>CO &amp; BPP</t>
  </si>
  <si>
    <t>PCM</t>
  </si>
  <si>
    <t>LRS</t>
  </si>
  <si>
    <t>WRBM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</si>
  <si>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</si>
  <si>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</si>
  <si>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</si>
  <si>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</si>
  <si>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</si>
  <si>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</si>
  <si>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</si>
  <si>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</si>
  <si>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</si>
  <si>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</si>
  <si>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</si>
  <si>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</si>
  <si>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</si>
  <si>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</si>
  <si>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</si>
  <si>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</si>
  <si>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</si>
  <si>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</si>
  <si>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</si>
  <si>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</si>
  <si>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</si>
  <si>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</si>
  <si>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</si>
  <si>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</si>
  <si>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</si>
  <si>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</si>
  <si>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>Assorted BILLET SCRAP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</si>
  <si>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</si>
  <si>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</si>
  <si>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</si>
  <si>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</si>
  <si>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</si>
  <si>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</si>
  <si>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</si>
  <si>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</si>
  <si>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</si>
  <si>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</si>
  <si>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</si>
  <si>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</si>
  <si>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</si>
  <si>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</si>
  <si>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</si>
  <si>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</si>
  <si>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</si>
  <si>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</si>
  <si>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</si>
  <si>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</si>
  <si>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</si>
  <si>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</si>
  <si>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</si>
  <si>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</si>
  <si>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</si>
  <si>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</si>
  <si>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</si>
  <si>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</si>
  <si>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</si>
  <si>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</si>
  <si>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</si>
  <si>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</si>
  <si>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</si>
  <si>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</si>
  <si>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</si>
  <si>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</si>
  <si>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</si>
  <si>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</si>
  <si>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</si>
  <si>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</si>
  <si>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MISC</t>
  </si>
  <si>
    <t>Poor demand</t>
  </si>
  <si>
    <t>Raw material -Pellet</t>
  </si>
  <si>
    <t>Other Delays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</si>
  <si>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</si>
  <si>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</si>
  <si>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</si>
  <si>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</si>
  <si>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</si>
  <si>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</si>
  <si>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</si>
  <si>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May'24</t>
  </si>
  <si>
    <t>Wet Quenching (COB#11)</t>
  </si>
  <si>
    <t>MKTG DIR</t>
  </si>
  <si>
    <t>USED &amp; REJECETD PIG MOULD SCRAP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</si>
  <si>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</si>
  <si>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</si>
  <si>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</si>
  <si>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</si>
  <si>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</si>
  <si>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</si>
  <si>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</si>
  <si>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</si>
  <si>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</si>
  <si>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</si>
  <si>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</si>
  <si>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</si>
  <si>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</si>
  <si>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</si>
  <si>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</si>
  <si>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</si>
  <si>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</si>
  <si>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</si>
  <si>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</si>
  <si>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</si>
  <si>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</si>
  <si>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</si>
  <si>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</si>
  <si>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</si>
  <si>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OLD/USED &amp; REJECTED TYRES</t>
  </si>
  <si>
    <t>6 mm SWR10</t>
  </si>
  <si>
    <t>IS 2062 E350 BR-150/8/49.32</t>
  </si>
  <si>
    <t>IS 2062 E250 BR-150/8/49.32</t>
  </si>
  <si>
    <t>MKTG DIR (200x280 &amp; Beam blank)</t>
  </si>
  <si>
    <t>10⁶ k.cal/tls</t>
  </si>
  <si>
    <t>10⁶ k.cal/tcs</t>
  </si>
  <si>
    <t>Jun'24</t>
  </si>
  <si>
    <t>Sinter in Burden</t>
  </si>
  <si>
    <t>Pellet in burden</t>
  </si>
  <si>
    <t>Prepared Burden</t>
  </si>
  <si>
    <t>Burden</t>
  </si>
  <si>
    <t>H.M to Dry Pit</t>
  </si>
  <si>
    <t>IS 2062 E350 BO 600*220*107.57</t>
  </si>
  <si>
    <t>IS 2062 E350 BR-150/6.1/36.53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</si>
  <si>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</si>
  <si>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</si>
  <si>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</si>
  <si>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</si>
  <si>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</si>
  <si>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</si>
  <si>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</si>
  <si>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</si>
  <si>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</si>
  <si>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</si>
  <si>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</si>
  <si>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</si>
  <si>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</si>
  <si>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</si>
  <si>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</si>
  <si>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</si>
  <si>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</si>
  <si>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</si>
  <si>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Jul'24</t>
  </si>
  <si>
    <t>HC82B CR 12 (LRPC)</t>
  </si>
  <si>
    <t>IPE350</t>
  </si>
  <si>
    <t>Rejected IPE 350</t>
  </si>
  <si>
    <t>FLASH-MIXER DROSS</t>
  </si>
  <si>
    <t>BURNT DOLOMITE SIZE 10 TO 55MM</t>
  </si>
  <si>
    <t>HELMET,SAFETY,DURABLE,COLOUR:BLUE (Kulti)</t>
  </si>
  <si>
    <t>INDUSTRIAL SAFETY SHOE,BLK(Kulti)</t>
  </si>
  <si>
    <t>IS 2062 E350 BR 350*170*50.22</t>
  </si>
  <si>
    <t>IPE-350</t>
  </si>
  <si>
    <t>IS2062 E250BR 350*170*50.22</t>
  </si>
  <si>
    <t>IS2062 E250BR 350*170*57.10</t>
  </si>
  <si>
    <t xml:space="preserve">IS 7904 HC82B CR </t>
  </si>
  <si>
    <t>NPB IS2062 E250BR 500*200*90.69</t>
  </si>
  <si>
    <t>NPB IS 2062 E350BR 500*200*90.69</t>
  </si>
  <si>
    <t>Sodium Hypochloride</t>
  </si>
  <si>
    <t>Actual Jul'24</t>
  </si>
  <si>
    <t>Aug'24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</si>
  <si>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</si>
  <si>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</si>
  <si>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</si>
  <si>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</si>
  <si>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</si>
  <si>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</si>
  <si>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</si>
  <si>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BOLT,HEX HD,AS,M24,80MM,CL10</t>
  </si>
  <si>
    <t>IRON ORE FINES FOR PELLET</t>
  </si>
  <si>
    <t>LAMP,24V,60W</t>
  </si>
  <si>
    <t>PUSH BUTTON STATION,EWS1C13AC051</t>
  </si>
  <si>
    <t>TIMER</t>
  </si>
  <si>
    <t>RELAY TIMER</t>
  </si>
  <si>
    <t>TUB. LUG SOCKET (W)</t>
  </si>
  <si>
    <t>SCRAP FILTER</t>
  </si>
  <si>
    <t>INDUSTRIAL SAFETY SHOE</t>
  </si>
  <si>
    <t>Actual Aug'24</t>
  </si>
  <si>
    <t>Sep'24</t>
  </si>
  <si>
    <t>Graphite Granuels</t>
  </si>
  <si>
    <t>EN8D AlK(VD)</t>
  </si>
  <si>
    <t>BILLET EN8D (RH) ALK</t>
  </si>
  <si>
    <t>BILLET LRPC (NON RH)</t>
  </si>
  <si>
    <t>5.5 WRC HC62B</t>
  </si>
  <si>
    <t>5.5 WRC HC72B</t>
  </si>
  <si>
    <t>CHANNEL IS 2062 E250BR 300*90*7.8</t>
  </si>
  <si>
    <t>NPB IS 2062 E350BR 400*180*66.31</t>
  </si>
  <si>
    <t xml:space="preserve">PURCHASED PELLET </t>
  </si>
  <si>
    <t>Actual Sep'24</t>
  </si>
  <si>
    <t>Av. Steel ldl life</t>
  </si>
  <si>
    <t>Oct'24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</si>
  <si>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t>
  </si>
  <si>
    <t xml:space="preserve">
10th Relining carried on 28.07.22-02.08.22 which has resulted in 3510 Heats till 21.03.23.11th relining carried on from 22.03.2023-27.03.2023 which has resulted 8817 Heats till 31.10.2024.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</si>
  <si>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</si>
  <si>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</si>
  <si>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</si>
  <si>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</si>
  <si>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</si>
  <si>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</si>
  <si>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</si>
  <si>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</si>
  <si>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BILLET LRPC (RH)</t>
  </si>
  <si>
    <t>BLOOM CB C15 MMNC 150*150</t>
  </si>
  <si>
    <t>HIGH CARBON FERRO MANGANESE,25-50MM</t>
  </si>
  <si>
    <t>NPB IS 2062 E250BR 450*190*77.58</t>
  </si>
  <si>
    <t>Actual Oct'24</t>
  </si>
  <si>
    <t>Nov'24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</si>
  <si>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</si>
  <si>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</si>
  <si>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</si>
  <si>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</si>
  <si>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</si>
  <si>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</si>
  <si>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</si>
  <si>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</si>
  <si>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</si>
  <si>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t>
  </si>
  <si>
    <t xml:space="preserve">
10th Relining carried on 28.07.22-02.08.22 which has resulted in 3510 Heats till 21.03.23.11th relining carried on from 22.03.2023-27.03.2023 which has resulted 8839 Heats till 30.11.2024.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</si>
  <si>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t>
  </si>
  <si>
    <t>30 *</t>
  </si>
  <si>
    <t>632*</t>
  </si>
  <si>
    <t>Dec'24</t>
  </si>
  <si>
    <t>Qtr-3</t>
  </si>
  <si>
    <t>Q2</t>
  </si>
  <si>
    <t>Q3</t>
  </si>
  <si>
    <t>OLD, USED &amp; REJECTED TRACTION BATTERY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</si>
  <si>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</si>
  <si>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</si>
  <si>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</si>
  <si>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</si>
  <si>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</si>
  <si>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t>
  </si>
  <si>
    <t xml:space="preserve">
10th Relining carried on 28.07.22-02.08.22 which has resulted in 3510 Heats till 21.03.23.11th relining carried on from 22.03.2023-27.03.2023 which has resulted 9351 Heats till 31.12.2024.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</si>
  <si>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</si>
  <si>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</si>
  <si>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</si>
  <si>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</si>
  <si>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</si>
  <si>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</si>
  <si>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</si>
  <si>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</si>
  <si>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Capital Repair Details 2024-25</t>
  </si>
  <si>
    <t>Duration (No of days)</t>
  </si>
  <si>
    <t>Actual</t>
  </si>
  <si>
    <t>SINTER PLANT-1</t>
  </si>
  <si>
    <t>SINTER PLANT-2</t>
  </si>
  <si>
    <t>Caster 1</t>
  </si>
  <si>
    <t>Caster 2</t>
  </si>
  <si>
    <t>Jobs Planned</t>
  </si>
  <si>
    <t>Remarks</t>
  </si>
  <si>
    <t>Replacement of Staves of B1,S1 and S2 rows &amp; cooling Plates
GCP Scrubber cleaning
SGP cleaning
Installation of 2 Nos. of PCPF Blocks in main trough</t>
  </si>
  <si>
    <t>20th June to 25th  July</t>
  </si>
  <si>
    <t xml:space="preserve">3rd Nov  to 30th Nov and Rampup by  3rd Dec </t>
  </si>
  <si>
    <t>Modification of ESP Hoppers
ESP upgradation as per emission norm of &lt;30mg/Nm3
Front Wall Furnace Repair
Waste gas impeller change of SP1</t>
  </si>
  <si>
    <t>2nd Nov-24 Nov</t>
  </si>
  <si>
    <t>5th Nov-29 Nov</t>
  </si>
  <si>
    <t xml:space="preserve">CDCP </t>
  </si>
  <si>
    <t>Boiler-1</t>
  </si>
  <si>
    <t>Apr-24- Jul'24</t>
  </si>
  <si>
    <t>1st Sep-28 Dec</t>
  </si>
  <si>
    <t>Boiler-4</t>
  </si>
  <si>
    <t>Oct'24-Jan'25</t>
  </si>
  <si>
    <t>Deffered to 2025-26</t>
  </si>
  <si>
    <t xml:space="preserve">Converter 1 </t>
  </si>
  <si>
    <t>Converter#1- Fixed stack Part 3,4,5 &amp;6 Replacement</t>
  </si>
  <si>
    <t>10th Nov'24 - 29th Nov'24</t>
  </si>
  <si>
    <t>Converter#1- Fixed stack Part 3,4,5 &amp;6 Replacement done Relining Defferred.</t>
  </si>
  <si>
    <t>Converter 2</t>
  </si>
  <si>
    <t>Converter#2 Relining, Movable Hood Assembly Replacement</t>
  </si>
  <si>
    <t xml:space="preserve">Converter 3 </t>
  </si>
  <si>
    <t>Converter#3 Relining, Movable hood assembly Replacement</t>
  </si>
  <si>
    <t>10th Nov'24 - 18th Nov'24</t>
  </si>
  <si>
    <t>Movable hood assembly Replacement done, Relining Defferred.</t>
  </si>
  <si>
    <t>Ladle Turret Arm#A Plunger replacement</t>
  </si>
  <si>
    <t>24th Nov'24 - 29th Nov'24</t>
  </si>
  <si>
    <t>Caster#1 tundish pre heater #1 &amp;#2 hood replacement</t>
  </si>
  <si>
    <t>7th Nov'24 - 16th Nov'24</t>
  </si>
  <si>
    <t>CCM#2 BLD cross Beam replacement</t>
  </si>
  <si>
    <t>8th Nov'24 - 19th Nov'24</t>
  </si>
  <si>
    <t>Ladle Turret hydraulic rotary column replacement</t>
  </si>
  <si>
    <t>5th Nov'24 - 9th Nov'24</t>
  </si>
  <si>
    <t>Caster#1 tundish pre heater #1 &amp;#2 hood repairing</t>
  </si>
  <si>
    <t>17th Nov'24 - 23th Nov'24</t>
  </si>
  <si>
    <t>Cooling Chamber 5.6mtr Slab strenthning and damaged portion (Caster#1 and #2)</t>
  </si>
  <si>
    <t>5th Nov'24 - 30th Nov'24</t>
  </si>
  <si>
    <t>Mold Oscillator refurbishment and installation in Caster#1, Caster#2 and Caster#3</t>
  </si>
  <si>
    <t>5th Nov'24 - 30thh Nov'24</t>
  </si>
  <si>
    <t>COG pipeline replacement</t>
  </si>
  <si>
    <t>Charging and Tapping Side floor beam replacement at Converter(+)9.5m floor</t>
  </si>
  <si>
    <t>10th Nov'24 - 16th Nov'24</t>
  </si>
  <si>
    <t>8 pass and TMB#2 overdrive gearbox replacement
Replacement of Main Gas Line SOV, Rider Plates, Valve overhauling
Replacement of damaged Rail Track, Leveling &amp; Alignment</t>
  </si>
  <si>
    <t>23rd  June to 3rd  July</t>
  </si>
  <si>
    <t>9th Nov-19th Nov</t>
  </si>
  <si>
    <t>Replacement of  Double twin Channel complete assembly with all drive gear box
Replacement of U-seal water pipe line 100 m
Replacement and servicing of gas line Valves, movable post replacement, rider plate change</t>
  </si>
  <si>
    <t>20th June to 10th July</t>
  </si>
  <si>
    <t>2nd Nov-23rd Nov</t>
  </si>
  <si>
    <t>RHF: Inspection/Replacement of Rider plates, Skid Post, Lintel, Overhauling/replacement of plug valves/SOV/control valves 
Overhauling/replacement of Cooling bed walking beams, roller chains, support column strengthening.
Overhauling/ Replacement of Entry Exit Chain Carrier and Drive System of LCB
Cold Saw Roller Table Roller Assy and clamping beam unit repair
TCS Upgradation</t>
  </si>
  <si>
    <t>28th June to 18th July</t>
  </si>
  <si>
    <t>9th Nov-28th Nov</t>
  </si>
  <si>
    <t>Major Overhauling of Train#2
L3 Maintenance of MAC-II and BAC-II by M/s ABB</t>
  </si>
  <si>
    <t>21st June 6th  July</t>
  </si>
  <si>
    <t>9th Nov-27th Nov</t>
  </si>
  <si>
    <t xml:space="preserve">LDCP
</t>
  </si>
  <si>
    <t>Kiln 3 Mid refractory arch repair along with complete kiln 3 capital repair</t>
  </si>
  <si>
    <t>RMHP</t>
  </si>
  <si>
    <t xml:space="preserve">Replacement of Side Beam Assembly of Wagon Tippler#301 </t>
  </si>
  <si>
    <t>24.05.2024-12.06.2024</t>
  </si>
  <si>
    <t>02.11.2024-20.11.2024</t>
  </si>
  <si>
    <t>Inter Connection of CP1C1 Conveyor with CP1C2 Conveyor</t>
  </si>
  <si>
    <t>24.05.2024-29.05.2024</t>
  </si>
  <si>
    <t>06.06.2024-10.06.2024</t>
  </si>
  <si>
    <t>HM#422 barrel reclaimer harrow trolley replacement</t>
  </si>
  <si>
    <t>24.05.2024-01.06.2024</t>
  </si>
  <si>
    <t>02.11.2024-09.11.2024</t>
  </si>
  <si>
    <t xml:space="preserve">PBS-2
</t>
  </si>
  <si>
    <t>COG main header pipe line replacement</t>
  </si>
  <si>
    <t>05.11.24-07.11.2024</t>
  </si>
  <si>
    <t>LF</t>
  </si>
  <si>
    <t>2nd Nov (1138T) to 30th Nov and Ramp up by  4th Dec (8224T)</t>
  </si>
  <si>
    <t>5 Days Derimming Job was taken up additionally during Capital Repair.</t>
  </si>
  <si>
    <t>Heating coke</t>
  </si>
  <si>
    <t>Jan'25</t>
  </si>
  <si>
    <t>LEG PROTECTION ITEMS</t>
  </si>
  <si>
    <t>OLD/USED &amp; DISCARDED PLANTE TYPE CELL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</si>
  <si>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</si>
  <si>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</si>
  <si>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</si>
  <si>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</si>
  <si>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</si>
  <si>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WPB 240*240*47.39</t>
  </si>
  <si>
    <t>Actual Jan'25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</si>
  <si>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t>
  </si>
  <si>
    <t xml:space="preserve">
10th Relining carried on 28.07.22-02.08.22 which has resulted in 3510 Heats till 21.03.23.11th relining carried on from 22.03.2023-27.03.2023 which has resulted 9877 Heats till 31.01.2025.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</si>
  <si>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t>
  </si>
  <si>
    <t>BOF Gas consumption</t>
  </si>
  <si>
    <t>Feb'25</t>
  </si>
  <si>
    <t>SPECIAL  SALEABLE STEEL</t>
  </si>
  <si>
    <t>IS7887 GR 4M</t>
  </si>
  <si>
    <t>Actual Feb'25</t>
  </si>
  <si>
    <t>Billet Gr4M-Sik</t>
  </si>
  <si>
    <t>IS 2062 E350 BO-200/10.2/90.69</t>
  </si>
  <si>
    <t>SWITCH POINT SHIFTING UNIT,HS12D03-II</t>
  </si>
  <si>
    <t>CARDAN SHAFT 0.393.85.02.87.007.4000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</si>
  <si>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t>
  </si>
  <si>
    <t xml:space="preserve">
10th Relining carried on 28.07.22-02.08.22 which has resulted in 3510 Heats till 21.03.23.11th relining carried on from 22.03.2023-27.03.2023 which has resulted 10326 Heats till 28.02.2025.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</si>
  <si>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t>
  </si>
  <si>
    <t xml:space="preserve">BLOOM CB C20 MMNA CU </t>
  </si>
  <si>
    <t>Mar'25</t>
  </si>
  <si>
    <t>CFP</t>
  </si>
  <si>
    <t>BEAM BLANK</t>
  </si>
  <si>
    <t>Q4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</si>
  <si>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</si>
  <si>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t>
  </si>
  <si>
    <t xml:space="preserve">
10th Relining carried on 28.07.22-02.08.22 which has resulted in 3510 Heats till 21.03.23.11th relining carried on from 22.03.2023-27.03.2023 which has resulted 10493 Heats till 10.03.2025.</t>
  </si>
  <si>
    <t xml:space="preserve">36 mm TMT </t>
  </si>
  <si>
    <t xml:space="preserve"> </t>
  </si>
  <si>
    <t>Qtr-4</t>
  </si>
  <si>
    <t>Durgapur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</si>
  <si>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</si>
  <si>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</si>
  <si>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</si>
  <si>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</si>
  <si>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</si>
  <si>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</si>
  <si>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</si>
  <si>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</si>
  <si>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Total Billets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</si>
  <si>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</si>
  <si>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</si>
  <si>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</si>
  <si>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</si>
  <si>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LRPC (RH) 12_13</t>
  </si>
  <si>
    <t>BILLET LRPC (RH) 9_11mm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</si>
  <si>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</si>
  <si>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</si>
  <si>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</si>
  <si>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</si>
  <si>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</si>
  <si>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</si>
  <si>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</si>
  <si>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HMNC ALK RC 150*150</t>
  </si>
  <si>
    <t>BLOOM CB C20 MMNA CU 150*150</t>
  </si>
  <si>
    <t>BLOOM CB C20 MMNC 150*150</t>
  </si>
  <si>
    <t>BLOOM CB C20 MMNC ALK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</si>
  <si>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</si>
  <si>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</si>
  <si>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</si>
  <si>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</si>
  <si>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</si>
  <si>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Same color indicates same grade but different nomenclature</t>
  </si>
  <si>
    <t>BB3 IS: 2062/2011; E250B</t>
  </si>
  <si>
    <t>BLOOM CB C20 MMNC 200*280</t>
  </si>
  <si>
    <t>BLOOM CB C25 HMN 200*280</t>
  </si>
  <si>
    <t>Sio2 %</t>
  </si>
  <si>
    <t>Al2o3 %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</si>
  <si>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</si>
  <si>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</si>
  <si>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</si>
  <si>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</si>
  <si>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</si>
  <si>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</si>
  <si>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</si>
  <si>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</si>
  <si>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</si>
  <si>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</si>
  <si>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</si>
  <si>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</si>
  <si>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</si>
  <si>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</si>
  <si>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</si>
  <si>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</si>
  <si>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</si>
  <si>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</si>
  <si>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</si>
  <si>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</si>
  <si>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</si>
  <si>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</si>
  <si>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</si>
  <si>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</si>
  <si>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</si>
  <si>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</si>
  <si>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</si>
  <si>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</si>
  <si>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</si>
  <si>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</si>
  <si>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</si>
  <si>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</si>
  <si>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2025-26 ABP</t>
  </si>
  <si>
    <t>2025-26 
Norm</t>
  </si>
  <si>
    <t>ABP 2025-26</t>
  </si>
  <si>
    <t>MAJOR TECHNO PARAMETERS 2025-26</t>
  </si>
  <si>
    <t>MAJOR TECHNO PARAMETERS 2025-2026</t>
  </si>
  <si>
    <t>MAJOR DESPATCH SUMMARY 2025-26 (As per Finance CENVAT report)</t>
  </si>
  <si>
    <t>871 Kg/THM</t>
  </si>
  <si>
    <t>ICC (AH)</t>
  </si>
  <si>
    <t>Mabu HCC trial (Hard)</t>
  </si>
  <si>
    <t>Moatize Low VM</t>
  </si>
  <si>
    <t>10.5-10.7</t>
  </si>
  <si>
    <t>&lt;=3.6</t>
  </si>
  <si>
    <t>13.4-14.1</t>
  </si>
  <si>
    <t>85.0-86.5</t>
  </si>
  <si>
    <t>7.5-8.0</t>
  </si>
  <si>
    <t>64.0-65.5</t>
  </si>
  <si>
    <t>22.5-24.0</t>
  </si>
  <si>
    <t>10.0-10.2</t>
  </si>
  <si>
    <t>25.0-25.4</t>
  </si>
  <si>
    <t>12.5-13.5</t>
  </si>
  <si>
    <t>89.0-90.5</t>
  </si>
  <si>
    <t>5.5-5.9</t>
  </si>
  <si>
    <t>67.0-68.4</t>
  </si>
  <si>
    <t>21.0-22.5</t>
  </si>
  <si>
    <t>&lt;=2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</si>
  <si>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9389 Heats till 30.04.25</t>
  </si>
  <si>
    <t xml:space="preserve">
10th Relining carried on 28.07.22-02.08.22 which has resulted in 3510 Heats till 21.03.23.11th relining carried on from 22.03.2023-27.03.2023 which has resulted 10700 Heats till 30.04.2025.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</si>
  <si>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11495 Heats till 30.04.25</t>
  </si>
  <si>
    <t>APR'25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</si>
  <si>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</si>
  <si>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</si>
  <si>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</si>
  <si>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</si>
  <si>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</si>
  <si>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</si>
  <si>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April'25</t>
  </si>
  <si>
    <t>10.0-10.5</t>
  </si>
  <si>
    <t>OLD USED &amp; REJECTED CGI SCARP SHEETS</t>
  </si>
  <si>
    <t>USED &amp; REJECTED RAILS (BOKARO)</t>
  </si>
  <si>
    <t>MIXED STRUCTURAL SCRAP(BOKARO)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</si>
  <si>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</si>
  <si>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</si>
  <si>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</si>
  <si>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</si>
  <si>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</si>
  <si>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</si>
  <si>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</si>
  <si>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BOF (22ata PRDS)</t>
  </si>
  <si>
    <t>TOTAL Aux Steam with process steam through 22 ata PRDS</t>
  </si>
  <si>
    <t>Total Shutdown Actual</t>
  </si>
  <si>
    <t>Conversion</t>
  </si>
  <si>
    <t>May'25</t>
  </si>
  <si>
    <t>Shopwise Makeup Water Distribution of ISP for FY 2025-26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</si>
  <si>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</si>
  <si>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</si>
  <si>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</si>
  <si>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</si>
  <si>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</si>
  <si>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</si>
  <si>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</si>
  <si>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</si>
  <si>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</si>
  <si>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</si>
  <si>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</si>
  <si>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</si>
  <si>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</si>
  <si>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</si>
  <si>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</si>
  <si>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</si>
  <si>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</si>
  <si>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</si>
  <si>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</si>
  <si>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</si>
  <si>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</si>
  <si>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</si>
  <si>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</si>
  <si>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</si>
  <si>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</si>
  <si>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</si>
  <si>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</si>
  <si>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</si>
  <si>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</si>
  <si>
    <t>Jun'25</t>
  </si>
  <si>
    <t>June'25</t>
  </si>
  <si>
    <t>Fe-550D EQR</t>
  </si>
  <si>
    <t xml:space="preserve">10 mm TMT Coil </t>
  </si>
  <si>
    <t>36 mm</t>
  </si>
  <si>
    <t>E - 450BR</t>
  </si>
  <si>
    <t>UC 203*203</t>
  </si>
  <si>
    <t>Rejected UC 203*203</t>
  </si>
  <si>
    <t>Column</t>
  </si>
  <si>
    <t>IS 2062 E350BO</t>
  </si>
  <si>
    <t>CHANNEL  250*82*34.20</t>
  </si>
  <si>
    <t>IS 2062 E350 BO-190/ 9.4/77.58</t>
  </si>
  <si>
    <t>IS14650CPS2062E350RC</t>
  </si>
  <si>
    <t>BB2 IS: 2062/2011; E350C (Nb)</t>
  </si>
  <si>
    <t>BB2 IS: 2062/2011; E450BR (V)</t>
  </si>
  <si>
    <t>USED &amp; REJECTED CONVEYOR BELT (NYLON)</t>
  </si>
  <si>
    <t>PAVER BLOCK COSMIC(A-0.439SQFT,THK-60MM)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</si>
  <si>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</si>
  <si>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</si>
  <si>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t>
  </si>
  <si>
    <t>10 TMTC</t>
  </si>
  <si>
    <t>FERRO SILICON</t>
  </si>
  <si>
    <t>Actual Jun'25</t>
  </si>
  <si>
    <t>Jul'25</t>
  </si>
  <si>
    <t>July'25</t>
  </si>
  <si>
    <t>UB 400</t>
  </si>
  <si>
    <t>Aug'25</t>
  </si>
  <si>
    <t>Beam</t>
  </si>
  <si>
    <t>CHANNEL  400*100*50.10</t>
  </si>
  <si>
    <t>BB2 IS: 2062/2011; E410C</t>
  </si>
  <si>
    <t>FERRO-VANADIUM</t>
  </si>
  <si>
    <t>ELECTRODE: 4MM FOR DISSIMILAR STEEL</t>
  </si>
  <si>
    <t>DISMANTLED BRASS SCRAP</t>
  </si>
  <si>
    <t>SOLAR ENERGY</t>
  </si>
  <si>
    <t>Actual Jul'25</t>
  </si>
  <si>
    <t>MLV/H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</si>
  <si>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</si>
  <si>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</si>
  <si>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t>
  </si>
  <si>
    <t>BF Slag Analysis 2025-26</t>
  </si>
  <si>
    <t>BOF Slag Analysis 2025-26</t>
  </si>
  <si>
    <t>APR 25</t>
  </si>
  <si>
    <t>MAY 25</t>
  </si>
  <si>
    <t>JUN 25</t>
  </si>
  <si>
    <t>JUL 25</t>
  </si>
  <si>
    <t>AUG 25</t>
  </si>
  <si>
    <t>SEP 25</t>
  </si>
  <si>
    <t>OCT 25</t>
  </si>
  <si>
    <t>DEC 25</t>
  </si>
  <si>
    <t>JAN 26</t>
  </si>
  <si>
    <t>FEB 26</t>
  </si>
  <si>
    <t>MAR 26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</si>
  <si>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</si>
  <si>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</si>
  <si>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t>
  </si>
  <si>
    <t>Rejected EA 150 x 12</t>
  </si>
  <si>
    <t>Billet PC115(6.5)</t>
  </si>
  <si>
    <t>BB2 IS: 2062/2011; E250A CU</t>
  </si>
  <si>
    <t>WR COIL IS 7887 GR1(CAQ) 6</t>
  </si>
  <si>
    <t>CHANNEL 300*90*36.30</t>
  </si>
  <si>
    <t>REJECTED ROLLING STOCK SCRAP</t>
  </si>
  <si>
    <t>REJECTED/BROKEN GRAPHITE ELECTRODES</t>
  </si>
  <si>
    <t>SCRAP COMPONENETS OF VEHICLE AND EQUIPTS</t>
  </si>
  <si>
    <t>REJECTED TMT BAR SCRAP(ASP)</t>
  </si>
  <si>
    <t xml:space="preserve">WR COIL IS 2062 E250A </t>
  </si>
  <si>
    <t>LS LSTONE:SIO2&lt;1.25%</t>
  </si>
  <si>
    <t>7702 (MATE. CODE. 70410400080690)</t>
  </si>
  <si>
    <t>Actual Aug'25</t>
  </si>
  <si>
    <t>Rourkela</t>
  </si>
  <si>
    <t>Other Coal</t>
  </si>
  <si>
    <t>Coke &amp; Coke Breeze</t>
  </si>
  <si>
    <t>Sep'25</t>
  </si>
  <si>
    <t>Sept'25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</si>
  <si>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</si>
  <si>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</si>
  <si>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t>
  </si>
  <si>
    <t>Gr 2(CAQ)</t>
  </si>
  <si>
    <t>UB 356*171*51</t>
  </si>
  <si>
    <t>UB 356*171*57</t>
  </si>
  <si>
    <t>BLOOM CB C20 MMNA 150*150</t>
  </si>
  <si>
    <t>BB3 IS: 2062/2011; E350C (Nb)</t>
  </si>
  <si>
    <t>IS 2062 E250BO</t>
  </si>
  <si>
    <t>UB  356*171*51</t>
  </si>
  <si>
    <t>UC 203*203*46.1</t>
  </si>
  <si>
    <t>UC  203*203*52</t>
  </si>
  <si>
    <t>UC 203*203*60</t>
  </si>
  <si>
    <t>Beam Blank</t>
  </si>
  <si>
    <t>Bloom</t>
  </si>
  <si>
    <t>POWER SAW CUTTING DUST(STEEL) WITH CHIPS</t>
  </si>
  <si>
    <t>WR COIL IS 2062 E250A 5.5/6/7 (ASP)</t>
  </si>
  <si>
    <t>FERRO CHROME,HIGH CARBON</t>
  </si>
  <si>
    <t>FERRO VANADIUM,50%MIN (BSL)</t>
  </si>
  <si>
    <t>RIVER SAND</t>
  </si>
  <si>
    <t>MAX QUAT-10( MATE. CODE 70410200040093)</t>
  </si>
  <si>
    <t>Actual Sep'25</t>
  </si>
  <si>
    <t>End Cut</t>
  </si>
  <si>
    <t>Bhilai</t>
  </si>
  <si>
    <t>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</si>
</sst>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"/>
    <numFmt numFmtId="180" formatCode="0.000000000000"/>
    <numFmt numFmtId="181" formatCode="0.00000000"/>
  </numFmts>
  <fonts count="212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sz val="11"/>
      <color rgb="FF000000"/>
      <name val="Calibri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1"/>
      <color rgb="FFC00000"/>
      <name val="Times New Roman"/>
      <family val="1"/>
    </font>
    <font>
      <b/>
      <i/>
      <sz val="18"/>
      <color rgb="FFC00000"/>
      <name val="Calibri"/>
      <family val="2"/>
      <scheme val="minor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  <font>
      <sz val="16"/>
      <name val="Times New Roman"/>
      <family val="1"/>
    </font>
    <font>
      <sz val="12"/>
      <color theme="1"/>
      <name val="Arial Narrow"/>
      <family val="2"/>
    </font>
    <font>
      <sz val="10"/>
      <color rgb="FF202124"/>
      <name val="Arial"/>
      <family val="2"/>
    </font>
  </fonts>
  <fills count="8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F9FA"/>
        <bgColor indexed="64"/>
      </patternFill>
    </fill>
  </fills>
  <borders count="18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E8EAED"/>
      </bottom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7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2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6" fillId="0" borderId="0"/>
    <xf numFmtId="0" fontId="151" fillId="0" borderId="0"/>
    <xf numFmtId="0" fontId="152" fillId="0" borderId="0"/>
    <xf numFmtId="9" fontId="152" fillId="0" borderId="0" applyFont="0" applyFill="0" applyBorder="0" applyAlignment="0" applyProtection="0"/>
    <xf numFmtId="0" fontId="159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7" fillId="0" borderId="0"/>
    <xf numFmtId="0" fontId="201" fillId="0" borderId="0"/>
    <xf numFmtId="0" fontId="203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81" fillId="0" borderId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</cellStyleXfs>
  <cellXfs count="6469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0" fillId="4" borderId="0" xfId="0" applyFill="1"/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21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0" fontId="2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1" fontId="20" fillId="8" borderId="61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2" fontId="20" fillId="7" borderId="29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45" fillId="0" borderId="1" xfId="0" applyFont="1" applyBorder="1"/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169" fontId="20" fillId="7" borderId="29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0" fontId="45" fillId="0" borderId="5" xfId="0" applyFont="1" applyBorder="1"/>
    <xf numFmtId="1" fontId="45" fillId="0" borderId="5" xfId="0" applyNumberFormat="1" applyFont="1" applyBorder="1" applyAlignment="1">
      <alignment horizontal="center" vertical="center"/>
    </xf>
    <xf numFmtId="1" fontId="45" fillId="7" borderId="5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" fontId="45" fillId="6" borderId="5" xfId="0" applyNumberFormat="1" applyFont="1" applyFill="1" applyBorder="1" applyAlignment="1">
      <alignment horizontal="center" vertical="center"/>
    </xf>
    <xf numFmtId="1" fontId="45" fillId="7" borderId="11" xfId="0" applyNumberFormat="1" applyFont="1" applyFill="1" applyBorder="1" applyAlignment="1">
      <alignment horizontal="center" vertic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47" borderId="30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67" fontId="18" fillId="8" borderId="31" xfId="0" applyNumberFormat="1" applyFont="1" applyFill="1" applyBorder="1" applyAlignment="1">
      <alignment horizontal="center"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14" fillId="0" borderId="20" xfId="0" applyFont="1" applyBorder="1" applyAlignment="1">
      <alignment horizontal="righ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167" fontId="27" fillId="8" borderId="8" xfId="0" applyNumberFormat="1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169" fontId="20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1" fontId="14" fillId="8" borderId="10" xfId="0" applyNumberFormat="1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1" fontId="45" fillId="8" borderId="5" xfId="0" applyNumberFormat="1" applyFont="1" applyFill="1" applyBorder="1" applyAlignment="1">
      <alignment horizontal="center" vertical="center"/>
    </xf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5" fillId="8" borderId="62" xfId="0" quotePrefix="1" applyNumberFormat="1" applyFont="1" applyFill="1" applyBorder="1" applyAlignment="1">
      <alignment horizontal="left" vertical="center"/>
    </xf>
    <xf numFmtId="164" fontId="136" fillId="8" borderId="62" xfId="0" quotePrefix="1" applyNumberFormat="1" applyFont="1" applyFill="1" applyBorder="1" applyAlignment="1">
      <alignment horizontal="left" vertical="center"/>
    </xf>
    <xf numFmtId="0" fontId="136" fillId="0" borderId="37" xfId="0" applyFont="1" applyBorder="1" applyAlignment="1">
      <alignment horizontal="center" vertical="center"/>
    </xf>
    <xf numFmtId="164" fontId="136" fillId="0" borderId="31" xfId="0" quotePrefix="1" applyNumberFormat="1" applyFont="1" applyBorder="1" applyAlignment="1">
      <alignment horizontal="left" vertical="center"/>
    </xf>
    <xf numFmtId="164" fontId="136" fillId="0" borderId="6" xfId="0" quotePrefix="1" applyNumberFormat="1" applyFont="1" applyBorder="1" applyAlignment="1">
      <alignment horizontal="left" vertical="center"/>
    </xf>
    <xf numFmtId="164" fontId="136" fillId="0" borderId="74" xfId="0" quotePrefix="1" applyNumberFormat="1" applyFont="1" applyBorder="1" applyAlignment="1">
      <alignment horizontal="left" vertical="center"/>
    </xf>
    <xf numFmtId="164" fontId="136" fillId="0" borderId="0" xfId="0" quotePrefix="1" applyNumberFormat="1" applyFont="1" applyAlignment="1">
      <alignment horizontal="left" vertical="center"/>
    </xf>
    <xf numFmtId="0" fontId="136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79" fillId="4" borderId="29" xfId="186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29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0" fontId="78" fillId="4" borderId="12" xfId="186" applyFont="1" applyFill="1" applyBorder="1" applyAlignment="1">
      <alignment horizontal="left" vertical="center"/>
    </xf>
    <xf numFmtId="0" fontId="78" fillId="4" borderId="6" xfId="186" applyFont="1" applyFill="1" applyBorder="1" applyAlignment="1">
      <alignment horizontal="left" vertical="center"/>
    </xf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79" fillId="4" borderId="6" xfId="186" applyNumberFormat="1" applyFont="1" applyFill="1" applyBorder="1" applyAlignment="1">
      <alignment horizontal="center" vertical="center"/>
    </xf>
    <xf numFmtId="0" fontId="145" fillId="0" borderId="63" xfId="0" applyFont="1" applyBorder="1" applyAlignment="1">
      <alignment horizontal="center" vertical="center"/>
    </xf>
    <xf numFmtId="0" fontId="145" fillId="0" borderId="41" xfId="0" applyFont="1" applyBorder="1" applyAlignment="1">
      <alignment horizontal="center" vertical="center"/>
    </xf>
    <xf numFmtId="0" fontId="145" fillId="0" borderId="31" xfId="0" applyFont="1" applyBorder="1" applyAlignment="1">
      <alignment horizontal="center" vertical="center"/>
    </xf>
    <xf numFmtId="0" fontId="145" fillId="0" borderId="10" xfId="0" applyFont="1" applyBorder="1" applyAlignment="1">
      <alignment horizontal="center" vertical="center"/>
    </xf>
    <xf numFmtId="1" fontId="138" fillId="0" borderId="10" xfId="0" applyNumberFormat="1" applyFont="1" applyBorder="1" applyAlignment="1">
      <alignment horizontal="center" vertical="center"/>
    </xf>
    <xf numFmtId="1" fontId="138" fillId="0" borderId="17" xfId="0" applyNumberFormat="1" applyFont="1" applyBorder="1" applyAlignment="1">
      <alignment horizontal="center" vertical="center"/>
    </xf>
    <xf numFmtId="0" fontId="145" fillId="0" borderId="62" xfId="0" applyFont="1" applyBorder="1" applyAlignment="1">
      <alignment horizontal="left" vertical="center"/>
    </xf>
    <xf numFmtId="0" fontId="138" fillId="0" borderId="45" xfId="0" applyFont="1" applyBorder="1" applyAlignment="1">
      <alignment horizontal="center" vertical="center"/>
    </xf>
    <xf numFmtId="0" fontId="138" fillId="0" borderId="72" xfId="0" applyFont="1" applyBorder="1" applyAlignment="1">
      <alignment horizontal="center" vertical="center"/>
    </xf>
    <xf numFmtId="0" fontId="145" fillId="0" borderId="63" xfId="0" applyFont="1" applyBorder="1" applyAlignment="1">
      <alignment horizontal="left" vertical="center"/>
    </xf>
    <xf numFmtId="0" fontId="138" fillId="0" borderId="41" xfId="0" applyFont="1" applyBorder="1" applyAlignment="1">
      <alignment horizontal="center" vertical="center"/>
    </xf>
    <xf numFmtId="0" fontId="138" fillId="0" borderId="42" xfId="0" applyFont="1" applyBorder="1" applyAlignment="1">
      <alignment horizontal="center" vertical="center"/>
    </xf>
    <xf numFmtId="0" fontId="145" fillId="0" borderId="31" xfId="0" applyFont="1" applyBorder="1" applyAlignment="1">
      <alignment horizontal="right" vertical="center"/>
    </xf>
    <xf numFmtId="2" fontId="138" fillId="0" borderId="10" xfId="0" applyNumberFormat="1" applyFont="1" applyBorder="1" applyAlignment="1">
      <alignment horizontal="center" vertical="center"/>
    </xf>
    <xf numFmtId="2" fontId="138" fillId="0" borderId="17" xfId="0" applyNumberFormat="1" applyFont="1" applyBorder="1" applyAlignment="1">
      <alignment horizontal="center" vertical="center"/>
    </xf>
    <xf numFmtId="0" fontId="145" fillId="0" borderId="32" xfId="0" applyFont="1" applyBorder="1" applyAlignment="1">
      <alignment horizontal="right" vertical="center"/>
    </xf>
    <xf numFmtId="2" fontId="138" fillId="0" borderId="23" xfId="0" applyNumberFormat="1" applyFont="1" applyBorder="1" applyAlignment="1">
      <alignment horizontal="center" vertical="center"/>
    </xf>
    <xf numFmtId="2" fontId="138" fillId="0" borderId="33" xfId="0" applyNumberFormat="1" applyFont="1" applyBorder="1" applyAlignment="1">
      <alignment horizontal="center" vertical="center"/>
    </xf>
    <xf numFmtId="1" fontId="8" fillId="8" borderId="0" xfId="0" applyNumberFormat="1" applyFont="1" applyFill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69" fontId="0" fillId="7" borderId="0" xfId="0" applyNumberFormat="1" applyFill="1" applyAlignment="1">
      <alignment horizontal="center" vertical="center"/>
    </xf>
    <xf numFmtId="169" fontId="20" fillId="7" borderId="79" xfId="0" applyNumberFormat="1" applyFont="1" applyFill="1" applyBorder="1" applyAlignment="1">
      <alignment horizontal="center" vertical="center"/>
    </xf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6" fillId="0" borderId="11" xfId="0" applyNumberFormat="1" applyFont="1" applyBorder="1" applyAlignment="1">
      <alignment horizontal="center" vertical="center"/>
    </xf>
    <xf numFmtId="1" fontId="18" fillId="0" borderId="53" xfId="0" applyNumberFormat="1" applyFont="1" applyBorder="1" applyAlignment="1">
      <alignment horizontal="center" vertical="center"/>
    </xf>
    <xf numFmtId="0" fontId="46" fillId="0" borderId="10" xfId="0" applyFont="1" applyBorder="1" applyAlignment="1">
      <alignment vertical="center"/>
    </xf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167" fontId="18" fillId="0" borderId="55" xfId="0" applyNumberFormat="1" applyFont="1" applyBorder="1" applyAlignment="1">
      <alignment horizontal="center" vertical="center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169" fontId="20" fillId="8" borderId="5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54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2" fontId="20" fillId="8" borderId="33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0" borderId="30" xfId="22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2" fontId="138" fillId="8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7" fillId="7" borderId="10" xfId="0" applyFont="1" applyFill="1" applyBorder="1" applyAlignment="1">
      <alignment horizontal="center" vertical="center"/>
    </xf>
    <xf numFmtId="0" fontId="147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7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8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8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1" fontId="14" fillId="7" borderId="86" xfId="0" applyNumberFormat="1" applyFont="1" applyFill="1" applyBorder="1" applyAlignment="1">
      <alignment horizontal="center" vertical="center"/>
    </xf>
    <xf numFmtId="167" fontId="14" fillId="8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69" fontId="20" fillId="6" borderId="79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1" fontId="20" fillId="0" borderId="66" xfId="0" applyNumberFormat="1" applyFont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9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9" fillId="8" borderId="7" xfId="0" applyNumberFormat="1" applyFont="1" applyFill="1" applyBorder="1" applyAlignment="1">
      <alignment horizontal="center" vertical="center"/>
    </xf>
    <xf numFmtId="167" fontId="149" fillId="8" borderId="6" xfId="0" applyNumberFormat="1" applyFont="1" applyFill="1" applyBorder="1" applyAlignment="1">
      <alignment horizontal="center" vertical="center"/>
    </xf>
    <xf numFmtId="0" fontId="150" fillId="8" borderId="6" xfId="0" applyFont="1" applyFill="1" applyBorder="1" applyAlignment="1">
      <alignment vertical="center"/>
    </xf>
    <xf numFmtId="167" fontId="149" fillId="8" borderId="47" xfId="0" applyNumberFormat="1" applyFont="1" applyFill="1" applyBorder="1" applyAlignment="1">
      <alignment horizontal="center" vertical="center"/>
    </xf>
    <xf numFmtId="167" fontId="150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9" fontId="80" fillId="6" borderId="10" xfId="22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0" fontId="154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1" fontId="4" fillId="50" borderId="23" xfId="0" applyNumberFormat="1" applyFont="1" applyFill="1" applyBorder="1" applyAlignment="1">
      <alignment horizontal="center" vertical="center"/>
    </xf>
    <xf numFmtId="0" fontId="155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31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6" fillId="8" borderId="10" xfId="0" applyNumberFormat="1" applyFont="1" applyFill="1" applyBorder="1" applyAlignment="1">
      <alignment horizontal="center" vertical="center"/>
    </xf>
    <xf numFmtId="0" fontId="140" fillId="0" borderId="10" xfId="376" applyFont="1" applyBorder="1" applyAlignment="1">
      <alignment horizontal="center" vertical="center"/>
    </xf>
    <xf numFmtId="0" fontId="141" fillId="0" borderId="10" xfId="376" applyFont="1" applyBorder="1" applyAlignment="1">
      <alignment horizontal="center" vertical="center"/>
    </xf>
    <xf numFmtId="0" fontId="140" fillId="0" borderId="10" xfId="376" applyFont="1" applyBorder="1" applyAlignment="1">
      <alignment wrapText="1"/>
    </xf>
    <xf numFmtId="0" fontId="140" fillId="0" borderId="10" xfId="376" applyFont="1" applyBorder="1"/>
    <xf numFmtId="0" fontId="141" fillId="0" borderId="10" xfId="376" applyFont="1" applyBorder="1"/>
    <xf numFmtId="9" fontId="0" fillId="0" borderId="0" xfId="22" applyFont="1"/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26" xfId="0" applyBorder="1"/>
    <xf numFmtId="0" fontId="7" fillId="8" borderId="30" xfId="0" applyFont="1" applyFill="1" applyBorder="1" applyAlignment="1">
      <alignment horizontal="left" vertical="center"/>
    </xf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0" fontId="140" fillId="7" borderId="10" xfId="376" applyFont="1" applyFill="1" applyBorder="1" applyAlignment="1">
      <alignment wrapText="1"/>
    </xf>
    <xf numFmtId="0" fontId="140" fillId="7" borderId="10" xfId="376" applyFont="1" applyFill="1" applyBorder="1"/>
    <xf numFmtId="2" fontId="141" fillId="7" borderId="10" xfId="376" applyNumberFormat="1" applyFont="1" applyFill="1" applyBorder="1" applyAlignment="1">
      <alignment horizontal="center" vertical="center"/>
    </xf>
    <xf numFmtId="0" fontId="140" fillId="9" borderId="10" xfId="376" applyFont="1" applyFill="1" applyBorder="1" applyAlignment="1">
      <alignment wrapText="1"/>
    </xf>
    <xf numFmtId="0" fontId="140" fillId="9" borderId="10" xfId="376" applyFont="1" applyFill="1" applyBorder="1"/>
    <xf numFmtId="2" fontId="141" fillId="9" borderId="10" xfId="376" applyNumberFormat="1" applyFont="1" applyFill="1" applyBorder="1" applyAlignment="1">
      <alignment horizontal="center" vertical="center"/>
    </xf>
    <xf numFmtId="0" fontId="140" fillId="6" borderId="10" xfId="376" applyFont="1" applyFill="1" applyBorder="1" applyAlignment="1">
      <alignment wrapText="1"/>
    </xf>
    <xf numFmtId="0" fontId="140" fillId="6" borderId="10" xfId="376" applyFont="1" applyFill="1" applyBorder="1"/>
    <xf numFmtId="2" fontId="141" fillId="6" borderId="10" xfId="376" applyNumberFormat="1" applyFont="1" applyFill="1" applyBorder="1" applyAlignment="1">
      <alignment horizontal="center" vertical="center"/>
    </xf>
    <xf numFmtId="0" fontId="140" fillId="6" borderId="117" xfId="376" applyFont="1" applyFill="1" applyBorder="1" applyAlignment="1">
      <alignment wrapText="1"/>
    </xf>
    <xf numFmtId="0" fontId="140" fillId="6" borderId="117" xfId="376" applyFont="1" applyFill="1" applyBorder="1"/>
    <xf numFmtId="2" fontId="141" fillId="6" borderId="117" xfId="376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1" fontId="12" fillId="0" borderId="0" xfId="0" applyNumberFormat="1" applyFont="1"/>
    <xf numFmtId="169" fontId="12" fillId="0" borderId="0" xfId="0" applyNumberFormat="1" applyFont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7" fillId="8" borderId="0" xfId="0" applyFont="1" applyFill="1"/>
    <xf numFmtId="0" fontId="4" fillId="0" borderId="3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7" borderId="59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62" xfId="0" applyFont="1" applyBorder="1" applyAlignment="1">
      <alignment horizontal="left" vertical="center"/>
    </xf>
    <xf numFmtId="1" fontId="7" fillId="45" borderId="11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8" borderId="23" xfId="0" applyFont="1" applyFill="1" applyBorder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2" fontId="138" fillId="8" borderId="17" xfId="0" applyNumberFormat="1" applyFont="1" applyFill="1" applyBorder="1" applyAlignment="1">
      <alignment horizontal="center" vertical="center"/>
    </xf>
    <xf numFmtId="0" fontId="54" fillId="8" borderId="0" xfId="376" applyFill="1"/>
    <xf numFmtId="0" fontId="54" fillId="8" borderId="0" xfId="376" applyFill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79" fillId="0" borderId="0" xfId="186" applyNumberFormat="1" applyFont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7" fillId="5" borderId="10" xfId="0" applyNumberFormat="1" applyFont="1" applyFill="1" applyBorder="1" applyAlignment="1">
      <alignment horizontal="center" vertical="center"/>
    </xf>
    <xf numFmtId="0" fontId="140" fillId="6" borderId="118" xfId="376" applyFont="1" applyFill="1" applyBorder="1" applyAlignment="1">
      <alignment wrapText="1"/>
    </xf>
    <xf numFmtId="0" fontId="140" fillId="6" borderId="118" xfId="376" applyFont="1" applyFill="1" applyBorder="1"/>
    <xf numFmtId="2" fontId="141" fillId="6" borderId="118" xfId="376" applyNumberFormat="1" applyFont="1" applyFill="1" applyBorder="1" applyAlignment="1">
      <alignment horizontal="center" vertical="center"/>
    </xf>
    <xf numFmtId="0" fontId="140" fillId="7" borderId="117" xfId="376" applyFont="1" applyFill="1" applyBorder="1" applyAlignment="1">
      <alignment wrapText="1"/>
    </xf>
    <xf numFmtId="0" fontId="140" fillId="7" borderId="117" xfId="376" applyFont="1" applyFill="1" applyBorder="1"/>
    <xf numFmtId="2" fontId="141" fillId="7" borderId="117" xfId="376" applyNumberFormat="1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5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1" fontId="8" fillId="8" borderId="64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8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8" fillId="4" borderId="6" xfId="186" applyNumberFormat="1" applyFont="1" applyFill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4" borderId="29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4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9" fontId="19" fillId="7" borderId="118" xfId="22" applyFont="1" applyFill="1" applyBorder="1" applyAlignment="1">
      <alignment horizontal="center" vertical="center"/>
    </xf>
    <xf numFmtId="9" fontId="19" fillId="5" borderId="118" xfId="22" applyFont="1" applyFill="1" applyBorder="1" applyAlignment="1">
      <alignment horizontal="center" vertical="center"/>
    </xf>
    <xf numFmtId="9" fontId="19" fillId="6" borderId="118" xfId="22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center"/>
    </xf>
    <xf numFmtId="0" fontId="112" fillId="7" borderId="118" xfId="0" applyFont="1" applyFill="1" applyBorder="1"/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12" fillId="0" borderId="118" xfId="0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9" fontId="19" fillId="4" borderId="118" xfId="22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" fontId="14" fillId="8" borderId="118" xfId="0" applyNumberFormat="1" applyFont="1" applyFill="1" applyBorder="1" applyAlignment="1">
      <alignment horizontal="center" vertical="center"/>
    </xf>
    <xf numFmtId="1" fontId="27" fillId="6" borderId="118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1" fontId="27" fillId="5" borderId="119" xfId="0" applyNumberFormat="1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0" fontId="21" fillId="45" borderId="41" xfId="0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140" fillId="5" borderId="10" xfId="376" applyFont="1" applyFill="1" applyBorder="1" applyAlignment="1">
      <alignment wrapText="1"/>
    </xf>
    <xf numFmtId="0" fontId="140" fillId="5" borderId="10" xfId="376" applyFont="1" applyFill="1" applyBorder="1"/>
    <xf numFmtId="2" fontId="141" fillId="5" borderId="10" xfId="376" applyNumberFormat="1" applyFont="1" applyFill="1" applyBorder="1" applyAlignment="1">
      <alignment horizontal="center" vertical="center"/>
    </xf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0" fontId="109" fillId="8" borderId="63" xfId="0" applyFont="1" applyFill="1" applyBorder="1" applyAlignment="1">
      <alignment horizontal="left" vertical="center"/>
    </xf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0" fontId="81" fillId="0" borderId="0" xfId="536" applyFont="1"/>
    <xf numFmtId="0" fontId="0" fillId="0" borderId="118" xfId="0" applyBorder="1" applyAlignment="1">
      <alignment horizontal="center" vertical="center"/>
    </xf>
    <xf numFmtId="2" fontId="165" fillId="0" borderId="118" xfId="0" applyNumberFormat="1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1" fontId="0" fillId="32" borderId="118" xfId="0" applyNumberFormat="1" applyFill="1" applyBorder="1" applyAlignment="1">
      <alignment horizontal="center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45" fillId="8" borderId="118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1" fontId="45" fillId="8" borderId="118" xfId="0" applyNumberFormat="1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" fontId="14" fillId="0" borderId="120" xfId="0" applyNumberFormat="1" applyFont="1" applyBorder="1" applyAlignment="1">
      <alignment horizontal="center" vertical="center"/>
    </xf>
    <xf numFmtId="167" fontId="27" fillId="0" borderId="118" xfId="0" applyNumberFormat="1" applyFont="1" applyBorder="1" applyAlignment="1">
      <alignment horizontal="center" vertical="center"/>
    </xf>
    <xf numFmtId="1" fontId="27" fillId="0" borderId="118" xfId="0" applyNumberFormat="1" applyFont="1" applyBorder="1" applyAlignment="1">
      <alignment horizontal="center" vertical="center"/>
    </xf>
    <xf numFmtId="1" fontId="27" fillId="8" borderId="118" xfId="0" applyNumberFormat="1" applyFont="1" applyFill="1" applyBorder="1" applyAlignment="1">
      <alignment horizontal="center" vertical="center"/>
    </xf>
    <xf numFmtId="0" fontId="169" fillId="0" borderId="0" xfId="0" applyFont="1" applyAlignment="1">
      <alignment wrapText="1"/>
    </xf>
    <xf numFmtId="0" fontId="169" fillId="0" borderId="0" xfId="0" applyFont="1" applyAlignment="1">
      <alignment horizontal="center" vertical="center" wrapText="1"/>
    </xf>
    <xf numFmtId="1" fontId="169" fillId="0" borderId="0" xfId="0" applyNumberFormat="1" applyFont="1" applyAlignment="1">
      <alignment wrapText="1"/>
    </xf>
    <xf numFmtId="0" fontId="169" fillId="0" borderId="30" xfId="0" applyFont="1" applyBorder="1" applyAlignment="1">
      <alignment horizontal="center" vertical="center" wrapText="1"/>
    </xf>
    <xf numFmtId="0" fontId="171" fillId="8" borderId="30" xfId="0" applyFont="1" applyFill="1" applyBorder="1" applyAlignment="1">
      <alignment vertical="center" wrapText="1"/>
    </xf>
    <xf numFmtId="0" fontId="169" fillId="0" borderId="30" xfId="0" applyFont="1" applyBorder="1" applyAlignment="1">
      <alignment horizontal="left" wrapText="1" indent="1"/>
    </xf>
    <xf numFmtId="0" fontId="169" fillId="0" borderId="8" xfId="0" applyFont="1" applyBorder="1" applyAlignment="1">
      <alignment horizontal="left" wrapText="1" indent="1"/>
    </xf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167" fontId="20" fillId="7" borderId="90" xfId="0" applyNumberFormat="1" applyFont="1" applyFill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2" fontId="7" fillId="7" borderId="17" xfId="0" applyNumberFormat="1" applyFont="1" applyFill="1" applyBorder="1" applyAlignment="1">
      <alignment horizontal="center" vertical="center"/>
    </xf>
    <xf numFmtId="2" fontId="165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6" fillId="8" borderId="76" xfId="0" quotePrefix="1" applyNumberFormat="1" applyFont="1" applyFill="1" applyBorder="1" applyAlignment="1">
      <alignment horizontal="left" vertical="center"/>
    </xf>
    <xf numFmtId="164" fontId="136" fillId="8" borderId="39" xfId="0" quotePrefix="1" applyNumberFormat="1" applyFont="1" applyFill="1" applyBorder="1" applyAlignment="1">
      <alignment horizontal="left" vertical="center"/>
    </xf>
    <xf numFmtId="0" fontId="136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6" fillId="8" borderId="122" xfId="0" quotePrefix="1" applyNumberFormat="1" applyFont="1" applyFill="1" applyBorder="1" applyAlignment="1">
      <alignment horizontal="left" vertical="center"/>
    </xf>
    <xf numFmtId="0" fontId="136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6" fillId="0" borderId="123" xfId="0" applyFont="1" applyBorder="1" applyAlignment="1">
      <alignment horizontal="center" vertical="center"/>
    </xf>
    <xf numFmtId="164" fontId="136" fillId="0" borderId="32" xfId="0" quotePrefix="1" applyNumberFormat="1" applyFont="1" applyBorder="1" applyAlignment="1">
      <alignment horizontal="left" vertical="center"/>
    </xf>
    <xf numFmtId="164" fontId="136" fillId="0" borderId="49" xfId="0" quotePrefix="1" applyNumberFormat="1" applyFont="1" applyBorder="1" applyAlignment="1">
      <alignment horizontal="left" vertical="center"/>
    </xf>
    <xf numFmtId="0" fontId="136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5" fillId="8" borderId="76" xfId="0" quotePrefix="1" applyNumberFormat="1" applyFont="1" applyFill="1" applyBorder="1" applyAlignment="1">
      <alignment horizontal="left" vertical="center"/>
    </xf>
    <xf numFmtId="0" fontId="134" fillId="8" borderId="39" xfId="0" applyFont="1" applyFill="1" applyBorder="1" applyAlignment="1">
      <alignment horizontal="left" vertical="center"/>
    </xf>
    <xf numFmtId="0" fontId="135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4" fillId="8" borderId="122" xfId="0" applyFont="1" applyFill="1" applyBorder="1" applyAlignment="1">
      <alignment horizontal="left" vertical="center"/>
    </xf>
    <xf numFmtId="0" fontId="135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4" fillId="0" borderId="122" xfId="0" applyFont="1" applyBorder="1" applyAlignment="1">
      <alignment horizontal="left" vertical="center"/>
    </xf>
    <xf numFmtId="164" fontId="135" fillId="0" borderId="32" xfId="0" quotePrefix="1" applyNumberFormat="1" applyFont="1" applyBorder="1" applyAlignment="1">
      <alignment horizontal="left" vertical="center"/>
    </xf>
    <xf numFmtId="0" fontId="134" fillId="0" borderId="49" xfId="0" applyFont="1" applyBorder="1" applyAlignment="1">
      <alignment horizontal="left" vertical="center"/>
    </xf>
    <xf numFmtId="0" fontId="135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0" fontId="32" fillId="8" borderId="23" xfId="0" applyFont="1" applyFill="1" applyBorder="1" applyAlignment="1">
      <alignment horizontal="center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8" borderId="30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8" borderId="5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0" fontId="4" fillId="0" borderId="31" xfId="0" applyFont="1" applyBorder="1" applyAlignment="1">
      <alignment horizontal="left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168" fontId="20" fillId="0" borderId="32" xfId="0" applyNumberFormat="1" applyFont="1" applyBorder="1" applyAlignment="1">
      <alignment horizontal="right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1" fontId="4" fillId="8" borderId="59" xfId="0" applyNumberFormat="1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4" fillId="0" borderId="27" xfId="0" applyNumberFormat="1" applyFont="1" applyBorder="1" applyAlignment="1">
      <alignment horizontal="center" vertical="center"/>
    </xf>
    <xf numFmtId="2" fontId="4" fillId="8" borderId="32" xfId="0" applyNumberFormat="1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8" borderId="32" xfId="0" applyFont="1" applyFill="1" applyBorder="1" applyAlignment="1">
      <alignment horizontal="left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11" fillId="8" borderId="80" xfId="0" applyFont="1" applyFill="1" applyBorder="1" applyAlignment="1">
      <alignment horizontal="center" vertical="center"/>
    </xf>
    <xf numFmtId="0" fontId="7" fillId="0" borderId="63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2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1" fontId="19" fillId="50" borderId="33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71" fontId="12" fillId="0" borderId="0" xfId="22" applyNumberFormat="1" applyFont="1"/>
    <xf numFmtId="0" fontId="26" fillId="0" borderId="0" xfId="0" applyFont="1"/>
    <xf numFmtId="0" fontId="181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1" fillId="5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 indent="1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0" borderId="120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left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8" borderId="47" xfId="0" quotePrefix="1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0" borderId="17" xfId="0" quotePrefix="1" applyFont="1" applyBorder="1" applyAlignment="1">
      <alignment horizontal="left" vertical="center" wrapText="1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9" fillId="8" borderId="0" xfId="0" applyFont="1" applyFill="1"/>
    <xf numFmtId="0" fontId="21" fillId="54" borderId="10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1" fontId="21" fillId="54" borderId="10" xfId="0" applyNumberFormat="1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167" fontId="21" fillId="54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9" fillId="54" borderId="41" xfId="0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horizontal="center"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54" borderId="23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54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horizontal="center"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1" fontId="20" fillId="54" borderId="46" xfId="0" applyNumberFormat="1" applyFont="1" applyFill="1" applyBorder="1" applyAlignment="1">
      <alignment vertical="center"/>
    </xf>
    <xf numFmtId="1" fontId="20" fillId="54" borderId="118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54" borderId="10" xfId="0" applyFont="1" applyFill="1" applyBorder="1" applyAlignment="1">
      <alignment horizontal="center" vertical="center"/>
    </xf>
    <xf numFmtId="1" fontId="20" fillId="54" borderId="118" xfId="0" applyNumberFormat="1" applyFont="1" applyFill="1" applyBorder="1" applyAlignment="1">
      <alignment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" fontId="20" fillId="54" borderId="117" xfId="0" applyNumberFormat="1" applyFont="1" applyFill="1" applyBorder="1" applyAlignment="1">
      <alignment vertical="center"/>
    </xf>
    <xf numFmtId="0" fontId="20" fillId="54" borderId="23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" fontId="48" fillId="54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45" fillId="54" borderId="10" xfId="0" applyFont="1" applyFill="1" applyBorder="1"/>
    <xf numFmtId="1" fontId="45" fillId="54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0" fontId="29" fillId="54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" fontId="45" fillId="54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54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0" fontId="48" fillId="54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1" fontId="20" fillId="0" borderId="18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" fontId="20" fillId="0" borderId="20" xfId="0" applyNumberFormat="1" applyFont="1" applyBorder="1" applyAlignment="1">
      <alignment horizontal="center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1" fontId="21" fillId="54" borderId="10" xfId="0" applyNumberFormat="1" applyFont="1" applyFill="1" applyBorder="1" applyAlignment="1">
      <alignment vertical="center"/>
    </xf>
    <xf numFmtId="0" fontId="0" fillId="0" borderId="45" xfId="0" applyBorder="1"/>
    <xf numFmtId="0" fontId="0" fillId="54" borderId="45" xfId="0" applyFill="1" applyBorder="1"/>
    <xf numFmtId="0" fontId="21" fillId="8" borderId="63" xfId="0" applyFont="1" applyFill="1" applyBorder="1" applyAlignment="1">
      <alignment horizontal="left" vertical="center"/>
    </xf>
    <xf numFmtId="0" fontId="0" fillId="54" borderId="41" xfId="0" applyFill="1" applyBorder="1"/>
    <xf numFmtId="0" fontId="0" fillId="54" borderId="42" xfId="0" applyFill="1" applyBorder="1"/>
    <xf numFmtId="0" fontId="0" fillId="54" borderId="10" xfId="0" applyFill="1" applyBorder="1"/>
    <xf numFmtId="0" fontId="0" fillId="54" borderId="17" xfId="0" applyFill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1" fontId="20" fillId="4" borderId="10" xfId="0" applyNumberFormat="1" applyFont="1" applyFill="1" applyBorder="1" applyAlignment="1">
      <alignment horizontal="center" vertical="center"/>
    </xf>
    <xf numFmtId="0" fontId="150" fillId="7" borderId="10" xfId="0" applyFont="1" applyFill="1" applyBorder="1" applyAlignment="1">
      <alignment vertical="center"/>
    </xf>
    <xf numFmtId="0" fontId="150" fillId="5" borderId="10" xfId="0" applyFont="1" applyFill="1" applyBorder="1" applyAlignment="1">
      <alignment vertical="center"/>
    </xf>
    <xf numFmtId="0" fontId="150" fillId="54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20" fillId="54" borderId="10" xfId="0" applyFont="1" applyFill="1" applyBorder="1" applyAlignment="1">
      <alignment vertical="center"/>
    </xf>
    <xf numFmtId="1" fontId="21" fillId="54" borderId="23" xfId="0" applyNumberFormat="1" applyFont="1" applyFill="1" applyBorder="1" applyAlignment="1">
      <alignment horizontal="center" vertical="center"/>
    </xf>
    <xf numFmtId="0" fontId="48" fillId="8" borderId="10" xfId="0" applyFont="1" applyFill="1" applyBorder="1"/>
    <xf numFmtId="0" fontId="36" fillId="0" borderId="0" xfId="0" applyFont="1"/>
    <xf numFmtId="0" fontId="182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84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7" borderId="0" xfId="0" applyFont="1" applyFill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18" fillId="5" borderId="118" xfId="0" applyNumberFormat="1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7" fillId="0" borderId="30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0" fillId="0" borderId="0" xfId="22" applyNumberFormat="1" applyFont="1"/>
    <xf numFmtId="169" fontId="45" fillId="0" borderId="0" xfId="0" applyNumberFormat="1" applyFont="1"/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horizontal="left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0" fontId="7" fillId="8" borderId="62" xfId="0" applyFont="1" applyFill="1" applyBorder="1" applyAlignment="1">
      <alignment horizontal="left" vertical="center"/>
    </xf>
    <xf numFmtId="0" fontId="7" fillId="8" borderId="45" xfId="0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ill="1" applyBorder="1"/>
    <xf numFmtId="0" fontId="0" fillId="8" borderId="42" xfId="0" applyFill="1" applyBorder="1"/>
    <xf numFmtId="0" fontId="27" fillId="0" borderId="2" xfId="0" applyFont="1" applyBorder="1" applyAlignment="1">
      <alignment vertical="center"/>
    </xf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" fontId="27" fillId="7" borderId="8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" fontId="27" fillId="5" borderId="48" xfId="0" applyNumberFormat="1" applyFont="1" applyFill="1" applyBorder="1" applyAlignment="1">
      <alignment horizontal="center" vertical="center"/>
    </xf>
    <xf numFmtId="1" fontId="27" fillId="5" borderId="53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14" fillId="8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1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1" fontId="14" fillId="5" borderId="42" xfId="0" applyNumberFormat="1" applyFont="1" applyFill="1" applyBorder="1" applyAlignment="1">
      <alignment horizontal="center" vertical="center"/>
    </xf>
    <xf numFmtId="171" fontId="20" fillId="8" borderId="118" xfId="0" applyNumberFormat="1" applyFont="1" applyFill="1" applyBorder="1" applyAlignment="1">
      <alignment horizontal="center" vertical="center"/>
    </xf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0" fontId="20" fillId="0" borderId="64" xfId="0" applyFont="1" applyBorder="1" applyAlignment="1">
      <alignment horizontal="left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1" fontId="20" fillId="54" borderId="45" xfId="0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left" vertical="top"/>
    </xf>
    <xf numFmtId="169" fontId="12" fillId="7" borderId="42" xfId="0" applyNumberFormat="1" applyFont="1" applyFill="1" applyBorder="1" applyAlignment="1">
      <alignment horizontal="center" vertical="center"/>
    </xf>
    <xf numFmtId="169" fontId="12" fillId="0" borderId="42" xfId="0" applyNumberFormat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0" fillId="32" borderId="0" xfId="0" applyFill="1"/>
    <xf numFmtId="1" fontId="0" fillId="7" borderId="0" xfId="0" applyNumberFormat="1" applyFill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48" fillId="54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1" fontId="21" fillId="54" borderId="118" xfId="0" applyNumberFormat="1" applyFont="1" applyFill="1" applyBorder="1" applyAlignment="1">
      <alignment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79" fontId="17" fillId="0" borderId="17" xfId="0" applyNumberFormat="1" applyFont="1" applyBorder="1" applyAlignment="1">
      <alignment horizontal="center"/>
    </xf>
    <xf numFmtId="167" fontId="18" fillId="8" borderId="17" xfId="0" applyNumberFormat="1" applyFont="1" applyFill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3" fillId="5" borderId="10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7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86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8" xfId="0" applyNumberFormat="1" applyFont="1" applyFill="1" applyBorder="1" applyAlignment="1">
      <alignment horizontal="center" vertical="center"/>
    </xf>
    <xf numFmtId="1" fontId="20" fillId="54" borderId="127" xfId="0" applyNumberFormat="1" applyFont="1" applyFill="1" applyBorder="1" applyAlignment="1">
      <alignment vertical="center"/>
    </xf>
    <xf numFmtId="1" fontId="20" fillId="5" borderId="127" xfId="0" applyNumberFormat="1" applyFont="1" applyFill="1" applyBorder="1" applyAlignment="1">
      <alignment vertical="center"/>
    </xf>
    <xf numFmtId="1" fontId="20" fillId="7" borderId="127" xfId="0" applyNumberFormat="1" applyFont="1" applyFill="1" applyBorder="1" applyAlignment="1">
      <alignment vertical="center"/>
    </xf>
    <xf numFmtId="1" fontId="20" fillId="0" borderId="127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86" fillId="8" borderId="0" xfId="186" applyNumberFormat="1" applyFont="1" applyFill="1" applyAlignment="1">
      <alignment horizontal="center" vertical="center"/>
    </xf>
    <xf numFmtId="1" fontId="19" fillId="0" borderId="0" xfId="186" applyNumberFormat="1" applyFont="1"/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1" fontId="18" fillId="45" borderId="29" xfId="186" applyNumberFormat="1" applyFont="1" applyFill="1" applyBorder="1" applyAlignment="1">
      <alignment horizontal="center" vertical="top"/>
    </xf>
    <xf numFmtId="1" fontId="18" fillId="45" borderId="33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7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0" borderId="52" xfId="186" applyFont="1" applyBorder="1" applyAlignment="1">
      <alignment horizontal="left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67" fontId="14" fillId="6" borderId="41" xfId="0" applyNumberFormat="1" applyFont="1" applyFill="1" applyBorder="1" applyAlignment="1">
      <alignment horizontal="center" vertical="center"/>
    </xf>
    <xf numFmtId="1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horizontal="center" vertical="center"/>
    </xf>
    <xf numFmtId="1" fontId="21" fillId="5" borderId="129" xfId="0" applyNumberFormat="1" applyFont="1" applyFill="1" applyBorder="1" applyAlignment="1">
      <alignment horizontal="center" vertical="center"/>
    </xf>
    <xf numFmtId="1" fontId="20" fillId="7" borderId="129" xfId="0" applyNumberFormat="1" applyFont="1" applyFill="1" applyBorder="1" applyAlignment="1">
      <alignment horizontal="center" vertical="center"/>
    </xf>
    <xf numFmtId="1" fontId="21" fillId="7" borderId="129" xfId="0" applyNumberFormat="1" applyFont="1" applyFill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29" xfId="0" applyNumberFormat="1" applyFont="1" applyFill="1" applyBorder="1" applyAlignment="1">
      <alignment horizontal="center" vertical="center"/>
    </xf>
    <xf numFmtId="1" fontId="21" fillId="6" borderId="129" xfId="0" applyNumberFormat="1" applyFont="1" applyFill="1" applyBorder="1" applyAlignment="1">
      <alignment horizontal="center" vertical="center"/>
    </xf>
    <xf numFmtId="1" fontId="20" fillId="8" borderId="129" xfId="0" applyNumberFormat="1" applyFont="1" applyFill="1" applyBorder="1" applyAlignment="1">
      <alignment horizontal="center" vertical="center"/>
    </xf>
    <xf numFmtId="0" fontId="20" fillId="8" borderId="29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47" xfId="0" applyFont="1" applyFill="1" applyBorder="1" applyAlignment="1">
      <alignment horizontal="center" vertical="center"/>
    </xf>
    <xf numFmtId="1" fontId="20" fillId="8" borderId="37" xfId="0" applyNumberFormat="1" applyFont="1" applyFill="1" applyBorder="1" applyAlignment="1">
      <alignment horizontal="center" vertical="center"/>
    </xf>
    <xf numFmtId="1" fontId="20" fillId="8" borderId="65" xfId="0" applyNumberFormat="1" applyFont="1" applyFill="1" applyBorder="1" applyAlignment="1">
      <alignment horizontal="center" vertical="center"/>
    </xf>
    <xf numFmtId="167" fontId="20" fillId="0" borderId="45" xfId="0" applyNumberFormat="1" applyFont="1" applyBorder="1" applyAlignment="1">
      <alignment horizontal="center" vertical="center"/>
    </xf>
    <xf numFmtId="167" fontId="20" fillId="7" borderId="36" xfId="0" applyNumberFormat="1" applyFont="1" applyFill="1" applyBorder="1" applyAlignment="1">
      <alignment horizontal="center" vertical="center"/>
    </xf>
    <xf numFmtId="167" fontId="20" fillId="6" borderId="45" xfId="0" applyNumberFormat="1" applyFont="1" applyFill="1" applyBorder="1" applyAlignment="1">
      <alignment horizontal="center" vertical="center"/>
    </xf>
    <xf numFmtId="167" fontId="20" fillId="8" borderId="45" xfId="0" applyNumberFormat="1" applyFont="1" applyFill="1" applyBorder="1" applyAlignment="1">
      <alignment horizontal="center" vertical="center"/>
    </xf>
    <xf numFmtId="167" fontId="20" fillId="0" borderId="1" xfId="0" applyNumberFormat="1" applyFont="1" applyBorder="1" applyAlignment="1">
      <alignment horizontal="center" vertical="center"/>
    </xf>
    <xf numFmtId="167" fontId="20" fillId="0" borderId="5" xfId="0" applyNumberFormat="1" applyFont="1" applyBorder="1" applyAlignment="1">
      <alignment horizontal="center" vertical="center"/>
    </xf>
    <xf numFmtId="167" fontId="20" fillId="7" borderId="5" xfId="0" applyNumberFormat="1" applyFont="1" applyFill="1" applyBorder="1" applyAlignment="1">
      <alignment horizontal="center" vertical="center"/>
    </xf>
    <xf numFmtId="167" fontId="20" fillId="5" borderId="5" xfId="0" applyNumberFormat="1" applyFont="1" applyFill="1" applyBorder="1" applyAlignment="1">
      <alignment horizontal="center" vertical="center"/>
    </xf>
    <xf numFmtId="167" fontId="20" fillId="6" borderId="5" xfId="0" applyNumberFormat="1" applyFont="1" applyFill="1" applyBorder="1" applyAlignment="1">
      <alignment horizontal="center" vertical="center"/>
    </xf>
    <xf numFmtId="167" fontId="20" fillId="8" borderId="5" xfId="0" applyNumberFormat="1" applyFont="1" applyFill="1" applyBorder="1" applyAlignment="1">
      <alignment horizontal="center" vertical="center"/>
    </xf>
    <xf numFmtId="1" fontId="20" fillId="45" borderId="1" xfId="0" applyNumberFormat="1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0" borderId="48" xfId="0" applyNumberFormat="1" applyFont="1" applyBorder="1" applyAlignment="1">
      <alignment horizontal="center" vertical="center"/>
    </xf>
    <xf numFmtId="1" fontId="20" fillId="0" borderId="37" xfId="0" applyNumberFormat="1" applyFont="1" applyBorder="1" applyAlignment="1">
      <alignment horizontal="center" vertical="center"/>
    </xf>
    <xf numFmtId="1" fontId="20" fillId="0" borderId="65" xfId="0" applyNumberFormat="1" applyFont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0" borderId="32" xfId="0" applyNumberFormat="1" applyFont="1" applyBorder="1" applyAlignment="1">
      <alignment horizontal="center" vertical="center"/>
    </xf>
    <xf numFmtId="169" fontId="20" fillId="7" borderId="23" xfId="0" applyNumberFormat="1" applyFont="1" applyFill="1" applyBorder="1" applyAlignment="1">
      <alignment horizontal="center" vertical="center"/>
    </xf>
    <xf numFmtId="169" fontId="20" fillId="5" borderId="23" xfId="0" applyNumberFormat="1" applyFont="1" applyFill="1" applyBorder="1" applyAlignment="1">
      <alignment horizontal="center" vertical="center"/>
    </xf>
    <xf numFmtId="169" fontId="20" fillId="6" borderId="23" xfId="0" applyNumberFormat="1" applyFont="1" applyFill="1" applyBorder="1" applyAlignment="1">
      <alignment horizontal="center" vertical="center"/>
    </xf>
    <xf numFmtId="169" fontId="20" fillId="8" borderId="23" xfId="0" applyNumberFormat="1" applyFont="1" applyFill="1" applyBorder="1" applyAlignment="1">
      <alignment horizontal="center" vertical="center"/>
    </xf>
    <xf numFmtId="169" fontId="20" fillId="6" borderId="41" xfId="0" applyNumberFormat="1" applyFont="1" applyFill="1" applyBorder="1" applyAlignment="1">
      <alignment horizontal="center" vertical="center"/>
    </xf>
    <xf numFmtId="169" fontId="20" fillId="7" borderId="1" xfId="0" applyNumberFormat="1" applyFont="1" applyFill="1" applyBorder="1" applyAlignment="1">
      <alignment horizontal="center" vertical="center"/>
    </xf>
    <xf numFmtId="169" fontId="20" fillId="7" borderId="25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7" borderId="25" xfId="0" applyNumberFormat="1" applyFont="1" applyFill="1" applyBorder="1" applyAlignment="1">
      <alignment horizontal="center" vertical="center"/>
    </xf>
    <xf numFmtId="1" fontId="20" fillId="7" borderId="67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76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5" xfId="0" applyFill="1" applyBorder="1" applyAlignment="1">
      <alignment horizontal="center" vertical="center"/>
    </xf>
    <xf numFmtId="0" fontId="0" fillId="8" borderId="76" xfId="0" applyFill="1" applyBorder="1" applyAlignment="1">
      <alignment horizontal="center" vertical="center"/>
    </xf>
    <xf numFmtId="0" fontId="0" fillId="8" borderId="80" xfId="0" applyFill="1" applyBorder="1" applyAlignment="1">
      <alignment horizontal="center" vertical="center"/>
    </xf>
    <xf numFmtId="0" fontId="0" fillId="8" borderId="86" xfId="0" applyFill="1" applyBorder="1" applyAlignment="1">
      <alignment horizontal="center" vertical="center"/>
    </xf>
    <xf numFmtId="2" fontId="20" fillId="8" borderId="63" xfId="0" applyNumberFormat="1" applyFont="1" applyFill="1" applyBorder="1" applyAlignment="1">
      <alignment horizontal="center" vertical="center"/>
    </xf>
    <xf numFmtId="167" fontId="20" fillId="7" borderId="3" xfId="0" applyNumberFormat="1" applyFont="1" applyFill="1" applyBorder="1" applyAlignment="1">
      <alignment horizontal="center" vertical="center"/>
    </xf>
    <xf numFmtId="2" fontId="20" fillId="6" borderId="41" xfId="0" applyNumberFormat="1" applyFont="1" applyFill="1" applyBorder="1" applyAlignment="1">
      <alignment horizontal="center" vertical="center"/>
    </xf>
    <xf numFmtId="167" fontId="20" fillId="45" borderId="63" xfId="0" applyNumberFormat="1" applyFont="1" applyFill="1" applyBorder="1" applyAlignment="1">
      <alignment horizontal="center" vertical="center"/>
    </xf>
    <xf numFmtId="167" fontId="20" fillId="45" borderId="41" xfId="0" applyNumberFormat="1" applyFont="1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2" fontId="20" fillId="7" borderId="30" xfId="0" applyNumberFormat="1" applyFont="1" applyFill="1" applyBorder="1" applyAlignment="1">
      <alignment horizontal="center" vertical="center"/>
    </xf>
    <xf numFmtId="167" fontId="20" fillId="45" borderId="31" xfId="0" applyNumberFormat="1" applyFont="1" applyFill="1" applyBorder="1" applyAlignment="1">
      <alignment horizontal="center" vertical="center"/>
    </xf>
    <xf numFmtId="167" fontId="20" fillId="45" borderId="118" xfId="0" applyNumberFormat="1" applyFont="1" applyFill="1" applyBorder="1" applyAlignment="1">
      <alignment horizontal="center" vertical="center"/>
    </xf>
    <xf numFmtId="169" fontId="20" fillId="45" borderId="31" xfId="0" applyNumberFormat="1" applyFont="1" applyFill="1" applyBorder="1" applyAlignment="1">
      <alignment horizontal="center" vertical="center"/>
    </xf>
    <xf numFmtId="169" fontId="20" fillId="45" borderId="118" xfId="0" applyNumberFormat="1" applyFont="1" applyFill="1" applyBorder="1" applyAlignment="1">
      <alignment horizontal="center" vertical="center"/>
    </xf>
    <xf numFmtId="1" fontId="20" fillId="0" borderId="119" xfId="0" applyNumberFormat="1" applyFont="1" applyBorder="1" applyAlignment="1">
      <alignment horizontal="center" vertical="center"/>
    </xf>
    <xf numFmtId="1" fontId="20" fillId="7" borderId="119" xfId="0" applyNumberFormat="1" applyFont="1" applyFill="1" applyBorder="1" applyAlignment="1">
      <alignment horizontal="center" vertical="center"/>
    </xf>
    <xf numFmtId="2" fontId="20" fillId="7" borderId="119" xfId="0" applyNumberFormat="1" applyFont="1" applyFill="1" applyBorder="1" applyAlignment="1">
      <alignment horizontal="center" vertical="center"/>
    </xf>
    <xf numFmtId="2" fontId="20" fillId="45" borderId="31" xfId="0" applyNumberFormat="1" applyFont="1" applyFill="1" applyBorder="1" applyAlignment="1">
      <alignment horizontal="center" vertical="center"/>
    </xf>
    <xf numFmtId="2" fontId="20" fillId="45" borderId="118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30" xfId="0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1" fontId="45" fillId="7" borderId="118" xfId="0" applyNumberFormat="1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45" fillId="8" borderId="23" xfId="0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center"/>
    </xf>
    <xf numFmtId="1" fontId="20" fillId="0" borderId="130" xfId="0" applyNumberFormat="1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1" fontId="20" fillId="0" borderId="129" xfId="0" applyNumberFormat="1" applyFont="1" applyBorder="1" applyAlignment="1">
      <alignment horizontal="center" vertical="center"/>
    </xf>
    <xf numFmtId="2" fontId="20" fillId="0" borderId="129" xfId="0" applyNumberFormat="1" applyFont="1" applyBorder="1" applyAlignment="1">
      <alignment horizontal="center" vertical="center"/>
    </xf>
    <xf numFmtId="167" fontId="20" fillId="7" borderId="129" xfId="0" applyNumberFormat="1" applyFont="1" applyFill="1" applyBorder="1" applyAlignment="1">
      <alignment vertical="center"/>
    </xf>
    <xf numFmtId="1" fontId="20" fillId="5" borderId="129" xfId="0" applyNumberFormat="1" applyFont="1" applyFill="1" applyBorder="1" applyAlignment="1">
      <alignment vertical="center"/>
    </xf>
    <xf numFmtId="167" fontId="20" fillId="7" borderId="129" xfId="0" applyNumberFormat="1" applyFont="1" applyFill="1" applyBorder="1" applyAlignment="1">
      <alignment horizontal="center" vertical="center"/>
    </xf>
    <xf numFmtId="1" fontId="19" fillId="5" borderId="129" xfId="0" applyNumberFormat="1" applyFont="1" applyFill="1" applyBorder="1" applyAlignment="1">
      <alignment horizontal="center" vertical="center"/>
    </xf>
    <xf numFmtId="1" fontId="19" fillId="6" borderId="129" xfId="0" applyNumberFormat="1" applyFont="1" applyFill="1" applyBorder="1" applyAlignment="1">
      <alignment horizontal="center" vertical="center"/>
    </xf>
    <xf numFmtId="167" fontId="18" fillId="7" borderId="129" xfId="0" applyNumberFormat="1" applyFont="1" applyFill="1" applyBorder="1" applyAlignment="1">
      <alignment vertical="center"/>
    </xf>
    <xf numFmtId="1" fontId="18" fillId="5" borderId="129" xfId="0" applyNumberFormat="1" applyFont="1" applyFill="1" applyBorder="1" applyAlignment="1">
      <alignment vertical="center"/>
    </xf>
    <xf numFmtId="0" fontId="19" fillId="8" borderId="129" xfId="0" applyFont="1" applyFill="1" applyBorder="1" applyAlignment="1">
      <alignment vertical="center"/>
    </xf>
    <xf numFmtId="1" fontId="20" fillId="7" borderId="129" xfId="0" applyNumberFormat="1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29" xfId="0" applyFont="1" applyFill="1" applyBorder="1" applyAlignment="1">
      <alignment horizontal="left" vertical="center"/>
    </xf>
    <xf numFmtId="1" fontId="20" fillId="0" borderId="129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5" borderId="131" xfId="0" applyNumberFormat="1" applyFont="1" applyFill="1" applyBorder="1" applyAlignment="1">
      <alignment vertical="center"/>
    </xf>
    <xf numFmtId="1" fontId="20" fillId="6" borderId="131" xfId="0" applyNumberFormat="1" applyFont="1" applyFill="1" applyBorder="1" applyAlignment="1">
      <alignment vertical="center"/>
    </xf>
    <xf numFmtId="1" fontId="20" fillId="44" borderId="131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32" xfId="0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0" borderId="132" xfId="0" applyNumberFormat="1" applyFont="1" applyBorder="1" applyAlignment="1">
      <alignment horizontal="center" vertical="center"/>
    </xf>
    <xf numFmtId="1" fontId="19" fillId="50" borderId="132" xfId="0" applyNumberFormat="1" applyFont="1" applyFill="1" applyBorder="1" applyAlignment="1">
      <alignment horizontal="center" vertical="center"/>
    </xf>
    <xf numFmtId="1" fontId="19" fillId="0" borderId="134" xfId="0" applyNumberFormat="1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" fontId="19" fillId="8" borderId="132" xfId="0" applyNumberFormat="1" applyFont="1" applyFill="1" applyBorder="1" applyAlignment="1">
      <alignment horizontal="center" vertical="center"/>
    </xf>
    <xf numFmtId="1" fontId="19" fillId="8" borderId="134" xfId="0" applyNumberFormat="1" applyFont="1" applyFill="1" applyBorder="1" applyAlignment="1">
      <alignment horizontal="center" vertical="center"/>
    </xf>
    <xf numFmtId="1" fontId="18" fillId="5" borderId="132" xfId="0" applyNumberFormat="1" applyFont="1" applyFill="1" applyBorder="1" applyAlignment="1">
      <alignment horizontal="center" vertical="center"/>
    </xf>
    <xf numFmtId="1" fontId="18" fillId="0" borderId="132" xfId="0" applyNumberFormat="1" applyFont="1" applyBorder="1" applyAlignment="1">
      <alignment horizontal="center" vertical="center"/>
    </xf>
    <xf numFmtId="1" fontId="14" fillId="48" borderId="30" xfId="0" applyNumberFormat="1" applyFont="1" applyFill="1" applyBorder="1" applyAlignment="1">
      <alignment horizontal="center" vertical="center"/>
    </xf>
    <xf numFmtId="1" fontId="14" fillId="48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33" fillId="8" borderId="10" xfId="0" applyNumberFormat="1" applyFont="1" applyFill="1" applyBorder="1" applyAlignment="1">
      <alignment horizontal="center" vertical="center"/>
    </xf>
    <xf numFmtId="1" fontId="84" fillId="48" borderId="10" xfId="0" applyNumberFormat="1" applyFont="1" applyFill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1" fontId="12" fillId="0" borderId="117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0" borderId="117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27" fillId="0" borderId="132" xfId="0" applyNumberFormat="1" applyFont="1" applyBorder="1" applyAlignment="1">
      <alignment horizontal="center" vertical="center"/>
    </xf>
    <xf numFmtId="1" fontId="12" fillId="8" borderId="80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188" fillId="8" borderId="11" xfId="0" applyNumberFormat="1" applyFont="1" applyFill="1" applyBorder="1" applyAlignment="1">
      <alignment horizontal="center" vertical="center"/>
    </xf>
    <xf numFmtId="1" fontId="188" fillId="8" borderId="0" xfId="0" applyNumberFormat="1" applyFont="1" applyFill="1" applyAlignment="1">
      <alignment horizontal="center" vertical="center"/>
    </xf>
    <xf numFmtId="1" fontId="14" fillId="48" borderId="118" xfId="0" applyNumberFormat="1" applyFont="1" applyFill="1" applyBorder="1" applyAlignment="1">
      <alignment horizontal="center" vertical="center"/>
    </xf>
    <xf numFmtId="1" fontId="12" fillId="48" borderId="118" xfId="0" applyNumberFormat="1" applyFont="1" applyFill="1" applyBorder="1" applyAlignment="1">
      <alignment horizontal="center" vertical="center"/>
    </xf>
    <xf numFmtId="0" fontId="36" fillId="8" borderId="118" xfId="0" applyFont="1" applyFill="1" applyBorder="1" applyAlignment="1">
      <alignment horizontal="center" vertical="center"/>
    </xf>
    <xf numFmtId="1" fontId="14" fillId="0" borderId="72" xfId="0" applyNumberFormat="1" applyFont="1" applyBorder="1" applyAlignment="1">
      <alignment horizontal="center" vertical="center"/>
    </xf>
    <xf numFmtId="1" fontId="188" fillId="8" borderId="84" xfId="0" applyNumberFormat="1" applyFont="1" applyFill="1" applyBorder="1" applyAlignment="1">
      <alignment horizontal="center" vertical="center"/>
    </xf>
    <xf numFmtId="1" fontId="27" fillId="8" borderId="132" xfId="0" applyNumberFormat="1" applyFont="1" applyFill="1" applyBorder="1" applyAlignment="1">
      <alignment horizontal="center" vertical="center"/>
    </xf>
    <xf numFmtId="1" fontId="23" fillId="8" borderId="120" xfId="0" applyNumberFormat="1" applyFont="1" applyFill="1" applyBorder="1" applyAlignment="1">
      <alignment horizontal="center" vertical="center"/>
    </xf>
    <xf numFmtId="0" fontId="140" fillId="32" borderId="10" xfId="376" applyFont="1" applyFill="1" applyBorder="1" applyAlignment="1">
      <alignment wrapText="1"/>
    </xf>
    <xf numFmtId="0" fontId="140" fillId="32" borderId="10" xfId="376" applyFont="1" applyFill="1" applyBorder="1"/>
    <xf numFmtId="2" fontId="141" fillId="32" borderId="10" xfId="376" applyNumberFormat="1" applyFont="1" applyFill="1" applyBorder="1" applyAlignment="1">
      <alignment horizontal="center" vertical="center"/>
    </xf>
    <xf numFmtId="169" fontId="20" fillId="0" borderId="0" xfId="0" applyNumberFormat="1" applyFont="1"/>
    <xf numFmtId="2" fontId="20" fillId="8" borderId="45" xfId="0" applyNumberFormat="1" applyFont="1" applyFill="1" applyBorder="1" applyAlignment="1">
      <alignment horizontal="center" vertical="center"/>
    </xf>
    <xf numFmtId="1" fontId="19" fillId="5" borderId="132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4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2" xfId="0" applyFont="1" applyBorder="1" applyAlignment="1">
      <alignment horizontal="center" vertical="center"/>
    </xf>
    <xf numFmtId="0" fontId="19" fillId="7" borderId="132" xfId="0" applyFont="1" applyFill="1" applyBorder="1" applyAlignment="1">
      <alignment horizontal="center" vertical="center"/>
    </xf>
    <xf numFmtId="0" fontId="19" fillId="5" borderId="132" xfId="0" applyFont="1" applyFill="1" applyBorder="1" applyAlignment="1">
      <alignment horizontal="center" vertical="center"/>
    </xf>
    <xf numFmtId="0" fontId="19" fillId="50" borderId="132" xfId="0" applyFont="1" applyFill="1" applyBorder="1" applyAlignment="1">
      <alignment horizontal="center" vertical="center"/>
    </xf>
    <xf numFmtId="0" fontId="19" fillId="6" borderId="132" xfId="0" applyFont="1" applyFill="1" applyBorder="1" applyAlignment="1">
      <alignment horizontal="center" vertical="center"/>
    </xf>
    <xf numFmtId="0" fontId="19" fillId="50" borderId="17" xfId="0" applyFont="1" applyFill="1" applyBorder="1" applyAlignment="1">
      <alignment horizontal="center" vertical="center"/>
    </xf>
    <xf numFmtId="2" fontId="20" fillId="8" borderId="132" xfId="0" applyNumberFormat="1" applyFont="1" applyFill="1" applyBorder="1" applyAlignment="1">
      <alignment horizontal="center" vertical="center"/>
    </xf>
    <xf numFmtId="2" fontId="19" fillId="7" borderId="132" xfId="0" applyNumberFormat="1" applyFont="1" applyFill="1" applyBorder="1" applyAlignment="1">
      <alignment horizontal="center" vertical="center"/>
    </xf>
    <xf numFmtId="2" fontId="19" fillId="5" borderId="132" xfId="0" applyNumberFormat="1" applyFont="1" applyFill="1" applyBorder="1" applyAlignment="1">
      <alignment horizontal="center" vertical="center"/>
    </xf>
    <xf numFmtId="2" fontId="19" fillId="6" borderId="132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69" fontId="20" fillId="8" borderId="132" xfId="0" applyNumberFormat="1" applyFont="1" applyFill="1" applyBorder="1" applyAlignment="1">
      <alignment horizontal="center" vertical="center"/>
    </xf>
    <xf numFmtId="1" fontId="20" fillId="8" borderId="132" xfId="0" applyNumberFormat="1" applyFont="1" applyFill="1" applyBorder="1" applyAlignment="1">
      <alignment horizontal="center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2" xfId="22" applyFont="1" applyFill="1" applyBorder="1" applyAlignment="1">
      <alignment horizontal="center" vertical="center"/>
    </xf>
    <xf numFmtId="9" fontId="19" fillId="7" borderId="132" xfId="22" applyFont="1" applyFill="1" applyBorder="1" applyAlignment="1">
      <alignment horizontal="center" vertical="center"/>
    </xf>
    <xf numFmtId="9" fontId="19" fillId="5" borderId="132" xfId="22" applyFont="1" applyFill="1" applyBorder="1" applyAlignment="1">
      <alignment horizontal="center" vertical="center"/>
    </xf>
    <xf numFmtId="9" fontId="19" fillId="6" borderId="132" xfId="22" applyFont="1" applyFill="1" applyBorder="1" applyAlignment="1">
      <alignment horizontal="center" vertical="center"/>
    </xf>
    <xf numFmtId="9" fontId="19" fillId="7" borderId="17" xfId="22" applyFont="1" applyFill="1" applyBorder="1" applyAlignment="1">
      <alignment horizontal="center" vertical="center"/>
    </xf>
    <xf numFmtId="9" fontId="19" fillId="7" borderId="1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/>
    </xf>
    <xf numFmtId="1" fontId="19" fillId="8" borderId="132" xfId="0" applyNumberFormat="1" applyFont="1" applyFill="1" applyBorder="1" applyAlignment="1">
      <alignment horizontal="center"/>
    </xf>
    <xf numFmtId="1" fontId="20" fillId="8" borderId="132" xfId="0" applyNumberFormat="1" applyFont="1" applyFill="1" applyBorder="1" applyAlignment="1">
      <alignment horizontal="center"/>
    </xf>
    <xf numFmtId="1" fontId="19" fillId="7" borderId="132" xfId="0" applyNumberFormat="1" applyFont="1" applyFill="1" applyBorder="1" applyAlignment="1">
      <alignment horizontal="center"/>
    </xf>
    <xf numFmtId="1" fontId="19" fillId="5" borderId="132" xfId="0" applyNumberFormat="1" applyFont="1" applyFill="1" applyBorder="1" applyAlignment="1">
      <alignment horizontal="center"/>
    </xf>
    <xf numFmtId="1" fontId="19" fillId="6" borderId="132" xfId="0" applyNumberFormat="1" applyFont="1" applyFill="1" applyBorder="1" applyAlignment="1">
      <alignment horizontal="center"/>
    </xf>
    <xf numFmtId="1" fontId="112" fillId="8" borderId="132" xfId="0" applyNumberFormat="1" applyFont="1" applyFill="1" applyBorder="1" applyAlignment="1">
      <alignment horizontal="center" vertical="center"/>
    </xf>
    <xf numFmtId="0" fontId="45" fillId="8" borderId="132" xfId="0" applyFont="1" applyFill="1" applyBorder="1"/>
    <xf numFmtId="0" fontId="112" fillId="5" borderId="132" xfId="0" applyFont="1" applyFill="1" applyBorder="1" applyAlignment="1">
      <alignment horizontal="center"/>
    </xf>
    <xf numFmtId="1" fontId="19" fillId="7" borderId="23" xfId="0" applyNumberFormat="1" applyFont="1" applyFill="1" applyBorder="1" applyAlignment="1">
      <alignment horizontal="center" vertical="center"/>
    </xf>
    <xf numFmtId="0" fontId="112" fillId="7" borderId="23" xfId="0" applyFont="1" applyFill="1" applyBorder="1"/>
    <xf numFmtId="0" fontId="140" fillId="5" borderId="132" xfId="376" applyFont="1" applyFill="1" applyBorder="1" applyAlignment="1">
      <alignment wrapText="1"/>
    </xf>
    <xf numFmtId="0" fontId="140" fillId="5" borderId="132" xfId="376" applyFont="1" applyFill="1" applyBorder="1"/>
    <xf numFmtId="2" fontId="141" fillId="5" borderId="132" xfId="376" applyNumberFormat="1" applyFont="1" applyFill="1" applyBorder="1" applyAlignment="1">
      <alignment horizontal="center" vertical="center"/>
    </xf>
    <xf numFmtId="164" fontId="20" fillId="0" borderId="132" xfId="0" quotePrefix="1" applyNumberFormat="1" applyFont="1" applyBorder="1" applyAlignment="1">
      <alignment horizontal="right" vertical="center"/>
    </xf>
    <xf numFmtId="0" fontId="20" fillId="8" borderId="132" xfId="0" applyFont="1" applyFill="1" applyBorder="1" applyAlignment="1">
      <alignment horizontal="center" vertical="center"/>
    </xf>
    <xf numFmtId="1" fontId="48" fillId="0" borderId="132" xfId="0" applyNumberFormat="1" applyFont="1" applyBorder="1" applyAlignment="1">
      <alignment vertical="center"/>
    </xf>
    <xf numFmtId="1" fontId="48" fillId="7" borderId="132" xfId="0" applyNumberFormat="1" applyFont="1" applyFill="1" applyBorder="1" applyAlignment="1">
      <alignment vertical="center"/>
    </xf>
    <xf numFmtId="1" fontId="20" fillId="7" borderId="132" xfId="0" applyNumberFormat="1" applyFont="1" applyFill="1" applyBorder="1" applyAlignment="1">
      <alignment horizontal="center" vertical="center"/>
    </xf>
    <xf numFmtId="1" fontId="48" fillId="5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horizontal="center" vertical="center"/>
    </xf>
    <xf numFmtId="1" fontId="48" fillId="54" borderId="132" xfId="0" applyNumberFormat="1" applyFont="1" applyFill="1" applyBorder="1" applyAlignment="1">
      <alignment vertical="center"/>
    </xf>
    <xf numFmtId="0" fontId="20" fillId="8" borderId="132" xfId="0" applyFont="1" applyFill="1" applyBorder="1" applyAlignment="1">
      <alignment horizontal="left" vertical="center"/>
    </xf>
    <xf numFmtId="0" fontId="20" fillId="0" borderId="132" xfId="0" applyFont="1" applyBorder="1" applyAlignment="1">
      <alignment horizontal="left" vertical="center"/>
    </xf>
    <xf numFmtId="1" fontId="20" fillId="0" borderId="132" xfId="0" applyNumberFormat="1" applyFont="1" applyBorder="1" applyAlignment="1">
      <alignment vertical="center"/>
    </xf>
    <xf numFmtId="1" fontId="20" fillId="0" borderId="132" xfId="0" applyNumberFormat="1" applyFont="1" applyBorder="1" applyAlignment="1">
      <alignment horizontal="center" vertical="center"/>
    </xf>
    <xf numFmtId="1" fontId="20" fillId="7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vertical="center"/>
    </xf>
    <xf numFmtId="1" fontId="20" fillId="54" borderId="132" xfId="0" applyNumberFormat="1" applyFont="1" applyFill="1" applyBorder="1" applyAlignment="1">
      <alignment vertical="center"/>
    </xf>
    <xf numFmtId="0" fontId="7" fillId="0" borderId="31" xfId="0" applyFont="1" applyBorder="1" applyAlignment="1">
      <alignment horizontal="left"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89" fillId="0" borderId="0" xfId="0" applyFont="1"/>
    <xf numFmtId="167" fontId="189" fillId="0" borderId="0" xfId="0" applyNumberFormat="1" applyFont="1" applyAlignment="1">
      <alignment horizontal="center" vertical="center"/>
    </xf>
    <xf numFmtId="1" fontId="189" fillId="0" borderId="0" xfId="0" applyNumberFormat="1" applyFont="1" applyAlignment="1">
      <alignment horizontal="center" vertical="center"/>
    </xf>
    <xf numFmtId="0" fontId="189" fillId="0" borderId="0" xfId="0" applyFont="1" applyAlignment="1">
      <alignment horizontal="center" vertical="center"/>
    </xf>
    <xf numFmtId="0" fontId="189" fillId="8" borderId="0" xfId="0" applyFont="1" applyFill="1" applyAlignment="1">
      <alignment horizontal="center" vertical="center"/>
    </xf>
    <xf numFmtId="0" fontId="36" fillId="8" borderId="76" xfId="0" applyFont="1" applyFill="1" applyBorder="1" applyAlignment="1">
      <alignment horizontal="left" vertical="center"/>
    </xf>
    <xf numFmtId="1" fontId="7" fillId="45" borderId="134" xfId="0" applyNumberFormat="1" applyFont="1" applyFill="1" applyBorder="1" applyAlignment="1">
      <alignment horizontal="center" vertical="center"/>
    </xf>
    <xf numFmtId="1" fontId="4" fillId="45" borderId="134" xfId="0" applyNumberFormat="1" applyFont="1" applyFill="1" applyBorder="1" applyAlignment="1">
      <alignment horizontal="center" vertical="center"/>
    </xf>
    <xf numFmtId="0" fontId="76" fillId="45" borderId="134" xfId="0" applyFont="1" applyFill="1" applyBorder="1" applyAlignment="1">
      <alignment horizontal="center" vertical="center"/>
    </xf>
    <xf numFmtId="167" fontId="7" fillId="45" borderId="134" xfId="0" applyNumberFormat="1" applyFont="1" applyFill="1" applyBorder="1" applyAlignment="1">
      <alignment horizontal="center" vertical="center"/>
    </xf>
    <xf numFmtId="167" fontId="4" fillId="45" borderId="134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0" xfId="0" applyFont="1" applyBorder="1" applyAlignment="1">
      <alignment horizontal="left" vertical="center"/>
    </xf>
    <xf numFmtId="1" fontId="20" fillId="0" borderId="128" xfId="0" applyNumberFormat="1" applyFont="1" applyBorder="1" applyAlignment="1">
      <alignment horizontal="center" vertical="center"/>
    </xf>
    <xf numFmtId="1" fontId="20" fillId="5" borderId="128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0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2" xfId="0" applyFont="1" applyBorder="1" applyAlignment="1">
      <alignment horizontal="left" vertical="center"/>
    </xf>
    <xf numFmtId="1" fontId="20" fillId="6" borderId="132" xfId="0" applyNumberFormat="1" applyFont="1" applyFill="1" applyBorder="1" applyAlignment="1">
      <alignment horizontal="center" vertical="center"/>
    </xf>
    <xf numFmtId="1" fontId="20" fillId="45" borderId="132" xfId="0" applyNumberFormat="1" applyFont="1" applyFill="1" applyBorder="1" applyAlignment="1">
      <alignment horizontal="center" vertical="center"/>
    </xf>
    <xf numFmtId="0" fontId="86" fillId="0" borderId="132" xfId="0" applyFont="1" applyBorder="1" applyAlignment="1">
      <alignment horizontal="left" vertical="center"/>
    </xf>
    <xf numFmtId="1" fontId="21" fillId="5" borderId="132" xfId="0" applyNumberFormat="1" applyFont="1" applyFill="1" applyBorder="1" applyAlignment="1">
      <alignment horizontal="center" vertical="center"/>
    </xf>
    <xf numFmtId="1" fontId="21" fillId="6" borderId="132" xfId="0" applyNumberFormat="1" applyFont="1" applyFill="1" applyBorder="1" applyAlignment="1">
      <alignment horizontal="center" vertical="center"/>
    </xf>
    <xf numFmtId="1" fontId="21" fillId="7" borderId="132" xfId="0" applyNumberFormat="1" applyFont="1" applyFill="1" applyBorder="1" applyAlignment="1">
      <alignment horizontal="center" vertical="center"/>
    </xf>
    <xf numFmtId="1" fontId="21" fillId="45" borderId="132" xfId="0" applyNumberFormat="1" applyFont="1" applyFill="1" applyBorder="1" applyAlignment="1">
      <alignment horizontal="center" vertical="center"/>
    </xf>
    <xf numFmtId="0" fontId="76" fillId="8" borderId="132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2" xfId="0" applyFont="1" applyFill="1" applyBorder="1" applyAlignment="1">
      <alignment horizontal="center" vertical="center"/>
    </xf>
    <xf numFmtId="0" fontId="45" fillId="45" borderId="132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2" xfId="0" applyNumberFormat="1" applyFont="1" applyFill="1" applyBorder="1" applyAlignment="1">
      <alignment horizontal="center" vertical="center"/>
    </xf>
    <xf numFmtId="167" fontId="20" fillId="6" borderId="132" xfId="0" applyNumberFormat="1" applyFont="1" applyFill="1" applyBorder="1" applyAlignment="1">
      <alignment horizontal="center" vertical="center"/>
    </xf>
    <xf numFmtId="167" fontId="20" fillId="45" borderId="132" xfId="0" applyNumberFormat="1" applyFont="1" applyFill="1" applyBorder="1" applyAlignment="1">
      <alignment horizontal="center" vertical="center"/>
    </xf>
    <xf numFmtId="167" fontId="20" fillId="7" borderId="132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2" xfId="0" applyNumberFormat="1" applyFont="1" applyFill="1" applyBorder="1" applyAlignment="1">
      <alignment horizontal="center" vertical="center"/>
    </xf>
    <xf numFmtId="167" fontId="21" fillId="6" borderId="132" xfId="0" applyNumberFormat="1" applyFont="1" applyFill="1" applyBorder="1" applyAlignment="1">
      <alignment horizontal="center" vertical="center"/>
    </xf>
    <xf numFmtId="167" fontId="21" fillId="7" borderId="132" xfId="0" applyNumberFormat="1" applyFont="1" applyFill="1" applyBorder="1" applyAlignment="1">
      <alignment horizontal="center" vertical="center"/>
    </xf>
    <xf numFmtId="167" fontId="21" fillId="45" borderId="132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0" xfId="0" applyNumberFormat="1" applyFont="1" applyFill="1" applyBorder="1" applyAlignment="1">
      <alignment horizontal="center" vertical="center"/>
    </xf>
    <xf numFmtId="167" fontId="20" fillId="6" borderId="130" xfId="0" applyNumberFormat="1" applyFont="1" applyFill="1" applyBorder="1" applyAlignment="1">
      <alignment horizontal="center" vertical="center"/>
    </xf>
    <xf numFmtId="167" fontId="20" fillId="45" borderId="130" xfId="0" applyNumberFormat="1" applyFont="1" applyFill="1" applyBorder="1" applyAlignment="1">
      <alignment horizontal="center" vertical="center"/>
    </xf>
    <xf numFmtId="167" fontId="20" fillId="45" borderId="128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2" fontId="190" fillId="8" borderId="118" xfId="0" applyNumberFormat="1" applyFont="1" applyFill="1" applyBorder="1" applyAlignment="1">
      <alignment horizontal="center" vertical="center"/>
    </xf>
    <xf numFmtId="1" fontId="190" fillId="8" borderId="118" xfId="0" applyNumberFormat="1" applyFont="1" applyFill="1" applyBorder="1" applyAlignment="1">
      <alignment horizontal="center" vertical="center"/>
    </xf>
    <xf numFmtId="1" fontId="190" fillId="7" borderId="118" xfId="0" applyNumberFormat="1" applyFont="1" applyFill="1" applyBorder="1" applyAlignment="1">
      <alignment horizontal="center" vertical="center"/>
    </xf>
    <xf numFmtId="0" fontId="191" fillId="0" borderId="0" xfId="0" applyFont="1"/>
    <xf numFmtId="0" fontId="192" fillId="8" borderId="118" xfId="0" applyFont="1" applyFill="1" applyBorder="1" applyAlignment="1">
      <alignment horizontal="center" vertical="center"/>
    </xf>
    <xf numFmtId="0" fontId="193" fillId="8" borderId="118" xfId="0" applyFont="1" applyFill="1" applyBorder="1" applyAlignment="1">
      <alignment horizontal="center"/>
    </xf>
    <xf numFmtId="0" fontId="192" fillId="8" borderId="118" xfId="0" applyFont="1" applyFill="1" applyBorder="1" applyAlignment="1">
      <alignment horizontal="center"/>
    </xf>
    <xf numFmtId="0" fontId="194" fillId="8" borderId="118" xfId="0" applyFont="1" applyFill="1" applyBorder="1" applyAlignment="1">
      <alignment horizontal="center"/>
    </xf>
    <xf numFmtId="0" fontId="195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167" fontId="189" fillId="8" borderId="0" xfId="0" applyNumberFormat="1" applyFont="1" applyFill="1" applyAlignment="1">
      <alignment horizontal="center" vertical="center"/>
    </xf>
    <xf numFmtId="1" fontId="189" fillId="8" borderId="0" xfId="0" applyNumberFormat="1" applyFont="1" applyFill="1" applyAlignment="1">
      <alignment horizontal="center" vertical="center"/>
    </xf>
    <xf numFmtId="2" fontId="189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112" fillId="7" borderId="132" xfId="0" applyFont="1" applyFill="1" applyBorder="1"/>
    <xf numFmtId="0" fontId="0" fillId="5" borderId="0" xfId="0" applyFill="1"/>
    <xf numFmtId="0" fontId="196" fillId="0" borderId="10" xfId="0" applyFont="1" applyBorder="1" applyAlignment="1">
      <alignment horizontal="center" vertical="center"/>
    </xf>
    <xf numFmtId="0" fontId="196" fillId="6" borderId="10" xfId="0" applyFont="1" applyFill="1" applyBorder="1" applyAlignment="1">
      <alignment horizontal="center" vertical="center"/>
    </xf>
    <xf numFmtId="0" fontId="197" fillId="0" borderId="10" xfId="0" applyFont="1" applyBorder="1"/>
    <xf numFmtId="0" fontId="197" fillId="8" borderId="10" xfId="0" applyFont="1" applyFill="1" applyBorder="1"/>
    <xf numFmtId="1" fontId="197" fillId="0" borderId="10" xfId="0" applyNumberFormat="1" applyFont="1" applyBorder="1" applyAlignment="1">
      <alignment horizontal="center"/>
    </xf>
    <xf numFmtId="1" fontId="197" fillId="7" borderId="10" xfId="0" applyNumberFormat="1" applyFont="1" applyFill="1" applyBorder="1" applyAlignment="1">
      <alignment horizontal="center"/>
    </xf>
    <xf numFmtId="1" fontId="197" fillId="5" borderId="10" xfId="0" applyNumberFormat="1" applyFont="1" applyFill="1" applyBorder="1" applyAlignment="1">
      <alignment horizontal="center"/>
    </xf>
    <xf numFmtId="0" fontId="197" fillId="0" borderId="0" xfId="0" applyFont="1"/>
    <xf numFmtId="1" fontId="197" fillId="8" borderId="118" xfId="0" applyNumberFormat="1" applyFont="1" applyFill="1" applyBorder="1" applyAlignment="1">
      <alignment horizontal="center"/>
    </xf>
    <xf numFmtId="1" fontId="197" fillId="6" borderId="118" xfId="0" applyNumberFormat="1" applyFont="1" applyFill="1" applyBorder="1" applyAlignment="1">
      <alignment horizontal="center"/>
    </xf>
    <xf numFmtId="1" fontId="197" fillId="6" borderId="10" xfId="0" applyNumberFormat="1" applyFont="1" applyFill="1" applyBorder="1" applyAlignment="1">
      <alignment horizontal="center"/>
    </xf>
    <xf numFmtId="0" fontId="197" fillId="0" borderId="118" xfId="0" applyFont="1" applyBorder="1"/>
    <xf numFmtId="0" fontId="197" fillId="8" borderId="118" xfId="0" applyFont="1" applyFill="1" applyBorder="1"/>
    <xf numFmtId="1" fontId="197" fillId="0" borderId="118" xfId="0" applyNumberFormat="1" applyFont="1" applyBorder="1" applyAlignment="1">
      <alignment horizontal="center"/>
    </xf>
    <xf numFmtId="1" fontId="197" fillId="5" borderId="118" xfId="0" applyNumberFormat="1" applyFont="1" applyFill="1" applyBorder="1" applyAlignment="1">
      <alignment horizontal="center"/>
    </xf>
    <xf numFmtId="1" fontId="197" fillId="7" borderId="118" xfId="0" applyNumberFormat="1" applyFont="1" applyFill="1" applyBorder="1" applyAlignment="1">
      <alignment horizontal="center"/>
    </xf>
    <xf numFmtId="1" fontId="197" fillId="0" borderId="0" xfId="0" applyNumberFormat="1" applyFont="1"/>
    <xf numFmtId="0" fontId="196" fillId="43" borderId="10" xfId="0" applyFont="1" applyFill="1" applyBorder="1"/>
    <xf numFmtId="1" fontId="196" fillId="43" borderId="10" xfId="0" applyNumberFormat="1" applyFont="1" applyFill="1" applyBorder="1" applyAlignment="1">
      <alignment horizontal="center"/>
    </xf>
    <xf numFmtId="1" fontId="196" fillId="7" borderId="10" xfId="0" applyNumberFormat="1" applyFont="1" applyFill="1" applyBorder="1" applyAlignment="1">
      <alignment horizontal="center"/>
    </xf>
    <xf numFmtId="1" fontId="196" fillId="5" borderId="10" xfId="0" applyNumberFormat="1" applyFont="1" applyFill="1" applyBorder="1" applyAlignment="1">
      <alignment horizontal="center"/>
    </xf>
    <xf numFmtId="1" fontId="196" fillId="6" borderId="10" xfId="0" applyNumberFormat="1" applyFont="1" applyFill="1" applyBorder="1" applyAlignment="1">
      <alignment horizontal="center"/>
    </xf>
    <xf numFmtId="1" fontId="197" fillId="8" borderId="10" xfId="0" applyNumberFormat="1" applyFont="1" applyFill="1" applyBorder="1" applyAlignment="1">
      <alignment horizontal="center"/>
    </xf>
    <xf numFmtId="0" fontId="197" fillId="0" borderId="117" xfId="0" applyFont="1" applyBorder="1"/>
    <xf numFmtId="1" fontId="197" fillId="8" borderId="117" xfId="0" applyNumberFormat="1" applyFont="1" applyFill="1" applyBorder="1" applyAlignment="1">
      <alignment horizontal="center"/>
    </xf>
    <xf numFmtId="1" fontId="197" fillId="7" borderId="117" xfId="0" applyNumberFormat="1" applyFont="1" applyFill="1" applyBorder="1" applyAlignment="1">
      <alignment horizontal="center"/>
    </xf>
    <xf numFmtId="1" fontId="197" fillId="5" borderId="117" xfId="0" applyNumberFormat="1" applyFont="1" applyFill="1" applyBorder="1" applyAlignment="1">
      <alignment horizontal="center"/>
    </xf>
    <xf numFmtId="0" fontId="197" fillId="0" borderId="131" xfId="0" applyFont="1" applyBorder="1"/>
    <xf numFmtId="1" fontId="197" fillId="8" borderId="131" xfId="0" applyNumberFormat="1" applyFont="1" applyFill="1" applyBorder="1" applyAlignment="1">
      <alignment horizontal="center"/>
    </xf>
    <xf numFmtId="1" fontId="197" fillId="7" borderId="131" xfId="0" applyNumberFormat="1" applyFont="1" applyFill="1" applyBorder="1" applyAlignment="1">
      <alignment horizontal="center"/>
    </xf>
    <xf numFmtId="1" fontId="197" fillId="5" borderId="131" xfId="0" applyNumberFormat="1" applyFont="1" applyFill="1" applyBorder="1" applyAlignment="1">
      <alignment horizontal="center"/>
    </xf>
    <xf numFmtId="1" fontId="197" fillId="6" borderId="131" xfId="0" applyNumberFormat="1" applyFont="1" applyFill="1" applyBorder="1" applyAlignment="1">
      <alignment horizontal="center"/>
    </xf>
    <xf numFmtId="0" fontId="197" fillId="8" borderId="10" xfId="0" applyFont="1" applyFill="1" applyBorder="1" applyAlignment="1">
      <alignment horizontal="center"/>
    </xf>
    <xf numFmtId="0" fontId="197" fillId="7" borderId="10" xfId="0" applyFont="1" applyFill="1" applyBorder="1" applyAlignment="1">
      <alignment horizontal="center"/>
    </xf>
    <xf numFmtId="0" fontId="197" fillId="5" borderId="10" xfId="0" applyFont="1" applyFill="1" applyBorder="1" applyAlignment="1">
      <alignment horizontal="center"/>
    </xf>
    <xf numFmtId="0" fontId="198" fillId="0" borderId="10" xfId="0" applyFont="1" applyBorder="1"/>
    <xf numFmtId="0" fontId="199" fillId="0" borderId="10" xfId="0" applyFont="1" applyBorder="1"/>
    <xf numFmtId="1" fontId="198" fillId="8" borderId="10" xfId="0" applyNumberFormat="1" applyFont="1" applyFill="1" applyBorder="1" applyAlignment="1">
      <alignment horizontal="center"/>
    </xf>
    <xf numFmtId="0" fontId="198" fillId="0" borderId="10" xfId="0" applyFont="1" applyBorder="1" applyAlignment="1">
      <alignment horizontal="center"/>
    </xf>
    <xf numFmtId="0" fontId="198" fillId="7" borderId="10" xfId="0" applyFont="1" applyFill="1" applyBorder="1" applyAlignment="1">
      <alignment horizontal="center"/>
    </xf>
    <xf numFmtId="0" fontId="198" fillId="5" borderId="10" xfId="0" applyFont="1" applyFill="1" applyBorder="1" applyAlignment="1">
      <alignment horizontal="center"/>
    </xf>
    <xf numFmtId="1" fontId="198" fillId="0" borderId="10" xfId="0" applyNumberFormat="1" applyFont="1" applyBorder="1" applyAlignment="1">
      <alignment horizontal="center"/>
    </xf>
    <xf numFmtId="0" fontId="198" fillId="0" borderId="0" xfId="0" applyFont="1"/>
    <xf numFmtId="1" fontId="198" fillId="8" borderId="29" xfId="0" applyNumberFormat="1" applyFont="1" applyFill="1" applyBorder="1" applyAlignment="1">
      <alignment horizontal="center"/>
    </xf>
    <xf numFmtId="0" fontId="199" fillId="0" borderId="0" xfId="0" applyFont="1"/>
    <xf numFmtId="0" fontId="197" fillId="0" borderId="10" xfId="0" applyFont="1" applyBorder="1" applyAlignment="1">
      <alignment horizontal="center"/>
    </xf>
    <xf numFmtId="1" fontId="197" fillId="8" borderId="29" xfId="0" applyNumberFormat="1" applyFont="1" applyFill="1" applyBorder="1" applyAlignment="1">
      <alignment horizontal="center"/>
    </xf>
    <xf numFmtId="0" fontId="196" fillId="0" borderId="10" xfId="0" applyFont="1" applyBorder="1"/>
    <xf numFmtId="1" fontId="196" fillId="4" borderId="10" xfId="0" applyNumberFormat="1" applyFont="1" applyFill="1" applyBorder="1" applyAlignment="1">
      <alignment horizontal="center"/>
    </xf>
    <xf numFmtId="0" fontId="197" fillId="0" borderId="10" xfId="0" applyFont="1" applyBorder="1" applyAlignment="1">
      <alignment horizontal="center" vertical="center"/>
    </xf>
    <xf numFmtId="9" fontId="196" fillId="8" borderId="10" xfId="22" applyFont="1" applyFill="1" applyBorder="1" applyAlignment="1">
      <alignment horizontal="center"/>
    </xf>
    <xf numFmtId="9" fontId="196" fillId="7" borderId="10" xfId="22" applyFont="1" applyFill="1" applyBorder="1" applyAlignment="1">
      <alignment horizontal="center"/>
    </xf>
    <xf numFmtId="9" fontId="196" fillId="6" borderId="10" xfId="22" applyFont="1" applyFill="1" applyBorder="1" applyAlignment="1">
      <alignment horizontal="center"/>
    </xf>
    <xf numFmtId="0" fontId="197" fillId="8" borderId="0" xfId="0" applyFont="1" applyFill="1"/>
    <xf numFmtId="0" fontId="197" fillId="7" borderId="0" xfId="0" applyFont="1" applyFill="1"/>
    <xf numFmtId="0" fontId="197" fillId="5" borderId="0" xfId="0" applyFont="1" applyFill="1"/>
    <xf numFmtId="0" fontId="197" fillId="6" borderId="0" xfId="0" applyFont="1" applyFill="1"/>
    <xf numFmtId="0" fontId="196" fillId="8" borderId="10" xfId="0" applyFont="1" applyFill="1" applyBorder="1" applyAlignment="1">
      <alignment horizontal="center" vertical="center"/>
    </xf>
    <xf numFmtId="0" fontId="197" fillId="0" borderId="0" xfId="0" applyFont="1" applyAlignment="1">
      <alignment horizontal="center" vertical="center"/>
    </xf>
    <xf numFmtId="1" fontId="197" fillId="7" borderId="0" xfId="0" applyNumberFormat="1" applyFont="1" applyFill="1"/>
    <xf numFmtId="1" fontId="197" fillId="5" borderId="0" xfId="0" applyNumberFormat="1" applyFont="1" applyFill="1"/>
    <xf numFmtId="1" fontId="197" fillId="8" borderId="0" xfId="0" applyNumberFormat="1" applyFont="1" applyFill="1"/>
    <xf numFmtId="1" fontId="197" fillId="6" borderId="0" xfId="0" applyNumberFormat="1" applyFont="1" applyFill="1"/>
    <xf numFmtId="0" fontId="197" fillId="0" borderId="41" xfId="0" applyFont="1" applyBorder="1"/>
    <xf numFmtId="0" fontId="197" fillId="0" borderId="46" xfId="0" applyFont="1" applyBorder="1"/>
    <xf numFmtId="0" fontId="197" fillId="0" borderId="23" xfId="0" applyFont="1" applyBorder="1"/>
    <xf numFmtId="0" fontId="197" fillId="0" borderId="30" xfId="0" applyFont="1" applyBorder="1"/>
    <xf numFmtId="0" fontId="197" fillId="0" borderId="40" xfId="0" applyFont="1" applyBorder="1" applyAlignment="1">
      <alignment horizontal="center" vertical="center"/>
    </xf>
    <xf numFmtId="0" fontId="196" fillId="8" borderId="118" xfId="0" applyFont="1" applyFill="1" applyBorder="1" applyAlignment="1">
      <alignment horizontal="center" vertical="center"/>
    </xf>
    <xf numFmtId="0" fontId="196" fillId="6" borderId="29" xfId="0" applyFont="1" applyFill="1" applyBorder="1" applyAlignment="1">
      <alignment horizontal="center" vertical="center"/>
    </xf>
    <xf numFmtId="0" fontId="197" fillId="0" borderId="59" xfId="0" applyFont="1" applyBorder="1" applyAlignment="1">
      <alignment horizontal="right" vertical="center"/>
    </xf>
    <xf numFmtId="1" fontId="197" fillId="0" borderId="23" xfId="0" applyNumberFormat="1" applyFont="1" applyBorder="1" applyAlignment="1">
      <alignment horizontal="center" vertical="center"/>
    </xf>
    <xf numFmtId="9" fontId="197" fillId="7" borderId="23" xfId="22" applyFont="1" applyFill="1" applyBorder="1" applyAlignment="1">
      <alignment horizontal="center" vertical="center"/>
    </xf>
    <xf numFmtId="9" fontId="197" fillId="5" borderId="23" xfId="22" applyFont="1" applyFill="1" applyBorder="1" applyAlignment="1">
      <alignment horizontal="center" vertical="center"/>
    </xf>
    <xf numFmtId="9" fontId="197" fillId="6" borderId="23" xfId="22" applyFont="1" applyFill="1" applyBorder="1" applyAlignment="1">
      <alignment horizontal="center" vertical="center"/>
    </xf>
    <xf numFmtId="0" fontId="197" fillId="0" borderId="38" xfId="0" applyFont="1" applyBorder="1" applyAlignment="1">
      <alignment horizontal="right" vertical="center"/>
    </xf>
    <xf numFmtId="1" fontId="197" fillId="0" borderId="46" xfId="0" applyNumberFormat="1" applyFont="1" applyBorder="1" applyAlignment="1">
      <alignment horizontal="center" vertical="center"/>
    </xf>
    <xf numFmtId="1" fontId="197" fillId="7" borderId="46" xfId="0" applyNumberFormat="1" applyFont="1" applyFill="1" applyBorder="1" applyAlignment="1">
      <alignment horizontal="center" vertical="center"/>
    </xf>
    <xf numFmtId="1" fontId="197" fillId="5" borderId="46" xfId="0" applyNumberFormat="1" applyFont="1" applyFill="1" applyBorder="1" applyAlignment="1">
      <alignment horizontal="center" vertical="center"/>
    </xf>
    <xf numFmtId="1" fontId="197" fillId="6" borderId="46" xfId="0" applyNumberFormat="1" applyFont="1" applyFill="1" applyBorder="1" applyAlignment="1">
      <alignment horizontal="center" vertical="center"/>
    </xf>
    <xf numFmtId="0" fontId="197" fillId="0" borderId="3" xfId="0" applyFont="1" applyBorder="1" applyAlignment="1">
      <alignment horizontal="left" vertical="center"/>
    </xf>
    <xf numFmtId="1" fontId="197" fillId="0" borderId="41" xfId="0" applyNumberFormat="1" applyFont="1" applyBorder="1" applyAlignment="1">
      <alignment horizontal="center" vertical="center"/>
    </xf>
    <xf numFmtId="0" fontId="197" fillId="0" borderId="41" xfId="0" applyFont="1" applyBorder="1" applyAlignment="1">
      <alignment horizontal="center" vertical="center"/>
    </xf>
    <xf numFmtId="0" fontId="197" fillId="0" borderId="59" xfId="0" applyFont="1" applyBorder="1" applyAlignment="1">
      <alignment horizontal="left" vertical="center"/>
    </xf>
    <xf numFmtId="9" fontId="197" fillId="0" borderId="23" xfId="22" applyFont="1" applyBorder="1" applyAlignment="1">
      <alignment horizontal="center" vertical="center"/>
    </xf>
    <xf numFmtId="1" fontId="197" fillId="0" borderId="30" xfId="0" applyNumberFormat="1" applyFont="1" applyBorder="1" applyAlignment="1">
      <alignment horizontal="center" vertical="center"/>
    </xf>
    <xf numFmtId="1" fontId="197" fillId="7" borderId="41" xfId="0" applyNumberFormat="1" applyFont="1" applyFill="1" applyBorder="1" applyAlignment="1">
      <alignment horizontal="center"/>
    </xf>
    <xf numFmtId="1" fontId="197" fillId="5" borderId="41" xfId="0" applyNumberFormat="1" applyFont="1" applyFill="1" applyBorder="1" applyAlignment="1">
      <alignment horizontal="center"/>
    </xf>
    <xf numFmtId="1" fontId="197" fillId="6" borderId="41" xfId="0" applyNumberFormat="1" applyFont="1" applyFill="1" applyBorder="1" applyAlignment="1">
      <alignment horizontal="center"/>
    </xf>
    <xf numFmtId="1" fontId="197" fillId="7" borderId="42" xfId="0" applyNumberFormat="1" applyFont="1" applyFill="1" applyBorder="1" applyAlignment="1">
      <alignment horizontal="center"/>
    </xf>
    <xf numFmtId="0" fontId="197" fillId="0" borderId="134" xfId="0" applyFont="1" applyBorder="1" applyAlignment="1">
      <alignment horizontal="left" vertical="center"/>
    </xf>
    <xf numFmtId="0" fontId="197" fillId="0" borderId="132" xfId="0" applyFont="1" applyBorder="1"/>
    <xf numFmtId="1" fontId="197" fillId="0" borderId="132" xfId="0" applyNumberFormat="1" applyFont="1" applyBorder="1" applyAlignment="1">
      <alignment horizontal="center" vertical="center"/>
    </xf>
    <xf numFmtId="1" fontId="197" fillId="7" borderId="132" xfId="0" applyNumberFormat="1" applyFont="1" applyFill="1" applyBorder="1" applyAlignment="1">
      <alignment horizontal="center"/>
    </xf>
    <xf numFmtId="1" fontId="197" fillId="5" borderId="132" xfId="0" applyNumberFormat="1" applyFont="1" applyFill="1" applyBorder="1" applyAlignment="1">
      <alignment horizontal="center"/>
    </xf>
    <xf numFmtId="1" fontId="197" fillId="6" borderId="132" xfId="0" applyNumberFormat="1" applyFont="1" applyFill="1" applyBorder="1" applyAlignment="1">
      <alignment horizontal="center"/>
    </xf>
    <xf numFmtId="1" fontId="197" fillId="7" borderId="17" xfId="0" applyNumberFormat="1" applyFont="1" applyFill="1" applyBorder="1" applyAlignment="1">
      <alignment horizontal="center"/>
    </xf>
    <xf numFmtId="9" fontId="197" fillId="0" borderId="132" xfId="22" applyFont="1" applyBorder="1" applyAlignment="1">
      <alignment horizontal="center" vertical="center"/>
    </xf>
    <xf numFmtId="9" fontId="197" fillId="7" borderId="132" xfId="22" applyFont="1" applyFill="1" applyBorder="1" applyAlignment="1">
      <alignment horizontal="center" vertical="center"/>
    </xf>
    <xf numFmtId="9" fontId="197" fillId="5" borderId="132" xfId="22" applyFont="1" applyFill="1" applyBorder="1" applyAlignment="1">
      <alignment horizontal="center" vertical="center"/>
    </xf>
    <xf numFmtId="9" fontId="197" fillId="6" borderId="132" xfId="22" applyFont="1" applyFill="1" applyBorder="1" applyAlignment="1">
      <alignment horizontal="center" vertical="center"/>
    </xf>
    <xf numFmtId="9" fontId="197" fillId="7" borderId="17" xfId="22" applyFont="1" applyFill="1" applyBorder="1" applyAlignment="1">
      <alignment horizontal="center" vertical="center"/>
    </xf>
    <xf numFmtId="0" fontId="197" fillId="8" borderId="134" xfId="0" applyFont="1" applyFill="1" applyBorder="1" applyAlignment="1">
      <alignment horizontal="right" vertical="center"/>
    </xf>
    <xf numFmtId="0" fontId="197" fillId="8" borderId="132" xfId="0" applyFont="1" applyFill="1" applyBorder="1"/>
    <xf numFmtId="1" fontId="197" fillId="8" borderId="132" xfId="0" applyNumberFormat="1" applyFont="1" applyFill="1" applyBorder="1" applyAlignment="1">
      <alignment horizontal="center" vertical="center"/>
    </xf>
    <xf numFmtId="0" fontId="197" fillId="0" borderId="134" xfId="0" applyFont="1" applyBorder="1" applyAlignment="1">
      <alignment horizontal="right" vertical="center"/>
    </xf>
    <xf numFmtId="1" fontId="197" fillId="7" borderId="23" xfId="0" applyNumberFormat="1" applyFont="1" applyFill="1" applyBorder="1" applyAlignment="1">
      <alignment horizontal="center"/>
    </xf>
    <xf numFmtId="1" fontId="197" fillId="5" borderId="23" xfId="0" applyNumberFormat="1" applyFont="1" applyFill="1" applyBorder="1" applyAlignment="1">
      <alignment horizontal="center"/>
    </xf>
    <xf numFmtId="1" fontId="197" fillId="6" borderId="23" xfId="0" applyNumberFormat="1" applyFont="1" applyFill="1" applyBorder="1" applyAlignment="1">
      <alignment horizontal="center"/>
    </xf>
    <xf numFmtId="1" fontId="197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97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199" fillId="0" borderId="5" xfId="0" applyFont="1" applyBorder="1"/>
    <xf numFmtId="0" fontId="55" fillId="0" borderId="55" xfId="0" applyFont="1" applyBorder="1"/>
    <xf numFmtId="1" fontId="199" fillId="8" borderId="132" xfId="0" applyNumberFormat="1" applyFont="1" applyFill="1" applyBorder="1" applyAlignment="1">
      <alignment horizontal="center" vertical="center"/>
    </xf>
    <xf numFmtId="0" fontId="199" fillId="0" borderId="25" xfId="0" applyFont="1" applyBorder="1"/>
    <xf numFmtId="0" fontId="199" fillId="0" borderId="55" xfId="0" applyFont="1" applyBorder="1"/>
    <xf numFmtId="1" fontId="199" fillId="0" borderId="5" xfId="0" applyNumberFormat="1" applyFont="1" applyBorder="1" applyAlignment="1">
      <alignment horizontal="center" vertical="center"/>
    </xf>
    <xf numFmtId="1" fontId="199" fillId="7" borderId="5" xfId="0" applyNumberFormat="1" applyFont="1" applyFill="1" applyBorder="1" applyAlignment="1">
      <alignment horizontal="center"/>
    </xf>
    <xf numFmtId="1" fontId="199" fillId="5" borderId="5" xfId="0" applyNumberFormat="1" applyFont="1" applyFill="1" applyBorder="1" applyAlignment="1">
      <alignment horizontal="center"/>
    </xf>
    <xf numFmtId="1" fontId="199" fillId="6" borderId="5" xfId="0" applyNumberFormat="1" applyFont="1" applyFill="1" applyBorder="1" applyAlignment="1">
      <alignment horizontal="center"/>
    </xf>
    <xf numFmtId="1" fontId="199" fillId="7" borderId="11" xfId="0" applyNumberFormat="1" applyFont="1" applyFill="1" applyBorder="1" applyAlignment="1">
      <alignment horizontal="center"/>
    </xf>
    <xf numFmtId="1" fontId="197" fillId="0" borderId="132" xfId="0" applyNumberFormat="1" applyFont="1" applyBorder="1" applyAlignment="1">
      <alignment horizontal="center"/>
    </xf>
    <xf numFmtId="1" fontId="197" fillId="8" borderId="132" xfId="0" applyNumberFormat="1" applyFont="1" applyFill="1" applyBorder="1" applyAlignment="1">
      <alignment horizontal="center"/>
    </xf>
    <xf numFmtId="0" fontId="197" fillId="0" borderId="135" xfId="0" applyFont="1" applyBorder="1"/>
    <xf numFmtId="1" fontId="197" fillId="0" borderId="135" xfId="0" applyNumberFormat="1" applyFont="1" applyBorder="1" applyAlignment="1">
      <alignment horizontal="center"/>
    </xf>
    <xf numFmtId="1" fontId="197" fillId="7" borderId="135" xfId="0" applyNumberFormat="1" applyFont="1" applyFill="1" applyBorder="1" applyAlignment="1">
      <alignment horizontal="center"/>
    </xf>
    <xf numFmtId="1" fontId="197" fillId="5" borderId="135" xfId="0" applyNumberFormat="1" applyFont="1" applyFill="1" applyBorder="1" applyAlignment="1">
      <alignment horizontal="center"/>
    </xf>
    <xf numFmtId="1" fontId="197" fillId="8" borderId="135" xfId="0" applyNumberFormat="1" applyFont="1" applyFill="1" applyBorder="1" applyAlignment="1">
      <alignment horizontal="center"/>
    </xf>
    <xf numFmtId="1" fontId="197" fillId="6" borderId="135" xfId="0" applyNumberFormat="1" applyFont="1" applyFill="1" applyBorder="1" applyAlignment="1">
      <alignment horizontal="center"/>
    </xf>
    <xf numFmtId="0" fontId="197" fillId="8" borderId="135" xfId="0" applyFont="1" applyFill="1" applyBorder="1"/>
    <xf numFmtId="0" fontId="55" fillId="0" borderId="25" xfId="0" applyFont="1" applyBorder="1" applyAlignment="1">
      <alignment horizontal="center" vertical="center"/>
    </xf>
    <xf numFmtId="0" fontId="199" fillId="0" borderId="5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" fontId="11" fillId="8" borderId="132" xfId="0" applyNumberFormat="1" applyFont="1" applyFill="1" applyBorder="1" applyAlignment="1">
      <alignment horizontal="center" vertical="center"/>
    </xf>
    <xf numFmtId="1" fontId="11" fillId="7" borderId="132" xfId="0" applyNumberFormat="1" applyFont="1" applyFill="1" applyBorder="1" applyAlignment="1">
      <alignment horizontal="center" vertical="center"/>
    </xf>
    <xf numFmtId="1" fontId="11" fillId="5" borderId="132" xfId="0" applyNumberFormat="1" applyFont="1" applyFill="1" applyBorder="1" applyAlignment="1">
      <alignment horizontal="center" vertical="center"/>
    </xf>
    <xf numFmtId="1" fontId="11" fillId="6" borderId="132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197" fillId="0" borderId="0" xfId="0" applyNumberFormat="1" applyFont="1" applyAlignment="1">
      <alignment horizontal="center"/>
    </xf>
    <xf numFmtId="1" fontId="196" fillId="43" borderId="135" xfId="0" applyNumberFormat="1" applyFont="1" applyFill="1" applyBorder="1" applyAlignment="1">
      <alignment horizontal="center"/>
    </xf>
    <xf numFmtId="1" fontId="197" fillId="8" borderId="0" xfId="0" applyNumberFormat="1" applyFont="1" applyFill="1" applyAlignment="1">
      <alignment horizontal="center"/>
    </xf>
    <xf numFmtId="1" fontId="198" fillId="0" borderId="0" xfId="0" applyNumberFormat="1" applyFont="1" applyAlignment="1">
      <alignment horizontal="center"/>
    </xf>
    <xf numFmtId="0" fontId="197" fillId="0" borderId="0" xfId="0" applyFont="1" applyAlignment="1">
      <alignment horizontal="center"/>
    </xf>
    <xf numFmtId="1" fontId="196" fillId="4" borderId="135" xfId="0" applyNumberFormat="1" applyFont="1" applyFill="1" applyBorder="1" applyAlignment="1">
      <alignment horizontal="center"/>
    </xf>
    <xf numFmtId="9" fontId="196" fillId="8" borderId="135" xfId="22" applyFont="1" applyFill="1" applyBorder="1" applyAlignment="1">
      <alignment horizontal="center"/>
    </xf>
    <xf numFmtId="1" fontId="14" fillId="57" borderId="135" xfId="0" applyNumberFormat="1" applyFont="1" applyFill="1" applyBorder="1" applyAlignment="1">
      <alignment horizontal="center" vertical="center"/>
    </xf>
    <xf numFmtId="1" fontId="197" fillId="0" borderId="135" xfId="0" applyNumberFormat="1" applyFont="1" applyBorder="1" applyAlignment="1">
      <alignment horizontal="center" vertical="center"/>
    </xf>
    <xf numFmtId="9" fontId="197" fillId="0" borderId="135" xfId="22" applyFont="1" applyBorder="1" applyAlignment="1">
      <alignment horizontal="center" vertical="center"/>
    </xf>
    <xf numFmtId="1" fontId="197" fillId="8" borderId="135" xfId="0" applyNumberFormat="1" applyFont="1" applyFill="1" applyBorder="1" applyAlignment="1">
      <alignment horizontal="center" vertical="center"/>
    </xf>
    <xf numFmtId="1" fontId="199" fillId="8" borderId="135" xfId="0" applyNumberFormat="1" applyFont="1" applyFill="1" applyBorder="1" applyAlignment="1">
      <alignment horizontal="center" vertical="center"/>
    </xf>
    <xf numFmtId="2" fontId="0" fillId="8" borderId="0" xfId="0" applyNumberFormat="1" applyFill="1"/>
    <xf numFmtId="2" fontId="200" fillId="0" borderId="0" xfId="0" applyNumberFormat="1" applyFont="1" applyAlignment="1">
      <alignment horizontal="center" vertical="center"/>
    </xf>
    <xf numFmtId="1" fontId="0" fillId="0" borderId="17" xfId="0" applyNumberFormat="1" applyBorder="1"/>
    <xf numFmtId="1" fontId="5" fillId="8" borderId="10" xfId="0" applyNumberFormat="1" applyFont="1" applyFill="1" applyBorder="1" applyAlignment="1">
      <alignment vertical="center"/>
    </xf>
    <xf numFmtId="164" fontId="20" fillId="8" borderId="138" xfId="0" quotePrefix="1" applyNumberFormat="1" applyFont="1" applyFill="1" applyBorder="1" applyAlignment="1">
      <alignment horizontal="left" vertical="center"/>
    </xf>
    <xf numFmtId="0" fontId="20" fillId="0" borderId="138" xfId="0" applyFont="1" applyBorder="1" applyAlignment="1">
      <alignment horizontal="center" vertical="center"/>
    </xf>
    <xf numFmtId="1" fontId="21" fillId="8" borderId="138" xfId="0" applyNumberFormat="1" applyFont="1" applyFill="1" applyBorder="1" applyAlignment="1">
      <alignment vertical="center"/>
    </xf>
    <xf numFmtId="1" fontId="20" fillId="0" borderId="138" xfId="0" applyNumberFormat="1" applyFont="1" applyBorder="1" applyAlignment="1">
      <alignment horizontal="center" vertical="center"/>
    </xf>
    <xf numFmtId="1" fontId="21" fillId="7" borderId="138" xfId="0" applyNumberFormat="1" applyFont="1" applyFill="1" applyBorder="1" applyAlignment="1">
      <alignment vertical="center"/>
    </xf>
    <xf numFmtId="1" fontId="20" fillId="7" borderId="138" xfId="0" applyNumberFormat="1" applyFont="1" applyFill="1" applyBorder="1" applyAlignment="1">
      <alignment horizontal="center" vertical="center"/>
    </xf>
    <xf numFmtId="1" fontId="21" fillId="5" borderId="138" xfId="0" applyNumberFormat="1" applyFont="1" applyFill="1" applyBorder="1" applyAlignment="1">
      <alignment vertical="center"/>
    </xf>
    <xf numFmtId="1" fontId="20" fillId="5" borderId="138" xfId="0" applyNumberFormat="1" applyFont="1" applyFill="1" applyBorder="1" applyAlignment="1">
      <alignment horizontal="center" vertical="center"/>
    </xf>
    <xf numFmtId="1" fontId="21" fillId="54" borderId="138" xfId="0" applyNumberFormat="1" applyFont="1" applyFill="1" applyBorder="1" applyAlignment="1">
      <alignment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0" fontId="0" fillId="0" borderId="138" xfId="0" applyBorder="1"/>
    <xf numFmtId="0" fontId="36" fillId="0" borderId="138" xfId="0" applyFont="1" applyBorder="1" applyAlignment="1">
      <alignment horizontal="center" vertical="center"/>
    </xf>
    <xf numFmtId="0" fontId="23" fillId="0" borderId="138" xfId="0" applyFont="1" applyBorder="1" applyAlignment="1">
      <alignment horizontal="left" vertical="center"/>
    </xf>
    <xf numFmtId="0" fontId="36" fillId="0" borderId="138" xfId="0" applyFont="1" applyBorder="1" applyAlignment="1">
      <alignment horizontal="left" vertical="center" wrapText="1"/>
    </xf>
    <xf numFmtId="0" fontId="36" fillId="8" borderId="138" xfId="0" applyFont="1" applyFill="1" applyBorder="1" applyAlignment="1">
      <alignment horizontal="center" vertical="center"/>
    </xf>
    <xf numFmtId="0" fontId="36" fillId="0" borderId="138" xfId="0" applyFont="1" applyBorder="1" applyAlignment="1">
      <alignment horizontal="center" vertical="center" wrapText="1"/>
    </xf>
    <xf numFmtId="0" fontId="23" fillId="0" borderId="138" xfId="0" applyFont="1" applyBorder="1" applyAlignment="1">
      <alignment vertical="center"/>
    </xf>
    <xf numFmtId="0" fontId="7" fillId="0" borderId="138" xfId="0" applyFont="1" applyBorder="1" applyAlignment="1">
      <alignment horizontal="center" vertical="center"/>
    </xf>
    <xf numFmtId="0" fontId="36" fillId="0" borderId="138" xfId="0" applyFont="1" applyBorder="1" applyAlignment="1">
      <alignment horizontal="right" vertical="center"/>
    </xf>
    <xf numFmtId="0" fontId="23" fillId="8" borderId="138" xfId="0" applyFont="1" applyFill="1" applyBorder="1" applyAlignment="1">
      <alignment horizontal="left" vertical="center"/>
    </xf>
    <xf numFmtId="0" fontId="23" fillId="8" borderId="138" xfId="0" applyFont="1" applyFill="1" applyBorder="1" applyAlignment="1">
      <alignment horizontal="center" vertical="center"/>
    </xf>
    <xf numFmtId="0" fontId="36" fillId="8" borderId="138" xfId="0" applyFont="1" applyFill="1" applyBorder="1" applyAlignment="1">
      <alignment vertical="center" wrapText="1"/>
    </xf>
    <xf numFmtId="0" fontId="36" fillId="8" borderId="138" xfId="0" applyFont="1" applyFill="1" applyBorder="1" applyAlignment="1">
      <alignment horizontal="center" vertical="center" wrapText="1"/>
    </xf>
    <xf numFmtId="0" fontId="36" fillId="8" borderId="30" xfId="0" applyFont="1" applyFill="1" applyBorder="1" applyAlignment="1">
      <alignment horizontal="center" vertical="center"/>
    </xf>
    <xf numFmtId="0" fontId="36" fillId="0" borderId="138" xfId="0" applyFont="1" applyBorder="1" applyAlignment="1">
      <alignment vertical="top" wrapText="1"/>
    </xf>
    <xf numFmtId="0" fontId="36" fillId="0" borderId="138" xfId="0" applyFont="1" applyBorder="1" applyAlignment="1">
      <alignment horizontal="left" vertical="top" wrapText="1"/>
    </xf>
    <xf numFmtId="0" fontId="36" fillId="0" borderId="138" xfId="0" applyFont="1" applyBorder="1" applyAlignment="1">
      <alignment horizontal="center" vertical="top" wrapText="1"/>
    </xf>
    <xf numFmtId="0" fontId="36" fillId="0" borderId="138" xfId="0" applyFont="1" applyBorder="1" applyAlignment="1">
      <alignment horizontal="center"/>
    </xf>
    <xf numFmtId="0" fontId="0" fillId="0" borderId="138" xfId="0" applyBorder="1" applyAlignment="1">
      <alignment horizontal="center"/>
    </xf>
    <xf numFmtId="1" fontId="197" fillId="4" borderId="10" xfId="0" applyNumberFormat="1" applyFont="1" applyFill="1" applyBorder="1" applyAlignment="1">
      <alignment horizontal="center"/>
    </xf>
    <xf numFmtId="0" fontId="86" fillId="0" borderId="136" xfId="0" applyFont="1" applyBorder="1" applyAlignment="1">
      <alignment horizontal="center" vertical="center"/>
    </xf>
    <xf numFmtId="0" fontId="86" fillId="0" borderId="138" xfId="0" applyFont="1" applyBorder="1" applyAlignment="1">
      <alignment horizontal="center" vertical="center"/>
    </xf>
    <xf numFmtId="1" fontId="86" fillId="0" borderId="138" xfId="0" applyNumberFormat="1" applyFont="1" applyBorder="1" applyAlignment="1">
      <alignment horizontal="center" vertical="center"/>
    </xf>
    <xf numFmtId="0" fontId="86" fillId="7" borderId="138" xfId="0" applyFont="1" applyFill="1" applyBorder="1" applyAlignment="1">
      <alignment horizontal="center" vertical="center"/>
    </xf>
    <xf numFmtId="1" fontId="4" fillId="5" borderId="138" xfId="0" applyNumberFormat="1" applyFont="1" applyFill="1" applyBorder="1" applyAlignment="1">
      <alignment horizontal="center" vertical="center"/>
    </xf>
    <xf numFmtId="1" fontId="4" fillId="7" borderId="138" xfId="0" applyNumberFormat="1" applyFont="1" applyFill="1" applyBorder="1" applyAlignment="1">
      <alignment horizontal="center" vertical="center"/>
    </xf>
    <xf numFmtId="0" fontId="86" fillId="6" borderId="138" xfId="0" applyFont="1" applyFill="1" applyBorder="1" applyAlignment="1">
      <alignment horizontal="center" vertical="center"/>
    </xf>
    <xf numFmtId="1" fontId="202" fillId="0" borderId="73" xfId="0" applyNumberFormat="1" applyFont="1" applyBorder="1" applyAlignment="1">
      <alignment horizontal="center" vertical="center"/>
    </xf>
    <xf numFmtId="1" fontId="20" fillId="0" borderId="139" xfId="0" applyNumberFormat="1" applyFont="1" applyBorder="1" applyAlignment="1">
      <alignment vertical="center"/>
    </xf>
    <xf numFmtId="1" fontId="20" fillId="7" borderId="138" xfId="0" applyNumberFormat="1" applyFont="1" applyFill="1" applyBorder="1" applyAlignment="1">
      <alignment vertical="center"/>
    </xf>
    <xf numFmtId="1" fontId="20" fillId="5" borderId="138" xfId="0" applyNumberFormat="1" applyFont="1" applyFill="1" applyBorder="1" applyAlignment="1">
      <alignment vertical="center"/>
    </xf>
    <xf numFmtId="1" fontId="19" fillId="5" borderId="138" xfId="0" applyNumberFormat="1" applyFont="1" applyFill="1" applyBorder="1" applyAlignment="1">
      <alignment horizontal="center" vertical="center"/>
    </xf>
    <xf numFmtId="1" fontId="19" fillId="6" borderId="138" xfId="0" applyNumberFormat="1" applyFont="1" applyFill="1" applyBorder="1" applyAlignment="1">
      <alignment horizontal="center" vertical="center"/>
    </xf>
    <xf numFmtId="1" fontId="20" fillId="44" borderId="138" xfId="0" applyNumberFormat="1" applyFont="1" applyFill="1" applyBorder="1" applyAlignment="1">
      <alignment vertical="center"/>
    </xf>
    <xf numFmtId="0" fontId="20" fillId="8" borderId="138" xfId="0" applyFont="1" applyFill="1" applyBorder="1" applyAlignment="1">
      <alignment horizontal="left" vertical="center"/>
    </xf>
    <xf numFmtId="0" fontId="20" fillId="0" borderId="138" xfId="0" applyFont="1" applyBorder="1" applyAlignment="1">
      <alignment horizontal="left" vertical="center"/>
    </xf>
    <xf numFmtId="1" fontId="20" fillId="0" borderId="138" xfId="0" applyNumberFormat="1" applyFont="1" applyBorder="1" applyAlignment="1">
      <alignment vertical="center"/>
    </xf>
    <xf numFmtId="1" fontId="20" fillId="54" borderId="138" xfId="0" applyNumberFormat="1" applyFont="1" applyFill="1" applyBorder="1" applyAlignment="1">
      <alignment vertical="center"/>
    </xf>
    <xf numFmtId="0" fontId="140" fillId="5" borderId="140" xfId="376" applyFont="1" applyFill="1" applyBorder="1" applyAlignment="1">
      <alignment wrapText="1"/>
    </xf>
    <xf numFmtId="0" fontId="140" fillId="5" borderId="140" xfId="376" applyFont="1" applyFill="1" applyBorder="1"/>
    <xf numFmtId="2" fontId="141" fillId="5" borderId="140" xfId="376" applyNumberFormat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7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9" fontId="196" fillId="5" borderId="10" xfId="22" applyFont="1" applyFill="1" applyBorder="1" applyAlignment="1">
      <alignment horizontal="center"/>
    </xf>
    <xf numFmtId="167" fontId="18" fillId="8" borderId="5" xfId="0" applyNumberFormat="1" applyFont="1" applyFill="1" applyBorder="1" applyAlignment="1">
      <alignment horizontal="center" vertical="center"/>
    </xf>
    <xf numFmtId="167" fontId="20" fillId="8" borderId="0" xfId="0" applyNumberFormat="1" applyFont="1" applyFill="1" applyAlignment="1">
      <alignment horizontal="center" vertical="center"/>
    </xf>
    <xf numFmtId="0" fontId="36" fillId="0" borderId="130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0" xfId="0" applyFont="1" applyBorder="1"/>
    <xf numFmtId="0" fontId="36" fillId="8" borderId="140" xfId="0" applyFont="1" applyFill="1" applyBorder="1"/>
    <xf numFmtId="0" fontId="20" fillId="8" borderId="136" xfId="0" applyFont="1" applyFill="1" applyBorder="1" applyAlignment="1">
      <alignment horizontal="left" vertical="center"/>
    </xf>
    <xf numFmtId="0" fontId="19" fillId="0" borderId="136" xfId="0" applyFont="1" applyBorder="1" applyAlignment="1">
      <alignment horizontal="center" vertical="center"/>
    </xf>
    <xf numFmtId="0" fontId="19" fillId="8" borderId="140" xfId="0" applyFont="1" applyFill="1" applyBorder="1" applyAlignment="1">
      <alignment vertical="center"/>
    </xf>
    <xf numFmtId="1" fontId="20" fillId="0" borderId="140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horizontal="center" vertical="center"/>
    </xf>
    <xf numFmtId="1" fontId="20" fillId="5" borderId="140" xfId="0" applyNumberFormat="1" applyFont="1" applyFill="1" applyBorder="1" applyAlignment="1">
      <alignment horizontal="center" vertical="center"/>
    </xf>
    <xf numFmtId="1" fontId="19" fillId="5" borderId="140" xfId="0" applyNumberFormat="1" applyFont="1" applyFill="1" applyBorder="1" applyAlignment="1">
      <alignment horizontal="center" vertical="center"/>
    </xf>
    <xf numFmtId="1" fontId="19" fillId="6" borderId="140" xfId="0" applyNumberFormat="1" applyFont="1" applyFill="1" applyBorder="1" applyAlignment="1">
      <alignment horizontal="center" vertical="center"/>
    </xf>
    <xf numFmtId="0" fontId="197" fillId="0" borderId="140" xfId="0" applyFont="1" applyBorder="1"/>
    <xf numFmtId="0" fontId="197" fillId="8" borderId="140" xfId="0" applyFont="1" applyFill="1" applyBorder="1"/>
    <xf numFmtId="1" fontId="20" fillId="8" borderId="121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0" borderId="140" xfId="0" applyFont="1" applyBorder="1" applyAlignment="1">
      <alignment horizontal="right" vertical="center" indent="2"/>
    </xf>
    <xf numFmtId="0" fontId="20" fillId="0" borderId="140" xfId="0" applyFont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 vertical="center"/>
    </xf>
    <xf numFmtId="0" fontId="140" fillId="5" borderId="141" xfId="376" applyFont="1" applyFill="1" applyBorder="1" applyAlignment="1">
      <alignment wrapText="1"/>
    </xf>
    <xf numFmtId="0" fontId="140" fillId="5" borderId="141" xfId="376" applyFont="1" applyFill="1" applyBorder="1"/>
    <xf numFmtId="2" fontId="141" fillId="5" borderId="141" xfId="376" applyNumberFormat="1" applyFont="1" applyFill="1" applyBorder="1" applyAlignment="1">
      <alignment horizontal="center" vertical="center"/>
    </xf>
    <xf numFmtId="0" fontId="36" fillId="0" borderId="141" xfId="0" applyFont="1" applyBorder="1"/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1" fontId="45" fillId="54" borderId="30" xfId="0" applyNumberFormat="1" applyFont="1" applyFill="1" applyBorder="1" applyAlignment="1">
      <alignment vertical="center"/>
    </xf>
    <xf numFmtId="0" fontId="20" fillId="8" borderId="141" xfId="0" applyFont="1" applyFill="1" applyBorder="1" applyAlignment="1">
      <alignment horizontal="left" vertical="center"/>
    </xf>
    <xf numFmtId="1" fontId="45" fillId="8" borderId="141" xfId="0" applyNumberFormat="1" applyFont="1" applyFill="1" applyBorder="1" applyAlignment="1">
      <alignment vertical="center"/>
    </xf>
    <xf numFmtId="1" fontId="20" fillId="8" borderId="141" xfId="0" applyNumberFormat="1" applyFont="1" applyFill="1" applyBorder="1" applyAlignment="1">
      <alignment horizontal="center" vertical="center"/>
    </xf>
    <xf numFmtId="1" fontId="45" fillId="7" borderId="141" xfId="0" applyNumberFormat="1" applyFont="1" applyFill="1" applyBorder="1" applyAlignment="1">
      <alignment vertical="center"/>
    </xf>
    <xf numFmtId="1" fontId="45" fillId="5" borderId="141" xfId="0" applyNumberFormat="1" applyFont="1" applyFill="1" applyBorder="1" applyAlignment="1">
      <alignment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45" fillId="5" borderId="141" xfId="0" applyNumberFormat="1" applyFont="1" applyFill="1" applyBorder="1" applyAlignment="1">
      <alignment horizontal="center" vertical="center"/>
    </xf>
    <xf numFmtId="1" fontId="45" fillId="54" borderId="141" xfId="0" applyNumberFormat="1" applyFont="1" applyFill="1" applyBorder="1" applyAlignment="1">
      <alignment vertical="center"/>
    </xf>
    <xf numFmtId="1" fontId="45" fillId="5" borderId="23" xfId="0" applyNumberFormat="1" applyFont="1" applyFill="1" applyBorder="1" applyAlignment="1">
      <alignment vertical="center"/>
    </xf>
    <xf numFmtId="1" fontId="45" fillId="54" borderId="23" xfId="0" applyNumberFormat="1" applyFont="1" applyFill="1" applyBorder="1" applyAlignment="1">
      <alignment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29" xfId="0" applyNumberFormat="1" applyFont="1" applyFill="1" applyBorder="1" applyAlignment="1">
      <alignment horizontal="center" vertical="center"/>
    </xf>
    <xf numFmtId="1" fontId="185" fillId="0" borderId="126" xfId="1" applyNumberFormat="1" applyFont="1" applyBorder="1" applyAlignment="1">
      <alignment horizontal="center" vertical="center"/>
    </xf>
    <xf numFmtId="17" fontId="164" fillId="0" borderId="63" xfId="536" applyNumberFormat="1" applyFont="1" applyBorder="1" applyAlignment="1">
      <alignment horizontal="center" vertical="center"/>
    </xf>
    <xf numFmtId="0" fontId="163" fillId="0" borderId="142" xfId="536" applyFont="1" applyBorder="1" applyAlignment="1">
      <alignment horizontal="center" vertical="center"/>
    </xf>
    <xf numFmtId="0" fontId="160" fillId="0" borderId="143" xfId="536" applyFont="1" applyBorder="1" applyAlignment="1">
      <alignment horizontal="center" vertical="center"/>
    </xf>
    <xf numFmtId="1" fontId="161" fillId="0" borderId="143" xfId="536" applyNumberFormat="1" applyFont="1" applyBorder="1" applyAlignment="1">
      <alignment horizontal="center" vertical="center"/>
    </xf>
    <xf numFmtId="1" fontId="160" fillId="0" borderId="143" xfId="536" applyNumberFormat="1" applyFont="1" applyBorder="1" applyAlignment="1">
      <alignment horizontal="center" vertical="center"/>
    </xf>
    <xf numFmtId="1" fontId="162" fillId="0" borderId="143" xfId="0" applyNumberFormat="1" applyFont="1" applyBorder="1" applyAlignment="1">
      <alignment horizontal="center" vertical="center"/>
    </xf>
    <xf numFmtId="0" fontId="162" fillId="0" borderId="143" xfId="0" applyFont="1" applyBorder="1" applyAlignment="1">
      <alignment horizontal="center" vertical="center"/>
    </xf>
    <xf numFmtId="1" fontId="162" fillId="0" borderId="144" xfId="0" applyNumberFormat="1" applyFont="1" applyBorder="1" applyAlignment="1">
      <alignment horizontal="center" vertical="center"/>
    </xf>
    <xf numFmtId="0" fontId="163" fillId="0" borderId="145" xfId="536" applyFont="1" applyBorder="1" applyAlignment="1">
      <alignment horizontal="center" vertical="center"/>
    </xf>
    <xf numFmtId="0" fontId="160" fillId="0" borderId="146" xfId="536" applyFont="1" applyBorder="1" applyAlignment="1">
      <alignment horizontal="center" vertical="center"/>
    </xf>
    <xf numFmtId="1" fontId="160" fillId="0" borderId="146" xfId="536" applyNumberFormat="1" applyFont="1" applyBorder="1" applyAlignment="1">
      <alignment horizontal="center" vertical="center"/>
    </xf>
    <xf numFmtId="1" fontId="161" fillId="0" borderId="146" xfId="536" applyNumberFormat="1" applyFont="1" applyBorder="1" applyAlignment="1">
      <alignment horizontal="center" vertical="center"/>
    </xf>
    <xf numFmtId="1" fontId="160" fillId="0" borderId="147" xfId="536" applyNumberFormat="1" applyFont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69" fontId="20" fillId="6" borderId="30" xfId="0" applyNumberFormat="1" applyFont="1" applyFill="1" applyBorder="1" applyAlignment="1">
      <alignment horizontal="center" vertical="center"/>
    </xf>
    <xf numFmtId="167" fontId="20" fillId="7" borderId="85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64" fontId="20" fillId="8" borderId="142" xfId="0" quotePrefix="1" applyNumberFormat="1" applyFont="1" applyFill="1" applyBorder="1" applyAlignment="1">
      <alignment horizontal="left" vertical="center"/>
    </xf>
    <xf numFmtId="0" fontId="19" fillId="8" borderId="143" xfId="0" applyFont="1" applyFill="1" applyBorder="1" applyAlignment="1">
      <alignment vertical="center"/>
    </xf>
    <xf numFmtId="1" fontId="20" fillId="0" borderId="143" xfId="0" applyNumberFormat="1" applyFont="1" applyBorder="1" applyAlignment="1">
      <alignment horizontal="center" vertical="center"/>
    </xf>
    <xf numFmtId="1" fontId="20" fillId="7" borderId="143" xfId="0" applyNumberFormat="1" applyFont="1" applyFill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5" borderId="143" xfId="0" applyNumberFormat="1" applyFont="1" applyFill="1" applyBorder="1" applyAlignment="1">
      <alignment horizontal="center" vertical="center"/>
    </xf>
    <xf numFmtId="1" fontId="19" fillId="5" borderId="143" xfId="0" applyNumberFormat="1" applyFont="1" applyFill="1" applyBorder="1" applyAlignment="1">
      <alignment horizontal="center" vertical="center"/>
    </xf>
    <xf numFmtId="1" fontId="19" fillId="6" borderId="143" xfId="0" applyNumberFormat="1" applyFont="1" applyFill="1" applyBorder="1" applyAlignment="1">
      <alignment horizontal="center" vertical="center"/>
    </xf>
    <xf numFmtId="164" fontId="20" fillId="0" borderId="35" xfId="0" quotePrefix="1" applyNumberFormat="1" applyFont="1" applyBorder="1" applyAlignment="1">
      <alignment horizontal="left" vertical="center"/>
    </xf>
    <xf numFmtId="164" fontId="20" fillId="0" borderId="46" xfId="0" quotePrefix="1" applyNumberFormat="1" applyFont="1" applyBorder="1" applyAlignment="1">
      <alignment horizontal="left" vertical="center"/>
    </xf>
    <xf numFmtId="0" fontId="32" fillId="8" borderId="46" xfId="0" applyFont="1" applyFill="1" applyBorder="1" applyAlignment="1">
      <alignment horizontal="center" vertical="center"/>
    </xf>
    <xf numFmtId="1" fontId="18" fillId="5" borderId="143" xfId="0" applyNumberFormat="1" applyFont="1" applyFill="1" applyBorder="1" applyAlignment="1">
      <alignment horizontal="center" vertical="center"/>
    </xf>
    <xf numFmtId="1" fontId="18" fillId="6" borderId="143" xfId="0" applyNumberFormat="1" applyFont="1" applyFill="1" applyBorder="1" applyAlignment="1">
      <alignment horizontal="center" vertical="center"/>
    </xf>
    <xf numFmtId="172" fontId="20" fillId="0" borderId="136" xfId="0" quotePrefix="1" applyNumberFormat="1" applyFont="1" applyBorder="1" applyAlignment="1">
      <alignment horizontal="center" vertical="center"/>
    </xf>
    <xf numFmtId="1" fontId="20" fillId="0" borderId="142" xfId="0" applyNumberFormat="1" applyFont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42" xfId="0" applyNumberFormat="1" applyFont="1" applyFill="1" applyBorder="1" applyAlignment="1">
      <alignment vertical="center"/>
    </xf>
    <xf numFmtId="1" fontId="20" fillId="7" borderId="142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6" borderId="143" xfId="0" applyNumberFormat="1" applyFont="1" applyFill="1" applyBorder="1" applyAlignment="1">
      <alignment vertical="center"/>
    </xf>
    <xf numFmtId="1" fontId="20" fillId="44" borderId="143" xfId="0" applyNumberFormat="1" applyFont="1" applyFill="1" applyBorder="1" applyAlignment="1">
      <alignment vertical="center"/>
    </xf>
    <xf numFmtId="164" fontId="20" fillId="8" borderId="142" xfId="0" quotePrefix="1" applyNumberFormat="1" applyFont="1" applyFill="1" applyBorder="1" applyAlignment="1">
      <alignment horizontal="left" vertical="center" wrapText="1"/>
    </xf>
    <xf numFmtId="0" fontId="20" fillId="8" borderId="143" xfId="0" applyFont="1" applyFill="1" applyBorder="1" applyAlignment="1">
      <alignment horizontal="left" vertical="center"/>
    </xf>
    <xf numFmtId="0" fontId="20" fillId="0" borderId="143" xfId="0" applyFont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164" fontId="20" fillId="8" borderId="148" xfId="0" quotePrefix="1" applyNumberFormat="1" applyFont="1" applyFill="1" applyBorder="1" applyAlignment="1">
      <alignment horizontal="left" vertical="center"/>
    </xf>
    <xf numFmtId="0" fontId="20" fillId="8" borderId="148" xfId="0" applyFont="1" applyFill="1" applyBorder="1" applyAlignment="1">
      <alignment horizontal="left" vertical="center"/>
    </xf>
    <xf numFmtId="1" fontId="45" fillId="8" borderId="148" xfId="0" applyNumberFormat="1" applyFont="1" applyFill="1" applyBorder="1" applyAlignment="1">
      <alignment vertical="center"/>
    </xf>
    <xf numFmtId="1" fontId="20" fillId="8" borderId="148" xfId="0" applyNumberFormat="1" applyFont="1" applyFill="1" applyBorder="1" applyAlignment="1">
      <alignment horizontal="center" vertical="center"/>
    </xf>
    <xf numFmtId="1" fontId="45" fillId="7" borderId="148" xfId="0" applyNumberFormat="1" applyFont="1" applyFill="1" applyBorder="1" applyAlignment="1">
      <alignment vertical="center"/>
    </xf>
    <xf numFmtId="1" fontId="20" fillId="7" borderId="148" xfId="0" applyNumberFormat="1" applyFont="1" applyFill="1" applyBorder="1" applyAlignment="1">
      <alignment horizontal="center" vertical="center"/>
    </xf>
    <xf numFmtId="1" fontId="45" fillId="5" borderId="148" xfId="0" applyNumberFormat="1" applyFont="1" applyFill="1" applyBorder="1" applyAlignment="1">
      <alignment vertical="center"/>
    </xf>
    <xf numFmtId="1" fontId="45" fillId="5" borderId="148" xfId="0" applyNumberFormat="1" applyFont="1" applyFill="1" applyBorder="1" applyAlignment="1">
      <alignment horizontal="center" vertical="center"/>
    </xf>
    <xf numFmtId="1" fontId="45" fillId="54" borderId="148" xfId="0" applyNumberFormat="1" applyFont="1" applyFill="1" applyBorder="1" applyAlignment="1">
      <alignment vertical="center"/>
    </xf>
    <xf numFmtId="1" fontId="20" fillId="54" borderId="148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1" fontId="45" fillId="54" borderId="5" xfId="0" applyNumberFormat="1" applyFont="1" applyFill="1" applyBorder="1" applyAlignment="1">
      <alignment vertical="center"/>
    </xf>
    <xf numFmtId="0" fontId="20" fillId="0" borderId="142" xfId="0" applyFont="1" applyBorder="1" applyAlignment="1">
      <alignment horizontal="right" vertical="center"/>
    </xf>
    <xf numFmtId="1" fontId="20" fillId="8" borderId="143" xfId="0" applyNumberFormat="1" applyFont="1" applyFill="1" applyBorder="1" applyAlignment="1">
      <alignment horizontal="center" vertical="center"/>
    </xf>
    <xf numFmtId="1" fontId="21" fillId="5" borderId="143" xfId="0" applyNumberFormat="1" applyFont="1" applyFill="1" applyBorder="1" applyAlignment="1">
      <alignment horizontal="center" vertical="center"/>
    </xf>
    <xf numFmtId="1" fontId="0" fillId="8" borderId="85" xfId="0" applyNumberFormat="1" applyFill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167" fontId="18" fillId="8" borderId="32" xfId="0" quotePrefix="1" applyNumberFormat="1" applyFont="1" applyFill="1" applyBorder="1" applyAlignment="1">
      <alignment horizontal="center" vertical="center"/>
    </xf>
    <xf numFmtId="0" fontId="4" fillId="8" borderId="153" xfId="0" applyFont="1" applyFill="1" applyBorder="1" applyAlignment="1">
      <alignment horizontal="left" vertical="center"/>
    </xf>
    <xf numFmtId="0" fontId="4" fillId="0" borderId="154" xfId="0" applyFont="1" applyBorder="1" applyAlignment="1">
      <alignment horizontal="center" vertical="center"/>
    </xf>
    <xf numFmtId="0" fontId="4" fillId="8" borderId="154" xfId="0" applyFont="1" applyFill="1" applyBorder="1" applyAlignment="1">
      <alignment horizontal="center" vertical="center"/>
    </xf>
    <xf numFmtId="1" fontId="4" fillId="8" borderId="154" xfId="0" applyNumberFormat="1" applyFont="1" applyFill="1" applyBorder="1" applyAlignment="1">
      <alignment horizontal="center" vertical="center"/>
    </xf>
    <xf numFmtId="1" fontId="4" fillId="50" borderId="154" xfId="0" applyNumberFormat="1" applyFont="1" applyFill="1" applyBorder="1" applyAlignment="1">
      <alignment horizontal="center" vertical="center"/>
    </xf>
    <xf numFmtId="1" fontId="18" fillId="5" borderId="154" xfId="0" applyNumberFormat="1" applyFont="1" applyFill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20" fillId="8" borderId="154" xfId="0" applyNumberFormat="1" applyFont="1" applyFill="1" applyBorder="1" applyAlignment="1">
      <alignment horizontal="center" vertical="center"/>
    </xf>
    <xf numFmtId="1" fontId="4" fillId="6" borderId="156" xfId="0" applyNumberFormat="1" applyFont="1" applyFill="1" applyBorder="1" applyAlignment="1">
      <alignment horizontal="center" vertical="center"/>
    </xf>
    <xf numFmtId="1" fontId="23" fillId="8" borderId="154" xfId="0" applyNumberFormat="1" applyFont="1" applyFill="1" applyBorder="1" applyAlignment="1">
      <alignment horizontal="center" vertical="center"/>
    </xf>
    <xf numFmtId="1" fontId="4" fillId="8" borderId="156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right" vertical="center"/>
    </xf>
    <xf numFmtId="0" fontId="20" fillId="0" borderId="154" xfId="0" applyFont="1" applyBorder="1" applyAlignment="1">
      <alignment horizontal="center" vertical="center"/>
    </xf>
    <xf numFmtId="1" fontId="20" fillId="50" borderId="154" xfId="0" applyNumberFormat="1" applyFont="1" applyFill="1" applyBorder="1" applyAlignment="1">
      <alignment horizontal="center" vertical="center"/>
    </xf>
    <xf numFmtId="1" fontId="21" fillId="6" borderId="156" xfId="0" applyNumberFormat="1" applyFont="1" applyFill="1" applyBorder="1" applyAlignment="1">
      <alignment horizontal="center" vertical="center"/>
    </xf>
    <xf numFmtId="1" fontId="12" fillId="8" borderId="154" xfId="0" applyNumberFormat="1" applyFont="1" applyFill="1" applyBorder="1" applyAlignment="1">
      <alignment horizontal="center" vertical="center"/>
    </xf>
    <xf numFmtId="1" fontId="20" fillId="7" borderId="156" xfId="0" applyNumberFormat="1" applyFont="1" applyFill="1" applyBorder="1" applyAlignment="1">
      <alignment horizontal="center" vertical="center"/>
    </xf>
    <xf numFmtId="1" fontId="21" fillId="7" borderId="156" xfId="0" applyNumberFormat="1" applyFont="1" applyFill="1" applyBorder="1" applyAlignment="1">
      <alignment horizontal="center" vertical="center"/>
    </xf>
    <xf numFmtId="0" fontId="18" fillId="8" borderId="154" xfId="0" applyFont="1" applyFill="1" applyBorder="1" applyAlignment="1">
      <alignment horizontal="center" vertical="center"/>
    </xf>
    <xf numFmtId="0" fontId="20" fillId="8" borderId="154" xfId="0" applyFont="1" applyFill="1" applyBorder="1" applyAlignment="1">
      <alignment horizontal="center" vertical="center"/>
    </xf>
    <xf numFmtId="1" fontId="4" fillId="8" borderId="155" xfId="0" applyNumberFormat="1" applyFont="1" applyFill="1" applyBorder="1" applyAlignment="1">
      <alignment horizontal="center" vertical="center"/>
    </xf>
    <xf numFmtId="0" fontId="18" fillId="0" borderId="154" xfId="0" applyFont="1" applyBorder="1" applyAlignment="1">
      <alignment horizontal="center" vertical="center"/>
    </xf>
    <xf numFmtId="1" fontId="19" fillId="8" borderId="155" xfId="0" applyNumberFormat="1" applyFont="1" applyFill="1" applyBorder="1" applyAlignment="1">
      <alignment horizontal="center" vertical="center"/>
    </xf>
    <xf numFmtId="1" fontId="19" fillId="8" borderId="154" xfId="0" applyNumberFormat="1" applyFont="1" applyFill="1" applyBorder="1" applyAlignment="1">
      <alignment horizontal="center" vertical="center"/>
    </xf>
    <xf numFmtId="1" fontId="19" fillId="5" borderId="154" xfId="0" applyNumberFormat="1" applyFont="1" applyFill="1" applyBorder="1" applyAlignment="1">
      <alignment horizontal="center" vertical="center"/>
    </xf>
    <xf numFmtId="1" fontId="4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horizontal="right" vertical="center"/>
    </xf>
    <xf numFmtId="0" fontId="20" fillId="0" borderId="157" xfId="0" applyFont="1" applyBorder="1" applyAlignment="1">
      <alignment horizontal="center" vertical="center"/>
    </xf>
    <xf numFmtId="1" fontId="20" fillId="8" borderId="157" xfId="0" applyNumberFormat="1" applyFont="1" applyFill="1" applyBorder="1" applyAlignment="1">
      <alignment horizontal="center" vertical="center"/>
    </xf>
    <xf numFmtId="1" fontId="18" fillId="5" borderId="157" xfId="0" applyNumberFormat="1" applyFont="1" applyFill="1" applyBorder="1" applyAlignment="1">
      <alignment horizontal="center" vertical="center"/>
    </xf>
    <xf numFmtId="1" fontId="12" fillId="8" borderId="157" xfId="0" applyNumberFormat="1" applyFont="1" applyFill="1" applyBorder="1" applyAlignment="1">
      <alignment horizontal="center" vertical="center"/>
    </xf>
    <xf numFmtId="0" fontId="14" fillId="0" borderId="154" xfId="0" applyFont="1" applyBorder="1" applyAlignment="1">
      <alignment horizontal="left" vertical="center"/>
    </xf>
    <xf numFmtId="167" fontId="14" fillId="0" borderId="154" xfId="0" applyNumberFormat="1" applyFont="1" applyBorder="1" applyAlignment="1">
      <alignment horizontal="center" vertical="center"/>
    </xf>
    <xf numFmtId="167" fontId="14" fillId="7" borderId="154" xfId="0" applyNumberFormat="1" applyFont="1" applyFill="1" applyBorder="1" applyAlignment="1">
      <alignment horizontal="center" vertical="center"/>
    </xf>
    <xf numFmtId="1" fontId="14" fillId="7" borderId="154" xfId="0" applyNumberFormat="1" applyFont="1" applyFill="1" applyBorder="1" applyAlignment="1">
      <alignment horizontal="center" vertical="center"/>
    </xf>
    <xf numFmtId="1" fontId="14" fillId="5" borderId="154" xfId="0" applyNumberFormat="1" applyFont="1" applyFill="1" applyBorder="1" applyAlignment="1">
      <alignment horizontal="center" vertical="center"/>
    </xf>
    <xf numFmtId="1" fontId="14" fillId="7" borderId="3" xfId="0" applyNumberFormat="1" applyFont="1" applyFill="1" applyBorder="1" applyAlignment="1">
      <alignment horizontal="center" vertical="center"/>
    </xf>
    <xf numFmtId="1" fontId="14" fillId="0" borderId="154" xfId="0" applyNumberFormat="1" applyFont="1" applyBorder="1" applyAlignment="1">
      <alignment horizontal="center" vertical="center"/>
    </xf>
    <xf numFmtId="1" fontId="14" fillId="6" borderId="154" xfId="0" applyNumberFormat="1" applyFont="1" applyFill="1" applyBorder="1" applyAlignment="1">
      <alignment horizontal="center" vertical="center"/>
    </xf>
    <xf numFmtId="167" fontId="27" fillId="0" borderId="154" xfId="0" applyNumberFormat="1" applyFont="1" applyBorder="1" applyAlignment="1">
      <alignment horizontal="center" vertical="center"/>
    </xf>
    <xf numFmtId="1" fontId="27" fillId="8" borderId="154" xfId="0" applyNumberFormat="1" applyFont="1" applyFill="1" applyBorder="1" applyAlignment="1">
      <alignment horizontal="center" vertical="center"/>
    </xf>
    <xf numFmtId="1" fontId="27" fillId="0" borderId="154" xfId="0" applyNumberFormat="1" applyFont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27" fillId="6" borderId="154" xfId="0" applyNumberFormat="1" applyFont="1" applyFill="1" applyBorder="1" applyAlignment="1">
      <alignment horizontal="center" vertical="center"/>
    </xf>
    <xf numFmtId="1" fontId="27" fillId="7" borderId="154" xfId="0" applyNumberFormat="1" applyFont="1" applyFill="1" applyBorder="1" applyAlignment="1">
      <alignment horizontal="center" vertical="center"/>
    </xf>
    <xf numFmtId="1" fontId="27" fillId="5" borderId="153" xfId="0" applyNumberFormat="1" applyFont="1" applyFill="1" applyBorder="1" applyAlignment="1">
      <alignment horizontal="center" vertical="center"/>
    </xf>
    <xf numFmtId="1" fontId="14" fillId="5" borderId="158" xfId="0" applyNumberFormat="1" applyFont="1" applyFill="1" applyBorder="1" applyAlignment="1">
      <alignment horizontal="center" vertical="center"/>
    </xf>
    <xf numFmtId="167" fontId="27" fillId="6" borderId="154" xfId="0" applyNumberFormat="1" applyFont="1" applyFill="1" applyBorder="1" applyAlignment="1">
      <alignment horizontal="center" vertical="center"/>
    </xf>
    <xf numFmtId="1" fontId="14" fillId="5" borderId="156" xfId="0" applyNumberFormat="1" applyFont="1" applyFill="1" applyBorder="1" applyAlignment="1">
      <alignment horizontal="center" vertical="center"/>
    </xf>
    <xf numFmtId="167" fontId="27" fillId="8" borderId="154" xfId="0" applyNumberFormat="1" applyFont="1" applyFill="1" applyBorder="1" applyAlignment="1">
      <alignment horizontal="center" vertical="center"/>
    </xf>
    <xf numFmtId="1" fontId="27" fillId="5" borderId="155" xfId="0" applyNumberFormat="1" applyFont="1" applyFill="1" applyBorder="1" applyAlignment="1">
      <alignment horizontal="center" vertical="center"/>
    </xf>
    <xf numFmtId="167" fontId="27" fillId="7" borderId="154" xfId="0" applyNumberFormat="1" applyFont="1" applyFill="1" applyBorder="1" applyAlignment="1">
      <alignment horizontal="center" vertical="center"/>
    </xf>
    <xf numFmtId="0" fontId="140" fillId="5" borderId="154" xfId="376" applyFont="1" applyFill="1" applyBorder="1" applyAlignment="1">
      <alignment wrapText="1"/>
    </xf>
    <xf numFmtId="0" fontId="140" fillId="5" borderId="154" xfId="376" applyFont="1" applyFill="1" applyBorder="1"/>
    <xf numFmtId="2" fontId="141" fillId="5" borderId="154" xfId="376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29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77" fontId="0" fillId="0" borderId="0" xfId="22" applyNumberFormat="1" applyFont="1"/>
    <xf numFmtId="1" fontId="86" fillId="8" borderId="118" xfId="0" applyNumberFormat="1" applyFont="1" applyFill="1" applyBorder="1" applyAlignment="1">
      <alignment horizontal="center" vertical="center"/>
    </xf>
    <xf numFmtId="2" fontId="20" fillId="6" borderId="20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21" fillId="7" borderId="159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2" fontId="162" fillId="8" borderId="154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0" fontId="29" fillId="54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4" xfId="0" applyFont="1" applyBorder="1"/>
    <xf numFmtId="0" fontId="20" fillId="0" borderId="154" xfId="0" applyFont="1" applyBorder="1"/>
    <xf numFmtId="0" fontId="84" fillId="0" borderId="25" xfId="0" applyFont="1" applyBorder="1"/>
    <xf numFmtId="0" fontId="84" fillId="0" borderId="55" xfId="0" applyFont="1" applyBorder="1"/>
    <xf numFmtId="0" fontId="0" fillId="0" borderId="153" xfId="0" applyBorder="1" applyAlignment="1">
      <alignment horizontal="right"/>
    </xf>
    <xf numFmtId="0" fontId="0" fillId="0" borderId="155" xfId="0" applyBorder="1" applyAlignment="1">
      <alignment horizontal="right"/>
    </xf>
    <xf numFmtId="1" fontId="0" fillId="0" borderId="154" xfId="0" applyNumberForma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1" fontId="99" fillId="32" borderId="120" xfId="0" applyNumberFormat="1" applyFont="1" applyFill="1" applyBorder="1" applyAlignment="1">
      <alignment horizontal="center" vertical="center"/>
    </xf>
    <xf numFmtId="1" fontId="100" fillId="0" borderId="118" xfId="0" applyNumberFormat="1" applyFont="1" applyBorder="1" applyAlignment="1">
      <alignment horizontal="center" vertical="center"/>
    </xf>
    <xf numFmtId="1" fontId="99" fillId="32" borderId="23" xfId="0" applyNumberFormat="1" applyFont="1" applyFill="1" applyBorder="1" applyAlignment="1">
      <alignment horizontal="center" vertical="center"/>
    </xf>
    <xf numFmtId="0" fontId="206" fillId="0" borderId="55" xfId="0" applyFont="1" applyBorder="1"/>
    <xf numFmtId="0" fontId="55" fillId="0" borderId="118" xfId="0" applyFont="1" applyBorder="1"/>
    <xf numFmtId="0" fontId="205" fillId="7" borderId="118" xfId="0" applyFont="1" applyFill="1" applyBorder="1" applyAlignment="1">
      <alignment horizontal="center" vertical="center"/>
    </xf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0" fillId="32" borderId="154" xfId="0" applyNumberFormat="1" applyFill="1" applyBorder="1" applyAlignment="1">
      <alignment horizontal="center" vertical="center"/>
    </xf>
    <xf numFmtId="0" fontId="84" fillId="32" borderId="55" xfId="0" applyFont="1" applyFill="1" applyBorder="1"/>
    <xf numFmtId="0" fontId="0" fillId="32" borderId="118" xfId="0" applyFill="1" applyBorder="1" applyAlignment="1">
      <alignment horizontal="center" vertical="center"/>
    </xf>
    <xf numFmtId="0" fontId="0" fillId="32" borderId="118" xfId="0" applyFill="1" applyBorder="1"/>
    <xf numFmtId="0" fontId="86" fillId="32" borderId="118" xfId="0" applyFont="1" applyFill="1" applyBorder="1" applyAlignment="1">
      <alignment horizontal="center" vertical="center"/>
    </xf>
    <xf numFmtId="1" fontId="205" fillId="7" borderId="118" xfId="0" applyNumberFormat="1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4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 wrapText="1"/>
    </xf>
    <xf numFmtId="1" fontId="45" fillId="7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1" fontId="45" fillId="6" borderId="0" xfId="0" applyNumberFormat="1" applyFont="1" applyFill="1" applyAlignment="1">
      <alignment horizontal="center"/>
    </xf>
    <xf numFmtId="0" fontId="19" fillId="7" borderId="118" xfId="0" applyFont="1" applyFill="1" applyBorder="1" applyAlignment="1">
      <alignment horizontal="center" vertical="center"/>
    </xf>
    <xf numFmtId="1" fontId="20" fillId="7" borderId="154" xfId="0" applyNumberFormat="1" applyFont="1" applyFill="1" applyBorder="1" applyAlignment="1">
      <alignment horizontal="center" vertical="center"/>
    </xf>
    <xf numFmtId="0" fontId="19" fillId="8" borderId="30" xfId="0" applyFont="1" applyFill="1" applyBorder="1" applyAlignment="1">
      <alignment vertical="center"/>
    </xf>
    <xf numFmtId="164" fontId="20" fillId="8" borderId="153" xfId="0" quotePrefix="1" applyNumberFormat="1" applyFont="1" applyFill="1" applyBorder="1" applyAlignment="1">
      <alignment horizontal="left" vertical="center"/>
    </xf>
    <xf numFmtId="0" fontId="20" fillId="8" borderId="158" xfId="0" applyFont="1" applyFill="1" applyBorder="1" applyAlignment="1">
      <alignment horizontal="left" vertical="center"/>
    </xf>
    <xf numFmtId="0" fontId="19" fillId="0" borderId="158" xfId="0" applyFont="1" applyBorder="1" applyAlignment="1">
      <alignment horizontal="center" vertical="center"/>
    </xf>
    <xf numFmtId="0" fontId="18" fillId="8" borderId="154" xfId="0" applyFont="1" applyFill="1" applyBorder="1" applyAlignment="1">
      <alignment vertical="center"/>
    </xf>
    <xf numFmtId="1" fontId="20" fillId="0" borderId="154" xfId="0" applyNumberFormat="1" applyFont="1" applyBorder="1" applyAlignment="1">
      <alignment horizontal="center" vertical="center"/>
    </xf>
    <xf numFmtId="1" fontId="20" fillId="5" borderId="154" xfId="0" applyNumberFormat="1" applyFont="1" applyFill="1" applyBorder="1" applyAlignment="1">
      <alignment horizontal="center" vertical="center"/>
    </xf>
    <xf numFmtId="1" fontId="19" fillId="6" borderId="154" xfId="0" applyNumberFormat="1" applyFont="1" applyFill="1" applyBorder="1" applyAlignment="1">
      <alignment horizontal="center" vertical="center"/>
    </xf>
    <xf numFmtId="1" fontId="18" fillId="8" borderId="154" xfId="0" applyNumberFormat="1" applyFont="1" applyFill="1" applyBorder="1" applyAlignment="1">
      <alignment vertical="center"/>
    </xf>
    <xf numFmtId="164" fontId="20" fillId="8" borderId="145" xfId="0" quotePrefix="1" applyNumberFormat="1" applyFont="1" applyFill="1" applyBorder="1" applyAlignment="1">
      <alignment horizontal="left" vertical="center"/>
    </xf>
    <xf numFmtId="0" fontId="20" fillId="8" borderId="162" xfId="0" applyFont="1" applyFill="1" applyBorder="1" applyAlignment="1">
      <alignment horizontal="left" vertical="center"/>
    </xf>
    <xf numFmtId="0" fontId="19" fillId="0" borderId="162" xfId="0" applyFont="1" applyBorder="1" applyAlignment="1">
      <alignment horizontal="center" vertical="center"/>
    </xf>
    <xf numFmtId="0" fontId="18" fillId="8" borderId="157" xfId="0" applyFont="1" applyFill="1" applyBorder="1" applyAlignment="1">
      <alignment vertical="center"/>
    </xf>
    <xf numFmtId="1" fontId="20" fillId="0" borderId="157" xfId="0" applyNumberFormat="1" applyFont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0" fillId="7" borderId="159" xfId="0" applyNumberFormat="1" applyFont="1" applyFill="1" applyBorder="1" applyAlignment="1">
      <alignment horizontal="center" vertical="center"/>
    </xf>
    <xf numFmtId="1" fontId="20" fillId="5" borderId="157" xfId="0" applyNumberFormat="1" applyFont="1" applyFill="1" applyBorder="1" applyAlignment="1">
      <alignment horizontal="center" vertical="center"/>
    </xf>
    <xf numFmtId="1" fontId="19" fillId="5" borderId="157" xfId="0" applyNumberFormat="1" applyFont="1" applyFill="1" applyBorder="1" applyAlignment="1">
      <alignment horizontal="center" vertical="center"/>
    </xf>
    <xf numFmtId="1" fontId="19" fillId="6" borderId="157" xfId="0" applyNumberFormat="1" applyFont="1" applyFill="1" applyBorder="1" applyAlignment="1">
      <alignment horizontal="center" vertical="center"/>
    </xf>
    <xf numFmtId="1" fontId="122" fillId="8" borderId="10" xfId="0" applyNumberFormat="1" applyFont="1" applyFill="1" applyBorder="1" applyAlignment="1">
      <alignment horizontal="center" vertical="center"/>
    </xf>
    <xf numFmtId="167" fontId="122" fillId="8" borderId="10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1" fontId="18" fillId="8" borderId="71" xfId="0" applyNumberFormat="1" applyFont="1" applyFill="1" applyBorder="1" applyAlignment="1">
      <alignment horizontal="center" vertical="center"/>
    </xf>
    <xf numFmtId="1" fontId="18" fillId="8" borderId="53" xfId="0" applyNumberFormat="1" applyFont="1" applyFill="1" applyBorder="1" applyAlignment="1">
      <alignment horizontal="center" vertical="center"/>
    </xf>
    <xf numFmtId="1" fontId="27" fillId="5" borderId="156" xfId="0" applyNumberFormat="1" applyFont="1" applyFill="1" applyBorder="1" applyAlignment="1">
      <alignment horizontal="center" vertical="center"/>
    </xf>
    <xf numFmtId="1" fontId="27" fillId="5" borderId="158" xfId="0" applyNumberFormat="1" applyFont="1" applyFill="1" applyBorder="1" applyAlignment="1">
      <alignment horizontal="center" vertical="center"/>
    </xf>
    <xf numFmtId="0" fontId="27" fillId="0" borderId="163" xfId="0" applyFont="1" applyBorder="1" applyAlignment="1">
      <alignment horizontal="left" vertical="center"/>
    </xf>
    <xf numFmtId="167" fontId="27" fillId="0" borderId="160" xfId="0" applyNumberFormat="1" applyFont="1" applyBorder="1" applyAlignment="1">
      <alignment horizontal="center" vertical="center"/>
    </xf>
    <xf numFmtId="1" fontId="27" fillId="0" borderId="156" xfId="0" applyNumberFormat="1" applyFont="1" applyBorder="1" applyAlignment="1">
      <alignment horizontal="center" vertical="center"/>
    </xf>
    <xf numFmtId="167" fontId="27" fillId="8" borderId="160" xfId="0" applyNumberFormat="1" applyFont="1" applyFill="1" applyBorder="1" applyAlignment="1">
      <alignment horizontal="center" vertical="center"/>
    </xf>
    <xf numFmtId="0" fontId="14" fillId="0" borderId="163" xfId="0" applyFont="1" applyBorder="1" applyAlignment="1">
      <alignment horizontal="right" vertical="center"/>
    </xf>
    <xf numFmtId="167" fontId="14" fillId="0" borderId="160" xfId="0" applyNumberFormat="1" applyFont="1" applyBorder="1" applyAlignment="1">
      <alignment horizontal="center" vertical="center"/>
    </xf>
    <xf numFmtId="1" fontId="14" fillId="0" borderId="160" xfId="0" applyNumberFormat="1" applyFont="1" applyBorder="1" applyAlignment="1">
      <alignment horizontal="center" vertical="center"/>
    </xf>
    <xf numFmtId="1" fontId="14" fillId="5" borderId="160" xfId="0" applyNumberFormat="1" applyFont="1" applyFill="1" applyBorder="1" applyAlignment="1">
      <alignment horizontal="center" vertical="center"/>
    </xf>
    <xf numFmtId="1" fontId="14" fillId="5" borderId="164" xfId="0" applyNumberFormat="1" applyFont="1" applyFill="1" applyBorder="1" applyAlignment="1">
      <alignment horizontal="center" vertical="center"/>
    </xf>
    <xf numFmtId="1" fontId="14" fillId="0" borderId="164" xfId="0" applyNumberFormat="1" applyFont="1" applyBorder="1" applyAlignment="1">
      <alignment horizontal="center" vertical="center"/>
    </xf>
    <xf numFmtId="167" fontId="27" fillId="0" borderId="161" xfId="0" applyNumberFormat="1" applyFont="1" applyBorder="1" applyAlignment="1">
      <alignment horizontal="center" vertical="center"/>
    </xf>
    <xf numFmtId="1" fontId="27" fillId="0" borderId="159" xfId="0" applyNumberFormat="1" applyFont="1" applyBorder="1" applyAlignment="1">
      <alignment horizontal="center" vertical="center"/>
    </xf>
    <xf numFmtId="167" fontId="27" fillId="8" borderId="161" xfId="0" applyNumberFormat="1" applyFont="1" applyFill="1" applyBorder="1" applyAlignment="1">
      <alignment horizontal="center" vertical="center"/>
    </xf>
    <xf numFmtId="1" fontId="27" fillId="8" borderId="156" xfId="0" applyNumberFormat="1" applyFont="1" applyFill="1" applyBorder="1" applyAlignment="1">
      <alignment horizontal="center" vertical="center"/>
    </xf>
    <xf numFmtId="0" fontId="14" fillId="0" borderId="165" xfId="0" applyFont="1" applyBorder="1" applyAlignment="1">
      <alignment horizontal="right" vertical="center"/>
    </xf>
    <xf numFmtId="1" fontId="14" fillId="0" borderId="166" xfId="0" applyNumberFormat="1" applyFont="1" applyBorder="1" applyAlignment="1">
      <alignment horizontal="center" vertical="center"/>
    </xf>
    <xf numFmtId="1" fontId="14" fillId="5" borderId="166" xfId="0" applyNumberFormat="1" applyFont="1" applyFill="1" applyBorder="1" applyAlignment="1">
      <alignment horizontal="center" vertical="center"/>
    </xf>
    <xf numFmtId="1" fontId="14" fillId="5" borderId="167" xfId="0" applyNumberFormat="1" applyFont="1" applyFill="1" applyBorder="1" applyAlignment="1">
      <alignment horizontal="center" vertical="center"/>
    </xf>
    <xf numFmtId="1" fontId="14" fillId="0" borderId="167" xfId="0" applyNumberFormat="1" applyFont="1" applyBorder="1" applyAlignment="1">
      <alignment horizontal="center" vertical="center"/>
    </xf>
    <xf numFmtId="0" fontId="27" fillId="8" borderId="163" xfId="0" applyFont="1" applyFill="1" applyBorder="1" applyAlignment="1">
      <alignment horizontal="left" vertical="center"/>
    </xf>
    <xf numFmtId="0" fontId="27" fillId="8" borderId="165" xfId="0" applyFont="1" applyFill="1" applyBorder="1" applyAlignment="1">
      <alignment horizontal="left" vertical="center"/>
    </xf>
    <xf numFmtId="167" fontId="27" fillId="0" borderId="166" xfId="0" applyNumberFormat="1" applyFont="1" applyBorder="1" applyAlignment="1">
      <alignment horizontal="center" vertical="center"/>
    </xf>
    <xf numFmtId="1" fontId="27" fillId="0" borderId="168" xfId="0" applyNumberFormat="1" applyFont="1" applyBorder="1" applyAlignment="1">
      <alignment horizontal="center" vertical="center"/>
    </xf>
    <xf numFmtId="167" fontId="27" fillId="8" borderId="166" xfId="0" applyNumberFormat="1" applyFont="1" applyFill="1" applyBorder="1" applyAlignment="1">
      <alignment horizontal="center" vertical="center"/>
    </xf>
    <xf numFmtId="1" fontId="14" fillId="0" borderId="161" xfId="0" applyNumberFormat="1" applyFont="1" applyBorder="1" applyAlignment="1">
      <alignment horizontal="center" vertical="center"/>
    </xf>
    <xf numFmtId="1" fontId="14" fillId="5" borderId="161" xfId="0" applyNumberFormat="1" applyFont="1" applyFill="1" applyBorder="1" applyAlignment="1">
      <alignment horizontal="center" vertical="center"/>
    </xf>
    <xf numFmtId="1" fontId="14" fillId="5" borderId="169" xfId="0" applyNumberFormat="1" applyFont="1" applyFill="1" applyBorder="1" applyAlignment="1">
      <alignment horizontal="center" vertical="center"/>
    </xf>
    <xf numFmtId="1" fontId="14" fillId="0" borderId="169" xfId="0" applyNumberFormat="1" applyFont="1" applyBorder="1" applyAlignment="1">
      <alignment horizontal="center" vertical="center"/>
    </xf>
    <xf numFmtId="2" fontId="27" fillId="0" borderId="160" xfId="0" applyNumberFormat="1" applyFont="1" applyBorder="1" applyAlignment="1">
      <alignment horizontal="center" vertical="center"/>
    </xf>
    <xf numFmtId="2" fontId="27" fillId="0" borderId="156" xfId="0" applyNumberFormat="1" applyFont="1" applyBorder="1" applyAlignment="1">
      <alignment horizontal="center" vertical="center"/>
    </xf>
    <xf numFmtId="0" fontId="14" fillId="8" borderId="163" xfId="0" applyFont="1" applyFill="1" applyBorder="1" applyAlignment="1">
      <alignment horizontal="right" vertical="center"/>
    </xf>
    <xf numFmtId="1" fontId="14" fillId="8" borderId="153" xfId="0" applyNumberFormat="1" applyFont="1" applyFill="1" applyBorder="1" applyAlignment="1">
      <alignment horizontal="center" vertical="center"/>
    </xf>
    <xf numFmtId="1" fontId="14" fillId="5" borderId="153" xfId="0" applyNumberFormat="1" applyFont="1" applyFill="1" applyBorder="1" applyAlignment="1">
      <alignment horizontal="center" vertical="center"/>
    </xf>
    <xf numFmtId="1" fontId="14" fillId="5" borderId="170" xfId="0" applyNumberFormat="1" applyFont="1" applyFill="1" applyBorder="1" applyAlignment="1">
      <alignment horizontal="center" vertical="center"/>
    </xf>
    <xf numFmtId="1" fontId="14" fillId="8" borderId="170" xfId="0" applyNumberFormat="1" applyFont="1" applyFill="1" applyBorder="1" applyAlignment="1">
      <alignment horizontal="center" vertical="center"/>
    </xf>
    <xf numFmtId="1" fontId="14" fillId="8" borderId="154" xfId="0" applyNumberFormat="1" applyFont="1" applyFill="1" applyBorder="1" applyAlignment="1">
      <alignment horizontal="center" vertical="center"/>
    </xf>
    <xf numFmtId="1" fontId="14" fillId="8" borderId="160" xfId="0" applyNumberFormat="1" applyFont="1" applyFill="1" applyBorder="1" applyAlignment="1">
      <alignment horizontal="center" vertical="center"/>
    </xf>
    <xf numFmtId="1" fontId="14" fillId="5" borderId="171" xfId="0" applyNumberFormat="1" applyFont="1" applyFill="1" applyBorder="1" applyAlignment="1">
      <alignment horizontal="center" vertical="center"/>
    </xf>
    <xf numFmtId="1" fontId="14" fillId="5" borderId="168" xfId="0" applyNumberFormat="1" applyFont="1" applyFill="1" applyBorder="1" applyAlignment="1">
      <alignment horizontal="center" vertical="center"/>
    </xf>
    <xf numFmtId="1" fontId="14" fillId="5" borderId="172" xfId="0" applyNumberFormat="1" applyFont="1" applyFill="1" applyBorder="1" applyAlignment="1">
      <alignment horizontal="center" vertical="center"/>
    </xf>
    <xf numFmtId="167" fontId="14" fillId="6" borderId="173" xfId="0" applyNumberFormat="1" applyFont="1" applyFill="1" applyBorder="1" applyAlignment="1">
      <alignment horizontal="center" vertical="center"/>
    </xf>
    <xf numFmtId="1" fontId="14" fillId="6" borderId="173" xfId="0" applyNumberFormat="1" applyFont="1" applyFill="1" applyBorder="1" applyAlignment="1">
      <alignment horizontal="center" vertical="center"/>
    </xf>
    <xf numFmtId="167" fontId="27" fillId="6" borderId="173" xfId="0" applyNumberFormat="1" applyFont="1" applyFill="1" applyBorder="1" applyAlignment="1">
      <alignment horizontal="center" vertical="center"/>
    </xf>
    <xf numFmtId="1" fontId="27" fillId="6" borderId="173" xfId="0" applyNumberFormat="1" applyFont="1" applyFill="1" applyBorder="1" applyAlignment="1">
      <alignment horizontal="center" vertical="center"/>
    </xf>
    <xf numFmtId="0" fontId="27" fillId="8" borderId="157" xfId="0" applyFont="1" applyFill="1" applyBorder="1" applyAlignment="1">
      <alignment vertical="center"/>
    </xf>
    <xf numFmtId="167" fontId="14" fillId="0" borderId="157" xfId="0" applyNumberFormat="1" applyFont="1" applyBorder="1" applyAlignment="1">
      <alignment horizontal="center" vertical="center"/>
    </xf>
    <xf numFmtId="1" fontId="14" fillId="0" borderId="157" xfId="0" applyNumberFormat="1" applyFont="1" applyBorder="1" applyAlignment="1">
      <alignment horizontal="center" vertical="center"/>
    </xf>
    <xf numFmtId="1" fontId="14" fillId="5" borderId="157" xfId="0" applyNumberFormat="1" applyFont="1" applyFill="1" applyBorder="1" applyAlignment="1">
      <alignment horizontal="center" vertical="center"/>
    </xf>
    <xf numFmtId="1" fontId="14" fillId="5" borderId="159" xfId="0" applyNumberFormat="1" applyFont="1" applyFill="1" applyBorder="1" applyAlignment="1">
      <alignment horizontal="center" vertical="center"/>
    </xf>
    <xf numFmtId="167" fontId="14" fillId="8" borderId="157" xfId="0" applyNumberFormat="1" applyFont="1" applyFill="1" applyBorder="1" applyAlignment="1">
      <alignment horizontal="center" vertical="center"/>
    </xf>
    <xf numFmtId="0" fontId="27" fillId="8" borderId="154" xfId="0" applyFont="1" applyFill="1" applyBorder="1" applyAlignment="1">
      <alignment horizontal="left" vertical="center"/>
    </xf>
    <xf numFmtId="0" fontId="27" fillId="0" borderId="154" xfId="0" applyFont="1" applyBorder="1" applyAlignment="1">
      <alignment horizontal="left" vertical="center"/>
    </xf>
    <xf numFmtId="0" fontId="14" fillId="0" borderId="154" xfId="0" applyFont="1" applyBorder="1" applyAlignment="1">
      <alignment horizontal="right" vertical="center"/>
    </xf>
    <xf numFmtId="167" fontId="14" fillId="6" borderId="154" xfId="0" applyNumberFormat="1" applyFont="1" applyFill="1" applyBorder="1" applyAlignment="1">
      <alignment horizontal="center" vertical="center"/>
    </xf>
    <xf numFmtId="167" fontId="14" fillId="7" borderId="173" xfId="0" applyNumberFormat="1" applyFont="1" applyFill="1" applyBorder="1" applyAlignment="1">
      <alignment horizontal="center" vertical="center"/>
    </xf>
    <xf numFmtId="1" fontId="14" fillId="7" borderId="173" xfId="0" applyNumberFormat="1" applyFont="1" applyFill="1" applyBorder="1" applyAlignment="1">
      <alignment horizontal="center" vertical="center"/>
    </xf>
    <xf numFmtId="167" fontId="14" fillId="8" borderId="173" xfId="0" applyNumberFormat="1" applyFont="1" applyFill="1" applyBorder="1" applyAlignment="1">
      <alignment horizontal="center" vertical="center"/>
    </xf>
    <xf numFmtId="0" fontId="18" fillId="4" borderId="52" xfId="186" applyFont="1" applyFill="1" applyBorder="1" applyAlignment="1">
      <alignment horizontal="left" vertical="center"/>
    </xf>
    <xf numFmtId="0" fontId="18" fillId="8" borderId="52" xfId="186" applyFont="1" applyFill="1" applyBorder="1" applyAlignment="1">
      <alignment horizontal="left" vertical="center"/>
    </xf>
    <xf numFmtId="0" fontId="18" fillId="48" borderId="52" xfId="186" applyFont="1" applyFill="1" applyBorder="1" applyAlignment="1">
      <alignment horizontal="left" vertical="center"/>
    </xf>
    <xf numFmtId="2" fontId="20" fillId="5" borderId="30" xfId="0" applyNumberFormat="1" applyFont="1" applyFill="1" applyBorder="1" applyAlignment="1">
      <alignment horizontal="center" vertical="center"/>
    </xf>
    <xf numFmtId="2" fontId="20" fillId="6" borderId="30" xfId="0" applyNumberFormat="1" applyFont="1" applyFill="1" applyBorder="1" applyAlignment="1">
      <alignment horizontal="center" vertical="center"/>
    </xf>
    <xf numFmtId="9" fontId="19" fillId="8" borderId="118" xfId="22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/>
    </xf>
    <xf numFmtId="9" fontId="19" fillId="8" borderId="17" xfId="22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/>
    </xf>
    <xf numFmtId="0" fontId="18" fillId="43" borderId="52" xfId="186" applyFont="1" applyFill="1" applyBorder="1" applyAlignment="1">
      <alignment horizontal="left" vertical="center"/>
    </xf>
    <xf numFmtId="0" fontId="18" fillId="32" borderId="52" xfId="186" applyFont="1" applyFill="1" applyBorder="1" applyAlignment="1">
      <alignment horizontal="left" vertical="center"/>
    </xf>
    <xf numFmtId="0" fontId="18" fillId="80" borderId="52" xfId="186" applyFont="1" applyFill="1" applyBorder="1" applyAlignment="1">
      <alignment horizontal="left" vertical="center"/>
    </xf>
    <xf numFmtId="0" fontId="18" fillId="81" borderId="52" xfId="186" applyFont="1" applyFill="1" applyBorder="1" applyAlignment="1">
      <alignment horizontal="left" vertical="center"/>
    </xf>
    <xf numFmtId="0" fontId="18" fillId="82" borderId="52" xfId="186" applyFont="1" applyFill="1" applyBorder="1" applyAlignment="1">
      <alignment horizontal="left" vertical="center"/>
    </xf>
    <xf numFmtId="1" fontId="112" fillId="8" borderId="0" xfId="0" applyNumberFormat="1" applyFont="1" applyFill="1"/>
    <xf numFmtId="0" fontId="18" fillId="47" borderId="52" xfId="186" applyFont="1" applyFill="1" applyBorder="1" applyAlignment="1">
      <alignment horizontal="left" vertical="center"/>
    </xf>
    <xf numFmtId="0" fontId="207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7" fontId="45" fillId="0" borderId="5" xfId="0" applyNumberFormat="1" applyFont="1" applyBorder="1" applyAlignment="1">
      <alignment horizontal="center" vertical="center"/>
    </xf>
    <xf numFmtId="167" fontId="45" fillId="7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3" xfId="0" applyNumberFormat="1" applyFont="1" applyFill="1" applyBorder="1" applyAlignment="1">
      <alignment horizontal="center" vertical="center"/>
    </xf>
    <xf numFmtId="1" fontId="20" fillId="5" borderId="171" xfId="0" applyNumberFormat="1" applyFont="1" applyFill="1" applyBorder="1" applyAlignment="1">
      <alignment vertical="center"/>
    </xf>
    <xf numFmtId="1" fontId="20" fillId="5" borderId="168" xfId="0" applyNumberFormat="1" applyFont="1" applyFill="1" applyBorder="1" applyAlignment="1">
      <alignment horizontal="center" vertical="center"/>
    </xf>
    <xf numFmtId="1" fontId="20" fillId="7" borderId="171" xfId="0" applyNumberFormat="1" applyFont="1" applyFill="1" applyBorder="1" applyAlignment="1">
      <alignment vertical="center"/>
    </xf>
    <xf numFmtId="1" fontId="20" fillId="7" borderId="168" xfId="0" applyNumberFormat="1" applyFont="1" applyFill="1" applyBorder="1" applyAlignment="1">
      <alignment horizontal="center" vertical="center"/>
    </xf>
    <xf numFmtId="1" fontId="20" fillId="5" borderId="173" xfId="0" applyNumberFormat="1" applyFont="1" applyFill="1" applyBorder="1" applyAlignment="1">
      <alignment vertical="center"/>
    </xf>
    <xf numFmtId="1" fontId="20" fillId="5" borderId="173" xfId="0" applyNumberFormat="1" applyFont="1" applyFill="1" applyBorder="1" applyAlignment="1">
      <alignment horizontal="center" vertical="center"/>
    </xf>
    <xf numFmtId="1" fontId="20" fillId="44" borderId="173" xfId="0" applyNumberFormat="1" applyFont="1" applyFill="1" applyBorder="1" applyAlignment="1">
      <alignment vertical="center"/>
    </xf>
    <xf numFmtId="1" fontId="20" fillId="44" borderId="173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4" xfId="0" quotePrefix="1" applyNumberFormat="1" applyFont="1" applyBorder="1" applyAlignment="1">
      <alignment horizontal="left" vertical="center"/>
    </xf>
    <xf numFmtId="172" fontId="20" fillId="0" borderId="154" xfId="0" quotePrefix="1" applyNumberFormat="1" applyFont="1" applyBorder="1" applyAlignment="1">
      <alignment horizontal="center" vertical="center"/>
    </xf>
    <xf numFmtId="1" fontId="20" fillId="0" borderId="154" xfId="0" applyNumberFormat="1" applyFont="1" applyBorder="1" applyAlignment="1">
      <alignment vertical="center"/>
    </xf>
    <xf numFmtId="1" fontId="20" fillId="7" borderId="154" xfId="0" applyNumberFormat="1" applyFont="1" applyFill="1" applyBorder="1" applyAlignment="1">
      <alignment vertical="center"/>
    </xf>
    <xf numFmtId="1" fontId="20" fillId="5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horizontal="center" vertical="center"/>
    </xf>
    <xf numFmtId="1" fontId="20" fillId="44" borderId="154" xfId="0" applyNumberFormat="1" applyFont="1" applyFill="1" applyBorder="1" applyAlignment="1">
      <alignment vertical="center"/>
    </xf>
    <xf numFmtId="1" fontId="20" fillId="44" borderId="154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3" xfId="0" quotePrefix="1" applyNumberFormat="1" applyFont="1" applyBorder="1" applyAlignment="1">
      <alignment horizontal="left" vertical="center"/>
    </xf>
    <xf numFmtId="164" fontId="20" fillId="0" borderId="145" xfId="0" quotePrefix="1" applyNumberFormat="1" applyFont="1" applyBorder="1" applyAlignment="1">
      <alignment horizontal="left" vertical="center"/>
    </xf>
    <xf numFmtId="164" fontId="20" fillId="0" borderId="157" xfId="0" quotePrefix="1" applyNumberFormat="1" applyFont="1" applyBorder="1" applyAlignment="1">
      <alignment horizontal="left" vertical="center"/>
    </xf>
    <xf numFmtId="172" fontId="20" fillId="0" borderId="157" xfId="0" quotePrefix="1" applyNumberFormat="1" applyFont="1" applyBorder="1" applyAlignment="1">
      <alignment horizontal="center" vertical="center"/>
    </xf>
    <xf numFmtId="1" fontId="20" fillId="0" borderId="157" xfId="0" applyNumberFormat="1" applyFont="1" applyBorder="1" applyAlignment="1">
      <alignment vertical="center"/>
    </xf>
    <xf numFmtId="1" fontId="20" fillId="7" borderId="157" xfId="0" applyNumberFormat="1" applyFont="1" applyFill="1" applyBorder="1" applyAlignment="1">
      <alignment vertical="center"/>
    </xf>
    <xf numFmtId="1" fontId="20" fillId="5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horizontal="center" vertical="center"/>
    </xf>
    <xf numFmtId="1" fontId="20" fillId="44" borderId="157" xfId="0" applyNumberFormat="1" applyFont="1" applyFill="1" applyBorder="1" applyAlignment="1">
      <alignment vertical="center"/>
    </xf>
    <xf numFmtId="1" fontId="20" fillId="44" borderId="157" xfId="0" applyNumberFormat="1" applyFont="1" applyFill="1" applyBorder="1" applyAlignment="1">
      <alignment horizontal="center" vertical="center"/>
    </xf>
    <xf numFmtId="0" fontId="45" fillId="0" borderId="154" xfId="0" applyFont="1" applyBorder="1"/>
    <xf numFmtId="1" fontId="45" fillId="7" borderId="154" xfId="0" applyNumberFormat="1" applyFont="1" applyFill="1" applyBorder="1" applyAlignment="1">
      <alignment horizontal="center" vertical="center"/>
    </xf>
    <xf numFmtId="1" fontId="45" fillId="5" borderId="154" xfId="0" applyNumberFormat="1" applyFont="1" applyFill="1" applyBorder="1" applyAlignment="1">
      <alignment horizontal="center" vertical="center"/>
    </xf>
    <xf numFmtId="1" fontId="45" fillId="6" borderId="154" xfId="0" applyNumberFormat="1" applyFont="1" applyFill="1" applyBorder="1" applyAlignment="1">
      <alignment horizontal="center" vertical="center"/>
    </xf>
    <xf numFmtId="1" fontId="45" fillId="44" borderId="154" xfId="0" applyNumberFormat="1" applyFont="1" applyFill="1" applyBorder="1" applyAlignment="1">
      <alignment horizontal="center" vertical="center"/>
    </xf>
    <xf numFmtId="167" fontId="45" fillId="6" borderId="5" xfId="0" applyNumberFormat="1" applyFont="1" applyFill="1" applyBorder="1" applyAlignment="1">
      <alignment horizontal="center" vertical="center"/>
    </xf>
    <xf numFmtId="167" fontId="45" fillId="44" borderId="5" xfId="0" applyNumberFormat="1" applyFont="1" applyFill="1" applyBorder="1" applyAlignment="1">
      <alignment horizontal="center" vertical="center"/>
    </xf>
    <xf numFmtId="1" fontId="45" fillId="44" borderId="5" xfId="0" applyNumberFormat="1" applyFont="1" applyFill="1" applyBorder="1" applyAlignment="1">
      <alignment horizontal="center" vertical="center"/>
    </xf>
    <xf numFmtId="167" fontId="45" fillId="0" borderId="154" xfId="0" applyNumberFormat="1" applyFont="1" applyBorder="1"/>
    <xf numFmtId="167" fontId="45" fillId="7" borderId="154" xfId="0" applyNumberFormat="1" applyFont="1" applyFill="1" applyBorder="1"/>
    <xf numFmtId="167" fontId="45" fillId="5" borderId="154" xfId="0" applyNumberFormat="1" applyFont="1" applyFill="1" applyBorder="1"/>
    <xf numFmtId="167" fontId="45" fillId="6" borderId="154" xfId="0" applyNumberFormat="1" applyFont="1" applyFill="1" applyBorder="1"/>
    <xf numFmtId="167" fontId="45" fillId="44" borderId="154" xfId="0" applyNumberFormat="1" applyFont="1" applyFill="1" applyBorder="1"/>
    <xf numFmtId="0" fontId="45" fillId="0" borderId="154" xfId="0" applyFont="1" applyBorder="1" applyAlignment="1">
      <alignment wrapText="1"/>
    </xf>
    <xf numFmtId="0" fontId="45" fillId="7" borderId="154" xfId="0" applyFont="1" applyFill="1" applyBorder="1"/>
    <xf numFmtId="0" fontId="45" fillId="5" borderId="154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3" xfId="0" applyFont="1" applyBorder="1" applyAlignment="1">
      <alignment wrapText="1"/>
    </xf>
    <xf numFmtId="1" fontId="45" fillId="7" borderId="156" xfId="0" applyNumberFormat="1" applyFont="1" applyFill="1" applyBorder="1" applyAlignment="1">
      <alignment horizontal="center" vertical="center"/>
    </xf>
    <xf numFmtId="0" fontId="45" fillId="0" borderId="153" xfId="0" applyFont="1" applyBorder="1"/>
    <xf numFmtId="0" fontId="45" fillId="0" borderId="145" xfId="0" applyFont="1" applyBorder="1"/>
    <xf numFmtId="0" fontId="45" fillId="0" borderId="157" xfId="0" applyFont="1" applyBorder="1"/>
    <xf numFmtId="167" fontId="45" fillId="0" borderId="157" xfId="0" applyNumberFormat="1" applyFont="1" applyBorder="1"/>
    <xf numFmtId="1" fontId="45" fillId="0" borderId="157" xfId="0" applyNumberFormat="1" applyFont="1" applyBorder="1" applyAlignment="1">
      <alignment horizontal="center" vertical="center"/>
    </xf>
    <xf numFmtId="167" fontId="45" fillId="7" borderId="157" xfId="0" applyNumberFormat="1" applyFont="1" applyFill="1" applyBorder="1"/>
    <xf numFmtId="1" fontId="45" fillId="7" borderId="157" xfId="0" applyNumberFormat="1" applyFont="1" applyFill="1" applyBorder="1" applyAlignment="1">
      <alignment horizontal="center" vertical="center"/>
    </xf>
    <xf numFmtId="167" fontId="45" fillId="5" borderId="157" xfId="0" applyNumberFormat="1" applyFont="1" applyFill="1" applyBorder="1"/>
    <xf numFmtId="1" fontId="45" fillId="5" borderId="157" xfId="0" applyNumberFormat="1" applyFont="1" applyFill="1" applyBorder="1" applyAlignment="1">
      <alignment horizontal="center" vertical="center"/>
    </xf>
    <xf numFmtId="167" fontId="45" fillId="6" borderId="157" xfId="0" applyNumberFormat="1" applyFont="1" applyFill="1" applyBorder="1"/>
    <xf numFmtId="1" fontId="45" fillId="6" borderId="157" xfId="0" applyNumberFormat="1" applyFont="1" applyFill="1" applyBorder="1" applyAlignment="1">
      <alignment horizontal="center" vertical="center"/>
    </xf>
    <xf numFmtId="167" fontId="45" fillId="44" borderId="157" xfId="0" applyNumberFormat="1" applyFont="1" applyFill="1" applyBorder="1"/>
    <xf numFmtId="1" fontId="45" fillId="44" borderId="157" xfId="0" applyNumberFormat="1" applyFont="1" applyFill="1" applyBorder="1" applyAlignment="1">
      <alignment horizontal="center" vertical="center"/>
    </xf>
    <xf numFmtId="1" fontId="45" fillId="7" borderId="159" xfId="0" applyNumberFormat="1" applyFont="1" applyFill="1" applyBorder="1" applyAlignment="1">
      <alignment horizontal="center" vertical="center"/>
    </xf>
    <xf numFmtId="1" fontId="45" fillId="8" borderId="154" xfId="0" applyNumberFormat="1" applyFont="1" applyFill="1" applyBorder="1" applyAlignment="1">
      <alignment horizontal="center" vertical="center"/>
    </xf>
    <xf numFmtId="0" fontId="45" fillId="8" borderId="154" xfId="0" applyFont="1" applyFill="1" applyBorder="1"/>
    <xf numFmtId="0" fontId="45" fillId="6" borderId="154" xfId="0" applyFont="1" applyFill="1" applyBorder="1"/>
    <xf numFmtId="0" fontId="45" fillId="44" borderId="154" xfId="0" applyFont="1" applyFill="1" applyBorder="1"/>
    <xf numFmtId="9" fontId="45" fillId="0" borderId="154" xfId="22" applyFont="1" applyBorder="1" applyAlignment="1">
      <alignment horizontal="center" vertical="center"/>
    </xf>
    <xf numFmtId="9" fontId="45" fillId="7" borderId="154" xfId="22" applyFont="1" applyFill="1" applyBorder="1" applyAlignment="1">
      <alignment horizontal="center" vertical="center"/>
    </xf>
    <xf numFmtId="9" fontId="45" fillId="5" borderId="154" xfId="22" applyFont="1" applyFill="1" applyBorder="1" applyAlignment="1">
      <alignment horizontal="center" vertical="center"/>
    </xf>
    <xf numFmtId="9" fontId="45" fillId="6" borderId="154" xfId="22" applyFont="1" applyFill="1" applyBorder="1" applyAlignment="1">
      <alignment horizontal="center" vertical="center"/>
    </xf>
    <xf numFmtId="9" fontId="45" fillId="44" borderId="154" xfId="22" applyFont="1" applyFill="1" applyBorder="1" applyAlignment="1">
      <alignment horizontal="center" vertical="center"/>
    </xf>
    <xf numFmtId="0" fontId="45" fillId="8" borderId="153" xfId="0" applyFont="1" applyFill="1" applyBorder="1"/>
    <xf numFmtId="9" fontId="45" fillId="7" borderId="156" xfId="22" applyFont="1" applyFill="1" applyBorder="1" applyAlignment="1">
      <alignment horizontal="center" vertical="center"/>
    </xf>
    <xf numFmtId="0" fontId="45" fillId="7" borderId="157" xfId="0" applyFont="1" applyFill="1" applyBorder="1"/>
    <xf numFmtId="0" fontId="45" fillId="5" borderId="157" xfId="0" applyFont="1" applyFill="1" applyBorder="1"/>
    <xf numFmtId="0" fontId="20" fillId="0" borderId="154" xfId="0" applyFont="1" applyBorder="1" applyAlignment="1">
      <alignment vertical="center"/>
    </xf>
    <xf numFmtId="0" fontId="20" fillId="7" borderId="154" xfId="0" applyFont="1" applyFill="1" applyBorder="1" applyAlignment="1">
      <alignment horizontal="center" vertical="center"/>
    </xf>
    <xf numFmtId="167" fontId="20" fillId="0" borderId="154" xfId="0" applyNumberFormat="1" applyFont="1" applyBorder="1" applyAlignment="1">
      <alignment horizontal="center" vertical="center"/>
    </xf>
    <xf numFmtId="167" fontId="20" fillId="7" borderId="154" xfId="0" applyNumberFormat="1" applyFont="1" applyFill="1" applyBorder="1" applyAlignment="1">
      <alignment horizontal="center" vertical="center"/>
    </xf>
    <xf numFmtId="167" fontId="20" fillId="5" borderId="154" xfId="0" applyNumberFormat="1" applyFont="1" applyFill="1" applyBorder="1" applyAlignment="1">
      <alignment horizontal="center" vertical="center"/>
    </xf>
    <xf numFmtId="167" fontId="20" fillId="6" borderId="154" xfId="0" applyNumberFormat="1" applyFont="1" applyFill="1" applyBorder="1" applyAlignment="1">
      <alignment horizontal="center" vertical="center"/>
    </xf>
    <xf numFmtId="167" fontId="20" fillId="44" borderId="154" xfId="0" applyNumberFormat="1" applyFont="1" applyFill="1" applyBorder="1" applyAlignment="1">
      <alignment horizontal="center" vertical="center"/>
    </xf>
    <xf numFmtId="167" fontId="20" fillId="8" borderId="154" xfId="0" applyNumberFormat="1" applyFont="1" applyFill="1" applyBorder="1" applyAlignment="1">
      <alignment horizontal="center" vertical="center"/>
    </xf>
    <xf numFmtId="169" fontId="20" fillId="8" borderId="154" xfId="0" applyNumberFormat="1" applyFont="1" applyFill="1" applyBorder="1" applyAlignment="1">
      <alignment horizontal="center" vertical="center"/>
    </xf>
    <xf numFmtId="169" fontId="20" fillId="7" borderId="154" xfId="0" applyNumberFormat="1" applyFont="1" applyFill="1" applyBorder="1" applyAlignment="1">
      <alignment horizontal="center" vertical="center"/>
    </xf>
    <xf numFmtId="169" fontId="20" fillId="5" borderId="154" xfId="0" applyNumberFormat="1" applyFont="1" applyFill="1" applyBorder="1" applyAlignment="1">
      <alignment horizontal="center" vertical="center"/>
    </xf>
    <xf numFmtId="169" fontId="20" fillId="6" borderId="154" xfId="0" applyNumberFormat="1" applyFont="1" applyFill="1" applyBorder="1" applyAlignment="1">
      <alignment horizontal="center" vertical="center"/>
    </xf>
    <xf numFmtId="169" fontId="20" fillId="44" borderId="154" xfId="0" applyNumberFormat="1" applyFont="1" applyFill="1" applyBorder="1" applyAlignment="1">
      <alignment horizontal="center" vertical="center"/>
    </xf>
    <xf numFmtId="2" fontId="20" fillId="8" borderId="154" xfId="0" applyNumberFormat="1" applyFont="1" applyFill="1" applyBorder="1" applyAlignment="1">
      <alignment horizontal="center" vertical="center"/>
    </xf>
    <xf numFmtId="2" fontId="20" fillId="7" borderId="154" xfId="0" applyNumberFormat="1" applyFont="1" applyFill="1" applyBorder="1" applyAlignment="1">
      <alignment horizontal="center" vertical="center"/>
    </xf>
    <xf numFmtId="2" fontId="20" fillId="5" borderId="154" xfId="0" applyNumberFormat="1" applyFont="1" applyFill="1" applyBorder="1" applyAlignment="1">
      <alignment horizontal="center" vertical="center"/>
    </xf>
    <xf numFmtId="2" fontId="20" fillId="6" borderId="154" xfId="0" applyNumberFormat="1" applyFont="1" applyFill="1" applyBorder="1" applyAlignment="1">
      <alignment horizontal="center" vertical="center"/>
    </xf>
    <xf numFmtId="2" fontId="20" fillId="44" borderId="154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vertical="center"/>
    </xf>
    <xf numFmtId="167" fontId="20" fillId="7" borderId="156" xfId="0" applyNumberFormat="1" applyFont="1" applyFill="1" applyBorder="1" applyAlignment="1">
      <alignment horizontal="center" vertical="center"/>
    </xf>
    <xf numFmtId="169" fontId="20" fillId="7" borderId="156" xfId="0" applyNumberFormat="1" applyFont="1" applyFill="1" applyBorder="1" applyAlignment="1">
      <alignment horizontal="center" vertical="center"/>
    </xf>
    <xf numFmtId="2" fontId="20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vertical="center"/>
    </xf>
    <xf numFmtId="0" fontId="20" fillId="0" borderId="157" xfId="0" applyFont="1" applyBorder="1" applyAlignment="1">
      <alignment vertical="center"/>
    </xf>
    <xf numFmtId="2" fontId="20" fillId="8" borderId="157" xfId="0" applyNumberFormat="1" applyFont="1" applyFill="1" applyBorder="1" applyAlignment="1">
      <alignment horizontal="center" vertical="center"/>
    </xf>
    <xf numFmtId="167" fontId="20" fillId="7" borderId="157" xfId="0" applyNumberFormat="1" applyFont="1" applyFill="1" applyBorder="1" applyAlignment="1">
      <alignment horizontal="center" vertical="center"/>
    </xf>
    <xf numFmtId="167" fontId="20" fillId="5" borderId="157" xfId="0" applyNumberFormat="1" applyFont="1" applyFill="1" applyBorder="1" applyAlignment="1">
      <alignment horizontal="center" vertical="center"/>
    </xf>
    <xf numFmtId="2" fontId="20" fillId="6" borderId="157" xfId="0" applyNumberFormat="1" applyFont="1" applyFill="1" applyBorder="1" applyAlignment="1">
      <alignment horizontal="center" vertical="center"/>
    </xf>
    <xf numFmtId="167" fontId="20" fillId="8" borderId="157" xfId="0" applyNumberFormat="1" applyFont="1" applyFill="1" applyBorder="1" applyAlignment="1">
      <alignment horizontal="center" vertical="center"/>
    </xf>
    <xf numFmtId="2" fontId="20" fillId="44" borderId="157" xfId="0" applyNumberFormat="1" applyFont="1" applyFill="1" applyBorder="1" applyAlignment="1">
      <alignment horizontal="center" vertical="center"/>
    </xf>
    <xf numFmtId="167" fontId="20" fillId="7" borderId="159" xfId="0" applyNumberFormat="1" applyFont="1" applyFill="1" applyBorder="1" applyAlignment="1">
      <alignment horizontal="center" vertical="center"/>
    </xf>
    <xf numFmtId="169" fontId="20" fillId="0" borderId="68" xfId="0" applyNumberFormat="1" applyFont="1" applyBorder="1" applyAlignment="1">
      <alignment horizontal="center" vertical="center"/>
    </xf>
    <xf numFmtId="167" fontId="20" fillId="6" borderId="158" xfId="0" applyNumberFormat="1" applyFont="1" applyFill="1" applyBorder="1" applyAlignment="1">
      <alignment horizontal="center" vertical="center"/>
    </xf>
    <xf numFmtId="0" fontId="169" fillId="0" borderId="154" xfId="0" applyFont="1" applyBorder="1" applyAlignment="1">
      <alignment horizontal="center" vertical="center" wrapText="1"/>
    </xf>
    <xf numFmtId="0" fontId="169" fillId="0" borderId="154" xfId="0" applyFont="1" applyBorder="1" applyAlignment="1">
      <alignment wrapText="1"/>
    </xf>
    <xf numFmtId="0" fontId="171" fillId="0" borderId="154" xfId="0" applyFont="1" applyBorder="1" applyAlignment="1">
      <alignment horizontal="center" vertical="center" wrapText="1"/>
    </xf>
    <xf numFmtId="0" fontId="171" fillId="0" borderId="154" xfId="0" applyFont="1" applyBorder="1" applyAlignment="1">
      <alignment vertical="center" wrapText="1"/>
    </xf>
    <xf numFmtId="17" fontId="169" fillId="0" borderId="154" xfId="0" applyNumberFormat="1" applyFont="1" applyBorder="1" applyAlignment="1">
      <alignment wrapText="1"/>
    </xf>
    <xf numFmtId="1" fontId="169" fillId="0" borderId="154" xfId="0" applyNumberFormat="1" applyFont="1" applyBorder="1" applyAlignment="1">
      <alignment horizontal="center" vertical="center" wrapText="1"/>
    </xf>
    <xf numFmtId="0" fontId="172" fillId="0" borderId="154" xfId="0" applyFont="1" applyBorder="1" applyAlignment="1">
      <alignment horizontal="center" vertical="center" wrapText="1"/>
    </xf>
    <xf numFmtId="0" fontId="172" fillId="8" borderId="154" xfId="0" applyFont="1" applyFill="1" applyBorder="1" applyAlignment="1">
      <alignment horizontal="center" vertical="center" wrapText="1"/>
    </xf>
    <xf numFmtId="0" fontId="171" fillId="0" borderId="154" xfId="0" applyFont="1" applyBorder="1" applyAlignment="1">
      <alignment wrapText="1"/>
    </xf>
    <xf numFmtId="0" fontId="173" fillId="0" borderId="154" xfId="0" applyFont="1" applyBorder="1" applyAlignment="1">
      <alignment horizontal="center" vertical="center" wrapText="1"/>
    </xf>
    <xf numFmtId="0" fontId="174" fillId="8" borderId="154" xfId="0" applyFont="1" applyFill="1" applyBorder="1" applyAlignment="1">
      <alignment horizontal="center" vertical="center" wrapText="1"/>
    </xf>
    <xf numFmtId="0" fontId="175" fillId="0" borderId="154" xfId="0" applyFont="1" applyBorder="1" applyAlignment="1">
      <alignment horizontal="center" vertical="center" wrapText="1"/>
    </xf>
    <xf numFmtId="0" fontId="176" fillId="8" borderId="154" xfId="0" applyFont="1" applyFill="1" applyBorder="1" applyAlignment="1">
      <alignment horizontal="center" vertical="center" wrapText="1"/>
    </xf>
    <xf numFmtId="0" fontId="176" fillId="0" borderId="154" xfId="0" applyFont="1" applyBorder="1" applyAlignment="1">
      <alignment horizontal="center" vertical="center" wrapText="1"/>
    </xf>
    <xf numFmtId="0" fontId="177" fillId="0" borderId="154" xfId="0" applyFont="1" applyBorder="1" applyAlignment="1">
      <alignment horizontal="center" vertical="center" wrapText="1"/>
    </xf>
    <xf numFmtId="0" fontId="175" fillId="8" borderId="154" xfId="0" applyFont="1" applyFill="1" applyBorder="1" applyAlignment="1">
      <alignment horizontal="center" vertical="center" wrapText="1"/>
    </xf>
    <xf numFmtId="0" fontId="173" fillId="8" borderId="154" xfId="0" applyFont="1" applyFill="1" applyBorder="1" applyAlignment="1">
      <alignment horizontal="center" vertical="center" wrapText="1"/>
    </xf>
    <xf numFmtId="1" fontId="173" fillId="8" borderId="154" xfId="0" applyNumberFormat="1" applyFont="1" applyFill="1" applyBorder="1" applyAlignment="1">
      <alignment horizontal="center" vertical="center" wrapText="1"/>
    </xf>
    <xf numFmtId="0" fontId="169" fillId="8" borderId="154" xfId="0" applyFont="1" applyFill="1" applyBorder="1" applyAlignment="1">
      <alignment horizontal="center" vertical="center" wrapText="1"/>
    </xf>
    <xf numFmtId="0" fontId="171" fillId="8" borderId="154" xfId="0" applyFont="1" applyFill="1" applyBorder="1" applyAlignment="1">
      <alignment horizontal="center" vertical="center" wrapText="1"/>
    </xf>
    <xf numFmtId="1" fontId="175" fillId="0" borderId="154" xfId="0" applyNumberFormat="1" applyFont="1" applyBorder="1" applyAlignment="1">
      <alignment horizontal="center" vertical="center" wrapText="1"/>
    </xf>
    <xf numFmtId="1" fontId="173" fillId="0" borderId="154" xfId="0" applyNumberFormat="1" applyFont="1" applyBorder="1" applyAlignment="1">
      <alignment horizontal="center" vertical="center" wrapText="1"/>
    </xf>
    <xf numFmtId="0" fontId="174" fillId="0" borderId="154" xfId="0" applyFont="1" applyBorder="1" applyAlignment="1">
      <alignment horizontal="center" vertical="center" wrapText="1"/>
    </xf>
    <xf numFmtId="1" fontId="175" fillId="8" borderId="154" xfId="0" applyNumberFormat="1" applyFont="1" applyFill="1" applyBorder="1" applyAlignment="1">
      <alignment horizontal="center" vertical="center" wrapText="1"/>
    </xf>
    <xf numFmtId="1" fontId="176" fillId="0" borderId="154" xfId="0" applyNumberFormat="1" applyFont="1" applyBorder="1" applyAlignment="1">
      <alignment horizontal="center" vertical="center" wrapText="1"/>
    </xf>
    <xf numFmtId="1" fontId="177" fillId="0" borderId="154" xfId="0" applyNumberFormat="1" applyFont="1" applyBorder="1" applyAlignment="1">
      <alignment horizontal="center" vertical="center" wrapText="1"/>
    </xf>
    <xf numFmtId="1" fontId="172" fillId="0" borderId="154" xfId="0" applyNumberFormat="1" applyFont="1" applyBorder="1" applyAlignment="1">
      <alignment horizontal="center" vertical="center" wrapText="1"/>
    </xf>
    <xf numFmtId="2" fontId="175" fillId="0" borderId="154" xfId="0" applyNumberFormat="1" applyFont="1" applyBorder="1" applyAlignment="1">
      <alignment horizontal="center" vertical="center" wrapText="1"/>
    </xf>
    <xf numFmtId="1" fontId="174" fillId="0" borderId="154" xfId="0" applyNumberFormat="1" applyFont="1" applyBorder="1" applyAlignment="1">
      <alignment horizontal="center" vertical="center" wrapText="1"/>
    </xf>
    <xf numFmtId="9" fontId="169" fillId="0" borderId="154" xfId="22" applyFont="1" applyBorder="1" applyAlignment="1">
      <alignment horizontal="center" vertical="center" wrapText="1"/>
    </xf>
    <xf numFmtId="1" fontId="171" fillId="0" borderId="154" xfId="0" applyNumberFormat="1" applyFont="1" applyBorder="1" applyAlignment="1">
      <alignment horizontal="center" vertical="center" wrapText="1"/>
    </xf>
    <xf numFmtId="2" fontId="169" fillId="0" borderId="154" xfId="0" applyNumberFormat="1" applyFont="1" applyBorder="1" applyAlignment="1">
      <alignment horizontal="center" vertical="center" wrapText="1"/>
    </xf>
    <xf numFmtId="2" fontId="173" fillId="0" borderId="154" xfId="0" applyNumberFormat="1" applyFont="1" applyBorder="1" applyAlignment="1">
      <alignment horizontal="center" vertical="center" wrapText="1"/>
    </xf>
    <xf numFmtId="167" fontId="172" fillId="0" borderId="154" xfId="0" applyNumberFormat="1" applyFont="1" applyBorder="1" applyAlignment="1">
      <alignment horizontal="center" vertical="center" wrapText="1"/>
    </xf>
    <xf numFmtId="0" fontId="0" fillId="0" borderId="154" xfId="0" applyBorder="1"/>
    <xf numFmtId="0" fontId="169" fillId="0" borderId="154" xfId="0" applyFont="1" applyBorder="1" applyAlignment="1">
      <alignment horizontal="left" vertical="center" wrapText="1" indent="1"/>
    </xf>
    <xf numFmtId="167" fontId="169" fillId="0" borderId="154" xfId="0" applyNumberFormat="1" applyFont="1" applyBorder="1" applyAlignment="1">
      <alignment horizontal="center" wrapText="1"/>
    </xf>
    <xf numFmtId="2" fontId="169" fillId="0" borderId="154" xfId="0" applyNumberFormat="1" applyFont="1" applyBorder="1" applyAlignment="1">
      <alignment horizontal="center" wrapText="1"/>
    </xf>
    <xf numFmtId="2" fontId="175" fillId="8" borderId="154" xfId="0" applyNumberFormat="1" applyFont="1" applyFill="1" applyBorder="1" applyAlignment="1">
      <alignment horizontal="center" wrapText="1"/>
    </xf>
    <xf numFmtId="167" fontId="169" fillId="0" borderId="154" xfId="0" applyNumberFormat="1" applyFont="1" applyBorder="1" applyAlignment="1">
      <alignment horizontal="center" vertical="center" wrapText="1"/>
    </xf>
    <xf numFmtId="2" fontId="171" fillId="0" borderId="154" xfId="0" applyNumberFormat="1" applyFont="1" applyBorder="1" applyAlignment="1">
      <alignment horizontal="center" wrapText="1"/>
    </xf>
    <xf numFmtId="1" fontId="169" fillId="0" borderId="154" xfId="0" applyNumberFormat="1" applyFont="1" applyBorder="1" applyAlignment="1">
      <alignment horizontal="center" wrapText="1"/>
    </xf>
    <xf numFmtId="167" fontId="0" fillId="0" borderId="154" xfId="0" applyNumberFormat="1" applyBorder="1" applyAlignment="1">
      <alignment horizontal="center" vertical="center"/>
    </xf>
    <xf numFmtId="2" fontId="0" fillId="0" borderId="154" xfId="0" applyNumberFormat="1" applyBorder="1" applyAlignment="1">
      <alignment horizontal="center" vertical="center"/>
    </xf>
    <xf numFmtId="2" fontId="17" fillId="0" borderId="154" xfId="0" applyNumberFormat="1" applyFont="1" applyBorder="1" applyAlignment="1">
      <alignment horizontal="center" vertical="center"/>
    </xf>
    <xf numFmtId="0" fontId="171" fillId="0" borderId="158" xfId="0" applyFont="1" applyBorder="1" applyAlignment="1">
      <alignment horizontal="center" vertical="center" wrapText="1"/>
    </xf>
    <xf numFmtId="0" fontId="171" fillId="0" borderId="160" xfId="0" applyFont="1" applyBorder="1" applyAlignment="1">
      <alignment horizontal="center" vertical="center" wrapText="1"/>
    </xf>
    <xf numFmtId="1" fontId="171" fillId="0" borderId="158" xfId="0" applyNumberFormat="1" applyFont="1" applyBorder="1" applyAlignment="1">
      <alignment horizontal="center" vertical="center" wrapText="1"/>
    </xf>
    <xf numFmtId="2" fontId="175" fillId="8" borderId="154" xfId="0" applyNumberFormat="1" applyFont="1" applyFill="1" applyBorder="1" applyAlignment="1">
      <alignment horizontal="center" vertical="center" wrapText="1"/>
    </xf>
    <xf numFmtId="1" fontId="173" fillId="8" borderId="160" xfId="0" applyNumberFormat="1" applyFont="1" applyFill="1" applyBorder="1" applyAlignment="1">
      <alignment horizontal="center" vertical="center" wrapText="1"/>
    </xf>
    <xf numFmtId="2" fontId="169" fillId="0" borderId="160" xfId="0" applyNumberFormat="1" applyFont="1" applyBorder="1" applyAlignment="1">
      <alignment horizontal="center" vertical="center" wrapText="1"/>
    </xf>
    <xf numFmtId="1" fontId="17" fillId="0" borderId="154" xfId="0" applyNumberFormat="1" applyFont="1" applyBorder="1" applyAlignment="1">
      <alignment horizontal="center" vertical="center"/>
    </xf>
    <xf numFmtId="0" fontId="171" fillId="0" borderId="153" xfId="0" applyFont="1" applyBorder="1" applyAlignment="1">
      <alignment horizontal="center" vertical="center" wrapText="1"/>
    </xf>
    <xf numFmtId="0" fontId="169" fillId="0" borderId="154" xfId="0" applyFont="1" applyBorder="1" applyAlignment="1">
      <alignment horizontal="left" wrapText="1" indent="1"/>
    </xf>
    <xf numFmtId="1" fontId="171" fillId="0" borderId="154" xfId="0" applyNumberFormat="1" applyFont="1" applyBorder="1" applyAlignment="1">
      <alignment horizontal="center" wrapText="1"/>
    </xf>
    <xf numFmtId="17" fontId="176" fillId="0" borderId="154" xfId="0" applyNumberFormat="1" applyFont="1" applyBorder="1" applyAlignment="1">
      <alignment horizontal="left" vertical="center" wrapText="1" indent="1"/>
    </xf>
    <xf numFmtId="0" fontId="169" fillId="0" borderId="160" xfId="0" applyFont="1" applyBorder="1" applyAlignment="1">
      <alignment wrapText="1"/>
    </xf>
    <xf numFmtId="0" fontId="169" fillId="0" borderId="154" xfId="0" applyFont="1" applyBorder="1" applyAlignment="1">
      <alignment horizontal="center" wrapText="1"/>
    </xf>
    <xf numFmtId="17" fontId="171" fillId="0" borderId="160" xfId="0" applyNumberFormat="1" applyFont="1" applyBorder="1" applyAlignment="1">
      <alignment wrapText="1"/>
    </xf>
    <xf numFmtId="0" fontId="169" fillId="0" borderId="160" xfId="0" applyFont="1" applyBorder="1" applyAlignment="1">
      <alignment horizontal="left" wrapText="1" indent="1"/>
    </xf>
    <xf numFmtId="0" fontId="176" fillId="0" borderId="154" xfId="0" applyFont="1" applyBorder="1" applyAlignment="1">
      <alignment horizontal="center"/>
    </xf>
    <xf numFmtId="167" fontId="176" fillId="0" borderId="154" xfId="0" applyNumberFormat="1" applyFont="1" applyBorder="1" applyAlignment="1">
      <alignment horizontal="center"/>
    </xf>
    <xf numFmtId="0" fontId="169" fillId="0" borderId="160" xfId="0" applyFont="1" applyBorder="1" applyAlignment="1">
      <alignment horizontal="left" vertical="center" wrapText="1" indent="1"/>
    </xf>
    <xf numFmtId="17" fontId="171" fillId="0" borderId="154" xfId="0" applyNumberFormat="1" applyFont="1" applyBorder="1" applyAlignment="1">
      <alignment wrapText="1"/>
    </xf>
    <xf numFmtId="2" fontId="176" fillId="0" borderId="154" xfId="0" applyNumberFormat="1" applyFont="1" applyBorder="1" applyAlignment="1">
      <alignment horizontal="center"/>
    </xf>
    <xf numFmtId="1" fontId="173" fillId="8" borderId="154" xfId="0" applyNumberFormat="1" applyFont="1" applyFill="1" applyBorder="1" applyAlignment="1">
      <alignment horizontal="center" wrapText="1"/>
    </xf>
    <xf numFmtId="0" fontId="0" fillId="0" borderId="154" xfId="0" quotePrefix="1" applyBorder="1" applyAlignment="1">
      <alignment horizontal="center" vertical="center"/>
    </xf>
    <xf numFmtId="16" fontId="0" fillId="0" borderId="154" xfId="0" quotePrefix="1" applyNumberFormat="1" applyBorder="1" applyAlignment="1">
      <alignment horizontal="center" vertical="center"/>
    </xf>
    <xf numFmtId="2" fontId="0" fillId="0" borderId="154" xfId="0" applyNumberFormat="1" applyBorder="1" applyAlignment="1">
      <alignment horizontal="center"/>
    </xf>
    <xf numFmtId="0" fontId="208" fillId="0" borderId="154" xfId="0" applyFont="1" applyBorder="1"/>
    <xf numFmtId="2" fontId="17" fillId="0" borderId="154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 vertical="center"/>
    </xf>
    <xf numFmtId="169" fontId="20" fillId="8" borderId="119" xfId="0" applyNumberFormat="1" applyFont="1" applyFill="1" applyBorder="1" applyAlignment="1">
      <alignment horizontal="center" vertical="center"/>
    </xf>
    <xf numFmtId="2" fontId="20" fillId="0" borderId="119" xfId="0" applyNumberFormat="1" applyFont="1" applyBorder="1" applyAlignment="1">
      <alignment horizontal="center" vertical="center"/>
    </xf>
    <xf numFmtId="1" fontId="19" fillId="8" borderId="160" xfId="186" applyNumberFormat="1" applyFont="1" applyFill="1" applyBorder="1" applyAlignment="1">
      <alignment horizontal="center" vertical="top"/>
    </xf>
    <xf numFmtId="1" fontId="19" fillId="8" borderId="154" xfId="186" applyNumberFormat="1" applyFont="1" applyFill="1" applyBorder="1" applyAlignment="1">
      <alignment horizontal="center" vertical="top"/>
    </xf>
    <xf numFmtId="1" fontId="19" fillId="5" borderId="154" xfId="186" applyNumberFormat="1" applyFont="1" applyFill="1" applyBorder="1" applyAlignment="1">
      <alignment horizontal="center" vertical="top"/>
    </xf>
    <xf numFmtId="1" fontId="19" fillId="7" borderId="154" xfId="186" applyNumberFormat="1" applyFont="1" applyFill="1" applyBorder="1" applyAlignment="1">
      <alignment horizontal="center" vertical="top"/>
    </xf>
    <xf numFmtId="1" fontId="19" fillId="54" borderId="154" xfId="186" applyNumberFormat="1" applyFont="1" applyFill="1" applyBorder="1" applyAlignment="1">
      <alignment horizontal="center" vertical="top"/>
    </xf>
    <xf numFmtId="1" fontId="18" fillId="7" borderId="154" xfId="186" applyNumberFormat="1" applyFont="1" applyFill="1" applyBorder="1" applyAlignment="1">
      <alignment horizontal="center" vertical="top"/>
    </xf>
    <xf numFmtId="1" fontId="79" fillId="0" borderId="160" xfId="186" applyNumberFormat="1" applyFont="1" applyBorder="1" applyAlignment="1">
      <alignment horizontal="center" vertical="center"/>
    </xf>
    <xf numFmtId="1" fontId="79" fillId="7" borderId="160" xfId="186" applyNumberFormat="1" applyFont="1" applyFill="1" applyBorder="1" applyAlignment="1">
      <alignment horizontal="center" vertical="center"/>
    </xf>
    <xf numFmtId="1" fontId="79" fillId="8" borderId="160" xfId="186" applyNumberFormat="1" applyFont="1" applyFill="1" applyBorder="1" applyAlignment="1">
      <alignment horizontal="center" vertical="center"/>
    </xf>
    <xf numFmtId="1" fontId="79" fillId="5" borderId="164" xfId="186" applyNumberFormat="1" applyFont="1" applyFill="1" applyBorder="1" applyAlignment="1">
      <alignment horizontal="center" vertical="center"/>
    </xf>
    <xf numFmtId="1" fontId="78" fillId="5" borderId="156" xfId="186" applyNumberFormat="1" applyFont="1" applyFill="1" applyBorder="1" applyAlignment="1">
      <alignment horizontal="center" vertical="center"/>
    </xf>
    <xf numFmtId="1" fontId="79" fillId="0" borderId="164" xfId="186" applyNumberFormat="1" applyFont="1" applyBorder="1" applyAlignment="1">
      <alignment horizontal="center" vertical="center"/>
    </xf>
    <xf numFmtId="1" fontId="78" fillId="7" borderId="156" xfId="186" applyNumberFormat="1" applyFont="1" applyFill="1" applyBorder="1" applyAlignment="1">
      <alignment horizontal="center" vertical="center"/>
    </xf>
    <xf numFmtId="1" fontId="78" fillId="6" borderId="154" xfId="186" applyNumberFormat="1" applyFont="1" applyFill="1" applyBorder="1" applyAlignment="1">
      <alignment horizontal="center" vertical="center"/>
    </xf>
    <xf numFmtId="1" fontId="78" fillId="7" borderId="154" xfId="186" applyNumberFormat="1" applyFont="1" applyFill="1" applyBorder="1" applyAlignment="1">
      <alignment horizontal="center" vertical="center"/>
    </xf>
    <xf numFmtId="1" fontId="78" fillId="7" borderId="160" xfId="186" applyNumberFormat="1" applyFont="1" applyFill="1" applyBorder="1" applyAlignment="1">
      <alignment horizontal="center" vertical="center"/>
    </xf>
    <xf numFmtId="0" fontId="20" fillId="8" borderId="153" xfId="0" quotePrefix="1" applyFont="1" applyFill="1" applyBorder="1" applyAlignment="1">
      <alignment horizontal="left" vertical="center" wrapText="1"/>
    </xf>
    <xf numFmtId="1" fontId="20" fillId="54" borderId="154" xfId="0" applyNumberFormat="1" applyFont="1" applyFill="1" applyBorder="1" applyAlignment="1">
      <alignment horizontal="center" vertical="center"/>
    </xf>
    <xf numFmtId="1" fontId="21" fillId="5" borderId="154" xfId="0" applyNumberFormat="1" applyFont="1" applyFill="1" applyBorder="1" applyAlignment="1">
      <alignment horizontal="center" vertical="center"/>
    </xf>
    <xf numFmtId="1" fontId="21" fillId="6" borderId="154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right" vertical="center"/>
    </xf>
    <xf numFmtId="1" fontId="18" fillId="8" borderId="154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left" vertical="center" wrapText="1" indent="2"/>
    </xf>
    <xf numFmtId="0" fontId="20" fillId="0" borderId="156" xfId="0" applyFont="1" applyBorder="1" applyAlignment="1">
      <alignment horizontal="center" vertical="center"/>
    </xf>
    <xf numFmtId="1" fontId="21" fillId="8" borderId="153" xfId="0" applyNumberFormat="1" applyFont="1" applyFill="1" applyBorder="1" applyAlignment="1">
      <alignment horizontal="center" vertical="center"/>
    </xf>
    <xf numFmtId="0" fontId="20" fillId="0" borderId="171" xfId="0" applyFont="1" applyBorder="1" applyAlignment="1">
      <alignment horizontal="left" vertical="center" wrapText="1" indent="2"/>
    </xf>
    <xf numFmtId="0" fontId="20" fillId="0" borderId="168" xfId="0" applyFont="1" applyBorder="1" applyAlignment="1">
      <alignment horizontal="center" vertical="center"/>
    </xf>
    <xf numFmtId="1" fontId="21" fillId="8" borderId="145" xfId="0" applyNumberFormat="1" applyFont="1" applyFill="1" applyBorder="1" applyAlignment="1">
      <alignment horizontal="center" vertical="center"/>
    </xf>
    <xf numFmtId="1" fontId="183" fillId="8" borderId="35" xfId="0" applyNumberFormat="1" applyFont="1" applyFill="1" applyBorder="1" applyAlignment="1">
      <alignment vertical="center" wrapText="1"/>
    </xf>
    <xf numFmtId="0" fontId="20" fillId="0" borderId="158" xfId="0" applyFont="1" applyBorder="1" applyAlignment="1">
      <alignment horizontal="center" vertical="center"/>
    </xf>
    <xf numFmtId="0" fontId="20" fillId="0" borderId="172" xfId="0" applyFont="1" applyBorder="1" applyAlignment="1">
      <alignment horizontal="center" vertical="center"/>
    </xf>
    <xf numFmtId="0" fontId="20" fillId="0" borderId="171" xfId="0" applyFont="1" applyBorder="1" applyAlignment="1">
      <alignment horizontal="right" vertical="center" wrapText="1" indent="2"/>
    </xf>
    <xf numFmtId="0" fontId="20" fillId="0" borderId="153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58" xfId="0" applyNumberFormat="1" applyFont="1" applyFill="1" applyBorder="1" applyAlignment="1">
      <alignment horizontal="center" vertical="center"/>
    </xf>
    <xf numFmtId="1" fontId="20" fillId="8" borderId="162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70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63" xfId="0" applyNumberFormat="1" applyFont="1" applyFill="1" applyBorder="1" applyAlignment="1">
      <alignment horizontal="center" vertical="center" wrapText="1"/>
    </xf>
    <xf numFmtId="1" fontId="20" fillId="8" borderId="163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4" xfId="0" applyFont="1" applyFill="1" applyBorder="1" applyAlignment="1">
      <alignment horizontal="center" vertical="center"/>
    </xf>
    <xf numFmtId="2" fontId="18" fillId="8" borderId="80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vertical="center"/>
    </xf>
    <xf numFmtId="0" fontId="21" fillId="8" borderId="154" xfId="0" applyFont="1" applyFill="1" applyBorder="1" applyAlignment="1">
      <alignment horizontal="center" vertical="center"/>
    </xf>
    <xf numFmtId="9" fontId="21" fillId="8" borderId="154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vertical="center"/>
    </xf>
    <xf numFmtId="9" fontId="21" fillId="8" borderId="156" xfId="22" applyFont="1" applyFill="1" applyBorder="1" applyAlignment="1">
      <alignment horizontal="center" vertical="center"/>
    </xf>
    <xf numFmtId="1" fontId="19" fillId="8" borderId="156" xfId="0" applyNumberFormat="1" applyFont="1" applyFill="1" applyBorder="1" applyAlignment="1">
      <alignment horizontal="center" vertical="center"/>
    </xf>
    <xf numFmtId="0" fontId="21" fillId="8" borderId="145" xfId="0" applyFont="1" applyFill="1" applyBorder="1" applyAlignment="1">
      <alignment vertical="center"/>
    </xf>
    <xf numFmtId="0" fontId="21" fillId="8" borderId="157" xfId="0" applyFont="1" applyFill="1" applyBorder="1" applyAlignment="1">
      <alignment vertical="center"/>
    </xf>
    <xf numFmtId="0" fontId="21" fillId="8" borderId="157" xfId="0" applyFont="1" applyFill="1" applyBorder="1" applyAlignment="1">
      <alignment horizontal="center" vertical="center"/>
    </xf>
    <xf numFmtId="9" fontId="21" fillId="8" borderId="157" xfId="22" applyFont="1" applyFill="1" applyBorder="1" applyAlignment="1">
      <alignment horizontal="center" vertical="center"/>
    </xf>
    <xf numFmtId="1" fontId="19" fillId="8" borderId="159" xfId="0" applyNumberFormat="1" applyFont="1" applyFill="1" applyBorder="1" applyAlignment="1">
      <alignment horizontal="center" vertical="center"/>
    </xf>
    <xf numFmtId="2" fontId="141" fillId="9" borderId="158" xfId="376" applyNumberFormat="1" applyFont="1" applyFill="1" applyBorder="1" applyAlignment="1">
      <alignment vertical="center"/>
    </xf>
    <xf numFmtId="2" fontId="141" fillId="9" borderId="164" xfId="376" applyNumberFormat="1" applyFont="1" applyFill="1" applyBorder="1" applyAlignment="1">
      <alignment vertical="center"/>
    </xf>
    <xf numFmtId="2" fontId="141" fillId="9" borderId="160" xfId="376" applyNumberFormat="1" applyFont="1" applyFill="1" applyBorder="1" applyAlignment="1">
      <alignment vertical="center"/>
    </xf>
    <xf numFmtId="0" fontId="14" fillId="0" borderId="160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67" fontId="27" fillId="8" borderId="38" xfId="0" applyNumberFormat="1" applyFont="1" applyFill="1" applyBorder="1" applyAlignment="1">
      <alignment horizontal="center" vertical="center"/>
    </xf>
    <xf numFmtId="167" fontId="20" fillId="8" borderId="153" xfId="0" applyNumberFormat="1" applyFont="1" applyFill="1" applyBorder="1" applyAlignment="1">
      <alignment horizontal="center" vertical="center"/>
    </xf>
    <xf numFmtId="2" fontId="20" fillId="0" borderId="156" xfId="0" applyNumberFormat="1" applyFont="1" applyBorder="1" applyAlignment="1">
      <alignment horizontal="center" vertical="center"/>
    </xf>
    <xf numFmtId="167" fontId="20" fillId="6" borderId="153" xfId="0" applyNumberFormat="1" applyFont="1" applyFill="1" applyBorder="1" applyAlignment="1">
      <alignment horizontal="center" vertical="center"/>
    </xf>
    <xf numFmtId="167" fontId="20" fillId="0" borderId="156" xfId="0" applyNumberFormat="1" applyFont="1" applyBorder="1" applyAlignment="1">
      <alignment horizontal="center" vertical="center"/>
    </xf>
    <xf numFmtId="0" fontId="18" fillId="0" borderId="153" xfId="0" applyFont="1" applyBorder="1" applyAlignment="1">
      <alignment vertical="center"/>
    </xf>
    <xf numFmtId="0" fontId="18" fillId="0" borderId="158" xfId="0" applyFont="1" applyBorder="1" applyAlignment="1">
      <alignment horizontal="center" vertical="center"/>
    </xf>
    <xf numFmtId="167" fontId="21" fillId="8" borderId="153" xfId="0" applyNumberFormat="1" applyFont="1" applyFill="1" applyBorder="1" applyAlignment="1">
      <alignment horizontal="center" vertical="center"/>
    </xf>
    <xf numFmtId="0" fontId="7" fillId="0" borderId="154" xfId="0" applyFont="1" applyBorder="1" applyAlignment="1">
      <alignment horizontal="center" vertical="center"/>
    </xf>
    <xf numFmtId="4" fontId="0" fillId="0" borderId="0" xfId="0" applyNumberFormat="1"/>
    <xf numFmtId="167" fontId="20" fillId="0" borderId="67" xfId="0" applyNumberFormat="1" applyFont="1" applyBorder="1" applyAlignment="1">
      <alignment horizontal="center" vertical="center"/>
    </xf>
    <xf numFmtId="167" fontId="20" fillId="8" borderId="37" xfId="0" applyNumberFormat="1" applyFont="1" applyFill="1" applyBorder="1" applyAlignment="1">
      <alignment horizontal="center" vertical="center"/>
    </xf>
    <xf numFmtId="167" fontId="20" fillId="8" borderId="65" xfId="0" applyNumberFormat="1" applyFont="1" applyFill="1" applyBorder="1" applyAlignment="1">
      <alignment horizontal="center" vertical="center"/>
    </xf>
    <xf numFmtId="2" fontId="20" fillId="8" borderId="66" xfId="0" applyNumberFormat="1" applyFont="1" applyFill="1" applyBorder="1" applyAlignment="1">
      <alignment horizontal="center" vertical="center"/>
    </xf>
    <xf numFmtId="2" fontId="20" fillId="8" borderId="119" xfId="0" applyNumberFormat="1" applyFont="1" applyFill="1" applyBorder="1" applyAlignment="1">
      <alignment horizontal="center" vertical="center"/>
    </xf>
    <xf numFmtId="2" fontId="36" fillId="47" borderId="0" xfId="0" applyNumberFormat="1" applyFont="1" applyFill="1"/>
    <xf numFmtId="171" fontId="196" fillId="8" borderId="10" xfId="22" applyNumberFormat="1" applyFont="1" applyFill="1" applyBorder="1" applyAlignment="1">
      <alignment horizontal="center"/>
    </xf>
    <xf numFmtId="0" fontId="197" fillId="0" borderId="154" xfId="0" applyFont="1" applyBorder="1"/>
    <xf numFmtId="1" fontId="197" fillId="8" borderId="154" xfId="0" applyNumberFormat="1" applyFont="1" applyFill="1" applyBorder="1" applyAlignment="1">
      <alignment horizontal="center"/>
    </xf>
    <xf numFmtId="1" fontId="197" fillId="7" borderId="154" xfId="0" applyNumberFormat="1" applyFont="1" applyFill="1" applyBorder="1" applyAlignment="1">
      <alignment horizontal="center"/>
    </xf>
    <xf numFmtId="1" fontId="197" fillId="5" borderId="154" xfId="0" applyNumberFormat="1" applyFont="1" applyFill="1" applyBorder="1" applyAlignment="1">
      <alignment horizontal="center"/>
    </xf>
    <xf numFmtId="1" fontId="197" fillId="6" borderId="154" xfId="0" applyNumberFormat="1" applyFont="1" applyFill="1" applyBorder="1" applyAlignment="1">
      <alignment horizontal="center"/>
    </xf>
    <xf numFmtId="0" fontId="12" fillId="0" borderId="174" xfId="0" applyFont="1" applyBorder="1" applyAlignment="1">
      <alignment horizontal="right" vertical="center"/>
    </xf>
    <xf numFmtId="0" fontId="12" fillId="0" borderId="174" xfId="0" applyFont="1" applyBorder="1" applyAlignment="1">
      <alignment horizontal="center" vertical="center"/>
    </xf>
    <xf numFmtId="1" fontId="20" fillId="0" borderId="174" xfId="0" applyNumberFormat="1" applyFont="1" applyBorder="1" applyAlignment="1">
      <alignment horizontal="center" vertical="center"/>
    </xf>
    <xf numFmtId="1" fontId="12" fillId="0" borderId="174" xfId="0" applyNumberFormat="1" applyFont="1" applyBorder="1" applyAlignment="1">
      <alignment horizontal="center" vertical="center"/>
    </xf>
    <xf numFmtId="1" fontId="12" fillId="7" borderId="174" xfId="0" applyNumberFormat="1" applyFont="1" applyFill="1" applyBorder="1" applyAlignment="1">
      <alignment horizontal="center" vertical="center"/>
    </xf>
    <xf numFmtId="1" fontId="12" fillId="5" borderId="174" xfId="0" applyNumberFormat="1" applyFont="1" applyFill="1" applyBorder="1" applyAlignment="1">
      <alignment horizontal="center" vertical="center"/>
    </xf>
    <xf numFmtId="1" fontId="12" fillId="6" borderId="174" xfId="0" applyNumberFormat="1" applyFont="1" applyFill="1" applyBorder="1" applyAlignment="1">
      <alignment horizontal="center" vertical="center"/>
    </xf>
    <xf numFmtId="0" fontId="12" fillId="8" borderId="153" xfId="0" applyFont="1" applyFill="1" applyBorder="1" applyAlignment="1">
      <alignment horizontal="right" vertical="center"/>
    </xf>
    <xf numFmtId="2" fontId="12" fillId="8" borderId="174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74" xfId="0" applyNumberFormat="1" applyFont="1" applyFill="1" applyBorder="1" applyAlignment="1">
      <alignment horizontal="center" vertical="center"/>
    </xf>
    <xf numFmtId="1" fontId="20" fillId="7" borderId="174" xfId="0" applyNumberFormat="1" applyFont="1" applyFill="1" applyBorder="1" applyAlignment="1">
      <alignment horizontal="center" vertical="center"/>
    </xf>
    <xf numFmtId="1" fontId="20" fillId="7" borderId="174" xfId="0" applyNumberFormat="1" applyFont="1" applyFill="1" applyBorder="1" applyAlignment="1">
      <alignment vertical="center"/>
    </xf>
    <xf numFmtId="1" fontId="19" fillId="6" borderId="174" xfId="0" applyNumberFormat="1" applyFont="1" applyFill="1" applyBorder="1" applyAlignment="1">
      <alignment horizontal="center" vertical="center"/>
    </xf>
    <xf numFmtId="1" fontId="78" fillId="6" borderId="174" xfId="186" applyNumberFormat="1" applyFont="1" applyFill="1" applyBorder="1" applyAlignment="1">
      <alignment horizontal="center" vertical="center"/>
    </xf>
    <xf numFmtId="1" fontId="78" fillId="7" borderId="174" xfId="186" applyNumberFormat="1" applyFont="1" applyFill="1" applyBorder="1" applyAlignment="1">
      <alignment horizontal="center" vertical="center"/>
    </xf>
    <xf numFmtId="0" fontId="7" fillId="0" borderId="158" xfId="0" applyFont="1" applyBorder="1" applyAlignment="1">
      <alignment horizontal="left" vertical="center"/>
    </xf>
    <xf numFmtId="0" fontId="7" fillId="0" borderId="174" xfId="0" applyFont="1" applyBorder="1" applyAlignment="1">
      <alignment horizontal="left" vertical="center"/>
    </xf>
    <xf numFmtId="0" fontId="7" fillId="0" borderId="174" xfId="0" applyFont="1" applyBorder="1" applyAlignment="1">
      <alignment horizontal="center" vertical="center"/>
    </xf>
    <xf numFmtId="0" fontId="7" fillId="7" borderId="174" xfId="0" applyFont="1" applyFill="1" applyBorder="1" applyAlignment="1">
      <alignment horizontal="center" vertical="center"/>
    </xf>
    <xf numFmtId="0" fontId="7" fillId="5" borderId="174" xfId="0" applyFont="1" applyFill="1" applyBorder="1" applyAlignment="1">
      <alignment horizontal="center" vertical="center"/>
    </xf>
    <xf numFmtId="0" fontId="0" fillId="0" borderId="174" xfId="0" applyBorder="1" applyAlignment="1">
      <alignment horizontal="center" vertical="center"/>
    </xf>
    <xf numFmtId="0" fontId="7" fillId="6" borderId="174" xfId="0" applyFont="1" applyFill="1" applyBorder="1" applyAlignment="1">
      <alignment horizontal="center" vertical="center"/>
    </xf>
    <xf numFmtId="0" fontId="20" fillId="0" borderId="175" xfId="0" applyFont="1" applyBorder="1" applyAlignment="1">
      <alignment horizontal="center" vertical="center"/>
    </xf>
    <xf numFmtId="1" fontId="19" fillId="0" borderId="175" xfId="0" applyNumberFormat="1" applyFont="1" applyBorder="1" applyAlignment="1">
      <alignment horizontal="center" vertical="center"/>
    </xf>
    <xf numFmtId="1" fontId="19" fillId="50" borderId="175" xfId="0" applyNumberFormat="1" applyFont="1" applyFill="1" applyBorder="1" applyAlignment="1">
      <alignment horizontal="center" vertical="center"/>
    </xf>
    <xf numFmtId="1" fontId="112" fillId="5" borderId="175" xfId="0" applyNumberFormat="1" applyFont="1" applyFill="1" applyBorder="1" applyAlignment="1">
      <alignment horizontal="center" vertical="center"/>
    </xf>
    <xf numFmtId="1" fontId="18" fillId="6" borderId="175" xfId="0" applyNumberFormat="1" applyFont="1" applyFill="1" applyBorder="1" applyAlignment="1">
      <alignment horizontal="center" vertical="center"/>
    </xf>
    <xf numFmtId="1" fontId="27" fillId="0" borderId="175" xfId="0" applyNumberFormat="1" applyFont="1" applyBorder="1" applyAlignment="1">
      <alignment horizontal="center" vertical="center"/>
    </xf>
    <xf numFmtId="1" fontId="19" fillId="7" borderId="175" xfId="0" applyNumberFormat="1" applyFont="1" applyFill="1" applyBorder="1" applyAlignment="1">
      <alignment horizontal="center" vertical="center"/>
    </xf>
    <xf numFmtId="1" fontId="18" fillId="7" borderId="156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Alignment="1">
      <alignment horizontal="center"/>
    </xf>
    <xf numFmtId="0" fontId="113" fillId="8" borderId="175" xfId="0" applyFont="1" applyFill="1" applyBorder="1" applyAlignment="1">
      <alignment horizontal="right" vertical="center"/>
    </xf>
    <xf numFmtId="0" fontId="18" fillId="8" borderId="175" xfId="0" applyFont="1" applyFill="1" applyBorder="1" applyAlignment="1">
      <alignment horizontal="center" vertical="center"/>
    </xf>
    <xf numFmtId="0" fontId="45" fillId="8" borderId="175" xfId="0" applyFont="1" applyFill="1" applyBorder="1" applyAlignment="1">
      <alignment horizontal="right" vertical="center"/>
    </xf>
    <xf numFmtId="1" fontId="112" fillId="8" borderId="175" xfId="0" applyNumberFormat="1" applyFont="1" applyFill="1" applyBorder="1" applyAlignment="1">
      <alignment horizontal="center" vertical="center"/>
    </xf>
    <xf numFmtId="0" fontId="112" fillId="7" borderId="175" xfId="0" applyFont="1" applyFill="1" applyBorder="1" applyAlignment="1">
      <alignment horizontal="center" vertical="center"/>
    </xf>
    <xf numFmtId="0" fontId="112" fillId="5" borderId="175" xfId="0" applyFont="1" applyFill="1" applyBorder="1" applyAlignment="1">
      <alignment horizontal="right" vertical="center"/>
    </xf>
    <xf numFmtId="1" fontId="19" fillId="5" borderId="175" xfId="0" applyNumberFormat="1" applyFont="1" applyFill="1" applyBorder="1" applyAlignment="1">
      <alignment horizontal="center" vertical="center"/>
    </xf>
    <xf numFmtId="1" fontId="19" fillId="6" borderId="175" xfId="0" applyNumberFormat="1" applyFont="1" applyFill="1" applyBorder="1" applyAlignment="1">
      <alignment horizontal="center" vertical="center"/>
    </xf>
    <xf numFmtId="171" fontId="196" fillId="7" borderId="10" xfId="22" applyNumberFormat="1" applyFont="1" applyFill="1" applyBorder="1" applyAlignment="1">
      <alignment horizontal="center"/>
    </xf>
    <xf numFmtId="2" fontId="20" fillId="8" borderId="59" xfId="0" applyNumberFormat="1" applyFont="1" applyFill="1" applyBorder="1" applyAlignment="1">
      <alignment horizontal="center" vertical="center"/>
    </xf>
    <xf numFmtId="2" fontId="20" fillId="8" borderId="27" xfId="0" applyNumberFormat="1" applyFont="1" applyFill="1" applyBorder="1" applyAlignment="1">
      <alignment horizontal="center" vertic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19" fillId="8" borderId="175" xfId="186" applyNumberFormat="1" applyFont="1" applyFill="1" applyBorder="1" applyAlignment="1">
      <alignment horizontal="center" vertical="top"/>
    </xf>
    <xf numFmtId="1" fontId="19" fillId="5" borderId="175" xfId="186" applyNumberFormat="1" applyFont="1" applyFill="1" applyBorder="1" applyAlignment="1">
      <alignment horizontal="center" vertical="top"/>
    </xf>
    <xf numFmtId="1" fontId="19" fillId="7" borderId="175" xfId="186" applyNumberFormat="1" applyFont="1" applyFill="1" applyBorder="1" applyAlignment="1">
      <alignment horizontal="center" vertical="top"/>
    </xf>
    <xf numFmtId="1" fontId="19" fillId="54" borderId="175" xfId="186" applyNumberFormat="1" applyFont="1" applyFill="1" applyBorder="1" applyAlignment="1">
      <alignment horizontal="center" vertical="top"/>
    </xf>
    <xf numFmtId="1" fontId="18" fillId="7" borderId="175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0" fontId="113" fillId="8" borderId="175" xfId="0" applyFont="1" applyFill="1" applyBorder="1" applyAlignment="1">
      <alignment horizontal="left" vertical="center"/>
    </xf>
    <xf numFmtId="0" fontId="45" fillId="8" borderId="175" xfId="0" applyFont="1" applyFill="1" applyBorder="1"/>
    <xf numFmtId="1" fontId="19" fillId="8" borderId="175" xfId="0" applyNumberFormat="1" applyFont="1" applyFill="1" applyBorder="1" applyAlignment="1">
      <alignment horizontal="center" vertical="center"/>
    </xf>
    <xf numFmtId="2" fontId="12" fillId="7" borderId="118" xfId="0" applyNumberFormat="1" applyFont="1" applyFill="1" applyBorder="1" applyAlignment="1">
      <alignment horizontal="center" vertical="center"/>
    </xf>
    <xf numFmtId="2" fontId="12" fillId="7" borderId="174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/>
    </xf>
    <xf numFmtId="0" fontId="20" fillId="8" borderId="64" xfId="0" applyFont="1" applyFill="1" applyBorder="1" applyAlignment="1">
      <alignment horizontal="left" vertical="center"/>
    </xf>
    <xf numFmtId="1" fontId="20" fillId="0" borderId="38" xfId="0" applyNumberFormat="1" applyFont="1" applyBorder="1" applyAlignment="1">
      <alignment vertical="center"/>
    </xf>
    <xf numFmtId="1" fontId="20" fillId="5" borderId="175" xfId="0" applyNumberFormat="1" applyFont="1" applyFill="1" applyBorder="1" applyAlignment="1">
      <alignment vertical="center"/>
    </xf>
    <xf numFmtId="1" fontId="20" fillId="7" borderId="175" xfId="0" applyNumberFormat="1" applyFont="1" applyFill="1" applyBorder="1" applyAlignment="1">
      <alignment vertical="center"/>
    </xf>
    <xf numFmtId="1" fontId="20" fillId="7" borderId="175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136" fillId="0" borderId="153" xfId="0" quotePrefix="1" applyNumberFormat="1" applyFont="1" applyBorder="1" applyAlignment="1">
      <alignment horizontal="left" vertical="center"/>
    </xf>
    <xf numFmtId="164" fontId="136" fillId="0" borderId="164" xfId="0" quotePrefix="1" applyNumberFormat="1" applyFont="1" applyBorder="1" applyAlignment="1">
      <alignment horizontal="left" vertical="center"/>
    </xf>
    <xf numFmtId="1" fontId="18" fillId="0" borderId="175" xfId="0" applyNumberFormat="1" applyFont="1" applyBorder="1" applyAlignment="1">
      <alignment horizontal="center" vertical="center"/>
    </xf>
    <xf numFmtId="1" fontId="20" fillId="8" borderId="175" xfId="0" applyNumberFormat="1" applyFont="1" applyFill="1" applyBorder="1" applyAlignment="1">
      <alignment horizontal="center" vertical="center"/>
    </xf>
    <xf numFmtId="1" fontId="20" fillId="5" borderId="175" xfId="0" applyNumberFormat="1" applyFont="1" applyFill="1" applyBorder="1" applyAlignment="1">
      <alignment horizontal="center" vertical="center"/>
    </xf>
    <xf numFmtId="167" fontId="20" fillId="8" borderId="175" xfId="0" applyNumberFormat="1" applyFont="1" applyFill="1" applyBorder="1" applyAlignment="1">
      <alignment horizontal="center" vertical="center"/>
    </xf>
    <xf numFmtId="1" fontId="18" fillId="5" borderId="175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vertical="center"/>
    </xf>
    <xf numFmtId="1" fontId="20" fillId="7" borderId="153" xfId="0" applyNumberFormat="1" applyFont="1" applyFill="1" applyBorder="1" applyAlignment="1">
      <alignment vertical="center"/>
    </xf>
    <xf numFmtId="1" fontId="20" fillId="6" borderId="175" xfId="0" applyNumberFormat="1" applyFont="1" applyFill="1" applyBorder="1" applyAlignment="1">
      <alignment vertical="center"/>
    </xf>
    <xf numFmtId="1" fontId="20" fillId="6" borderId="175" xfId="0" applyNumberFormat="1" applyFont="1" applyFill="1" applyBorder="1" applyAlignment="1">
      <alignment horizontal="center" vertical="center"/>
    </xf>
    <xf numFmtId="1" fontId="20" fillId="44" borderId="175" xfId="0" applyNumberFormat="1" applyFont="1" applyFill="1" applyBorder="1" applyAlignment="1">
      <alignment vertical="center"/>
    </xf>
    <xf numFmtId="1" fontId="20" fillId="44" borderId="175" xfId="0" applyNumberFormat="1" applyFont="1" applyFill="1" applyBorder="1" applyAlignment="1">
      <alignment horizontal="center" vertical="center"/>
    </xf>
    <xf numFmtId="0" fontId="197" fillId="0" borderId="175" xfId="0" applyFont="1" applyBorder="1"/>
    <xf numFmtId="0" fontId="36" fillId="0" borderId="175" xfId="0" applyFont="1" applyBorder="1"/>
    <xf numFmtId="164" fontId="20" fillId="0" borderId="163" xfId="0" quotePrefix="1" applyNumberFormat="1" applyFont="1" applyBorder="1" applyAlignment="1">
      <alignment horizontal="left" vertical="center"/>
    </xf>
    <xf numFmtId="164" fontId="20" fillId="0" borderId="166" xfId="0" quotePrefix="1" applyNumberFormat="1" applyFont="1" applyBorder="1" applyAlignment="1">
      <alignment horizontal="left" vertical="center"/>
    </xf>
    <xf numFmtId="172" fontId="20" fillId="0" borderId="172" xfId="0" quotePrefix="1" applyNumberFormat="1" applyFont="1" applyBorder="1" applyAlignment="1">
      <alignment horizontal="center" vertical="center"/>
    </xf>
    <xf numFmtId="0" fontId="20" fillId="0" borderId="163" xfId="0" applyFont="1" applyBorder="1" applyAlignment="1">
      <alignment horizontal="center" vertical="center"/>
    </xf>
    <xf numFmtId="1" fontId="20" fillId="0" borderId="153" xfId="0" applyNumberFormat="1" applyFont="1" applyBorder="1" applyAlignment="1">
      <alignment vertical="center"/>
    </xf>
    <xf numFmtId="1" fontId="20" fillId="0" borderId="156" xfId="0" applyNumberFormat="1" applyFont="1" applyBorder="1" applyAlignment="1">
      <alignment horizontal="center" vertical="center"/>
    </xf>
    <xf numFmtId="1" fontId="20" fillId="7" borderId="160" xfId="0" applyNumberFormat="1" applyFont="1" applyFill="1" applyBorder="1" applyAlignment="1">
      <alignment vertical="center"/>
    </xf>
    <xf numFmtId="1" fontId="20" fillId="5" borderId="156" xfId="0" applyNumberFormat="1" applyFont="1" applyFill="1" applyBorder="1" applyAlignment="1">
      <alignment horizontal="center" vertical="center"/>
    </xf>
    <xf numFmtId="164" fontId="20" fillId="0" borderId="16" xfId="0" quotePrefix="1" applyNumberFormat="1" applyFont="1" applyBorder="1" applyAlignment="1">
      <alignment horizontal="left" vertical="center"/>
    </xf>
    <xf numFmtId="164" fontId="20" fillId="0" borderId="69" xfId="0" quotePrefix="1" applyNumberFormat="1" applyFont="1" applyBorder="1" applyAlignment="1">
      <alignment horizontal="left" vertical="center"/>
    </xf>
    <xf numFmtId="172" fontId="20" fillId="0" borderId="15" xfId="0" quotePrefix="1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" fontId="20" fillId="0" borderId="9" xfId="0" applyNumberFormat="1" applyFont="1" applyBorder="1" applyAlignment="1">
      <alignment vertical="center"/>
    </xf>
    <xf numFmtId="1" fontId="20" fillId="0" borderId="73" xfId="0" applyNumberFormat="1" applyFont="1" applyBorder="1" applyAlignment="1">
      <alignment horizontal="center" vertical="center"/>
    </xf>
    <xf numFmtId="1" fontId="20" fillId="7" borderId="69" xfId="0" applyNumberFormat="1" applyFont="1" applyFill="1" applyBorder="1" applyAlignment="1">
      <alignment vertical="center"/>
    </xf>
    <xf numFmtId="164" fontId="37" fillId="0" borderId="165" xfId="0" quotePrefix="1" applyNumberFormat="1" applyFont="1" applyBorder="1" applyAlignment="1">
      <alignment horizontal="left" vertical="center"/>
    </xf>
    <xf numFmtId="164" fontId="37" fillId="0" borderId="166" xfId="0" quotePrefix="1" applyNumberFormat="1" applyFont="1" applyBorder="1" applyAlignment="1">
      <alignment horizontal="left" vertical="center"/>
    </xf>
    <xf numFmtId="172" fontId="37" fillId="0" borderId="172" xfId="0" quotePrefix="1" applyNumberFormat="1" applyFont="1" applyBorder="1" applyAlignment="1">
      <alignment horizontal="center" vertical="center"/>
    </xf>
    <xf numFmtId="0" fontId="37" fillId="0" borderId="165" xfId="0" applyFont="1" applyBorder="1" applyAlignment="1">
      <alignment horizontal="center" vertical="center"/>
    </xf>
    <xf numFmtId="1" fontId="21" fillId="0" borderId="171" xfId="0" applyNumberFormat="1" applyFont="1" applyBorder="1" applyAlignment="1">
      <alignment vertical="center"/>
    </xf>
    <xf numFmtId="1" fontId="20" fillId="0" borderId="168" xfId="0" applyNumberFormat="1" applyFont="1" applyBorder="1" applyAlignment="1">
      <alignment horizontal="center" vertical="center"/>
    </xf>
    <xf numFmtId="1" fontId="21" fillId="7" borderId="166" xfId="0" applyNumberFormat="1" applyFont="1" applyFill="1" applyBorder="1" applyAlignment="1">
      <alignment vertical="center"/>
    </xf>
    <xf numFmtId="1" fontId="21" fillId="5" borderId="153" xfId="0" applyNumberFormat="1" applyFont="1" applyFill="1" applyBorder="1" applyAlignment="1">
      <alignment vertical="center"/>
    </xf>
    <xf numFmtId="1" fontId="21" fillId="7" borderId="153" xfId="0" applyNumberFormat="1" applyFont="1" applyFill="1" applyBorder="1" applyAlignment="1">
      <alignment vertical="center"/>
    </xf>
    <xf numFmtId="1" fontId="21" fillId="5" borderId="175" xfId="0" applyNumberFormat="1" applyFont="1" applyFill="1" applyBorder="1" applyAlignment="1">
      <alignment vertical="center"/>
    </xf>
    <xf numFmtId="1" fontId="21" fillId="44" borderId="175" xfId="0" applyNumberFormat="1" applyFont="1" applyFill="1" applyBorder="1" applyAlignment="1">
      <alignment vertical="center"/>
    </xf>
    <xf numFmtId="0" fontId="25" fillId="0" borderId="163" xfId="0" applyFont="1" applyBorder="1" applyAlignment="1">
      <alignment horizontal="left" vertical="center" indent="2"/>
    </xf>
    <xf numFmtId="0" fontId="12" fillId="0" borderId="164" xfId="0" applyFont="1" applyBorder="1" applyAlignment="1">
      <alignment horizontal="center" vertical="center"/>
    </xf>
    <xf numFmtId="1" fontId="21" fillId="8" borderId="163" xfId="0" applyNumberFormat="1" applyFont="1" applyFill="1" applyBorder="1" applyAlignment="1">
      <alignment horizontal="center" vertical="center"/>
    </xf>
    <xf numFmtId="1" fontId="20" fillId="8" borderId="153" xfId="0" applyNumberFormat="1" applyFont="1" applyFill="1" applyBorder="1" applyAlignment="1">
      <alignment horizontal="center" vertical="center"/>
    </xf>
    <xf numFmtId="1" fontId="20" fillId="7" borderId="153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horizontal="center" vertical="center"/>
    </xf>
    <xf numFmtId="1" fontId="20" fillId="45" borderId="175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 wrapText="1"/>
    </xf>
    <xf numFmtId="1" fontId="20" fillId="54" borderId="175" xfId="0" applyNumberFormat="1" applyFont="1" applyFill="1" applyBorder="1" applyAlignment="1">
      <alignment horizontal="center" vertical="center"/>
    </xf>
    <xf numFmtId="164" fontId="20" fillId="8" borderId="175" xfId="0" quotePrefix="1" applyNumberFormat="1" applyFont="1" applyFill="1" applyBorder="1" applyAlignment="1">
      <alignment horizontal="left" vertical="center"/>
    </xf>
    <xf numFmtId="0" fontId="20" fillId="8" borderId="175" xfId="0" applyFont="1" applyFill="1" applyBorder="1" applyAlignment="1">
      <alignment horizontal="left" vertical="center"/>
    </xf>
    <xf numFmtId="0" fontId="20" fillId="0" borderId="175" xfId="0" applyFont="1" applyBorder="1" applyAlignment="1">
      <alignment horizontal="left" vertical="center"/>
    </xf>
    <xf numFmtId="1" fontId="20" fillId="0" borderId="175" xfId="0" applyNumberFormat="1" applyFont="1" applyBorder="1" applyAlignment="1">
      <alignment horizontal="center" vertical="center"/>
    </xf>
    <xf numFmtId="164" fontId="20" fillId="8" borderId="38" xfId="0" quotePrefix="1" applyNumberFormat="1" applyFont="1" applyFill="1" applyBorder="1" applyAlignment="1">
      <alignment horizontal="left" vertical="center"/>
    </xf>
    <xf numFmtId="1" fontId="21" fillId="5" borderId="175" xfId="0" applyNumberFormat="1" applyFont="1" applyFill="1" applyBorder="1" applyAlignment="1">
      <alignment horizontal="center" vertical="center"/>
    </xf>
    <xf numFmtId="1" fontId="21" fillId="6" borderId="175" xfId="0" applyNumberFormat="1" applyFont="1" applyFill="1" applyBorder="1" applyAlignment="1">
      <alignment horizontal="center" vertical="center"/>
    </xf>
    <xf numFmtId="1" fontId="79" fillId="0" borderId="176" xfId="186" applyNumberFormat="1" applyFont="1" applyBorder="1" applyAlignment="1">
      <alignment horizontal="center" vertical="center"/>
    </xf>
    <xf numFmtId="1" fontId="79" fillId="7" borderId="176" xfId="186" applyNumberFormat="1" applyFont="1" applyFill="1" applyBorder="1" applyAlignment="1">
      <alignment horizontal="center" vertical="center"/>
    </xf>
    <xf numFmtId="1" fontId="79" fillId="8" borderId="176" xfId="186" applyNumberFormat="1" applyFont="1" applyFill="1" applyBorder="1" applyAlignment="1">
      <alignment horizontal="center" vertical="center"/>
    </xf>
    <xf numFmtId="1" fontId="79" fillId="5" borderId="177" xfId="186" applyNumberFormat="1" applyFont="1" applyFill="1" applyBorder="1" applyAlignment="1">
      <alignment horizontal="center" vertical="center"/>
    </xf>
    <xf numFmtId="1" fontId="79" fillId="0" borderId="177" xfId="186" applyNumberFormat="1" applyFont="1" applyBorder="1" applyAlignment="1">
      <alignment horizontal="center" vertical="center"/>
    </xf>
    <xf numFmtId="1" fontId="78" fillId="6" borderId="175" xfId="186" applyNumberFormat="1" applyFont="1" applyFill="1" applyBorder="1" applyAlignment="1">
      <alignment horizontal="center" vertical="center"/>
    </xf>
    <xf numFmtId="1" fontId="78" fillId="7" borderId="175" xfId="186" applyNumberFormat="1" applyFont="1" applyFill="1" applyBorder="1" applyAlignment="1">
      <alignment horizontal="center" vertical="center"/>
    </xf>
    <xf numFmtId="1" fontId="78" fillId="7" borderId="176" xfId="186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horizontal="left" vertical="center"/>
    </xf>
    <xf numFmtId="0" fontId="12" fillId="0" borderId="178" xfId="0" applyFont="1" applyBorder="1" applyAlignment="1">
      <alignment horizontal="left" indent="1"/>
    </xf>
    <xf numFmtId="0" fontId="12" fillId="0" borderId="178" xfId="0" applyFont="1" applyBorder="1" applyAlignment="1">
      <alignment horizontal="center"/>
    </xf>
    <xf numFmtId="1" fontId="12" fillId="0" borderId="165" xfId="0" applyNumberFormat="1" applyFont="1" applyBorder="1" applyAlignment="1">
      <alignment horizontal="center"/>
    </xf>
    <xf numFmtId="1" fontId="12" fillId="0" borderId="178" xfId="0" applyNumberFormat="1" applyFont="1" applyBorder="1" applyAlignment="1">
      <alignment horizontal="center"/>
    </xf>
    <xf numFmtId="168" fontId="20" fillId="0" borderId="175" xfId="1" applyFont="1" applyBorder="1" applyAlignment="1">
      <alignment vertical="center"/>
    </xf>
    <xf numFmtId="169" fontId="20" fillId="8" borderId="175" xfId="0" applyNumberFormat="1" applyFont="1" applyFill="1" applyBorder="1" applyAlignment="1">
      <alignment horizontal="center" vertical="center"/>
    </xf>
    <xf numFmtId="169" fontId="20" fillId="7" borderId="175" xfId="0" applyNumberFormat="1" applyFont="1" applyFill="1" applyBorder="1" applyAlignment="1">
      <alignment horizontal="center" vertical="center"/>
    </xf>
    <xf numFmtId="169" fontId="20" fillId="5" borderId="175" xfId="0" applyNumberFormat="1" applyFont="1" applyFill="1" applyBorder="1" applyAlignment="1">
      <alignment horizontal="center" vertical="center"/>
    </xf>
    <xf numFmtId="169" fontId="20" fillId="6" borderId="175" xfId="0" applyNumberFormat="1" applyFont="1" applyFill="1" applyBorder="1" applyAlignment="1">
      <alignment horizontal="center" vertical="center"/>
    </xf>
    <xf numFmtId="2" fontId="20" fillId="8" borderId="59" xfId="0" quotePrefix="1" applyNumberFormat="1" applyFont="1" applyFill="1" applyBorder="1" applyAlignment="1">
      <alignment horizontal="center" vertical="center"/>
    </xf>
    <xf numFmtId="167" fontId="48" fillId="8" borderId="10" xfId="0" applyNumberFormat="1" applyFont="1" applyFill="1" applyBorder="1" applyAlignment="1">
      <alignment horizontal="center" vertical="center"/>
    </xf>
    <xf numFmtId="180" fontId="12" fillId="0" borderId="0" xfId="0" applyNumberFormat="1" applyFont="1"/>
    <xf numFmtId="0" fontId="12" fillId="0" borderId="177" xfId="0" applyFont="1" applyBorder="1" applyAlignment="1">
      <alignment horizontal="center" vertical="center"/>
    </xf>
    <xf numFmtId="1" fontId="19" fillId="8" borderId="156" xfId="186" applyNumberFormat="1" applyFont="1" applyFill="1" applyBorder="1" applyAlignment="1">
      <alignment horizontal="center" vertical="top"/>
    </xf>
    <xf numFmtId="1" fontId="19" fillId="8" borderId="176" xfId="186" applyNumberFormat="1" applyFont="1" applyFill="1" applyBorder="1" applyAlignment="1">
      <alignment horizontal="center" vertical="top"/>
    </xf>
    <xf numFmtId="171" fontId="196" fillId="5" borderId="10" xfId="22" applyNumberFormat="1" applyFont="1" applyFill="1" applyBorder="1" applyAlignment="1">
      <alignment horizontal="center"/>
    </xf>
    <xf numFmtId="0" fontId="27" fillId="0" borderId="22" xfId="0" applyFont="1" applyBorder="1" applyAlignment="1">
      <alignment horizontal="left" vertical="center"/>
    </xf>
    <xf numFmtId="167" fontId="27" fillId="6" borderId="175" xfId="0" applyNumberFormat="1" applyFont="1" applyFill="1" applyBorder="1" applyAlignment="1">
      <alignment horizontal="center" vertical="center"/>
    </xf>
    <xf numFmtId="1" fontId="27" fillId="6" borderId="175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left" vertical="center"/>
    </xf>
    <xf numFmtId="167" fontId="12" fillId="0" borderId="0" xfId="0" applyNumberFormat="1" applyFont="1"/>
    <xf numFmtId="169" fontId="53" fillId="5" borderId="79" xfId="0" applyNumberFormat="1" applyFont="1" applyFill="1" applyBorder="1" applyAlignment="1">
      <alignment horizontal="center" vertical="center"/>
    </xf>
    <xf numFmtId="169" fontId="53" fillId="7" borderId="79" xfId="0" applyNumberFormat="1" applyFont="1" applyFill="1" applyBorder="1" applyAlignment="1">
      <alignment horizontal="center" vertical="center"/>
    </xf>
    <xf numFmtId="169" fontId="21" fillId="7" borderId="10" xfId="0" applyNumberFormat="1" applyFont="1" applyFill="1" applyBorder="1" applyAlignment="1">
      <alignment horizontal="center" vertical="center"/>
    </xf>
    <xf numFmtId="0" fontId="20" fillId="7" borderId="28" xfId="0" applyFont="1" applyFill="1" applyBorder="1" applyAlignment="1">
      <alignment horizontal="center" vertical="center"/>
    </xf>
    <xf numFmtId="1" fontId="209" fillId="8" borderId="0" xfId="0" applyNumberFormat="1" applyFont="1" applyFill="1" applyAlignment="1">
      <alignment horizontal="center" vertical="center"/>
    </xf>
    <xf numFmtId="1" fontId="19" fillId="48" borderId="118" xfId="0" applyNumberFormat="1" applyFont="1" applyFill="1" applyBorder="1" applyAlignment="1">
      <alignment horizontal="center" vertical="center"/>
    </xf>
    <xf numFmtId="1" fontId="7" fillId="50" borderId="154" xfId="0" applyNumberFormat="1" applyFont="1" applyFill="1" applyBorder="1" applyAlignment="1">
      <alignment horizontal="center" vertical="center"/>
    </xf>
    <xf numFmtId="1" fontId="7" fillId="8" borderId="154" xfId="0" applyNumberFormat="1" applyFont="1" applyFill="1" applyBorder="1" applyAlignment="1">
      <alignment horizontal="center" vertical="center"/>
    </xf>
    <xf numFmtId="164" fontId="20" fillId="0" borderId="178" xfId="0" quotePrefix="1" applyNumberFormat="1" applyFont="1" applyBorder="1" applyAlignment="1">
      <alignment horizontal="left" vertical="center"/>
    </xf>
    <xf numFmtId="164" fontId="20" fillId="0" borderId="179" xfId="0" quotePrefix="1" applyNumberFormat="1" applyFont="1" applyBorder="1" applyAlignment="1">
      <alignment horizontal="left" vertical="center"/>
    </xf>
    <xf numFmtId="0" fontId="20" fillId="0" borderId="180" xfId="0" applyFont="1" applyBorder="1" applyAlignment="1">
      <alignment horizontal="center" vertical="center"/>
    </xf>
    <xf numFmtId="1" fontId="20" fillId="0" borderId="179" xfId="0" applyNumberFormat="1" applyFont="1" applyBorder="1" applyAlignment="1">
      <alignment horizontal="center" vertical="center"/>
    </xf>
    <xf numFmtId="1" fontId="20" fillId="8" borderId="179" xfId="0" applyNumberFormat="1" applyFont="1" applyFill="1" applyBorder="1" applyAlignment="1">
      <alignment horizontal="center" vertical="center"/>
    </xf>
    <xf numFmtId="1" fontId="20" fillId="7" borderId="179" xfId="0" applyNumberFormat="1" applyFont="1" applyFill="1" applyBorder="1" applyAlignment="1">
      <alignment horizontal="center" vertical="center"/>
    </xf>
    <xf numFmtId="164" fontId="20" fillId="0" borderId="74" xfId="0" quotePrefix="1" applyNumberFormat="1" applyFont="1" applyBorder="1" applyAlignment="1">
      <alignment horizontal="left" vertical="center"/>
    </xf>
    <xf numFmtId="172" fontId="20" fillId="0" borderId="46" xfId="0" quotePrefix="1" applyNumberFormat="1" applyFont="1" applyBorder="1" applyAlignment="1">
      <alignment horizontal="center" vertical="center"/>
    </xf>
    <xf numFmtId="1" fontId="45" fillId="5" borderId="175" xfId="0" applyNumberFormat="1" applyFont="1" applyFill="1" applyBorder="1" applyAlignment="1">
      <alignment vertical="center"/>
    </xf>
    <xf numFmtId="1" fontId="45" fillId="7" borderId="175" xfId="0" applyNumberFormat="1" applyFont="1" applyFill="1" applyBorder="1" applyAlignment="1">
      <alignment vertical="center"/>
    </xf>
    <xf numFmtId="1" fontId="45" fillId="5" borderId="175" xfId="0" applyNumberFormat="1" applyFont="1" applyFill="1" applyBorder="1" applyAlignment="1">
      <alignment horizontal="center" vertical="center"/>
    </xf>
    <xf numFmtId="1" fontId="45" fillId="54" borderId="175" xfId="0" applyNumberFormat="1" applyFont="1" applyFill="1" applyBorder="1" applyAlignment="1">
      <alignment vertical="center"/>
    </xf>
    <xf numFmtId="1" fontId="20" fillId="0" borderId="182" xfId="0" applyNumberFormat="1" applyFont="1" applyBorder="1" applyAlignment="1">
      <alignment horizontal="center" vertical="center"/>
    </xf>
    <xf numFmtId="1" fontId="20" fillId="7" borderId="182" xfId="0" applyNumberFormat="1" applyFont="1" applyFill="1" applyBorder="1" applyAlignment="1">
      <alignment horizontal="center" vertical="center"/>
    </xf>
    <xf numFmtId="1" fontId="20" fillId="5" borderId="182" xfId="0" applyNumberFormat="1" applyFont="1" applyFill="1" applyBorder="1" applyAlignment="1">
      <alignment horizontal="center" vertical="center"/>
    </xf>
    <xf numFmtId="1" fontId="20" fillId="54" borderId="182" xfId="0" applyNumberFormat="1" applyFont="1" applyFill="1" applyBorder="1" applyAlignment="1">
      <alignment horizontal="center" vertical="center"/>
    </xf>
    <xf numFmtId="0" fontId="20" fillId="0" borderId="171" xfId="0" applyFont="1" applyBorder="1" applyAlignment="1">
      <alignment vertical="center"/>
    </xf>
    <xf numFmtId="167" fontId="20" fillId="0" borderId="168" xfId="0" applyNumberFormat="1" applyFont="1" applyBorder="1" applyAlignment="1">
      <alignment horizontal="center" vertical="center"/>
    </xf>
    <xf numFmtId="0" fontId="20" fillId="7" borderId="168" xfId="0" applyFont="1" applyFill="1" applyBorder="1" applyAlignment="1">
      <alignment horizontal="center" vertical="center"/>
    </xf>
    <xf numFmtId="1" fontId="20" fillId="5" borderId="183" xfId="0" applyNumberFormat="1" applyFont="1" applyFill="1" applyBorder="1" applyAlignment="1">
      <alignment horizontal="center" vertical="center"/>
    </xf>
    <xf numFmtId="0" fontId="20" fillId="7" borderId="183" xfId="0" applyFont="1" applyFill="1" applyBorder="1" applyAlignment="1">
      <alignment horizontal="center" vertical="center"/>
    </xf>
    <xf numFmtId="0" fontId="20" fillId="5" borderId="183" xfId="0" applyFont="1" applyFill="1" applyBorder="1" applyAlignment="1">
      <alignment horizontal="center" vertical="center"/>
    </xf>
    <xf numFmtId="1" fontId="20" fillId="6" borderId="183" xfId="0" applyNumberFormat="1" applyFont="1" applyFill="1" applyBorder="1" applyAlignment="1">
      <alignment horizontal="center" vertical="center"/>
    </xf>
    <xf numFmtId="1" fontId="20" fillId="7" borderId="183" xfId="0" applyNumberFormat="1" applyFont="1" applyFill="1" applyBorder="1" applyAlignment="1">
      <alignment horizontal="center" vertical="center"/>
    </xf>
    <xf numFmtId="167" fontId="14" fillId="0" borderId="182" xfId="0" applyNumberFormat="1" applyFont="1" applyBorder="1" applyAlignment="1">
      <alignment horizontal="center" vertical="center"/>
    </xf>
    <xf numFmtId="1" fontId="14" fillId="0" borderId="182" xfId="0" applyNumberFormat="1" applyFont="1" applyBorder="1" applyAlignment="1">
      <alignment horizontal="center" vertical="center"/>
    </xf>
    <xf numFmtId="1" fontId="14" fillId="5" borderId="182" xfId="0" applyNumberFormat="1" applyFont="1" applyFill="1" applyBorder="1" applyAlignment="1">
      <alignment horizontal="center" vertical="center"/>
    </xf>
    <xf numFmtId="167" fontId="27" fillId="6" borderId="182" xfId="0" applyNumberFormat="1" applyFont="1" applyFill="1" applyBorder="1" applyAlignment="1">
      <alignment horizontal="center" vertical="center"/>
    </xf>
    <xf numFmtId="1" fontId="27" fillId="6" borderId="182" xfId="0" applyNumberFormat="1" applyFont="1" applyFill="1" applyBorder="1" applyAlignment="1">
      <alignment horizontal="center" vertical="center"/>
    </xf>
    <xf numFmtId="0" fontId="14" fillId="0" borderId="182" xfId="0" applyFont="1" applyBorder="1" applyAlignment="1">
      <alignment horizontal="left" vertical="center"/>
    </xf>
    <xf numFmtId="1" fontId="14" fillId="8" borderId="182" xfId="0" applyNumberFormat="1" applyFont="1" applyFill="1" applyBorder="1" applyAlignment="1">
      <alignment horizontal="center" vertical="center"/>
    </xf>
    <xf numFmtId="1" fontId="27" fillId="5" borderId="181" xfId="0" applyNumberFormat="1" applyFont="1" applyFill="1" applyBorder="1" applyAlignment="1">
      <alignment horizontal="center" vertical="center"/>
    </xf>
    <xf numFmtId="1" fontId="27" fillId="7" borderId="182" xfId="0" applyNumberFormat="1" applyFont="1" applyFill="1" applyBorder="1" applyAlignment="1">
      <alignment horizontal="center" vertical="center"/>
    </xf>
    <xf numFmtId="167" fontId="27" fillId="8" borderId="182" xfId="0" applyNumberFormat="1" applyFont="1" applyFill="1" applyBorder="1" applyAlignment="1">
      <alignment horizontal="center" vertical="center"/>
    </xf>
    <xf numFmtId="1" fontId="27" fillId="5" borderId="182" xfId="0" applyNumberFormat="1" applyFont="1" applyFill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14" fillId="0" borderId="181" xfId="0" applyFont="1" applyBorder="1" applyAlignment="1">
      <alignment horizontal="left" vertical="center"/>
    </xf>
    <xf numFmtId="0" fontId="27" fillId="0" borderId="181" xfId="0" applyFont="1" applyBorder="1" applyAlignment="1">
      <alignment horizontal="right" vertical="center"/>
    </xf>
    <xf numFmtId="1" fontId="36" fillId="0" borderId="181" xfId="0" applyNumberFormat="1" applyFont="1" applyBorder="1" applyAlignment="1">
      <alignment horizontal="right" vertical="center"/>
    </xf>
    <xf numFmtId="1" fontId="23" fillId="0" borderId="181" xfId="0" applyNumberFormat="1" applyFont="1" applyBorder="1" applyAlignment="1">
      <alignment horizontal="left" vertical="center"/>
    </xf>
    <xf numFmtId="1" fontId="27" fillId="0" borderId="181" xfId="0" applyNumberFormat="1" applyFont="1" applyBorder="1" applyAlignment="1">
      <alignment horizontal="left" vertical="center"/>
    </xf>
    <xf numFmtId="167" fontId="210" fillId="0" borderId="0" xfId="0" applyNumberFormat="1" applyFont="1" applyAlignment="1">
      <alignment horizontal="center" vertical="center"/>
    </xf>
    <xf numFmtId="0" fontId="197" fillId="0" borderId="182" xfId="0" applyFont="1" applyBorder="1"/>
    <xf numFmtId="0" fontId="197" fillId="8" borderId="182" xfId="0" applyFont="1" applyFill="1" applyBorder="1"/>
    <xf numFmtId="1" fontId="18" fillId="5" borderId="182" xfId="0" applyNumberFormat="1" applyFont="1" applyFill="1" applyBorder="1" applyAlignment="1">
      <alignment horizontal="center" vertical="center"/>
    </xf>
    <xf numFmtId="1" fontId="18" fillId="6" borderId="182" xfId="0" applyNumberFormat="1" applyFont="1" applyFill="1" applyBorder="1" applyAlignment="1">
      <alignment horizontal="center" vertical="center"/>
    </xf>
    <xf numFmtId="1" fontId="19" fillId="6" borderId="182" xfId="0" applyNumberFormat="1" applyFont="1" applyFill="1" applyBorder="1" applyAlignment="1">
      <alignment horizontal="center" vertical="center"/>
    </xf>
    <xf numFmtId="1" fontId="20" fillId="5" borderId="182" xfId="0" applyNumberFormat="1" applyFont="1" applyFill="1" applyBorder="1" applyAlignment="1">
      <alignment vertical="center"/>
    </xf>
    <xf numFmtId="1" fontId="20" fillId="44" borderId="182" xfId="0" applyNumberFormat="1" applyFont="1" applyFill="1" applyBorder="1" applyAlignment="1">
      <alignment vertical="center"/>
    </xf>
    <xf numFmtId="1" fontId="20" fillId="44" borderId="182" xfId="0" applyNumberFormat="1" applyFont="1" applyFill="1" applyBorder="1" applyAlignment="1">
      <alignment horizontal="center" vertical="center"/>
    </xf>
    <xf numFmtId="0" fontId="78" fillId="0" borderId="22" xfId="186" applyFont="1" applyBorder="1" applyAlignment="1">
      <alignment horizontal="left" vertical="center"/>
    </xf>
    <xf numFmtId="0" fontId="78" fillId="0" borderId="7" xfId="186" applyFont="1" applyBorder="1" applyAlignment="1">
      <alignment horizontal="left" vertical="center"/>
    </xf>
    <xf numFmtId="1" fontId="79" fillId="0" borderId="181" xfId="186" applyNumberFormat="1" applyFont="1" applyBorder="1" applyAlignment="1">
      <alignment horizontal="center" vertical="center"/>
    </xf>
    <xf numFmtId="1" fontId="79" fillId="0" borderId="182" xfId="186" applyNumberFormat="1" applyFont="1" applyBorder="1" applyAlignment="1">
      <alignment horizontal="center" vertical="center"/>
    </xf>
    <xf numFmtId="1" fontId="79" fillId="7" borderId="181" xfId="186" applyNumberFormat="1" applyFont="1" applyFill="1" applyBorder="1" applyAlignment="1">
      <alignment horizontal="center" vertical="center"/>
    </xf>
    <xf numFmtId="1" fontId="78" fillId="6" borderId="182" xfId="186" applyNumberFormat="1" applyFont="1" applyFill="1" applyBorder="1" applyAlignment="1">
      <alignment horizontal="center" vertical="center"/>
    </xf>
    <xf numFmtId="1" fontId="78" fillId="7" borderId="182" xfId="186" applyNumberFormat="1" applyFont="1" applyFill="1" applyBorder="1" applyAlignment="1">
      <alignment horizontal="center" vertical="center"/>
    </xf>
    <xf numFmtId="1" fontId="78" fillId="7" borderId="181" xfId="186" applyNumberFormat="1" applyFont="1" applyFill="1" applyBorder="1" applyAlignment="1">
      <alignment horizontal="center" vertical="center"/>
    </xf>
    <xf numFmtId="0" fontId="0" fillId="0" borderId="153" xfId="0" applyBorder="1"/>
    <xf numFmtId="0" fontId="0" fillId="0" borderId="181" xfId="0" applyBorder="1"/>
    <xf numFmtId="1" fontId="0" fillId="0" borderId="153" xfId="0" applyNumberFormat="1" applyBorder="1" applyAlignment="1">
      <alignment horizontal="center" vertical="center"/>
    </xf>
    <xf numFmtId="1" fontId="0" fillId="0" borderId="182" xfId="0" applyNumberFormat="1" applyBorder="1" applyAlignment="1">
      <alignment horizontal="center" vertical="center"/>
    </xf>
    <xf numFmtId="1" fontId="55" fillId="0" borderId="182" xfId="0" applyNumberFormat="1" applyFont="1" applyBorder="1" applyAlignment="1">
      <alignment horizontal="center" vertical="center"/>
    </xf>
    <xf numFmtId="1" fontId="0" fillId="32" borderId="182" xfId="0" applyNumberFormat="1" applyFill="1" applyBorder="1" applyAlignment="1">
      <alignment horizontal="center" vertical="center"/>
    </xf>
    <xf numFmtId="1" fontId="45" fillId="5" borderId="46" xfId="0" applyNumberFormat="1" applyFont="1" applyFill="1" applyBorder="1" applyAlignment="1">
      <alignment vertical="center"/>
    </xf>
    <xf numFmtId="1" fontId="45" fillId="54" borderId="46" xfId="0" applyNumberFormat="1" applyFont="1" applyFill="1" applyBorder="1" applyAlignment="1">
      <alignment vertical="center"/>
    </xf>
    <xf numFmtId="1" fontId="45" fillId="5" borderId="46" xfId="0" applyNumberFormat="1" applyFont="1" applyFill="1" applyBorder="1" applyAlignment="1">
      <alignment horizontal="center" vertical="center"/>
    </xf>
    <xf numFmtId="1" fontId="20" fillId="7" borderId="64" xfId="0" applyNumberFormat="1" applyFont="1" applyFill="1" applyBorder="1" applyAlignment="1">
      <alignment horizontal="center" vertical="center"/>
    </xf>
    <xf numFmtId="1" fontId="45" fillId="5" borderId="182" xfId="0" applyNumberFormat="1" applyFont="1" applyFill="1" applyBorder="1" applyAlignment="1">
      <alignment vertical="center"/>
    </xf>
    <xf numFmtId="1" fontId="45" fillId="54" borderId="182" xfId="0" applyNumberFormat="1" applyFont="1" applyFill="1" applyBorder="1" applyAlignment="1">
      <alignment vertical="center"/>
    </xf>
    <xf numFmtId="1" fontId="45" fillId="7" borderId="182" xfId="0" applyNumberFormat="1" applyFont="1" applyFill="1" applyBorder="1" applyAlignment="1">
      <alignment vertical="center"/>
    </xf>
    <xf numFmtId="169" fontId="18" fillId="6" borderId="10" xfId="0" applyNumberFormat="1" applyFont="1" applyFill="1" applyBorder="1" applyAlignment="1">
      <alignment horizontal="center" vertical="center"/>
    </xf>
    <xf numFmtId="181" fontId="0" fillId="0" borderId="0" xfId="0" applyNumberFormat="1"/>
    <xf numFmtId="0" fontId="21" fillId="7" borderId="0" xfId="0" applyFont="1" applyFill="1" applyAlignment="1">
      <alignment horizontal="center" vertical="center"/>
    </xf>
    <xf numFmtId="0" fontId="21" fillId="5" borderId="54" xfId="0" applyFont="1" applyFill="1" applyBorder="1" applyAlignment="1">
      <alignment horizontal="center" vertical="center"/>
    </xf>
    <xf numFmtId="0" fontId="21" fillId="8" borderId="54" xfId="0" applyFont="1" applyFill="1" applyBorder="1" applyAlignment="1">
      <alignment horizontal="center" vertical="center"/>
    </xf>
    <xf numFmtId="0" fontId="21" fillId="6" borderId="54" xfId="0" applyFont="1" applyFill="1" applyBorder="1" applyAlignment="1">
      <alignment horizontal="center" vertical="center"/>
    </xf>
    <xf numFmtId="0" fontId="21" fillId="7" borderId="86" xfId="0" applyFont="1" applyFill="1" applyBorder="1" applyAlignment="1">
      <alignment horizontal="center" vertical="center"/>
    </xf>
    <xf numFmtId="0" fontId="21" fillId="5" borderId="76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center" vertical="center"/>
    </xf>
    <xf numFmtId="0" fontId="21" fillId="8" borderId="86" xfId="0" applyFont="1" applyFill="1" applyBorder="1" applyAlignment="1">
      <alignment horizontal="center" vertical="center"/>
    </xf>
    <xf numFmtId="0" fontId="21" fillId="6" borderId="86" xfId="0" applyFont="1" applyFill="1" applyBorder="1" applyAlignment="1">
      <alignment horizontal="center" vertical="center"/>
    </xf>
    <xf numFmtId="0" fontId="21" fillId="44" borderId="86" xfId="0" applyFont="1" applyFill="1" applyBorder="1" applyAlignment="1">
      <alignment horizontal="center" vertical="center"/>
    </xf>
    <xf numFmtId="0" fontId="21" fillId="44" borderId="54" xfId="0" applyFont="1" applyFill="1" applyBorder="1" applyAlignment="1">
      <alignment horizontal="center" vertical="center"/>
    </xf>
    <xf numFmtId="0" fontId="18" fillId="0" borderId="40" xfId="0" applyFont="1" applyBorder="1" applyAlignment="1">
      <alignment vertical="center"/>
    </xf>
    <xf numFmtId="0" fontId="21" fillId="0" borderId="182" xfId="0" applyFont="1" applyBorder="1" applyAlignment="1">
      <alignment horizontal="left" vertical="center"/>
    </xf>
    <xf numFmtId="0" fontId="21" fillId="0" borderId="182" xfId="0" applyFont="1" applyBorder="1" applyAlignment="1">
      <alignment horizontal="center" vertical="center"/>
    </xf>
    <xf numFmtId="0" fontId="21" fillId="0" borderId="182" xfId="0" applyFont="1" applyBorder="1" applyAlignment="1">
      <alignment horizontal="center" vertical="center" wrapText="1"/>
    </xf>
    <xf numFmtId="1" fontId="21" fillId="0" borderId="182" xfId="0" applyNumberFormat="1" applyFont="1" applyBorder="1" applyAlignment="1">
      <alignment horizontal="center" vertical="center"/>
    </xf>
    <xf numFmtId="0" fontId="21" fillId="7" borderId="182" xfId="0" applyFont="1" applyFill="1" applyBorder="1" applyAlignment="1">
      <alignment horizontal="center" vertical="center"/>
    </xf>
    <xf numFmtId="0" fontId="21" fillId="5" borderId="182" xfId="0" applyFont="1" applyFill="1" applyBorder="1" applyAlignment="1">
      <alignment horizontal="center" vertical="center"/>
    </xf>
    <xf numFmtId="1" fontId="21" fillId="5" borderId="182" xfId="0" applyNumberFormat="1" applyFont="1" applyFill="1" applyBorder="1" applyAlignment="1">
      <alignment horizontal="center" vertical="center"/>
    </xf>
    <xf numFmtId="0" fontId="21" fillId="8" borderId="182" xfId="0" applyFont="1" applyFill="1" applyBorder="1" applyAlignment="1">
      <alignment horizontal="center" vertical="center"/>
    </xf>
    <xf numFmtId="1" fontId="21" fillId="7" borderId="182" xfId="0" applyNumberFormat="1" applyFont="1" applyFill="1" applyBorder="1" applyAlignment="1">
      <alignment horizontal="center" vertical="center"/>
    </xf>
    <xf numFmtId="0" fontId="21" fillId="6" borderId="182" xfId="0" applyFont="1" applyFill="1" applyBorder="1" applyAlignment="1">
      <alignment horizontal="center" vertical="center"/>
    </xf>
    <xf numFmtId="0" fontId="21" fillId="44" borderId="182" xfId="0" applyFont="1" applyFill="1" applyBorder="1" applyAlignment="1">
      <alignment horizontal="center" vertical="center"/>
    </xf>
    <xf numFmtId="0" fontId="0" fillId="0" borderId="182" xfId="0" applyBorder="1"/>
    <xf numFmtId="1" fontId="21" fillId="6" borderId="182" xfId="0" applyNumberFormat="1" applyFont="1" applyFill="1" applyBorder="1" applyAlignment="1">
      <alignment horizontal="center" vertical="center"/>
    </xf>
    <xf numFmtId="164" fontId="20" fillId="8" borderId="171" xfId="0" quotePrefix="1" applyNumberFormat="1" applyFont="1" applyFill="1" applyBorder="1" applyAlignment="1">
      <alignment horizontal="left" vertical="center"/>
    </xf>
    <xf numFmtId="0" fontId="20" fillId="0" borderId="179" xfId="0" applyFont="1" applyBorder="1" applyAlignment="1">
      <alignment horizontal="left" vertical="center"/>
    </xf>
    <xf numFmtId="0" fontId="20" fillId="0" borderId="168" xfId="0" applyFont="1" applyBorder="1" applyAlignment="1">
      <alignment horizontal="left" vertical="center"/>
    </xf>
    <xf numFmtId="164" fontId="20" fillId="8" borderId="182" xfId="0" quotePrefix="1" applyNumberFormat="1" applyFont="1" applyFill="1" applyBorder="1" applyAlignment="1">
      <alignment horizontal="left" vertical="center"/>
    </xf>
    <xf numFmtId="0" fontId="20" fillId="0" borderId="182" xfId="0" applyFont="1" applyBorder="1" applyAlignment="1">
      <alignment horizontal="left" vertical="center"/>
    </xf>
    <xf numFmtId="169" fontId="53" fillId="6" borderId="79" xfId="0" applyNumberFormat="1" applyFont="1" applyFill="1" applyBorder="1" applyAlignment="1">
      <alignment horizontal="center" vertical="center"/>
    </xf>
    <xf numFmtId="0" fontId="36" fillId="0" borderId="182" xfId="0" applyFont="1" applyBorder="1"/>
    <xf numFmtId="0" fontId="36" fillId="8" borderId="182" xfId="0" applyFont="1" applyFill="1" applyBorder="1"/>
    <xf numFmtId="167" fontId="27" fillId="0" borderId="182" xfId="0" applyNumberFormat="1" applyFont="1" applyBorder="1" applyAlignment="1">
      <alignment horizontal="center" vertical="center"/>
    </xf>
    <xf numFmtId="1" fontId="27" fillId="8" borderId="182" xfId="0" applyNumberFormat="1" applyFont="1" applyFill="1" applyBorder="1" applyAlignment="1">
      <alignment horizontal="center" vertical="center"/>
    </xf>
    <xf numFmtId="1" fontId="27" fillId="0" borderId="182" xfId="0" applyNumberFormat="1" applyFont="1" applyBorder="1" applyAlignment="1">
      <alignment horizontal="center" vertical="center"/>
    </xf>
    <xf numFmtId="0" fontId="0" fillId="0" borderId="0" xfId="0"/>
    <xf numFmtId="167" fontId="20" fillId="0" borderId="46" xfId="0" applyNumberFormat="1" applyFont="1" applyBorder="1" applyAlignment="1">
      <alignment horizontal="center" vertical="center"/>
    </xf>
    <xf numFmtId="167" fontId="20" fillId="8" borderId="46" xfId="0" applyNumberFormat="1" applyFont="1" applyFill="1" applyBorder="1" applyAlignment="1">
      <alignment horizontal="center" vertical="center"/>
    </xf>
    <xf numFmtId="2" fontId="20" fillId="5" borderId="38" xfId="0" applyNumberFormat="1" applyFont="1" applyFill="1" applyBorder="1" applyAlignment="1">
      <alignment horizontal="center" vertical="center"/>
    </xf>
    <xf numFmtId="2" fontId="20" fillId="5" borderId="46" xfId="0" applyNumberFormat="1" applyFont="1" applyFill="1" applyBorder="1" applyAlignment="1">
      <alignment horizontal="center" vertical="center"/>
    </xf>
    <xf numFmtId="167" fontId="20" fillId="7" borderId="38" xfId="0" applyNumberFormat="1" applyFont="1" applyFill="1" applyBorder="1" applyAlignment="1">
      <alignment horizontal="center" vertical="center"/>
    </xf>
    <xf numFmtId="1" fontId="20" fillId="5" borderId="26" xfId="0" applyNumberFormat="1" applyFont="1" applyFill="1" applyBorder="1" applyAlignment="1">
      <alignment horizontal="center" vertical="center"/>
    </xf>
    <xf numFmtId="2" fontId="20" fillId="6" borderId="57" xfId="0" applyNumberFormat="1" applyFont="1" applyFill="1" applyBorder="1" applyAlignment="1">
      <alignment horizontal="center" vertical="center"/>
    </xf>
    <xf numFmtId="2" fontId="20" fillId="6" borderId="73" xfId="0" applyNumberFormat="1" applyFont="1" applyFill="1" applyBorder="1" applyAlignment="1">
      <alignment horizontal="center" vertical="center"/>
    </xf>
    <xf numFmtId="1" fontId="20" fillId="6" borderId="0" xfId="0" applyNumberFormat="1" applyFont="1" applyFill="1" applyBorder="1" applyAlignment="1">
      <alignment horizontal="center" vertical="center"/>
    </xf>
    <xf numFmtId="0" fontId="12" fillId="0" borderId="153" xfId="0" applyFont="1" applyBorder="1" applyAlignment="1">
      <alignment horizontal="right" vertical="center"/>
    </xf>
    <xf numFmtId="0" fontId="12" fillId="0" borderId="182" xfId="0" applyFont="1" applyBorder="1" applyAlignment="1">
      <alignment horizontal="center" vertical="center"/>
    </xf>
    <xf numFmtId="167" fontId="20" fillId="0" borderId="182" xfId="0" applyNumberFormat="1" applyFont="1" applyBorder="1" applyAlignment="1">
      <alignment horizontal="center" vertical="center"/>
    </xf>
    <xf numFmtId="167" fontId="12" fillId="0" borderId="182" xfId="0" applyNumberFormat="1" applyFont="1" applyBorder="1" applyAlignment="1">
      <alignment horizontal="center" vertical="center"/>
    </xf>
    <xf numFmtId="167" fontId="12" fillId="7" borderId="182" xfId="0" applyNumberFormat="1" applyFont="1" applyFill="1" applyBorder="1" applyAlignment="1">
      <alignment horizontal="center" vertical="center"/>
    </xf>
    <xf numFmtId="167" fontId="12" fillId="7" borderId="156" xfId="0" applyNumberFormat="1" applyFont="1" applyFill="1" applyBorder="1" applyAlignment="1">
      <alignment horizontal="center" vertical="center"/>
    </xf>
    <xf numFmtId="167" fontId="12" fillId="5" borderId="182" xfId="0" applyNumberFormat="1" applyFont="1" applyFill="1" applyBorder="1" applyAlignment="1">
      <alignment horizontal="center" vertical="center"/>
    </xf>
    <xf numFmtId="167" fontId="12" fillId="6" borderId="182" xfId="0" applyNumberFormat="1" applyFont="1" applyFill="1" applyBorder="1" applyAlignment="1">
      <alignment horizontal="center" vertical="center"/>
    </xf>
    <xf numFmtId="0" fontId="46" fillId="8" borderId="34" xfId="0" applyFont="1" applyFill="1" applyBorder="1" applyAlignment="1">
      <alignment vertical="center"/>
    </xf>
    <xf numFmtId="0" fontId="46" fillId="8" borderId="30" xfId="0" applyFont="1" applyFill="1" applyBorder="1" applyAlignment="1">
      <alignment vertical="center"/>
    </xf>
    <xf numFmtId="0" fontId="5" fillId="8" borderId="30" xfId="0" applyFont="1" applyFill="1" applyBorder="1" applyAlignment="1">
      <alignment vertical="center"/>
    </xf>
    <xf numFmtId="0" fontId="46" fillId="8" borderId="30" xfId="0" applyFont="1" applyFill="1" applyBorder="1" applyAlignment="1">
      <alignment horizontal="center" vertical="center"/>
    </xf>
    <xf numFmtId="0" fontId="46" fillId="8" borderId="53" xfId="0" applyFont="1" applyFill="1" applyBorder="1" applyAlignment="1">
      <alignment vertical="center"/>
    </xf>
    <xf numFmtId="0" fontId="46" fillId="8" borderId="182" xfId="0" applyFont="1" applyFill="1" applyBorder="1" applyAlignment="1">
      <alignment horizontal="center" vertical="center"/>
    </xf>
    <xf numFmtId="0" fontId="46" fillId="8" borderId="182" xfId="0" applyFont="1" applyFill="1" applyBorder="1" applyAlignment="1">
      <alignment vertical="center"/>
    </xf>
    <xf numFmtId="164" fontId="18" fillId="8" borderId="182" xfId="0" applyNumberFormat="1" applyFont="1" applyFill="1" applyBorder="1" applyAlignment="1">
      <alignment horizontal="right" vertical="center"/>
    </xf>
    <xf numFmtId="164" fontId="18" fillId="8" borderId="182" xfId="0" applyNumberFormat="1" applyFont="1" applyFill="1" applyBorder="1" applyAlignment="1">
      <alignment horizontal="center" vertical="center"/>
    </xf>
    <xf numFmtId="1" fontId="18" fillId="8" borderId="182" xfId="0" applyNumberFormat="1" applyFont="1" applyFill="1" applyBorder="1" applyAlignment="1">
      <alignment horizontal="center" vertical="center"/>
    </xf>
    <xf numFmtId="167" fontId="18" fillId="8" borderId="182" xfId="0" applyNumberFormat="1" applyFont="1" applyFill="1" applyBorder="1" applyAlignment="1">
      <alignment horizontal="center" vertical="center"/>
    </xf>
    <xf numFmtId="164" fontId="18" fillId="8" borderId="0" xfId="0" applyNumberFormat="1" applyFont="1" applyFill="1" applyBorder="1" applyAlignment="1">
      <alignment horizontal="right" vertical="center"/>
    </xf>
    <xf numFmtId="164" fontId="18" fillId="8" borderId="40" xfId="0" applyNumberFormat="1" applyFont="1" applyFill="1" applyBorder="1" applyAlignment="1">
      <alignment horizontal="center" vertical="center"/>
    </xf>
    <xf numFmtId="1" fontId="19" fillId="8" borderId="153" xfId="0" applyNumberFormat="1" applyFont="1" applyFill="1" applyBorder="1" applyAlignment="1">
      <alignment horizontal="center" vertical="center"/>
    </xf>
    <xf numFmtId="167" fontId="19" fillId="8" borderId="156" xfId="0" applyNumberFormat="1" applyFont="1" applyFill="1" applyBorder="1" applyAlignment="1">
      <alignment horizontal="center" vertical="center"/>
    </xf>
    <xf numFmtId="1" fontId="19" fillId="7" borderId="181" xfId="0" applyNumberFormat="1" applyFont="1" applyFill="1" applyBorder="1" applyAlignment="1">
      <alignment horizontal="center" vertical="center"/>
    </xf>
    <xf numFmtId="167" fontId="19" fillId="7" borderId="158" xfId="0" applyNumberFormat="1" applyFont="1" applyFill="1" applyBorder="1" applyAlignment="1">
      <alignment horizontal="center" vertical="center"/>
    </xf>
    <xf numFmtId="1" fontId="18" fillId="5" borderId="153" xfId="0" applyNumberFormat="1" applyFont="1" applyFill="1" applyBorder="1" applyAlignment="1">
      <alignment horizontal="center" vertical="center"/>
    </xf>
    <xf numFmtId="167" fontId="18" fillId="5" borderId="156" xfId="0" applyNumberFormat="1" applyFont="1" applyFill="1" applyBorder="1" applyAlignment="1">
      <alignment horizontal="center" vertical="center"/>
    </xf>
    <xf numFmtId="1" fontId="18" fillId="7" borderId="153" xfId="0" applyNumberFormat="1" applyFont="1" applyFill="1" applyBorder="1" applyAlignment="1">
      <alignment horizontal="center" vertical="center"/>
    </xf>
    <xf numFmtId="167" fontId="18" fillId="7" borderId="156" xfId="0" applyNumberFormat="1" applyFont="1" applyFill="1" applyBorder="1" applyAlignment="1">
      <alignment horizontal="center" vertical="center"/>
    </xf>
    <xf numFmtId="167" fontId="18" fillId="5" borderId="182" xfId="0" applyNumberFormat="1" applyFont="1" applyFill="1" applyBorder="1" applyAlignment="1">
      <alignment horizontal="center" vertical="center"/>
    </xf>
    <xf numFmtId="167" fontId="18" fillId="6" borderId="182" xfId="0" applyNumberFormat="1" applyFont="1" applyFill="1" applyBorder="1" applyAlignment="1">
      <alignment horizontal="center" vertical="center"/>
    </xf>
    <xf numFmtId="1" fontId="18" fillId="44" borderId="182" xfId="0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6" xfId="0" applyNumberFormat="1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7" borderId="67" xfId="0" applyFont="1" applyFill="1" applyBorder="1" applyAlignment="1">
      <alignment horizontal="center" vertical="center"/>
    </xf>
    <xf numFmtId="0" fontId="4" fillId="6" borderId="6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5" borderId="63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4" fillId="7" borderId="66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5" borderId="66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4" fillId="5" borderId="41" xfId="0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7" borderId="41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0" fontId="76" fillId="8" borderId="34" xfId="0" applyFont="1" applyFill="1" applyBorder="1" applyAlignment="1">
      <alignment horizontal="left" vertical="center"/>
    </xf>
    <xf numFmtId="0" fontId="76" fillId="8" borderId="31" xfId="0" applyFont="1" applyFill="1" applyBorder="1" applyAlignment="1">
      <alignment horizontal="left" vertical="center"/>
    </xf>
    <xf numFmtId="0" fontId="76" fillId="8" borderId="32" xfId="0" applyFont="1" applyFill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0" fontId="20" fillId="0" borderId="175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54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8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75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29" xfId="0" applyNumberFormat="1" applyFont="1" applyFill="1" applyBorder="1" applyAlignment="1">
      <alignment horizontal="center"/>
    </xf>
    <xf numFmtId="1" fontId="20" fillId="5" borderId="182" xfId="0" applyNumberFormat="1" applyFont="1" applyFill="1" applyBorder="1" applyAlignment="1">
      <alignment horizontal="center"/>
    </xf>
    <xf numFmtId="1" fontId="20" fillId="54" borderId="10" xfId="0" applyNumberFormat="1" applyFont="1" applyFill="1" applyBorder="1" applyAlignment="1">
      <alignment horizontal="center"/>
    </xf>
    <xf numFmtId="1" fontId="20" fillId="54" borderId="138" xfId="0" applyNumberFormat="1" applyFont="1" applyFill="1" applyBorder="1" applyAlignment="1">
      <alignment horizontal="center"/>
    </xf>
    <xf numFmtId="1" fontId="20" fillId="54" borderId="118" xfId="0" applyNumberFormat="1" applyFont="1" applyFill="1" applyBorder="1" applyAlignment="1">
      <alignment horizontal="center"/>
    </xf>
    <xf numFmtId="1" fontId="20" fillId="54" borderId="175" xfId="0" applyNumberFormat="1" applyFont="1" applyFill="1" applyBorder="1" applyAlignment="1">
      <alignment horizontal="center"/>
    </xf>
    <xf numFmtId="1" fontId="20" fillId="54" borderId="117" xfId="0" applyNumberFormat="1" applyFont="1" applyFill="1" applyBorder="1" applyAlignment="1">
      <alignment horizontal="center"/>
    </xf>
    <xf numFmtId="1" fontId="20" fillId="54" borderId="129" xfId="0" applyNumberFormat="1" applyFont="1" applyFill="1" applyBorder="1" applyAlignment="1">
      <alignment horizontal="center"/>
    </xf>
    <xf numFmtId="1" fontId="20" fillId="54" borderId="182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29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54" xfId="0" applyFont="1" applyFill="1" applyBorder="1" applyAlignment="1">
      <alignment horizontal="center" vertical="center"/>
    </xf>
    <xf numFmtId="0" fontId="20" fillId="5" borderId="175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54" borderId="10" xfId="0" applyFont="1" applyFill="1" applyBorder="1" applyAlignment="1">
      <alignment horizontal="center" vertical="center"/>
    </xf>
    <xf numFmtId="0" fontId="20" fillId="54" borderId="129" xfId="0" applyFont="1" applyFill="1" applyBorder="1" applyAlignment="1">
      <alignment horizontal="center" vertical="center"/>
    </xf>
    <xf numFmtId="0" fontId="20" fillId="54" borderId="117" xfId="0" applyFont="1" applyFill="1" applyBorder="1" applyAlignment="1">
      <alignment horizontal="center" vertical="center"/>
    </xf>
    <xf numFmtId="0" fontId="20" fillId="54" borderId="154" xfId="0" applyFont="1" applyFill="1" applyBorder="1" applyAlignment="1">
      <alignment horizontal="center" vertical="center"/>
    </xf>
    <xf numFmtId="0" fontId="20" fillId="54" borderId="175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/>
    </xf>
    <xf numFmtId="1" fontId="20" fillId="8" borderId="136" xfId="0" applyNumberFormat="1" applyFont="1" applyFill="1" applyBorder="1" applyAlignment="1">
      <alignment horizontal="center"/>
    </xf>
    <xf numFmtId="1" fontId="20" fillId="8" borderId="158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8" borderId="182" xfId="0" applyNumberFormat="1" applyFont="1" applyFill="1" applyBorder="1" applyAlignment="1">
      <alignment horizontal="center"/>
    </xf>
    <xf numFmtId="1" fontId="20" fillId="8" borderId="175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54" borderId="10" xfId="0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8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75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29" xfId="0" applyNumberFormat="1" applyFont="1" applyFill="1" applyBorder="1" applyAlignment="1">
      <alignment horizontal="center"/>
    </xf>
    <xf numFmtId="1" fontId="20" fillId="7" borderId="182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29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54" xfId="0" applyFont="1" applyFill="1" applyBorder="1" applyAlignment="1">
      <alignment horizontal="center" vertical="center"/>
    </xf>
    <xf numFmtId="0" fontId="20" fillId="7" borderId="175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8" borderId="138" xfId="0" applyNumberFormat="1" applyFont="1" applyFill="1" applyBorder="1" applyAlignment="1">
      <alignment horizontal="center"/>
    </xf>
    <xf numFmtId="1" fontId="20" fillId="8" borderId="29" xfId="0" applyNumberFormat="1" applyFont="1" applyFill="1" applyBorder="1" applyAlignment="1">
      <alignment horizontal="center"/>
    </xf>
    <xf numFmtId="1" fontId="20" fillId="8" borderId="181" xfId="0" applyNumberFormat="1" applyFont="1" applyFill="1" applyBorder="1" applyAlignment="1">
      <alignment horizontal="center"/>
    </xf>
    <xf numFmtId="1" fontId="20" fillId="8" borderId="160" xfId="0" applyNumberFormat="1" applyFont="1" applyFill="1" applyBorder="1" applyAlignment="1">
      <alignment horizontal="center"/>
    </xf>
    <xf numFmtId="0" fontId="0" fillId="0" borderId="0" xfId="0"/>
    <xf numFmtId="1" fontId="20" fillId="7" borderId="29" xfId="0" applyNumberFormat="1" applyFont="1" applyFill="1" applyBorder="1" applyAlignment="1">
      <alignment horizont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4" fillId="0" borderId="52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0" fontId="132" fillId="0" borderId="44" xfId="0" applyFont="1" applyBorder="1" applyAlignment="1">
      <alignment horizontal="center" vertical="center"/>
    </xf>
    <xf numFmtId="0" fontId="132" fillId="0" borderId="47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32" fillId="0" borderId="51" xfId="0" applyFont="1" applyBorder="1" applyAlignment="1">
      <alignment horizontal="center" vertical="center"/>
    </xf>
    <xf numFmtId="0" fontId="133" fillId="0" borderId="52" xfId="0" applyFont="1" applyBorder="1" applyAlignment="1">
      <alignment horizontal="center" vertical="center"/>
    </xf>
    <xf numFmtId="0" fontId="133" fillId="0" borderId="47" xfId="0" applyFont="1" applyBorder="1" applyAlignment="1">
      <alignment horizontal="center" vertical="center"/>
    </xf>
    <xf numFmtId="0" fontId="133" fillId="0" borderId="51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88" fillId="0" borderId="76" xfId="0" applyFont="1" applyBorder="1" applyAlignment="1">
      <alignment horizontal="center" vertical="center"/>
    </xf>
    <xf numFmtId="0" fontId="188" fillId="0" borderId="34" xfId="0" applyFont="1" applyBorder="1" applyAlignment="1">
      <alignment horizontal="center" vertical="center"/>
    </xf>
    <xf numFmtId="0" fontId="33" fillId="0" borderId="182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0" fontId="133" fillId="0" borderId="44" xfId="0" applyFont="1" applyBorder="1" applyAlignment="1">
      <alignment horizontal="center" vertical="center"/>
    </xf>
    <xf numFmtId="0" fontId="133" fillId="0" borderId="70" xfId="0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26" fillId="7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0" fontId="20" fillId="0" borderId="120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left" vertical="center"/>
    </xf>
    <xf numFmtId="0" fontId="21" fillId="0" borderId="165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79" fillId="8" borderId="0" xfId="186" applyFont="1" applyFill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61" xfId="0" applyFont="1" applyFill="1" applyBorder="1" applyAlignment="1">
      <alignment horizontal="center" vertical="center"/>
    </xf>
    <xf numFmtId="17" fontId="196" fillId="0" borderId="10" xfId="0" applyNumberFormat="1" applyFont="1" applyBorder="1" applyAlignment="1">
      <alignment horizontal="center" vertical="center"/>
    </xf>
    <xf numFmtId="0" fontId="196" fillId="0" borderId="10" xfId="0" applyFont="1" applyBorder="1" applyAlignment="1">
      <alignment horizontal="center" vertical="center"/>
    </xf>
    <xf numFmtId="0" fontId="196" fillId="7" borderId="10" xfId="0" applyFont="1" applyFill="1" applyBorder="1" applyAlignment="1">
      <alignment horizontal="center" vertical="center"/>
    </xf>
    <xf numFmtId="0" fontId="196" fillId="0" borderId="136" xfId="0" applyFont="1" applyBorder="1" applyAlignment="1">
      <alignment horizontal="center" vertical="center"/>
    </xf>
    <xf numFmtId="0" fontId="196" fillId="0" borderId="137" xfId="0" applyFont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96" fillId="5" borderId="37" xfId="0" applyFont="1" applyFill="1" applyBorder="1" applyAlignment="1">
      <alignment horizontal="center" vertical="center"/>
    </xf>
    <xf numFmtId="0" fontId="196" fillId="5" borderId="29" xfId="0" applyFont="1" applyFill="1" applyBorder="1" applyAlignment="1">
      <alignment horizontal="center" vertical="center"/>
    </xf>
    <xf numFmtId="0" fontId="197" fillId="0" borderId="10" xfId="0" applyFont="1" applyBorder="1" applyAlignment="1">
      <alignment horizontal="center"/>
    </xf>
    <xf numFmtId="0" fontId="196" fillId="43" borderId="10" xfId="0" applyFont="1" applyFill="1" applyBorder="1" applyAlignment="1">
      <alignment horizontal="center"/>
    </xf>
    <xf numFmtId="0" fontId="196" fillId="4" borderId="10" xfId="0" applyFont="1" applyFill="1" applyBorder="1" applyAlignment="1">
      <alignment horizontal="center"/>
    </xf>
    <xf numFmtId="0" fontId="196" fillId="0" borderId="37" xfId="0" applyFont="1" applyBorder="1" applyAlignment="1">
      <alignment horizontal="center" vertical="center"/>
    </xf>
    <xf numFmtId="0" fontId="196" fillId="0" borderId="29" xfId="0" applyFont="1" applyBorder="1" applyAlignment="1">
      <alignment horizontal="center" vertical="center"/>
    </xf>
    <xf numFmtId="0" fontId="197" fillId="0" borderId="46" xfId="0" applyFont="1" applyBorder="1" applyAlignment="1">
      <alignment horizontal="center" vertical="center"/>
    </xf>
    <xf numFmtId="0" fontId="197" fillId="0" borderId="30" xfId="0" applyFont="1" applyBorder="1" applyAlignment="1">
      <alignment horizontal="center" vertical="center"/>
    </xf>
    <xf numFmtId="0" fontId="84" fillId="8" borderId="0" xfId="0" applyFont="1" applyFill="1" applyAlignment="1">
      <alignment horizontal="center"/>
    </xf>
    <xf numFmtId="0" fontId="197" fillId="0" borderId="43" xfId="0" applyFont="1" applyBorder="1" applyAlignment="1">
      <alignment horizontal="center" vertical="center"/>
    </xf>
    <xf numFmtId="0" fontId="197" fillId="0" borderId="40" xfId="0" applyFont="1" applyBorder="1" applyAlignment="1">
      <alignment horizontal="center" vertical="center"/>
    </xf>
    <xf numFmtId="0" fontId="197" fillId="0" borderId="16" xfId="0" applyFont="1" applyBorder="1" applyAlignment="1">
      <alignment horizontal="center" vertical="center"/>
    </xf>
    <xf numFmtId="0" fontId="197" fillId="0" borderId="18" xfId="0" applyFont="1" applyBorder="1" applyAlignment="1">
      <alignment horizontal="center" vertical="center"/>
    </xf>
    <xf numFmtId="0" fontId="197" fillId="0" borderId="12" xfId="0" applyFont="1" applyBorder="1" applyAlignment="1">
      <alignment horizontal="center" vertical="center"/>
    </xf>
    <xf numFmtId="0" fontId="197" fillId="0" borderId="20" xfId="0" applyFont="1" applyBorder="1" applyAlignment="1">
      <alignment horizontal="center" vertical="center"/>
    </xf>
    <xf numFmtId="0" fontId="196" fillId="7" borderId="37" xfId="0" applyFont="1" applyFill="1" applyBorder="1" applyAlignment="1">
      <alignment horizontal="center" vertical="center"/>
    </xf>
    <xf numFmtId="0" fontId="196" fillId="7" borderId="29" xfId="0" applyFont="1" applyFill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0" fontId="18" fillId="50" borderId="42" xfId="0" applyFont="1" applyFill="1" applyBorder="1" applyAlignment="1">
      <alignment horizontal="center" vertical="center"/>
    </xf>
    <xf numFmtId="0" fontId="45" fillId="0" borderId="132" xfId="0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" fontId="45" fillId="5" borderId="132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1" fontId="45" fillId="8" borderId="175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19" fillId="7" borderId="175" xfId="0" applyNumberFormat="1" applyFont="1" applyFill="1" applyBorder="1" applyAlignment="1">
      <alignment horizontal="center" vertical="center"/>
    </xf>
    <xf numFmtId="0" fontId="18" fillId="0" borderId="134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1" fontId="19" fillId="7" borderId="30" xfId="0" applyNumberFormat="1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139" fillId="0" borderId="10" xfId="376" applyFont="1" applyBorder="1" applyAlignment="1">
      <alignment horizontal="center"/>
    </xf>
    <xf numFmtId="0" fontId="139" fillId="0" borderId="37" xfId="376" applyFont="1" applyBorder="1" applyAlignment="1">
      <alignment horizontal="center"/>
    </xf>
    <xf numFmtId="0" fontId="139" fillId="0" borderId="6" xfId="376" applyFont="1" applyBorder="1" applyAlignment="1">
      <alignment horizontal="center"/>
    </xf>
    <xf numFmtId="0" fontId="139" fillId="0" borderId="29" xfId="376" applyFont="1" applyBorder="1" applyAlignment="1">
      <alignment horizontal="center"/>
    </xf>
    <xf numFmtId="0" fontId="140" fillId="9" borderId="45" xfId="376" applyFont="1" applyFill="1" applyBorder="1" applyAlignment="1">
      <alignment horizontal="left" vertical="center" wrapText="1"/>
    </xf>
    <xf numFmtId="0" fontId="140" fillId="9" borderId="46" xfId="376" applyFont="1" applyFill="1" applyBorder="1" applyAlignment="1">
      <alignment horizontal="left" vertical="center" wrapText="1"/>
    </xf>
    <xf numFmtId="0" fontId="140" fillId="9" borderId="30" xfId="376" applyFont="1" applyFill="1" applyBorder="1" applyAlignment="1">
      <alignment horizontal="left" vertical="center" wrapText="1"/>
    </xf>
    <xf numFmtId="2" fontId="141" fillId="7" borderId="172" xfId="376" applyNumberFormat="1" applyFont="1" applyFill="1" applyBorder="1" applyAlignment="1">
      <alignment horizontal="center" vertical="center"/>
    </xf>
    <xf numFmtId="2" fontId="141" fillId="7" borderId="133" xfId="376" applyNumberFormat="1" applyFont="1" applyFill="1" applyBorder="1" applyAlignment="1">
      <alignment horizontal="center" vertical="center"/>
    </xf>
    <xf numFmtId="2" fontId="141" fillId="7" borderId="166" xfId="376" applyNumberFormat="1" applyFont="1" applyFill="1" applyBorder="1" applyAlignment="1">
      <alignment horizontal="center" vertical="center"/>
    </xf>
    <xf numFmtId="2" fontId="141" fillId="7" borderId="64" xfId="376" applyNumberFormat="1" applyFont="1" applyFill="1" applyBorder="1" applyAlignment="1">
      <alignment horizontal="center" vertical="center"/>
    </xf>
    <xf numFmtId="2" fontId="141" fillId="7" borderId="0" xfId="376" applyNumberFormat="1" applyFont="1" applyFill="1" applyAlignment="1">
      <alignment horizontal="center" vertical="center"/>
    </xf>
    <xf numFmtId="2" fontId="141" fillId="7" borderId="38" xfId="376" applyNumberFormat="1" applyFont="1" applyFill="1" applyBorder="1" applyAlignment="1">
      <alignment horizontal="center" vertical="center"/>
    </xf>
    <xf numFmtId="2" fontId="141" fillId="7" borderId="48" xfId="376" applyNumberFormat="1" applyFont="1" applyFill="1" applyBorder="1" applyAlignment="1">
      <alignment horizontal="center" vertical="center"/>
    </xf>
    <xf numFmtId="2" fontId="141" fillId="7" borderId="7" xfId="376" applyNumberFormat="1" applyFont="1" applyFill="1" applyBorder="1" applyAlignment="1">
      <alignment horizontal="center" vertical="center"/>
    </xf>
    <xf numFmtId="2" fontId="141" fillId="7" borderId="8" xfId="376" applyNumberFormat="1" applyFont="1" applyFill="1" applyBorder="1" applyAlignment="1">
      <alignment horizontal="center" vertical="center"/>
    </xf>
    <xf numFmtId="9" fontId="138" fillId="0" borderId="10" xfId="22" applyFont="1" applyBorder="1" applyAlignment="1">
      <alignment horizontal="center" vertical="center"/>
    </xf>
    <xf numFmtId="9" fontId="138" fillId="0" borderId="23" xfId="22" applyFont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23" fillId="0" borderId="29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163" fillId="0" borderId="0" xfId="536" applyFont="1" applyAlignment="1">
      <alignment horizontal="center" vertical="center" wrapText="1"/>
    </xf>
    <xf numFmtId="0" fontId="167" fillId="0" borderId="85" xfId="0" applyFont="1" applyBorder="1" applyAlignment="1">
      <alignment horizontal="center" vertical="center"/>
    </xf>
    <xf numFmtId="0" fontId="167" fillId="0" borderId="86" xfId="0" applyFont="1" applyBorder="1" applyAlignment="1">
      <alignment horizontal="center" vertical="center"/>
    </xf>
    <xf numFmtId="0" fontId="167" fillId="7" borderId="41" xfId="0" applyFont="1" applyFill="1" applyBorder="1" applyAlignment="1">
      <alignment horizontal="center" vertical="center"/>
    </xf>
    <xf numFmtId="0" fontId="167" fillId="5" borderId="41" xfId="0" applyFont="1" applyFill="1" applyBorder="1" applyAlignment="1">
      <alignment horizontal="center" vertical="center"/>
    </xf>
    <xf numFmtId="0" fontId="167" fillId="6" borderId="41" xfId="0" applyFont="1" applyFill="1" applyBorder="1" applyAlignment="1">
      <alignment horizontal="center" vertical="center"/>
    </xf>
    <xf numFmtId="0" fontId="167" fillId="7" borderId="42" xfId="0" applyFont="1" applyFill="1" applyBorder="1" applyAlignment="1">
      <alignment horizontal="center" vertical="center"/>
    </xf>
    <xf numFmtId="0" fontId="167" fillId="0" borderId="41" xfId="0" applyFont="1" applyBorder="1" applyAlignment="1">
      <alignment horizontal="center" vertical="center"/>
    </xf>
    <xf numFmtId="0" fontId="167" fillId="5" borderId="66" xfId="0" applyFont="1" applyFill="1" applyBorder="1" applyAlignment="1">
      <alignment horizontal="center" vertical="center"/>
    </xf>
    <xf numFmtId="0" fontId="167" fillId="5" borderId="3" xfId="0" applyFont="1" applyFill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0" fontId="165" fillId="0" borderId="118" xfId="0" applyFont="1" applyBorder="1" applyAlignment="1">
      <alignment horizontal="center"/>
    </xf>
    <xf numFmtId="0" fontId="165" fillId="4" borderId="118" xfId="0" applyFont="1" applyFill="1" applyBorder="1" applyAlignment="1">
      <alignment horizontal="center"/>
    </xf>
    <xf numFmtId="0" fontId="166" fillId="0" borderId="118" xfId="0" applyFont="1" applyBorder="1" applyAlignment="1">
      <alignment horizontal="center"/>
    </xf>
    <xf numFmtId="0" fontId="180" fillId="49" borderId="7" xfId="0" applyFont="1" applyFill="1" applyBorder="1" applyAlignment="1">
      <alignment horizontal="center"/>
    </xf>
    <xf numFmtId="0" fontId="180" fillId="49" borderId="8" xfId="0" applyFont="1" applyFill="1" applyBorder="1" applyAlignment="1">
      <alignment horizontal="center"/>
    </xf>
    <xf numFmtId="0" fontId="165" fillId="0" borderId="119" xfId="0" applyFont="1" applyBorder="1" applyAlignment="1">
      <alignment horizontal="left" vertical="center"/>
    </xf>
    <xf numFmtId="0" fontId="165" fillId="0" borderId="29" xfId="0" applyFont="1" applyBorder="1" applyAlignment="1">
      <alignment horizontal="left" vertical="center"/>
    </xf>
    <xf numFmtId="0" fontId="165" fillId="4" borderId="119" xfId="0" applyFont="1" applyFill="1" applyBorder="1" applyAlignment="1">
      <alignment horizontal="left" vertical="center"/>
    </xf>
    <xf numFmtId="0" fontId="165" fillId="4" borderId="29" xfId="0" applyFont="1" applyFill="1" applyBorder="1" applyAlignment="1">
      <alignment horizontal="left" vertical="center"/>
    </xf>
    <xf numFmtId="0" fontId="166" fillId="0" borderId="119" xfId="0" applyFont="1" applyBorder="1" applyAlignment="1">
      <alignment horizontal="left"/>
    </xf>
    <xf numFmtId="0" fontId="166" fillId="0" borderId="29" xfId="0" applyFont="1" applyBorder="1" applyAlignment="1">
      <alignment horizontal="left"/>
    </xf>
    <xf numFmtId="0" fontId="166" fillId="49" borderId="119" xfId="0" applyFont="1" applyFill="1" applyBorder="1" applyAlignment="1">
      <alignment horizontal="center"/>
    </xf>
    <xf numFmtId="0" fontId="166" fillId="49" borderId="29" xfId="0" applyFont="1" applyFill="1" applyBorder="1" applyAlignment="1">
      <alignment horizontal="center"/>
    </xf>
    <xf numFmtId="0" fontId="145" fillId="49" borderId="7" xfId="0" applyFont="1" applyFill="1" applyBorder="1" applyAlignment="1">
      <alignment horizontal="center" vertical="center"/>
    </xf>
    <xf numFmtId="0" fontId="145" fillId="49" borderId="8" xfId="0" applyFont="1" applyFill="1" applyBorder="1" applyAlignment="1">
      <alignment horizontal="center" vertical="center"/>
    </xf>
    <xf numFmtId="0" fontId="0" fillId="0" borderId="154" xfId="0" applyBorder="1" applyAlignment="1">
      <alignment horizontal="center" vertical="center" wrapText="1"/>
    </xf>
    <xf numFmtId="0" fontId="0" fillId="0" borderId="154" xfId="0" applyBorder="1" applyAlignment="1">
      <alignment horizontal="center" vertical="center"/>
    </xf>
    <xf numFmtId="17" fontId="178" fillId="0" borderId="154" xfId="0" applyNumberFormat="1" applyFont="1" applyBorder="1" applyAlignment="1">
      <alignment horizontal="center" vertical="center" wrapText="1"/>
    </xf>
    <xf numFmtId="0" fontId="170" fillId="0" borderId="0" xfId="0" applyFont="1" applyAlignment="1">
      <alignment horizontal="center" wrapText="1"/>
    </xf>
    <xf numFmtId="0" fontId="170" fillId="0" borderId="0" xfId="0" applyFont="1" applyAlignment="1">
      <alignment horizontal="center" vertical="center" wrapText="1"/>
    </xf>
    <xf numFmtId="0" fontId="169" fillId="0" borderId="154" xfId="0" applyFont="1" applyBorder="1" applyAlignment="1">
      <alignment horizontal="center" vertical="center" wrapText="1"/>
    </xf>
    <xf numFmtId="17" fontId="170" fillId="0" borderId="154" xfId="0" applyNumberFormat="1" applyFont="1" applyBorder="1" applyAlignment="1">
      <alignment horizontal="center" vertical="center" wrapText="1"/>
    </xf>
    <xf numFmtId="17" fontId="178" fillId="0" borderId="43" xfId="0" applyNumberFormat="1" applyFont="1" applyBorder="1" applyAlignment="1">
      <alignment horizontal="center" vertical="center" wrapText="1"/>
    </xf>
    <xf numFmtId="17" fontId="178" fillId="0" borderId="40" xfId="0" applyNumberFormat="1" applyFont="1" applyBorder="1" applyAlignment="1">
      <alignment horizontal="center" vertical="center" wrapText="1"/>
    </xf>
    <xf numFmtId="0" fontId="36" fillId="0" borderId="130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0" fontId="23" fillId="0" borderId="130" xfId="0" applyFont="1" applyBorder="1" applyAlignment="1">
      <alignment horizontal="left" vertical="center"/>
    </xf>
    <xf numFmtId="0" fontId="23" fillId="0" borderId="46" xfId="0" applyFont="1" applyBorder="1" applyAlignment="1">
      <alignment horizontal="left" vertical="center"/>
    </xf>
    <xf numFmtId="0" fontId="23" fillId="0" borderId="30" xfId="0" applyFont="1" applyBorder="1" applyAlignment="1">
      <alignment horizontal="left" vertical="center"/>
    </xf>
    <xf numFmtId="0" fontId="36" fillId="0" borderId="138" xfId="0" applyFont="1" applyBorder="1" applyAlignment="1">
      <alignment horizontal="center" vertical="center"/>
    </xf>
    <xf numFmtId="0" fontId="23" fillId="0" borderId="13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137" xfId="0" applyFont="1" applyBorder="1" applyAlignment="1">
      <alignment horizontal="center" vertical="center"/>
    </xf>
    <xf numFmtId="0" fontId="36" fillId="0" borderId="138" xfId="0" applyFont="1" applyBorder="1" applyAlignment="1">
      <alignment horizontal="left" vertical="center" wrapText="1"/>
    </xf>
    <xf numFmtId="0" fontId="36" fillId="0" borderId="138" xfId="0" applyFont="1" applyBorder="1" applyAlignment="1">
      <alignment horizontal="left" vertical="center"/>
    </xf>
    <xf numFmtId="0" fontId="36" fillId="8" borderId="46" xfId="0" applyFont="1" applyFill="1" applyBorder="1" applyAlignment="1">
      <alignment horizontal="center" vertical="center"/>
    </xf>
    <xf numFmtId="0" fontId="36" fillId="8" borderId="30" xfId="0" applyFont="1" applyFill="1" applyBorder="1" applyAlignment="1">
      <alignment horizontal="center" vertical="center"/>
    </xf>
    <xf numFmtId="0" fontId="36" fillId="8" borderId="130" xfId="0" applyFont="1" applyFill="1" applyBorder="1" applyAlignment="1">
      <alignment horizontal="center" vertical="center"/>
    </xf>
    <xf numFmtId="0" fontId="36" fillId="8" borderId="138" xfId="0" applyFont="1" applyFill="1" applyBorder="1" applyAlignment="1">
      <alignment horizontal="center" vertical="center"/>
    </xf>
    <xf numFmtId="0" fontId="211" fillId="83" borderId="184" xfId="0" applyFont="1" applyFill="1" applyBorder="1" applyAlignment="1">
      <alignment horizontal="right" vertical="center" indent="1"/>
    </xf>
  </cellXfs>
  <cellStyles count="1035">
    <cellStyle name="20% - Accent1 2" xfId="29"/>
    <cellStyle name="20% - Accent1 2 2" xfId="880"/>
    <cellStyle name="20% - Accent1 3" xfId="30"/>
    <cellStyle name="20% - Accent1 3 2" xfId="881"/>
    <cellStyle name="20% - Accent2 2" xfId="31"/>
    <cellStyle name="20% - Accent2 2 2" xfId="882"/>
    <cellStyle name="20% - Accent2 3" xfId="32"/>
    <cellStyle name="20% - Accent2 3 2" xfId="883"/>
    <cellStyle name="20% - Accent3 2" xfId="33"/>
    <cellStyle name="20% - Accent3 2 2" xfId="884"/>
    <cellStyle name="20% - Accent3 3" xfId="34"/>
    <cellStyle name="20% - Accent3 3 2" xfId="885"/>
    <cellStyle name="20% - Accent4 2" xfId="35"/>
    <cellStyle name="20% - Accent4 2 2" xfId="886"/>
    <cellStyle name="20% - Accent4 3" xfId="36"/>
    <cellStyle name="20% - Accent4 3 2" xfId="887"/>
    <cellStyle name="20% - Accent5 2" xfId="37"/>
    <cellStyle name="20% - Accent5 2 2" xfId="888"/>
    <cellStyle name="20% - Accent5 3" xfId="38"/>
    <cellStyle name="20% - Accent5 3 2" xfId="889"/>
    <cellStyle name="20% - Accent6 2" xfId="39"/>
    <cellStyle name="20% - Accent6 2 2" xfId="890"/>
    <cellStyle name="20% - Accent6 3" xfId="40"/>
    <cellStyle name="20% - Accent6 3 2" xfId="891"/>
    <cellStyle name="40% - Accent1 2" xfId="41"/>
    <cellStyle name="40% - Accent1 2 2" xfId="892"/>
    <cellStyle name="40% - Accent1 3" xfId="42"/>
    <cellStyle name="40% - Accent1 3 2" xfId="893"/>
    <cellStyle name="40% - Accent2 2" xfId="43"/>
    <cellStyle name="40% - Accent2 2 2" xfId="894"/>
    <cellStyle name="40% - Accent2 3" xfId="44"/>
    <cellStyle name="40% - Accent2 3 2" xfId="895"/>
    <cellStyle name="40% - Accent3 2" xfId="45"/>
    <cellStyle name="40% - Accent3 2 2" xfId="896"/>
    <cellStyle name="40% - Accent3 3" xfId="46"/>
    <cellStyle name="40% - Accent3 3 2" xfId="897"/>
    <cellStyle name="40% - Accent4 2" xfId="47"/>
    <cellStyle name="40% - Accent4 2 2" xfId="898"/>
    <cellStyle name="40% - Accent4 3" xfId="48"/>
    <cellStyle name="40% - Accent4 3 2" xfId="899"/>
    <cellStyle name="40% - Accent5 2" xfId="49"/>
    <cellStyle name="40% - Accent5 2 2" xfId="900"/>
    <cellStyle name="40% - Accent5 3" xfId="50"/>
    <cellStyle name="40% - Accent5 3 2" xfId="901"/>
    <cellStyle name="40% - Accent6 2" xfId="51"/>
    <cellStyle name="40% - Accent6 2 2" xfId="902"/>
    <cellStyle name="40% - Accent6 3" xfId="52"/>
    <cellStyle name="40% - Accent6 3 2" xfId="903"/>
    <cellStyle name="60% - Accent1 2" xfId="53"/>
    <cellStyle name="60% - Accent1 2 2" xfId="904"/>
    <cellStyle name="60% - Accent1 3" xfId="54"/>
    <cellStyle name="60% - Accent1 3 2" xfId="905"/>
    <cellStyle name="60% - Accent2 2" xfId="55"/>
    <cellStyle name="60% - Accent2 2 2" xfId="906"/>
    <cellStyle name="60% - Accent2 3" xfId="56"/>
    <cellStyle name="60% - Accent2 3 2" xfId="907"/>
    <cellStyle name="60% - Accent3 2" xfId="57"/>
    <cellStyle name="60% - Accent3 2 2" xfId="908"/>
    <cellStyle name="60% - Accent3 3" xfId="58"/>
    <cellStyle name="60% - Accent3 3 2" xfId="909"/>
    <cellStyle name="60% - Accent4 2" xfId="59"/>
    <cellStyle name="60% - Accent4 2 2" xfId="910"/>
    <cellStyle name="60% - Accent4 3" xfId="60"/>
    <cellStyle name="60% - Accent4 3 2" xfId="911"/>
    <cellStyle name="60% - Accent5 2" xfId="61"/>
    <cellStyle name="60% - Accent5 2 2" xfId="912"/>
    <cellStyle name="60% - Accent5 3" xfId="62"/>
    <cellStyle name="60% - Accent5 3 2" xfId="913"/>
    <cellStyle name="60% - Accent6 2" xfId="63"/>
    <cellStyle name="60% - Accent6 2 2" xfId="914"/>
    <cellStyle name="60% - Accent6 3" xfId="64"/>
    <cellStyle name="60% - Accent6 3 2" xfId="915"/>
    <cellStyle name="Accent 1 1" xfId="279"/>
    <cellStyle name="Accent 2 1" xfId="280"/>
    <cellStyle name="Accent 3 1" xfId="281"/>
    <cellStyle name="Accent 4" xfId="282"/>
    <cellStyle name="Accent1 2" xfId="65"/>
    <cellStyle name="Accent1 2 2" xfId="916"/>
    <cellStyle name="Accent1 3" xfId="66"/>
    <cellStyle name="Accent1 3 2" xfId="917"/>
    <cellStyle name="Accent2 2" xfId="67"/>
    <cellStyle name="Accent2 2 2" xfId="918"/>
    <cellStyle name="Accent2 3" xfId="68"/>
    <cellStyle name="Accent2 3 2" xfId="919"/>
    <cellStyle name="Accent3 2" xfId="69"/>
    <cellStyle name="Accent3 2 2" xfId="920"/>
    <cellStyle name="Accent3 3" xfId="70"/>
    <cellStyle name="Accent3 3 2" xfId="921"/>
    <cellStyle name="Accent4 2" xfId="71"/>
    <cellStyle name="Accent4 2 2" xfId="922"/>
    <cellStyle name="Accent4 3" xfId="72"/>
    <cellStyle name="Accent4 3 2" xfId="923"/>
    <cellStyle name="Accent5 2" xfId="73"/>
    <cellStyle name="Accent5 2 2" xfId="924"/>
    <cellStyle name="Accent5 3" xfId="74"/>
    <cellStyle name="Accent5 3 2" xfId="925"/>
    <cellStyle name="Accent6 2" xfId="75"/>
    <cellStyle name="Accent6 2 2" xfId="926"/>
    <cellStyle name="Accent6 3" xfId="76"/>
    <cellStyle name="Accent6 3 2" xfId="927"/>
    <cellStyle name="Bad 1" xfId="283"/>
    <cellStyle name="Bad 2" xfId="77"/>
    <cellStyle name="Bad 2 2" xfId="928"/>
    <cellStyle name="Bad 3" xfId="78"/>
    <cellStyle name="Bad 3 2" xfId="929"/>
    <cellStyle name="Calculation 2" xfId="79"/>
    <cellStyle name="Calculation 2 2" xfId="353"/>
    <cellStyle name="Calculation 2 2 2" xfId="414"/>
    <cellStyle name="Calculation 2 2 2 2" xfId="932"/>
    <cellStyle name="Calculation 2 2 3" xfId="415"/>
    <cellStyle name="Calculation 2 2 3 2" xfId="933"/>
    <cellStyle name="Calculation 2 2 4" xfId="931"/>
    <cellStyle name="Calculation 2 3" xfId="366"/>
    <cellStyle name="Calculation 2 3 2" xfId="416"/>
    <cellStyle name="Calculation 2 3 2 2" xfId="935"/>
    <cellStyle name="Calculation 2 3 3" xfId="417"/>
    <cellStyle name="Calculation 2 3 3 2" xfId="936"/>
    <cellStyle name="Calculation 2 3 4" xfId="934"/>
    <cellStyle name="Calculation 2 4" xfId="418"/>
    <cellStyle name="Calculation 2 4 2" xfId="937"/>
    <cellStyle name="Calculation 2 5" xfId="419"/>
    <cellStyle name="Calculation 2 5 2" xfId="938"/>
    <cellStyle name="Calculation 2 6" xfId="930"/>
    <cellStyle name="Calculation 3" xfId="80"/>
    <cellStyle name="Calculation 3 2" xfId="354"/>
    <cellStyle name="Calculation 3 2 2" xfId="420"/>
    <cellStyle name="Calculation 3 2 2 2" xfId="941"/>
    <cellStyle name="Calculation 3 2 3" xfId="421"/>
    <cellStyle name="Calculation 3 2 3 2" xfId="942"/>
    <cellStyle name="Calculation 3 2 4" xfId="940"/>
    <cellStyle name="Calculation 3 3" xfId="367"/>
    <cellStyle name="Calculation 3 3 2" xfId="422"/>
    <cellStyle name="Calculation 3 3 2 2" xfId="944"/>
    <cellStyle name="Calculation 3 3 3" xfId="423"/>
    <cellStyle name="Calculation 3 3 3 2" xfId="945"/>
    <cellStyle name="Calculation 3 3 4" xfId="943"/>
    <cellStyle name="Calculation 3 4" xfId="424"/>
    <cellStyle name="Calculation 3 4 2" xfId="946"/>
    <cellStyle name="Calculation 3 5" xfId="425"/>
    <cellStyle name="Calculation 3 5 2" xfId="947"/>
    <cellStyle name="Calculation 3 6" xfId="939"/>
    <cellStyle name="Check Cell 2" xfId="81"/>
    <cellStyle name="Check Cell 2 2" xfId="948"/>
    <cellStyle name="Check Cell 3" xfId="82"/>
    <cellStyle name="Check Cell 3 2" xfId="949"/>
    <cellStyle name="Comma" xfId="412" builtinId="3"/>
    <cellStyle name="Comma 10" xfId="426"/>
    <cellStyle name="Comma 11" xfId="427"/>
    <cellStyle name="Comma 12" xfId="428"/>
    <cellStyle name="Comma 13" xfId="429"/>
    <cellStyle name="Comma 14" xfId="430"/>
    <cellStyle name="Comma 15" xfId="431"/>
    <cellStyle name="Comma 16" xfId="432"/>
    <cellStyle name="Comma 17" xfId="433"/>
    <cellStyle name="Comma 2" xfId="9"/>
    <cellStyle name="Comma 2 2" xfId="11"/>
    <cellStyle name="Comma 2 2 2" xfId="83"/>
    <cellStyle name="Comma 2 2 2 2" xfId="347"/>
    <cellStyle name="Comma 2 2 2 2 2" xfId="434"/>
    <cellStyle name="Comma 2 2 2 3" xfId="337"/>
    <cellStyle name="Comma 2 2 3" xfId="335"/>
    <cellStyle name="Comma 2 2 4" xfId="394"/>
    <cellStyle name="Comma 2 3" xfId="188"/>
    <cellStyle name="Comma 2 3 2" xfId="189"/>
    <cellStyle name="Comma 2 3 2 2" xfId="382"/>
    <cellStyle name="Comma 2 3 2 2 2" xfId="435"/>
    <cellStyle name="Comma 2 3 2 3" xfId="338"/>
    <cellStyle name="Comma 2 3 2 4" xfId="436"/>
    <cellStyle name="Comma 2 3 3" xfId="339"/>
    <cellStyle name="Comma 2 3 3 2" xfId="437"/>
    <cellStyle name="Comma 2 3 4" xfId="381"/>
    <cellStyle name="Comma 2 3 4 2" xfId="438"/>
    <cellStyle name="Comma 2 3 5" xfId="336"/>
    <cellStyle name="Comma 2 3 6" xfId="395"/>
    <cellStyle name="Comma 2 3 7" xfId="439"/>
    <cellStyle name="Comma 2 4" xfId="190"/>
    <cellStyle name="Comma 2 4 2" xfId="383"/>
    <cellStyle name="Comma 2 4 2 2" xfId="440"/>
    <cellStyle name="Comma 2 4 3" xfId="340"/>
    <cellStyle name="Comma 2 5" xfId="191"/>
    <cellStyle name="Comma 2 6" xfId="187"/>
    <cellStyle name="Comma 2 6 2" xfId="441"/>
    <cellStyle name="Comma 2 7" xfId="393"/>
    <cellStyle name="Comma 2 8" xfId="442"/>
    <cellStyle name="Comma 3" xfId="311"/>
    <cellStyle name="Comma 3 2" xfId="363"/>
    <cellStyle name="Comma 3 2 2" xfId="443"/>
    <cellStyle name="Comma 3 2 2 2" xfId="444"/>
    <cellStyle name="Comma 3 2 3" xfId="445"/>
    <cellStyle name="Comma 3 3" xfId="396"/>
    <cellStyle name="Comma 3 3 2" xfId="446"/>
    <cellStyle name="Comma 3 4" xfId="447"/>
    <cellStyle name="Comma 3 5" xfId="448"/>
    <cellStyle name="Comma 4" xfId="397"/>
    <cellStyle name="Comma 4 2" xfId="449"/>
    <cellStyle name="Comma 4 3" xfId="450"/>
    <cellStyle name="Comma 5" xfId="451"/>
    <cellStyle name="Comma 6" xfId="452"/>
    <cellStyle name="Comma 7" xfId="453"/>
    <cellStyle name="Comma 8" xfId="454"/>
    <cellStyle name="Comma 9" xfId="455"/>
    <cellStyle name="Currency 2" xfId="12"/>
    <cellStyle name="Currency 2 2" xfId="84"/>
    <cellStyle name="Currency 2 2 2" xfId="348"/>
    <cellStyle name="Currency 2 2 2 2" xfId="456"/>
    <cellStyle name="Currency 2 2 3" xfId="328"/>
    <cellStyle name="Currency 2 3" xfId="341"/>
    <cellStyle name="Currency 2 4" xfId="398"/>
    <cellStyle name="Error 1" xfId="284"/>
    <cellStyle name="Excel Built-in Normal" xfId="192"/>
    <cellStyle name="Excel Built-in Normal 2" xfId="399"/>
    <cellStyle name="Explanatory Text 2" xfId="85"/>
    <cellStyle name="Explanatory Text 3" xfId="86"/>
    <cellStyle name="Footnote 1" xfId="285"/>
    <cellStyle name="Good 1" xfId="286"/>
    <cellStyle name="Good 2" xfId="87"/>
    <cellStyle name="Good 2 2" xfId="950"/>
    <cellStyle name="Good 3" xfId="88"/>
    <cellStyle name="Good 3 2" xfId="951"/>
    <cellStyle name="Heading 1 1" xfId="287"/>
    <cellStyle name="Heading 1 2" xfId="89"/>
    <cellStyle name="Heading 1 2 10" xfId="457"/>
    <cellStyle name="Heading 1 2 2" xfId="193"/>
    <cellStyle name="Heading 1 2 2 2" xfId="323"/>
    <cellStyle name="Heading 1 2 2 2 2" xfId="868"/>
    <cellStyle name="Heading 1 2 2 3" xfId="384"/>
    <cellStyle name="Heading 1 2 2 4" xfId="458"/>
    <cellStyle name="Heading 1 2 2 5" xfId="459"/>
    <cellStyle name="Heading 1 2 2 6" xfId="460"/>
    <cellStyle name="Heading 1 2 2 7" xfId="461"/>
    <cellStyle name="Heading 1 2 2 8" xfId="462"/>
    <cellStyle name="Heading 1 2 3" xfId="318"/>
    <cellStyle name="Heading 1 2 3 2" xfId="377"/>
    <cellStyle name="Heading 1 2 4" xfId="349"/>
    <cellStyle name="Heading 1 2 5" xfId="463"/>
    <cellStyle name="Heading 1 2 6" xfId="464"/>
    <cellStyle name="Heading 1 2 7" xfId="465"/>
    <cellStyle name="Heading 1 2 8" xfId="466"/>
    <cellStyle name="Heading 1 2 9" xfId="467"/>
    <cellStyle name="Heading 1 3" xfId="90"/>
    <cellStyle name="Heading 1 3 10" xfId="468"/>
    <cellStyle name="Heading 1 3 2" xfId="194"/>
    <cellStyle name="Heading 1 3 2 2" xfId="324"/>
    <cellStyle name="Heading 1 3 2 2 2" xfId="869"/>
    <cellStyle name="Heading 1 3 2 3" xfId="385"/>
    <cellStyle name="Heading 1 3 2 4" xfId="469"/>
    <cellStyle name="Heading 1 3 2 5" xfId="470"/>
    <cellStyle name="Heading 1 3 2 6" xfId="471"/>
    <cellStyle name="Heading 1 3 2 7" xfId="472"/>
    <cellStyle name="Heading 1 3 2 8" xfId="473"/>
    <cellStyle name="Heading 1 3 3" xfId="319"/>
    <cellStyle name="Heading 1 3 3 2" xfId="378"/>
    <cellStyle name="Heading 1 3 4" xfId="350"/>
    <cellStyle name="Heading 1 3 5" xfId="474"/>
    <cellStyle name="Heading 1 3 6" xfId="475"/>
    <cellStyle name="Heading 1 3 7" xfId="476"/>
    <cellStyle name="Heading 1 3 8" xfId="477"/>
    <cellStyle name="Heading 1 3 9" xfId="478"/>
    <cellStyle name="Heading 2 1" xfId="288"/>
    <cellStyle name="Heading 2 2" xfId="91"/>
    <cellStyle name="Heading 2 2 10" xfId="479"/>
    <cellStyle name="Heading 2 2 2" xfId="195"/>
    <cellStyle name="Heading 2 2 2 2" xfId="325"/>
    <cellStyle name="Heading 2 2 2 2 2" xfId="870"/>
    <cellStyle name="Heading 2 2 2 3" xfId="386"/>
    <cellStyle name="Heading 2 2 2 4" xfId="480"/>
    <cellStyle name="Heading 2 2 2 5" xfId="481"/>
    <cellStyle name="Heading 2 2 2 6" xfId="482"/>
    <cellStyle name="Heading 2 2 2 7" xfId="483"/>
    <cellStyle name="Heading 2 2 3" xfId="320"/>
    <cellStyle name="Heading 2 2 3 2" xfId="379"/>
    <cellStyle name="Heading 2 2 4" xfId="351"/>
    <cellStyle name="Heading 2 2 5" xfId="484"/>
    <cellStyle name="Heading 2 2 6" xfId="485"/>
    <cellStyle name="Heading 2 2 7" xfId="486"/>
    <cellStyle name="Heading 2 2 8" xfId="487"/>
    <cellStyle name="Heading 2 2 9" xfId="488"/>
    <cellStyle name="Heading 2 3" xfId="92"/>
    <cellStyle name="Heading 2 3 10" xfId="489"/>
    <cellStyle name="Heading 2 3 2" xfId="196"/>
    <cellStyle name="Heading 2 3 2 2" xfId="326"/>
    <cellStyle name="Heading 2 3 2 2 2" xfId="871"/>
    <cellStyle name="Heading 2 3 2 3" xfId="387"/>
    <cellStyle name="Heading 2 3 2 4" xfId="490"/>
    <cellStyle name="Heading 2 3 2 5" xfId="491"/>
    <cellStyle name="Heading 2 3 2 6" xfId="492"/>
    <cellStyle name="Heading 2 3 2 7" xfId="493"/>
    <cellStyle name="Heading 2 3 3" xfId="321"/>
    <cellStyle name="Heading 2 3 3 2" xfId="380"/>
    <cellStyle name="Heading 2 3 4" xfId="352"/>
    <cellStyle name="Heading 2 3 5" xfId="494"/>
    <cellStyle name="Heading 2 3 6" xfId="495"/>
    <cellStyle name="Heading 2 3 7" xfId="496"/>
    <cellStyle name="Heading 2 3 8" xfId="497"/>
    <cellStyle name="Heading 2 3 9" xfId="498"/>
    <cellStyle name="Heading 3 2" xfId="93"/>
    <cellStyle name="Heading 3 3" xfId="94"/>
    <cellStyle name="Heading 4 2" xfId="95"/>
    <cellStyle name="Heading 4 3" xfId="96"/>
    <cellStyle name="Hyperlink 1" xfId="289"/>
    <cellStyle name="Hyperlink 2" xfId="97"/>
    <cellStyle name="Hyperlink 2 2" xfId="499"/>
    <cellStyle name="Hyperlink 3" xfId="500"/>
    <cellStyle name="Input 2" xfId="98"/>
    <cellStyle name="Input 2 2" xfId="355"/>
    <cellStyle name="Input 2 2 2" xfId="501"/>
    <cellStyle name="Input 2 2 2 2" xfId="954"/>
    <cellStyle name="Input 2 2 3" xfId="502"/>
    <cellStyle name="Input 2 2 3 2" xfId="955"/>
    <cellStyle name="Input 2 2 4" xfId="953"/>
    <cellStyle name="Input 2 3" xfId="368"/>
    <cellStyle name="Input 2 3 2" xfId="503"/>
    <cellStyle name="Input 2 3 2 2" xfId="957"/>
    <cellStyle name="Input 2 3 3" xfId="504"/>
    <cellStyle name="Input 2 3 3 2" xfId="958"/>
    <cellStyle name="Input 2 3 4" xfId="956"/>
    <cellStyle name="Input 2 4" xfId="505"/>
    <cellStyle name="Input 2 4 2" xfId="959"/>
    <cellStyle name="Input 2 5" xfId="506"/>
    <cellStyle name="Input 2 5 2" xfId="960"/>
    <cellStyle name="Input 2 6" xfId="952"/>
    <cellStyle name="Input 3" xfId="99"/>
    <cellStyle name="Input 3 2" xfId="356"/>
    <cellStyle name="Input 3 2 2" xfId="507"/>
    <cellStyle name="Input 3 2 2 2" xfId="963"/>
    <cellStyle name="Input 3 2 3" xfId="508"/>
    <cellStyle name="Input 3 2 3 2" xfId="964"/>
    <cellStyle name="Input 3 2 4" xfId="962"/>
    <cellStyle name="Input 3 3" xfId="369"/>
    <cellStyle name="Input 3 3 2" xfId="509"/>
    <cellStyle name="Input 3 3 2 2" xfId="966"/>
    <cellStyle name="Input 3 3 3" xfId="510"/>
    <cellStyle name="Input 3 3 3 2" xfId="967"/>
    <cellStyle name="Input 3 3 4" xfId="965"/>
    <cellStyle name="Input 3 4" xfId="511"/>
    <cellStyle name="Input 3 4 2" xfId="968"/>
    <cellStyle name="Input 3 5" xfId="512"/>
    <cellStyle name="Input 3 5 2" xfId="969"/>
    <cellStyle name="Input 3 6" xfId="961"/>
    <cellStyle name="Linked Cell 2" xfId="100"/>
    <cellStyle name="Linked Cell 3" xfId="101"/>
    <cellStyle name="Neutral 1" xfId="290"/>
    <cellStyle name="Neutral 2" xfId="102"/>
    <cellStyle name="Neutral 2 2" xfId="970"/>
    <cellStyle name="Neutral 3" xfId="103"/>
    <cellStyle name="Neutral 3 2" xfId="971"/>
    <cellStyle name="Normal" xfId="0" builtinId="0"/>
    <cellStyle name="Normal 10" xfId="104"/>
    <cellStyle name="Normal 10 2" xfId="400"/>
    <cellStyle name="Normal 11" xfId="105"/>
    <cellStyle name="Normal 11 2" xfId="401"/>
    <cellStyle name="Normal 11 2 2" xfId="513"/>
    <cellStyle name="Normal 11 2 2 2" xfId="514"/>
    <cellStyle name="Normal 11 2 3" xfId="515"/>
    <cellStyle name="Normal 11 3" xfId="516"/>
    <cellStyle name="Normal 11 3 2" xfId="517"/>
    <cellStyle name="Normal 11 4" xfId="518"/>
    <cellStyle name="Normal 12" xfId="27"/>
    <cellStyle name="Normal 12 2" xfId="402"/>
    <cellStyle name="Normal 12 2 2" xfId="519"/>
    <cellStyle name="Normal 12 2 2 2" xfId="296"/>
    <cellStyle name="Normal 12 2 2 2 2" xfId="520"/>
    <cellStyle name="Normal 12 2 2 2 2 2" xfId="521"/>
    <cellStyle name="Normal 12 2 2 2 2 2 2" xfId="522"/>
    <cellStyle name="Normal 12 2 2 2 2 2 2 2" xfId="523"/>
    <cellStyle name="Normal 12 2 2 2 2 2 2 2 3 2 2 2 2" xfId="524"/>
    <cellStyle name="Normal 12 3" xfId="525"/>
    <cellStyle name="Normal 13" xfId="28"/>
    <cellStyle name="Normal 13 2" xfId="392"/>
    <cellStyle name="Normal 13 2 2" xfId="403"/>
    <cellStyle name="Normal 14" xfId="186"/>
    <cellStyle name="Normal 14 2" xfId="197"/>
    <cellStyle name="Normal 14 3" xfId="526"/>
    <cellStyle name="Normal 15" xfId="106"/>
    <cellStyle name="Normal 15 2" xfId="405"/>
    <cellStyle name="Normal 15 3" xfId="404"/>
    <cellStyle name="Normal 16" xfId="198"/>
    <cellStyle name="Normal 16 2" xfId="388"/>
    <cellStyle name="Normal 16 3" xfId="376"/>
    <cellStyle name="Normal 16 4" xfId="527"/>
    <cellStyle name="Normal 17" xfId="390"/>
    <cellStyle name="Normal 17 2" xfId="528"/>
    <cellStyle name="Normal 17 3" xfId="529"/>
    <cellStyle name="Normal 17 4" xfId="872"/>
    <cellStyle name="Normal 18" xfId="107"/>
    <cellStyle name="Normal 18 2" xfId="530"/>
    <cellStyle name="Normal 18 2 2" xfId="531"/>
    <cellStyle name="Normal 18 3" xfId="532"/>
    <cellStyle name="Normal 19" xfId="391"/>
    <cellStyle name="Normal 19 2" xfId="873"/>
    <cellStyle name="Normal 2" xfId="1"/>
    <cellStyle name="Normal 2 10" xfId="533"/>
    <cellStyle name="Normal 2 10 2" xfId="534"/>
    <cellStyle name="Normal 2 11" xfId="535"/>
    <cellStyle name="Normal 2 12" xfId="865"/>
    <cellStyle name="Normal 2 2" xfId="8"/>
    <cellStyle name="Normal 2 2 10" xfId="536"/>
    <cellStyle name="Normal 2 2 11" xfId="537"/>
    <cellStyle name="Normal 2 2 12" xfId="538"/>
    <cellStyle name="Normal 2 2 13" xfId="539"/>
    <cellStyle name="Normal 2 2 14" xfId="540"/>
    <cellStyle name="Normal 2 2 15" xfId="541"/>
    <cellStyle name="Normal 2 2 16" xfId="542"/>
    <cellStyle name="Normal 2 2 17" xfId="543"/>
    <cellStyle name="Normal 2 2 18" xfId="544"/>
    <cellStyle name="Normal 2 2 19" xfId="545"/>
    <cellStyle name="Normal 2 2 2" xfId="109"/>
    <cellStyle name="Normal 2 2 2 10" xfId="546"/>
    <cellStyle name="Normal 2 2 2 11" xfId="547"/>
    <cellStyle name="Normal 2 2 2 12" xfId="548"/>
    <cellStyle name="Normal 2 2 2 13" xfId="549"/>
    <cellStyle name="Normal 2 2 2 14" xfId="550"/>
    <cellStyle name="Normal 2 2 2 15" xfId="551"/>
    <cellStyle name="Normal 2 2 2 16" xfId="552"/>
    <cellStyle name="Normal 2 2 2 17" xfId="553"/>
    <cellStyle name="Normal 2 2 2 18" xfId="554"/>
    <cellStyle name="Normal 2 2 2 19" xfId="555"/>
    <cellStyle name="Normal 2 2 2 2" xfId="199"/>
    <cellStyle name="Normal 2 2 2 2 10" xfId="556"/>
    <cellStyle name="Normal 2 2 2 2 11" xfId="557"/>
    <cellStyle name="Normal 2 2 2 2 12" xfId="558"/>
    <cellStyle name="Normal 2 2 2 2 13" xfId="559"/>
    <cellStyle name="Normal 2 2 2 2 14" xfId="560"/>
    <cellStyle name="Normal 2 2 2 2 15" xfId="561"/>
    <cellStyle name="Normal 2 2 2 2 16" xfId="562"/>
    <cellStyle name="Normal 2 2 2 2 17" xfId="563"/>
    <cellStyle name="Normal 2 2 2 2 18" xfId="564"/>
    <cellStyle name="Normal 2 2 2 2 19" xfId="565"/>
    <cellStyle name="Normal 2 2 2 2 2" xfId="200"/>
    <cellStyle name="Normal 2 2 2 2 2 10" xfId="566"/>
    <cellStyle name="Normal 2 2 2 2 2 11" xfId="567"/>
    <cellStyle name="Normal 2 2 2 2 2 12" xfId="568"/>
    <cellStyle name="Normal 2 2 2 2 2 13" xfId="569"/>
    <cellStyle name="Normal 2 2 2 2 2 14" xfId="570"/>
    <cellStyle name="Normal 2 2 2 2 2 15" xfId="571"/>
    <cellStyle name="Normal 2 2 2 2 2 16" xfId="572"/>
    <cellStyle name="Normal 2 2 2 2 2 17" xfId="573"/>
    <cellStyle name="Normal 2 2 2 2 2 18" xfId="574"/>
    <cellStyle name="Normal 2 2 2 2 2 19" xfId="575"/>
    <cellStyle name="Normal 2 2 2 2 2 2" xfId="576"/>
    <cellStyle name="Normal 2 2 2 2 2 20" xfId="577"/>
    <cellStyle name="Normal 2 2 2 2 2 21" xfId="578"/>
    <cellStyle name="Normal 2 2 2 2 2 22" xfId="579"/>
    <cellStyle name="Normal 2 2 2 2 2 23" xfId="580"/>
    <cellStyle name="Normal 2 2 2 2 2 24" xfId="581"/>
    <cellStyle name="Normal 2 2 2 2 2 3" xfId="582"/>
    <cellStyle name="Normal 2 2 2 2 2 4" xfId="583"/>
    <cellStyle name="Normal 2 2 2 2 2 5" xfId="584"/>
    <cellStyle name="Normal 2 2 2 2 2 6" xfId="585"/>
    <cellStyle name="Normal 2 2 2 2 2 7" xfId="586"/>
    <cellStyle name="Normal 2 2 2 2 2 8" xfId="587"/>
    <cellStyle name="Normal 2 2 2 2 2 9" xfId="588"/>
    <cellStyle name="Normal 2 2 2 2 20" xfId="589"/>
    <cellStyle name="Normal 2 2 2 2 21" xfId="590"/>
    <cellStyle name="Normal 2 2 2 2 22" xfId="591"/>
    <cellStyle name="Normal 2 2 2 2 23" xfId="592"/>
    <cellStyle name="Normal 2 2 2 2 24" xfId="593"/>
    <cellStyle name="Normal 2 2 2 2 25" xfId="594"/>
    <cellStyle name="Normal 2 2 2 2 26" xfId="595"/>
    <cellStyle name="Normal 2 2 2 2 3" xfId="596"/>
    <cellStyle name="Normal 2 2 2 2 3 2" xfId="597"/>
    <cellStyle name="Normal 2 2 2 2 3 2 2" xfId="598"/>
    <cellStyle name="Normal 2 2 2 2 3 2 2 2" xfId="599"/>
    <cellStyle name="Normal 2 2 2 2 3 2 2 2 2" xfId="600"/>
    <cellStyle name="Normal 2 2 2 2 3 2 2 2 2 2" xfId="601"/>
    <cellStyle name="Normal 2 2 2 2 3 2 2 2 2 2 2" xfId="602"/>
    <cellStyle name="Normal 2 2 2 2 3 2 2 2 2 2 2 2" xfId="298"/>
    <cellStyle name="Normal 2 2 2 2 3 2 2 2 2 2 2 2 2" xfId="603"/>
    <cellStyle name="Normal 2 2 2 2 3 2 2 2 2 2 2 2 2 2" xfId="604"/>
    <cellStyle name="Normal 2 2 2 2 3 2 2 2 2 2 2 2 2 2 2" xfId="605"/>
    <cellStyle name="Normal 2 2 2 2 3 2 2 2 2 2 2 2 2 2 2 2" xfId="299"/>
    <cellStyle name="Normal 2 2 2 2 3 2 2 2 2 2 2 2 2 2 2 2 3" xfId="327"/>
    <cellStyle name="Normal 2 2 2 2 3 2 2 2 2 2 2 2 2 2 2 2 3 2 2 2 2" xfId="606"/>
    <cellStyle name="Normal 2 2 2 2 3 2 2 2 2 2 2 2 2 2 2 2 3 2 2 2 2 2" xfId="607"/>
    <cellStyle name="Normal 2 2 2 2 3 2 2 2 2 2 2 2 2 2 2 2 3 2 2 2 2 2 2" xfId="608"/>
    <cellStyle name="Normal 2 2 2 2 3 2 2 2 2 2 2 2 2 2 2 2 3 2 2 2 2 2 2 2" xfId="609"/>
    <cellStyle name="Normal 2 2 2 2 3 2 2 2 2 2 2 2 2 2 2 2 3 2 2 2 2 2 2 2 2" xfId="610"/>
    <cellStyle name="Normal 2 2 2 2 3 2 2 2 2 2 2 2 2 2 2 2 3 2 2 2 2 2 2 3" xfId="611"/>
    <cellStyle name="Normal 2 2 2 2 3 2 2 2 2 2 2 2 2 2 2 2 3 2 2 2 2 2 3" xfId="612"/>
    <cellStyle name="Normal 2 2 2 2 3 2 2 2 2 2 2 2 2 2 2 2 3 2 2 2 2 2 3 2" xfId="613"/>
    <cellStyle name="Normal 2 2 2 2 3 2 2 2 2 2 2 2 2 2 2 2 3 2 2 2 2 2 4" xfId="614"/>
    <cellStyle name="Normal 2 2 2 2 3 2 2 2 2 2 2 2 2 2 2 2 3 2 2 2 2 3" xfId="615"/>
    <cellStyle name="Normal 2 2 2 2 3 2 2 2 2 2 2 2 2 2 2 2 3 2 2 2 2 3 2" xfId="616"/>
    <cellStyle name="Normal 2 2 2 2 3 2 2 2 2 2 2 2 2 2 2 2 3 2 2 2 2 3 2 2" xfId="617"/>
    <cellStyle name="Normal 2 2 2 2 3 2 2 2 2 2 2 2 2 2 2 2 3 2 2 2 2 3 3" xfId="618"/>
    <cellStyle name="Normal 2 2 2 2 3 2 2 2 2 2 2 2 2 2 2 2 3 2 2 2 2 4" xfId="619"/>
    <cellStyle name="Normal 2 2 2 2 3 2 2 2 2 2 2 2 2 2 2 2 3 2 2 2 2 4 2" xfId="620"/>
    <cellStyle name="Normal 2 2 2 2 3 2 2 2 2 2 2 2 2 2 2 2 3 2 2 2 2 4 2 2" xfId="621"/>
    <cellStyle name="Normal 2 2 2 2 3 2 2 2 2 2 2 2 2 2 2 2 3 2 2 2 2 4 3" xfId="622"/>
    <cellStyle name="Normal 2 2 2 2 3 2 2 2 2 2 2 2 2 2 2 2 3 2 2 2 2 5" xfId="623"/>
    <cellStyle name="Normal 2 2 2 2 3 2 2 2 2 2 2 2 2 2 2 2 3 2 2 2 2 5 2" xfId="624"/>
    <cellStyle name="Normal 2 2 2 2 3 2 2 2 2 2 2 2 2 2 2 2 3 2 2 2 2 6" xfId="625"/>
    <cellStyle name="Normal 2 2 2 2 3 2 2 2 2 2 2 2 2 2 2 2 3 2 2 2 2 7" xfId="626"/>
    <cellStyle name="Normal 2 2 2 2 4" xfId="627"/>
    <cellStyle name="Normal 2 2 2 2 5" xfId="628"/>
    <cellStyle name="Normal 2 2 2 2 6" xfId="629"/>
    <cellStyle name="Normal 2 2 2 2 7" xfId="630"/>
    <cellStyle name="Normal 2 2 2 2 8" xfId="631"/>
    <cellStyle name="Normal 2 2 2 2 9" xfId="632"/>
    <cellStyle name="Normal 2 2 2 20" xfId="633"/>
    <cellStyle name="Normal 2 2 2 21" xfId="634"/>
    <cellStyle name="Normal 2 2 2 22" xfId="635"/>
    <cellStyle name="Normal 2 2 2 23" xfId="636"/>
    <cellStyle name="Normal 2 2 2 24" xfId="637"/>
    <cellStyle name="Normal 2 2 2 3" xfId="201"/>
    <cellStyle name="Normal 2 2 2 3 2" xfId="638"/>
    <cellStyle name="Normal 2 2 2 4" xfId="639"/>
    <cellStyle name="Normal 2 2 2 5" xfId="640"/>
    <cellStyle name="Normal 2 2 2 6" xfId="641"/>
    <cellStyle name="Normal 2 2 2 7" xfId="642"/>
    <cellStyle name="Normal 2 2 2 8" xfId="643"/>
    <cellStyle name="Normal 2 2 2 9" xfId="644"/>
    <cellStyle name="Normal 2 2 20" xfId="645"/>
    <cellStyle name="Normal 2 2 21" xfId="646"/>
    <cellStyle name="Normal 2 2 22" xfId="647"/>
    <cellStyle name="Normal 2 2 23" xfId="648"/>
    <cellStyle name="Normal 2 2 24" xfId="649"/>
    <cellStyle name="Normal 2 2 3" xfId="110"/>
    <cellStyle name="Normal 2 2 3 2" xfId="650"/>
    <cellStyle name="Normal 2 2 4" xfId="111"/>
    <cellStyle name="Normal 2 2 4 2" xfId="651"/>
    <cellStyle name="Normal 2 2 5" xfId="112"/>
    <cellStyle name="Normal 2 2 5 2" xfId="652"/>
    <cellStyle name="Normal 2 2 6" xfId="113"/>
    <cellStyle name="Normal 2 2 6 2" xfId="653"/>
    <cellStyle name="Normal 2 2 7" xfId="114"/>
    <cellStyle name="Normal 2 2 7 2" xfId="654"/>
    <cellStyle name="Normal 2 2 8" xfId="108"/>
    <cellStyle name="Normal 2 2 8 2" xfId="202"/>
    <cellStyle name="Normal 2 2 8 2 2" xfId="655"/>
    <cellStyle name="Normal 2 2 9" xfId="315"/>
    <cellStyle name="Normal 2 2 9 2" xfId="656"/>
    <cellStyle name="Normal 2 3" xfId="24"/>
    <cellStyle name="Normal 2 3 2" xfId="115"/>
    <cellStyle name="Normal 2 3 2 2" xfId="203"/>
    <cellStyle name="Normal 2 3 2 2 2" xfId="322"/>
    <cellStyle name="Normal 2 3 2 2 2 2" xfId="389"/>
    <cellStyle name="Normal 2 3 2 2 3" xfId="657"/>
    <cellStyle name="Normal 2 3 2 3" xfId="332"/>
    <cellStyle name="Normal 2 3 3" xfId="317"/>
    <cellStyle name="Normal 2 3 3 2" xfId="342"/>
    <cellStyle name="Normal 2 3 3 2 2" xfId="972"/>
    <cellStyle name="Normal 2 3 4" xfId="300"/>
    <cellStyle name="Normal 2 3 5" xfId="329"/>
    <cellStyle name="Normal 2 3 5 2" xfId="973"/>
    <cellStyle name="Normal 2 3 6" xfId="658"/>
    <cellStyle name="Normal 2 4" xfId="116"/>
    <cellStyle name="Normal 2 4 2" xfId="204"/>
    <cellStyle name="Normal 2 4 3" xfId="659"/>
    <cellStyle name="Normal 2 4 4" xfId="660"/>
    <cellStyle name="Normal 2 5" xfId="117"/>
    <cellStyle name="Normal 2 5 2" xfId="661"/>
    <cellStyle name="Normal 2 6" xfId="118"/>
    <cellStyle name="Normal 2 6 2" xfId="662"/>
    <cellStyle name="Normal 2 7" xfId="119"/>
    <cellStyle name="Normal 2 7 2" xfId="663"/>
    <cellStyle name="Normal 2 8" xfId="312"/>
    <cellStyle name="Normal 2 8 2" xfId="365"/>
    <cellStyle name="Normal 2 8 3" xfId="664"/>
    <cellStyle name="Normal 2 9" xfId="297"/>
    <cellStyle name="Normal 2 9 2" xfId="665"/>
    <cellStyle name="Normal 20" xfId="413"/>
    <cellStyle name="Normal 20 2" xfId="874"/>
    <cellStyle name="Normal 21" xfId="301"/>
    <cellStyle name="Normal 22" xfId="406"/>
    <cellStyle name="Normal 22 2" xfId="407"/>
    <cellStyle name="Normal 23" xfId="408"/>
    <cellStyle name="Normal 23 2" xfId="409"/>
    <cellStyle name="Normal 23 2 2" xfId="666"/>
    <cellStyle name="Normal 23 2 2 2" xfId="667"/>
    <cellStyle name="Normal 24" xfId="410"/>
    <cellStyle name="Normal 24 2" xfId="668"/>
    <cellStyle name="Normal 24 2 2" xfId="669"/>
    <cellStyle name="Normal 24 2 2 2" xfId="670"/>
    <cellStyle name="Normal 24 2 2 2 3 2 2 2 2" xfId="671"/>
    <cellStyle name="Normal 25" xfId="672"/>
    <cellStyle name="Normal 26" xfId="673"/>
    <cellStyle name="Normal 26 2" xfId="674"/>
    <cellStyle name="Normal 26 2 3 2 2 2 2" xfId="675"/>
    <cellStyle name="Normal 27" xfId="676"/>
    <cellStyle name="Normal 28" xfId="677"/>
    <cellStyle name="Normal 29" xfId="678"/>
    <cellStyle name="Normal 3" xfId="2"/>
    <cellStyle name="Normal 3 10" xfId="121"/>
    <cellStyle name="Normal 3 10 2" xfId="679"/>
    <cellStyle name="Normal 3 11" xfId="122"/>
    <cellStyle name="Normal 3 11 2" xfId="680"/>
    <cellStyle name="Normal 3 12" xfId="123"/>
    <cellStyle name="Normal 3 12 2" xfId="681"/>
    <cellStyle name="Normal 3 13" xfId="124"/>
    <cellStyle name="Normal 3 13 2" xfId="682"/>
    <cellStyle name="Normal 3 14" xfId="125"/>
    <cellStyle name="Normal 3 14 2" xfId="683"/>
    <cellStyle name="Normal 3 15" xfId="126"/>
    <cellStyle name="Normal 3 15 2" xfId="684"/>
    <cellStyle name="Normal 3 16" xfId="127"/>
    <cellStyle name="Normal 3 16 2" xfId="685"/>
    <cellStyle name="Normal 3 17" xfId="128"/>
    <cellStyle name="Normal 3 17 2" xfId="686"/>
    <cellStyle name="Normal 3 18" xfId="120"/>
    <cellStyle name="Normal 3 18 2" xfId="205"/>
    <cellStyle name="Normal 3 18 2 2" xfId="687"/>
    <cellStyle name="Normal 3 19" xfId="313"/>
    <cellStyle name="Normal 3 2" xfId="14"/>
    <cellStyle name="Normal 3 2 10" xfId="688"/>
    <cellStyle name="Normal 3 2 11" xfId="689"/>
    <cellStyle name="Normal 3 2 12" xfId="690"/>
    <cellStyle name="Normal 3 2 13" xfId="691"/>
    <cellStyle name="Normal 3 2 14" xfId="692"/>
    <cellStyle name="Normal 3 2 15" xfId="693"/>
    <cellStyle name="Normal 3 2 16" xfId="694"/>
    <cellStyle name="Normal 3 2 17" xfId="695"/>
    <cellStyle name="Normal 3 2 18" xfId="696"/>
    <cellStyle name="Normal 3 2 19" xfId="697"/>
    <cellStyle name="Normal 3 2 2" xfId="129"/>
    <cellStyle name="Normal 3 2 2 10" xfId="698"/>
    <cellStyle name="Normal 3 2 2 11" xfId="699"/>
    <cellStyle name="Normal 3 2 2 12" xfId="700"/>
    <cellStyle name="Normal 3 2 2 13" xfId="701"/>
    <cellStyle name="Normal 3 2 2 14" xfId="702"/>
    <cellStyle name="Normal 3 2 2 15" xfId="703"/>
    <cellStyle name="Normal 3 2 2 16" xfId="704"/>
    <cellStyle name="Normal 3 2 2 17" xfId="705"/>
    <cellStyle name="Normal 3 2 2 18" xfId="706"/>
    <cellStyle name="Normal 3 2 2 19" xfId="707"/>
    <cellStyle name="Normal 3 2 2 2" xfId="206"/>
    <cellStyle name="Normal 3 2 2 2 2" xfId="708"/>
    <cellStyle name="Normal 3 2 2 20" xfId="709"/>
    <cellStyle name="Normal 3 2 2 21" xfId="710"/>
    <cellStyle name="Normal 3 2 2 22" xfId="711"/>
    <cellStyle name="Normal 3 2 2 23" xfId="712"/>
    <cellStyle name="Normal 3 2 2 3" xfId="713"/>
    <cellStyle name="Normal 3 2 2 4" xfId="714"/>
    <cellStyle name="Normal 3 2 2 5" xfId="715"/>
    <cellStyle name="Normal 3 2 2 6" xfId="716"/>
    <cellStyle name="Normal 3 2 2 7" xfId="717"/>
    <cellStyle name="Normal 3 2 2 8" xfId="718"/>
    <cellStyle name="Normal 3 2 2 9" xfId="719"/>
    <cellStyle name="Normal 3 2 20" xfId="720"/>
    <cellStyle name="Normal 3 2 21" xfId="721"/>
    <cellStyle name="Normal 3 2 22" xfId="722"/>
    <cellStyle name="Normal 3 2 23" xfId="723"/>
    <cellStyle name="Normal 3 2 24" xfId="724"/>
    <cellStyle name="Normal 3 2 25" xfId="725"/>
    <cellStyle name="Normal 3 2 26" xfId="726"/>
    <cellStyle name="Normal 3 2 3" xfId="207"/>
    <cellStyle name="Normal 3 2 3 2" xfId="302"/>
    <cellStyle name="Normal 3 2 3 2 2" xfId="727"/>
    <cellStyle name="Normal 3 2 3 2 2 2" xfId="303"/>
    <cellStyle name="Normal 3 2 3 2 2 2 2" xfId="728"/>
    <cellStyle name="Normal 3 2 3 2 2 2 2 2" xfId="304"/>
    <cellStyle name="Normal 3 2 3 2 2 2 2 2 2" xfId="729"/>
    <cellStyle name="Normal 3 2 3 2 2 2 2 2 2 2" xfId="305"/>
    <cellStyle name="Normal 3 2 3 2 2 2 2 2 2 2 2" xfId="306"/>
    <cellStyle name="Normal 3 2 3 2 2 2 2 2 2 2 2 2" xfId="730"/>
    <cellStyle name="Normal 3 2 3 2 2 2 2 2 2 2 2 2 2" xfId="307"/>
    <cellStyle name="Normal 3 2 3 2 2 2 2 2 2 2 2 2 2 2" xfId="308"/>
    <cellStyle name="Normal 3 2 3 2 2 2 2 2 2 2 2 2 2 2 3" xfId="310"/>
    <cellStyle name="Normal 3 2 3 2 2 2 2 2 2 2 2 2 2 2 3 2 2 2 2" xfId="411"/>
    <cellStyle name="Normal 3 2 3 2 2 2 2 2 2 2 2 2 2 2 3 2 2 2 2 2" xfId="731"/>
    <cellStyle name="Normal 3 2 3 2 2 2 2 2 2 2 2 2 2 2 3 2 2 2 2 2 2" xfId="732"/>
    <cellStyle name="Normal 3 2 3 2 2 2 2 2 2 2 2 2 2 2 3 2 2 2 2 2 2 2" xfId="733"/>
    <cellStyle name="Normal 3 2 3 2 2 2 2 2 2 2 2 2 2 2 3 2 2 2 2 2 2 2 2" xfId="734"/>
    <cellStyle name="Normal 3 2 3 2 2 2 2 2 2 2 2 2 2 2 3 2 2 2 2 2 2 3" xfId="735"/>
    <cellStyle name="Normal 3 2 3 2 2 2 2 2 2 2 2 2 2 2 3 2 2 2 2 2 3" xfId="736"/>
    <cellStyle name="Normal 3 2 3 2 2 2 2 2 2 2 2 2 2 2 3 2 2 2 2 2 3 2" xfId="737"/>
    <cellStyle name="Normal 3 2 3 2 2 2 2 2 2 2 2 2 2 2 3 2 2 2 2 2 4" xfId="738"/>
    <cellStyle name="Normal 3 2 3 2 2 2 2 2 2 2 2 2 2 2 3 2 2 2 2 3" xfId="739"/>
    <cellStyle name="Normal 3 2 3 2 2 2 2 2 2 2 2 2 2 2 3 2 2 2 2 3 2" xfId="740"/>
    <cellStyle name="Normal 3 2 3 2 2 2 2 2 2 2 2 2 2 2 3 2 2 2 2 3 2 2" xfId="741"/>
    <cellStyle name="Normal 3 2 3 2 2 2 2 2 2 2 2 2 2 2 3 2 2 2 2 3 3" xfId="742"/>
    <cellStyle name="Normal 3 2 3 2 2 2 2 2 2 2 2 2 2 2 3 2 2 2 2 4" xfId="743"/>
    <cellStyle name="Normal 3 2 3 2 2 2 2 2 2 2 2 2 2 2 3 2 2 2 2 4 2" xfId="744"/>
    <cellStyle name="Normal 3 2 3 2 2 2 2 2 2 2 2 2 2 2 3 2 2 2 2 4 2 2" xfId="745"/>
    <cellStyle name="Normal 3 2 3 2 2 2 2 2 2 2 2 2 2 2 3 2 2 2 2 4 3" xfId="746"/>
    <cellStyle name="Normal 3 2 3 2 2 2 2 2 2 2 2 2 2 2 3 2 2 2 2 5" xfId="747"/>
    <cellStyle name="Normal 3 2 3 2 2 2 2 2 2 2 2 2 2 2 3 2 2 2 2 5 2" xfId="748"/>
    <cellStyle name="Normal 3 2 3 2 2 2 2 2 2 2 2 2 2 2 3 2 2 2 2 6" xfId="749"/>
    <cellStyle name="Normal 3 2 3 2 2 2 2 2 2 2 2 2 2 2 3 2 2 2 2 7" xfId="750"/>
    <cellStyle name="Normal 3 2 3 3" xfId="751"/>
    <cellStyle name="Normal 3 2 4" xfId="752"/>
    <cellStyle name="Normal 3 2 5" xfId="753"/>
    <cellStyle name="Normal 3 2 6" xfId="754"/>
    <cellStyle name="Normal 3 2 7" xfId="755"/>
    <cellStyle name="Normal 3 2 8" xfId="756"/>
    <cellStyle name="Normal 3 2 9" xfId="757"/>
    <cellStyle name="Normal 3 20" xfId="758"/>
    <cellStyle name="Normal 3 21" xfId="759"/>
    <cellStyle name="Normal 3 22" xfId="760"/>
    <cellStyle name="Normal 3 23" xfId="761"/>
    <cellStyle name="Normal 3 24" xfId="762"/>
    <cellStyle name="Normal 3 25" xfId="763"/>
    <cellStyle name="Normal 3 3" xfId="13"/>
    <cellStyle name="Normal 3 3 2" xfId="130"/>
    <cellStyle name="Normal 3 3 2 2" xfId="764"/>
    <cellStyle name="Normal 3 3 3" xfId="344"/>
    <cellStyle name="Normal 3 3 3 2" xfId="765"/>
    <cellStyle name="Normal 3 3 4" xfId="333"/>
    <cellStyle name="Normal 3 3 5" xfId="766"/>
    <cellStyle name="Normal 3 3 6" xfId="767"/>
    <cellStyle name="Normal 3 4" xfId="25"/>
    <cellStyle name="Normal 3 4 2" xfId="131"/>
    <cellStyle name="Normal 3 4 3" xfId="768"/>
    <cellStyle name="Normal 3 5" xfId="132"/>
    <cellStyle name="Normal 3 5 2" xfId="769"/>
    <cellStyle name="Normal 3 6" xfId="133"/>
    <cellStyle name="Normal 3 6 2" xfId="770"/>
    <cellStyle name="Normal 3 7" xfId="134"/>
    <cellStyle name="Normal 3 7 2" xfId="771"/>
    <cellStyle name="Normal 3 8" xfId="135"/>
    <cellStyle name="Normal 3 8 2" xfId="772"/>
    <cellStyle name="Normal 3 9" xfId="136"/>
    <cellStyle name="Normal 3 9 2" xfId="773"/>
    <cellStyle name="Normal 30" xfId="774"/>
    <cellStyle name="Normal 31" xfId="775"/>
    <cellStyle name="Normal 32" xfId="776"/>
    <cellStyle name="Normal 33" xfId="777"/>
    <cellStyle name="Normal 34" xfId="778"/>
    <cellStyle name="Normal 35" xfId="863"/>
    <cellStyle name="Normal 35 2" xfId="875"/>
    <cellStyle name="Normal 36" xfId="864"/>
    <cellStyle name="Normal 36 2" xfId="876"/>
    <cellStyle name="Normal 37" xfId="867"/>
    <cellStyle name="Normal 38" xfId="877"/>
    <cellStyle name="Normal 39" xfId="878"/>
    <cellStyle name="Normal 4" xfId="3"/>
    <cellStyle name="Normal 4 10" xfId="137"/>
    <cellStyle name="Normal 4 11" xfId="138"/>
    <cellStyle name="Normal 4 12" xfId="208"/>
    <cellStyle name="Normal 4 12 2" xfId="314"/>
    <cellStyle name="Normal 4 13" xfId="209"/>
    <cellStyle name="Normal 4 14" xfId="210"/>
    <cellStyle name="Normal 4 15" xfId="211"/>
    <cellStyle name="Normal 4 16" xfId="212"/>
    <cellStyle name="Normal 4 17" xfId="213"/>
    <cellStyle name="Normal 4 18" xfId="214"/>
    <cellStyle name="Normal 4 19" xfId="215"/>
    <cellStyle name="Normal 4 2" xfId="7"/>
    <cellStyle name="Normal 4 2 10" xfId="334"/>
    <cellStyle name="Normal 4 2 11" xfId="779"/>
    <cellStyle name="Normal 4 2 12" xfId="780"/>
    <cellStyle name="Normal 4 2 2" xfId="140"/>
    <cellStyle name="Normal 4 2 2 2" xfId="781"/>
    <cellStyle name="Normal 4 2 3" xfId="141"/>
    <cellStyle name="Normal 4 2 4" xfId="142"/>
    <cellStyle name="Normal 4 2 5" xfId="143"/>
    <cellStyle name="Normal 4 2 6" xfId="144"/>
    <cellStyle name="Normal 4 2 7" xfId="145"/>
    <cellStyle name="Normal 4 2 8" xfId="139"/>
    <cellStyle name="Normal 4 2 9" xfId="343"/>
    <cellStyle name="Normal 4 2 9 2" xfId="782"/>
    <cellStyle name="Normal 4 20" xfId="216"/>
    <cellStyle name="Normal 4 21" xfId="217"/>
    <cellStyle name="Normal 4 22" xfId="218"/>
    <cellStyle name="Normal 4 23" xfId="219"/>
    <cellStyle name="Normal 4 24" xfId="220"/>
    <cellStyle name="Normal 4 25" xfId="221"/>
    <cellStyle name="Normal 4 26" xfId="222"/>
    <cellStyle name="Normal 4 27" xfId="223"/>
    <cellStyle name="Normal 4 28" xfId="224"/>
    <cellStyle name="Normal 4 29" xfId="225"/>
    <cellStyle name="Normal 4 3" xfId="15"/>
    <cellStyle name="Normal 4 3 2" xfId="783"/>
    <cellStyle name="Normal 4 30" xfId="226"/>
    <cellStyle name="Normal 4 31" xfId="227"/>
    <cellStyle name="Normal 4 32" xfId="228"/>
    <cellStyle name="Normal 4 33" xfId="229"/>
    <cellStyle name="Normal 4 34" xfId="230"/>
    <cellStyle name="Normal 4 35" xfId="231"/>
    <cellStyle name="Normal 4 36" xfId="232"/>
    <cellStyle name="Normal 4 37" xfId="233"/>
    <cellStyle name="Normal 4 38" xfId="234"/>
    <cellStyle name="Normal 4 39" xfId="235"/>
    <cellStyle name="Normal 4 4" xfId="26"/>
    <cellStyle name="Normal 4 4 2" xfId="146"/>
    <cellStyle name="Normal 4 4 3" xfId="784"/>
    <cellStyle name="Normal 4 4 4" xfId="785"/>
    <cellStyle name="Normal 4 40" xfId="236"/>
    <cellStyle name="Normal 4 41" xfId="237"/>
    <cellStyle name="Normal 4 42" xfId="238"/>
    <cellStyle name="Normal 4 43" xfId="239"/>
    <cellStyle name="Normal 4 44" xfId="240"/>
    <cellStyle name="Normal 4 45" xfId="241"/>
    <cellStyle name="Normal 4 46" xfId="242"/>
    <cellStyle name="Normal 4 47" xfId="243"/>
    <cellStyle name="Normal 4 48" xfId="244"/>
    <cellStyle name="Normal 4 49" xfId="245"/>
    <cellStyle name="Normal 4 5" xfId="147"/>
    <cellStyle name="Normal 4 50" xfId="246"/>
    <cellStyle name="Normal 4 51" xfId="247"/>
    <cellStyle name="Normal 4 52" xfId="248"/>
    <cellStyle name="Normal 4 53" xfId="249"/>
    <cellStyle name="Normal 4 54" xfId="250"/>
    <cellStyle name="Normal 4 55" xfId="251"/>
    <cellStyle name="Normal 4 56" xfId="252"/>
    <cellStyle name="Normal 4 57" xfId="253"/>
    <cellStyle name="Normal 4 58" xfId="254"/>
    <cellStyle name="Normal 4 59" xfId="255"/>
    <cellStyle name="Normal 4 6" xfId="148"/>
    <cellStyle name="Normal 4 60" xfId="256"/>
    <cellStyle name="Normal 4 61" xfId="257"/>
    <cellStyle name="Normal 4 62" xfId="258"/>
    <cellStyle name="Normal 4 63" xfId="259"/>
    <cellStyle name="Normal 4 64" xfId="260"/>
    <cellStyle name="Normal 4 65" xfId="261"/>
    <cellStyle name="Normal 4 66" xfId="262"/>
    <cellStyle name="Normal 4 67" xfId="263"/>
    <cellStyle name="Normal 4 68" xfId="264"/>
    <cellStyle name="Normal 4 69" xfId="265"/>
    <cellStyle name="Normal 4 7" xfId="149"/>
    <cellStyle name="Normal 4 70" xfId="266"/>
    <cellStyle name="Normal 4 71" xfId="267"/>
    <cellStyle name="Normal 4 72" xfId="268"/>
    <cellStyle name="Normal 4 73" xfId="269"/>
    <cellStyle name="Normal 4 74" xfId="270"/>
    <cellStyle name="Normal 4 75" xfId="271"/>
    <cellStyle name="Normal 4 76" xfId="272"/>
    <cellStyle name="Normal 4 77" xfId="273"/>
    <cellStyle name="Normal 4 78" xfId="274"/>
    <cellStyle name="Normal 4 79" xfId="275"/>
    <cellStyle name="Normal 4 8" xfId="150"/>
    <cellStyle name="Normal 4 80" xfId="276"/>
    <cellStyle name="Normal 4 81" xfId="295"/>
    <cellStyle name="Normal 4 81 2" xfId="974"/>
    <cellStyle name="Normal 4 9" xfId="151"/>
    <cellStyle name="Normal 4_Daily Production" xfId="277"/>
    <cellStyle name="Normal 40" xfId="879"/>
    <cellStyle name="Normal 5" xfId="4"/>
    <cellStyle name="Normal 5 2" xfId="10"/>
    <cellStyle name="Normal 5 2 2" xfId="153"/>
    <cellStyle name="Normal 5 2 3" xfId="154"/>
    <cellStyle name="Normal 5 2 4" xfId="155"/>
    <cellStyle name="Normal 5 2 5" xfId="156"/>
    <cellStyle name="Normal 5 2 6" xfId="157"/>
    <cellStyle name="Normal 5 2 7" xfId="158"/>
    <cellStyle name="Normal 5 2 8" xfId="152"/>
    <cellStyle name="Normal 5 2 9" xfId="786"/>
    <cellStyle name="Normal 5 3" xfId="16"/>
    <cellStyle name="Normal 5 4" xfId="159"/>
    <cellStyle name="Normal 5 5" xfId="160"/>
    <cellStyle name="Normal 5 6" xfId="161"/>
    <cellStyle name="Normal 5 7" xfId="162"/>
    <cellStyle name="Normal 5 8" xfId="787"/>
    <cellStyle name="Normal 6" xfId="5"/>
    <cellStyle name="Normal 6 10" xfId="788"/>
    <cellStyle name="Normal 6 11" xfId="789"/>
    <cellStyle name="Normal 6 2" xfId="17"/>
    <cellStyle name="Normal 6 2 2" xfId="345"/>
    <cellStyle name="Normal 6 2 2 2" xfId="790"/>
    <cellStyle name="Normal 6 2 2 2 2" xfId="791"/>
    <cellStyle name="Normal 6 2 2 3" xfId="792"/>
    <cellStyle name="Normal 6 2 3" xfId="331"/>
    <cellStyle name="Normal 6 2 3 2" xfId="793"/>
    <cellStyle name="Normal 6 2 4" xfId="794"/>
    <cellStyle name="Normal 6 2 5" xfId="795"/>
    <cellStyle name="Normal 6 3" xfId="164"/>
    <cellStyle name="Normal 6 3 2" xfId="364"/>
    <cellStyle name="Normal 6 3 2 2" xfId="796"/>
    <cellStyle name="Normal 6 3 2 3" xfId="797"/>
    <cellStyle name="Normal 6 3 3" xfId="798"/>
    <cellStyle name="Normal 6 4" xfId="165"/>
    <cellStyle name="Normal 6 4 2" xfId="799"/>
    <cellStyle name="Normal 6 5" xfId="166"/>
    <cellStyle name="Normal 6 6" xfId="167"/>
    <cellStyle name="Normal 6 7" xfId="168"/>
    <cellStyle name="Normal 6 8" xfId="163"/>
    <cellStyle name="Normal 6 9" xfId="800"/>
    <cellStyle name="Normal 7" xfId="6"/>
    <cellStyle name="Normal 7 2" xfId="18"/>
    <cellStyle name="Normal 7 2 2" xfId="346"/>
    <cellStyle name="Normal 7 2 2 2" xfId="801"/>
    <cellStyle name="Normal 7 2 2 3" xfId="802"/>
    <cellStyle name="Normal 7 2 3" xfId="330"/>
    <cellStyle name="Normal 7 2 4" xfId="803"/>
    <cellStyle name="Normal 7 2 5" xfId="804"/>
    <cellStyle name="Normal 7 3" xfId="170"/>
    <cellStyle name="Normal 7 3 2" xfId="805"/>
    <cellStyle name="Normal 7 4" xfId="171"/>
    <cellStyle name="Normal 7 5" xfId="172"/>
    <cellStyle name="Normal 7 6" xfId="173"/>
    <cellStyle name="Normal 7 7" xfId="174"/>
    <cellStyle name="Normal 7 8" xfId="169"/>
    <cellStyle name="Normal 7 8 2" xfId="806"/>
    <cellStyle name="Normal 7 9" xfId="807"/>
    <cellStyle name="Normal 8" xfId="19"/>
    <cellStyle name="Normal 8 2" xfId="808"/>
    <cellStyle name="Normal 8 2 2" xfId="809"/>
    <cellStyle name="Normal 8 2 3" xfId="810"/>
    <cellStyle name="Normal 8 3" xfId="811"/>
    <cellStyle name="Normal 8 3 2" xfId="812"/>
    <cellStyle name="Normal 8 4" xfId="813"/>
    <cellStyle name="Normal 9" xfId="23"/>
    <cellStyle name="Normal 9 2" xfId="175"/>
    <cellStyle name="Normal 9 2 2" xfId="814"/>
    <cellStyle name="Normal 9 2 3" xfId="815"/>
    <cellStyle name="Normal 9 3" xfId="316"/>
    <cellStyle name="Normal 9 4" xfId="816"/>
    <cellStyle name="Note 1" xfId="291"/>
    <cellStyle name="Note 1 2" xfId="817"/>
    <cellStyle name="Note 1 2 2" xfId="976"/>
    <cellStyle name="Note 1 3" xfId="818"/>
    <cellStyle name="Note 1 3 2" xfId="977"/>
    <cellStyle name="Note 1 4" xfId="975"/>
    <cellStyle name="Note 2" xfId="176"/>
    <cellStyle name="Note 2 2" xfId="357"/>
    <cellStyle name="Note 2 2 2" xfId="819"/>
    <cellStyle name="Note 2 2 2 2" xfId="980"/>
    <cellStyle name="Note 2 2 3" xfId="820"/>
    <cellStyle name="Note 2 2 3 2" xfId="981"/>
    <cellStyle name="Note 2 2 4" xfId="979"/>
    <cellStyle name="Note 2 3" xfId="370"/>
    <cellStyle name="Note 2 3 2" xfId="821"/>
    <cellStyle name="Note 2 3 2 2" xfId="983"/>
    <cellStyle name="Note 2 3 3" xfId="822"/>
    <cellStyle name="Note 2 3 3 2" xfId="984"/>
    <cellStyle name="Note 2 3 4" xfId="982"/>
    <cellStyle name="Note 2 4" xfId="823"/>
    <cellStyle name="Note 2 4 2" xfId="985"/>
    <cellStyle name="Note 2 5" xfId="824"/>
    <cellStyle name="Note 2 5 2" xfId="986"/>
    <cellStyle name="Note 2 6" xfId="978"/>
    <cellStyle name="Note 3" xfId="177"/>
    <cellStyle name="Note 3 2" xfId="358"/>
    <cellStyle name="Note 3 2 2" xfId="825"/>
    <cellStyle name="Note 3 2 2 2" xfId="989"/>
    <cellStyle name="Note 3 2 3" xfId="826"/>
    <cellStyle name="Note 3 2 3 2" xfId="990"/>
    <cellStyle name="Note 3 2 4" xfId="988"/>
    <cellStyle name="Note 3 3" xfId="371"/>
    <cellStyle name="Note 3 3 2" xfId="827"/>
    <cellStyle name="Note 3 3 2 2" xfId="992"/>
    <cellStyle name="Note 3 3 3" xfId="828"/>
    <cellStyle name="Note 3 3 3 2" xfId="993"/>
    <cellStyle name="Note 3 3 4" xfId="991"/>
    <cellStyle name="Note 3 4" xfId="829"/>
    <cellStyle name="Note 3 4 2" xfId="994"/>
    <cellStyle name="Note 3 5" xfId="830"/>
    <cellStyle name="Note 3 5 2" xfId="995"/>
    <cellStyle name="Note 3 6" xfId="987"/>
    <cellStyle name="Output 2" xfId="178"/>
    <cellStyle name="Output 2 2" xfId="359"/>
    <cellStyle name="Output 2 2 2" xfId="831"/>
    <cellStyle name="Output 2 2 2 2" xfId="998"/>
    <cellStyle name="Output 2 2 3" xfId="832"/>
    <cellStyle name="Output 2 2 3 2" xfId="999"/>
    <cellStyle name="Output 2 2 4" xfId="997"/>
    <cellStyle name="Output 2 3" xfId="372"/>
    <cellStyle name="Output 2 3 2" xfId="833"/>
    <cellStyle name="Output 2 3 2 2" xfId="1001"/>
    <cellStyle name="Output 2 3 3" xfId="834"/>
    <cellStyle name="Output 2 3 3 2" xfId="1002"/>
    <cellStyle name="Output 2 3 4" xfId="1000"/>
    <cellStyle name="Output 2 4" xfId="835"/>
    <cellStyle name="Output 2 4 2" xfId="1003"/>
    <cellStyle name="Output 2 5" xfId="836"/>
    <cellStyle name="Output 2 5 2" xfId="1004"/>
    <cellStyle name="Output 2 6" xfId="996"/>
    <cellStyle name="Output 3" xfId="179"/>
    <cellStyle name="Output 3 2" xfId="360"/>
    <cellStyle name="Output 3 2 2" xfId="837"/>
    <cellStyle name="Output 3 2 2 2" xfId="1007"/>
    <cellStyle name="Output 3 2 3" xfId="838"/>
    <cellStyle name="Output 3 2 3 2" xfId="1008"/>
    <cellStyle name="Output 3 2 4" xfId="1006"/>
    <cellStyle name="Output 3 3" xfId="373"/>
    <cellStyle name="Output 3 3 2" xfId="839"/>
    <cellStyle name="Output 3 3 2 2" xfId="1010"/>
    <cellStyle name="Output 3 3 3" xfId="840"/>
    <cellStyle name="Output 3 3 3 2" xfId="1011"/>
    <cellStyle name="Output 3 3 4" xfId="1009"/>
    <cellStyle name="Output 3 4" xfId="841"/>
    <cellStyle name="Output 3 4 2" xfId="1012"/>
    <cellStyle name="Output 3 5" xfId="842"/>
    <cellStyle name="Output 3 5 2" xfId="1013"/>
    <cellStyle name="Output 3 6" xfId="1005"/>
    <cellStyle name="Percent" xfId="22" builtinId="5"/>
    <cellStyle name="Percent 2" xfId="20"/>
    <cellStyle name="Percent 2 2" xfId="843"/>
    <cellStyle name="Percent 2 3" xfId="844"/>
    <cellStyle name="Percent 2 4" xfId="866"/>
    <cellStyle name="Percent 3" xfId="21"/>
    <cellStyle name="Percent 4" xfId="845"/>
    <cellStyle name="Percent 5" xfId="846"/>
    <cellStyle name="Percent 6" xfId="847"/>
    <cellStyle name="Percent 7" xfId="848"/>
    <cellStyle name="Percent 8" xfId="849"/>
    <cellStyle name="Percent 9" xfId="850"/>
    <cellStyle name="Pivot Table Value" xfId="278"/>
    <cellStyle name="Status 1" xfId="292"/>
    <cellStyle name="TableStyleLight1" xfId="309"/>
    <cellStyle name="TableStyleLight1 2" xfId="1014"/>
    <cellStyle name="Text 1" xfId="293"/>
    <cellStyle name="Title 2" xfId="180"/>
    <cellStyle name="Title 2 2" xfId="1015"/>
    <cellStyle name="Title 3" xfId="181"/>
    <cellStyle name="Title 3 2" xfId="1016"/>
    <cellStyle name="Total 2" xfId="182"/>
    <cellStyle name="Total 2 2" xfId="361"/>
    <cellStyle name="Total 2 2 2" xfId="851"/>
    <cellStyle name="Total 2 2 2 2" xfId="1019"/>
    <cellStyle name="Total 2 2 3" xfId="852"/>
    <cellStyle name="Total 2 2 3 2" xfId="1020"/>
    <cellStyle name="Total 2 2 4" xfId="1018"/>
    <cellStyle name="Total 2 3" xfId="374"/>
    <cellStyle name="Total 2 3 2" xfId="853"/>
    <cellStyle name="Total 2 3 2 2" xfId="1022"/>
    <cellStyle name="Total 2 3 3" xfId="854"/>
    <cellStyle name="Total 2 3 3 2" xfId="1023"/>
    <cellStyle name="Total 2 3 4" xfId="1021"/>
    <cellStyle name="Total 2 4" xfId="855"/>
    <cellStyle name="Total 2 4 2" xfId="1024"/>
    <cellStyle name="Total 2 5" xfId="856"/>
    <cellStyle name="Total 2 5 2" xfId="1025"/>
    <cellStyle name="Total 2 6" xfId="1017"/>
    <cellStyle name="Total 3" xfId="183"/>
    <cellStyle name="Total 3 2" xfId="362"/>
    <cellStyle name="Total 3 2 2" xfId="857"/>
    <cellStyle name="Total 3 2 2 2" xfId="1028"/>
    <cellStyle name="Total 3 2 3" xfId="858"/>
    <cellStyle name="Total 3 2 3 2" xfId="1029"/>
    <cellStyle name="Total 3 2 4" xfId="1027"/>
    <cellStyle name="Total 3 3" xfId="375"/>
    <cellStyle name="Total 3 3 2" xfId="859"/>
    <cellStyle name="Total 3 3 2 2" xfId="1031"/>
    <cellStyle name="Total 3 3 3" xfId="860"/>
    <cellStyle name="Total 3 3 3 2" xfId="1032"/>
    <cellStyle name="Total 3 3 4" xfId="1030"/>
    <cellStyle name="Total 3 4" xfId="861"/>
    <cellStyle name="Total 3 4 2" xfId="1033"/>
    <cellStyle name="Total 3 5" xfId="862"/>
    <cellStyle name="Total 3 5 2" xfId="1034"/>
    <cellStyle name="Total 3 6" xfId="1026"/>
    <cellStyle name="Warning 1" xfId="294"/>
    <cellStyle name="Warning Text 2" xfId="184"/>
    <cellStyle name="Warning Text 3" xfId="185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BP/ABP%202025-26%20Final%20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9">
          <cell r="O159" t="str">
            <v>85.0-86.5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B050"/>
    <pageSetUpPr fitToPage="1"/>
  </sheetPr>
  <dimension ref="A1:BW96"/>
  <sheetViews>
    <sheetView tabSelected="1" topLeftCell="A76" zoomScale="110" zoomScaleNormal="110" workbookViewId="0">
      <pane xSplit="4" topLeftCell="E1" activePane="topRight" state="frozen"/>
      <selection pane="topRight" activeCell="K92" sqref="K92"/>
    </sheetView>
  </sheetViews>
  <sheetFormatPr defaultColWidth="9.140625" defaultRowHeight="15" x14ac:dyDescent="0.25"/>
  <cols>
    <col min="1" max="1" width="2.7109375" customWidth="1"/>
    <col min="2" max="2" width="59.140625" bestFit="1" customWidth="1"/>
    <col min="3" max="3" width="10.85546875" bestFit="1" customWidth="1"/>
    <col min="4" max="4" width="13.7109375" customWidth="1"/>
    <col min="5" max="8" width="10.7109375" customWidth="1"/>
    <col min="9" max="10" width="10.7109375" hidden="1" customWidth="1"/>
    <col min="11" max="16" width="10.7109375" customWidth="1"/>
    <col min="17" max="18" width="10.7109375" hidden="1" customWidth="1"/>
    <col min="19" max="20" width="10.7109375" customWidth="1"/>
    <col min="21" max="22" width="10.7109375" hidden="1" customWidth="1"/>
    <col min="23" max="28" width="10.7109375" customWidth="1"/>
    <col min="29" max="58" width="10.7109375" hidden="1" customWidth="1"/>
    <col min="59" max="59" width="11.28515625" hidden="1" customWidth="1"/>
    <col min="60" max="60" width="11.28515625" customWidth="1"/>
    <col min="61" max="61" width="11.28515625" hidden="1" customWidth="1"/>
    <col min="62" max="63" width="11.28515625" customWidth="1"/>
    <col min="64" max="69" width="11.28515625" hidden="1" customWidth="1"/>
    <col min="70" max="71" width="12.85546875" bestFit="1" customWidth="1"/>
    <col min="72" max="72" width="10.85546875" bestFit="1" customWidth="1"/>
    <col min="73" max="85" width="9.140625" customWidth="1"/>
  </cols>
  <sheetData>
    <row r="1" spans="1:75" ht="17.45" x14ac:dyDescent="0.3">
      <c r="B1" s="2834" t="s">
        <v>339</v>
      </c>
      <c r="C1" s="4446"/>
      <c r="D1" s="4448">
        <v>341.01686746987951</v>
      </c>
      <c r="E1" s="4448">
        <v>29</v>
      </c>
      <c r="F1" s="4448">
        <f>F2-'B-FCE'!F3</f>
        <v>26.666666666666668</v>
      </c>
      <c r="G1" s="4448">
        <v>30</v>
      </c>
      <c r="H1" s="4448">
        <f>H2-'B-FCE'!H3</f>
        <v>29.791666666666668</v>
      </c>
      <c r="I1" s="4448">
        <f>E1+G1</f>
        <v>59</v>
      </c>
      <c r="J1" s="4448">
        <f>F1+H1</f>
        <v>56.458333333333336</v>
      </c>
      <c r="K1" s="4448">
        <v>29</v>
      </c>
      <c r="L1" s="4447">
        <f>L2-'B-FCE'!L3</f>
        <v>29.611249999999998</v>
      </c>
      <c r="M1" s="4448">
        <f>+E1+G1+K1</f>
        <v>88</v>
      </c>
      <c r="N1" s="4448">
        <f>+F1+H1+L1</f>
        <v>86.069583333333327</v>
      </c>
      <c r="O1" s="4448">
        <v>30</v>
      </c>
      <c r="P1" s="4448">
        <f>P2-'B-FCE'!P3</f>
        <v>31</v>
      </c>
      <c r="Q1" s="4448">
        <f>+M1+O1</f>
        <v>118</v>
      </c>
      <c r="R1" s="4448">
        <f>+N1+P1</f>
        <v>117.06958333333333</v>
      </c>
      <c r="S1" s="4448">
        <v>30</v>
      </c>
      <c r="T1" s="4448">
        <f>T2-'B-FCE'!T3</f>
        <v>30.024305555555554</v>
      </c>
      <c r="U1" s="4448">
        <f>+Q1+S1</f>
        <v>148</v>
      </c>
      <c r="V1" s="4448">
        <f>+R1+T1</f>
        <v>147.09388888888887</v>
      </c>
      <c r="W1" s="4448">
        <v>17.016867469879518</v>
      </c>
      <c r="X1" s="4448">
        <f>X2-'B-FCE'!X3</f>
        <v>29.673749999999998</v>
      </c>
      <c r="Y1" s="4448">
        <f>+O1+S1+W1</f>
        <v>77.016867469879514</v>
      </c>
      <c r="Z1" s="4448">
        <f>+P1+T1+X1</f>
        <v>90.698055555555555</v>
      </c>
      <c r="AA1" s="4448">
        <f>+U1+W1</f>
        <v>165.01686746987951</v>
      </c>
      <c r="AB1" s="4448">
        <f>+V1+X1</f>
        <v>176.76763888888888</v>
      </c>
      <c r="AC1" s="4448">
        <v>30</v>
      </c>
      <c r="AD1" s="4448">
        <f>AD2-'B-FCE'!AD3</f>
        <v>29.965416666666666</v>
      </c>
      <c r="AE1" s="4448">
        <f>AA1+AC1</f>
        <v>195.01686746987951</v>
      </c>
      <c r="AF1" s="4448">
        <f>AB1+AD1</f>
        <v>206.73305555555555</v>
      </c>
      <c r="AG1" s="4448">
        <v>29</v>
      </c>
      <c r="AH1" s="4447">
        <v>1</v>
      </c>
      <c r="AI1" s="4448">
        <f>AE1+AG1</f>
        <v>224.01686746987951</v>
      </c>
      <c r="AJ1" s="4448">
        <f>AF1+AH1</f>
        <v>207.73305555555555</v>
      </c>
      <c r="AK1" s="65">
        <v>30</v>
      </c>
      <c r="AL1" s="65">
        <f>31-'B-FCE'!AL3</f>
        <v>30.75</v>
      </c>
      <c r="AM1" s="65">
        <f>+AC1+AG1+AK1</f>
        <v>89</v>
      </c>
      <c r="AN1" s="65">
        <f>+AD1+AH1+AL1</f>
        <v>61.71541666666667</v>
      </c>
      <c r="AO1" s="65">
        <f>AI1+AK1</f>
        <v>254.01686746987951</v>
      </c>
      <c r="AP1" s="65">
        <f>AJ1+AL1</f>
        <v>238.48305555555555</v>
      </c>
      <c r="AQ1" s="65">
        <v>30</v>
      </c>
      <c r="AR1" s="4745">
        <f>31-'B-FCE'!AR3</f>
        <v>29.875</v>
      </c>
      <c r="AS1" s="65">
        <f>AO1+AQ1</f>
        <v>284.01686746987951</v>
      </c>
      <c r="AT1" s="65">
        <f>AP1+AR1</f>
        <v>268.35805555555555</v>
      </c>
      <c r="AU1" s="65">
        <v>27</v>
      </c>
      <c r="AV1" s="2553">
        <f>28-'B-FCE'!AV3</f>
        <v>27.1875</v>
      </c>
      <c r="AW1" s="65">
        <f>AS1+AU1</f>
        <v>311.01686746987951</v>
      </c>
      <c r="AX1" s="65">
        <f>AT1+AV1</f>
        <v>295.54555555555555</v>
      </c>
      <c r="AY1" s="65">
        <v>30</v>
      </c>
      <c r="AZ1" s="2553">
        <f>31-'B-FCE'!AZ3</f>
        <v>30.229166666666668</v>
      </c>
      <c r="BA1" s="65">
        <f>+AQ1+AU1+AY1</f>
        <v>87</v>
      </c>
      <c r="BB1" s="65">
        <f>+AR1+AV1+AZ1</f>
        <v>87.291666666666671</v>
      </c>
      <c r="BC1" s="65">
        <f>+AM1+BA1</f>
        <v>176</v>
      </c>
      <c r="BD1" s="65">
        <f>+AN1+BB1</f>
        <v>149.00708333333336</v>
      </c>
      <c r="BE1" s="65">
        <f>AW1+AY1</f>
        <v>341.01686746987951</v>
      </c>
      <c r="BF1" s="65">
        <f>AX1+AZ1</f>
        <v>325.77472222222224</v>
      </c>
      <c r="BG1" s="65"/>
      <c r="BH1" s="65"/>
      <c r="BI1" s="65"/>
      <c r="BJ1" s="65"/>
      <c r="BK1" s="1432"/>
      <c r="BL1" s="202"/>
      <c r="BM1" s="202"/>
      <c r="BN1" s="202"/>
      <c r="BO1" s="202"/>
      <c r="BP1" s="202"/>
      <c r="BQ1" s="202"/>
      <c r="BR1" s="552"/>
    </row>
    <row r="2" spans="1:75" ht="16.5" customHeight="1" thickBot="1" x14ac:dyDescent="0.35">
      <c r="B2" s="4"/>
      <c r="C2" s="4446"/>
      <c r="D2" s="4449">
        <v>365</v>
      </c>
      <c r="E2" s="4449">
        <v>30</v>
      </c>
      <c r="F2" s="4449">
        <v>30</v>
      </c>
      <c r="G2" s="4449">
        <v>31</v>
      </c>
      <c r="H2" s="4449">
        <v>31</v>
      </c>
      <c r="I2" s="4449">
        <f>+E2+G2</f>
        <v>61</v>
      </c>
      <c r="J2" s="4449">
        <f>+F2+H2</f>
        <v>61</v>
      </c>
      <c r="K2" s="4449">
        <v>30</v>
      </c>
      <c r="L2" s="4449">
        <v>30</v>
      </c>
      <c r="M2" s="4449">
        <f>+I2+K2</f>
        <v>91</v>
      </c>
      <c r="N2" s="4449">
        <f>+J2+L2</f>
        <v>91</v>
      </c>
      <c r="O2" s="4450">
        <v>31</v>
      </c>
      <c r="P2" s="4449">
        <v>31</v>
      </c>
      <c r="Q2" s="4449">
        <f>+M2+O2</f>
        <v>122</v>
      </c>
      <c r="R2" s="4449">
        <f>+N2+P2</f>
        <v>122</v>
      </c>
      <c r="S2" s="4449">
        <v>31</v>
      </c>
      <c r="T2" s="4449">
        <v>31</v>
      </c>
      <c r="U2" s="4449">
        <f>+Q2+S2</f>
        <v>153</v>
      </c>
      <c r="V2" s="4449">
        <f>+R2+T2</f>
        <v>153</v>
      </c>
      <c r="W2" s="4449">
        <v>30</v>
      </c>
      <c r="X2" s="4449">
        <v>30</v>
      </c>
      <c r="Y2" s="4449">
        <f>+O2+S2+W2</f>
        <v>92</v>
      </c>
      <c r="Z2" s="4449">
        <f>+P2+T2+X2</f>
        <v>92</v>
      </c>
      <c r="AA2" s="4449">
        <f>+U2+W2</f>
        <v>183</v>
      </c>
      <c r="AB2" s="4449">
        <f>+V2+X2</f>
        <v>183</v>
      </c>
      <c r="AC2" s="4449">
        <v>31</v>
      </c>
      <c r="AD2" s="4449">
        <v>31</v>
      </c>
      <c r="AE2" s="4449">
        <f>AA2+AC2</f>
        <v>214</v>
      </c>
      <c r="AF2" s="4449">
        <f>AB2+AD2</f>
        <v>214</v>
      </c>
      <c r="AG2" s="4449">
        <v>30</v>
      </c>
      <c r="AH2" s="4449">
        <v>30</v>
      </c>
      <c r="AI2" s="4449">
        <f>AE2+AG2</f>
        <v>244</v>
      </c>
      <c r="AJ2" s="4449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+AM2+BA2</f>
        <v>182</v>
      </c>
      <c r="BD2" s="202">
        <f>+AN2+BB2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>
        <v>365</v>
      </c>
      <c r="BO2" s="202">
        <v>365</v>
      </c>
      <c r="BP2" s="202">
        <v>366</v>
      </c>
      <c r="BQ2" s="202">
        <v>366</v>
      </c>
      <c r="BR2" s="552"/>
    </row>
    <row r="3" spans="1:75" ht="18.75" customHeight="1" x14ac:dyDescent="0.25">
      <c r="B3" s="5713" t="s">
        <v>171</v>
      </c>
      <c r="C3" s="5715" t="s">
        <v>172</v>
      </c>
      <c r="D3" s="5717" t="s">
        <v>2191</v>
      </c>
      <c r="E3" s="5699" t="s">
        <v>2190</v>
      </c>
      <c r="F3" s="5700"/>
      <c r="G3" s="5699" t="s">
        <v>2242</v>
      </c>
      <c r="H3" s="5700"/>
      <c r="I3" s="5701" t="s">
        <v>14</v>
      </c>
      <c r="J3" s="5702"/>
      <c r="K3" s="5721" t="s">
        <v>2273</v>
      </c>
      <c r="L3" s="5722"/>
      <c r="M3" s="5719" t="s">
        <v>637</v>
      </c>
      <c r="N3" s="5720"/>
      <c r="O3" s="5699" t="s">
        <v>2296</v>
      </c>
      <c r="P3" s="5700"/>
      <c r="Q3" s="5701" t="s">
        <v>17</v>
      </c>
      <c r="R3" s="5702"/>
      <c r="S3" s="5699" t="s">
        <v>2299</v>
      </c>
      <c r="T3" s="5700"/>
      <c r="U3" s="5701" t="s">
        <v>18</v>
      </c>
      <c r="V3" s="5702"/>
      <c r="W3" s="5724" t="s">
        <v>2344</v>
      </c>
      <c r="X3" s="5725"/>
      <c r="Y3" s="5726" t="s">
        <v>839</v>
      </c>
      <c r="Z3" s="5726"/>
      <c r="AA3" s="5712" t="s">
        <v>657</v>
      </c>
      <c r="AB3" s="5712"/>
      <c r="AC3" s="5699" t="s">
        <v>1954</v>
      </c>
      <c r="AD3" s="5700"/>
      <c r="AE3" s="5701" t="s">
        <v>24</v>
      </c>
      <c r="AF3" s="5702"/>
      <c r="AG3" s="5699" t="s">
        <v>1970</v>
      </c>
      <c r="AH3" s="5700"/>
      <c r="AI3" s="5701" t="s">
        <v>27</v>
      </c>
      <c r="AJ3" s="5702"/>
      <c r="AK3" s="5724" t="s">
        <v>1985</v>
      </c>
      <c r="AL3" s="5725"/>
      <c r="AM3" s="5726" t="s">
        <v>1665</v>
      </c>
      <c r="AN3" s="5726"/>
      <c r="AO3" s="5701" t="s">
        <v>1666</v>
      </c>
      <c r="AP3" s="5702"/>
      <c r="AQ3" s="5699" t="s">
        <v>2085</v>
      </c>
      <c r="AR3" s="5700"/>
      <c r="AS3" s="5701" t="s">
        <v>28</v>
      </c>
      <c r="AT3" s="5702"/>
      <c r="AU3" s="5699" t="s">
        <v>2099</v>
      </c>
      <c r="AV3" s="5700"/>
      <c r="AW3" s="5701" t="s">
        <v>30</v>
      </c>
      <c r="AX3" s="5702"/>
      <c r="AY3" s="5699" t="s">
        <v>2111</v>
      </c>
      <c r="AZ3" s="5700"/>
      <c r="BA3" s="5726" t="s">
        <v>1709</v>
      </c>
      <c r="BB3" s="5726"/>
      <c r="BC3" s="5712" t="s">
        <v>671</v>
      </c>
      <c r="BD3" s="5712"/>
      <c r="BE3" s="5701" t="s">
        <v>1745</v>
      </c>
      <c r="BF3" s="5702"/>
      <c r="BG3" s="5706" t="s">
        <v>1745</v>
      </c>
      <c r="BH3" s="5707"/>
      <c r="BI3" s="5706" t="s">
        <v>1399</v>
      </c>
      <c r="BJ3" s="5707"/>
      <c r="BK3" s="2809" t="s">
        <v>1253</v>
      </c>
      <c r="BL3" s="5697" t="s">
        <v>946</v>
      </c>
      <c r="BM3" s="5697"/>
      <c r="BN3" s="5697" t="s">
        <v>679</v>
      </c>
      <c r="BO3" s="5697"/>
      <c r="BP3" s="5697" t="s">
        <v>669</v>
      </c>
      <c r="BQ3" s="5708"/>
    </row>
    <row r="4" spans="1:75" ht="23.25" customHeight="1" thickBot="1" x14ac:dyDescent="0.3">
      <c r="B4" s="5714"/>
      <c r="C4" s="5716"/>
      <c r="D4" s="5718"/>
      <c r="E4" s="1990" t="s">
        <v>173</v>
      </c>
      <c r="F4" s="1991" t="s">
        <v>174</v>
      </c>
      <c r="G4" s="1990" t="s">
        <v>173</v>
      </c>
      <c r="H4" s="1991" t="s">
        <v>174</v>
      </c>
      <c r="I4" s="1996" t="s">
        <v>173</v>
      </c>
      <c r="J4" s="1956" t="s">
        <v>174</v>
      </c>
      <c r="K4" s="1998" t="s">
        <v>173</v>
      </c>
      <c r="L4" s="1999" t="s">
        <v>174</v>
      </c>
      <c r="M4" s="2000" t="s">
        <v>173</v>
      </c>
      <c r="N4" s="2001" t="s">
        <v>174</v>
      </c>
      <c r="O4" s="1998" t="s">
        <v>173</v>
      </c>
      <c r="P4" s="1991" t="s">
        <v>174</v>
      </c>
      <c r="Q4" s="1996" t="s">
        <v>173</v>
      </c>
      <c r="R4" s="1956" t="s">
        <v>174</v>
      </c>
      <c r="S4" s="1990" t="s">
        <v>173</v>
      </c>
      <c r="T4" s="1991" t="s">
        <v>174</v>
      </c>
      <c r="U4" s="1996" t="s">
        <v>173</v>
      </c>
      <c r="V4" s="1956" t="s">
        <v>174</v>
      </c>
      <c r="W4" s="1722" t="s">
        <v>173</v>
      </c>
      <c r="X4" s="706" t="s">
        <v>174</v>
      </c>
      <c r="Y4" s="708" t="s">
        <v>173</v>
      </c>
      <c r="Z4" s="708" t="s">
        <v>174</v>
      </c>
      <c r="AA4" s="800" t="s">
        <v>173</v>
      </c>
      <c r="AB4" s="800" t="s">
        <v>174</v>
      </c>
      <c r="AC4" s="1990" t="s">
        <v>173</v>
      </c>
      <c r="AD4" s="1991" t="s">
        <v>174</v>
      </c>
      <c r="AE4" s="1996" t="s">
        <v>173</v>
      </c>
      <c r="AF4" s="1956" t="s">
        <v>174</v>
      </c>
      <c r="AG4" s="1990" t="s">
        <v>173</v>
      </c>
      <c r="AH4" s="1991" t="s">
        <v>174</v>
      </c>
      <c r="AI4" s="1996" t="s">
        <v>173</v>
      </c>
      <c r="AJ4" s="1956" t="s">
        <v>174</v>
      </c>
      <c r="AK4" s="1722" t="s">
        <v>173</v>
      </c>
      <c r="AL4" s="706" t="s">
        <v>174</v>
      </c>
      <c r="AM4" s="708" t="s">
        <v>173</v>
      </c>
      <c r="AN4" s="708" t="s">
        <v>174</v>
      </c>
      <c r="AO4" s="1996" t="s">
        <v>173</v>
      </c>
      <c r="AP4" s="1956" t="s">
        <v>174</v>
      </c>
      <c r="AQ4" s="1990" t="s">
        <v>173</v>
      </c>
      <c r="AR4" s="1991" t="s">
        <v>174</v>
      </c>
      <c r="AS4" s="1996" t="s">
        <v>173</v>
      </c>
      <c r="AT4" s="1956" t="s">
        <v>174</v>
      </c>
      <c r="AU4" s="1990" t="s">
        <v>173</v>
      </c>
      <c r="AV4" s="1991" t="s">
        <v>174</v>
      </c>
      <c r="AW4" s="1996" t="s">
        <v>173</v>
      </c>
      <c r="AX4" s="1956" t="s">
        <v>174</v>
      </c>
      <c r="AY4" s="1990" t="s">
        <v>173</v>
      </c>
      <c r="AZ4" s="1991" t="s">
        <v>174</v>
      </c>
      <c r="BA4" s="708" t="s">
        <v>173</v>
      </c>
      <c r="BB4" s="708" t="s">
        <v>174</v>
      </c>
      <c r="BC4" s="800" t="s">
        <v>173</v>
      </c>
      <c r="BD4" s="800" t="s">
        <v>174</v>
      </c>
      <c r="BE4" s="1996" t="s">
        <v>173</v>
      </c>
      <c r="BF4" s="1956" t="s">
        <v>174</v>
      </c>
      <c r="BG4" s="1138" t="s">
        <v>173</v>
      </c>
      <c r="BH4" s="1138" t="s">
        <v>174</v>
      </c>
      <c r="BI4" s="1138" t="s">
        <v>173</v>
      </c>
      <c r="BJ4" s="1138" t="s">
        <v>174</v>
      </c>
      <c r="BK4" s="1138" t="s">
        <v>174</v>
      </c>
      <c r="BL4" s="1138" t="s">
        <v>173</v>
      </c>
      <c r="BM4" s="1138" t="s">
        <v>174</v>
      </c>
      <c r="BN4" s="1138" t="s">
        <v>173</v>
      </c>
      <c r="BO4" s="1138" t="s">
        <v>174</v>
      </c>
      <c r="BP4" s="1138" t="s">
        <v>173</v>
      </c>
      <c r="BQ4" s="2008" t="s">
        <v>174</v>
      </c>
    </row>
    <row r="5" spans="1:75" ht="15" customHeight="1" x14ac:dyDescent="0.3">
      <c r="A5" s="149"/>
      <c r="B5" s="1977" t="s">
        <v>345</v>
      </c>
      <c r="C5" s="1957"/>
      <c r="D5" s="2536"/>
      <c r="E5" s="890"/>
      <c r="F5" s="2537"/>
      <c r="G5" s="890"/>
      <c r="H5" s="2537"/>
      <c r="I5" s="890"/>
      <c r="J5" s="2537"/>
      <c r="K5" s="890"/>
      <c r="L5" s="2537"/>
      <c r="M5" s="890"/>
      <c r="N5" s="2537"/>
      <c r="O5" s="890"/>
      <c r="P5" s="2537"/>
      <c r="Q5" s="890"/>
      <c r="R5" s="2537"/>
      <c r="S5" s="890"/>
      <c r="T5" s="2537"/>
      <c r="U5" s="890"/>
      <c r="V5" s="2537"/>
      <c r="W5" s="1681"/>
      <c r="X5" s="861"/>
      <c r="Y5" s="861"/>
      <c r="Z5" s="861"/>
      <c r="AA5" s="861"/>
      <c r="AB5" s="861"/>
      <c r="AC5" s="890"/>
      <c r="AD5" s="2537"/>
      <c r="AE5" s="890"/>
      <c r="AF5" s="2537"/>
      <c r="AG5" s="890"/>
      <c r="AH5" s="2537"/>
      <c r="AI5" s="890"/>
      <c r="AJ5" s="2537"/>
      <c r="AK5" s="1681"/>
      <c r="AL5" s="861"/>
      <c r="AM5" s="861"/>
      <c r="AN5" s="861"/>
      <c r="AO5" s="890"/>
      <c r="AP5" s="2537"/>
      <c r="AQ5" s="890"/>
      <c r="AR5" s="2537"/>
      <c r="AS5" s="890"/>
      <c r="AT5" s="2537"/>
      <c r="AU5" s="890"/>
      <c r="AV5" s="2537"/>
      <c r="AW5" s="890"/>
      <c r="AX5" s="2537"/>
      <c r="AY5" s="890"/>
      <c r="AZ5" s="2537"/>
      <c r="BA5" s="861"/>
      <c r="BB5" s="861"/>
      <c r="BC5" s="861"/>
      <c r="BD5" s="861"/>
      <c r="BE5" s="890"/>
      <c r="BF5" s="2537"/>
      <c r="BG5" s="269"/>
      <c r="BH5" s="269"/>
      <c r="BI5" s="269"/>
      <c r="BJ5" s="269"/>
      <c r="BK5" s="269"/>
      <c r="BL5" s="269"/>
      <c r="BM5" s="269"/>
      <c r="BN5" s="269"/>
      <c r="BO5" s="269"/>
      <c r="BP5" s="269"/>
      <c r="BQ5" s="1723"/>
    </row>
    <row r="6" spans="1:75" ht="15" customHeight="1" x14ac:dyDescent="0.3">
      <c r="B6" s="1978" t="s">
        <v>349</v>
      </c>
      <c r="C6" s="1949" t="s">
        <v>353</v>
      </c>
      <c r="D6" s="2532">
        <v>94.512328767123293</v>
      </c>
      <c r="E6" s="155">
        <v>98</v>
      </c>
      <c r="F6" s="101">
        <f>+F9/F2</f>
        <v>97.2</v>
      </c>
      <c r="G6" s="155">
        <v>98</v>
      </c>
      <c r="H6" s="101">
        <f>+H9/H2</f>
        <v>97.612903225806448</v>
      </c>
      <c r="I6" s="53">
        <f>+((E6*$E$2)+(G6*$G$2))/$I$2</f>
        <v>98</v>
      </c>
      <c r="J6" s="107">
        <f>+((F6*$F$2)+(H6*$H$2))/$J$2</f>
        <v>97.409836065573771</v>
      </c>
      <c r="K6" s="155">
        <v>94</v>
      </c>
      <c r="L6" s="101">
        <f>+L9/L2</f>
        <v>96.066666666666663</v>
      </c>
      <c r="M6" s="77">
        <f>+((E6*$E$2)+(G6*$G$2)+(K6*$K$2))/$M$2</f>
        <v>96.681318681318686</v>
      </c>
      <c r="N6" s="114">
        <f>+((F6*$F$2)+(H6*$H$2)+(L6*$L$2))/$N$2</f>
        <v>96.967032967032964</v>
      </c>
      <c r="O6" s="155">
        <v>94</v>
      </c>
      <c r="P6" s="101">
        <f>+P9/P2</f>
        <v>95.41935483870968</v>
      </c>
      <c r="Q6" s="53">
        <f>+((M6*M$2)+(O6*O$2))/Q$2</f>
        <v>96</v>
      </c>
      <c r="R6" s="107">
        <f>+((N6*N$2)+(P6*P$2))/R$2</f>
        <v>96.573770491803273</v>
      </c>
      <c r="S6" s="155">
        <v>94</v>
      </c>
      <c r="T6" s="101">
        <f>+T9/T2</f>
        <v>98</v>
      </c>
      <c r="U6" s="53">
        <f>+((Q6*Q$2)+(S6*S$2))/U$2</f>
        <v>95.59477124183006</v>
      </c>
      <c r="V6" s="107">
        <f>+((R6*R$2)+(T6*T$2))/V$2</f>
        <v>96.862745098039213</v>
      </c>
      <c r="W6" s="155">
        <v>92.1</v>
      </c>
      <c r="X6" s="101">
        <f>+X9/X2</f>
        <v>98</v>
      </c>
      <c r="Y6" s="353">
        <f>+((O$6*O$2)+(S$6*S$2)+(W$6*W$2))/Y$2</f>
        <v>93.380434782608702</v>
      </c>
      <c r="Z6" s="353">
        <f>+((P$6*P$2)+(T$6*T$2)+(X$6*X$2))/Z$2</f>
        <v>97.130434782608702</v>
      </c>
      <c r="AA6" s="466">
        <f>+((M6*M$2)+(Y6*Y$2))/AA$2</f>
        <v>95.021857923497265</v>
      </c>
      <c r="AB6" s="466">
        <f>+((N6*N$2)+(Z6*Z$2))/AB$2</f>
        <v>97.049180327868854</v>
      </c>
      <c r="AC6" s="774">
        <v>96</v>
      </c>
      <c r="AD6" s="101">
        <f>+AD9/AD2</f>
        <v>98</v>
      </c>
      <c r="AE6" s="53">
        <f>+((AA6*$AA$2)+(AC6*$AC$2))/$AE$2</f>
        <v>95.163551401869157</v>
      </c>
      <c r="AF6" s="107">
        <f>+((AB6*$AB$2)+(AD6*$AD$2))/$AF$2</f>
        <v>97.186915887850461</v>
      </c>
      <c r="AG6" s="774">
        <v>96</v>
      </c>
      <c r="AH6" s="101">
        <f>+AH9/AH2</f>
        <v>94.3</v>
      </c>
      <c r="AI6" s="53">
        <f>+((AE6*$AE$2)+(AG6*$AG$2))/$AI$2</f>
        <v>95.266393442622956</v>
      </c>
      <c r="AJ6" s="53">
        <f>+((AF6*$AF$2)+(AH6*$AH$2))/$AJ$2</f>
        <v>96.831967213114751</v>
      </c>
      <c r="AK6" s="774">
        <v>96</v>
      </c>
      <c r="AL6" s="101">
        <f>+AL9/AL2</f>
        <v>98</v>
      </c>
      <c r="AM6" s="353">
        <f>+((AC$6*AC$2)+(AG$6*AG$2)+(AK$6*AK$2))/AM$2</f>
        <v>96</v>
      </c>
      <c r="AN6" s="353">
        <f>+((AD$6*AD$2)+(AH$6*AH$2)+(AL$6*AL$2))/AN$2</f>
        <v>96.793478260869563</v>
      </c>
      <c r="AO6" s="53">
        <f>+((AK6*$AK$2)+(AI6*$AI$2))/$AO$2</f>
        <v>95.349090909090904</v>
      </c>
      <c r="AP6" s="53">
        <f>+((AL6*$AL$2)+(AJ6*$AJ$2))/$AP$2</f>
        <v>96.963636363636368</v>
      </c>
      <c r="AQ6" s="774">
        <v>96</v>
      </c>
      <c r="AR6" s="101">
        <f>+AR9/AR2</f>
        <v>98</v>
      </c>
      <c r="AS6" s="53">
        <f>+((AO6*$AO$2)+(AQ6*$AQ$2))/$AS$2</f>
        <v>95.415032679738559</v>
      </c>
      <c r="AT6" s="53">
        <f>+((AP6*$AP$2)+(AR6*$AR$2))/$AT$2</f>
        <v>97.068627450980387</v>
      </c>
      <c r="AU6" s="774">
        <v>96</v>
      </c>
      <c r="AV6" s="101">
        <f>+AV9/AV2</f>
        <v>97.678571428571431</v>
      </c>
      <c r="AW6" s="53">
        <f>+((AS6*$AS$2)+(AU6*$AU$2))/$AW$2</f>
        <v>95.464071856287418</v>
      </c>
      <c r="AX6" s="53">
        <f>+((AT6*$AT$2)+(AV6*$AV$2))/$AX$2</f>
        <v>97.119760479041915</v>
      </c>
      <c r="AY6" s="774">
        <v>96</v>
      </c>
      <c r="AZ6" s="101">
        <f>+AZ9/AZ2</f>
        <v>98</v>
      </c>
      <c r="BA6" s="353">
        <f>+((AQ$6*AQ$2)+(AU$6*AU$2)+(AY$6*AY$2))/BA$2</f>
        <v>96</v>
      </c>
      <c r="BB6" s="353">
        <f>+((AR$6*AR$2)+(AV$6*AV$2)+(AZ$6*AZ$2))/BB$2</f>
        <v>97.9</v>
      </c>
      <c r="BC6" s="465">
        <f>+((AM6*AM$2)+(BA6*BA$2))/BC$2</f>
        <v>96</v>
      </c>
      <c r="BD6" s="465">
        <f>+((AN6*AN$2)+(BB6*BB$2))/BD$2</f>
        <v>97.340659340659343</v>
      </c>
      <c r="BE6" s="53">
        <f>+((AW6*$AW$2)+(AY6*$AY$2))/$BE$2</f>
        <v>95.509589041095893</v>
      </c>
      <c r="BF6" s="53">
        <f>+((AZ6*$AZ$2)+(AX6*$AX$2))/$BF$2</f>
        <v>97.194520547945203</v>
      </c>
      <c r="BG6" s="1209">
        <v>96.420547945205485</v>
      </c>
      <c r="BH6" s="1209">
        <v>97.709589041095896</v>
      </c>
      <c r="BI6" s="1209">
        <v>99</v>
      </c>
      <c r="BJ6" s="1209">
        <v>98.976067110347017</v>
      </c>
      <c r="BK6" s="1209">
        <v>98.783561643835611</v>
      </c>
      <c r="BL6" s="1209">
        <v>99</v>
      </c>
      <c r="BM6" s="1209">
        <v>97.824657534246569</v>
      </c>
      <c r="BN6" s="1209">
        <v>95.547945205479451</v>
      </c>
      <c r="BO6" s="1209">
        <v>95.342465753424662</v>
      </c>
      <c r="BP6" s="1209">
        <v>97</v>
      </c>
      <c r="BQ6" s="1197">
        <v>97.109590163934413</v>
      </c>
      <c r="BR6" s="26"/>
      <c r="BS6" s="1219"/>
      <c r="BT6" s="1546"/>
      <c r="BU6" s="1546"/>
    </row>
    <row r="7" spans="1:75" ht="15" customHeight="1" x14ac:dyDescent="0.3">
      <c r="B7" s="1978" t="s">
        <v>350</v>
      </c>
      <c r="C7" s="1949" t="s">
        <v>353</v>
      </c>
      <c r="D7" s="2532">
        <v>97.630136986301366</v>
      </c>
      <c r="E7" s="155">
        <v>98</v>
      </c>
      <c r="F7" s="101">
        <f>+F10/F2</f>
        <v>97.1</v>
      </c>
      <c r="G7" s="155">
        <v>98</v>
      </c>
      <c r="H7" s="101">
        <f>+H10/H2</f>
        <v>97.483870967741936</v>
      </c>
      <c r="I7" s="53">
        <f>+((E7*$E$2)+(G7*$G$2))/$I$2</f>
        <v>98</v>
      </c>
      <c r="J7" s="107">
        <f>+((F7*$F$2)+(H7*$H$2))/$J$2</f>
        <v>97.295081967213122</v>
      </c>
      <c r="K7" s="155">
        <v>98</v>
      </c>
      <c r="L7" s="101">
        <f>+L10/L2</f>
        <v>98.466666666666669</v>
      </c>
      <c r="M7" s="77">
        <f>+((E7*$E$2)+(G7*$G$2)+(K7*$K$2))/$M$2</f>
        <v>98</v>
      </c>
      <c r="N7" s="114">
        <f>+((F7*$F$2)+(H7*$H$2)+(L7*$L$2))/$N$2</f>
        <v>97.681318681318686</v>
      </c>
      <c r="O7" s="155">
        <v>98</v>
      </c>
      <c r="P7" s="101">
        <f>+P10/P2</f>
        <v>99</v>
      </c>
      <c r="Q7" s="53">
        <f>+((M7*M$2)+(O7*O$2))/Q$2</f>
        <v>98</v>
      </c>
      <c r="R7" s="107">
        <f>+((N7*N$2)+(P7*P$2))/R$2</f>
        <v>98.016393442622956</v>
      </c>
      <c r="S7" s="155">
        <v>98</v>
      </c>
      <c r="T7" s="101">
        <f>+T10/T2</f>
        <v>98.516129032258064</v>
      </c>
      <c r="U7" s="53">
        <f>+((Q7*Q$2)+(S7*S$2))/U$2</f>
        <v>98</v>
      </c>
      <c r="V7" s="107">
        <f>+((R7*R$2)+(T7*T$2))/V$2</f>
        <v>98.117647058823536</v>
      </c>
      <c r="W7" s="155">
        <v>93.5</v>
      </c>
      <c r="X7" s="101">
        <f>+X10/X2</f>
        <v>98.766666666666666</v>
      </c>
      <c r="Y7" s="353">
        <f>((O7*O2)+(S7*S2)+(W7*W2))/Y2</f>
        <v>96.532608695652172</v>
      </c>
      <c r="Z7" s="353">
        <f>+((P$7*P$2)+(T$7*T$2)+(X$7*X$2))/Z$2</f>
        <v>98.760869565217391</v>
      </c>
      <c r="AA7" s="466">
        <f>+((M7*M$2)+(Y7*Y$2))/AA$2</f>
        <v>97.26229508196721</v>
      </c>
      <c r="AB7" s="466">
        <f>+((N7*N$2)+(Z7*Z$2))/AB$2</f>
        <v>98.224043715846989</v>
      </c>
      <c r="AC7" s="774">
        <v>99</v>
      </c>
      <c r="AD7" s="101">
        <f>+AD10/AD2</f>
        <v>97.838709677419359</v>
      </c>
      <c r="AE7" s="53">
        <f>+((AA7*$AA$2)+(AC7*$AC$2))/$AE$2</f>
        <v>97.514018691588788</v>
      </c>
      <c r="AF7" s="107">
        <f>+((AB7*$AB$2)+(AD7*$AD$2))/$AF$2</f>
        <v>98.168224299065415</v>
      </c>
      <c r="AG7" s="774">
        <v>99</v>
      </c>
      <c r="AH7" s="101">
        <f>+AH10/AH2</f>
        <v>94</v>
      </c>
      <c r="AI7" s="53">
        <f>+((AE7*$AE$2)+(AG7*$AG$2))/$AI$2</f>
        <v>97.696721311475414</v>
      </c>
      <c r="AJ7" s="53">
        <f>+((AF7*$AF$2)+(AH7*$AH$2))/$AJ$2</f>
        <v>97.655737704918039</v>
      </c>
      <c r="AK7" s="774">
        <v>99</v>
      </c>
      <c r="AL7" s="101">
        <f>+AL10/AL2</f>
        <v>98.483870967741936</v>
      </c>
      <c r="AM7" s="353">
        <f>+((AC$7*AC$2)+(AG$7*AG$2)+(AK$7*AK$2))/AM$2</f>
        <v>99</v>
      </c>
      <c r="AN7" s="353">
        <f>+((AD$7*AD$2)+(AH$7*AH$2)+(AL$7*AL$2))/AN$2</f>
        <v>96.804347826086953</v>
      </c>
      <c r="AO7" s="53">
        <f>+((AK7*$AK$2)+(AI7*$AI$2))/$AO$2</f>
        <v>97.843636363636364</v>
      </c>
      <c r="AP7" s="53">
        <f>+((AL7*$AL$2)+(AJ7*$AJ$2))/$AP$2</f>
        <v>97.74909090909091</v>
      </c>
      <c r="AQ7" s="774">
        <v>99</v>
      </c>
      <c r="AR7" s="101">
        <f>+AR10/AR2</f>
        <v>98.483870967741936</v>
      </c>
      <c r="AS7" s="53">
        <f>+((AO7*$AO$2)+(AQ7*$AQ$2))/$AS$2</f>
        <v>97.960784313725483</v>
      </c>
      <c r="AT7" s="53">
        <f>+((AP7*$AP$2)+(AR7*$AR$2))/$AT$2</f>
        <v>97.82352941176471</v>
      </c>
      <c r="AU7" s="774">
        <v>99</v>
      </c>
      <c r="AV7" s="101">
        <f>+AV10/AV2</f>
        <v>98.392857142857139</v>
      </c>
      <c r="AW7" s="53">
        <f>+((AS7*$AS$2)+(AU7*$AU$2))/$AW$2</f>
        <v>98.047904191616752</v>
      </c>
      <c r="AX7" s="53">
        <f>+((AT7*$AT$2)+(AV7*$AV$2))/$AX$2</f>
        <v>97.871257485029943</v>
      </c>
      <c r="AY7" s="774">
        <v>99</v>
      </c>
      <c r="AZ7" s="101">
        <f>+AZ10/AZ2</f>
        <v>98.645161290322577</v>
      </c>
      <c r="BA7" s="353">
        <f>+((AQ$7*AQ$2)+(AU$7*AU$2)+(AY$7*AY$2))/BA$2</f>
        <v>99</v>
      </c>
      <c r="BB7" s="353">
        <f>+((AR$7*AR$2)+(AV$7*AV$2)+(AZ$7*AZ$2))/BB$2</f>
        <v>98.511111111111106</v>
      </c>
      <c r="BC7" s="465">
        <f>+((AM7*AM$2)+(BA7*BA$2))/BC$2</f>
        <v>99</v>
      </c>
      <c r="BD7" s="465">
        <f>+((AN7*AN$2)+(BB7*BB$2))/BD$2</f>
        <v>97.64835164835165</v>
      </c>
      <c r="BE7" s="53">
        <f>+((AW7*$AW$2)+(AY7*$AY$2))/$BE$2</f>
        <v>98.128767123287673</v>
      </c>
      <c r="BF7" s="53">
        <f>+((AZ7*$AZ$2)+(AX7*$AX$2))/$BF$2</f>
        <v>97.936986301369856</v>
      </c>
      <c r="BG7" s="1209">
        <v>98.1676712328767</v>
      </c>
      <c r="BH7" s="1209">
        <v>97.991780821917814</v>
      </c>
      <c r="BI7" s="1209">
        <v>98.000061398661487</v>
      </c>
      <c r="BJ7" s="1209">
        <v>96.670250945044899</v>
      </c>
      <c r="BK7" s="1209">
        <v>92.210958904109589</v>
      </c>
      <c r="BL7" s="1209">
        <v>99</v>
      </c>
      <c r="BM7" s="1209">
        <v>96.816438356164383</v>
      </c>
      <c r="BN7" s="1209">
        <v>94.2</v>
      </c>
      <c r="BO7" s="1209">
        <v>90.778082191780825</v>
      </c>
      <c r="BP7" s="1209">
        <v>97</v>
      </c>
      <c r="BQ7" s="1197">
        <v>95.71024590163934</v>
      </c>
      <c r="BR7" s="26"/>
      <c r="BS7" s="1546"/>
      <c r="BT7" s="1546"/>
      <c r="BU7" s="1546"/>
    </row>
    <row r="8" spans="1:75" ht="15" customHeight="1" x14ac:dyDescent="0.3">
      <c r="B8" s="1979" t="s">
        <v>79</v>
      </c>
      <c r="C8" s="1950" t="s">
        <v>353</v>
      </c>
      <c r="D8" s="2810">
        <f t="shared" ref="D8:L8" si="0">+D6+(D7*(31.55/17.2))</f>
        <v>273.59551608792611</v>
      </c>
      <c r="E8" s="2538">
        <f t="shared" si="0"/>
        <v>277.76162790697674</v>
      </c>
      <c r="F8" s="2539">
        <f t="shared" si="0"/>
        <v>275.31075581395351</v>
      </c>
      <c r="G8" s="2538">
        <f t="shared" ref="G8" si="1">+G6+(G7*(31.55/17.2))</f>
        <v>277.76162790697674</v>
      </c>
      <c r="H8" s="2539">
        <f t="shared" ref="H8" si="2">+H6+(H7*(31.55/17.2))</f>
        <v>276.42779444861219</v>
      </c>
      <c r="I8" s="2540">
        <f t="shared" si="0"/>
        <v>277.76162790697674</v>
      </c>
      <c r="J8" s="2541">
        <f t="shared" si="0"/>
        <v>275.87843118566531</v>
      </c>
      <c r="K8" s="2538">
        <f t="shared" si="0"/>
        <v>273.76162790697674</v>
      </c>
      <c r="L8" s="2539">
        <f t="shared" si="0"/>
        <v>276.68430232558137</v>
      </c>
      <c r="M8" s="2036">
        <f t="shared" ref="M8" si="3">+M6+(M7*(31.55/17.2))</f>
        <v>276.44294658829546</v>
      </c>
      <c r="N8" s="2037">
        <f t="shared" ref="N8:P8" si="4">+N6+(N7*(31.55/17.2))</f>
        <v>276.14410299003328</v>
      </c>
      <c r="O8" s="2538">
        <f t="shared" si="4"/>
        <v>273.76162790697674</v>
      </c>
      <c r="P8" s="2539">
        <f t="shared" si="4"/>
        <v>277.01528507126784</v>
      </c>
      <c r="Q8" s="2044">
        <f t="shared" ref="Q8" si="5">+Q6+(Q7*(31.55/17.2))</f>
        <v>275.76162790697674</v>
      </c>
      <c r="R8" s="2045">
        <f t="shared" ref="R8:T8" si="6">+R6+(R7*(31.55/17.2))</f>
        <v>276.36546892870763</v>
      </c>
      <c r="S8" s="2538">
        <f t="shared" si="6"/>
        <v>273.76162790697674</v>
      </c>
      <c r="T8" s="2539">
        <f t="shared" si="6"/>
        <v>278.70836459114781</v>
      </c>
      <c r="U8" s="2044">
        <f t="shared" ref="U8:X8" si="7">+U6+(U7*(31.55/17.2))</f>
        <v>275.35639914880682</v>
      </c>
      <c r="V8" s="3476">
        <f t="shared" si="7"/>
        <v>276.8401732786138</v>
      </c>
      <c r="W8" s="2538">
        <f t="shared" si="7"/>
        <v>263.60726744186047</v>
      </c>
      <c r="X8" s="2539">
        <f t="shared" si="7"/>
        <v>279.16792635658919</v>
      </c>
      <c r="Y8" s="378">
        <f>Y6+(Y7*31.55/17.2)</f>
        <v>270.45042340748233</v>
      </c>
      <c r="Z8" s="378">
        <f>Z6+(Z7*31.55/17.2)</f>
        <v>278.28772750252779</v>
      </c>
      <c r="AA8" s="544">
        <f>AA6+(AA7*31.55/17.2)</f>
        <v>273.43031198373365</v>
      </c>
      <c r="AB8" s="544">
        <f>AB6+(AB7*31.55/17.2)</f>
        <v>277.22177214385562</v>
      </c>
      <c r="AC8" s="2538">
        <f>+AC6+(AC7*(31.55/17.2))</f>
        <v>277.59593023255815</v>
      </c>
      <c r="AD8" s="2539">
        <f t="shared" ref="AD8" si="8">+AD6+(AD7*(31.55/17.2))</f>
        <v>277.46577269317334</v>
      </c>
      <c r="AE8" s="2540">
        <f t="shared" ref="AE8:AF8" si="9">+AE6+(AE7*(31.55/17.2))</f>
        <v>274.03374266463811</v>
      </c>
      <c r="AF8" s="2541">
        <f t="shared" si="9"/>
        <v>277.25711801782222</v>
      </c>
      <c r="AG8" s="2538">
        <f>+AG6+(AG7*(31.55/17.2))</f>
        <v>277.59593023255815</v>
      </c>
      <c r="AH8" s="2539">
        <f t="shared" ref="AH8" si="10">+AH6+(AH7*(31.55/17.2))</f>
        <v>266.72441860465119</v>
      </c>
      <c r="AI8" s="2540">
        <f t="shared" ref="AI8:AJ8" si="11">+AI6+(AI7*(31.55/17.2))</f>
        <v>274.47171654593978</v>
      </c>
      <c r="AJ8" s="2541">
        <f t="shared" si="11"/>
        <v>275.96211399161268</v>
      </c>
      <c r="AK8" s="2538">
        <f>+AK6+(AK7*(31.55/17.2))</f>
        <v>277.59593023255815</v>
      </c>
      <c r="AL8" s="2539">
        <f t="shared" ref="AL8" si="12">+AL6+(AL7*(31.55/17.2))</f>
        <v>278.64919354838707</v>
      </c>
      <c r="AM8" s="378">
        <f>AM6+(AM7*31.55/17.2)</f>
        <v>277.5959302325582</v>
      </c>
      <c r="AN8" s="378">
        <f>AN6+(AN7*31.55/17.2)</f>
        <v>274.36191860465118</v>
      </c>
      <c r="AO8" s="2540">
        <f t="shared" ref="AO8:AT8" si="13">+AO6+(AO7*(31.55/17.2))</f>
        <v>274.82390063424947</v>
      </c>
      <c r="AP8" s="2541">
        <f t="shared" si="13"/>
        <v>276.26502114164907</v>
      </c>
      <c r="AQ8" s="2538">
        <f>+AQ6+(AQ7*(31.55/17.2))</f>
        <v>277.59593023255815</v>
      </c>
      <c r="AR8" s="2539">
        <f t="shared" ref="AR8" si="14">+AR6+(AR7*(31.55/17.2))</f>
        <v>278.64919354838707</v>
      </c>
      <c r="AS8" s="2540">
        <f t="shared" si="13"/>
        <v>275.10472716218271</v>
      </c>
      <c r="AT8" s="2541">
        <f t="shared" si="13"/>
        <v>276.5065549475604</v>
      </c>
      <c r="AU8" s="2538">
        <f>+AU6+(AU7*(31.55/17.2))</f>
        <v>277.59593023255815</v>
      </c>
      <c r="AV8" s="2539">
        <f t="shared" ref="AV8" si="15">+AV6+(AV7*(31.55/17.2))</f>
        <v>278.16081810631232</v>
      </c>
      <c r="AW8" s="2540">
        <f t="shared" ref="AW8:AX8" si="16">+AW6+(AW7*(31.55/17.2))</f>
        <v>275.31357053335188</v>
      </c>
      <c r="AX8" s="2541">
        <f t="shared" si="16"/>
        <v>276.64523569140789</v>
      </c>
      <c r="AY8" s="2538">
        <f>+AY6+(AY7*(31.55/17.2))</f>
        <v>277.59593023255815</v>
      </c>
      <c r="AZ8" s="2539">
        <f t="shared" ref="AZ8" si="17">+AZ6+(AZ7*(31.55/17.2))</f>
        <v>278.94504876219059</v>
      </c>
      <c r="BA8" s="378">
        <f>BA6+(BA7*31.55/17.2)</f>
        <v>277.5959302325582</v>
      </c>
      <c r="BB8" s="378">
        <f>BB6+(BB7*31.55/17.2)</f>
        <v>278.59916020671835</v>
      </c>
      <c r="BC8" s="544">
        <f>BC6+(BC7*31.55/17.2)</f>
        <v>277.5959302325582</v>
      </c>
      <c r="BD8" s="544">
        <f>BD6+(BD7*31.55/17.2)</f>
        <v>276.45725785842069</v>
      </c>
      <c r="BE8" s="4913">
        <f t="shared" ref="BE8:BF8" si="18">+BE6+(BE7*(31.55/17.2))</f>
        <v>275.5074147817777</v>
      </c>
      <c r="BF8" s="4920">
        <f t="shared" si="18"/>
        <v>276.8405622809812</v>
      </c>
      <c r="BG8" s="1491">
        <v>276.48973558458107</v>
      </c>
      <c r="BH8" s="1491">
        <v>277.45614049060214</v>
      </c>
      <c r="BI8" s="1491">
        <v>278.76174053068428</v>
      </c>
      <c r="BJ8" s="1491">
        <v>276.29853323338</v>
      </c>
      <c r="BK8" s="1491">
        <v>267.92633800573469</v>
      </c>
      <c r="BL8" s="1139">
        <v>280.5959302325586</v>
      </c>
      <c r="BM8" s="1491">
        <v>275.41527556546714</v>
      </c>
      <c r="BN8" s="1139">
        <v>268.33922427524732</v>
      </c>
      <c r="BO8" s="1491">
        <v>261.85691302962772</v>
      </c>
      <c r="BP8" s="1139">
        <v>274.92732558139579</v>
      </c>
      <c r="BQ8" s="2009">
        <v>272.67111680327912</v>
      </c>
      <c r="BR8" s="26"/>
      <c r="BS8" s="1546"/>
      <c r="BT8" s="1546"/>
      <c r="BU8" s="1546"/>
    </row>
    <row r="9" spans="1:75" ht="15" customHeight="1" x14ac:dyDescent="0.3">
      <c r="B9" s="1978" t="s">
        <v>349</v>
      </c>
      <c r="C9" s="1949" t="s">
        <v>680</v>
      </c>
      <c r="D9" s="1954">
        <f>+D6*D2</f>
        <v>34497</v>
      </c>
      <c r="E9" s="155">
        <f>+E6*E2</f>
        <v>2940</v>
      </c>
      <c r="F9" s="181">
        <v>2916</v>
      </c>
      <c r="G9" s="155">
        <f>+G6*G2</f>
        <v>3038</v>
      </c>
      <c r="H9" s="181">
        <v>3026</v>
      </c>
      <c r="I9" s="61">
        <f>+I6*I2</f>
        <v>5978</v>
      </c>
      <c r="J9" s="39">
        <f>+F9+H9</f>
        <v>5942</v>
      </c>
      <c r="K9" s="155">
        <f>+K6*K2</f>
        <v>2820</v>
      </c>
      <c r="L9" s="181">
        <v>2882</v>
      </c>
      <c r="M9" s="72">
        <f>+E9+G9+K9</f>
        <v>8798</v>
      </c>
      <c r="N9" s="69">
        <f>+F9+H9+L9</f>
        <v>8824</v>
      </c>
      <c r="O9" s="155">
        <f>+O6*O2</f>
        <v>2914</v>
      </c>
      <c r="P9" s="181">
        <v>2958</v>
      </c>
      <c r="Q9" s="61">
        <f>+M9+O9</f>
        <v>11712</v>
      </c>
      <c r="R9" s="39">
        <f>+N9+P9</f>
        <v>11782</v>
      </c>
      <c r="S9" s="155">
        <f>+S6*S2</f>
        <v>2914</v>
      </c>
      <c r="T9" s="181">
        <v>3038</v>
      </c>
      <c r="U9" s="61">
        <f>+Q9+S9</f>
        <v>14626</v>
      </c>
      <c r="V9" s="39">
        <f>+R9+T9</f>
        <v>14820</v>
      </c>
      <c r="W9" s="155">
        <f>+W6*W2</f>
        <v>2763</v>
      </c>
      <c r="X9" s="181">
        <v>2940</v>
      </c>
      <c r="Y9" s="781">
        <f>+O9+S9+W9</f>
        <v>8591</v>
      </c>
      <c r="Z9" s="781">
        <f>+P9+T9+X9</f>
        <v>8936</v>
      </c>
      <c r="AA9" s="465">
        <f>M9+Y9</f>
        <v>17389</v>
      </c>
      <c r="AB9" s="465">
        <f>+N9+Z9</f>
        <v>17760</v>
      </c>
      <c r="AC9" s="155">
        <f>+AC6*AC2</f>
        <v>2976</v>
      </c>
      <c r="AD9" s="181">
        <v>3038</v>
      </c>
      <c r="AE9" s="61">
        <f>+AE6*AE2</f>
        <v>20365</v>
      </c>
      <c r="AF9" s="39">
        <f>+AB9+AD9</f>
        <v>20798</v>
      </c>
      <c r="AG9" s="155">
        <f>+AG6*AG2</f>
        <v>2880</v>
      </c>
      <c r="AH9" s="181">
        <v>2829</v>
      </c>
      <c r="AI9" s="61">
        <f>+AI6*AI2</f>
        <v>23245</v>
      </c>
      <c r="AJ9" s="39">
        <f>+AF9+AH9</f>
        <v>23627</v>
      </c>
      <c r="AK9" s="155">
        <f>+AK6*AK2</f>
        <v>2976</v>
      </c>
      <c r="AL9" s="181">
        <v>3038</v>
      </c>
      <c r="AM9" s="781">
        <f>+AC9+AG9+AK9</f>
        <v>8832</v>
      </c>
      <c r="AN9" s="781">
        <f>+AD9+AH9+AL9</f>
        <v>8905</v>
      </c>
      <c r="AO9" s="61">
        <f>AI9+AK9</f>
        <v>26221</v>
      </c>
      <c r="AP9" s="61">
        <f>AJ9+AL9</f>
        <v>26665</v>
      </c>
      <c r="AQ9" s="155">
        <f>+AQ6*AQ2</f>
        <v>2976</v>
      </c>
      <c r="AR9" s="181">
        <v>3038</v>
      </c>
      <c r="AS9" s="61">
        <f>+AS6*AS2</f>
        <v>29197</v>
      </c>
      <c r="AT9" s="39">
        <f>+AP9+AR9</f>
        <v>29703</v>
      </c>
      <c r="AU9" s="155">
        <f>+AU6*AU2</f>
        <v>2688</v>
      </c>
      <c r="AV9" s="181">
        <v>2735</v>
      </c>
      <c r="AW9" s="61">
        <f>+AW6*AW2</f>
        <v>31884.999999999996</v>
      </c>
      <c r="AX9" s="39">
        <f>+AT9+AV9</f>
        <v>32438</v>
      </c>
      <c r="AY9" s="155">
        <f>+AY6*AY2</f>
        <v>2976</v>
      </c>
      <c r="AZ9" s="181">
        <v>3038</v>
      </c>
      <c r="BA9" s="781">
        <f>+AQ9+AU9+AY9</f>
        <v>8640</v>
      </c>
      <c r="BB9" s="781">
        <f>+AR9+AV9+AZ9</f>
        <v>8811</v>
      </c>
      <c r="BC9" s="465">
        <f>AM9+BA9</f>
        <v>17472</v>
      </c>
      <c r="BD9" s="465">
        <f t="shared" ref="BD9:BD10" si="19">AN9+BB9</f>
        <v>17716</v>
      </c>
      <c r="BE9" s="61">
        <f>AW9+AY9</f>
        <v>34861</v>
      </c>
      <c r="BF9" s="61">
        <f>AX9+AZ9</f>
        <v>35476</v>
      </c>
      <c r="BG9" s="1492">
        <v>35193.5</v>
      </c>
      <c r="BH9" s="1492">
        <v>35664</v>
      </c>
      <c r="BI9" s="1492">
        <v>36234</v>
      </c>
      <c r="BJ9" s="1492">
        <v>36225</v>
      </c>
      <c r="BK9" s="1492">
        <v>36056</v>
      </c>
      <c r="BL9" s="1775">
        <v>36135</v>
      </c>
      <c r="BM9" s="1492">
        <v>35706</v>
      </c>
      <c r="BN9" s="1775">
        <v>34875</v>
      </c>
      <c r="BO9" s="1492">
        <v>34800</v>
      </c>
      <c r="BP9" s="1775">
        <v>35502</v>
      </c>
      <c r="BQ9" s="2010">
        <v>35543</v>
      </c>
      <c r="BR9" s="2762"/>
      <c r="BS9" s="2762"/>
      <c r="BT9" s="1546"/>
      <c r="BU9" s="1546"/>
      <c r="BV9" s="1546"/>
      <c r="BW9" s="1546"/>
    </row>
    <row r="10" spans="1:75" ht="15" customHeight="1" x14ac:dyDescent="0.3">
      <c r="B10" s="1978" t="s">
        <v>350</v>
      </c>
      <c r="C10" s="1949" t="s">
        <v>680</v>
      </c>
      <c r="D10" s="1954">
        <f>+D7*D2</f>
        <v>35635</v>
      </c>
      <c r="E10" s="1336">
        <f>+E7*E2</f>
        <v>2940</v>
      </c>
      <c r="F10" s="181">
        <v>2913</v>
      </c>
      <c r="G10" s="1336">
        <f>+G7*G2</f>
        <v>3038</v>
      </c>
      <c r="H10" s="181">
        <v>3022</v>
      </c>
      <c r="I10" s="61">
        <f>+I7*I2</f>
        <v>5978</v>
      </c>
      <c r="J10" s="39">
        <f>+F10+H10</f>
        <v>5935</v>
      </c>
      <c r="K10" s="1336">
        <f>+K7*K2</f>
        <v>2940</v>
      </c>
      <c r="L10" s="181">
        <v>2954</v>
      </c>
      <c r="M10" s="72">
        <f>+E10+G10+K10</f>
        <v>8918</v>
      </c>
      <c r="N10" s="69">
        <f>+F10+H10+L10</f>
        <v>8889</v>
      </c>
      <c r="O10" s="1336">
        <f>+O7*O2</f>
        <v>3038</v>
      </c>
      <c r="P10" s="181">
        <v>3069</v>
      </c>
      <c r="Q10" s="61">
        <f>+M10+O10</f>
        <v>11956</v>
      </c>
      <c r="R10" s="39">
        <f>+N10+P10</f>
        <v>11958</v>
      </c>
      <c r="S10" s="1336">
        <f>+S7*S2</f>
        <v>3038</v>
      </c>
      <c r="T10" s="181">
        <v>3054</v>
      </c>
      <c r="U10" s="61">
        <f>+Q10+S10</f>
        <v>14994</v>
      </c>
      <c r="V10" s="39">
        <f>+R10+T10</f>
        <v>15012</v>
      </c>
      <c r="W10" s="1336">
        <f>+W7*W2</f>
        <v>2805</v>
      </c>
      <c r="X10" s="181">
        <v>2963</v>
      </c>
      <c r="Y10" s="781">
        <f>+O10+S10+W10</f>
        <v>8881</v>
      </c>
      <c r="Z10" s="781">
        <f>+P10+T10+X10</f>
        <v>9086</v>
      </c>
      <c r="AA10" s="465">
        <f>+M10+Y10</f>
        <v>17799</v>
      </c>
      <c r="AB10" s="465">
        <f>+N10+Z10</f>
        <v>17975</v>
      </c>
      <c r="AC10" s="155">
        <f>+AC7*AC2</f>
        <v>3069</v>
      </c>
      <c r="AD10" s="181">
        <v>3033</v>
      </c>
      <c r="AE10" s="61">
        <f>+AE7*AE2</f>
        <v>20868</v>
      </c>
      <c r="AF10" s="39">
        <f>+AB10+AD10</f>
        <v>21008</v>
      </c>
      <c r="AG10" s="155">
        <f>+AG7*AG2</f>
        <v>2970</v>
      </c>
      <c r="AH10" s="181">
        <v>2820</v>
      </c>
      <c r="AI10" s="61">
        <f>+AI7*AI2</f>
        <v>23838</v>
      </c>
      <c r="AJ10" s="39">
        <f>+AF10+AH10</f>
        <v>23828</v>
      </c>
      <c r="AK10" s="155">
        <f>+AK7*AK2</f>
        <v>3069</v>
      </c>
      <c r="AL10" s="181">
        <v>3053</v>
      </c>
      <c r="AM10" s="781">
        <f>+AC10+AG10+AK10</f>
        <v>9108</v>
      </c>
      <c r="AN10" s="781">
        <f>+AD10+AH10+AL10</f>
        <v>8906</v>
      </c>
      <c r="AO10" s="61">
        <f>AI10+AK10</f>
        <v>26907</v>
      </c>
      <c r="AP10" s="61">
        <f>AJ10+AL10</f>
        <v>26881</v>
      </c>
      <c r="AQ10" s="155">
        <f>+AQ7*AQ2</f>
        <v>3069</v>
      </c>
      <c r="AR10" s="181">
        <v>3053</v>
      </c>
      <c r="AS10" s="61">
        <f>+AS7*AS2</f>
        <v>29975.999999999996</v>
      </c>
      <c r="AT10" s="39">
        <f>+AP10+AR10</f>
        <v>29934</v>
      </c>
      <c r="AU10" s="155">
        <f>+AU7*AU2</f>
        <v>2772</v>
      </c>
      <c r="AV10" s="181">
        <v>2755</v>
      </c>
      <c r="AW10" s="61">
        <f>+AW7*AW2</f>
        <v>32747.999999999996</v>
      </c>
      <c r="AX10" s="39">
        <f>+AT10+AV10</f>
        <v>32689</v>
      </c>
      <c r="AY10" s="155">
        <f>+AY7*AY2</f>
        <v>3069</v>
      </c>
      <c r="AZ10" s="181">
        <v>3058</v>
      </c>
      <c r="BA10" s="781">
        <f>+AQ10+AU10+AY10</f>
        <v>8910</v>
      </c>
      <c r="BB10" s="781">
        <f>+AR10+AV10+AZ10</f>
        <v>8866</v>
      </c>
      <c r="BC10" s="465">
        <f>AM10+BA10</f>
        <v>18018</v>
      </c>
      <c r="BD10" s="465">
        <f t="shared" si="19"/>
        <v>17772</v>
      </c>
      <c r="BE10" s="61">
        <f>AW10+AY10</f>
        <v>35817</v>
      </c>
      <c r="BF10" s="61">
        <f>AX10+AZ10</f>
        <v>35747</v>
      </c>
      <c r="BG10" s="1492">
        <v>35831.199999999997</v>
      </c>
      <c r="BH10" s="1492">
        <v>35767</v>
      </c>
      <c r="BI10" s="1492">
        <v>35868.022471910102</v>
      </c>
      <c r="BJ10" s="1492">
        <v>35382</v>
      </c>
      <c r="BK10" s="1492">
        <v>33657</v>
      </c>
      <c r="BL10" s="1775">
        <v>36135</v>
      </c>
      <c r="BM10" s="1492">
        <v>35338</v>
      </c>
      <c r="BN10" s="1775">
        <v>34383</v>
      </c>
      <c r="BO10" s="1492">
        <v>33134</v>
      </c>
      <c r="BP10" s="1775">
        <v>35502</v>
      </c>
      <c r="BQ10" s="2010">
        <v>35030</v>
      </c>
      <c r="BR10" s="2762"/>
      <c r="BS10" s="2762"/>
      <c r="BT10" s="1546"/>
      <c r="BU10" s="1546"/>
      <c r="BV10" s="1546"/>
      <c r="BW10" s="1546"/>
    </row>
    <row r="11" spans="1:75" ht="15" customHeight="1" thickBot="1" x14ac:dyDescent="0.35">
      <c r="B11" s="1980" t="s">
        <v>681</v>
      </c>
      <c r="C11" s="1958" t="s">
        <v>680</v>
      </c>
      <c r="D11" s="2542">
        <f t="shared" ref="D11:L11" si="20">+D9+(D10*(31.55/17.2))</f>
        <v>99862.363372093037</v>
      </c>
      <c r="E11" s="2543">
        <f t="shared" si="20"/>
        <v>8332.8488372093016</v>
      </c>
      <c r="F11" s="2544">
        <f t="shared" si="20"/>
        <v>8259.3226744186049</v>
      </c>
      <c r="G11" s="2543">
        <f t="shared" ref="G11" si="21">+G9+(G10*(31.55/17.2))</f>
        <v>8610.6104651162786</v>
      </c>
      <c r="H11" s="2544">
        <f t="shared" ref="H11" si="22">+H9+(H10*(31.55/17.2))</f>
        <v>8569.2616279069771</v>
      </c>
      <c r="I11" s="2545">
        <f t="shared" si="20"/>
        <v>16943.45930232558</v>
      </c>
      <c r="J11" s="2546">
        <f t="shared" si="20"/>
        <v>16828.58430232558</v>
      </c>
      <c r="K11" s="2543">
        <f t="shared" si="20"/>
        <v>8212.8488372093016</v>
      </c>
      <c r="L11" s="2544">
        <f t="shared" si="20"/>
        <v>8300.5290697674427</v>
      </c>
      <c r="M11" s="2005">
        <f t="shared" ref="M11" si="23">+M9+(M10*(31.55/17.2))</f>
        <v>25156.308139534885</v>
      </c>
      <c r="N11" s="2006">
        <f t="shared" ref="N11:P11" si="24">+N9+(N10*(31.55/17.2))</f>
        <v>25129.113372093023</v>
      </c>
      <c r="O11" s="2543">
        <f t="shared" si="24"/>
        <v>8486.6104651162786</v>
      </c>
      <c r="P11" s="2544">
        <f t="shared" si="24"/>
        <v>8587.4738372093016</v>
      </c>
      <c r="Q11" s="1997">
        <f t="shared" ref="Q11" si="25">+Q9+(Q10*(31.55/17.2))</f>
        <v>33642.91860465116</v>
      </c>
      <c r="R11" s="1964">
        <f t="shared" ref="R11:U11" si="26">+R9+(R10*(31.55/17.2))</f>
        <v>33716.587209302328</v>
      </c>
      <c r="S11" s="2543">
        <f t="shared" si="26"/>
        <v>8486.6104651162786</v>
      </c>
      <c r="T11" s="2544">
        <f t="shared" si="26"/>
        <v>8639.959302325582</v>
      </c>
      <c r="U11" s="1997">
        <f t="shared" si="26"/>
        <v>42129.529069767443</v>
      </c>
      <c r="V11" s="1964">
        <f t="shared" ref="V11:X11" si="27">+V9+(V10*(31.55/17.2))</f>
        <v>42356.546511627908</v>
      </c>
      <c r="W11" s="2543">
        <f t="shared" si="27"/>
        <v>7908.2180232558139</v>
      </c>
      <c r="X11" s="2544">
        <f t="shared" si="27"/>
        <v>8375.0377906976755</v>
      </c>
      <c r="Y11" s="378">
        <f>Y9+(Y10*31.55/17.2)</f>
        <v>24881.438953488374</v>
      </c>
      <c r="Z11" s="378">
        <f>Z9+(Z10*31.55/17.2)</f>
        <v>25602.470930232557</v>
      </c>
      <c r="AA11" s="544">
        <f>AA9+(AA10*31.55/17.2)</f>
        <v>50037.747093023267</v>
      </c>
      <c r="AB11" s="544">
        <f>AB9+(AB10*31.55/17.2)</f>
        <v>50731.58430232558</v>
      </c>
      <c r="AC11" s="2543">
        <f t="shared" ref="AC11:AD11" si="28">+AC9+(AC10*(31.55/17.2))</f>
        <v>8605.4738372093016</v>
      </c>
      <c r="AD11" s="2544">
        <f t="shared" si="28"/>
        <v>8601.4389534883721</v>
      </c>
      <c r="AE11" s="2545">
        <f t="shared" ref="AE11:AH11" si="29">+AE9+(AE10*(31.55/17.2))</f>
        <v>58643.220930232565</v>
      </c>
      <c r="AF11" s="2546">
        <f t="shared" si="29"/>
        <v>59333.023255813954</v>
      </c>
      <c r="AG11" s="2543">
        <f t="shared" si="29"/>
        <v>8327.8779069767443</v>
      </c>
      <c r="AH11" s="2544">
        <f t="shared" si="29"/>
        <v>8001.7325581395353</v>
      </c>
      <c r="AI11" s="2545">
        <f t="shared" ref="AI11:AL11" si="30">+AI9+(AI10*(31.55/17.2))</f>
        <v>66971.098837209312</v>
      </c>
      <c r="AJ11" s="2546">
        <f t="shared" si="30"/>
        <v>67334.755813953496</v>
      </c>
      <c r="AK11" s="2543">
        <f t="shared" si="30"/>
        <v>8605.4738372093016</v>
      </c>
      <c r="AL11" s="2544">
        <f t="shared" si="30"/>
        <v>8638.125</v>
      </c>
      <c r="AM11" s="378">
        <f>AM9+(AM10*31.55/17.2)</f>
        <v>25538.825581395351</v>
      </c>
      <c r="AN11" s="378">
        <f>AN9+(AN10*31.55/17.2)</f>
        <v>25241.296511627908</v>
      </c>
      <c r="AO11" s="2545">
        <f t="shared" ref="AO11:AT11" si="31">+AO9+(AO10*(31.55/17.2))</f>
        <v>75576.57267441861</v>
      </c>
      <c r="AP11" s="2546">
        <f t="shared" si="31"/>
        <v>75972.880813953496</v>
      </c>
      <c r="AQ11" s="2543">
        <f t="shared" si="31"/>
        <v>8605.4738372093016</v>
      </c>
      <c r="AR11" s="2544">
        <f t="shared" si="31"/>
        <v>8638.125</v>
      </c>
      <c r="AS11" s="2545">
        <f t="shared" si="31"/>
        <v>84182.046511627908</v>
      </c>
      <c r="AT11" s="2546">
        <f t="shared" si="31"/>
        <v>84611.005813953496</v>
      </c>
      <c r="AU11" s="2543">
        <f t="shared" ref="AU11:AV11" si="32">+AU9+(AU10*(31.55/17.2))</f>
        <v>7772.6860465116288</v>
      </c>
      <c r="AV11" s="2544">
        <f t="shared" si="32"/>
        <v>7788.5029069767443</v>
      </c>
      <c r="AW11" s="2545">
        <f t="shared" ref="AW11:AZ11" si="33">+AW9+(AW10*(31.55/17.2))</f>
        <v>91954.732558139527</v>
      </c>
      <c r="AX11" s="2546">
        <f t="shared" si="33"/>
        <v>92399.508720930229</v>
      </c>
      <c r="AY11" s="2543">
        <f t="shared" si="33"/>
        <v>8605.4738372093016</v>
      </c>
      <c r="AZ11" s="2544">
        <f t="shared" si="33"/>
        <v>8647.2965116279083</v>
      </c>
      <c r="BA11" s="378">
        <f>BA9+(BA10*31.55/17.2)</f>
        <v>24983.633720930233</v>
      </c>
      <c r="BB11" s="378">
        <f>BB9+(BB10*31.55/17.2)</f>
        <v>25073.924418604649</v>
      </c>
      <c r="BC11" s="544">
        <f>BC9+(BC10*31.55/17.2)</f>
        <v>50522.459302325587</v>
      </c>
      <c r="BD11" s="544">
        <f>BD9+(BD10*31.55/17.2)</f>
        <v>50315.220930232557</v>
      </c>
      <c r="BE11" s="2545">
        <f t="shared" ref="BE11:BF11" si="34">+BE9+(BE10*(31.55/17.2))</f>
        <v>100560.20639534884</v>
      </c>
      <c r="BF11" s="2546">
        <f t="shared" si="34"/>
        <v>101046.80523255815</v>
      </c>
      <c r="BG11" s="1139">
        <v>100918.75348837209</v>
      </c>
      <c r="BH11" s="1139">
        <v>101271.49127906977</v>
      </c>
      <c r="BI11" s="1139">
        <v>102026.79703423046</v>
      </c>
      <c r="BJ11" s="1139">
        <v>101126.28488372095</v>
      </c>
      <c r="BK11" s="1139">
        <v>97793.113372093183</v>
      </c>
      <c r="BL11" s="1139">
        <v>102417.51453488389</v>
      </c>
      <c r="BM11" s="1139">
        <v>100526.5755813955</v>
      </c>
      <c r="BN11" s="1139">
        <v>97943.816860465275</v>
      </c>
      <c r="BO11" s="1139">
        <v>95577.7732558141</v>
      </c>
      <c r="BP11" s="1139">
        <v>100623.40116279086</v>
      </c>
      <c r="BQ11" s="2011">
        <v>99798.61046511645</v>
      </c>
      <c r="BR11" s="2762"/>
      <c r="BS11" s="2762"/>
      <c r="BT11" s="1546"/>
      <c r="BU11" s="1546"/>
      <c r="BV11" s="1546"/>
      <c r="BW11" s="1546"/>
    </row>
    <row r="12" spans="1:75" ht="15" hidden="1" customHeight="1" x14ac:dyDescent="0.3">
      <c r="A12" s="149"/>
      <c r="B12" s="1981" t="s">
        <v>342</v>
      </c>
      <c r="C12" s="26"/>
      <c r="D12" s="2534"/>
      <c r="E12" s="2534"/>
      <c r="F12" s="2534"/>
      <c r="G12" s="2534"/>
      <c r="H12" s="2534"/>
      <c r="I12" s="2534"/>
      <c r="J12" s="2534"/>
      <c r="K12" s="2534"/>
      <c r="L12" s="2534"/>
      <c r="M12" s="2534"/>
      <c r="N12" s="2534"/>
      <c r="O12" s="2534"/>
      <c r="P12" s="2534"/>
      <c r="Q12" s="2534"/>
      <c r="R12" s="2534"/>
      <c r="S12" s="2534"/>
      <c r="T12" s="2534"/>
      <c r="U12" s="2534"/>
      <c r="V12" s="2534"/>
      <c r="W12" s="2534"/>
      <c r="X12" s="2534"/>
      <c r="Y12" s="2534"/>
      <c r="Z12" s="2534"/>
      <c r="AA12" s="2534"/>
      <c r="AB12" s="2534"/>
      <c r="AC12" s="2534"/>
      <c r="AD12" s="2534"/>
      <c r="AE12" s="2534"/>
      <c r="AF12" s="2534"/>
      <c r="AG12" s="2534"/>
      <c r="AH12" s="2534"/>
      <c r="AI12" s="2534"/>
      <c r="AJ12" s="2534"/>
      <c r="AK12" s="2534"/>
      <c r="AL12" s="2534"/>
      <c r="AM12" s="2534"/>
      <c r="AN12" s="2534"/>
      <c r="AO12" s="2534"/>
      <c r="AP12" s="2534"/>
      <c r="AQ12" s="2534"/>
      <c r="AR12" s="2534"/>
      <c r="AS12" s="2534"/>
      <c r="AT12" s="2534"/>
      <c r="AU12" s="2534"/>
      <c r="AV12" s="2534"/>
      <c r="AW12" s="2534"/>
      <c r="AX12" s="2534"/>
      <c r="AY12" s="2534"/>
      <c r="AZ12" s="2534"/>
      <c r="BA12" s="2534"/>
      <c r="BB12" s="2534"/>
      <c r="BC12" s="2534"/>
      <c r="BD12" s="2534"/>
      <c r="BE12" s="2534"/>
      <c r="BF12" s="2534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012"/>
      <c r="BR12" s="2762"/>
      <c r="BS12" s="2762"/>
      <c r="BT12" s="1546"/>
      <c r="BU12" s="1546"/>
      <c r="BV12" s="1546"/>
      <c r="BW12" s="1546"/>
    </row>
    <row r="13" spans="1:75" ht="15" hidden="1" customHeight="1" x14ac:dyDescent="0.3">
      <c r="B13" s="1982" t="s">
        <v>146</v>
      </c>
      <c r="C13" s="1949" t="s">
        <v>50</v>
      </c>
      <c r="D13" s="1954">
        <f>+D9*0.7*17.2</f>
        <v>415343.87999999995</v>
      </c>
      <c r="E13" s="155">
        <f>+E9*0.7*17.2</f>
        <v>35397.599999999999</v>
      </c>
      <c r="F13" s="18">
        <f>'COKE OVENS'!F21</f>
        <v>35108.639999999992</v>
      </c>
      <c r="G13" s="155">
        <f>+G9*0.7*17.2</f>
        <v>36577.519999999997</v>
      </c>
      <c r="H13" s="18">
        <f>'COKE OVENS'!H21</f>
        <v>36433.039999999994</v>
      </c>
      <c r="I13" s="61">
        <f>+E13+G13</f>
        <v>71975.12</v>
      </c>
      <c r="J13" s="39">
        <f>+F13+H13</f>
        <v>71541.679999999993</v>
      </c>
      <c r="K13" s="155">
        <f>+K9*0.7*17.2</f>
        <v>33952.799999999996</v>
      </c>
      <c r="L13" s="18">
        <f>'COKE OVENS'!L21</f>
        <v>34699.279999999999</v>
      </c>
      <c r="M13" s="72">
        <f>+E13+G13+K13</f>
        <v>105927.91999999998</v>
      </c>
      <c r="N13" s="69">
        <f>+F13+H13+L13</f>
        <v>106240.95999999999</v>
      </c>
      <c r="O13" s="155">
        <f>+O9*0.7*17.2</f>
        <v>35084.559999999998</v>
      </c>
      <c r="P13" s="18">
        <f>'COKE OVENS'!P21</f>
        <v>35614.32</v>
      </c>
      <c r="Q13" s="61">
        <f>+M13+O13</f>
        <v>141012.47999999998</v>
      </c>
      <c r="R13" s="39">
        <f>+N13+P13</f>
        <v>141855.28</v>
      </c>
      <c r="S13" s="155">
        <f>+S9*0.7*17.2</f>
        <v>35084.559999999998</v>
      </c>
      <c r="T13" s="18">
        <f>'COKE OVENS'!T21</f>
        <v>36577.519999999997</v>
      </c>
      <c r="U13" s="61">
        <f>+Q13+S13</f>
        <v>176097.03999999998</v>
      </c>
      <c r="V13" s="39">
        <f>+R13+T13</f>
        <v>178432.8</v>
      </c>
      <c r="W13" s="155">
        <f>+W9*0.7*17.2</f>
        <v>33266.519999999997</v>
      </c>
      <c r="X13" s="18">
        <f>'COKE OVENS'!X21</f>
        <v>35397.599999999999</v>
      </c>
      <c r="Y13" s="781">
        <f>+O13+S13+W13</f>
        <v>103435.63999999998</v>
      </c>
      <c r="Z13" s="781">
        <f>+P13+T13+X13</f>
        <v>107589.44</v>
      </c>
      <c r="AA13" s="465">
        <f>+M13+Y13</f>
        <v>209363.55999999997</v>
      </c>
      <c r="AB13" s="465">
        <f>+N13+Z13</f>
        <v>213830.39999999999</v>
      </c>
      <c r="AC13" s="155">
        <f>+AC9*0.7*17.2</f>
        <v>35831.039999999994</v>
      </c>
      <c r="AD13" s="18">
        <f>'COKE OVENS'!AD21</f>
        <v>36839</v>
      </c>
      <c r="AE13" s="61">
        <f>+AA13+AC13</f>
        <v>245194.59999999998</v>
      </c>
      <c r="AF13" s="39">
        <f>+AB13+AD13</f>
        <v>250669.4</v>
      </c>
      <c r="AG13" s="155">
        <f>+AG9*0.7*17.2</f>
        <v>34675.199999999997</v>
      </c>
      <c r="AH13" s="18">
        <f>'COKE OVENS'!AH21</f>
        <v>34299.58812</v>
      </c>
      <c r="AI13" s="61">
        <f>+AE13+AG13</f>
        <v>279869.8</v>
      </c>
      <c r="AJ13" s="39">
        <f>+AF13+AH13</f>
        <v>284968.98811999999</v>
      </c>
      <c r="AK13" s="155">
        <f>+AK9*0.7*17.2</f>
        <v>35831.039999999994</v>
      </c>
      <c r="AL13" s="18">
        <f>'COKE OVENS'!AL21</f>
        <v>36582.745360000001</v>
      </c>
      <c r="AM13" s="781">
        <f>+AC13+AG13+AK13</f>
        <v>106337.27999999998</v>
      </c>
      <c r="AN13" s="781">
        <f>+AD13+AH13+AL13</f>
        <v>107721.33348</v>
      </c>
      <c r="AO13" s="61">
        <f>AI13+AK13</f>
        <v>315700.83999999997</v>
      </c>
      <c r="AP13" s="61">
        <f>AJ13+AL13</f>
        <v>321551.73348</v>
      </c>
      <c r="AQ13" s="155">
        <f>+AQ9*0.7*17.2</f>
        <v>35831.039999999994</v>
      </c>
      <c r="AR13" s="18">
        <f>'COKE OVENS'!AR21</f>
        <v>36888.428919999984</v>
      </c>
      <c r="AS13" s="61">
        <f>+AO13+AQ13</f>
        <v>351531.87999999995</v>
      </c>
      <c r="AT13" s="39">
        <f>+AP13+AR13</f>
        <v>358440.16239999997</v>
      </c>
      <c r="AU13" s="155">
        <f>+AU9*0.7*17.2</f>
        <v>32363.519999999997</v>
      </c>
      <c r="AV13" s="18">
        <f>'COKE OVENS'!AV21</f>
        <v>33164.609999999986</v>
      </c>
      <c r="AW13" s="61">
        <f>+AS13+AU13</f>
        <v>383895.39999999997</v>
      </c>
      <c r="AX13" s="39">
        <f>+AT13+AV13</f>
        <v>391604.77239999996</v>
      </c>
      <c r="AY13" s="155">
        <f>+AY9*0.7*17.2</f>
        <v>35831.039999999994</v>
      </c>
      <c r="AZ13" s="18">
        <f>'COKE OVENS'!AZ21</f>
        <v>36838.788</v>
      </c>
      <c r="BA13" s="781">
        <f>+AQ13+AU13+AY13</f>
        <v>104025.59999999999</v>
      </c>
      <c r="BB13" s="781">
        <f>+AR13+AV13+AZ13</f>
        <v>106891.82691999996</v>
      </c>
      <c r="BC13" s="465">
        <f>AM13+BA13</f>
        <v>210362.87999999998</v>
      </c>
      <c r="BD13" s="465">
        <f t="shared" ref="BD13:BD14" si="35">AN13+BB13</f>
        <v>214613.16039999996</v>
      </c>
      <c r="BE13" s="61">
        <f>AW13+AY13</f>
        <v>419726.43999999994</v>
      </c>
      <c r="BF13" s="61">
        <f>AX13+AZ13</f>
        <v>428443.56039999996</v>
      </c>
      <c r="BG13" s="1775">
        <v>423729.73999999993</v>
      </c>
      <c r="BH13" s="1775">
        <v>431508.83856714121</v>
      </c>
      <c r="BI13" s="1775">
        <v>433141.23599999998</v>
      </c>
      <c r="BJ13" s="1775">
        <v>432382.84677469998</v>
      </c>
      <c r="BK13" s="1775">
        <v>430769.03254755842</v>
      </c>
      <c r="BL13" s="1775">
        <v>438172.79000000004</v>
      </c>
      <c r="BM13" s="1775">
        <v>428806</v>
      </c>
      <c r="BN13" s="1775">
        <v>425506</v>
      </c>
      <c r="BO13" s="1775">
        <v>430922.2</v>
      </c>
      <c r="BP13" s="1775">
        <v>406071.87599999999</v>
      </c>
      <c r="BQ13" s="1099">
        <v>412610.14</v>
      </c>
      <c r="BR13" s="2762"/>
      <c r="BS13" s="2762"/>
      <c r="BT13" s="1546"/>
      <c r="BU13" s="1546"/>
      <c r="BV13" s="1546"/>
      <c r="BW13" s="1546"/>
    </row>
    <row r="14" spans="1:75" ht="15" hidden="1" customHeight="1" x14ac:dyDescent="0.3">
      <c r="B14" s="1982" t="s">
        <v>147</v>
      </c>
      <c r="C14" s="1949" t="s">
        <v>50</v>
      </c>
      <c r="D14" s="1954">
        <f>+D10*0.7*31.55</f>
        <v>786998.97499999998</v>
      </c>
      <c r="E14" s="155">
        <f>+E10*31.55*0.7</f>
        <v>64929.899999999994</v>
      </c>
      <c r="F14" s="18">
        <f>'COKE OVENS'!F22</f>
        <v>64333.605000000003</v>
      </c>
      <c r="G14" s="155">
        <f>+G10*31.55*0.7</f>
        <v>67094.23</v>
      </c>
      <c r="H14" s="18">
        <f>'COKE OVENS'!H22</f>
        <v>66740.87</v>
      </c>
      <c r="I14" s="61">
        <f>+E14+G14</f>
        <v>132024.13</v>
      </c>
      <c r="J14" s="39">
        <f>+F14+H14</f>
        <v>131074.47500000001</v>
      </c>
      <c r="K14" s="155">
        <f>+K10*31.55*0.7</f>
        <v>64929.899999999994</v>
      </c>
      <c r="L14" s="18">
        <f>'COKE OVENS'!L22</f>
        <v>65239.09</v>
      </c>
      <c r="M14" s="72">
        <f>+E14+G14+K14</f>
        <v>196954.03</v>
      </c>
      <c r="N14" s="69">
        <f>+F14+H14+L14</f>
        <v>196313.565</v>
      </c>
      <c r="O14" s="155">
        <f>+O10*31.55*0.7</f>
        <v>67094.23</v>
      </c>
      <c r="P14" s="18">
        <f>'COKE OVENS'!P22</f>
        <v>67778.864999999991</v>
      </c>
      <c r="Q14" s="61">
        <f>+M14+O14</f>
        <v>264048.26</v>
      </c>
      <c r="R14" s="39">
        <f>+N14+P14</f>
        <v>264092.43</v>
      </c>
      <c r="S14" s="155">
        <f>+S10*31.55*0.7</f>
        <v>67094.23</v>
      </c>
      <c r="T14" s="18">
        <f>'COKE OVENS'!T22</f>
        <v>67447.59</v>
      </c>
      <c r="U14" s="61">
        <f>+Q14+S14</f>
        <v>331142.49</v>
      </c>
      <c r="V14" s="39">
        <f>+R14+T14</f>
        <v>331540.02</v>
      </c>
      <c r="W14" s="155">
        <f>+W10*31.55*0.7</f>
        <v>61948.424999999996</v>
      </c>
      <c r="X14" s="18">
        <f>'COKE OVENS'!X22</f>
        <v>64963.855000000003</v>
      </c>
      <c r="Y14" s="781">
        <f>+O14+S14+W14</f>
        <v>196136.88499999998</v>
      </c>
      <c r="Z14" s="781">
        <f>+P14+T14+X14</f>
        <v>200190.31</v>
      </c>
      <c r="AA14" s="465">
        <f>+M14+Y14</f>
        <v>393090.91499999998</v>
      </c>
      <c r="AB14" s="465">
        <f>+N14+Z14</f>
        <v>396503.875</v>
      </c>
      <c r="AC14" s="155">
        <f>+AC10*31.55*0.7</f>
        <v>67778.864999999991</v>
      </c>
      <c r="AD14" s="18">
        <f>'COKE OVENS'!AD22</f>
        <v>67418</v>
      </c>
      <c r="AE14" s="61">
        <f>+AA14+AC14</f>
        <v>460869.77999999997</v>
      </c>
      <c r="AF14" s="39">
        <f>+AB14+AD14</f>
        <v>463921.875</v>
      </c>
      <c r="AG14" s="155">
        <f>+AG10*31.55*0.7</f>
        <v>65592.45</v>
      </c>
      <c r="AH14" s="18">
        <f>'COKE OVENS'!AH22</f>
        <v>62715.657900000006</v>
      </c>
      <c r="AI14" s="61">
        <f>+AE14+AG14</f>
        <v>526462.23</v>
      </c>
      <c r="AJ14" s="39">
        <f>+AF14+AH14</f>
        <v>526637.53289999999</v>
      </c>
      <c r="AK14" s="155">
        <f>+AK10*31.55*0.7</f>
        <v>67778.864999999991</v>
      </c>
      <c r="AL14" s="18">
        <f>'COKE OVENS'!AL22</f>
        <v>67435.13721500001</v>
      </c>
      <c r="AM14" s="781">
        <f>+AC14+AG14+AK14</f>
        <v>201150.18</v>
      </c>
      <c r="AN14" s="781">
        <f>+AD14+AH14+AL14</f>
        <v>197568.79511500002</v>
      </c>
      <c r="AO14" s="61">
        <f>AI14+AK14</f>
        <v>594241.09499999997</v>
      </c>
      <c r="AP14" s="61">
        <f>AJ14+AL14</f>
        <v>594072.67011499999</v>
      </c>
      <c r="AQ14" s="155">
        <f>+AQ10*31.55*0.7</f>
        <v>67778.864999999991</v>
      </c>
      <c r="AR14" s="18">
        <f>'COKE OVENS'!AR22</f>
        <v>67998.62179249998</v>
      </c>
      <c r="AS14" s="61">
        <f>+AO14+AQ14</f>
        <v>662019.96</v>
      </c>
      <c r="AT14" s="39">
        <f>+AP14+AR14</f>
        <v>662071.29190750001</v>
      </c>
      <c r="AU14" s="155">
        <f>+AU10*31.55*0.7</f>
        <v>61219.62</v>
      </c>
      <c r="AV14" s="18">
        <f>'COKE OVENS'!AV22</f>
        <v>61278.776249999981</v>
      </c>
      <c r="AW14" s="61">
        <f>+AS14+AU14</f>
        <v>723239.58</v>
      </c>
      <c r="AX14" s="39">
        <f>+AT14+AV14</f>
        <v>723350.06815750001</v>
      </c>
      <c r="AY14" s="155">
        <f>+AY10*31.55*0.7</f>
        <v>67778.864999999991</v>
      </c>
      <c r="AZ14" s="18">
        <f>'COKE OVENS'!AZ22</f>
        <v>68018.329500000007</v>
      </c>
      <c r="BA14" s="781">
        <f>+AQ14+AU14+AY14</f>
        <v>196777.34999999998</v>
      </c>
      <c r="BB14" s="781">
        <f>+AR14+AV14+AZ14</f>
        <v>197295.72754249995</v>
      </c>
      <c r="BC14" s="465">
        <f>AM14+BA14</f>
        <v>397927.52999999997</v>
      </c>
      <c r="BD14" s="465">
        <f t="shared" si="35"/>
        <v>394864.5226575</v>
      </c>
      <c r="BE14" s="61">
        <f>AW14+AY14</f>
        <v>791018.44499999995</v>
      </c>
      <c r="BF14" s="61">
        <f>AX14+AZ14</f>
        <v>791368.3976575</v>
      </c>
      <c r="BG14" s="1775">
        <v>791332.05199999991</v>
      </c>
      <c r="BH14" s="1775">
        <v>793765.3142773587</v>
      </c>
      <c r="BI14" s="1775">
        <v>786486.60299999989</v>
      </c>
      <c r="BJ14" s="1775">
        <v>774691.64970837045</v>
      </c>
      <c r="BK14" s="1775">
        <v>737579.37599844171</v>
      </c>
      <c r="BL14" s="1775">
        <v>803741.80374999996</v>
      </c>
      <c r="BM14" s="1775">
        <v>778192</v>
      </c>
      <c r="BN14" s="1775">
        <v>770203</v>
      </c>
      <c r="BO14" s="1775">
        <v>752591.4</v>
      </c>
      <c r="BP14" s="1775">
        <v>744858.58650000009</v>
      </c>
      <c r="BQ14" s="1099">
        <v>745859.84</v>
      </c>
      <c r="BR14" s="2762"/>
      <c r="BS14" s="2762"/>
      <c r="BT14" s="1546"/>
      <c r="BU14" s="1546"/>
      <c r="BV14" s="1546"/>
      <c r="BW14" s="1546"/>
    </row>
    <row r="15" spans="1:75" ht="15" hidden="1" customHeight="1" thickBot="1" x14ac:dyDescent="0.35">
      <c r="B15" s="1980" t="s">
        <v>1579</v>
      </c>
      <c r="C15" s="1958" t="s">
        <v>50</v>
      </c>
      <c r="D15" s="1955">
        <f t="shared" ref="D15:N15" si="36">SUM(D13:D14)</f>
        <v>1202342.855</v>
      </c>
      <c r="E15" s="1748">
        <f t="shared" si="36"/>
        <v>100327.5</v>
      </c>
      <c r="F15" s="1995">
        <f t="shared" si="36"/>
        <v>99442.244999999995</v>
      </c>
      <c r="G15" s="1748">
        <f t="shared" ref="G15" si="37">SUM(G13:G14)</f>
        <v>103671.75</v>
      </c>
      <c r="H15" s="1995">
        <f t="shared" ref="H15" si="38">SUM(H13:H14)</f>
        <v>103173.90999999999</v>
      </c>
      <c r="I15" s="2547">
        <f t="shared" si="36"/>
        <v>203999.25</v>
      </c>
      <c r="J15" s="2548">
        <f t="shared" si="36"/>
        <v>202616.155</v>
      </c>
      <c r="K15" s="1748">
        <f t="shared" ref="K15:L15" si="39">SUM(K13:K14)</f>
        <v>98882.699999999983</v>
      </c>
      <c r="L15" s="1995">
        <f t="shared" si="39"/>
        <v>99938.37</v>
      </c>
      <c r="M15" s="2005">
        <f t="shared" si="36"/>
        <v>302881.94999999995</v>
      </c>
      <c r="N15" s="2006">
        <f t="shared" si="36"/>
        <v>302554.52500000002</v>
      </c>
      <c r="O15" s="1748">
        <f t="shared" ref="O15:P15" si="40">SUM(O13:O14)</f>
        <v>102178.79</v>
      </c>
      <c r="P15" s="1995">
        <f t="shared" si="40"/>
        <v>103393.185</v>
      </c>
      <c r="Q15" s="1997">
        <f>SUM(Q13:Q14)</f>
        <v>405060.74</v>
      </c>
      <c r="R15" s="1964">
        <f>SUM(R13:R14)</f>
        <v>405947.70999999996</v>
      </c>
      <c r="S15" s="1748">
        <f t="shared" ref="S15:T15" si="41">SUM(S13:S14)</f>
        <v>102178.79</v>
      </c>
      <c r="T15" s="1995">
        <f t="shared" si="41"/>
        <v>104025.10999999999</v>
      </c>
      <c r="U15" s="1997">
        <f t="shared" ref="U15:X15" si="42">SUM(U13:U14)</f>
        <v>507239.52999999997</v>
      </c>
      <c r="V15" s="1964">
        <f t="shared" si="42"/>
        <v>509972.82</v>
      </c>
      <c r="W15" s="1748">
        <f t="shared" si="42"/>
        <v>95214.944999999992</v>
      </c>
      <c r="X15" s="1995">
        <f t="shared" si="42"/>
        <v>100361.455</v>
      </c>
      <c r="Y15" s="378">
        <f t="shared" ref="Y15:AD15" si="43">SUM(Y13:Y14)</f>
        <v>299572.52499999997</v>
      </c>
      <c r="Z15" s="378">
        <f t="shared" si="43"/>
        <v>307779.75</v>
      </c>
      <c r="AA15" s="544">
        <f t="shared" si="43"/>
        <v>602454.47499999998</v>
      </c>
      <c r="AB15" s="544">
        <f t="shared" si="43"/>
        <v>610334.27500000002</v>
      </c>
      <c r="AC15" s="1748">
        <f t="shared" si="43"/>
        <v>103609.90499999998</v>
      </c>
      <c r="AD15" s="1995">
        <f t="shared" si="43"/>
        <v>104257</v>
      </c>
      <c r="AE15" s="2547">
        <f t="shared" ref="AE15:AH15" si="44">SUM(AE13:AE14)</f>
        <v>706064.37999999989</v>
      </c>
      <c r="AF15" s="2548">
        <f t="shared" si="44"/>
        <v>714591.27500000002</v>
      </c>
      <c r="AG15" s="1748">
        <f t="shared" si="44"/>
        <v>100267.65</v>
      </c>
      <c r="AH15" s="1995">
        <f t="shared" si="44"/>
        <v>97015.246020000006</v>
      </c>
      <c r="AI15" s="2547">
        <f t="shared" ref="AI15:AN15" si="45">SUM(AI13:AI14)</f>
        <v>806332.03</v>
      </c>
      <c r="AJ15" s="2548">
        <f t="shared" si="45"/>
        <v>811606.52101999999</v>
      </c>
      <c r="AK15" s="1748">
        <f t="shared" si="45"/>
        <v>103609.90499999998</v>
      </c>
      <c r="AL15" s="1995">
        <f t="shared" si="45"/>
        <v>104017.88257500001</v>
      </c>
      <c r="AM15" s="378">
        <f t="shared" si="45"/>
        <v>307487.45999999996</v>
      </c>
      <c r="AN15" s="378">
        <f t="shared" si="45"/>
        <v>305290.12859500002</v>
      </c>
      <c r="AO15" s="2547">
        <f t="shared" ref="AO15:AT15" si="46">SUM(AO13:AO14)</f>
        <v>909941.93499999994</v>
      </c>
      <c r="AP15" s="2548">
        <f t="shared" si="46"/>
        <v>915624.40359500004</v>
      </c>
      <c r="AQ15" s="1748">
        <f t="shared" si="46"/>
        <v>103609.90499999998</v>
      </c>
      <c r="AR15" s="1995">
        <f t="shared" si="46"/>
        <v>104887.05071249997</v>
      </c>
      <c r="AS15" s="2547">
        <f t="shared" si="46"/>
        <v>1013551.8399999999</v>
      </c>
      <c r="AT15" s="2548">
        <f t="shared" si="46"/>
        <v>1020511.4543075</v>
      </c>
      <c r="AU15" s="1748">
        <f t="shared" ref="AU15:AV15" si="47">SUM(AU13:AU14)</f>
        <v>93583.14</v>
      </c>
      <c r="AV15" s="1995">
        <f t="shared" si="47"/>
        <v>94443.386249999967</v>
      </c>
      <c r="AW15" s="2547">
        <f t="shared" ref="AW15:BF15" si="48">SUM(AW13:AW14)</f>
        <v>1107134.98</v>
      </c>
      <c r="AX15" s="2548">
        <f t="shared" si="48"/>
        <v>1114954.8405575</v>
      </c>
      <c r="AY15" s="1748">
        <f t="shared" si="48"/>
        <v>103609.90499999998</v>
      </c>
      <c r="AZ15" s="1995">
        <f t="shared" si="48"/>
        <v>104857.11750000001</v>
      </c>
      <c r="BA15" s="378">
        <f t="shared" si="48"/>
        <v>300802.94999999995</v>
      </c>
      <c r="BB15" s="378">
        <f t="shared" si="48"/>
        <v>304187.55446249992</v>
      </c>
      <c r="BC15" s="544">
        <f t="shared" si="48"/>
        <v>608290.40999999992</v>
      </c>
      <c r="BD15" s="544">
        <f t="shared" si="48"/>
        <v>609477.68305749993</v>
      </c>
      <c r="BE15" s="2547">
        <f t="shared" si="48"/>
        <v>1210744.8849999998</v>
      </c>
      <c r="BF15" s="2548">
        <f t="shared" si="48"/>
        <v>1219811.9580575</v>
      </c>
      <c r="BG15" s="1139">
        <v>1215061.7919999999</v>
      </c>
      <c r="BH15" s="1139">
        <v>1225274.1528444998</v>
      </c>
      <c r="BI15" s="1139">
        <v>1219627.8389999999</v>
      </c>
      <c r="BJ15" s="1139">
        <v>1207074.4964830703</v>
      </c>
      <c r="BK15" s="1139">
        <v>1168348.4085460003</v>
      </c>
      <c r="BL15" s="1139">
        <v>1241914.59375</v>
      </c>
      <c r="BM15" s="1139">
        <v>1206998</v>
      </c>
      <c r="BN15" s="1139">
        <v>1195709</v>
      </c>
      <c r="BO15" s="1139">
        <v>1183513.6000000001</v>
      </c>
      <c r="BP15" s="1139">
        <v>1150930.4625000001</v>
      </c>
      <c r="BQ15" s="2011">
        <v>1158469.98</v>
      </c>
      <c r="BR15" s="2762"/>
      <c r="BS15" s="2762"/>
      <c r="BT15" s="1546"/>
      <c r="BU15" s="1546"/>
      <c r="BV15" s="1546"/>
      <c r="BW15" s="1546"/>
    </row>
    <row r="16" spans="1:75" ht="15" customHeight="1" thickBot="1" x14ac:dyDescent="0.35">
      <c r="B16" s="1983" t="s">
        <v>347</v>
      </c>
      <c r="C16" s="1959" t="s">
        <v>50</v>
      </c>
      <c r="D16" s="1960">
        <f>4362.87596292192*1000+124</f>
        <v>4362999.9629219202</v>
      </c>
      <c r="E16" s="1813">
        <f>372.191438188584*1000</f>
        <v>372191.438188584</v>
      </c>
      <c r="F16" s="1992">
        <v>321830</v>
      </c>
      <c r="G16" s="1813">
        <f>383.372118766*1000</f>
        <v>383372.11876600003</v>
      </c>
      <c r="H16" s="1992">
        <v>355306</v>
      </c>
      <c r="I16" s="1815">
        <f t="shared" ref="I16:J18" si="49">+E16+G16</f>
        <v>755563.55695458408</v>
      </c>
      <c r="J16" s="1816">
        <f t="shared" si="49"/>
        <v>677136</v>
      </c>
      <c r="K16" s="1813">
        <f>372.191438188584*1000</f>
        <v>372191.438188584</v>
      </c>
      <c r="L16" s="1992">
        <v>376274</v>
      </c>
      <c r="M16" s="1817">
        <f t="shared" ref="M16:N20" si="50">+E16+G16+K16</f>
        <v>1127754.9951431681</v>
      </c>
      <c r="N16" s="2004">
        <f t="shared" si="50"/>
        <v>1053410</v>
      </c>
      <c r="O16" s="1813">
        <f>376.384193405115*1000</f>
        <v>376384.19340511499</v>
      </c>
      <c r="P16" s="1992">
        <v>397960</v>
      </c>
      <c r="Q16" s="1815">
        <f t="shared" ref="Q16:R18" si="51">+M16+O16</f>
        <v>1504139.1885482832</v>
      </c>
      <c r="R16" s="1816">
        <f t="shared" si="51"/>
        <v>1451370</v>
      </c>
      <c r="S16" s="1813">
        <f>376.384193405115*1000</f>
        <v>376384.19340511499</v>
      </c>
      <c r="T16" s="1992">
        <v>383179</v>
      </c>
      <c r="U16" s="1815">
        <f t="shared" ref="U16:U17" si="52">+Q16+S16</f>
        <v>1880523.3819533982</v>
      </c>
      <c r="V16" s="1816">
        <f t="shared" ref="V16" si="53">+R16+T16</f>
        <v>1834549</v>
      </c>
      <c r="W16" s="1813">
        <f>207.661910104769*1000</f>
        <v>207661.91010476899</v>
      </c>
      <c r="X16" s="1992">
        <v>374784</v>
      </c>
      <c r="Y16" s="781">
        <f t="shared" ref="Y16:Z18" si="54">+O16+S16+W16</f>
        <v>960430.29691499891</v>
      </c>
      <c r="Z16" s="781">
        <f t="shared" si="54"/>
        <v>1155923</v>
      </c>
      <c r="AA16" s="465">
        <f t="shared" ref="AA16:AB18" si="55">+M16+Y16</f>
        <v>2088185.292058167</v>
      </c>
      <c r="AB16" s="465">
        <f t="shared" si="55"/>
        <v>2209333</v>
      </c>
      <c r="AC16" s="1813">
        <v>403051.36344098201</v>
      </c>
      <c r="AD16" s="1992">
        <v>372857</v>
      </c>
      <c r="AE16" s="1815">
        <f t="shared" ref="AE16:AE18" si="56">+AA16+AC16</f>
        <v>2491236.6554991491</v>
      </c>
      <c r="AF16" s="1816">
        <f t="shared" ref="AF16" si="57">+AB16+AD16</f>
        <v>2582190</v>
      </c>
      <c r="AG16" s="1813">
        <f>392.409719810871*1000</f>
        <v>392409.719810871</v>
      </c>
      <c r="AH16" s="1992">
        <v>24407</v>
      </c>
      <c r="AI16" s="1815">
        <f t="shared" ref="AI16:AI18" si="58">+AE16+AG16</f>
        <v>2883646.3753100201</v>
      </c>
      <c r="AJ16" s="1816">
        <f t="shared" ref="AJ16" si="59">+AF16+AH16</f>
        <v>2606597</v>
      </c>
      <c r="AK16" s="1813">
        <f>403.051363440982*1000</f>
        <v>403051.36344098201</v>
      </c>
      <c r="AL16" s="1992">
        <v>361604</v>
      </c>
      <c r="AM16" s="781">
        <f t="shared" ref="AM16:AM18" si="60">+AC16+AG16+AK16</f>
        <v>1198512.4466928351</v>
      </c>
      <c r="AN16" s="781">
        <f t="shared" ref="AN16:AN18" si="61">+AD16+AH16+AL16</f>
        <v>758868</v>
      </c>
      <c r="AO16" s="61">
        <f t="shared" ref="AO16:AP18" si="62">AI16+AK16</f>
        <v>3286697.7387510021</v>
      </c>
      <c r="AP16" s="61">
        <f t="shared" si="62"/>
        <v>2968201</v>
      </c>
      <c r="AQ16" s="1813">
        <f>403.051363440982*1000</f>
        <v>403051.36344098201</v>
      </c>
      <c r="AR16" s="1992">
        <v>369250</v>
      </c>
      <c r="AS16" s="1815">
        <f t="shared" ref="AS16:AS18" si="63">+AO16+AQ16</f>
        <v>3689749.1021919842</v>
      </c>
      <c r="AT16" s="1816">
        <f t="shared" ref="AT16" si="64">+AP16+AR16</f>
        <v>3337451</v>
      </c>
      <c r="AU16" s="1813">
        <f>365.546227096884*1000</f>
        <v>365546.22709688405</v>
      </c>
      <c r="AV16" s="1992">
        <v>342499</v>
      </c>
      <c r="AW16" s="1815">
        <f t="shared" ref="AW16:AW18" si="65">+AS16+AU16</f>
        <v>4055295.3292888682</v>
      </c>
      <c r="AX16" s="1816">
        <f t="shared" ref="AX16" si="66">+AT16+AV16</f>
        <v>3679950</v>
      </c>
      <c r="AY16" s="1813">
        <f>403.051363440982*1000</f>
        <v>403051.36344098201</v>
      </c>
      <c r="AZ16" s="1992">
        <v>410020</v>
      </c>
      <c r="BA16" s="781">
        <f t="shared" ref="BA16:BA18" si="67">+AQ16+AU16+AY16</f>
        <v>1171648.9539788482</v>
      </c>
      <c r="BB16" s="781">
        <f t="shared" ref="BB16:BB18" si="68">+AR16+AV16+AZ16</f>
        <v>1121769</v>
      </c>
      <c r="BC16" s="465">
        <f>AM16+BA16</f>
        <v>2370161.4006716833</v>
      </c>
      <c r="BD16" s="465">
        <f t="shared" ref="BD16:BD18" si="69">AN16+BB16</f>
        <v>1880637</v>
      </c>
      <c r="BE16" s="61">
        <f t="shared" ref="BE16:BE18" si="70">AW16+AY16</f>
        <v>4458346.6927298503</v>
      </c>
      <c r="BF16" s="61">
        <f t="shared" ref="BF16:BF18" si="71">AX16+AZ16</f>
        <v>4089970</v>
      </c>
      <c r="BG16" s="1775">
        <v>4387544.4524744106</v>
      </c>
      <c r="BH16" s="1775">
        <v>3980714</v>
      </c>
      <c r="BI16" s="1775">
        <v>4499999.9123089341</v>
      </c>
      <c r="BJ16" s="1775">
        <v>4398445</v>
      </c>
      <c r="BK16" s="1775">
        <v>4395665</v>
      </c>
      <c r="BL16" s="1775">
        <v>4183927.7727635596</v>
      </c>
      <c r="BM16" s="1775">
        <v>4277831</v>
      </c>
      <c r="BN16" s="1775">
        <v>3665891.272345175</v>
      </c>
      <c r="BO16" s="1775">
        <v>3629577</v>
      </c>
      <c r="BP16" s="1775">
        <v>3903932.5274391733</v>
      </c>
      <c r="BQ16" s="1099">
        <v>3709525</v>
      </c>
      <c r="BR16" s="2762"/>
      <c r="BS16" s="2762"/>
      <c r="BT16" s="1546"/>
      <c r="BU16" s="1546"/>
      <c r="BV16" s="1546"/>
      <c r="BW16" s="1546"/>
    </row>
    <row r="17" spans="1:75" ht="15" customHeight="1" thickBot="1" x14ac:dyDescent="0.35">
      <c r="A17" s="185"/>
      <c r="B17" s="1983" t="s">
        <v>340</v>
      </c>
      <c r="C17" s="1959" t="s">
        <v>50</v>
      </c>
      <c r="D17" s="1960">
        <v>2950000</v>
      </c>
      <c r="E17" s="1813">
        <v>252000</v>
      </c>
      <c r="F17" s="1992">
        <v>226125.59999999995</v>
      </c>
      <c r="G17" s="1813">
        <v>260000</v>
      </c>
      <c r="H17" s="1992">
        <v>255730.90000000002</v>
      </c>
      <c r="I17" s="1815">
        <f t="shared" si="49"/>
        <v>512000</v>
      </c>
      <c r="J17" s="1816">
        <f t="shared" si="49"/>
        <v>481856.5</v>
      </c>
      <c r="K17" s="1813">
        <f>252*1000</f>
        <v>252000</v>
      </c>
      <c r="L17" s="1992">
        <v>261489.89999999997</v>
      </c>
      <c r="M17" s="1817">
        <f t="shared" si="50"/>
        <v>764000</v>
      </c>
      <c r="N17" s="2004">
        <f t="shared" si="50"/>
        <v>743346.39999999991</v>
      </c>
      <c r="O17" s="1813">
        <v>255000</v>
      </c>
      <c r="P17" s="1992">
        <v>268142.30000000005</v>
      </c>
      <c r="Q17" s="1815">
        <f t="shared" si="51"/>
        <v>1019000</v>
      </c>
      <c r="R17" s="1816">
        <f>+N17+P17</f>
        <v>1011488.7</v>
      </c>
      <c r="S17" s="1813">
        <v>255000</v>
      </c>
      <c r="T17" s="1992">
        <v>253263.6</v>
      </c>
      <c r="U17" s="1815">
        <f t="shared" si="52"/>
        <v>1274000</v>
      </c>
      <c r="V17" s="1816">
        <f>+R17+T17</f>
        <v>1264752.3</v>
      </c>
      <c r="W17" s="1813">
        <v>140000</v>
      </c>
      <c r="X17" s="1992">
        <v>243297.40000000002</v>
      </c>
      <c r="Y17" s="781">
        <f t="shared" si="54"/>
        <v>650000</v>
      </c>
      <c r="Z17" s="781">
        <f t="shared" si="54"/>
        <v>764703.3</v>
      </c>
      <c r="AA17" s="465">
        <f t="shared" si="55"/>
        <v>1414000</v>
      </c>
      <c r="AB17" s="465">
        <f t="shared" si="55"/>
        <v>1508049.7</v>
      </c>
      <c r="AC17" s="1813">
        <v>250000</v>
      </c>
      <c r="AD17" s="1992">
        <v>237886.3</v>
      </c>
      <c r="AE17" s="1815">
        <f t="shared" si="56"/>
        <v>1664000</v>
      </c>
      <c r="AF17" s="1816">
        <f>+AB17+AD17</f>
        <v>1745936</v>
      </c>
      <c r="AG17" s="1813">
        <v>242000</v>
      </c>
      <c r="AH17" s="1992">
        <v>8246.5</v>
      </c>
      <c r="AI17" s="1815">
        <f t="shared" si="58"/>
        <v>1906000</v>
      </c>
      <c r="AJ17" s="1816">
        <f>+AF17+AH17</f>
        <v>1754182.5</v>
      </c>
      <c r="AK17" s="1813">
        <v>250000</v>
      </c>
      <c r="AL17" s="1992">
        <v>257290.9</v>
      </c>
      <c r="AM17" s="781">
        <f t="shared" si="60"/>
        <v>742000</v>
      </c>
      <c r="AN17" s="781">
        <f t="shared" si="61"/>
        <v>503423.69999999995</v>
      </c>
      <c r="AO17" s="61">
        <f t="shared" si="62"/>
        <v>2156000</v>
      </c>
      <c r="AP17" s="61">
        <f t="shared" si="62"/>
        <v>2011473.4</v>
      </c>
      <c r="AQ17" s="1813">
        <f>250*1000</f>
        <v>250000</v>
      </c>
      <c r="AR17" s="1992">
        <v>261845.40000000002</v>
      </c>
      <c r="AS17" s="1815">
        <f t="shared" si="63"/>
        <v>2406000</v>
      </c>
      <c r="AT17" s="1816">
        <f>+AP17+AR17</f>
        <v>2273318.7999999998</v>
      </c>
      <c r="AU17" s="1813">
        <f>225*1000</f>
        <v>225000</v>
      </c>
      <c r="AV17" s="1992">
        <v>239624</v>
      </c>
      <c r="AW17" s="1815">
        <f t="shared" si="65"/>
        <v>2631000</v>
      </c>
      <c r="AX17" s="1816">
        <f>+AT17+AV17</f>
        <v>2512942.7999999998</v>
      </c>
      <c r="AY17" s="1813">
        <v>250000</v>
      </c>
      <c r="AZ17" s="1992">
        <v>263830.00000000006</v>
      </c>
      <c r="BA17" s="781">
        <f t="shared" si="67"/>
        <v>725000</v>
      </c>
      <c r="BB17" s="781">
        <f t="shared" si="68"/>
        <v>765299.40000000014</v>
      </c>
      <c r="BC17" s="465">
        <f>AM17+BA17</f>
        <v>1467000</v>
      </c>
      <c r="BD17" s="465">
        <f t="shared" si="69"/>
        <v>1268723.1000000001</v>
      </c>
      <c r="BE17" s="61">
        <f t="shared" si="70"/>
        <v>2881000</v>
      </c>
      <c r="BF17" s="61">
        <f t="shared" si="71"/>
        <v>2776772.8</v>
      </c>
      <c r="BG17" s="1775">
        <v>2650000</v>
      </c>
      <c r="BH17" s="1775">
        <v>2622585.6999999997</v>
      </c>
      <c r="BI17" s="1775">
        <v>2800000</v>
      </c>
      <c r="BJ17" s="1775">
        <v>2721268.1</v>
      </c>
      <c r="BK17" s="1775">
        <v>2592119.6</v>
      </c>
      <c r="BL17" s="1775">
        <v>2650000.9700000002</v>
      </c>
      <c r="BM17" s="1775">
        <v>2406785.7000000002</v>
      </c>
      <c r="BN17" s="1775">
        <v>2496672.1533415001</v>
      </c>
      <c r="BO17" s="1775">
        <v>2092798</v>
      </c>
      <c r="BP17" s="1775">
        <v>2700000</v>
      </c>
      <c r="BQ17" s="1099">
        <v>2505193</v>
      </c>
      <c r="BR17" s="2762"/>
      <c r="BS17" s="2762"/>
      <c r="BT17" s="1546"/>
      <c r="BU17" s="1546"/>
      <c r="BV17" s="1546"/>
      <c r="BW17" s="1546"/>
    </row>
    <row r="18" spans="1:75" ht="16.149999999999999" thickBot="1" x14ac:dyDescent="0.35">
      <c r="B18" s="1984" t="s">
        <v>341</v>
      </c>
      <c r="C18" s="1959" t="s">
        <v>50</v>
      </c>
      <c r="D18" s="1960">
        <f>2770.01888574126*1000-19</f>
        <v>2769999.8857412599</v>
      </c>
      <c r="E18" s="1813">
        <f>237.110481586402*1000</f>
        <v>237110.48158640199</v>
      </c>
      <c r="F18" s="1992">
        <v>207020</v>
      </c>
      <c r="G18" s="1813">
        <f>244.66477809254*1000</f>
        <v>244664.77809253999</v>
      </c>
      <c r="H18" s="1992">
        <v>236638</v>
      </c>
      <c r="I18" s="1815">
        <f t="shared" si="49"/>
        <v>481775.25967894198</v>
      </c>
      <c r="J18" s="1816">
        <f t="shared" si="49"/>
        <v>443658</v>
      </c>
      <c r="K18" s="1813">
        <f>237.110481586402*1000</f>
        <v>237110.48158640199</v>
      </c>
      <c r="L18" s="1992">
        <v>243453</v>
      </c>
      <c r="M18" s="1817">
        <f t="shared" si="50"/>
        <v>718885.74126534397</v>
      </c>
      <c r="N18" s="2004">
        <f t="shared" si="50"/>
        <v>687111</v>
      </c>
      <c r="O18" s="1813">
        <f>239.943342776204*1000</f>
        <v>239943.34277620399</v>
      </c>
      <c r="P18" s="1992">
        <v>253662</v>
      </c>
      <c r="Q18" s="1815">
        <f>+M18+O18</f>
        <v>958829.08404154796</v>
      </c>
      <c r="R18" s="1816">
        <f t="shared" si="51"/>
        <v>940773</v>
      </c>
      <c r="S18" s="1813">
        <f>239.943342776204*1000</f>
        <v>239943.34277620399</v>
      </c>
      <c r="T18" s="1992">
        <v>237622</v>
      </c>
      <c r="U18" s="1815">
        <f>+Q18+S18</f>
        <v>1198772.426817752</v>
      </c>
      <c r="V18" s="1816">
        <f t="shared" ref="V18:V20" si="72">+R18+T18</f>
        <v>1178395</v>
      </c>
      <c r="W18" s="1813">
        <f>125.920679886686*1000</f>
        <v>125920.679886686</v>
      </c>
      <c r="X18" s="1992">
        <v>226847</v>
      </c>
      <c r="Y18" s="781">
        <f t="shared" si="54"/>
        <v>605807.36543909402</v>
      </c>
      <c r="Z18" s="781">
        <f t="shared" si="54"/>
        <v>718131</v>
      </c>
      <c r="AA18" s="465">
        <f t="shared" si="55"/>
        <v>1324693.1067044381</v>
      </c>
      <c r="AB18" s="465">
        <f t="shared" si="55"/>
        <v>1405242</v>
      </c>
      <c r="AC18" s="1813">
        <v>235490.56603773599</v>
      </c>
      <c r="AD18" s="1992">
        <v>222138</v>
      </c>
      <c r="AE18" s="1815">
        <f t="shared" si="56"/>
        <v>1560183.672742174</v>
      </c>
      <c r="AF18" s="1816">
        <f t="shared" ref="AF18:AF20" si="73">+AB18+AD18</f>
        <v>1627380</v>
      </c>
      <c r="AG18" s="1813">
        <f>227.943396226415*1000</f>
        <v>227943.396226415</v>
      </c>
      <c r="AH18" s="1992">
        <v>7935</v>
      </c>
      <c r="AI18" s="1815">
        <f t="shared" si="58"/>
        <v>1788127.068968589</v>
      </c>
      <c r="AJ18" s="1816">
        <f t="shared" ref="AJ18" si="74">+AF18+AH18</f>
        <v>1635315</v>
      </c>
      <c r="AK18" s="1813">
        <f>235.490566037736*1000</f>
        <v>235490.56603773599</v>
      </c>
      <c r="AL18" s="1992">
        <v>234930</v>
      </c>
      <c r="AM18" s="781">
        <f t="shared" si="60"/>
        <v>698924.52830188698</v>
      </c>
      <c r="AN18" s="781">
        <f t="shared" si="61"/>
        <v>465003</v>
      </c>
      <c r="AO18" s="61">
        <f t="shared" si="62"/>
        <v>2023617.6350063249</v>
      </c>
      <c r="AP18" s="61">
        <f t="shared" si="62"/>
        <v>1870245</v>
      </c>
      <c r="AQ18" s="1813">
        <f>235.490566037736*1000</f>
        <v>235490.56603773599</v>
      </c>
      <c r="AR18" s="1992">
        <v>246040</v>
      </c>
      <c r="AS18" s="1815">
        <f t="shared" si="63"/>
        <v>2259108.2010440608</v>
      </c>
      <c r="AT18" s="1816">
        <f t="shared" ref="AT18:AT20" si="75">+AP18+AR18</f>
        <v>2116285</v>
      </c>
      <c r="AU18" s="1813">
        <f>211.905660377358*1000</f>
        <v>211905.660377358</v>
      </c>
      <c r="AV18" s="1992">
        <v>222895</v>
      </c>
      <c r="AW18" s="1815">
        <f t="shared" si="65"/>
        <v>2471013.8614214188</v>
      </c>
      <c r="AX18" s="1816">
        <f t="shared" ref="AX18" si="76">+AT18+AV18</f>
        <v>2339180</v>
      </c>
      <c r="AY18" s="1813">
        <f>235.490566037736*1000</f>
        <v>235490.56603773599</v>
      </c>
      <c r="AZ18" s="1992">
        <v>243552</v>
      </c>
      <c r="BA18" s="781">
        <f t="shared" si="67"/>
        <v>682886.79245283001</v>
      </c>
      <c r="BB18" s="781">
        <f t="shared" si="68"/>
        <v>712487</v>
      </c>
      <c r="BC18" s="465">
        <f>AM18+BA18</f>
        <v>1381811.3207547171</v>
      </c>
      <c r="BD18" s="465">
        <f t="shared" si="69"/>
        <v>1177490</v>
      </c>
      <c r="BE18" s="61">
        <f t="shared" si="70"/>
        <v>2706504.4274591547</v>
      </c>
      <c r="BF18" s="61">
        <f t="shared" si="71"/>
        <v>2582732</v>
      </c>
      <c r="BG18" s="1775">
        <v>2489528.3018867923</v>
      </c>
      <c r="BH18" s="1775">
        <v>2436959</v>
      </c>
      <c r="BI18" s="1775">
        <v>2620075.4716981109</v>
      </c>
      <c r="BJ18" s="1775">
        <v>2528925</v>
      </c>
      <c r="BK18" s="1775">
        <v>2422324.3024999998</v>
      </c>
      <c r="BL18" s="1775">
        <v>2451737.723004695</v>
      </c>
      <c r="BM18" s="1775">
        <v>2227867</v>
      </c>
      <c r="BN18" s="1775">
        <v>2297163.5</v>
      </c>
      <c r="BO18" s="1775">
        <v>1847433</v>
      </c>
      <c r="BP18" s="1775">
        <v>2500000</v>
      </c>
      <c r="BQ18" s="1099">
        <v>2083412</v>
      </c>
      <c r="BR18" s="2762"/>
      <c r="BS18" s="2762"/>
      <c r="BT18" s="1546"/>
      <c r="BU18" s="1546"/>
      <c r="BV18" s="1546"/>
      <c r="BW18" s="1546"/>
    </row>
    <row r="19" spans="1:75" ht="16.149999999999999" thickBot="1" x14ac:dyDescent="0.35">
      <c r="B19" s="2832" t="s">
        <v>1755</v>
      </c>
      <c r="C19" s="1959" t="s">
        <v>50</v>
      </c>
      <c r="D19" s="1960">
        <f>1978.46215750908*1000-2</f>
        <v>1978460.1575090801</v>
      </c>
      <c r="E19" s="1813">
        <f>SMS!E29</f>
        <v>171675.125385875</v>
      </c>
      <c r="F19" s="1992">
        <f>SMS!F37</f>
        <v>149261</v>
      </c>
      <c r="G19" s="1813">
        <f>SMS!G29</f>
        <v>176063.19497908399</v>
      </c>
      <c r="H19" s="1992">
        <f>SMS!H37</f>
        <v>175199.53999999998</v>
      </c>
      <c r="I19" s="1815">
        <f>+E19+G19</f>
        <v>347738.32036495896</v>
      </c>
      <c r="J19" s="1816">
        <f>SMS!J37</f>
        <v>324460.53999999998</v>
      </c>
      <c r="K19" s="1813">
        <f>SMS!K29</f>
        <v>171147.420900386</v>
      </c>
      <c r="L19" s="1992">
        <f>SMS!L37</f>
        <v>182735</v>
      </c>
      <c r="M19" s="1817">
        <f t="shared" si="50"/>
        <v>518885.74126534496</v>
      </c>
      <c r="N19" s="1817">
        <f t="shared" si="50"/>
        <v>507195.54</v>
      </c>
      <c r="O19" s="1813">
        <f>SMS!O29</f>
        <v>171341.75966274799</v>
      </c>
      <c r="P19" s="1992">
        <f>SMS!P37</f>
        <v>189077</v>
      </c>
      <c r="Q19" s="1815">
        <f t="shared" ref="Q19:Q20" si="77">+M19+O19</f>
        <v>690227.50092809298</v>
      </c>
      <c r="R19" s="1816">
        <f t="shared" ref="R19:R20" si="78">+N19+P19</f>
        <v>696272.54</v>
      </c>
      <c r="S19" s="1813">
        <f>SMS!S29</f>
        <v>171341.75966274799</v>
      </c>
      <c r="T19" s="1992">
        <f>SMS!T37</f>
        <v>179543</v>
      </c>
      <c r="U19" s="1815">
        <f t="shared" ref="U19:U20" si="79">+Q19+S19</f>
        <v>861569.26059084095</v>
      </c>
      <c r="V19" s="1816">
        <f t="shared" si="72"/>
        <v>875815.54</v>
      </c>
      <c r="W19" s="1813">
        <f>SMS!W29</f>
        <v>90564.479358981</v>
      </c>
      <c r="X19" s="1992">
        <f>SMS!X37</f>
        <v>172339.6</v>
      </c>
      <c r="Y19" s="781">
        <f t="shared" ref="Y19:Y20" si="80">+O19+S19+W19</f>
        <v>433247.998684477</v>
      </c>
      <c r="Z19" s="781">
        <f t="shared" ref="Z19:Z20" si="81">+P19+T19+X19</f>
        <v>540959.6</v>
      </c>
      <c r="AA19" s="465">
        <f t="shared" ref="AA19:AA20" si="82">+M19+Y19</f>
        <v>952133.73994982196</v>
      </c>
      <c r="AB19" s="465">
        <f t="shared" ref="AB19:AB20" si="83">+N19+Z19</f>
        <v>1048155.1399999999</v>
      </c>
      <c r="AC19" s="1813">
        <f>SMS!AC29</f>
        <v>177750</v>
      </c>
      <c r="AD19" s="1992">
        <f>SMS!AD37</f>
        <v>168140</v>
      </c>
      <c r="AE19" s="1815">
        <f t="shared" ref="AE19:AE20" si="84">+AA19+AC19</f>
        <v>1129883.739949822</v>
      </c>
      <c r="AF19" s="1816">
        <f t="shared" si="73"/>
        <v>1216295.1399999999</v>
      </c>
      <c r="AG19" s="1813">
        <f>SMS!AG29</f>
        <v>171825</v>
      </c>
      <c r="AH19" s="1992">
        <f>SMS!AH37</f>
        <v>7935</v>
      </c>
      <c r="AI19" s="1815">
        <f>SMS!AI29</f>
        <v>1301708.739949822</v>
      </c>
      <c r="AJ19" s="1816">
        <f>SMS!AJ37</f>
        <v>1224230.1399999999</v>
      </c>
      <c r="AK19" s="1813">
        <f>SMS!AK29</f>
        <v>177840.45</v>
      </c>
      <c r="AL19" s="1992">
        <f>SMS!AL37</f>
        <v>176215.37</v>
      </c>
      <c r="AM19" s="781">
        <f>SMS!AM29</f>
        <v>527415.44999999995</v>
      </c>
      <c r="AN19" s="781">
        <f>SMS!AN37</f>
        <v>352290.37</v>
      </c>
      <c r="AO19" s="61">
        <f>SMS!AO29</f>
        <v>1479549.1899498219</v>
      </c>
      <c r="AP19" s="61">
        <f>SMS!AP37</f>
        <v>1400445.5099999998</v>
      </c>
      <c r="AQ19" s="1813">
        <f>SMS!AQ29</f>
        <v>177750</v>
      </c>
      <c r="AR19" s="1992">
        <f>SMS!AR37</f>
        <v>183526</v>
      </c>
      <c r="AS19" s="1815">
        <f t="shared" ref="AS19:AS20" si="85">+AO19+AQ19</f>
        <v>1657299.1899498219</v>
      </c>
      <c r="AT19" s="1816">
        <f t="shared" si="75"/>
        <v>1583971.5099999998</v>
      </c>
      <c r="AU19" s="1813">
        <f>SMS!AU29</f>
        <v>159975</v>
      </c>
      <c r="AV19" s="1992">
        <f>SMS!AV37</f>
        <v>163924</v>
      </c>
      <c r="AW19" s="1815">
        <f t="shared" ref="AW19:AW20" si="86">+AS19+AU19</f>
        <v>1817274.1899498219</v>
      </c>
      <c r="AX19" s="1816">
        <f t="shared" ref="AX19:AX20" si="87">+AT19+AV19</f>
        <v>1747895.5099999998</v>
      </c>
      <c r="AY19" s="1813">
        <f>SMS!AY29</f>
        <v>177750</v>
      </c>
      <c r="AZ19" s="1992">
        <f>SMS!AZ37</f>
        <v>171866</v>
      </c>
      <c r="BA19" s="781">
        <f t="shared" ref="BA19:BA20" si="88">+AQ19+AU19+AY19</f>
        <v>515475</v>
      </c>
      <c r="BB19" s="781">
        <f t="shared" ref="BB19:BB20" si="89">+AR19+AV19+AZ19</f>
        <v>519316</v>
      </c>
      <c r="BC19" s="465">
        <f t="shared" ref="BC19:BC20" si="90">AM19+BA19</f>
        <v>1042890.45</v>
      </c>
      <c r="BD19" s="465">
        <f t="shared" ref="BD19:BD20" si="91">AN19+BB19</f>
        <v>871606.37</v>
      </c>
      <c r="BE19" s="61">
        <f t="shared" ref="BE19:BE20" si="92">AW19+AY19</f>
        <v>1995024.1899498219</v>
      </c>
      <c r="BF19" s="61">
        <f t="shared" ref="BF19:BF20" si="93">AX19+AZ19</f>
        <v>1919761.5099999998</v>
      </c>
      <c r="BG19" s="2835">
        <v>1880445.45</v>
      </c>
      <c r="BH19" s="1775">
        <v>1818588.73</v>
      </c>
      <c r="BI19" s="2835"/>
      <c r="BJ19" s="1775">
        <v>1922629.6</v>
      </c>
      <c r="BK19" s="1775">
        <v>1903696</v>
      </c>
      <c r="BL19" s="2835"/>
      <c r="BM19" s="1775">
        <v>1777963.7499999998</v>
      </c>
      <c r="BN19" s="2835"/>
      <c r="BO19" s="2835"/>
      <c r="BP19" s="2831"/>
      <c r="BQ19" s="1099"/>
      <c r="BR19" s="2762"/>
      <c r="BS19" s="2762"/>
      <c r="BT19" s="1546"/>
      <c r="BU19" s="1546"/>
      <c r="BV19" s="1546"/>
      <c r="BW19" s="1546"/>
    </row>
    <row r="20" spans="1:75" ht="16.149999999999999" thickBot="1" x14ac:dyDescent="0.35">
      <c r="B20" s="2832" t="s">
        <v>1754</v>
      </c>
      <c r="C20" s="1959" t="s">
        <v>50</v>
      </c>
      <c r="D20" s="1960">
        <f>791.55672823219*1000-17</f>
        <v>791539.72823219001</v>
      </c>
      <c r="E20" s="1813">
        <f>SMS!E38</f>
        <v>65435.356200527698</v>
      </c>
      <c r="F20" s="1992">
        <f>SMS!F46</f>
        <v>57758.57</v>
      </c>
      <c r="G20" s="1813">
        <f>SMS!G38</f>
        <v>68601.583113456494</v>
      </c>
      <c r="H20" s="1992">
        <f>SMS!H46</f>
        <v>61438.559999999998</v>
      </c>
      <c r="I20" s="1815">
        <f>+E20+G20</f>
        <v>134036.93931398418</v>
      </c>
      <c r="J20" s="1816">
        <f>SMS!J46</f>
        <v>119197.13</v>
      </c>
      <c r="K20" s="1813">
        <f>SMS!K38</f>
        <v>65963.060686015902</v>
      </c>
      <c r="L20" s="1992">
        <f>SMS!L46</f>
        <v>60718.3</v>
      </c>
      <c r="M20" s="1817">
        <f t="shared" si="50"/>
        <v>200000.00000000009</v>
      </c>
      <c r="N20" s="1817">
        <f t="shared" si="50"/>
        <v>179915.43</v>
      </c>
      <c r="O20" s="1813">
        <f>SMS!O38</f>
        <v>68601.583113456407</v>
      </c>
      <c r="P20" s="1992">
        <f>SMS!P46</f>
        <v>64584.79</v>
      </c>
      <c r="Q20" s="1815">
        <f t="shared" si="77"/>
        <v>268601.58311345649</v>
      </c>
      <c r="R20" s="1816">
        <f t="shared" si="78"/>
        <v>244500.22</v>
      </c>
      <c r="S20" s="1813">
        <f>SMS!S38</f>
        <v>68601.583113456407</v>
      </c>
      <c r="T20" s="1992">
        <f>SMS!T46</f>
        <v>58078.79</v>
      </c>
      <c r="U20" s="1815">
        <f t="shared" si="79"/>
        <v>337203.16622691287</v>
      </c>
      <c r="V20" s="1816">
        <f t="shared" si="72"/>
        <v>302579.01</v>
      </c>
      <c r="W20" s="1813">
        <f>SMS!W38</f>
        <v>35356.200527704597</v>
      </c>
      <c r="X20" s="1992">
        <f>SMS!X46</f>
        <v>54507.000000000007</v>
      </c>
      <c r="Y20" s="781">
        <f t="shared" si="80"/>
        <v>172559.36675461743</v>
      </c>
      <c r="Z20" s="781">
        <f t="shared" si="81"/>
        <v>177170.58000000002</v>
      </c>
      <c r="AA20" s="465">
        <f t="shared" si="82"/>
        <v>372559.36675461754</v>
      </c>
      <c r="AB20" s="465">
        <f t="shared" si="83"/>
        <v>357086.01</v>
      </c>
      <c r="AC20" s="1813">
        <f>SMS!AC38</f>
        <v>57740.566037735844</v>
      </c>
      <c r="AD20" s="1992">
        <f>SMS!AD46</f>
        <v>53997.96</v>
      </c>
      <c r="AE20" s="1815">
        <f t="shared" si="84"/>
        <v>430299.93279235339</v>
      </c>
      <c r="AF20" s="1816">
        <f t="shared" si="73"/>
        <v>411083.97000000003</v>
      </c>
      <c r="AG20" s="1813">
        <f>SMS!AG38</f>
        <v>56118.396226415098</v>
      </c>
      <c r="AH20" s="1992">
        <f>SMS!AH46</f>
        <v>0</v>
      </c>
      <c r="AI20" s="1815">
        <f>SMS!AI38</f>
        <v>486418.32901876851</v>
      </c>
      <c r="AJ20" s="1816">
        <f>SMS!AJ46</f>
        <v>411083.97000000003</v>
      </c>
      <c r="AK20" s="1813">
        <f>SMS!AK38</f>
        <v>57650.116037735803</v>
      </c>
      <c r="AL20" s="1992">
        <f>SMS!AL46</f>
        <v>58714.36</v>
      </c>
      <c r="AM20" s="781">
        <f>SMS!AM38</f>
        <v>171509.07830188674</v>
      </c>
      <c r="AN20" s="781">
        <f>SMS!AN46</f>
        <v>112712.32000000001</v>
      </c>
      <c r="AO20" s="61">
        <f>SMS!AO38</f>
        <v>544068.44505650434</v>
      </c>
      <c r="AP20" s="61">
        <f>SMS!AP46</f>
        <v>469798.33</v>
      </c>
      <c r="AQ20" s="1813">
        <f>SMS!AQ38</f>
        <v>57740.5660377358</v>
      </c>
      <c r="AR20" s="1992">
        <f>SMS!AR46</f>
        <v>62514.11</v>
      </c>
      <c r="AS20" s="1815">
        <f t="shared" si="85"/>
        <v>601809.01109424012</v>
      </c>
      <c r="AT20" s="1816">
        <f t="shared" si="75"/>
        <v>532312.44000000006</v>
      </c>
      <c r="AU20" s="1813">
        <f>SMS!AU38</f>
        <v>51930.660377358501</v>
      </c>
      <c r="AV20" s="1992">
        <f>SMS!AV46</f>
        <v>58971.81</v>
      </c>
      <c r="AW20" s="1815">
        <f t="shared" si="86"/>
        <v>653739.67147159867</v>
      </c>
      <c r="AX20" s="1816">
        <f t="shared" si="87"/>
        <v>591284.25</v>
      </c>
      <c r="AY20" s="1813">
        <f>SMS!AY38</f>
        <v>57740.5660377358</v>
      </c>
      <c r="AZ20" s="1992">
        <f>SMS!AZ46</f>
        <v>71685.700000000012</v>
      </c>
      <c r="BA20" s="781">
        <f t="shared" si="88"/>
        <v>167411.79245283012</v>
      </c>
      <c r="BB20" s="781">
        <f t="shared" si="89"/>
        <v>193171.62</v>
      </c>
      <c r="BC20" s="465">
        <f t="shared" si="90"/>
        <v>338920.87075471686</v>
      </c>
      <c r="BD20" s="465">
        <f t="shared" si="91"/>
        <v>305883.94</v>
      </c>
      <c r="BE20" s="61">
        <f t="shared" si="92"/>
        <v>711480.23750933446</v>
      </c>
      <c r="BF20" s="61">
        <f t="shared" si="93"/>
        <v>662969.94999999995</v>
      </c>
      <c r="BG20" s="2835">
        <v>609083.06980830187</v>
      </c>
      <c r="BH20" s="1775">
        <v>618370.32000000007</v>
      </c>
      <c r="BI20" s="2835"/>
      <c r="BJ20" s="1775">
        <v>606294.79</v>
      </c>
      <c r="BK20" s="1775">
        <v>518629.33</v>
      </c>
      <c r="BL20" s="2835"/>
      <c r="BM20" s="1775">
        <v>449903.88033333333</v>
      </c>
      <c r="BN20" s="2835"/>
      <c r="BO20" s="2835"/>
      <c r="BP20" s="2831"/>
      <c r="BQ20" s="1099"/>
      <c r="BR20" s="2762"/>
      <c r="BS20" s="2762"/>
      <c r="BT20" s="1546"/>
      <c r="BU20" s="1546"/>
      <c r="BV20" s="1546"/>
      <c r="BW20" s="1546"/>
    </row>
    <row r="21" spans="1:75" ht="16.5" customHeight="1" thickBot="1" x14ac:dyDescent="0.35">
      <c r="B21" s="1985" t="s">
        <v>517</v>
      </c>
      <c r="C21" s="1961" t="s">
        <v>469</v>
      </c>
      <c r="D21" s="1960">
        <f>D53/D1</f>
        <v>54.152138305122264</v>
      </c>
      <c r="E21" s="2549">
        <f t="shared" ref="E21:T21" si="94">+E53/E1</f>
        <v>54.508156686529361</v>
      </c>
      <c r="F21" s="1315">
        <f t="shared" si="94"/>
        <v>49.612499999999997</v>
      </c>
      <c r="G21" s="2549">
        <f t="shared" ref="G21:H21" si="95">+G53/G1</f>
        <v>54.369950687231139</v>
      </c>
      <c r="H21" s="1315">
        <f t="shared" si="95"/>
        <v>50.886713286713288</v>
      </c>
      <c r="I21" s="2549">
        <f t="shared" si="94"/>
        <v>54.437882449598057</v>
      </c>
      <c r="J21" s="1315">
        <f t="shared" si="94"/>
        <v>50.284870848708486</v>
      </c>
      <c r="K21" s="2549">
        <f t="shared" si="94"/>
        <v>54.508156686529261</v>
      </c>
      <c r="L21" s="1315">
        <f t="shared" si="94"/>
        <v>52.547595930600707</v>
      </c>
      <c r="M21" s="2549">
        <f t="shared" si="94"/>
        <v>54.461041004950381</v>
      </c>
      <c r="N21" s="1315">
        <f t="shared" si="94"/>
        <v>51.063335382708765</v>
      </c>
      <c r="O21" s="2549">
        <f t="shared" ref="O21:P21" si="96">+O53/O1</f>
        <v>53.320742839156438</v>
      </c>
      <c r="P21" s="1315">
        <f t="shared" si="96"/>
        <v>51.935483870967744</v>
      </c>
      <c r="Q21" s="2549">
        <f t="shared" si="94"/>
        <v>54.171134691612941</v>
      </c>
      <c r="R21" s="1315">
        <f t="shared" si="94"/>
        <v>51.29428011118744</v>
      </c>
      <c r="S21" s="2549">
        <f t="shared" si="94"/>
        <v>53.320742839156438</v>
      </c>
      <c r="T21" s="1315">
        <f t="shared" si="94"/>
        <v>50.459118769515442</v>
      </c>
      <c r="U21" s="2549">
        <f t="shared" ref="U21:X21" si="97">+U53/U1</f>
        <v>53.998757964763648</v>
      </c>
      <c r="V21" s="1315">
        <f t="shared" si="97"/>
        <v>51.123809811571604</v>
      </c>
      <c r="W21" s="2549">
        <f t="shared" si="97"/>
        <v>49.331711652010291</v>
      </c>
      <c r="X21" s="1315">
        <f t="shared" si="97"/>
        <v>48.797337714309791</v>
      </c>
      <c r="Y21" s="457">
        <f t="shared" ref="Y21:AD21" si="98">+Y53/Y1</f>
        <v>52.439366885097684</v>
      </c>
      <c r="Z21" s="457">
        <f t="shared" si="98"/>
        <v>50.420044531151902</v>
      </c>
      <c r="AA21" s="457">
        <f t="shared" si="98"/>
        <v>53.517482869692472</v>
      </c>
      <c r="AB21" s="457">
        <f t="shared" si="98"/>
        <v>50.733268014271722</v>
      </c>
      <c r="AC21" s="2549">
        <f t="shared" si="98"/>
        <v>52.331236897274628</v>
      </c>
      <c r="AD21" s="1315">
        <f t="shared" si="98"/>
        <v>48.422487033663806</v>
      </c>
      <c r="AE21" s="2549">
        <f t="shared" ref="AE21:AF21" si="99">+AE53/AE1</f>
        <v>53.334999274123334</v>
      </c>
      <c r="AF21" s="1315">
        <f t="shared" si="99"/>
        <v>50.398326344091082</v>
      </c>
      <c r="AG21" s="2549">
        <f>+AG53/AG1</f>
        <v>52.400780741704615</v>
      </c>
      <c r="AH21" s="1315">
        <f>+AH53/AH1</f>
        <v>52</v>
      </c>
      <c r="AI21" s="2549">
        <f t="shared" ref="AI21:AN21" si="100">+AI53/AI1</f>
        <v>53.214060445962161</v>
      </c>
      <c r="AJ21" s="1315">
        <f>+AJ53/AJ1</f>
        <v>50.406036593437896</v>
      </c>
      <c r="AK21" s="2549">
        <f>+AK53/AK1</f>
        <v>52.331236897274628</v>
      </c>
      <c r="AL21" s="1315">
        <f>+AL53/AL1</f>
        <v>49.788617886178862</v>
      </c>
      <c r="AM21" s="457">
        <f t="shared" si="100"/>
        <v>52.353897251077655</v>
      </c>
      <c r="AN21" s="457">
        <f t="shared" si="100"/>
        <v>49.161136128871092</v>
      </c>
      <c r="AO21" s="2549">
        <f t="shared" ref="AO21:AT21" si="101">+AO53/AO1</f>
        <v>53.109796871954565</v>
      </c>
      <c r="AP21" s="1315">
        <f t="shared" si="101"/>
        <v>50.326426638743264</v>
      </c>
      <c r="AQ21" s="2549">
        <f>+AQ53/AQ1</f>
        <v>52.331236897274628</v>
      </c>
      <c r="AR21" s="1315">
        <f>+AR53/AR1</f>
        <v>53.523012552301253</v>
      </c>
      <c r="AS21" s="2549">
        <f t="shared" si="101"/>
        <v>53.027559505390848</v>
      </c>
      <c r="AT21" s="1315">
        <f t="shared" si="101"/>
        <v>50.682287035666484</v>
      </c>
      <c r="AU21" s="2549">
        <f>+AU53/AU1</f>
        <v>52.322385278360123</v>
      </c>
      <c r="AV21" s="1315">
        <f>+AV53/AV1</f>
        <v>53.07586206896552</v>
      </c>
      <c r="AW21" s="2549">
        <f t="shared" ref="AW21:BF21" si="102">+AW53/AW1</f>
        <v>52.966341912002044</v>
      </c>
      <c r="AX21" s="1315">
        <f t="shared" si="102"/>
        <v>50.902474143862008</v>
      </c>
      <c r="AY21" s="2549">
        <f>+AY53/AY1</f>
        <v>52.331236897274628</v>
      </c>
      <c r="AZ21" s="1315">
        <f>+AZ53/AZ1</f>
        <v>52.002756719503786</v>
      </c>
      <c r="BA21" s="457">
        <f t="shared" si="102"/>
        <v>52.328489843128743</v>
      </c>
      <c r="BB21" s="457">
        <f t="shared" si="102"/>
        <v>52.857279236276845</v>
      </c>
      <c r="BC21" s="457">
        <f t="shared" si="102"/>
        <v>52.341337907375639</v>
      </c>
      <c r="BD21" s="457">
        <f t="shared" si="102"/>
        <v>51.326419046074427</v>
      </c>
      <c r="BE21" s="2549">
        <f t="shared" si="102"/>
        <v>52.910470334202429</v>
      </c>
      <c r="BF21" s="1315">
        <f t="shared" si="102"/>
        <v>51.00457115474309</v>
      </c>
      <c r="BG21" s="1139">
        <v>51.463117269757682</v>
      </c>
      <c r="BH21" s="1139">
        <v>49.27054583050262</v>
      </c>
      <c r="BI21" s="1139">
        <v>50.337665162307644</v>
      </c>
      <c r="BJ21" s="1139">
        <v>48.13036797026696</v>
      </c>
      <c r="BK21" s="1139">
        <v>45.269662921348313</v>
      </c>
      <c r="BL21" s="1139">
        <v>44.780041074452797</v>
      </c>
      <c r="BM21" s="1139">
        <v>40.065753424657537</v>
      </c>
      <c r="BN21" s="1139">
        <v>41.920045662100456</v>
      </c>
      <c r="BO21" s="1139">
        <v>33.30958904109589</v>
      </c>
      <c r="BP21" s="1139">
        <v>47.014645250053974</v>
      </c>
      <c r="BQ21" s="2011">
        <v>38.66393442622951</v>
      </c>
      <c r="BR21" s="2762"/>
      <c r="BS21" s="2762"/>
      <c r="BT21" s="1546"/>
      <c r="BU21" s="1546"/>
      <c r="BV21" s="1546"/>
      <c r="BW21" s="1546"/>
    </row>
    <row r="22" spans="1:75" ht="15" customHeight="1" x14ac:dyDescent="0.3">
      <c r="A22" s="149"/>
      <c r="B22" s="1969" t="s">
        <v>236</v>
      </c>
      <c r="C22" s="1546"/>
      <c r="D22" s="2535"/>
      <c r="E22" s="2535"/>
      <c r="F22" s="2535"/>
      <c r="G22" s="2535"/>
      <c r="H22" s="2535"/>
      <c r="I22" s="2535"/>
      <c r="J22" s="2535"/>
      <c r="K22" s="2535"/>
      <c r="L22" s="2535"/>
      <c r="M22" s="2535"/>
      <c r="N22" s="2535"/>
      <c r="O22" s="2535"/>
      <c r="P22" s="2535"/>
      <c r="Q22" s="2535"/>
      <c r="R22" s="2535"/>
      <c r="S22" s="2535"/>
      <c r="T22" s="2535"/>
      <c r="U22" s="2535"/>
      <c r="V22" s="2535"/>
      <c r="W22" s="2535"/>
      <c r="X22" s="2535"/>
      <c r="Y22" s="2535"/>
      <c r="Z22" s="2535"/>
      <c r="AA22" s="2535"/>
      <c r="AB22" s="2535"/>
      <c r="AC22" s="2535"/>
      <c r="AD22" s="2535"/>
      <c r="AE22" s="2535"/>
      <c r="AF22" s="2535"/>
      <c r="AG22" s="2535"/>
      <c r="AH22" s="2535"/>
      <c r="AI22" s="2535"/>
      <c r="AJ22" s="2535"/>
      <c r="AK22" s="2535"/>
      <c r="AL22" s="2535"/>
      <c r="AM22" s="2535"/>
      <c r="AN22" s="2535"/>
      <c r="AO22" s="2535"/>
      <c r="AP22" s="2535"/>
      <c r="AQ22" s="2535"/>
      <c r="AR22" s="2535"/>
      <c r="AS22" s="2535"/>
      <c r="AT22" s="2535"/>
      <c r="AU22" s="2535"/>
      <c r="AV22" s="2535"/>
      <c r="AW22" s="2535"/>
      <c r="AX22" s="2535"/>
      <c r="AY22" s="2535"/>
      <c r="AZ22" s="2535"/>
      <c r="BA22" s="2535"/>
      <c r="BB22" s="2535"/>
      <c r="BC22" s="2535"/>
      <c r="BD22" s="2535"/>
      <c r="BE22" s="2535"/>
      <c r="BF22" s="2535"/>
      <c r="BG22" s="1546"/>
      <c r="BH22" s="1546"/>
      <c r="BI22" s="1546"/>
      <c r="BJ22" s="1546"/>
      <c r="BK22" s="1546"/>
      <c r="BL22" s="1546"/>
      <c r="BM22" s="1546"/>
      <c r="BN22" s="1546"/>
      <c r="BO22" s="1546"/>
      <c r="BP22" s="1546"/>
      <c r="BQ22" s="2013"/>
      <c r="BR22" s="2762"/>
      <c r="BS22" s="2762"/>
      <c r="BT22" s="1546"/>
      <c r="BU22" s="1546"/>
      <c r="BV22" s="1546"/>
      <c r="BW22" s="1546"/>
    </row>
    <row r="23" spans="1:75" ht="15" customHeight="1" x14ac:dyDescent="0.3">
      <c r="B23" s="1978" t="s">
        <v>20</v>
      </c>
      <c r="C23" s="1949" t="s">
        <v>50</v>
      </c>
      <c r="D23" s="2532">
        <v>12645</v>
      </c>
      <c r="E23" s="155">
        <f>0.81*1000</f>
        <v>810</v>
      </c>
      <c r="F23" s="18">
        <v>3914.4925899999998</v>
      </c>
      <c r="G23" s="155">
        <v>810</v>
      </c>
      <c r="H23" s="18">
        <v>2383.6527900000001</v>
      </c>
      <c r="I23" s="61">
        <f t="shared" ref="I23:J25" si="103">+E23+G23</f>
        <v>1620</v>
      </c>
      <c r="J23" s="39">
        <f t="shared" si="103"/>
        <v>6298.1453799999999</v>
      </c>
      <c r="K23" s="155">
        <f>0.81*1000</f>
        <v>810</v>
      </c>
      <c r="L23" s="18">
        <v>902.97845999999993</v>
      </c>
      <c r="M23" s="72">
        <f t="shared" ref="M23:N25" si="104">+E23+G23+K23</f>
        <v>2430</v>
      </c>
      <c r="N23" s="69">
        <f t="shared" si="104"/>
        <v>7201.1238400000002</v>
      </c>
      <c r="O23" s="155">
        <v>810</v>
      </c>
      <c r="P23" s="18">
        <v>0</v>
      </c>
      <c r="Q23" s="61">
        <f t="shared" ref="Q23:R25" si="105">+M23+O23</f>
        <v>3240</v>
      </c>
      <c r="R23" s="39">
        <f t="shared" si="105"/>
        <v>7201.1238400000002</v>
      </c>
      <c r="S23" s="155">
        <f>0.81*1000</f>
        <v>810</v>
      </c>
      <c r="T23" s="18">
        <v>144.06922</v>
      </c>
      <c r="U23" s="61">
        <f t="shared" ref="U23:U25" si="106">+Q23+S23</f>
        <v>4050</v>
      </c>
      <c r="V23" s="39">
        <f t="shared" ref="V23:V25" si="107">+R23+T23</f>
        <v>7345.1930600000005</v>
      </c>
      <c r="W23" s="155">
        <f>5360-1625</f>
        <v>3735</v>
      </c>
      <c r="X23" s="18">
        <v>256.58677999999998</v>
      </c>
      <c r="Y23" s="781">
        <f t="shared" ref="Y23:Z25" si="108">+O23+S23+W23</f>
        <v>5355</v>
      </c>
      <c r="Z23" s="781">
        <f t="shared" si="108"/>
        <v>400.65599999999995</v>
      </c>
      <c r="AA23" s="465">
        <f t="shared" ref="AA23:AB25" si="109">+M23+Y23</f>
        <v>7785</v>
      </c>
      <c r="AB23" s="465">
        <f t="shared" si="109"/>
        <v>7601.7798400000001</v>
      </c>
      <c r="AC23" s="155">
        <v>342</v>
      </c>
      <c r="AD23" s="18">
        <v>264.68337000000002</v>
      </c>
      <c r="AE23" s="61">
        <f t="shared" ref="AE23:AE25" si="110">+AA23+AC23</f>
        <v>8127</v>
      </c>
      <c r="AF23" s="39">
        <f t="shared" ref="AF23:AF25" si="111">+AB23+AD23</f>
        <v>7866.4632099999999</v>
      </c>
      <c r="AG23" s="155">
        <v>342</v>
      </c>
      <c r="AH23" s="18">
        <v>25.041</v>
      </c>
      <c r="AI23" s="61">
        <f t="shared" ref="AI23:AI25" si="112">+AE23+AG23</f>
        <v>8469</v>
      </c>
      <c r="AJ23" s="39">
        <f t="shared" ref="AJ23:AJ24" si="113">+AF23+AH23</f>
        <v>7891.5042100000001</v>
      </c>
      <c r="AK23" s="155">
        <v>342</v>
      </c>
      <c r="AL23" s="18">
        <v>2134.99566</v>
      </c>
      <c r="AM23" s="781">
        <f t="shared" ref="AM23:AM25" si="114">+AC23+AG23+AK23</f>
        <v>1026</v>
      </c>
      <c r="AN23" s="781">
        <f t="shared" ref="AN23:AN24" si="115">+AD23+AH23+AL23</f>
        <v>2424.72003</v>
      </c>
      <c r="AO23" s="61">
        <f>AI23+AK23</f>
        <v>8811</v>
      </c>
      <c r="AP23" s="61">
        <f>AJ23+AL23</f>
        <v>10026.49987</v>
      </c>
      <c r="AQ23" s="155">
        <v>342</v>
      </c>
      <c r="AR23" s="18">
        <v>495.31098000000003</v>
      </c>
      <c r="AS23" s="61">
        <f t="shared" ref="AS23:AS25" si="116">+AO23+AQ23</f>
        <v>9153</v>
      </c>
      <c r="AT23" s="39">
        <f t="shared" ref="AT23:AT25" si="117">+AP23+AR23</f>
        <v>10521.81085</v>
      </c>
      <c r="AU23" s="155">
        <f>0.342*1000</f>
        <v>342</v>
      </c>
      <c r="AV23" s="18">
        <v>324.53136000000001</v>
      </c>
      <c r="AW23" s="61">
        <f t="shared" ref="AW23:AW25" si="118">+AS23+AU23</f>
        <v>9495</v>
      </c>
      <c r="AX23" s="39">
        <f t="shared" ref="AX23:AX25" si="119">+AT23+AV23</f>
        <v>10846.342210000001</v>
      </c>
      <c r="AY23" s="155">
        <f>0.342*1000</f>
        <v>342</v>
      </c>
      <c r="AZ23" s="18">
        <v>4393.3599799999993</v>
      </c>
      <c r="BA23" s="781">
        <f t="shared" ref="BA23:BA25" si="120">+AQ23+AU23+AY23</f>
        <v>1026</v>
      </c>
      <c r="BB23" s="781">
        <f t="shared" ref="BB23:BB25" si="121">+AR23+AV23+AZ23</f>
        <v>5213.2023199999994</v>
      </c>
      <c r="BC23" s="465">
        <f t="shared" ref="BC23:BD25" si="122">AM23+BA23</f>
        <v>2052</v>
      </c>
      <c r="BD23" s="465">
        <f t="shared" si="122"/>
        <v>7637.9223499999989</v>
      </c>
      <c r="BE23" s="61">
        <f>AW23+AY23</f>
        <v>9837</v>
      </c>
      <c r="BF23" s="61">
        <f>AX23+AZ23</f>
        <v>15239.70219</v>
      </c>
      <c r="BG23" s="1775">
        <v>7740</v>
      </c>
      <c r="BH23" s="1775">
        <v>12917.885679999999</v>
      </c>
      <c r="BI23" s="1775">
        <v>19561.099796333998</v>
      </c>
      <c r="BJ23" s="1775">
        <v>7548.2755700000007</v>
      </c>
      <c r="BK23" s="1775">
        <v>9129.3344199999992</v>
      </c>
      <c r="BL23" s="1775">
        <v>19735.515274949088</v>
      </c>
      <c r="BM23" s="1775">
        <v>22361.07245</v>
      </c>
      <c r="BN23" s="1775">
        <v>20755.018447889259</v>
      </c>
      <c r="BO23" s="1775">
        <v>58220.700000000004</v>
      </c>
      <c r="BP23" s="1775">
        <v>29957.855711422799</v>
      </c>
      <c r="BQ23" s="1099">
        <v>134629.17781999998</v>
      </c>
      <c r="BR23" s="2762"/>
      <c r="BS23" s="2762"/>
      <c r="BT23" s="1546"/>
      <c r="BU23" s="1546"/>
      <c r="BV23" s="1546"/>
      <c r="BW23" s="1546"/>
    </row>
    <row r="24" spans="1:75" ht="15" customHeight="1" x14ac:dyDescent="0.3">
      <c r="B24" s="1978" t="s">
        <v>113</v>
      </c>
      <c r="C24" s="1949" t="s">
        <v>50</v>
      </c>
      <c r="D24" s="2532">
        <v>0</v>
      </c>
      <c r="E24" s="155">
        <v>0</v>
      </c>
      <c r="F24" s="18">
        <v>194.6</v>
      </c>
      <c r="G24" s="155">
        <v>0</v>
      </c>
      <c r="H24" s="18">
        <v>230</v>
      </c>
      <c r="I24" s="61">
        <f t="shared" si="103"/>
        <v>0</v>
      </c>
      <c r="J24" s="39">
        <f t="shared" si="103"/>
        <v>424.6</v>
      </c>
      <c r="K24" s="155">
        <v>0</v>
      </c>
      <c r="L24" s="18">
        <v>127.47931200000001</v>
      </c>
      <c r="M24" s="72">
        <f t="shared" si="104"/>
        <v>0</v>
      </c>
      <c r="N24" s="69">
        <f t="shared" si="104"/>
        <v>552.07931200000007</v>
      </c>
      <c r="O24" s="155">
        <v>0</v>
      </c>
      <c r="P24" s="18">
        <v>0</v>
      </c>
      <c r="Q24" s="61">
        <f t="shared" si="105"/>
        <v>0</v>
      </c>
      <c r="R24" s="39">
        <f t="shared" si="105"/>
        <v>552.07931200000007</v>
      </c>
      <c r="S24" s="155">
        <v>0</v>
      </c>
      <c r="T24" s="18">
        <v>20.339184000000003</v>
      </c>
      <c r="U24" s="61">
        <f t="shared" si="106"/>
        <v>0</v>
      </c>
      <c r="V24" s="39">
        <f t="shared" si="107"/>
        <v>572.41849600000012</v>
      </c>
      <c r="W24" s="155">
        <v>0</v>
      </c>
      <c r="X24" s="18">
        <v>36.224015999999999</v>
      </c>
      <c r="Y24" s="781">
        <f t="shared" si="108"/>
        <v>0</v>
      </c>
      <c r="Z24" s="781">
        <f t="shared" si="108"/>
        <v>56.563200000000002</v>
      </c>
      <c r="AA24" s="465">
        <f t="shared" si="109"/>
        <v>0</v>
      </c>
      <c r="AB24" s="465">
        <f t="shared" si="109"/>
        <v>608.64251200000012</v>
      </c>
      <c r="AC24" s="155">
        <v>0</v>
      </c>
      <c r="AD24" s="18">
        <v>37.367063999999999</v>
      </c>
      <c r="AE24" s="61">
        <f t="shared" si="110"/>
        <v>0</v>
      </c>
      <c r="AF24" s="39">
        <f t="shared" si="111"/>
        <v>646.00957600000015</v>
      </c>
      <c r="AG24" s="155">
        <v>0</v>
      </c>
      <c r="AH24" s="18">
        <v>3.5351999999999997</v>
      </c>
      <c r="AI24" s="61">
        <f t="shared" si="112"/>
        <v>0</v>
      </c>
      <c r="AJ24" s="39">
        <f t="shared" si="113"/>
        <v>649.54477600000018</v>
      </c>
      <c r="AK24" s="155">
        <v>0</v>
      </c>
      <c r="AL24" s="18">
        <v>301.41115200000002</v>
      </c>
      <c r="AM24" s="781">
        <f t="shared" si="114"/>
        <v>0</v>
      </c>
      <c r="AN24" s="781">
        <f t="shared" si="115"/>
        <v>342.31341600000002</v>
      </c>
      <c r="AO24" s="61">
        <f t="shared" ref="AO24:AP27" si="123">AI24+AK24</f>
        <v>0</v>
      </c>
      <c r="AP24" s="61">
        <f t="shared" ref="AP24:AP25" si="124">AJ24+AL24</f>
        <v>950.9559280000002</v>
      </c>
      <c r="AQ24" s="155">
        <v>0</v>
      </c>
      <c r="AR24" s="18">
        <v>70</v>
      </c>
      <c r="AS24" s="61">
        <f t="shared" si="116"/>
        <v>0</v>
      </c>
      <c r="AT24" s="39">
        <f t="shared" si="117"/>
        <v>1020.9559280000002</v>
      </c>
      <c r="AU24" s="155">
        <v>0</v>
      </c>
      <c r="AV24" s="18">
        <v>45.816192000000001</v>
      </c>
      <c r="AW24" s="61">
        <f t="shared" si="118"/>
        <v>0</v>
      </c>
      <c r="AX24" s="39">
        <f t="shared" si="119"/>
        <v>1066.7721200000001</v>
      </c>
      <c r="AY24" s="155">
        <v>0</v>
      </c>
      <c r="AZ24" s="18">
        <v>620.23905599999989</v>
      </c>
      <c r="BA24" s="781">
        <f t="shared" si="120"/>
        <v>0</v>
      </c>
      <c r="BB24" s="781">
        <f t="shared" si="121"/>
        <v>736.05524799999989</v>
      </c>
      <c r="BC24" s="465">
        <f t="shared" si="122"/>
        <v>0</v>
      </c>
      <c r="BD24" s="465">
        <f t="shared" si="122"/>
        <v>1078.3686639999999</v>
      </c>
      <c r="BE24" s="61">
        <f t="shared" ref="BE24:BE25" si="125">AW24+AY24</f>
        <v>0</v>
      </c>
      <c r="BF24" s="61">
        <f t="shared" ref="BF24:BF25" si="126">AX24+AZ24</f>
        <v>1687.011176</v>
      </c>
      <c r="BG24" s="1775">
        <v>0</v>
      </c>
      <c r="BH24" s="1775">
        <v>1823.765584</v>
      </c>
      <c r="BI24" s="1775">
        <v>0</v>
      </c>
      <c r="BJ24" s="1775">
        <v>1026.6220800000001</v>
      </c>
      <c r="BK24" s="1775">
        <v>2541.6495199999999</v>
      </c>
      <c r="BL24" s="1775">
        <v>0</v>
      </c>
      <c r="BM24" s="1775">
        <v>2774.7649000000001</v>
      </c>
      <c r="BN24" s="1775">
        <v>392</v>
      </c>
      <c r="BO24" s="1775">
        <v>3852.3</v>
      </c>
      <c r="BP24" s="1775">
        <v>1419.0563231726583</v>
      </c>
      <c r="BQ24" s="1099">
        <v>8272.9782799999994</v>
      </c>
      <c r="BR24" s="2762"/>
      <c r="BS24" s="2762"/>
      <c r="BT24" s="1546"/>
      <c r="BU24" s="1546"/>
      <c r="BV24" s="1546"/>
      <c r="BW24" s="1546"/>
    </row>
    <row r="25" spans="1:75" ht="14.45" x14ac:dyDescent="0.3">
      <c r="B25" s="1986" t="s">
        <v>1756</v>
      </c>
      <c r="C25" s="1949" t="s">
        <v>50</v>
      </c>
      <c r="D25" s="2532">
        <f>2500*0.65</f>
        <v>1625</v>
      </c>
      <c r="E25" s="1336">
        <v>0</v>
      </c>
      <c r="F25" s="18">
        <v>552.63424799999996</v>
      </c>
      <c r="G25" s="1336">
        <v>0</v>
      </c>
      <c r="H25" s="18">
        <v>336.51568800000001</v>
      </c>
      <c r="I25" s="61">
        <f t="shared" si="103"/>
        <v>0</v>
      </c>
      <c r="J25" s="39">
        <f t="shared" si="103"/>
        <v>889.14993600000003</v>
      </c>
      <c r="K25" s="1336">
        <v>0</v>
      </c>
      <c r="L25" s="18">
        <v>0</v>
      </c>
      <c r="M25" s="72">
        <f t="shared" si="104"/>
        <v>0</v>
      </c>
      <c r="N25" s="69">
        <f t="shared" si="104"/>
        <v>889.14993600000003</v>
      </c>
      <c r="O25" s="1336">
        <v>0</v>
      </c>
      <c r="P25" s="18">
        <v>0</v>
      </c>
      <c r="Q25" s="61">
        <f t="shared" si="105"/>
        <v>0</v>
      </c>
      <c r="R25" s="39">
        <f t="shared" si="105"/>
        <v>889.14993600000003</v>
      </c>
      <c r="S25" s="1336">
        <v>0</v>
      </c>
      <c r="T25" s="18">
        <v>0</v>
      </c>
      <c r="U25" s="61">
        <f t="shared" si="106"/>
        <v>0</v>
      </c>
      <c r="V25" s="39">
        <f t="shared" si="107"/>
        <v>889.14993600000003</v>
      </c>
      <c r="W25" s="1336">
        <f>2500*0.65</f>
        <v>1625</v>
      </c>
      <c r="X25" s="18">
        <v>0</v>
      </c>
      <c r="Y25" s="781">
        <f t="shared" si="108"/>
        <v>1625</v>
      </c>
      <c r="Z25" s="781">
        <f t="shared" si="108"/>
        <v>0</v>
      </c>
      <c r="AA25" s="465">
        <f t="shared" si="109"/>
        <v>1625</v>
      </c>
      <c r="AB25" s="465">
        <f t="shared" si="109"/>
        <v>889.14993600000003</v>
      </c>
      <c r="AC25" s="1336">
        <v>0</v>
      </c>
      <c r="AD25" s="18">
        <v>0</v>
      </c>
      <c r="AE25" s="61">
        <f t="shared" si="110"/>
        <v>1625</v>
      </c>
      <c r="AF25" s="39">
        <f t="shared" si="111"/>
        <v>889.14993600000003</v>
      </c>
      <c r="AG25" s="1336">
        <v>0</v>
      </c>
      <c r="AH25" s="18">
        <v>1512.9</v>
      </c>
      <c r="AI25" s="61">
        <f t="shared" si="112"/>
        <v>1625</v>
      </c>
      <c r="AJ25" s="39">
        <f>+AF25+AH25</f>
        <v>2402.0499360000003</v>
      </c>
      <c r="AK25" s="1336">
        <v>0</v>
      </c>
      <c r="AL25" s="18">
        <v>2513.5</v>
      </c>
      <c r="AM25" s="781">
        <f t="shared" si="114"/>
        <v>0</v>
      </c>
      <c r="AN25" s="781">
        <f>+AD25+AH25+AL25</f>
        <v>4026.4</v>
      </c>
      <c r="AO25" s="61">
        <f t="shared" si="123"/>
        <v>1625</v>
      </c>
      <c r="AP25" s="61">
        <f t="shared" si="124"/>
        <v>4915.5499360000003</v>
      </c>
      <c r="AQ25" s="1336">
        <v>0</v>
      </c>
      <c r="AR25" s="18">
        <v>0</v>
      </c>
      <c r="AS25" s="61">
        <f t="shared" si="116"/>
        <v>1625</v>
      </c>
      <c r="AT25" s="39">
        <f t="shared" si="117"/>
        <v>4915.5499360000003</v>
      </c>
      <c r="AU25" s="1336">
        <v>0</v>
      </c>
      <c r="AV25" s="18">
        <v>630</v>
      </c>
      <c r="AW25" s="61">
        <f t="shared" si="118"/>
        <v>1625</v>
      </c>
      <c r="AX25" s="39">
        <f t="shared" si="119"/>
        <v>5545.5499360000003</v>
      </c>
      <c r="AY25" s="1336">
        <v>0</v>
      </c>
      <c r="AZ25" s="18">
        <v>480</v>
      </c>
      <c r="BA25" s="781">
        <f t="shared" si="120"/>
        <v>0</v>
      </c>
      <c r="BB25" s="781">
        <f t="shared" si="121"/>
        <v>1110</v>
      </c>
      <c r="BC25" s="465">
        <f t="shared" si="122"/>
        <v>0</v>
      </c>
      <c r="BD25" s="465">
        <f t="shared" si="122"/>
        <v>5136.3999999999996</v>
      </c>
      <c r="BE25" s="61">
        <f t="shared" si="125"/>
        <v>1625</v>
      </c>
      <c r="BF25" s="61">
        <f t="shared" si="126"/>
        <v>6025.5499360000003</v>
      </c>
      <c r="BG25" s="1775">
        <v>1625</v>
      </c>
      <c r="BH25" s="1775">
        <v>11114.8</v>
      </c>
      <c r="BI25" s="1775">
        <v>2000</v>
      </c>
      <c r="BJ25" s="1775">
        <v>5022</v>
      </c>
      <c r="BK25" s="1775">
        <v>4664.8</v>
      </c>
      <c r="BL25" s="1775">
        <v>14800</v>
      </c>
      <c r="BM25" s="1775">
        <v>9214.4</v>
      </c>
      <c r="BN25" s="1775">
        <v>0</v>
      </c>
      <c r="BO25" s="1775">
        <v>0</v>
      </c>
      <c r="BP25" s="1775">
        <v>0</v>
      </c>
      <c r="BQ25" s="1099">
        <v>26220.800000000003</v>
      </c>
      <c r="BR25" s="2762"/>
      <c r="BS25" s="2762"/>
      <c r="BT25" s="1546"/>
      <c r="BU25" s="1546"/>
      <c r="BV25" s="1546"/>
      <c r="BW25" s="1546"/>
    </row>
    <row r="26" spans="1:75" ht="15" customHeight="1" thickBot="1" x14ac:dyDescent="0.35">
      <c r="B26" s="1987" t="s">
        <v>712</v>
      </c>
      <c r="C26" s="1962" t="s">
        <v>50</v>
      </c>
      <c r="D26" s="2550">
        <f t="shared" ref="D26:R26" si="127">SUM(D23:D25)</f>
        <v>14270</v>
      </c>
      <c r="E26" s="1748">
        <f t="shared" si="127"/>
        <v>810</v>
      </c>
      <c r="F26" s="2551">
        <f t="shared" si="127"/>
        <v>4661.7268380000005</v>
      </c>
      <c r="G26" s="1748">
        <f t="shared" ref="G26" si="128">SUM(G23:G25)</f>
        <v>810</v>
      </c>
      <c r="H26" s="2551">
        <f t="shared" ref="H26" si="129">SUM(H23:H25)</f>
        <v>2950.1684780000001</v>
      </c>
      <c r="I26" s="1997">
        <f t="shared" si="127"/>
        <v>1620</v>
      </c>
      <c r="J26" s="1964">
        <f t="shared" si="127"/>
        <v>7611.8953160000001</v>
      </c>
      <c r="K26" s="1748">
        <f t="shared" ref="K26:L26" si="130">SUM(K23:K25)</f>
        <v>810</v>
      </c>
      <c r="L26" s="2551">
        <f t="shared" si="130"/>
        <v>1030.457772</v>
      </c>
      <c r="M26" s="2005">
        <f t="shared" si="127"/>
        <v>2430</v>
      </c>
      <c r="N26" s="2006">
        <f t="shared" si="127"/>
        <v>8642.3530879999998</v>
      </c>
      <c r="O26" s="1748">
        <f t="shared" ref="O26:P26" si="131">SUM(O23:O25)</f>
        <v>810</v>
      </c>
      <c r="P26" s="2551">
        <f t="shared" si="131"/>
        <v>0</v>
      </c>
      <c r="Q26" s="1997">
        <f t="shared" si="127"/>
        <v>3240</v>
      </c>
      <c r="R26" s="1964">
        <f t="shared" si="127"/>
        <v>8642.3530879999998</v>
      </c>
      <c r="S26" s="1748">
        <f t="shared" ref="S26:T26" si="132">SUM(S23:S25)</f>
        <v>810</v>
      </c>
      <c r="T26" s="2551">
        <f t="shared" si="132"/>
        <v>164.40840400000002</v>
      </c>
      <c r="U26" s="1997">
        <f t="shared" ref="U26:X26" si="133">SUM(U23:U25)</f>
        <v>4050</v>
      </c>
      <c r="V26" s="1964">
        <f t="shared" si="133"/>
        <v>8806.7614920000015</v>
      </c>
      <c r="W26" s="1748">
        <f t="shared" si="133"/>
        <v>5360</v>
      </c>
      <c r="X26" s="2551">
        <f t="shared" si="133"/>
        <v>292.81079599999998</v>
      </c>
      <c r="Y26" s="378">
        <f t="shared" ref="Y26:Z26" si="134">SUM(Y23:Y25)</f>
        <v>6980</v>
      </c>
      <c r="Z26" s="378">
        <f t="shared" si="134"/>
        <v>457.21919999999994</v>
      </c>
      <c r="AA26" s="544">
        <f t="shared" ref="AA26:AB26" si="135">SUM(AA23:AA25)</f>
        <v>9410</v>
      </c>
      <c r="AB26" s="544">
        <f t="shared" si="135"/>
        <v>9099.5722879999994</v>
      </c>
      <c r="AC26" s="1748">
        <f>SUM(AC23:AC25)</f>
        <v>342</v>
      </c>
      <c r="AD26" s="2551">
        <f>SUM(AD23:AD25)</f>
        <v>302.050434</v>
      </c>
      <c r="AE26" s="1997">
        <f t="shared" ref="AE26:AF26" si="136">SUM(AE23:AE25)</f>
        <v>9752</v>
      </c>
      <c r="AF26" s="1964">
        <f t="shared" si="136"/>
        <v>9401.6227220000001</v>
      </c>
      <c r="AG26" s="1748">
        <f>SUM(AG23:AG25)</f>
        <v>342</v>
      </c>
      <c r="AH26" s="2551">
        <f>SUM(AH23:AH25)</f>
        <v>1541.4762000000001</v>
      </c>
      <c r="AI26" s="1997">
        <f t="shared" ref="AI26:AJ26" si="137">SUM(AI23:AI25)</f>
        <v>10094</v>
      </c>
      <c r="AJ26" s="1964">
        <f t="shared" si="137"/>
        <v>10943.098922000001</v>
      </c>
      <c r="AK26" s="1748">
        <f>SUM(AK23:AK25)</f>
        <v>342</v>
      </c>
      <c r="AL26" s="2551">
        <f>SUM(AL23:AL25)</f>
        <v>4949.9068120000002</v>
      </c>
      <c r="AM26" s="378">
        <f t="shared" ref="AM26:AP26" si="138">SUM(AM23:AM25)</f>
        <v>1026</v>
      </c>
      <c r="AN26" s="378">
        <f t="shared" si="138"/>
        <v>6793.433446</v>
      </c>
      <c r="AO26" s="1997">
        <f t="shared" si="138"/>
        <v>10436</v>
      </c>
      <c r="AP26" s="1964">
        <f t="shared" si="138"/>
        <v>15893.005733999998</v>
      </c>
      <c r="AQ26" s="1748">
        <f>SUM(AQ23:AQ25)</f>
        <v>342</v>
      </c>
      <c r="AR26" s="2551">
        <f>SUM(AR23:AR25)</f>
        <v>565.31097999999997</v>
      </c>
      <c r="AS26" s="1997">
        <f t="shared" ref="AS26:AT26" si="139">SUM(AS23:AS25)</f>
        <v>10778</v>
      </c>
      <c r="AT26" s="1964">
        <f t="shared" si="139"/>
        <v>16458.316714000001</v>
      </c>
      <c r="AU26" s="1748">
        <f>SUM(AU23:AU25)</f>
        <v>342</v>
      </c>
      <c r="AV26" s="2551">
        <f>SUM(AV23:AV25)</f>
        <v>1000.347552</v>
      </c>
      <c r="AW26" s="1997">
        <f t="shared" ref="AW26:AX26" si="140">SUM(AW23:AW25)</f>
        <v>11120</v>
      </c>
      <c r="AX26" s="1964">
        <f t="shared" si="140"/>
        <v>17458.664266</v>
      </c>
      <c r="AY26" s="1748">
        <f>SUM(AY23:AY25)</f>
        <v>342</v>
      </c>
      <c r="AZ26" s="2551">
        <f>SUM(AZ23:AZ25)</f>
        <v>5493.5990359999996</v>
      </c>
      <c r="BA26" s="378">
        <f t="shared" ref="BA26:BF26" si="141">SUM(BA23:BA25)</f>
        <v>1026</v>
      </c>
      <c r="BB26" s="378">
        <f t="shared" si="141"/>
        <v>7059.2575679999991</v>
      </c>
      <c r="BC26" s="544">
        <f t="shared" si="141"/>
        <v>2052</v>
      </c>
      <c r="BD26" s="544">
        <f t="shared" si="141"/>
        <v>13852.691013999998</v>
      </c>
      <c r="BE26" s="1997">
        <f t="shared" si="141"/>
        <v>11462</v>
      </c>
      <c r="BF26" s="1964">
        <f t="shared" si="141"/>
        <v>22952.263301999999</v>
      </c>
      <c r="BG26" s="1140">
        <v>9365</v>
      </c>
      <c r="BH26" s="1140">
        <v>25856.451263999999</v>
      </c>
      <c r="BI26" s="1140">
        <v>21561.099796333998</v>
      </c>
      <c r="BJ26" s="1140">
        <v>13596.897650000001</v>
      </c>
      <c r="BK26" s="1140">
        <v>16335.783939999998</v>
      </c>
      <c r="BL26" s="1140">
        <v>34535.515274949088</v>
      </c>
      <c r="BM26" s="1140">
        <v>34350.237350000003</v>
      </c>
      <c r="BN26" s="1140">
        <v>21147.018447889259</v>
      </c>
      <c r="BO26" s="1140">
        <v>62073.000000000007</v>
      </c>
      <c r="BP26" s="1140">
        <v>31376.912034595443</v>
      </c>
      <c r="BQ26" s="2014">
        <v>169122.95610000001</v>
      </c>
      <c r="BR26" s="2762"/>
      <c r="BS26" s="2762"/>
      <c r="BT26" s="1546"/>
      <c r="BU26" s="1546"/>
      <c r="BV26" s="1546"/>
      <c r="BW26" s="1546"/>
    </row>
    <row r="27" spans="1:75" ht="15" customHeight="1" thickBot="1" x14ac:dyDescent="0.35">
      <c r="B27" s="1988" t="s">
        <v>708</v>
      </c>
      <c r="C27" s="1959" t="s">
        <v>50</v>
      </c>
      <c r="D27" s="5282">
        <v>3541.35</v>
      </c>
      <c r="E27" s="524">
        <v>273.99599999999998</v>
      </c>
      <c r="F27" s="1994">
        <v>374.5</v>
      </c>
      <c r="G27" s="524">
        <v>279.98</v>
      </c>
      <c r="H27" s="1994">
        <v>603.86199999999997</v>
      </c>
      <c r="I27" s="1815">
        <f>+E27+G27</f>
        <v>553.976</v>
      </c>
      <c r="J27" s="1816">
        <f>+F27+H27</f>
        <v>978.36199999999997</v>
      </c>
      <c r="K27" s="524">
        <v>273.99599999999998</v>
      </c>
      <c r="L27" s="1994">
        <v>0</v>
      </c>
      <c r="M27" s="1817">
        <f>+E27+G27+K27</f>
        <v>827.97199999999998</v>
      </c>
      <c r="N27" s="2004">
        <f>+F27+H27+L27</f>
        <v>978.36199999999997</v>
      </c>
      <c r="O27" s="524">
        <v>276.24</v>
      </c>
      <c r="P27" s="1994">
        <v>0</v>
      </c>
      <c r="Q27" s="1815">
        <f>+M27+O27</f>
        <v>1104.212</v>
      </c>
      <c r="R27" s="1816">
        <f>+N27+P27</f>
        <v>978.36199999999997</v>
      </c>
      <c r="S27" s="524">
        <v>276.24</v>
      </c>
      <c r="T27" s="1994">
        <v>0</v>
      </c>
      <c r="U27" s="1815">
        <f>+Q27+S27</f>
        <v>1380.452</v>
      </c>
      <c r="V27" s="1816">
        <f>+R27+T27</f>
        <v>978.36199999999997</v>
      </c>
      <c r="W27" s="524">
        <v>498.97</v>
      </c>
      <c r="X27" s="1994">
        <v>0</v>
      </c>
      <c r="Y27" s="781">
        <f>+O27+S27+W27</f>
        <v>1051.45</v>
      </c>
      <c r="Z27" s="781">
        <f>+P27+T27+X27</f>
        <v>0</v>
      </c>
      <c r="AA27" s="465">
        <f>+M27+Y27</f>
        <v>1879.422</v>
      </c>
      <c r="AB27" s="465">
        <f>+N27+Z27</f>
        <v>978.36199999999997</v>
      </c>
      <c r="AC27" s="524">
        <v>226.1</v>
      </c>
      <c r="AD27" s="1994">
        <v>0</v>
      </c>
      <c r="AE27" s="1815">
        <f>+AA27+AC27</f>
        <v>2105.5219999999999</v>
      </c>
      <c r="AF27" s="1816">
        <f>+AB27+AD27</f>
        <v>978.36199999999997</v>
      </c>
      <c r="AG27" s="524">
        <v>220.02</v>
      </c>
      <c r="AH27" s="1994">
        <v>1174.3690000000001</v>
      </c>
      <c r="AI27" s="1815">
        <f>+AE27+AG27</f>
        <v>2325.5419999999999</v>
      </c>
      <c r="AJ27" s="1816">
        <f>+AF27+AH27</f>
        <v>2152.7310000000002</v>
      </c>
      <c r="AK27" s="524">
        <v>226.1</v>
      </c>
      <c r="AL27" s="1994">
        <v>1177.7849999999999</v>
      </c>
      <c r="AM27" s="781">
        <f>+AC27+AG27+AK27</f>
        <v>672.22</v>
      </c>
      <c r="AN27" s="781">
        <f>+AD27+AH27+AL27</f>
        <v>2352.154</v>
      </c>
      <c r="AO27" s="61">
        <f t="shared" si="123"/>
        <v>2551.6419999999998</v>
      </c>
      <c r="AP27" s="61">
        <f t="shared" si="123"/>
        <v>3330.5160000000001</v>
      </c>
      <c r="AQ27" s="524">
        <v>226.1</v>
      </c>
      <c r="AR27" s="1994">
        <v>766.2410000000001</v>
      </c>
      <c r="AS27" s="1815">
        <f>+AO27+AQ27</f>
        <v>2777.7419999999997</v>
      </c>
      <c r="AT27" s="1816">
        <f>+AP27+AR27</f>
        <v>4096.7570000000005</v>
      </c>
      <c r="AU27" s="524">
        <v>207.1</v>
      </c>
      <c r="AV27" s="1994">
        <v>658.14700000000005</v>
      </c>
      <c r="AW27" s="1815">
        <f>+AS27+AU27</f>
        <v>2984.8419999999996</v>
      </c>
      <c r="AX27" s="1816">
        <f>+AT27+AV27</f>
        <v>4754.9040000000005</v>
      </c>
      <c r="AY27" s="524">
        <v>226.1</v>
      </c>
      <c r="AZ27" s="1994">
        <v>554.32999999999993</v>
      </c>
      <c r="BA27" s="781">
        <f>+AQ27+AU27+AY27</f>
        <v>659.3</v>
      </c>
      <c r="BB27" s="781">
        <f>+AR27+AV27+AZ27</f>
        <v>1978.7180000000001</v>
      </c>
      <c r="BC27" s="465">
        <f>AM27+BA27</f>
        <v>1331.52</v>
      </c>
      <c r="BD27" s="465">
        <f>AN27+BB27</f>
        <v>4330.8720000000003</v>
      </c>
      <c r="BE27" s="61">
        <f t="shared" ref="BE27:BE28" si="142">AW27+AY27</f>
        <v>3210.9419999999996</v>
      </c>
      <c r="BF27" s="61">
        <f t="shared" ref="BF27:BF28" si="143">AX27+AZ27</f>
        <v>5309.2340000000004</v>
      </c>
      <c r="BG27" s="1775">
        <v>2831.4999999999995</v>
      </c>
      <c r="BH27" s="1775">
        <v>7991.4859999999999</v>
      </c>
      <c r="BI27" s="1775">
        <v>2377.8719999999994</v>
      </c>
      <c r="BJ27" s="1775">
        <v>6141.3949999999995</v>
      </c>
      <c r="BK27" s="1775">
        <v>5885.7340000000004</v>
      </c>
      <c r="BL27" s="1775">
        <v>2398.5599999999995</v>
      </c>
      <c r="BM27" s="1775">
        <v>13377.679</v>
      </c>
      <c r="BN27" s="1775">
        <v>11568.989680591383</v>
      </c>
      <c r="BO27" s="1775">
        <v>41093.9</v>
      </c>
      <c r="BP27" s="1775">
        <v>0</v>
      </c>
      <c r="BQ27" s="1099">
        <v>44255.19</v>
      </c>
      <c r="BR27" s="2762"/>
      <c r="BS27" s="2762"/>
      <c r="BT27" s="1546"/>
      <c r="BU27" s="1546"/>
      <c r="BV27" s="1546"/>
      <c r="BW27" s="1546"/>
    </row>
    <row r="28" spans="1:75" ht="15" customHeight="1" thickBot="1" x14ac:dyDescent="0.35">
      <c r="B28" s="1989" t="s">
        <v>348</v>
      </c>
      <c r="C28" s="1959" t="s">
        <v>50</v>
      </c>
      <c r="D28" s="1960">
        <v>1081234</v>
      </c>
      <c r="E28" s="1813">
        <v>92363.04</v>
      </c>
      <c r="F28" s="1992">
        <v>70955.830536000009</v>
      </c>
      <c r="G28" s="1813">
        <v>95295.2</v>
      </c>
      <c r="H28" s="1992">
        <v>75418.546496999988</v>
      </c>
      <c r="I28" s="1815">
        <f>+E28+G28</f>
        <v>187658.23999999999</v>
      </c>
      <c r="J28" s="1816">
        <f>+F28+H28</f>
        <v>146374.377033</v>
      </c>
      <c r="K28" s="1813">
        <v>92363.04</v>
      </c>
      <c r="L28" s="1992">
        <v>72846.055192</v>
      </c>
      <c r="M28" s="1817">
        <f>+E28+G28+K28</f>
        <v>280021.27999999997</v>
      </c>
      <c r="N28" s="2004">
        <f>+F28+H28+L28</f>
        <v>219220.432225</v>
      </c>
      <c r="O28" s="1813">
        <v>93462.6</v>
      </c>
      <c r="P28" s="1992">
        <v>75682.969600000011</v>
      </c>
      <c r="Q28" s="1815">
        <f>+M28+O28</f>
        <v>373483.88</v>
      </c>
      <c r="R28" s="1816">
        <f>+N28+P28</f>
        <v>294903.40182500001</v>
      </c>
      <c r="S28" s="1813">
        <v>93462.6</v>
      </c>
      <c r="T28" s="1992">
        <v>80832.023354799981</v>
      </c>
      <c r="U28" s="1815">
        <f>+Q28+S28</f>
        <v>466946.48</v>
      </c>
      <c r="V28" s="1816">
        <f>+R28+T28</f>
        <v>375735.42517980002</v>
      </c>
      <c r="W28" s="1813">
        <v>51312.800000000003</v>
      </c>
      <c r="X28" s="1992">
        <v>79584.048650599972</v>
      </c>
      <c r="Y28" s="781">
        <f>+O28+S28+W28</f>
        <v>238238</v>
      </c>
      <c r="Z28" s="781">
        <f>+P28+T28+X28</f>
        <v>236099.04160539998</v>
      </c>
      <c r="AA28" s="465">
        <f>+M28+Y28</f>
        <v>518259.27999999997</v>
      </c>
      <c r="AB28" s="465">
        <f>+N28+Z28</f>
        <v>455319.47383039998</v>
      </c>
      <c r="AC28" s="1813">
        <v>93198.103266596401</v>
      </c>
      <c r="AD28" s="1992">
        <v>81673.877294999998</v>
      </c>
      <c r="AE28" s="1815">
        <f>+AA28+AC28</f>
        <v>611457.38326659636</v>
      </c>
      <c r="AF28" s="1816">
        <f>+AB28+AD28</f>
        <v>536993.35112539993</v>
      </c>
      <c r="AG28" s="1813">
        <v>90215.763962065321</v>
      </c>
      <c r="AH28" s="1992">
        <v>2328.2551100000001</v>
      </c>
      <c r="AI28" s="1815">
        <f>+AE28+AG28</f>
        <v>701673.14722866169</v>
      </c>
      <c r="AJ28" s="1816">
        <f>+AF28+AH28</f>
        <v>539321.60623539996</v>
      </c>
      <c r="AK28" s="1813">
        <v>93198.103266596401</v>
      </c>
      <c r="AL28" s="1992">
        <v>92452.295552999989</v>
      </c>
      <c r="AM28" s="781">
        <f>+AC28+AG28+AK28</f>
        <v>276611.97049525811</v>
      </c>
      <c r="AN28" s="781">
        <f>+AD28+AH28+AL28</f>
        <v>176454.42795799999</v>
      </c>
      <c r="AO28" s="61">
        <f t="shared" ref="AO28:AP30" si="144">AI28+AK28</f>
        <v>794871.25049525814</v>
      </c>
      <c r="AP28" s="61">
        <f t="shared" ref="AP28" si="145">AJ28+AL28</f>
        <v>631773.9017883999</v>
      </c>
      <c r="AQ28" s="1813">
        <v>93198.103266596401</v>
      </c>
      <c r="AR28" s="1992">
        <v>94062.295636000024</v>
      </c>
      <c r="AS28" s="1815">
        <f>+AO28+AQ28</f>
        <v>888069.35376185458</v>
      </c>
      <c r="AT28" s="1816">
        <f>+AP28+AR28</f>
        <v>725836.1974243999</v>
      </c>
      <c r="AU28" s="1813">
        <v>83878.292939936771</v>
      </c>
      <c r="AV28" s="1992">
        <v>80273.363262000028</v>
      </c>
      <c r="AW28" s="1815">
        <f>+AS28+AU28</f>
        <v>971947.64670179132</v>
      </c>
      <c r="AX28" s="1816">
        <f>+AT28+AV28</f>
        <v>806109.56068639993</v>
      </c>
      <c r="AY28" s="1813">
        <v>93198.103266596401</v>
      </c>
      <c r="AZ28" s="1992">
        <v>90266.533928000033</v>
      </c>
      <c r="BA28" s="781">
        <f>+AQ28+AU28+AY28</f>
        <v>270274.49947312957</v>
      </c>
      <c r="BB28" s="781">
        <f>+AR28+AV28+AZ28</f>
        <v>264602.1928260001</v>
      </c>
      <c r="BC28" s="465">
        <f>AM28+BA28</f>
        <v>546886.46996838762</v>
      </c>
      <c r="BD28" s="465">
        <f>AN28+BB28</f>
        <v>441056.62078400009</v>
      </c>
      <c r="BE28" s="61">
        <f t="shared" si="142"/>
        <v>1065145.7499683877</v>
      </c>
      <c r="BF28" s="61">
        <f t="shared" si="143"/>
        <v>896376.09461439995</v>
      </c>
      <c r="BG28" s="1775">
        <v>987899.89462592197</v>
      </c>
      <c r="BH28" s="1775">
        <v>899258.75527899992</v>
      </c>
      <c r="BI28" s="1775">
        <v>1063046.9968387778</v>
      </c>
      <c r="BJ28" s="1775">
        <v>1075244.6396029999</v>
      </c>
      <c r="BK28" s="1775">
        <v>1065593.0052819999</v>
      </c>
      <c r="BL28" s="1775">
        <v>157305.11720405263</v>
      </c>
      <c r="BM28" s="1775">
        <v>920129.29913014814</v>
      </c>
      <c r="BN28" s="1775">
        <v>882599.96545301133</v>
      </c>
      <c r="BO28" s="1775">
        <v>776699</v>
      </c>
      <c r="BP28" s="1775">
        <v>854657.99999999988</v>
      </c>
      <c r="BQ28" s="1099">
        <v>809638.20576449996</v>
      </c>
      <c r="BR28" s="2762"/>
      <c r="BS28" s="2762"/>
      <c r="BT28" s="1546"/>
      <c r="BU28" s="1546"/>
      <c r="BV28" s="1546"/>
      <c r="BW28" s="1546"/>
    </row>
    <row r="29" spans="1:75" ht="15" customHeight="1" x14ac:dyDescent="0.3">
      <c r="A29" s="149"/>
      <c r="B29" s="1969" t="s">
        <v>31</v>
      </c>
      <c r="C29" s="26"/>
      <c r="D29" s="2534"/>
      <c r="E29" s="2534"/>
      <c r="F29" s="2534"/>
      <c r="G29" s="2534"/>
      <c r="H29" s="2534"/>
      <c r="I29" s="2534"/>
      <c r="J29" s="2534"/>
      <c r="K29" s="2534"/>
      <c r="L29" s="2534"/>
      <c r="M29" s="2534"/>
      <c r="N29" s="2534"/>
      <c r="O29" s="2534"/>
      <c r="P29" s="2534"/>
      <c r="Q29" s="2534"/>
      <c r="R29" s="2534"/>
      <c r="S29" s="2534"/>
      <c r="T29" s="2534"/>
      <c r="U29" s="2534"/>
      <c r="V29" s="2534"/>
      <c r="W29" s="2534"/>
      <c r="X29" s="2534"/>
      <c r="Y29" s="2534"/>
      <c r="Z29" s="2534"/>
      <c r="AA29" s="2534"/>
      <c r="AB29" s="2534"/>
      <c r="AC29" s="2534"/>
      <c r="AD29" s="2534"/>
      <c r="AE29" s="2534"/>
      <c r="AF29" s="2534"/>
      <c r="AG29" s="2534"/>
      <c r="AH29" s="2534"/>
      <c r="AI29" s="2534"/>
      <c r="AJ29" s="2534"/>
      <c r="AK29" s="2534"/>
      <c r="AL29" s="2534"/>
      <c r="AM29" s="2534"/>
      <c r="AN29" s="2534"/>
      <c r="AO29" s="2534"/>
      <c r="AP29" s="2535"/>
      <c r="AQ29" s="2534"/>
      <c r="AR29" s="2534"/>
      <c r="AS29" s="2534"/>
      <c r="AT29" s="2534"/>
      <c r="AU29" s="2534"/>
      <c r="AV29" s="2534"/>
      <c r="AW29" s="2534"/>
      <c r="AX29" s="2534"/>
      <c r="AY29" s="2534"/>
      <c r="AZ29" s="2534"/>
      <c r="BA29" s="2534"/>
      <c r="BB29" s="2534"/>
      <c r="BC29" s="2534"/>
      <c r="BD29" s="2534"/>
      <c r="BE29" s="2534"/>
      <c r="BF29" s="2535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012"/>
      <c r="BR29" s="2762"/>
      <c r="BS29" s="2762"/>
      <c r="BT29" s="1546"/>
      <c r="BU29" s="1546"/>
      <c r="BV29" s="1546"/>
      <c r="BW29" s="1546"/>
    </row>
    <row r="30" spans="1:75" ht="15" customHeight="1" x14ac:dyDescent="0.3">
      <c r="B30" s="1968" t="s">
        <v>34</v>
      </c>
      <c r="C30" s="1949" t="s">
        <v>50</v>
      </c>
      <c r="D30" s="2532">
        <v>500000</v>
      </c>
      <c r="E30" s="1339">
        <v>42500</v>
      </c>
      <c r="F30" s="18">
        <f>+WRM!F154</f>
        <v>36744.180000000008</v>
      </c>
      <c r="G30" s="1339">
        <v>44000</v>
      </c>
      <c r="H30" s="18">
        <f>+WRM!H154</f>
        <v>39374.35</v>
      </c>
      <c r="I30" s="61">
        <f t="shared" ref="I30:J32" si="146">+E30+G30</f>
        <v>86500</v>
      </c>
      <c r="J30" s="39">
        <f t="shared" si="146"/>
        <v>76118.53</v>
      </c>
      <c r="K30" s="1339">
        <v>42500</v>
      </c>
      <c r="L30" s="18">
        <f>+WRM!L154</f>
        <v>38297.499999999993</v>
      </c>
      <c r="M30" s="72">
        <f t="shared" ref="M30:N32" si="147">+E30+G30+K30</f>
        <v>129000</v>
      </c>
      <c r="N30" s="69">
        <f t="shared" si="147"/>
        <v>114416.03</v>
      </c>
      <c r="O30" s="1339">
        <v>44000</v>
      </c>
      <c r="P30" s="18">
        <f>+WRM!P154</f>
        <v>47070.05</v>
      </c>
      <c r="Q30" s="61">
        <f t="shared" ref="Q30:R32" si="148">+M30+O30</f>
        <v>173000</v>
      </c>
      <c r="R30" s="39">
        <f t="shared" si="148"/>
        <v>161486.08000000002</v>
      </c>
      <c r="S30" s="1339">
        <v>44000</v>
      </c>
      <c r="T30" s="18">
        <f>+WRM!T154</f>
        <v>38734.750000000007</v>
      </c>
      <c r="U30" s="61">
        <f t="shared" ref="U30:U32" si="149">+Q30+S30</f>
        <v>217000</v>
      </c>
      <c r="V30" s="39">
        <f t="shared" ref="V30:V32" si="150">+R30+T30</f>
        <v>200220.83000000002</v>
      </c>
      <c r="W30" s="1339">
        <v>25000</v>
      </c>
      <c r="X30" s="18">
        <f>+WRM!X154</f>
        <v>41006.150000000009</v>
      </c>
      <c r="Y30" s="781">
        <f t="shared" ref="Y30:Z32" si="151">+O30+S30+W30</f>
        <v>113000</v>
      </c>
      <c r="Z30" s="781">
        <f t="shared" si="151"/>
        <v>126810.95000000003</v>
      </c>
      <c r="AA30" s="465">
        <f t="shared" ref="AA30:AB32" si="152">+M30+Y30</f>
        <v>242000</v>
      </c>
      <c r="AB30" s="465">
        <f t="shared" si="152"/>
        <v>241226.98000000004</v>
      </c>
      <c r="AC30" s="1339">
        <v>45500</v>
      </c>
      <c r="AD30" s="18">
        <f>+WRM!AD154</f>
        <v>42384.76</v>
      </c>
      <c r="AE30" s="61">
        <f t="shared" ref="AE30:AE32" si="153">+AA30+AC30</f>
        <v>287500</v>
      </c>
      <c r="AF30" s="39">
        <f t="shared" ref="AF30:AF32" si="154">+AB30+AD30</f>
        <v>283611.74000000005</v>
      </c>
      <c r="AG30" s="1339">
        <v>44000</v>
      </c>
      <c r="AH30" s="18">
        <f>+WRM!AH154</f>
        <v>19981.350000000006</v>
      </c>
      <c r="AI30" s="61">
        <f t="shared" ref="AI30:AI32" si="155">+AE30+AG30</f>
        <v>331500</v>
      </c>
      <c r="AJ30" s="39">
        <f t="shared" ref="AJ30:AJ32" si="156">+AF30+AH30</f>
        <v>303593.09000000008</v>
      </c>
      <c r="AK30" s="1339">
        <v>45500</v>
      </c>
      <c r="AL30" s="18">
        <f>+WRM!AL154</f>
        <v>39200.100000000013</v>
      </c>
      <c r="AM30" s="781">
        <f t="shared" ref="AM30:AM32" si="157">+AC30+AG30+AK30</f>
        <v>135000</v>
      </c>
      <c r="AN30" s="781">
        <f t="shared" ref="AN30:AN32" si="158">+AD30+AH30+AL30</f>
        <v>101566.21000000002</v>
      </c>
      <c r="AO30" s="61">
        <f t="shared" si="144"/>
        <v>377000</v>
      </c>
      <c r="AP30" s="61">
        <f t="shared" si="144"/>
        <v>342793.19000000012</v>
      </c>
      <c r="AQ30" s="1339">
        <f>45.5*1000</f>
        <v>45500</v>
      </c>
      <c r="AR30" s="18">
        <f>+WRM!AR154</f>
        <v>40296.849999999991</v>
      </c>
      <c r="AS30" s="61">
        <f t="shared" ref="AS30:AS32" si="159">+AO30+AQ30</f>
        <v>422500</v>
      </c>
      <c r="AT30" s="39">
        <f t="shared" ref="AT30:AT32" si="160">+AP30+AR30</f>
        <v>383090.0400000001</v>
      </c>
      <c r="AU30" s="1339">
        <f>40.5*1000</f>
        <v>40500</v>
      </c>
      <c r="AV30" s="18">
        <f>+WRM!AV154</f>
        <v>34335.35</v>
      </c>
      <c r="AW30" s="61">
        <f t="shared" ref="AW30:AW32" si="161">+AS30+AU30</f>
        <v>463000</v>
      </c>
      <c r="AX30" s="39">
        <f t="shared" ref="AX30:AX32" si="162">+AT30+AV30</f>
        <v>417425.39000000007</v>
      </c>
      <c r="AY30" s="1339">
        <f>45.5*1000</f>
        <v>45500</v>
      </c>
      <c r="AZ30" s="18">
        <f>+WRM!AZ154</f>
        <v>43072.55000000001</v>
      </c>
      <c r="BA30" s="781">
        <f t="shared" ref="BA30:BA32" si="163">+AQ30+AU30+AY30</f>
        <v>131500</v>
      </c>
      <c r="BB30" s="781">
        <f t="shared" ref="BB30:BB32" si="164">+AR30+AV30+AZ30</f>
        <v>117704.75</v>
      </c>
      <c r="BC30" s="465">
        <f>AM30+BA30</f>
        <v>266500</v>
      </c>
      <c r="BD30" s="465">
        <f t="shared" ref="BD30:BD32" si="165">AN30+BB30</f>
        <v>219270.96000000002</v>
      </c>
      <c r="BE30" s="61">
        <f t="shared" ref="BE30:BE32" si="166">AW30+AY30</f>
        <v>508500</v>
      </c>
      <c r="BF30" s="61">
        <f t="shared" ref="BF30:BF32" si="167">AX30+AZ30</f>
        <v>460497.94000000006</v>
      </c>
      <c r="BG30" s="1775">
        <v>500000</v>
      </c>
      <c r="BH30" s="1775">
        <v>459030.64</v>
      </c>
      <c r="BI30" s="1775">
        <v>500000</v>
      </c>
      <c r="BJ30" s="1775">
        <v>478528.38500000013</v>
      </c>
      <c r="BK30" s="1775">
        <v>466114.65</v>
      </c>
      <c r="BL30" s="1775">
        <v>500000</v>
      </c>
      <c r="BM30" s="1775">
        <v>465343.766</v>
      </c>
      <c r="BN30" s="1775">
        <v>435965.96179320005</v>
      </c>
      <c r="BO30" s="1775">
        <v>356518.65800000005</v>
      </c>
      <c r="BP30" s="1775">
        <v>500000</v>
      </c>
      <c r="BQ30" s="1099">
        <v>412025.22</v>
      </c>
      <c r="BR30" s="2762"/>
      <c r="BS30" s="2762"/>
      <c r="BT30" s="1546"/>
      <c r="BU30" s="1546"/>
      <c r="BV30" s="1546"/>
      <c r="BW30" s="1546"/>
    </row>
    <row r="31" spans="1:75" ht="15" customHeight="1" x14ac:dyDescent="0.3">
      <c r="B31" s="1968" t="s">
        <v>346</v>
      </c>
      <c r="C31" s="1949" t="s">
        <v>50</v>
      </c>
      <c r="D31" s="2532">
        <v>900000</v>
      </c>
      <c r="E31" s="1339">
        <v>76000</v>
      </c>
      <c r="F31" s="18">
        <f>+BM!F56</f>
        <v>66895.455000000031</v>
      </c>
      <c r="G31" s="1339">
        <v>79000</v>
      </c>
      <c r="H31" s="18">
        <f>+BM!H56</f>
        <v>76175.635000000068</v>
      </c>
      <c r="I31" s="61">
        <f t="shared" si="146"/>
        <v>155000</v>
      </c>
      <c r="J31" s="39">
        <f t="shared" si="146"/>
        <v>143071.09000000008</v>
      </c>
      <c r="K31" s="1339">
        <v>76000</v>
      </c>
      <c r="L31" s="18">
        <f>+BM!L56</f>
        <v>73644.015000000058</v>
      </c>
      <c r="M31" s="72">
        <f t="shared" si="147"/>
        <v>231000</v>
      </c>
      <c r="N31" s="69">
        <f t="shared" si="147"/>
        <v>216715.10500000016</v>
      </c>
      <c r="O31" s="1339">
        <v>79000</v>
      </c>
      <c r="P31" s="18">
        <f>+BM!P56</f>
        <v>88056.490000000107</v>
      </c>
      <c r="Q31" s="61">
        <f t="shared" si="148"/>
        <v>310000</v>
      </c>
      <c r="R31" s="39">
        <f t="shared" si="148"/>
        <v>304771.59500000026</v>
      </c>
      <c r="S31" s="1339">
        <v>79000</v>
      </c>
      <c r="T31" s="18">
        <f>+BM!T56</f>
        <v>75853.695000000036</v>
      </c>
      <c r="U31" s="61">
        <f t="shared" si="149"/>
        <v>389000</v>
      </c>
      <c r="V31" s="39">
        <f t="shared" si="150"/>
        <v>380625.29000000027</v>
      </c>
      <c r="W31" s="1339">
        <f>47.5*1000</f>
        <v>47500</v>
      </c>
      <c r="X31" s="18">
        <f>+BM!X56</f>
        <v>76319.035000000062</v>
      </c>
      <c r="Y31" s="781">
        <f t="shared" si="151"/>
        <v>205500</v>
      </c>
      <c r="Z31" s="781">
        <f t="shared" si="151"/>
        <v>240229.2200000002</v>
      </c>
      <c r="AA31" s="465">
        <f t="shared" si="152"/>
        <v>436500</v>
      </c>
      <c r="AB31" s="465">
        <f t="shared" si="152"/>
        <v>456944.32500000036</v>
      </c>
      <c r="AC31" s="1339">
        <v>80000</v>
      </c>
      <c r="AD31" s="18">
        <f>+BM!AD56</f>
        <v>66747.800000000017</v>
      </c>
      <c r="AE31" s="61">
        <f t="shared" si="153"/>
        <v>516500</v>
      </c>
      <c r="AF31" s="39">
        <f t="shared" si="154"/>
        <v>523692.12500000035</v>
      </c>
      <c r="AG31" s="1339">
        <v>77500</v>
      </c>
      <c r="AH31" s="18">
        <f>+BM!AH56</f>
        <v>3169.7200000000003</v>
      </c>
      <c r="AI31" s="61">
        <f t="shared" si="155"/>
        <v>594000</v>
      </c>
      <c r="AJ31" s="39">
        <f t="shared" si="156"/>
        <v>526861.84500000032</v>
      </c>
      <c r="AK31" s="1339">
        <v>80000</v>
      </c>
      <c r="AL31" s="18">
        <f>+BM!AL56</f>
        <v>70630.630000000063</v>
      </c>
      <c r="AM31" s="781">
        <f t="shared" si="157"/>
        <v>237500</v>
      </c>
      <c r="AN31" s="781">
        <f t="shared" si="158"/>
        <v>140548.15000000008</v>
      </c>
      <c r="AO31" s="61">
        <f t="shared" ref="AO31:AP34" si="168">AI31+AK31</f>
        <v>674000</v>
      </c>
      <c r="AP31" s="61">
        <f t="shared" ref="AP31:AP32" si="169">AJ31+AL31</f>
        <v>597492.47500000033</v>
      </c>
      <c r="AQ31" s="1339">
        <v>80000</v>
      </c>
      <c r="AR31" s="18">
        <f>+BM!AR56</f>
        <v>70085.115000000107</v>
      </c>
      <c r="AS31" s="61">
        <f t="shared" si="159"/>
        <v>754000</v>
      </c>
      <c r="AT31" s="39">
        <f t="shared" si="160"/>
        <v>667577.59000000043</v>
      </c>
      <c r="AU31" s="1339">
        <f>72.5*1000</f>
        <v>72500</v>
      </c>
      <c r="AV31" s="18">
        <f>+BM!AV56</f>
        <v>65990.000000000058</v>
      </c>
      <c r="AW31" s="61">
        <f t="shared" si="161"/>
        <v>826500</v>
      </c>
      <c r="AX31" s="39">
        <f t="shared" si="162"/>
        <v>733567.59000000055</v>
      </c>
      <c r="AY31" s="1339">
        <v>80000</v>
      </c>
      <c r="AZ31" s="18">
        <f>+BM!AZ56</f>
        <v>78010.610000000073</v>
      </c>
      <c r="BA31" s="781">
        <f t="shared" si="163"/>
        <v>232500</v>
      </c>
      <c r="BB31" s="781">
        <f t="shared" si="164"/>
        <v>214085.72500000024</v>
      </c>
      <c r="BC31" s="465">
        <f>AM31+BA31</f>
        <v>470000</v>
      </c>
      <c r="BD31" s="465">
        <f t="shared" si="165"/>
        <v>354633.87500000035</v>
      </c>
      <c r="BE31" s="61">
        <f t="shared" si="166"/>
        <v>906500</v>
      </c>
      <c r="BF31" s="61">
        <f t="shared" si="167"/>
        <v>811578.20000000065</v>
      </c>
      <c r="BG31" s="1775">
        <v>870000</v>
      </c>
      <c r="BH31" s="1775">
        <v>750867.84800000093</v>
      </c>
      <c r="BI31" s="1775">
        <v>850000</v>
      </c>
      <c r="BJ31" s="1775">
        <v>795322.27300000074</v>
      </c>
      <c r="BK31" s="1775">
        <v>775906.62549999985</v>
      </c>
      <c r="BL31" s="1775">
        <v>750000</v>
      </c>
      <c r="BM31" s="1775">
        <v>649840.96399999992</v>
      </c>
      <c r="BN31" s="1775">
        <v>674875.14</v>
      </c>
      <c r="BO31" s="1775">
        <v>440547.26999999996</v>
      </c>
      <c r="BP31" s="1775">
        <v>800000</v>
      </c>
      <c r="BQ31" s="1099">
        <v>632220.18000000005</v>
      </c>
      <c r="BR31" s="2762"/>
      <c r="BS31" s="2762"/>
      <c r="BT31" s="1546"/>
      <c r="BU31" s="1546"/>
      <c r="BV31" s="1546"/>
      <c r="BW31" s="1546"/>
    </row>
    <row r="32" spans="1:75" ht="15" customHeight="1" x14ac:dyDescent="0.3">
      <c r="B32" s="1968" t="s">
        <v>109</v>
      </c>
      <c r="C32" s="1949" t="s">
        <v>50</v>
      </c>
      <c r="D32" s="2532">
        <v>750000</v>
      </c>
      <c r="E32" s="1339">
        <v>62000</v>
      </c>
      <c r="F32" s="18">
        <f>+USM!G108</f>
        <v>49543.777000000002</v>
      </c>
      <c r="G32" s="1339">
        <v>65000</v>
      </c>
      <c r="H32" s="18">
        <f>+USM!I108</f>
        <v>57219.144</v>
      </c>
      <c r="I32" s="61">
        <f t="shared" si="146"/>
        <v>127000</v>
      </c>
      <c r="J32" s="39">
        <f t="shared" si="146"/>
        <v>106762.921</v>
      </c>
      <c r="K32" s="1339">
        <v>62500</v>
      </c>
      <c r="L32" s="18">
        <f>+USM!M108</f>
        <v>58674.632999999994</v>
      </c>
      <c r="M32" s="72">
        <f t="shared" si="147"/>
        <v>189500</v>
      </c>
      <c r="N32" s="69">
        <f t="shared" si="147"/>
        <v>165437.554</v>
      </c>
      <c r="O32" s="1339">
        <v>65000</v>
      </c>
      <c r="P32" s="18">
        <f>+USM!Q108</f>
        <v>57327.387000000002</v>
      </c>
      <c r="Q32" s="61">
        <f t="shared" si="148"/>
        <v>254500</v>
      </c>
      <c r="R32" s="39">
        <f t="shared" si="148"/>
        <v>222764.94099999999</v>
      </c>
      <c r="S32" s="1339">
        <v>65000</v>
      </c>
      <c r="T32" s="18">
        <f>+USM!U108</f>
        <v>44406.292999999998</v>
      </c>
      <c r="U32" s="61">
        <f t="shared" si="149"/>
        <v>319500</v>
      </c>
      <c r="V32" s="39">
        <f t="shared" si="150"/>
        <v>267171.234</v>
      </c>
      <c r="W32" s="1339">
        <v>33500</v>
      </c>
      <c r="X32" s="18">
        <f>+USM!Y108</f>
        <v>50010.385999999991</v>
      </c>
      <c r="Y32" s="781">
        <f t="shared" si="151"/>
        <v>163500</v>
      </c>
      <c r="Z32" s="781">
        <f t="shared" si="151"/>
        <v>151744.06599999999</v>
      </c>
      <c r="AA32" s="465">
        <f t="shared" si="152"/>
        <v>353000</v>
      </c>
      <c r="AB32" s="465">
        <f t="shared" si="152"/>
        <v>317181.62</v>
      </c>
      <c r="AC32" s="1339">
        <v>54000</v>
      </c>
      <c r="AD32" s="18">
        <f>+USM!AE108</f>
        <v>44900.301000000007</v>
      </c>
      <c r="AE32" s="61">
        <f t="shared" si="153"/>
        <v>407000</v>
      </c>
      <c r="AF32" s="39">
        <f t="shared" si="154"/>
        <v>362081.92099999997</v>
      </c>
      <c r="AG32" s="1339">
        <v>52000</v>
      </c>
      <c r="AH32" s="18">
        <f>+USM!AI108</f>
        <v>8584.9840000000004</v>
      </c>
      <c r="AI32" s="61">
        <f t="shared" si="155"/>
        <v>459000</v>
      </c>
      <c r="AJ32" s="39">
        <f t="shared" si="156"/>
        <v>370666.90499999997</v>
      </c>
      <c r="AK32" s="1339">
        <v>54000</v>
      </c>
      <c r="AL32" s="18">
        <f>+USM!AM108</f>
        <v>40066.768000000004</v>
      </c>
      <c r="AM32" s="781">
        <f t="shared" si="157"/>
        <v>160000</v>
      </c>
      <c r="AN32" s="781">
        <f t="shared" si="158"/>
        <v>93552.053000000014</v>
      </c>
      <c r="AO32" s="61">
        <f t="shared" si="168"/>
        <v>513000</v>
      </c>
      <c r="AP32" s="61">
        <f t="shared" si="169"/>
        <v>410733.67299999995</v>
      </c>
      <c r="AQ32" s="1339">
        <v>54000</v>
      </c>
      <c r="AR32" s="18">
        <f>+USM!AS108</f>
        <v>51039.178999999996</v>
      </c>
      <c r="AS32" s="61">
        <f t="shared" si="159"/>
        <v>567000</v>
      </c>
      <c r="AT32" s="39">
        <f t="shared" si="160"/>
        <v>461772.85199999996</v>
      </c>
      <c r="AU32" s="1339">
        <v>48000</v>
      </c>
      <c r="AV32" s="18">
        <f>+USM!AW108</f>
        <v>51009.48</v>
      </c>
      <c r="AW32" s="61">
        <f t="shared" si="161"/>
        <v>615000</v>
      </c>
      <c r="AX32" s="39">
        <f t="shared" si="162"/>
        <v>512782.33199999994</v>
      </c>
      <c r="AY32" s="1339">
        <v>60000</v>
      </c>
      <c r="AZ32" s="18">
        <f>+USM!BA108</f>
        <v>62071.890000000007</v>
      </c>
      <c r="BA32" s="781">
        <f t="shared" si="163"/>
        <v>162000</v>
      </c>
      <c r="BB32" s="781">
        <f t="shared" si="164"/>
        <v>164120.549</v>
      </c>
      <c r="BC32" s="465">
        <f>AM32+BA32</f>
        <v>322000</v>
      </c>
      <c r="BD32" s="465">
        <f t="shared" si="165"/>
        <v>257672.60200000001</v>
      </c>
      <c r="BE32" s="61">
        <f t="shared" si="166"/>
        <v>675000</v>
      </c>
      <c r="BF32" s="61">
        <f t="shared" si="167"/>
        <v>574854.22199999995</v>
      </c>
      <c r="BG32" s="1775">
        <v>560000</v>
      </c>
      <c r="BH32" s="1775">
        <v>499887.228</v>
      </c>
      <c r="BI32" s="1775">
        <v>525000</v>
      </c>
      <c r="BJ32" s="1775">
        <v>459141.95204</v>
      </c>
      <c r="BK32" s="1775">
        <v>361987.55812</v>
      </c>
      <c r="BL32" s="1775">
        <v>450000</v>
      </c>
      <c r="BM32" s="1775">
        <v>213226.16405321387</v>
      </c>
      <c r="BN32" s="1775">
        <v>220000</v>
      </c>
      <c r="BO32" s="1775">
        <v>88943.894138990887</v>
      </c>
      <c r="BP32" s="1775">
        <v>535000</v>
      </c>
      <c r="BQ32" s="1099">
        <v>171634.81128897145</v>
      </c>
      <c r="BR32" s="2762"/>
      <c r="BS32" s="2762"/>
      <c r="BT32" s="1546"/>
      <c r="BU32" s="1546"/>
      <c r="BV32" s="1546"/>
      <c r="BW32" s="1546"/>
    </row>
    <row r="33" spans="1:75" ht="15" customHeight="1" thickBot="1" x14ac:dyDescent="0.35">
      <c r="B33" s="1970" t="s">
        <v>682</v>
      </c>
      <c r="C33" s="1963" t="s">
        <v>50</v>
      </c>
      <c r="D33" s="1955">
        <f t="shared" ref="D33:N33" si="170">SUM(D30:D32)</f>
        <v>2150000</v>
      </c>
      <c r="E33" s="1748">
        <f t="shared" si="170"/>
        <v>180500</v>
      </c>
      <c r="F33" s="1995">
        <f t="shared" si="170"/>
        <v>153183.41200000004</v>
      </c>
      <c r="G33" s="1748">
        <f t="shared" ref="G33" si="171">SUM(G30:G32)</f>
        <v>188000</v>
      </c>
      <c r="H33" s="1995">
        <f t="shared" ref="H33" si="172">SUM(H30:H32)</f>
        <v>172769.12900000007</v>
      </c>
      <c r="I33" s="1997">
        <f t="shared" si="170"/>
        <v>368500</v>
      </c>
      <c r="J33" s="1964">
        <f t="shared" si="170"/>
        <v>325952.54100000008</v>
      </c>
      <c r="K33" s="1748">
        <f t="shared" ref="K33:L33" si="173">SUM(K30:K32)</f>
        <v>181000</v>
      </c>
      <c r="L33" s="1995">
        <f t="shared" si="173"/>
        <v>170616.14800000004</v>
      </c>
      <c r="M33" s="2005">
        <f t="shared" si="170"/>
        <v>549500</v>
      </c>
      <c r="N33" s="2006">
        <f t="shared" si="170"/>
        <v>496568.68900000013</v>
      </c>
      <c r="O33" s="1748">
        <f t="shared" ref="O33:P33" si="174">SUM(O30:O32)</f>
        <v>188000</v>
      </c>
      <c r="P33" s="1995">
        <f t="shared" si="174"/>
        <v>192453.92700000008</v>
      </c>
      <c r="Q33" s="1997">
        <f>SUM(Q30:Q32)</f>
        <v>737500</v>
      </c>
      <c r="R33" s="1964">
        <f>SUM(R30:R32)</f>
        <v>689022.61600000027</v>
      </c>
      <c r="S33" s="1748">
        <f t="shared" ref="S33:T33" si="175">SUM(S30:S32)</f>
        <v>188000</v>
      </c>
      <c r="T33" s="1995">
        <f t="shared" si="175"/>
        <v>158994.73800000004</v>
      </c>
      <c r="U33" s="1997">
        <f t="shared" ref="U33:X33" si="176">SUM(U30:U32)</f>
        <v>925500</v>
      </c>
      <c r="V33" s="1964">
        <f t="shared" si="176"/>
        <v>848017.35400000028</v>
      </c>
      <c r="W33" s="1748">
        <f t="shared" si="176"/>
        <v>106000</v>
      </c>
      <c r="X33" s="1995">
        <f t="shared" si="176"/>
        <v>167335.57100000005</v>
      </c>
      <c r="Y33" s="378">
        <f>SUM(Y30:Y32)</f>
        <v>482000</v>
      </c>
      <c r="Z33" s="378">
        <f>SUM(Z30:Z32)</f>
        <v>518784.23600000021</v>
      </c>
      <c r="AA33" s="544">
        <f>SUM(AA30:AA32)</f>
        <v>1031500</v>
      </c>
      <c r="AB33" s="544">
        <f>SUM(AB30:AB32)</f>
        <v>1015352.9250000004</v>
      </c>
      <c r="AC33" s="1748">
        <f t="shared" ref="AC33:AD33" si="177">SUM(AC30:AC32)</f>
        <v>179500</v>
      </c>
      <c r="AD33" s="1995">
        <f t="shared" si="177"/>
        <v>154032.86100000003</v>
      </c>
      <c r="AE33" s="1997">
        <f t="shared" ref="AE33:AH33" si="178">SUM(AE30:AE32)</f>
        <v>1211000</v>
      </c>
      <c r="AF33" s="1964">
        <f t="shared" si="178"/>
        <v>1169385.7860000003</v>
      </c>
      <c r="AG33" s="1748">
        <f t="shared" si="178"/>
        <v>173500</v>
      </c>
      <c r="AH33" s="1995">
        <f t="shared" si="178"/>
        <v>31736.054000000007</v>
      </c>
      <c r="AI33" s="1997">
        <f t="shared" ref="AI33:AL33" si="179">SUM(AI30:AI32)</f>
        <v>1384500</v>
      </c>
      <c r="AJ33" s="1964">
        <f t="shared" si="179"/>
        <v>1201121.8400000003</v>
      </c>
      <c r="AK33" s="1748">
        <f t="shared" si="179"/>
        <v>179500</v>
      </c>
      <c r="AL33" s="1995">
        <f t="shared" si="179"/>
        <v>149897.49800000008</v>
      </c>
      <c r="AM33" s="378">
        <f t="shared" ref="AM33:AN33" si="180">SUM(AM30:AM32)</f>
        <v>532500</v>
      </c>
      <c r="AN33" s="378">
        <f t="shared" si="180"/>
        <v>335666.41300000012</v>
      </c>
      <c r="AO33" s="1997">
        <f t="shared" ref="AO33:AT33" si="181">SUM(AO30:AO32)</f>
        <v>1564000</v>
      </c>
      <c r="AP33" s="1964">
        <f t="shared" si="181"/>
        <v>1351019.3380000005</v>
      </c>
      <c r="AQ33" s="1748">
        <f t="shared" si="181"/>
        <v>179500</v>
      </c>
      <c r="AR33" s="1995">
        <f t="shared" si="181"/>
        <v>161421.14400000009</v>
      </c>
      <c r="AS33" s="1997">
        <f t="shared" si="181"/>
        <v>1743500</v>
      </c>
      <c r="AT33" s="1964">
        <f t="shared" si="181"/>
        <v>1512440.4820000005</v>
      </c>
      <c r="AU33" s="1748">
        <f t="shared" ref="AU33:AV33" si="182">SUM(AU30:AU32)</f>
        <v>161000</v>
      </c>
      <c r="AV33" s="1995">
        <f t="shared" si="182"/>
        <v>151334.83000000007</v>
      </c>
      <c r="AW33" s="1997">
        <f t="shared" ref="AW33:AZ33" si="183">SUM(AW30:AW32)</f>
        <v>1904500</v>
      </c>
      <c r="AX33" s="1964">
        <f t="shared" si="183"/>
        <v>1663775.3120000006</v>
      </c>
      <c r="AY33" s="1748">
        <f t="shared" si="183"/>
        <v>185500</v>
      </c>
      <c r="AZ33" s="1995">
        <f t="shared" si="183"/>
        <v>183155.0500000001</v>
      </c>
      <c r="BA33" s="378">
        <f t="shared" ref="BA33:BD33" si="184">SUM(BA30:BA32)</f>
        <v>526000</v>
      </c>
      <c r="BB33" s="378">
        <f t="shared" si="184"/>
        <v>495911.02400000021</v>
      </c>
      <c r="BC33" s="544">
        <f t="shared" si="184"/>
        <v>1058500</v>
      </c>
      <c r="BD33" s="544">
        <f t="shared" si="184"/>
        <v>831577.43700000038</v>
      </c>
      <c r="BE33" s="1997">
        <f t="shared" ref="BE33:BF33" si="185">SUM(BE30:BE32)</f>
        <v>2090000</v>
      </c>
      <c r="BF33" s="1964">
        <f t="shared" si="185"/>
        <v>1846930.3620000007</v>
      </c>
      <c r="BG33" s="1493">
        <v>1930000</v>
      </c>
      <c r="BH33" s="1493">
        <v>1709785.7160000009</v>
      </c>
      <c r="BI33" s="1493">
        <v>1875000</v>
      </c>
      <c r="BJ33" s="1493">
        <v>1732992.6100400006</v>
      </c>
      <c r="BK33" s="1493">
        <v>1604008.8336199999</v>
      </c>
      <c r="BL33" s="1493">
        <v>1700000</v>
      </c>
      <c r="BM33" s="1493">
        <v>1328410.8940532138</v>
      </c>
      <c r="BN33" s="1493">
        <v>1330841.1017932</v>
      </c>
      <c r="BO33" s="1493">
        <v>886009.82213899097</v>
      </c>
      <c r="BP33" s="1493">
        <f>SUM(BP30:BP32)</f>
        <v>1835000</v>
      </c>
      <c r="BQ33" s="2015">
        <f>SUM(BQ30:BQ32)</f>
        <v>1215880.2112889714</v>
      </c>
      <c r="BR33" s="2762"/>
      <c r="BS33" s="2762"/>
      <c r="BT33" s="1546"/>
      <c r="BU33" s="1546"/>
      <c r="BV33" s="1546"/>
      <c r="BW33" s="1546"/>
    </row>
    <row r="34" spans="1:75" ht="15" customHeight="1" x14ac:dyDescent="0.3">
      <c r="B34" s="1967" t="s">
        <v>683</v>
      </c>
      <c r="C34" s="1965" t="s">
        <v>50</v>
      </c>
      <c r="D34" s="1966">
        <f>524.79833712911*1000+202</f>
        <v>525000.33712911</v>
      </c>
      <c r="E34" s="368">
        <f>48.4998153686034*1000</f>
        <v>48499.815368603398</v>
      </c>
      <c r="F34" s="88">
        <v>45616.58799999996</v>
      </c>
      <c r="G34" s="368">
        <v>48499.576671657102</v>
      </c>
      <c r="H34" s="88">
        <v>52556</v>
      </c>
      <c r="I34" s="712">
        <f>+E34+G34</f>
        <v>96999.3920402605</v>
      </c>
      <c r="J34" s="43">
        <f>+F34+H34</f>
        <v>98172.58799999996</v>
      </c>
      <c r="K34" s="368">
        <f>48.0001108831152*1000</f>
        <v>48000.110883115201</v>
      </c>
      <c r="L34" s="88">
        <v>56218</v>
      </c>
      <c r="M34" s="713">
        <f>+E34+G34+K34</f>
        <v>144999.50292337569</v>
      </c>
      <c r="N34" s="73">
        <f>+F34+H34+L34</f>
        <v>154390.58799999996</v>
      </c>
      <c r="O34" s="368">
        <f>43.5001413553209*1000</f>
        <v>43500.141355320899</v>
      </c>
      <c r="P34" s="88">
        <v>50303</v>
      </c>
      <c r="Q34" s="712">
        <f>+M34+O34</f>
        <v>188499.64427869659</v>
      </c>
      <c r="R34" s="43">
        <f>+N34+P34</f>
        <v>204693.58799999996</v>
      </c>
      <c r="S34" s="368">
        <f>43.5001413553209*1000</f>
        <v>43500.141355320899</v>
      </c>
      <c r="T34" s="88">
        <v>51235.42</v>
      </c>
      <c r="U34" s="712">
        <f>+Q34+S34</f>
        <v>231999.78563401749</v>
      </c>
      <c r="V34" s="43">
        <f>+R34+T34</f>
        <v>255929.00799999997</v>
      </c>
      <c r="W34" s="368">
        <f>15.3000147648532*1000</f>
        <v>15300.0147648532</v>
      </c>
      <c r="X34" s="88">
        <v>54076</v>
      </c>
      <c r="Y34" s="781">
        <f>+O34+S34+W34</f>
        <v>102300.297475495</v>
      </c>
      <c r="Z34" s="781">
        <f>+P34+T34+X34</f>
        <v>155614.41999999998</v>
      </c>
      <c r="AA34" s="465">
        <f>+M34+Y34</f>
        <v>247299.80039887069</v>
      </c>
      <c r="AB34" s="465">
        <f>+N34+Z34</f>
        <v>310005.00799999991</v>
      </c>
      <c r="AC34" s="368">
        <v>47340.612262521579</v>
      </c>
      <c r="AD34" s="88">
        <v>25418</v>
      </c>
      <c r="AE34" s="712">
        <f>+AA34+AC34</f>
        <v>294640.41266139224</v>
      </c>
      <c r="AF34" s="43">
        <f>+AB34+AD34</f>
        <v>335423.00799999991</v>
      </c>
      <c r="AG34" s="368">
        <f>45.6807858376511*1000</f>
        <v>45680.785837651099</v>
      </c>
      <c r="AH34" s="88">
        <v>7935</v>
      </c>
      <c r="AI34" s="712">
        <f>+AE34+AG34</f>
        <v>340321.19849904336</v>
      </c>
      <c r="AJ34" s="43">
        <f>+AF34+AH34</f>
        <v>343358.00799999991</v>
      </c>
      <c r="AK34" s="368">
        <f>45.7100622625216*1000</f>
        <v>45710.062262521606</v>
      </c>
      <c r="AL34" s="88">
        <v>64493</v>
      </c>
      <c r="AM34" s="781">
        <f>+AC34+AG34+AK34</f>
        <v>138731.46036269428</v>
      </c>
      <c r="AN34" s="781">
        <f>+AD34+AH34+AL34</f>
        <v>97846</v>
      </c>
      <c r="AO34" s="61">
        <f t="shared" si="168"/>
        <v>386031.26076156495</v>
      </c>
      <c r="AP34" s="61">
        <f t="shared" si="168"/>
        <v>407851.00799999991</v>
      </c>
      <c r="AQ34" s="368">
        <f>47.3396122625216*1000</f>
        <v>47339.612262521601</v>
      </c>
      <c r="AR34" s="88">
        <v>63074.18</v>
      </c>
      <c r="AS34" s="712">
        <f>+AO34+AQ34</f>
        <v>433370.87302408653</v>
      </c>
      <c r="AT34" s="43">
        <f>+AP34+AR34</f>
        <v>470925.18799999991</v>
      </c>
      <c r="AU34" s="368">
        <f>42.6579663212435*1000</f>
        <v>42657.966321243497</v>
      </c>
      <c r="AV34" s="88">
        <v>57481.269999999931</v>
      </c>
      <c r="AW34" s="712">
        <f>+AS34+AU34</f>
        <v>476028.83934533002</v>
      </c>
      <c r="AX34" s="43">
        <f>+AT34+AV34</f>
        <v>528406.45799999987</v>
      </c>
      <c r="AY34" s="368">
        <f>45.4526122625216*1000</f>
        <v>45452.612262521594</v>
      </c>
      <c r="AZ34" s="88">
        <v>57620</v>
      </c>
      <c r="BA34" s="781">
        <f>+AQ34+AU34+AY34</f>
        <v>135450.19084628671</v>
      </c>
      <c r="BB34" s="781">
        <f>+AR34+AV34+AZ34</f>
        <v>178175.44999999992</v>
      </c>
      <c r="BC34" s="465">
        <f>AM34+BA34</f>
        <v>274181.651208981</v>
      </c>
      <c r="BD34" s="465">
        <f>AN34+BB34</f>
        <v>276021.44999999995</v>
      </c>
      <c r="BE34" s="61">
        <f t="shared" ref="BE34:BE35" si="186">AW34+AY34</f>
        <v>521481.4516078516</v>
      </c>
      <c r="BF34" s="61">
        <f t="shared" ref="BF34:BF35" si="187">AX34+AZ34</f>
        <v>586026.45799999987</v>
      </c>
      <c r="BG34" s="1775">
        <v>461999.55998512253</v>
      </c>
      <c r="BH34" s="1775">
        <v>558374.44999999995</v>
      </c>
      <c r="BI34" s="1775">
        <v>592000.00027062534</v>
      </c>
      <c r="BJ34" s="1775">
        <v>574823.37</v>
      </c>
      <c r="BK34" s="1775">
        <v>595119.90700000001</v>
      </c>
      <c r="BL34" s="1775">
        <v>516406.76683937816</v>
      </c>
      <c r="BM34" s="1775">
        <v>627684.57297577348</v>
      </c>
      <c r="BN34" s="1775">
        <v>533055.8167946114</v>
      </c>
      <c r="BO34" s="1775">
        <v>608495.73</v>
      </c>
      <c r="BP34" s="1775">
        <v>304999.74093264237</v>
      </c>
      <c r="BQ34" s="1099">
        <v>629438.95550700894</v>
      </c>
      <c r="BR34" s="2762"/>
      <c r="BS34" s="2762"/>
      <c r="BT34" s="1546"/>
      <c r="BU34" s="1546"/>
      <c r="BV34" s="1546"/>
      <c r="BW34" s="1546"/>
    </row>
    <row r="35" spans="1:75" ht="15" customHeight="1" x14ac:dyDescent="0.3">
      <c r="B35" s="1968" t="s">
        <v>684</v>
      </c>
      <c r="C35" s="1949" t="s">
        <v>50</v>
      </c>
      <c r="D35" s="2532">
        <v>0</v>
      </c>
      <c r="E35" s="155">
        <v>0</v>
      </c>
      <c r="F35" s="18">
        <v>0</v>
      </c>
      <c r="G35" s="155">
        <v>0</v>
      </c>
      <c r="H35" s="18">
        <v>3000</v>
      </c>
      <c r="I35" s="61">
        <f>+E35+G35</f>
        <v>0</v>
      </c>
      <c r="J35" s="39">
        <f>+F35+H35</f>
        <v>3000</v>
      </c>
      <c r="K35" s="155">
        <v>0</v>
      </c>
      <c r="L35" s="18">
        <v>1066</v>
      </c>
      <c r="M35" s="72">
        <f>+E35+G35+K35</f>
        <v>0</v>
      </c>
      <c r="N35" s="69">
        <f>+F35+H35+L35</f>
        <v>4066</v>
      </c>
      <c r="O35" s="155">
        <v>0</v>
      </c>
      <c r="P35" s="18">
        <v>463</v>
      </c>
      <c r="Q35" s="61">
        <f>+M35+O35</f>
        <v>0</v>
      </c>
      <c r="R35" s="39">
        <f>+N35+P35</f>
        <v>4529</v>
      </c>
      <c r="S35" s="155">
        <v>0</v>
      </c>
      <c r="T35" s="18">
        <v>8811.77</v>
      </c>
      <c r="U35" s="61">
        <f>+Q35+S35</f>
        <v>0</v>
      </c>
      <c r="V35" s="39">
        <f>+R35+T35</f>
        <v>13340.77</v>
      </c>
      <c r="W35" s="155">
        <v>0</v>
      </c>
      <c r="X35" s="18">
        <v>1414</v>
      </c>
      <c r="Y35" s="781">
        <f>+O35+S35+W35</f>
        <v>0</v>
      </c>
      <c r="Z35" s="781">
        <f>+P35+T35+X35</f>
        <v>10688.77</v>
      </c>
      <c r="AA35" s="465">
        <f>+M35+Y35</f>
        <v>0</v>
      </c>
      <c r="AB35" s="465">
        <f>+N35+Z35</f>
        <v>14754.77</v>
      </c>
      <c r="AC35" s="155">
        <v>0.48160501816892065</v>
      </c>
      <c r="AD35" s="18">
        <v>7379.5262000000002</v>
      </c>
      <c r="AE35" s="61">
        <f>+AA35+AC35</f>
        <v>0.48160501816892065</v>
      </c>
      <c r="AF35" s="39">
        <f>+AB35+AD35</f>
        <v>22134.296200000001</v>
      </c>
      <c r="AG35" s="155">
        <f>4.00012973564992*1000</f>
        <v>4000.1297356499199</v>
      </c>
      <c r="AH35" s="18">
        <v>637</v>
      </c>
      <c r="AI35" s="61">
        <f>+AE35+AG35</f>
        <v>4000.6113406680888</v>
      </c>
      <c r="AJ35" s="39">
        <f>+AF35+AH35</f>
        <v>22771.296200000001</v>
      </c>
      <c r="AK35" s="155">
        <v>0</v>
      </c>
      <c r="AL35" s="18">
        <v>12910</v>
      </c>
      <c r="AM35" s="781">
        <f>+AC35+AG35+AK35</f>
        <v>4000.6113406680888</v>
      </c>
      <c r="AN35" s="781">
        <f>+AD35+AH35+AL35</f>
        <v>20926.5262</v>
      </c>
      <c r="AO35" s="61">
        <f t="shared" ref="AO35" si="188">AI35+AK35</f>
        <v>4000.6113406680888</v>
      </c>
      <c r="AP35" s="61">
        <f t="shared" ref="AP35" si="189">AJ35+AL35</f>
        <v>35681.296199999997</v>
      </c>
      <c r="AQ35" s="155">
        <v>0</v>
      </c>
      <c r="AR35" s="18">
        <v>10907.843000000001</v>
      </c>
      <c r="AS35" s="61">
        <f>+AO35+AQ35</f>
        <v>4000.6113406680888</v>
      </c>
      <c r="AT35" s="39">
        <f>+AP35+AR35</f>
        <v>46589.139199999998</v>
      </c>
      <c r="AU35" s="155">
        <f>4.00002977049834*1000</f>
        <v>4000.0297704983404</v>
      </c>
      <c r="AV35" s="18">
        <v>0</v>
      </c>
      <c r="AW35" s="61">
        <f>+AS35+AU35</f>
        <v>8000.6411111664293</v>
      </c>
      <c r="AX35" s="39">
        <f>+AT35+AV35</f>
        <v>46589.139199999998</v>
      </c>
      <c r="AY35" s="155">
        <v>0</v>
      </c>
      <c r="AZ35" s="18">
        <v>0</v>
      </c>
      <c r="BA35" s="781">
        <f>+AQ35+AU35+AY35</f>
        <v>4000.0297704983404</v>
      </c>
      <c r="BB35" s="781">
        <f>+AR35+AV35+AZ35</f>
        <v>10907.843000000001</v>
      </c>
      <c r="BC35" s="465">
        <f>AM35+BA35</f>
        <v>8000.6411111664293</v>
      </c>
      <c r="BD35" s="465">
        <f>AN35+BB35</f>
        <v>31834.369200000001</v>
      </c>
      <c r="BE35" s="61">
        <f t="shared" si="186"/>
        <v>8000.6411111664293</v>
      </c>
      <c r="BF35" s="61">
        <f t="shared" si="187"/>
        <v>46589.139199999998</v>
      </c>
      <c r="BG35" s="1775">
        <v>17999.996415592192</v>
      </c>
      <c r="BH35" s="1775">
        <v>63663.849200000004</v>
      </c>
      <c r="BI35" s="1775">
        <v>57999.916142557566</v>
      </c>
      <c r="BJ35" s="1775">
        <v>101828.14418</v>
      </c>
      <c r="BK35" s="1775">
        <v>116079.049</v>
      </c>
      <c r="BL35" s="1775">
        <v>153592.3419429849</v>
      </c>
      <c r="BM35" s="1775">
        <v>204330.35166666663</v>
      </c>
      <c r="BN35" s="1775">
        <v>371378.00888192269</v>
      </c>
      <c r="BO35" s="1775">
        <v>329378.80290000001</v>
      </c>
      <c r="BP35" s="1775">
        <v>267000</v>
      </c>
      <c r="BQ35" s="1099">
        <v>248401</v>
      </c>
      <c r="BR35" s="2762"/>
      <c r="BS35" s="2762"/>
      <c r="BT35" s="1546"/>
      <c r="BU35" s="1546"/>
      <c r="BV35" s="1546"/>
      <c r="BW35" s="1546"/>
    </row>
    <row r="36" spans="1:75" ht="15" customHeight="1" thickBot="1" x14ac:dyDescent="0.3">
      <c r="B36" s="1970" t="s">
        <v>685</v>
      </c>
      <c r="C36" s="1963" t="s">
        <v>50</v>
      </c>
      <c r="D36" s="1955">
        <f t="shared" ref="D36:N36" si="190">SUM(D34:D35)</f>
        <v>525000.33712911</v>
      </c>
      <c r="E36" s="1748">
        <f t="shared" si="190"/>
        <v>48499.815368603398</v>
      </c>
      <c r="F36" s="1995">
        <f t="shared" si="190"/>
        <v>45616.58799999996</v>
      </c>
      <c r="G36" s="1748">
        <f t="shared" ref="G36" si="191">SUM(G34:G35)</f>
        <v>48499.576671657102</v>
      </c>
      <c r="H36" s="1995">
        <f t="shared" ref="H36" si="192">SUM(H34:H35)</f>
        <v>55556</v>
      </c>
      <c r="I36" s="1997">
        <f t="shared" si="190"/>
        <v>96999.3920402605</v>
      </c>
      <c r="J36" s="1964">
        <f t="shared" si="190"/>
        <v>101172.58799999996</v>
      </c>
      <c r="K36" s="1748">
        <f t="shared" ref="K36:L36" si="193">SUM(K34:K35)</f>
        <v>48000.110883115201</v>
      </c>
      <c r="L36" s="1995">
        <f t="shared" si="193"/>
        <v>57284</v>
      </c>
      <c r="M36" s="2005">
        <f t="shared" si="190"/>
        <v>144999.50292337569</v>
      </c>
      <c r="N36" s="2006">
        <f t="shared" si="190"/>
        <v>158456.58799999996</v>
      </c>
      <c r="O36" s="1748">
        <f t="shared" ref="O36:P36" si="194">SUM(O34:O35)</f>
        <v>43500.141355320899</v>
      </c>
      <c r="P36" s="1995">
        <f t="shared" si="194"/>
        <v>50766</v>
      </c>
      <c r="Q36" s="1997">
        <f>SUM(Q34:Q35)</f>
        <v>188499.64427869659</v>
      </c>
      <c r="R36" s="1964">
        <f>SUM(R34:R35)</f>
        <v>209222.58799999996</v>
      </c>
      <c r="S36" s="1748">
        <f t="shared" ref="S36:T36" si="195">SUM(S34:S35)</f>
        <v>43500.141355320899</v>
      </c>
      <c r="T36" s="1995">
        <f t="shared" si="195"/>
        <v>60047.19</v>
      </c>
      <c r="U36" s="1997">
        <f t="shared" ref="U36:X36" si="196">SUM(U34:U35)</f>
        <v>231999.78563401749</v>
      </c>
      <c r="V36" s="1964">
        <f t="shared" si="196"/>
        <v>269269.77799999999</v>
      </c>
      <c r="W36" s="1748">
        <f t="shared" si="196"/>
        <v>15300.0147648532</v>
      </c>
      <c r="X36" s="1995">
        <f t="shared" si="196"/>
        <v>55490</v>
      </c>
      <c r="Y36" s="378">
        <f>SUM(Y34:Y35)</f>
        <v>102300.297475495</v>
      </c>
      <c r="Z36" s="378">
        <f>SUM(Z34:Z35)</f>
        <v>166303.18999999997</v>
      </c>
      <c r="AA36" s="544">
        <f>SUM(AA34:AA35)</f>
        <v>247299.80039887069</v>
      </c>
      <c r="AB36" s="544">
        <f>SUM(AB34:AB35)</f>
        <v>324759.77799999993</v>
      </c>
      <c r="AC36" s="1748">
        <f t="shared" ref="AC36:AD36" si="197">SUM(AC34:AC35)</f>
        <v>47341.093867539748</v>
      </c>
      <c r="AD36" s="1995">
        <f t="shared" si="197"/>
        <v>32797.5262</v>
      </c>
      <c r="AE36" s="1748">
        <f t="shared" ref="AE36:AH36" si="198">SUM(AE34:AE35)</f>
        <v>294640.89426641038</v>
      </c>
      <c r="AF36" s="1995">
        <f t="shared" si="198"/>
        <v>357557.3041999999</v>
      </c>
      <c r="AG36" s="1748">
        <f t="shared" si="198"/>
        <v>49680.915573301019</v>
      </c>
      <c r="AH36" s="1995">
        <f t="shared" si="198"/>
        <v>8572</v>
      </c>
      <c r="AI36" s="1997">
        <f t="shared" ref="AI36:AL36" si="199">SUM(AI34:AI35)</f>
        <v>344321.80983971147</v>
      </c>
      <c r="AJ36" s="1964">
        <f t="shared" si="199"/>
        <v>366129.3041999999</v>
      </c>
      <c r="AK36" s="1748">
        <f t="shared" si="199"/>
        <v>45710.062262521606</v>
      </c>
      <c r="AL36" s="1995">
        <f t="shared" si="199"/>
        <v>77403</v>
      </c>
      <c r="AM36" s="378">
        <f t="shared" ref="AM36:AN36" si="200">SUM(AM34:AM35)</f>
        <v>142732.07170336237</v>
      </c>
      <c r="AN36" s="378">
        <f t="shared" si="200"/>
        <v>118772.52619999999</v>
      </c>
      <c r="AO36" s="1748">
        <f t="shared" ref="AO36:AT36" si="201">SUM(AO34:AO35)</f>
        <v>390031.87210223306</v>
      </c>
      <c r="AP36" s="1995">
        <f t="shared" si="201"/>
        <v>443532.3041999999</v>
      </c>
      <c r="AQ36" s="1748">
        <f t="shared" si="201"/>
        <v>47339.612262521601</v>
      </c>
      <c r="AR36" s="1995">
        <f t="shared" si="201"/>
        <v>73982.023000000001</v>
      </c>
      <c r="AS36" s="1748">
        <f t="shared" si="201"/>
        <v>437371.48436475464</v>
      </c>
      <c r="AT36" s="1995">
        <f t="shared" si="201"/>
        <v>517514.32719999988</v>
      </c>
      <c r="AU36" s="1748">
        <f t="shared" ref="AU36:AV36" si="202">SUM(AU34:AU35)</f>
        <v>46657.996091741836</v>
      </c>
      <c r="AV36" s="1995">
        <f t="shared" si="202"/>
        <v>57481.269999999931</v>
      </c>
      <c r="AW36" s="1748">
        <f t="shared" ref="AW36:AZ36" si="203">SUM(AW34:AW35)</f>
        <v>484029.48045649647</v>
      </c>
      <c r="AX36" s="1995">
        <f t="shared" si="203"/>
        <v>574995.59719999984</v>
      </c>
      <c r="AY36" s="1748">
        <f t="shared" si="203"/>
        <v>45452.612262521594</v>
      </c>
      <c r="AZ36" s="1995">
        <f t="shared" si="203"/>
        <v>57620</v>
      </c>
      <c r="BA36" s="378">
        <f t="shared" ref="BA36:BD36" si="204">SUM(BA34:BA35)</f>
        <v>139450.22061678505</v>
      </c>
      <c r="BB36" s="378">
        <f t="shared" si="204"/>
        <v>189083.29299999992</v>
      </c>
      <c r="BC36" s="544">
        <f t="shared" si="204"/>
        <v>282182.29232014745</v>
      </c>
      <c r="BD36" s="544">
        <f t="shared" si="204"/>
        <v>307855.81919999997</v>
      </c>
      <c r="BE36" s="61">
        <f t="shared" ref="BE36:BF36" si="205">SUM(BE34:BE35)</f>
        <v>529482.09271901799</v>
      </c>
      <c r="BF36" s="61">
        <f t="shared" si="205"/>
        <v>632615.59719999984</v>
      </c>
      <c r="BG36" s="1493">
        <v>479999.55640071473</v>
      </c>
      <c r="BH36" s="1493">
        <v>622038.29920000001</v>
      </c>
      <c r="BI36" s="1493">
        <v>649999.91641318286</v>
      </c>
      <c r="BJ36" s="1493">
        <v>676651.51417999994</v>
      </c>
      <c r="BK36" s="1493">
        <v>711198.95600000001</v>
      </c>
      <c r="BL36" s="1493">
        <v>669999.10878236312</v>
      </c>
      <c r="BM36" s="1493">
        <v>832014.92464244016</v>
      </c>
      <c r="BN36" s="1493">
        <v>904433.82567653409</v>
      </c>
      <c r="BO36" s="1493">
        <v>937874.53289999999</v>
      </c>
      <c r="BP36" s="1493">
        <f>SUM(BP34:BP35)</f>
        <v>571999.74093264237</v>
      </c>
      <c r="BQ36" s="2015">
        <f>SUM(BQ34:BQ35)</f>
        <v>877839.95550700894</v>
      </c>
      <c r="BR36" s="2762"/>
      <c r="BS36" s="2762"/>
      <c r="BT36" s="1546"/>
      <c r="BU36" s="1546"/>
      <c r="BV36" s="1546"/>
      <c r="BW36" s="1546"/>
    </row>
    <row r="37" spans="1:75" ht="15" customHeight="1" thickBot="1" x14ac:dyDescent="0.3">
      <c r="B37" s="1971" t="s">
        <v>1578</v>
      </c>
      <c r="C37" s="1908" t="s">
        <v>50</v>
      </c>
      <c r="D37" s="1960">
        <f t="shared" ref="D37:N37" si="206">+D33+D36</f>
        <v>2675000.33712911</v>
      </c>
      <c r="E37" s="2549">
        <f t="shared" si="206"/>
        <v>228999.81536860339</v>
      </c>
      <c r="F37" s="1315">
        <f t="shared" si="206"/>
        <v>198800</v>
      </c>
      <c r="G37" s="2549">
        <f t="shared" ref="G37" si="207">+G33+G36</f>
        <v>236499.57667165709</v>
      </c>
      <c r="H37" s="1315">
        <f t="shared" ref="H37" si="208">+H33+H36</f>
        <v>228325.12900000007</v>
      </c>
      <c r="I37" s="1128">
        <f t="shared" si="206"/>
        <v>465499.39204026049</v>
      </c>
      <c r="J37" s="1129">
        <f t="shared" si="206"/>
        <v>427125.12900000007</v>
      </c>
      <c r="K37" s="2549">
        <f t="shared" si="206"/>
        <v>229000.11088311521</v>
      </c>
      <c r="L37" s="1315">
        <f t="shared" si="206"/>
        <v>227900.14800000004</v>
      </c>
      <c r="M37" s="766">
        <f t="shared" si="206"/>
        <v>694499.50292337569</v>
      </c>
      <c r="N37" s="172">
        <f t="shared" si="206"/>
        <v>655025.27700000012</v>
      </c>
      <c r="O37" s="2549">
        <f t="shared" ref="O37:P37" si="209">+O33+O36</f>
        <v>231500.1413553209</v>
      </c>
      <c r="P37" s="1315">
        <f t="shared" si="209"/>
        <v>243219.92700000008</v>
      </c>
      <c r="Q37" s="1128">
        <f>+Q33+Q36</f>
        <v>925999.64427869662</v>
      </c>
      <c r="R37" s="1129">
        <f>+R33+R36</f>
        <v>898245.20400000026</v>
      </c>
      <c r="S37" s="2549">
        <f t="shared" ref="S37:T37" si="210">+S33+S36</f>
        <v>231500.1413553209</v>
      </c>
      <c r="T37" s="1315">
        <f t="shared" si="210"/>
        <v>219041.92800000004</v>
      </c>
      <c r="U37" s="1128">
        <f t="shared" ref="U37:X37" si="211">+U33+U36</f>
        <v>1157499.7856340175</v>
      </c>
      <c r="V37" s="1129">
        <f t="shared" si="211"/>
        <v>1117287.1320000002</v>
      </c>
      <c r="W37" s="2549">
        <f t="shared" si="211"/>
        <v>121300.0147648532</v>
      </c>
      <c r="X37" s="1315">
        <f t="shared" si="211"/>
        <v>222825.57100000005</v>
      </c>
      <c r="Y37" s="378">
        <f t="shared" ref="Y37:AD37" si="212">+Y33+Y36</f>
        <v>584300.29747549503</v>
      </c>
      <c r="Z37" s="378">
        <f t="shared" si="212"/>
        <v>685087.42600000021</v>
      </c>
      <c r="AA37" s="544">
        <f t="shared" si="212"/>
        <v>1278799.8003988706</v>
      </c>
      <c r="AB37" s="544">
        <f t="shared" si="212"/>
        <v>1340112.7030000002</v>
      </c>
      <c r="AC37" s="2549">
        <f t="shared" si="212"/>
        <v>226841.09386753975</v>
      </c>
      <c r="AD37" s="1315">
        <f t="shared" si="212"/>
        <v>186830.38720000003</v>
      </c>
      <c r="AE37" s="2549">
        <f t="shared" ref="AE37:AH37" si="213">+AE33+AE36</f>
        <v>1505640.8942664103</v>
      </c>
      <c r="AF37" s="1315">
        <f t="shared" si="213"/>
        <v>1526943.0902000002</v>
      </c>
      <c r="AG37" s="2549">
        <f t="shared" si="213"/>
        <v>223180.91557330103</v>
      </c>
      <c r="AH37" s="1315">
        <f t="shared" si="213"/>
        <v>40308.054000000004</v>
      </c>
      <c r="AI37" s="1128">
        <f t="shared" ref="AI37:AN37" si="214">+AI33+AI36</f>
        <v>1728821.8098397115</v>
      </c>
      <c r="AJ37" s="1129">
        <f t="shared" si="214"/>
        <v>1567251.1442000002</v>
      </c>
      <c r="AK37" s="2549">
        <f t="shared" si="214"/>
        <v>225210.06226252159</v>
      </c>
      <c r="AL37" s="1315">
        <f t="shared" si="214"/>
        <v>227300.49800000008</v>
      </c>
      <c r="AM37" s="378">
        <f t="shared" si="214"/>
        <v>675232.0717033624</v>
      </c>
      <c r="AN37" s="378">
        <f t="shared" si="214"/>
        <v>454438.93920000014</v>
      </c>
      <c r="AO37" s="2549">
        <f t="shared" ref="AO37:AT37" si="215">+AO33+AO36</f>
        <v>1954031.8721022331</v>
      </c>
      <c r="AP37" s="1315">
        <f t="shared" si="215"/>
        <v>1794551.6422000004</v>
      </c>
      <c r="AQ37" s="2549">
        <f t="shared" si="215"/>
        <v>226839.61226252161</v>
      </c>
      <c r="AR37" s="1315">
        <f t="shared" si="215"/>
        <v>235403.16700000007</v>
      </c>
      <c r="AS37" s="2549">
        <f t="shared" si="215"/>
        <v>2180871.4843647545</v>
      </c>
      <c r="AT37" s="1315">
        <f t="shared" si="215"/>
        <v>2029954.8092000005</v>
      </c>
      <c r="AU37" s="2549">
        <f t="shared" ref="AU37:AV37" si="216">+AU33+AU36</f>
        <v>207657.99609174184</v>
      </c>
      <c r="AV37" s="1315">
        <f t="shared" si="216"/>
        <v>208816.1</v>
      </c>
      <c r="AW37" s="2549">
        <f t="shared" ref="AW37:BF37" si="217">+AW33+AW36</f>
        <v>2388529.4804564966</v>
      </c>
      <c r="AX37" s="1315">
        <f t="shared" si="217"/>
        <v>2238770.9092000006</v>
      </c>
      <c r="AY37" s="2549">
        <f t="shared" si="217"/>
        <v>230952.61226252158</v>
      </c>
      <c r="AZ37" s="1315">
        <f t="shared" si="217"/>
        <v>240775.0500000001</v>
      </c>
      <c r="BA37" s="378">
        <f t="shared" si="217"/>
        <v>665450.22061678511</v>
      </c>
      <c r="BB37" s="378">
        <f t="shared" si="217"/>
        <v>684994.31700000016</v>
      </c>
      <c r="BC37" s="544">
        <f t="shared" si="217"/>
        <v>1340682.2923201474</v>
      </c>
      <c r="BD37" s="544">
        <f t="shared" si="217"/>
        <v>1139433.2562000004</v>
      </c>
      <c r="BE37" s="2549">
        <f t="shared" si="217"/>
        <v>2619482.092719018</v>
      </c>
      <c r="BF37" s="1315">
        <f t="shared" si="217"/>
        <v>2479545.9592000004</v>
      </c>
      <c r="BG37" s="1140">
        <v>2409999.5564007149</v>
      </c>
      <c r="BH37" s="1140">
        <v>2331824.0152000012</v>
      </c>
      <c r="BI37" s="1140">
        <v>2524999.9164131829</v>
      </c>
      <c r="BJ37" s="1140">
        <v>2409644.1242200006</v>
      </c>
      <c r="BK37" s="1140">
        <v>2315207.7896199999</v>
      </c>
      <c r="BL37" s="1140">
        <v>2369999.1087823631</v>
      </c>
      <c r="BM37" s="1140">
        <v>2160425.8186956542</v>
      </c>
      <c r="BN37" s="1140">
        <v>2235274.9274697341</v>
      </c>
      <c r="BO37" s="1140">
        <v>1823884.355038991</v>
      </c>
      <c r="BP37" s="1140">
        <f>+BP33+BP36</f>
        <v>2406999.7409326425</v>
      </c>
      <c r="BQ37" s="2014">
        <f>+BQ33+BQ36</f>
        <v>2093720.1667959802</v>
      </c>
      <c r="BR37" s="2762"/>
      <c r="BS37" s="2762"/>
      <c r="BT37" s="1546"/>
      <c r="BU37" s="1546"/>
      <c r="BV37" s="1546"/>
      <c r="BW37" s="1546"/>
    </row>
    <row r="38" spans="1:75" ht="15" customHeight="1" x14ac:dyDescent="0.25">
      <c r="A38" s="149"/>
      <c r="B38" s="1975" t="s">
        <v>3</v>
      </c>
      <c r="C38" s="1546"/>
      <c r="D38" s="2535"/>
      <c r="E38" s="2535"/>
      <c r="F38" s="2535"/>
      <c r="G38" s="2535"/>
      <c r="H38" s="2535"/>
      <c r="I38" s="2535"/>
      <c r="J38" s="2535"/>
      <c r="K38" s="2535"/>
      <c r="L38" s="2535"/>
      <c r="M38" s="2535"/>
      <c r="N38" s="2535"/>
      <c r="O38" s="2535"/>
      <c r="P38" s="2535"/>
      <c r="Q38" s="5523"/>
      <c r="R38" s="2535"/>
      <c r="S38" s="2535"/>
      <c r="T38" s="2535"/>
      <c r="U38" s="2535"/>
      <c r="V38" s="2535"/>
      <c r="W38" s="2535"/>
      <c r="X38" s="2535"/>
      <c r="Y38" s="2535"/>
      <c r="Z38" s="2535"/>
      <c r="AA38" s="2535"/>
      <c r="AB38" s="2535"/>
      <c r="AC38" s="2535"/>
      <c r="AD38" s="2535"/>
      <c r="AE38" s="2535"/>
      <c r="AF38" s="2535"/>
      <c r="AG38" s="2535"/>
      <c r="AH38" s="2535"/>
      <c r="AI38" s="2535"/>
      <c r="AJ38" s="2535"/>
      <c r="AK38" s="2535"/>
      <c r="AL38" s="2535"/>
      <c r="AM38" s="2535"/>
      <c r="AN38" s="2535"/>
      <c r="AO38" s="2535"/>
      <c r="AP38" s="2535"/>
      <c r="AQ38" s="2535"/>
      <c r="AR38" s="2535"/>
      <c r="AS38" s="2535"/>
      <c r="AT38" s="2535"/>
      <c r="AU38" s="2535"/>
      <c r="AV38" s="2535"/>
      <c r="AW38" s="2535"/>
      <c r="AX38" s="2535"/>
      <c r="AY38" s="2535"/>
      <c r="AZ38" s="2535"/>
      <c r="BA38" s="2535"/>
      <c r="BB38" s="2535"/>
      <c r="BC38" s="2535"/>
      <c r="BD38" s="2535"/>
      <c r="BE38" s="2535"/>
      <c r="BF38" s="2535"/>
      <c r="BG38" s="1546"/>
      <c r="BH38" s="1546"/>
      <c r="BI38" s="1546"/>
      <c r="BJ38" s="1546"/>
      <c r="BK38" s="1546"/>
      <c r="BL38" s="1546"/>
      <c r="BM38" s="1546"/>
      <c r="BN38" s="1546"/>
      <c r="BO38" s="1546"/>
      <c r="BP38" s="1546"/>
      <c r="BQ38" s="2013"/>
      <c r="BR38" s="2762"/>
      <c r="BS38" s="2762"/>
      <c r="BT38" s="1546"/>
      <c r="BU38" s="1546"/>
      <c r="BV38" s="1546"/>
      <c r="BW38" s="1546"/>
    </row>
    <row r="39" spans="1:75" ht="15" customHeight="1" x14ac:dyDescent="0.25">
      <c r="B39" s="1976" t="s">
        <v>686</v>
      </c>
      <c r="C39" s="1949" t="s">
        <v>50</v>
      </c>
      <c r="D39" s="5723">
        <f>+D30</f>
        <v>500000</v>
      </c>
      <c r="E39" s="5703">
        <f>+E30</f>
        <v>42500</v>
      </c>
      <c r="F39" s="18">
        <f>+WRM!F200</f>
        <v>36744.180000000008</v>
      </c>
      <c r="G39" s="5703">
        <f>+G30</f>
        <v>44000</v>
      </c>
      <c r="H39" s="18">
        <f>+WRM!H200</f>
        <v>39374.349999999991</v>
      </c>
      <c r="I39" s="5704">
        <f>+E39+G39</f>
        <v>86500</v>
      </c>
      <c r="J39" s="39">
        <f>+F39+H39</f>
        <v>76118.53</v>
      </c>
      <c r="K39" s="5703">
        <f>+K30</f>
        <v>42500</v>
      </c>
      <c r="L39" s="18">
        <f>+WRM!L200</f>
        <v>28933.699999999997</v>
      </c>
      <c r="M39" s="5709">
        <f>+E39+G39+K39</f>
        <v>129000</v>
      </c>
      <c r="N39" s="69">
        <f>+F39+H39+L39</f>
        <v>105052.23</v>
      </c>
      <c r="O39" s="5703">
        <f>+O30</f>
        <v>44000</v>
      </c>
      <c r="P39" s="18">
        <f>+WRM!P200</f>
        <v>35819.649999999994</v>
      </c>
      <c r="Q39" s="5710">
        <f>+M39+O39</f>
        <v>173000</v>
      </c>
      <c r="R39" s="39">
        <f t="shared" ref="Q39:R43" si="218">+N39+P39</f>
        <v>140871.88</v>
      </c>
      <c r="S39" s="5703">
        <f>+S30</f>
        <v>44000</v>
      </c>
      <c r="T39" s="18">
        <f>+WRM!T200</f>
        <v>38734.750000000007</v>
      </c>
      <c r="U39" s="5710">
        <f>+Q39+S39</f>
        <v>217000</v>
      </c>
      <c r="V39" s="39">
        <f t="shared" ref="V39:V43" si="219">+R39+T39</f>
        <v>179606.63</v>
      </c>
      <c r="W39" s="5703">
        <f>+W30</f>
        <v>25000</v>
      </c>
      <c r="X39" s="18">
        <f>+WRM!X200</f>
        <v>41006.150000000009</v>
      </c>
      <c r="Y39" s="5728">
        <f>+O39+S39+W39</f>
        <v>113000</v>
      </c>
      <c r="Z39" s="781">
        <f t="shared" ref="Z39:Z47" si="220">+P39+T39+X39</f>
        <v>115560.55</v>
      </c>
      <c r="AA39" s="5727">
        <f>+M39+Y39</f>
        <v>242000</v>
      </c>
      <c r="AB39" s="465">
        <f>+N39+Z39</f>
        <v>220612.78</v>
      </c>
      <c r="AC39" s="5703">
        <f>+AC30</f>
        <v>45500</v>
      </c>
      <c r="AD39" s="18">
        <f>+WRM!AD200</f>
        <v>42384.759999999995</v>
      </c>
      <c r="AE39" s="5704">
        <f>+AA39+AC39</f>
        <v>287500</v>
      </c>
      <c r="AF39" s="39">
        <f>+AB39+AD39</f>
        <v>262997.53999999998</v>
      </c>
      <c r="AG39" s="5703">
        <f>+AG30</f>
        <v>44000</v>
      </c>
      <c r="AH39" s="18">
        <f>+WRM!AH200</f>
        <v>19981.350000000006</v>
      </c>
      <c r="AI39" s="5704">
        <f>+AE39+AG39</f>
        <v>331500</v>
      </c>
      <c r="AJ39" s="39">
        <f>+AF39+AH39</f>
        <v>282978.89</v>
      </c>
      <c r="AK39" s="5703">
        <f>+AK30</f>
        <v>45500</v>
      </c>
      <c r="AL39" s="18">
        <f>+WRM!AL200</f>
        <v>39200.100000000006</v>
      </c>
      <c r="AM39" s="5705">
        <f>+AC39+AG39+AK39</f>
        <v>135000</v>
      </c>
      <c r="AN39" s="781">
        <f t="shared" ref="AN39:AN45" si="221">+AD39+AH39+AL39</f>
        <v>101566.21</v>
      </c>
      <c r="AO39" s="5704">
        <f>AI39+AK39</f>
        <v>377000</v>
      </c>
      <c r="AP39" s="61">
        <f t="shared" ref="AP39:AP53" si="222">AJ39+AL39</f>
        <v>322178.99</v>
      </c>
      <c r="AQ39" s="5703">
        <f>+AQ30</f>
        <v>45500</v>
      </c>
      <c r="AR39" s="18">
        <f>+WRM!AR200</f>
        <v>40296.849999999991</v>
      </c>
      <c r="AS39" s="5704">
        <f>+AO39+AQ39</f>
        <v>422500</v>
      </c>
      <c r="AT39" s="39">
        <f>+AP39+AR39</f>
        <v>362475.83999999997</v>
      </c>
      <c r="AU39" s="5703">
        <f>+AU30</f>
        <v>40500</v>
      </c>
      <c r="AV39" s="18">
        <f>+WRM!AV200</f>
        <v>34335.35</v>
      </c>
      <c r="AW39" s="5704">
        <f>+AS39+AU39</f>
        <v>463000</v>
      </c>
      <c r="AX39" s="39">
        <f>+AT39+AV39</f>
        <v>396811.18999999994</v>
      </c>
      <c r="AY39" s="5703">
        <f>+AY30</f>
        <v>45500</v>
      </c>
      <c r="AZ39" s="18">
        <f>+WRM!AZ200</f>
        <v>43072.55000000001</v>
      </c>
      <c r="BA39" s="5705">
        <f>+AQ39+AU39+AY39</f>
        <v>131500</v>
      </c>
      <c r="BB39" s="781">
        <f t="shared" ref="BB39:BB45" si="223">+AR39+AV39+AZ39</f>
        <v>117704.75</v>
      </c>
      <c r="BC39" s="5727">
        <f>AM39+BA39</f>
        <v>266500</v>
      </c>
      <c r="BD39" s="465">
        <f>AN39+BB39</f>
        <v>219270.96000000002</v>
      </c>
      <c r="BE39" s="5704">
        <f>AW39+AY39</f>
        <v>508500</v>
      </c>
      <c r="BF39" s="61">
        <f t="shared" ref="BF39:BF48" si="224">AX39+AZ39</f>
        <v>439883.73999999993</v>
      </c>
      <c r="BG39" s="1775">
        <v>500000</v>
      </c>
      <c r="BH39" s="1775">
        <v>459030.63999999996</v>
      </c>
      <c r="BI39" s="1775">
        <v>500000</v>
      </c>
      <c r="BJ39" s="1775">
        <v>471802.33500000008</v>
      </c>
      <c r="BK39" s="1775">
        <v>410762.6</v>
      </c>
      <c r="BL39" s="5698">
        <f>+BL30</f>
        <v>500000</v>
      </c>
      <c r="BM39" s="1775">
        <v>456374.83600000001</v>
      </c>
      <c r="BN39" s="5698">
        <f>+BN30</f>
        <v>435965.96179320005</v>
      </c>
      <c r="BO39" s="1775">
        <v>333534.61200000002</v>
      </c>
      <c r="BP39" s="5698">
        <v>500000</v>
      </c>
      <c r="BQ39" s="1099">
        <v>270654.57</v>
      </c>
      <c r="BR39" s="2762"/>
      <c r="BS39" s="2762"/>
      <c r="BT39" s="1546"/>
      <c r="BU39" s="1546"/>
      <c r="BV39" s="1546"/>
      <c r="BW39" s="1546"/>
    </row>
    <row r="40" spans="1:75" ht="15" customHeight="1" x14ac:dyDescent="0.25">
      <c r="B40" s="1976" t="s">
        <v>630</v>
      </c>
      <c r="C40" s="1949" t="s">
        <v>50</v>
      </c>
      <c r="D40" s="5723"/>
      <c r="E40" s="5703"/>
      <c r="F40" s="18">
        <f>+WRM!F201</f>
        <v>0</v>
      </c>
      <c r="G40" s="5703"/>
      <c r="H40" s="18">
        <f>+WRM!H201</f>
        <v>0</v>
      </c>
      <c r="I40" s="5704"/>
      <c r="J40" s="39">
        <f t="shared" ref="J40:J45" si="225">+F40+H40</f>
        <v>0</v>
      </c>
      <c r="K40" s="5703"/>
      <c r="L40" s="18">
        <f>+WRM!L201</f>
        <v>9363.7999999999956</v>
      </c>
      <c r="M40" s="5709"/>
      <c r="N40" s="69">
        <f t="shared" ref="N40:N48" si="226">+F40+H40+L40</f>
        <v>9363.7999999999956</v>
      </c>
      <c r="O40" s="5703"/>
      <c r="P40" s="18">
        <f>+WRM!P201</f>
        <v>11250.400000000009</v>
      </c>
      <c r="Q40" s="5711"/>
      <c r="R40" s="39">
        <f t="shared" si="218"/>
        <v>20614.200000000004</v>
      </c>
      <c r="S40" s="5703"/>
      <c r="T40" s="18">
        <f>+WRM!T201</f>
        <v>0</v>
      </c>
      <c r="U40" s="5711"/>
      <c r="V40" s="39">
        <f t="shared" si="219"/>
        <v>20614.200000000004</v>
      </c>
      <c r="W40" s="5703"/>
      <c r="X40" s="18">
        <f>+WRM!X201</f>
        <v>0</v>
      </c>
      <c r="Y40" s="5729"/>
      <c r="Z40" s="781">
        <f t="shared" si="220"/>
        <v>11250.400000000009</v>
      </c>
      <c r="AA40" s="5727"/>
      <c r="AB40" s="465">
        <f t="shared" ref="AB40:AB48" si="227">+N40+Z40</f>
        <v>20614.200000000004</v>
      </c>
      <c r="AC40" s="5703"/>
      <c r="AD40" s="18">
        <f>+WRM!AD201</f>
        <v>0</v>
      </c>
      <c r="AE40" s="5704"/>
      <c r="AF40" s="39">
        <f t="shared" ref="AF40:AF45" si="228">+AB40+AD40</f>
        <v>20614.200000000004</v>
      </c>
      <c r="AG40" s="5703"/>
      <c r="AH40" s="18">
        <f>+WRM!AH201</f>
        <v>0</v>
      </c>
      <c r="AI40" s="5704"/>
      <c r="AJ40" s="39">
        <f t="shared" ref="AJ40:AJ45" si="229">+AF40+AH40</f>
        <v>20614.200000000004</v>
      </c>
      <c r="AK40" s="5703"/>
      <c r="AL40" s="18">
        <f>+WRM!AL201</f>
        <v>0</v>
      </c>
      <c r="AM40" s="5705"/>
      <c r="AN40" s="781">
        <f t="shared" si="221"/>
        <v>0</v>
      </c>
      <c r="AO40" s="5704"/>
      <c r="AP40" s="61">
        <f t="shared" si="222"/>
        <v>20614.200000000004</v>
      </c>
      <c r="AQ40" s="5703"/>
      <c r="AR40" s="18">
        <f>+WRM!AR201</f>
        <v>0</v>
      </c>
      <c r="AS40" s="5704"/>
      <c r="AT40" s="39">
        <f t="shared" ref="AT40:AT45" si="230">+AP40+AR40</f>
        <v>20614.200000000004</v>
      </c>
      <c r="AU40" s="5703"/>
      <c r="AV40" s="18">
        <f>+WRM!AV201</f>
        <v>0</v>
      </c>
      <c r="AW40" s="5704"/>
      <c r="AX40" s="39">
        <f t="shared" ref="AX40:AX45" si="231">+AT40+AV40</f>
        <v>20614.200000000004</v>
      </c>
      <c r="AY40" s="5703"/>
      <c r="AZ40" s="18">
        <f>+WRM!AZ201</f>
        <v>0</v>
      </c>
      <c r="BA40" s="5705"/>
      <c r="BB40" s="781">
        <f t="shared" si="223"/>
        <v>0</v>
      </c>
      <c r="BC40" s="5727"/>
      <c r="BD40" s="465">
        <f t="shared" ref="BD40:BD48" si="232">AN40+BB40</f>
        <v>0</v>
      </c>
      <c r="BE40" s="5704"/>
      <c r="BF40" s="61">
        <f t="shared" si="224"/>
        <v>20614.200000000004</v>
      </c>
      <c r="BG40" s="1775"/>
      <c r="BH40" s="1775">
        <v>0</v>
      </c>
      <c r="BI40" s="1775"/>
      <c r="BJ40" s="1775">
        <v>6726.0499999999956</v>
      </c>
      <c r="BK40" s="1775">
        <v>55352.050000000025</v>
      </c>
      <c r="BL40" s="5698"/>
      <c r="BM40" s="1775">
        <v>8968.93</v>
      </c>
      <c r="BN40" s="5698"/>
      <c r="BO40" s="1775">
        <v>22983.766</v>
      </c>
      <c r="BP40" s="5698"/>
      <c r="BQ40" s="1099">
        <v>141370.65</v>
      </c>
      <c r="BR40" s="2762"/>
      <c r="BS40" s="2762"/>
      <c r="BT40" s="1546"/>
      <c r="BU40" s="1546"/>
      <c r="BV40" s="1546"/>
      <c r="BW40" s="1546"/>
    </row>
    <row r="41" spans="1:75" ht="15" customHeight="1" x14ac:dyDescent="0.25">
      <c r="B41" s="1976" t="s">
        <v>629</v>
      </c>
      <c r="C41" s="1949" t="s">
        <v>50</v>
      </c>
      <c r="D41" s="2532">
        <f>+D31</f>
        <v>900000</v>
      </c>
      <c r="E41" s="155">
        <f>+E31</f>
        <v>76000</v>
      </c>
      <c r="F41" s="18">
        <f>+F31</f>
        <v>66895.455000000031</v>
      </c>
      <c r="G41" s="155">
        <f>+G31</f>
        <v>79000</v>
      </c>
      <c r="H41" s="18">
        <f>+H31</f>
        <v>76175.635000000068</v>
      </c>
      <c r="I41" s="61">
        <f>+E41+G41</f>
        <v>155000</v>
      </c>
      <c r="J41" s="39">
        <f t="shared" si="225"/>
        <v>143071.09000000008</v>
      </c>
      <c r="K41" s="155">
        <f>+K31</f>
        <v>76000</v>
      </c>
      <c r="L41" s="18">
        <f>+L31</f>
        <v>73644.015000000058</v>
      </c>
      <c r="M41" s="72">
        <f>+E41+G41+K41</f>
        <v>231000</v>
      </c>
      <c r="N41" s="69">
        <f t="shared" si="226"/>
        <v>216715.10500000016</v>
      </c>
      <c r="O41" s="155">
        <f>+O31</f>
        <v>79000</v>
      </c>
      <c r="P41" s="18">
        <f>+P31</f>
        <v>88056.490000000107</v>
      </c>
      <c r="Q41" s="61">
        <f t="shared" si="218"/>
        <v>310000</v>
      </c>
      <c r="R41" s="39">
        <f t="shared" si="218"/>
        <v>304771.59500000026</v>
      </c>
      <c r="S41" s="155">
        <f>+S31</f>
        <v>79000</v>
      </c>
      <c r="T41" s="18">
        <f>+T31</f>
        <v>75853.695000000036</v>
      </c>
      <c r="U41" s="61">
        <f t="shared" ref="U41" si="233">+Q41+S41</f>
        <v>389000</v>
      </c>
      <c r="V41" s="39">
        <f t="shared" si="219"/>
        <v>380625.29000000027</v>
      </c>
      <c r="W41" s="155">
        <f>+W31</f>
        <v>47500</v>
      </c>
      <c r="X41" s="18">
        <f>+X31</f>
        <v>76319.035000000062</v>
      </c>
      <c r="Y41" s="781">
        <f>+O41+S41+W41</f>
        <v>205500</v>
      </c>
      <c r="Z41" s="781">
        <f t="shared" si="220"/>
        <v>240229.2200000002</v>
      </c>
      <c r="AA41" s="465">
        <f>+M41+Y41</f>
        <v>436500</v>
      </c>
      <c r="AB41" s="465">
        <f t="shared" si="227"/>
        <v>456944.32500000036</v>
      </c>
      <c r="AC41" s="155">
        <f>+AC31</f>
        <v>80000</v>
      </c>
      <c r="AD41" s="18">
        <f>+AD31</f>
        <v>66747.800000000017</v>
      </c>
      <c r="AE41" s="61">
        <f>+AA41+AC41</f>
        <v>516500</v>
      </c>
      <c r="AF41" s="39">
        <f t="shared" si="228"/>
        <v>523692.12500000035</v>
      </c>
      <c r="AG41" s="155">
        <f>+AG31</f>
        <v>77500</v>
      </c>
      <c r="AH41" s="18">
        <f>+AH31</f>
        <v>3169.7200000000003</v>
      </c>
      <c r="AI41" s="61">
        <f>+AE41+AG41</f>
        <v>594000</v>
      </c>
      <c r="AJ41" s="39">
        <f t="shared" si="229"/>
        <v>526861.84500000032</v>
      </c>
      <c r="AK41" s="155">
        <f>+AK31</f>
        <v>80000</v>
      </c>
      <c r="AL41" s="18">
        <f>+AL31</f>
        <v>70630.630000000063</v>
      </c>
      <c r="AM41" s="781">
        <f>+AC41+AG41+AK41</f>
        <v>237500</v>
      </c>
      <c r="AN41" s="781">
        <f t="shared" si="221"/>
        <v>140548.15000000008</v>
      </c>
      <c r="AO41" s="61">
        <f>AI41+AK41</f>
        <v>674000</v>
      </c>
      <c r="AP41" s="61">
        <f t="shared" si="222"/>
        <v>597492.47500000033</v>
      </c>
      <c r="AQ41" s="155">
        <f>+AQ31</f>
        <v>80000</v>
      </c>
      <c r="AR41" s="18">
        <f>+AR31</f>
        <v>70085.115000000107</v>
      </c>
      <c r="AS41" s="61">
        <f>+AO41+AQ41</f>
        <v>754000</v>
      </c>
      <c r="AT41" s="39">
        <f t="shared" si="230"/>
        <v>667577.59000000043</v>
      </c>
      <c r="AU41" s="155">
        <f>+AU31</f>
        <v>72500</v>
      </c>
      <c r="AV41" s="18">
        <f>+AV31</f>
        <v>65990.000000000058</v>
      </c>
      <c r="AW41" s="61">
        <f>+AS41+AU41</f>
        <v>826500</v>
      </c>
      <c r="AX41" s="39">
        <f t="shared" si="231"/>
        <v>733567.59000000055</v>
      </c>
      <c r="AY41" s="155">
        <f>+AY31</f>
        <v>80000</v>
      </c>
      <c r="AZ41" s="18">
        <f>+AZ31</f>
        <v>78010.610000000073</v>
      </c>
      <c r="BA41" s="781">
        <f>+AQ41+AU41+AY41</f>
        <v>232500</v>
      </c>
      <c r="BB41" s="781">
        <f t="shared" si="223"/>
        <v>214085.72500000024</v>
      </c>
      <c r="BC41" s="465">
        <f>AM41+BA41</f>
        <v>470000</v>
      </c>
      <c r="BD41" s="465">
        <f t="shared" si="232"/>
        <v>354633.87500000035</v>
      </c>
      <c r="BE41" s="61">
        <f>AW41+AY41</f>
        <v>906500</v>
      </c>
      <c r="BF41" s="61">
        <f t="shared" si="224"/>
        <v>811578.20000000065</v>
      </c>
      <c r="BG41" s="1775">
        <v>870000</v>
      </c>
      <c r="BH41" s="1775">
        <v>750867.84800000093</v>
      </c>
      <c r="BI41" s="1775">
        <v>850000</v>
      </c>
      <c r="BJ41" s="1775">
        <v>795322.27300000074</v>
      </c>
      <c r="BK41" s="1775">
        <v>775906.62549999985</v>
      </c>
      <c r="BL41" s="1775">
        <v>750000</v>
      </c>
      <c r="BM41" s="1775">
        <v>649840.96399999992</v>
      </c>
      <c r="BN41" s="1775">
        <f>+BN31</f>
        <v>674875.14</v>
      </c>
      <c r="BO41" s="1775">
        <v>440547.14499999996</v>
      </c>
      <c r="BP41" s="1775">
        <v>800000</v>
      </c>
      <c r="BQ41" s="1099">
        <v>632220.18000000005</v>
      </c>
      <c r="BR41" s="2762"/>
      <c r="BS41" s="2762"/>
      <c r="BT41" s="1546"/>
      <c r="BU41" s="1546"/>
      <c r="BV41" s="1546"/>
      <c r="BW41" s="1546"/>
    </row>
    <row r="42" spans="1:75" ht="15" customHeight="1" x14ac:dyDescent="0.25">
      <c r="B42" s="1976" t="s">
        <v>1181</v>
      </c>
      <c r="C42" s="1949" t="s">
        <v>50</v>
      </c>
      <c r="D42" s="5692">
        <f>+D32</f>
        <v>750000</v>
      </c>
      <c r="E42" s="5693">
        <f>+E32</f>
        <v>62000</v>
      </c>
      <c r="F42" s="18">
        <f>+USM!G171</f>
        <v>36340.903000000006</v>
      </c>
      <c r="G42" s="5693">
        <f>+G32</f>
        <v>65000</v>
      </c>
      <c r="H42" s="18">
        <f>+USM!I171</f>
        <v>44993.633999999998</v>
      </c>
      <c r="I42" s="5704">
        <f>+G42+E42</f>
        <v>127000</v>
      </c>
      <c r="J42" s="39">
        <f t="shared" si="225"/>
        <v>81334.537000000011</v>
      </c>
      <c r="K42" s="5693">
        <f>+K32</f>
        <v>62500</v>
      </c>
      <c r="L42" s="18">
        <f>+USM!M171</f>
        <v>41676.830999999998</v>
      </c>
      <c r="M42" s="5709">
        <f>+K42+G42+E42</f>
        <v>189500</v>
      </c>
      <c r="N42" s="69">
        <f t="shared" si="226"/>
        <v>123011.36800000002</v>
      </c>
      <c r="O42" s="5693">
        <f>+O32</f>
        <v>65000</v>
      </c>
      <c r="P42" s="18">
        <f>+USM!Q171</f>
        <v>39505.72800000001</v>
      </c>
      <c r="Q42" s="1124">
        <f>+M42+O42</f>
        <v>254500</v>
      </c>
      <c r="R42" s="39">
        <f t="shared" si="218"/>
        <v>162517.09600000002</v>
      </c>
      <c r="S42" s="5693">
        <f>+S32</f>
        <v>65000</v>
      </c>
      <c r="T42" s="18">
        <f>+USM!U171</f>
        <v>30061.677999999996</v>
      </c>
      <c r="U42" s="1124">
        <f>+Q42+S42</f>
        <v>319500</v>
      </c>
      <c r="V42" s="39">
        <f t="shared" si="219"/>
        <v>192578.774</v>
      </c>
      <c r="W42" s="5693">
        <f>+W32</f>
        <v>33500</v>
      </c>
      <c r="X42" s="18">
        <f>+USM!Y171</f>
        <v>32261.593999999997</v>
      </c>
      <c r="Y42" s="5728">
        <f>+W42+S42+O42</f>
        <v>163500</v>
      </c>
      <c r="Z42" s="781">
        <f t="shared" si="220"/>
        <v>101829</v>
      </c>
      <c r="AA42" s="5694">
        <f>+M42+Y42</f>
        <v>353000</v>
      </c>
      <c r="AB42" s="465">
        <f t="shared" si="227"/>
        <v>224840.36800000002</v>
      </c>
      <c r="AC42" s="5693">
        <f>+AC32</f>
        <v>54000</v>
      </c>
      <c r="AD42" s="18">
        <f>+USM!AE171</f>
        <v>34793.764999999999</v>
      </c>
      <c r="AE42" s="5704">
        <f>+AC42+AA42</f>
        <v>407000</v>
      </c>
      <c r="AF42" s="39">
        <f t="shared" si="228"/>
        <v>259634.13300000003</v>
      </c>
      <c r="AG42" s="5693">
        <f>+AG32</f>
        <v>52000</v>
      </c>
      <c r="AH42" s="18">
        <f>+USM!AI171</f>
        <v>2029.9330000000009</v>
      </c>
      <c r="AI42" s="5704">
        <f>+AG42+AE42</f>
        <v>459000</v>
      </c>
      <c r="AJ42" s="39">
        <f t="shared" si="229"/>
        <v>261664.06600000002</v>
      </c>
      <c r="AK42" s="5693">
        <f>+AK32</f>
        <v>54000</v>
      </c>
      <c r="AL42" s="18">
        <f>+USM!AM171</f>
        <v>29630.324000000004</v>
      </c>
      <c r="AM42" s="5705">
        <f>+AK42+AG42+AC42</f>
        <v>160000</v>
      </c>
      <c r="AN42" s="781">
        <f t="shared" si="221"/>
        <v>66454.022000000012</v>
      </c>
      <c r="AO42" s="5704">
        <f>AI42+AK42</f>
        <v>513000</v>
      </c>
      <c r="AP42" s="61">
        <f t="shared" si="222"/>
        <v>291294.39</v>
      </c>
      <c r="AQ42" s="5693">
        <f>+AQ32</f>
        <v>54000</v>
      </c>
      <c r="AR42" s="18">
        <f>+USM!AS171</f>
        <v>38310.493000000002</v>
      </c>
      <c r="AS42" s="5704">
        <f>+AQ42+AO42</f>
        <v>567000</v>
      </c>
      <c r="AT42" s="39">
        <f t="shared" si="230"/>
        <v>329604.88300000003</v>
      </c>
      <c r="AU42" s="5693">
        <f>+AU32</f>
        <v>48000</v>
      </c>
      <c r="AV42" s="18">
        <f>+USM!AW171</f>
        <v>36772.828000000009</v>
      </c>
      <c r="AW42" s="5704">
        <f>+AU42+AS42</f>
        <v>615000</v>
      </c>
      <c r="AX42" s="39">
        <f t="shared" si="231"/>
        <v>366377.71100000001</v>
      </c>
      <c r="AY42" s="5693">
        <f>+AY32</f>
        <v>60000</v>
      </c>
      <c r="AZ42" s="18">
        <f>+USM!BA171</f>
        <v>48620.817000000003</v>
      </c>
      <c r="BA42" s="5705">
        <f>+AY42+AU42+AQ42</f>
        <v>162000</v>
      </c>
      <c r="BB42" s="781">
        <f t="shared" si="223"/>
        <v>123704.13800000001</v>
      </c>
      <c r="BC42" s="5694">
        <f>AM42+BA42</f>
        <v>322000</v>
      </c>
      <c r="BD42" s="465">
        <f t="shared" si="232"/>
        <v>190158.16000000003</v>
      </c>
      <c r="BE42" s="5704">
        <f>AW42+AY42</f>
        <v>675000</v>
      </c>
      <c r="BF42" s="61">
        <f t="shared" si="224"/>
        <v>414998.52799999999</v>
      </c>
      <c r="BG42" s="1906">
        <v>560000</v>
      </c>
      <c r="BH42" s="1906">
        <v>369513.92899999995</v>
      </c>
      <c r="BI42" s="1906">
        <v>525000</v>
      </c>
      <c r="BJ42" s="1906">
        <v>322948.41899999994</v>
      </c>
      <c r="BK42" s="1906">
        <v>273627.652</v>
      </c>
      <c r="BL42" s="5698">
        <f>+BL32</f>
        <v>450000</v>
      </c>
      <c r="BM42" s="5733">
        <v>168119.5</v>
      </c>
      <c r="BN42" s="5698">
        <f>+BN32</f>
        <v>220000</v>
      </c>
      <c r="BO42" s="5733">
        <v>78790</v>
      </c>
      <c r="BP42" s="5698">
        <v>535000</v>
      </c>
      <c r="BQ42" s="5730">
        <f>+BQ32</f>
        <v>171634.81128897145</v>
      </c>
      <c r="BR42" s="2762"/>
      <c r="BS42" s="2762"/>
      <c r="BT42" s="1546"/>
      <c r="BU42" s="1546"/>
      <c r="BV42" s="1546"/>
      <c r="BW42" s="1546"/>
    </row>
    <row r="43" spans="1:75" ht="15" customHeight="1" x14ac:dyDescent="0.25">
      <c r="B43" s="1976" t="s">
        <v>1182</v>
      </c>
      <c r="C43" s="1949" t="s">
        <v>50</v>
      </c>
      <c r="D43" s="5692"/>
      <c r="E43" s="5693"/>
      <c r="F43" s="18">
        <f>+USM!G172</f>
        <v>8108.2379999999994</v>
      </c>
      <c r="G43" s="5693"/>
      <c r="H43" s="18">
        <f>+USM!I172</f>
        <v>5159.0289999999995</v>
      </c>
      <c r="I43" s="5704">
        <f>+E43+G43</f>
        <v>0</v>
      </c>
      <c r="J43" s="39">
        <f t="shared" si="225"/>
        <v>13267.267</v>
      </c>
      <c r="K43" s="5693"/>
      <c r="L43" s="18">
        <f>+USM!M172</f>
        <v>5963.7650000000003</v>
      </c>
      <c r="M43" s="5709"/>
      <c r="N43" s="69">
        <f t="shared" si="226"/>
        <v>19231.031999999999</v>
      </c>
      <c r="O43" s="5693"/>
      <c r="P43" s="18">
        <f>+USM!Q172</f>
        <v>6848.3829999999998</v>
      </c>
      <c r="Q43" s="2111">
        <f>+M43+O43</f>
        <v>0</v>
      </c>
      <c r="R43" s="39">
        <f t="shared" si="218"/>
        <v>26079.415000000001</v>
      </c>
      <c r="S43" s="5693"/>
      <c r="T43" s="18">
        <f>+USM!U172</f>
        <v>1438.2529999999997</v>
      </c>
      <c r="U43" s="2111">
        <f>+Q43+S43</f>
        <v>0</v>
      </c>
      <c r="V43" s="39">
        <f t="shared" si="219"/>
        <v>27517.668000000001</v>
      </c>
      <c r="W43" s="5693"/>
      <c r="X43" s="18">
        <f>+USM!Y172</f>
        <v>5720.8829999999998</v>
      </c>
      <c r="Y43" s="5735"/>
      <c r="Z43" s="781">
        <f t="shared" si="220"/>
        <v>14007.518999999998</v>
      </c>
      <c r="AA43" s="5695"/>
      <c r="AB43" s="465">
        <f t="shared" si="227"/>
        <v>33238.550999999999</v>
      </c>
      <c r="AC43" s="5693"/>
      <c r="AD43" s="18">
        <f>+USM!AE172</f>
        <v>2513.3280000000004</v>
      </c>
      <c r="AE43" s="5704">
        <f>+AA43+AC43</f>
        <v>0</v>
      </c>
      <c r="AF43" s="39">
        <f t="shared" si="228"/>
        <v>35751.879000000001</v>
      </c>
      <c r="AG43" s="5693"/>
      <c r="AH43" s="18">
        <f>+USM!AI172</f>
        <v>0</v>
      </c>
      <c r="AI43" s="5704">
        <f>+AE43+AG43</f>
        <v>0</v>
      </c>
      <c r="AJ43" s="39">
        <f t="shared" si="229"/>
        <v>35751.879000000001</v>
      </c>
      <c r="AK43" s="5693"/>
      <c r="AL43" s="18">
        <f>+USM!AM172</f>
        <v>4923.0200000000004</v>
      </c>
      <c r="AM43" s="5705"/>
      <c r="AN43" s="781">
        <f t="shared" si="221"/>
        <v>7436.3480000000009</v>
      </c>
      <c r="AO43" s="5704">
        <f>+AK43+AM43</f>
        <v>0</v>
      </c>
      <c r="AP43" s="61">
        <f t="shared" si="222"/>
        <v>40674.899000000005</v>
      </c>
      <c r="AQ43" s="5693"/>
      <c r="AR43" s="18">
        <f>+USM!AS172</f>
        <v>5654.5990000000002</v>
      </c>
      <c r="AS43" s="5704">
        <f>+AO43+AQ43</f>
        <v>0</v>
      </c>
      <c r="AT43" s="39">
        <f t="shared" si="230"/>
        <v>46329.498000000007</v>
      </c>
      <c r="AU43" s="5693"/>
      <c r="AV43" s="18">
        <f>+USM!AW172</f>
        <v>7646.8819999999996</v>
      </c>
      <c r="AW43" s="5704">
        <f>+AS43+AU43</f>
        <v>0</v>
      </c>
      <c r="AX43" s="39">
        <f t="shared" si="231"/>
        <v>53976.380000000005</v>
      </c>
      <c r="AY43" s="5693"/>
      <c r="AZ43" s="18">
        <f>+USM!BA172</f>
        <v>7746.7179999999989</v>
      </c>
      <c r="BA43" s="5705"/>
      <c r="BB43" s="781">
        <f t="shared" si="223"/>
        <v>21048.199000000001</v>
      </c>
      <c r="BC43" s="5695"/>
      <c r="BD43" s="465">
        <f t="shared" si="232"/>
        <v>28484.547000000002</v>
      </c>
      <c r="BE43" s="5704">
        <f>+AY43+BA43</f>
        <v>0</v>
      </c>
      <c r="BF43" s="61">
        <f t="shared" si="224"/>
        <v>61723.098000000005</v>
      </c>
      <c r="BG43" s="1907">
        <v>0</v>
      </c>
      <c r="BH43" s="1907">
        <v>47628.758000000002</v>
      </c>
      <c r="BI43" s="1907">
        <v>0</v>
      </c>
      <c r="BJ43" s="1907">
        <v>47288.060999999994</v>
      </c>
      <c r="BK43" s="1907">
        <v>21791.11</v>
      </c>
      <c r="BL43" s="5698"/>
      <c r="BM43" s="5734"/>
      <c r="BN43" s="5698"/>
      <c r="BO43" s="5734"/>
      <c r="BP43" s="5698"/>
      <c r="BQ43" s="5731"/>
      <c r="BR43" s="2762"/>
      <c r="BS43" s="2762"/>
      <c r="BT43" s="1546"/>
      <c r="BU43" s="1546"/>
      <c r="BV43" s="1546"/>
      <c r="BW43" s="1546"/>
    </row>
    <row r="44" spans="1:75" ht="15" customHeight="1" x14ac:dyDescent="0.25">
      <c r="B44" s="1976" t="s">
        <v>939</v>
      </c>
      <c r="C44" s="1949" t="s">
        <v>50</v>
      </c>
      <c r="D44" s="5692"/>
      <c r="E44" s="5693"/>
      <c r="F44" s="18">
        <f>+USM!G173</f>
        <v>5094.6359999999995</v>
      </c>
      <c r="G44" s="5693"/>
      <c r="H44" s="18">
        <f>+USM!I173</f>
        <v>7066.4809999999998</v>
      </c>
      <c r="I44" s="5704">
        <f>+E44+G44</f>
        <v>0</v>
      </c>
      <c r="J44" s="39">
        <f t="shared" si="225"/>
        <v>12161.116999999998</v>
      </c>
      <c r="K44" s="5693"/>
      <c r="L44" s="18">
        <f>+USM!M173</f>
        <v>6391.5139999999974</v>
      </c>
      <c r="M44" s="5709"/>
      <c r="N44" s="69">
        <f t="shared" si="226"/>
        <v>18552.630999999994</v>
      </c>
      <c r="O44" s="5693"/>
      <c r="P44" s="18">
        <f>+USM!Q173</f>
        <v>8126.5689999999968</v>
      </c>
      <c r="Q44" s="2111">
        <f>+M44+O44</f>
        <v>0</v>
      </c>
      <c r="R44" s="39">
        <f>+N44+P44</f>
        <v>26679.19999999999</v>
      </c>
      <c r="S44" s="5693"/>
      <c r="T44" s="18">
        <f>+USM!U173</f>
        <v>9825.4939999999988</v>
      </c>
      <c r="U44" s="2111">
        <f>+Q44+S44</f>
        <v>0</v>
      </c>
      <c r="V44" s="39">
        <f>+R44+T44</f>
        <v>36504.693999999989</v>
      </c>
      <c r="W44" s="5693"/>
      <c r="X44" s="18">
        <f>+USM!Y173</f>
        <v>9271.39</v>
      </c>
      <c r="Y44" s="5735"/>
      <c r="Z44" s="781">
        <f t="shared" si="220"/>
        <v>27223.452999999994</v>
      </c>
      <c r="AA44" s="5695"/>
      <c r="AB44" s="465">
        <f t="shared" si="227"/>
        <v>45776.083999999988</v>
      </c>
      <c r="AC44" s="5693"/>
      <c r="AD44" s="18">
        <f>+USM!AE173</f>
        <v>6063.3640000000005</v>
      </c>
      <c r="AE44" s="5704">
        <f>+AA44+AC44</f>
        <v>0</v>
      </c>
      <c r="AF44" s="39">
        <f t="shared" si="228"/>
        <v>51839.447999999989</v>
      </c>
      <c r="AG44" s="5693"/>
      <c r="AH44" s="18">
        <f>+USM!AI173</f>
        <v>6555.0509999999995</v>
      </c>
      <c r="AI44" s="5704">
        <f>+AE44+AG44</f>
        <v>0</v>
      </c>
      <c r="AJ44" s="39">
        <f t="shared" si="229"/>
        <v>58394.498999999989</v>
      </c>
      <c r="AK44" s="5693"/>
      <c r="AL44" s="18">
        <f>+USM!AM173</f>
        <v>5513.4240000000009</v>
      </c>
      <c r="AM44" s="5705"/>
      <c r="AN44" s="781">
        <f t="shared" si="221"/>
        <v>18131.839</v>
      </c>
      <c r="AO44" s="5704">
        <f>+AK44+AM44</f>
        <v>0</v>
      </c>
      <c r="AP44" s="61">
        <f t="shared" si="222"/>
        <v>63907.922999999988</v>
      </c>
      <c r="AQ44" s="5693"/>
      <c r="AR44" s="18">
        <f>+USM!AS173</f>
        <v>7074.0869999999995</v>
      </c>
      <c r="AS44" s="5704">
        <f>+AO44+AQ44</f>
        <v>0</v>
      </c>
      <c r="AT44" s="39">
        <f t="shared" si="230"/>
        <v>70982.00999999998</v>
      </c>
      <c r="AU44" s="5693"/>
      <c r="AV44" s="18">
        <f>+USM!AW173</f>
        <v>6589.77</v>
      </c>
      <c r="AW44" s="5704">
        <f>+AS44+AU44</f>
        <v>0</v>
      </c>
      <c r="AX44" s="39">
        <f t="shared" si="231"/>
        <v>77571.779999999984</v>
      </c>
      <c r="AY44" s="5693"/>
      <c r="AZ44" s="18">
        <f>+USM!BA173</f>
        <v>5704.3549999999996</v>
      </c>
      <c r="BA44" s="5705"/>
      <c r="BB44" s="781">
        <f t="shared" si="223"/>
        <v>19368.212</v>
      </c>
      <c r="BC44" s="5695"/>
      <c r="BD44" s="465">
        <f t="shared" si="232"/>
        <v>37500.050999999999</v>
      </c>
      <c r="BE44" s="5704">
        <f>+AY44+BA44</f>
        <v>0</v>
      </c>
      <c r="BF44" s="61">
        <f t="shared" si="224"/>
        <v>83276.13499999998</v>
      </c>
      <c r="BG44" s="1775">
        <v>0</v>
      </c>
      <c r="BH44" s="1775">
        <v>81214.697000000015</v>
      </c>
      <c r="BI44" s="1775">
        <v>0</v>
      </c>
      <c r="BJ44" s="1775">
        <v>86018.164000000004</v>
      </c>
      <c r="BK44" s="1775">
        <v>62409.791000000005</v>
      </c>
      <c r="BL44" s="5698"/>
      <c r="BM44" s="1775">
        <v>44187.109898457304</v>
      </c>
      <c r="BN44" s="5698"/>
      <c r="BO44" s="1775">
        <v>4414.2190468179997</v>
      </c>
      <c r="BP44" s="5698"/>
      <c r="BQ44" s="5731"/>
      <c r="BR44" s="2762"/>
      <c r="BS44" s="2762"/>
      <c r="BT44" s="1546"/>
      <c r="BU44" s="1546"/>
      <c r="BV44" s="1546"/>
      <c r="BW44" s="1546"/>
    </row>
    <row r="45" spans="1:75" ht="15" customHeight="1" x14ac:dyDescent="0.25">
      <c r="A45" s="26"/>
      <c r="B45" s="1976" t="s">
        <v>687</v>
      </c>
      <c r="C45" s="1949" t="s">
        <v>50</v>
      </c>
      <c r="D45" s="5692"/>
      <c r="E45" s="5693"/>
      <c r="F45" s="18">
        <f>+USM!G174</f>
        <v>0</v>
      </c>
      <c r="G45" s="5693"/>
      <c r="H45" s="18">
        <f>+USM!I174</f>
        <v>0</v>
      </c>
      <c r="I45" s="5704">
        <f>+E45+G45</f>
        <v>0</v>
      </c>
      <c r="J45" s="39">
        <f t="shared" si="225"/>
        <v>0</v>
      </c>
      <c r="K45" s="5693"/>
      <c r="L45" s="18">
        <f>+USM!M174</f>
        <v>1992.848</v>
      </c>
      <c r="M45" s="5709"/>
      <c r="N45" s="69">
        <f t="shared" si="226"/>
        <v>1992.848</v>
      </c>
      <c r="O45" s="5693"/>
      <c r="P45" s="18">
        <f>+USM!Q174</f>
        <v>0</v>
      </c>
      <c r="Q45" s="718">
        <f>+M45+O45</f>
        <v>0</v>
      </c>
      <c r="R45" s="39">
        <f>+N45+P45</f>
        <v>1992.848</v>
      </c>
      <c r="S45" s="5693"/>
      <c r="T45" s="18">
        <f>+USM!U174</f>
        <v>468.21000000000004</v>
      </c>
      <c r="U45" s="718">
        <f>+Q45+S45</f>
        <v>0</v>
      </c>
      <c r="V45" s="39">
        <f>+R45+T45</f>
        <v>2461.058</v>
      </c>
      <c r="W45" s="5693"/>
      <c r="X45" s="18">
        <f>+USM!Y174</f>
        <v>0</v>
      </c>
      <c r="Y45" s="5729"/>
      <c r="Z45" s="781">
        <f t="shared" si="220"/>
        <v>468.21000000000004</v>
      </c>
      <c r="AA45" s="5696"/>
      <c r="AB45" s="465">
        <f t="shared" si="227"/>
        <v>2461.058</v>
      </c>
      <c r="AC45" s="5693"/>
      <c r="AD45" s="18">
        <f>+USM!AE174</f>
        <v>1529.8440000000001</v>
      </c>
      <c r="AE45" s="5704">
        <f>+AA45+AC45</f>
        <v>0</v>
      </c>
      <c r="AF45" s="39">
        <f t="shared" si="228"/>
        <v>3990.902</v>
      </c>
      <c r="AG45" s="5693"/>
      <c r="AH45" s="18">
        <f>+USM!AI174</f>
        <v>0</v>
      </c>
      <c r="AI45" s="5704">
        <f>+AE45+AG45</f>
        <v>0</v>
      </c>
      <c r="AJ45" s="39">
        <f t="shared" si="229"/>
        <v>3990.902</v>
      </c>
      <c r="AK45" s="5693"/>
      <c r="AL45" s="18">
        <f>+USM!AM174</f>
        <v>0</v>
      </c>
      <c r="AM45" s="5705"/>
      <c r="AN45" s="781">
        <f t="shared" si="221"/>
        <v>1529.8440000000001</v>
      </c>
      <c r="AO45" s="5704">
        <f>+AK45+AM45</f>
        <v>0</v>
      </c>
      <c r="AP45" s="61">
        <f t="shared" si="222"/>
        <v>3990.902</v>
      </c>
      <c r="AQ45" s="5693"/>
      <c r="AR45" s="18">
        <f>+USM!AS174</f>
        <v>0</v>
      </c>
      <c r="AS45" s="5704">
        <f>+AO45+AQ45</f>
        <v>0</v>
      </c>
      <c r="AT45" s="39">
        <f t="shared" si="230"/>
        <v>3990.902</v>
      </c>
      <c r="AU45" s="5693"/>
      <c r="AV45" s="18">
        <f>+USM!AW174</f>
        <v>0</v>
      </c>
      <c r="AW45" s="5704">
        <f>+AS45+AU45</f>
        <v>0</v>
      </c>
      <c r="AX45" s="39">
        <f t="shared" si="231"/>
        <v>3990.902</v>
      </c>
      <c r="AY45" s="5693"/>
      <c r="AZ45" s="18">
        <f>+USM!BA174</f>
        <v>0</v>
      </c>
      <c r="BA45" s="5705"/>
      <c r="BB45" s="781">
        <f t="shared" si="223"/>
        <v>0</v>
      </c>
      <c r="BC45" s="5696"/>
      <c r="BD45" s="465">
        <f t="shared" si="232"/>
        <v>1529.8440000000001</v>
      </c>
      <c r="BE45" s="5704">
        <f>+AY45+BA45</f>
        <v>0</v>
      </c>
      <c r="BF45" s="61">
        <f t="shared" si="224"/>
        <v>3990.902</v>
      </c>
      <c r="BG45" s="1775">
        <v>0</v>
      </c>
      <c r="BH45" s="1775">
        <v>1529.8440000000001</v>
      </c>
      <c r="BI45" s="1775">
        <v>0</v>
      </c>
      <c r="BJ45" s="1775">
        <v>2887.3210000000004</v>
      </c>
      <c r="BK45" s="1775">
        <v>4159.1839999999993</v>
      </c>
      <c r="BL45" s="5698"/>
      <c r="BM45" s="1775">
        <v>919.55454499999996</v>
      </c>
      <c r="BN45" s="5698"/>
      <c r="BO45" s="1775">
        <v>5739.5256319888003</v>
      </c>
      <c r="BP45" s="5698"/>
      <c r="BQ45" s="5732"/>
      <c r="BR45" s="2762"/>
      <c r="BS45" s="2762"/>
      <c r="BT45" s="1546"/>
      <c r="BU45" s="1546"/>
      <c r="BV45" s="1546"/>
      <c r="BW45" s="1546"/>
    </row>
    <row r="46" spans="1:75" ht="15" customHeight="1" x14ac:dyDescent="0.25">
      <c r="A46" s="26"/>
      <c r="B46" s="5487" t="s">
        <v>2300</v>
      </c>
      <c r="C46" s="5524"/>
      <c r="D46" s="5489"/>
      <c r="E46" s="5490"/>
      <c r="F46" s="5466"/>
      <c r="G46" s="5490"/>
      <c r="H46" s="5466"/>
      <c r="I46" s="5491"/>
      <c r="J46" s="4866"/>
      <c r="K46" s="5490"/>
      <c r="L46" s="18">
        <f>+USM!M175</f>
        <v>0</v>
      </c>
      <c r="M46" s="5492"/>
      <c r="N46" s="69">
        <f t="shared" si="226"/>
        <v>0</v>
      </c>
      <c r="O46" s="5490"/>
      <c r="P46" s="18">
        <f>+USM!Q175</f>
        <v>15.712999999999999</v>
      </c>
      <c r="Q46" s="718"/>
      <c r="R46" s="39">
        <f t="shared" ref="R46:R47" si="234">+N46+P46</f>
        <v>15.712999999999999</v>
      </c>
      <c r="S46" s="5490"/>
      <c r="T46" s="18">
        <f>+USM!U175</f>
        <v>0</v>
      </c>
      <c r="U46" s="718"/>
      <c r="V46" s="39">
        <f t="shared" ref="V46:V47" si="235">+R46+T46</f>
        <v>15.712999999999999</v>
      </c>
      <c r="W46" s="5490"/>
      <c r="X46" s="18">
        <f>+USM!Y175</f>
        <v>1212.7170000000001</v>
      </c>
      <c r="Y46" s="456"/>
      <c r="Z46" s="781">
        <f t="shared" si="220"/>
        <v>1228.43</v>
      </c>
      <c r="AA46" s="1612"/>
      <c r="AB46" s="465">
        <f t="shared" si="227"/>
        <v>1228.43</v>
      </c>
      <c r="AC46" s="5490"/>
      <c r="AD46" s="5466"/>
      <c r="AE46" s="5491"/>
      <c r="AF46" s="4866"/>
      <c r="AG46" s="5490"/>
      <c r="AH46" s="5466"/>
      <c r="AI46" s="5491"/>
      <c r="AJ46" s="4866"/>
      <c r="AK46" s="5490"/>
      <c r="AL46" s="5466"/>
      <c r="AM46" s="5450"/>
      <c r="AN46" s="5450"/>
      <c r="AO46" s="5491"/>
      <c r="AP46" s="5491"/>
      <c r="AQ46" s="5490"/>
      <c r="AR46" s="5466"/>
      <c r="AS46" s="5491"/>
      <c r="AT46" s="4866"/>
      <c r="AU46" s="5490"/>
      <c r="AV46" s="5466"/>
      <c r="AW46" s="5491"/>
      <c r="AX46" s="4866"/>
      <c r="AY46" s="5490"/>
      <c r="AZ46" s="5466"/>
      <c r="BA46" s="5450"/>
      <c r="BB46" s="5450"/>
      <c r="BC46" s="1612"/>
      <c r="BD46" s="5456"/>
      <c r="BE46" s="5491"/>
      <c r="BF46" s="5491"/>
      <c r="BG46" s="5493"/>
      <c r="BH46" s="5493"/>
      <c r="BI46" s="5493"/>
      <c r="BJ46" s="5493"/>
      <c r="BK46" s="5493"/>
      <c r="BL46" s="5493"/>
      <c r="BM46" s="5493"/>
      <c r="BN46" s="5493"/>
      <c r="BO46" s="5493"/>
      <c r="BP46" s="5493"/>
      <c r="BQ46" s="3985"/>
      <c r="BR46" s="2762"/>
      <c r="BS46" s="2762"/>
      <c r="BT46" s="1546"/>
      <c r="BU46" s="1546"/>
      <c r="BV46" s="1546"/>
      <c r="BW46" s="1546"/>
    </row>
    <row r="47" spans="1:75" ht="15" customHeight="1" x14ac:dyDescent="0.25">
      <c r="A47" s="26"/>
      <c r="B47" s="5487" t="s">
        <v>2281</v>
      </c>
      <c r="C47" s="5488"/>
      <c r="D47" s="5489"/>
      <c r="E47" s="5490"/>
      <c r="F47" s="18">
        <f>+USM!G176</f>
        <v>0</v>
      </c>
      <c r="G47" s="5490"/>
      <c r="H47" s="18">
        <f>+USM!I176</f>
        <v>0</v>
      </c>
      <c r="I47" s="5491"/>
      <c r="J47" s="4866">
        <f>+USM!K176</f>
        <v>0</v>
      </c>
      <c r="K47" s="5490"/>
      <c r="L47" s="5466">
        <f>+USM!M176</f>
        <v>2649.6750000000002</v>
      </c>
      <c r="M47" s="5492"/>
      <c r="N47" s="5468">
        <f>+USM!O176</f>
        <v>2649.6750000000002</v>
      </c>
      <c r="O47" s="5490"/>
      <c r="P47" s="5466">
        <f>+USM!Q176</f>
        <v>2830.9939999999997</v>
      </c>
      <c r="Q47" s="718"/>
      <c r="R47" s="39">
        <f t="shared" si="234"/>
        <v>5480.6689999999999</v>
      </c>
      <c r="S47" s="5490"/>
      <c r="T47" s="5466">
        <f>+USM!U176</f>
        <v>2612.6579999999994</v>
      </c>
      <c r="U47" s="718"/>
      <c r="V47" s="39">
        <f t="shared" si="235"/>
        <v>8093.3269999999993</v>
      </c>
      <c r="W47" s="5490"/>
      <c r="X47" s="5466">
        <f>+USM!Y176</f>
        <v>1543.8019999999997</v>
      </c>
      <c r="Y47" s="456"/>
      <c r="Z47" s="781">
        <f t="shared" si="220"/>
        <v>6987.4539999999988</v>
      </c>
      <c r="AA47" s="1612"/>
      <c r="AB47" s="465">
        <f t="shared" si="227"/>
        <v>9637.128999999999</v>
      </c>
      <c r="AC47" s="5490"/>
      <c r="AD47" s="5466"/>
      <c r="AE47" s="5491"/>
      <c r="AF47" s="4866"/>
      <c r="AG47" s="5490"/>
      <c r="AH47" s="5466"/>
      <c r="AI47" s="5491"/>
      <c r="AJ47" s="4866"/>
      <c r="AK47" s="5490"/>
      <c r="AL47" s="5466"/>
      <c r="AM47" s="5450"/>
      <c r="AN47" s="5450"/>
      <c r="AO47" s="5491"/>
      <c r="AP47" s="5491"/>
      <c r="AQ47" s="5490"/>
      <c r="AR47" s="5466"/>
      <c r="AS47" s="5491"/>
      <c r="AT47" s="4866"/>
      <c r="AU47" s="5490"/>
      <c r="AV47" s="5466"/>
      <c r="AW47" s="5491"/>
      <c r="AX47" s="4866"/>
      <c r="AY47" s="5490"/>
      <c r="AZ47" s="5466"/>
      <c r="BA47" s="5450"/>
      <c r="BB47" s="5450"/>
      <c r="BC47" s="1612"/>
      <c r="BD47" s="5456"/>
      <c r="BE47" s="5491"/>
      <c r="BF47" s="5491"/>
      <c r="BG47" s="5493"/>
      <c r="BH47" s="5493"/>
      <c r="BI47" s="5493"/>
      <c r="BJ47" s="5493"/>
      <c r="BK47" s="5493"/>
      <c r="BL47" s="5493"/>
      <c r="BM47" s="5493"/>
      <c r="BN47" s="5493"/>
      <c r="BO47" s="5493"/>
      <c r="BP47" s="5493"/>
      <c r="BQ47" s="3985"/>
      <c r="BR47" s="2762"/>
      <c r="BS47" s="2762"/>
      <c r="BT47" s="1546"/>
      <c r="BU47" s="1546"/>
      <c r="BV47" s="1546"/>
      <c r="BW47" s="1546"/>
    </row>
    <row r="48" spans="1:75" ht="15" customHeight="1" x14ac:dyDescent="0.25">
      <c r="B48" s="1976" t="s">
        <v>688</v>
      </c>
      <c r="C48" s="1949" t="s">
        <v>50</v>
      </c>
      <c r="D48" s="2532">
        <f t="shared" ref="D48:L48" si="236">+D36</f>
        <v>525000.33712911</v>
      </c>
      <c r="E48" s="155">
        <f t="shared" si="236"/>
        <v>48499.815368603398</v>
      </c>
      <c r="F48" s="181">
        <f t="shared" si="236"/>
        <v>45616.58799999996</v>
      </c>
      <c r="G48" s="155">
        <f t="shared" ref="G48:H48" si="237">+G36</f>
        <v>48499.576671657102</v>
      </c>
      <c r="H48" s="181">
        <f t="shared" si="237"/>
        <v>55556</v>
      </c>
      <c r="I48" s="61">
        <f t="shared" si="236"/>
        <v>96999.3920402605</v>
      </c>
      <c r="J48" s="39">
        <f t="shared" si="236"/>
        <v>101172.58799999996</v>
      </c>
      <c r="K48" s="155">
        <f t="shared" si="236"/>
        <v>48000.110883115201</v>
      </c>
      <c r="L48" s="181">
        <f t="shared" si="236"/>
        <v>57284</v>
      </c>
      <c r="M48" s="72">
        <f>+E48+G48+K48</f>
        <v>144999.50292337569</v>
      </c>
      <c r="N48" s="69">
        <f t="shared" si="226"/>
        <v>158456.58799999996</v>
      </c>
      <c r="O48" s="155">
        <f t="shared" ref="O48:P48" si="238">+O36</f>
        <v>43500.141355320899</v>
      </c>
      <c r="P48" s="181">
        <f t="shared" si="238"/>
        <v>50766</v>
      </c>
      <c r="Q48" s="61">
        <f t="shared" ref="Q48:AA48" si="239">+Q36</f>
        <v>188499.64427869659</v>
      </c>
      <c r="R48" s="39">
        <f t="shared" si="239"/>
        <v>209222.58799999996</v>
      </c>
      <c r="S48" s="155">
        <f t="shared" si="239"/>
        <v>43500.141355320899</v>
      </c>
      <c r="T48" s="181">
        <f t="shared" si="239"/>
        <v>60047.19</v>
      </c>
      <c r="U48" s="61">
        <f t="shared" ref="U48:X48" si="240">+U36</f>
        <v>231999.78563401749</v>
      </c>
      <c r="V48" s="39">
        <f t="shared" si="240"/>
        <v>269269.77799999999</v>
      </c>
      <c r="W48" s="155">
        <f t="shared" si="240"/>
        <v>15300.0147648532</v>
      </c>
      <c r="X48" s="181">
        <f t="shared" si="240"/>
        <v>55490</v>
      </c>
      <c r="Y48" s="781">
        <f t="shared" si="239"/>
        <v>102300.297475495</v>
      </c>
      <c r="Z48" s="781">
        <f t="shared" si="239"/>
        <v>166303.18999999997</v>
      </c>
      <c r="AA48" s="465">
        <f t="shared" si="239"/>
        <v>247299.80039887069</v>
      </c>
      <c r="AB48" s="465">
        <f t="shared" si="227"/>
        <v>324759.77799999993</v>
      </c>
      <c r="AC48" s="155">
        <f t="shared" ref="AC48:AD48" si="241">+AC36</f>
        <v>47341.093867539748</v>
      </c>
      <c r="AD48" s="181">
        <f t="shared" si="241"/>
        <v>32797.5262</v>
      </c>
      <c r="AE48" s="61">
        <f t="shared" ref="AE48:AH48" si="242">+AE36</f>
        <v>294640.89426641038</v>
      </c>
      <c r="AF48" s="39">
        <f t="shared" si="242"/>
        <v>357557.3041999999</v>
      </c>
      <c r="AG48" s="155">
        <f t="shared" si="242"/>
        <v>49680.915573301019</v>
      </c>
      <c r="AH48" s="181">
        <f t="shared" si="242"/>
        <v>8572</v>
      </c>
      <c r="AI48" s="61">
        <f t="shared" ref="AI48:AN48" si="243">+AI36</f>
        <v>344321.80983971147</v>
      </c>
      <c r="AJ48" s="39">
        <f t="shared" si="243"/>
        <v>366129.3041999999</v>
      </c>
      <c r="AK48" s="155">
        <f t="shared" si="243"/>
        <v>45710.062262521606</v>
      </c>
      <c r="AL48" s="181">
        <f t="shared" si="243"/>
        <v>77403</v>
      </c>
      <c r="AM48" s="781">
        <f t="shared" si="243"/>
        <v>142732.07170336237</v>
      </c>
      <c r="AN48" s="781">
        <f t="shared" si="243"/>
        <v>118772.52619999999</v>
      </c>
      <c r="AO48" s="61">
        <f>AI48+AK48</f>
        <v>390031.87210223306</v>
      </c>
      <c r="AP48" s="61">
        <f t="shared" si="222"/>
        <v>443532.3041999999</v>
      </c>
      <c r="AQ48" s="155">
        <f t="shared" ref="AQ48:AR48" si="244">+AQ36</f>
        <v>47339.612262521601</v>
      </c>
      <c r="AR48" s="181">
        <f t="shared" si="244"/>
        <v>73982.023000000001</v>
      </c>
      <c r="AS48" s="61">
        <f t="shared" ref="AS48:AV48" si="245">+AS36</f>
        <v>437371.48436475464</v>
      </c>
      <c r="AT48" s="39">
        <f t="shared" si="245"/>
        <v>517514.32719999988</v>
      </c>
      <c r="AU48" s="155">
        <f t="shared" si="245"/>
        <v>46657.996091741836</v>
      </c>
      <c r="AV48" s="181">
        <f t="shared" si="245"/>
        <v>57481.269999999931</v>
      </c>
      <c r="AW48" s="61">
        <f t="shared" ref="AW48:BC48" si="246">+AW36</f>
        <v>484029.48045649647</v>
      </c>
      <c r="AX48" s="39">
        <f t="shared" si="246"/>
        <v>574995.59719999984</v>
      </c>
      <c r="AY48" s="155">
        <f t="shared" si="246"/>
        <v>45452.612262521594</v>
      </c>
      <c r="AZ48" s="181">
        <f t="shared" si="246"/>
        <v>57620</v>
      </c>
      <c r="BA48" s="781">
        <f t="shared" si="246"/>
        <v>139450.22061678505</v>
      </c>
      <c r="BB48" s="781">
        <f t="shared" si="246"/>
        <v>189083.29299999992</v>
      </c>
      <c r="BC48" s="465">
        <f t="shared" si="246"/>
        <v>282182.29232014745</v>
      </c>
      <c r="BD48" s="465">
        <f t="shared" si="232"/>
        <v>307855.81919999991</v>
      </c>
      <c r="BE48" s="61">
        <f>AW48+AY48</f>
        <v>529482.09271901811</v>
      </c>
      <c r="BF48" s="61">
        <f t="shared" si="224"/>
        <v>632615.59719999984</v>
      </c>
      <c r="BG48" s="1775">
        <v>479999.55640071473</v>
      </c>
      <c r="BH48" s="1775">
        <v>622038.29920000001</v>
      </c>
      <c r="BI48" s="1775">
        <v>649999.91641318286</v>
      </c>
      <c r="BJ48" s="1775">
        <v>676651.51417999994</v>
      </c>
      <c r="BK48" s="1775">
        <v>711198.95600000001</v>
      </c>
      <c r="BL48" s="1775">
        <v>669999.10878236312</v>
      </c>
      <c r="BM48" s="1775">
        <v>832014.92464244016</v>
      </c>
      <c r="BN48" s="1775">
        <f>+BN36</f>
        <v>904433.82567653409</v>
      </c>
      <c r="BO48" s="1775">
        <v>937874.53289999999</v>
      </c>
      <c r="BP48" s="1775">
        <v>571999.74093264237</v>
      </c>
      <c r="BQ48" s="1099">
        <f>+BQ36</f>
        <v>877839.95550700894</v>
      </c>
      <c r="BR48" s="2762"/>
      <c r="BS48" s="2762"/>
      <c r="BT48" s="1546"/>
      <c r="BU48" s="1546"/>
      <c r="BV48" s="1546"/>
      <c r="BW48" s="1546"/>
    </row>
    <row r="49" spans="1:75" ht="15" customHeight="1" x14ac:dyDescent="0.25">
      <c r="B49" s="1974" t="s">
        <v>1578</v>
      </c>
      <c r="C49" s="1951" t="s">
        <v>50</v>
      </c>
      <c r="D49" s="2532">
        <f t="shared" ref="D49:R49" si="247">SUM(D39:D48)</f>
        <v>2675000.33712911</v>
      </c>
      <c r="E49" s="1339">
        <f t="shared" si="247"/>
        <v>228999.81536860339</v>
      </c>
      <c r="F49" s="1141">
        <f t="shared" si="247"/>
        <v>198800.00000000003</v>
      </c>
      <c r="G49" s="1339">
        <f t="shared" ref="G49" si="248">SUM(G39:G48)</f>
        <v>236499.57667165709</v>
      </c>
      <c r="H49" s="1141">
        <f t="shared" ref="H49" si="249">SUM(H39:H48)</f>
        <v>228325.12900000007</v>
      </c>
      <c r="I49" s="2044">
        <f t="shared" si="247"/>
        <v>465499.39204026049</v>
      </c>
      <c r="J49" s="2045">
        <f t="shared" si="247"/>
        <v>427125.12900000007</v>
      </c>
      <c r="K49" s="1339">
        <f t="shared" ref="K49:L49" si="250">SUM(K39:K48)</f>
        <v>229000.11088311521</v>
      </c>
      <c r="L49" s="1141">
        <f t="shared" si="250"/>
        <v>227900.14800000004</v>
      </c>
      <c r="M49" s="2036">
        <f t="shared" si="247"/>
        <v>694499.50292337569</v>
      </c>
      <c r="N49" s="2037">
        <f t="shared" si="247"/>
        <v>655025.27700000012</v>
      </c>
      <c r="O49" s="1339">
        <f t="shared" ref="O49:P49" si="251">SUM(O39:O48)</f>
        <v>231500.1413553209</v>
      </c>
      <c r="P49" s="1141">
        <f t="shared" si="251"/>
        <v>243219.92700000008</v>
      </c>
      <c r="Q49" s="2044">
        <f t="shared" si="247"/>
        <v>925999.64427869662</v>
      </c>
      <c r="R49" s="2045">
        <f t="shared" si="247"/>
        <v>898245.20400000026</v>
      </c>
      <c r="S49" s="1339">
        <f t="shared" ref="S49:T49" si="252">SUM(S39:S48)</f>
        <v>231500.1413553209</v>
      </c>
      <c r="T49" s="1141">
        <f t="shared" si="252"/>
        <v>219041.92800000001</v>
      </c>
      <c r="U49" s="2044">
        <f t="shared" ref="U49:X49" si="253">SUM(U39:U48)</f>
        <v>1157499.7856340175</v>
      </c>
      <c r="V49" s="2045">
        <f t="shared" si="253"/>
        <v>1117287.1320000002</v>
      </c>
      <c r="W49" s="1339">
        <f t="shared" si="253"/>
        <v>121300.0147648532</v>
      </c>
      <c r="X49" s="1141">
        <f t="shared" si="253"/>
        <v>222825.57100000008</v>
      </c>
      <c r="Y49" s="378">
        <f t="shared" ref="Y49:AB49" si="254">SUM(Y39:Y48)</f>
        <v>584300.29747549503</v>
      </c>
      <c r="Z49" s="378">
        <f t="shared" si="254"/>
        <v>685087.42600000021</v>
      </c>
      <c r="AA49" s="544">
        <f t="shared" si="254"/>
        <v>1278799.8003988706</v>
      </c>
      <c r="AB49" s="544">
        <f t="shared" si="254"/>
        <v>1340112.7030000002</v>
      </c>
      <c r="AC49" s="1339">
        <f>SUM(AC39:AC48)</f>
        <v>226841.09386753975</v>
      </c>
      <c r="AD49" s="1141">
        <f>SUM(AD39:AD48)</f>
        <v>186830.38720000003</v>
      </c>
      <c r="AE49" s="2044">
        <f t="shared" ref="AE49:AF49" si="255">SUM(AE39:AE48)</f>
        <v>1505640.8942664103</v>
      </c>
      <c r="AF49" s="2045">
        <f t="shared" si="255"/>
        <v>1516077.5312000003</v>
      </c>
      <c r="AG49" s="1339">
        <f>SUM(AG39:AG48)</f>
        <v>223180.91557330103</v>
      </c>
      <c r="AH49" s="1141">
        <f>SUM(AH39:AH48)</f>
        <v>40308.054000000004</v>
      </c>
      <c r="AI49" s="2044">
        <f t="shared" ref="AI49:AJ49" si="256">SUM(AI39:AI48)</f>
        <v>1728821.8098397115</v>
      </c>
      <c r="AJ49" s="2045">
        <f t="shared" si="256"/>
        <v>1556385.5852000003</v>
      </c>
      <c r="AK49" s="1339">
        <f>SUM(AK39:AK48)</f>
        <v>225210.06226252159</v>
      </c>
      <c r="AL49" s="1141">
        <f>SUM(AL39:AL48)</f>
        <v>227300.49800000005</v>
      </c>
      <c r="AM49" s="378">
        <f t="shared" ref="AM49:AP49" si="257">SUM(AM39:AM48)</f>
        <v>675232.0717033624</v>
      </c>
      <c r="AN49" s="378">
        <f t="shared" si="257"/>
        <v>454438.93920000002</v>
      </c>
      <c r="AO49" s="2044">
        <f t="shared" si="257"/>
        <v>1954031.8721022331</v>
      </c>
      <c r="AP49" s="2045">
        <f t="shared" si="257"/>
        <v>1783686.0832</v>
      </c>
      <c r="AQ49" s="1339">
        <f>SUM(AQ39:AQ48)</f>
        <v>226839.61226252161</v>
      </c>
      <c r="AR49" s="1141">
        <f>SUM(AR39:AR48)</f>
        <v>235403.16700000007</v>
      </c>
      <c r="AS49" s="2044">
        <f t="shared" ref="AS49:AT49" si="258">SUM(AS39:AS48)</f>
        <v>2180871.4843647545</v>
      </c>
      <c r="AT49" s="2045">
        <f t="shared" si="258"/>
        <v>2019089.2502000001</v>
      </c>
      <c r="AU49" s="1339">
        <f>SUM(AU39:AU48)</f>
        <v>207657.99609174184</v>
      </c>
      <c r="AV49" s="1141">
        <f>SUM(AV39:AV48)</f>
        <v>208816.1</v>
      </c>
      <c r="AW49" s="2044">
        <f t="shared" ref="AW49:AX49" si="259">SUM(AW39:AW48)</f>
        <v>2388529.4804564966</v>
      </c>
      <c r="AX49" s="2045">
        <f t="shared" si="259"/>
        <v>2227905.3502000002</v>
      </c>
      <c r="AY49" s="1339">
        <f>SUM(AY39:AY48)</f>
        <v>230952.61226252158</v>
      </c>
      <c r="AZ49" s="1141">
        <f>SUM(AZ39:AZ48)</f>
        <v>240775.0500000001</v>
      </c>
      <c r="BA49" s="378">
        <f t="shared" ref="BA49:BF49" si="260">SUM(BA39:BA48)</f>
        <v>665450.22061678511</v>
      </c>
      <c r="BB49" s="378">
        <f t="shared" si="260"/>
        <v>684994.31700000016</v>
      </c>
      <c r="BC49" s="544">
        <f t="shared" si="260"/>
        <v>1340682.2923201474</v>
      </c>
      <c r="BD49" s="544">
        <f t="shared" si="260"/>
        <v>1139433.2562000004</v>
      </c>
      <c r="BE49" s="2044">
        <f t="shared" si="260"/>
        <v>2619482.092719018</v>
      </c>
      <c r="BF49" s="2045">
        <f t="shared" si="260"/>
        <v>2468680.4002000005</v>
      </c>
      <c r="BG49" s="1140">
        <v>2409999.5564007149</v>
      </c>
      <c r="BH49" s="1140">
        <v>2331824.0152000007</v>
      </c>
      <c r="BI49" s="1140">
        <v>2524999.9164131829</v>
      </c>
      <c r="BJ49" s="1140">
        <v>2409644.1371800005</v>
      </c>
      <c r="BK49" s="1140">
        <v>2315207.9685</v>
      </c>
      <c r="BL49" s="1140">
        <f t="shared" ref="BL49:BQ49" si="261">SUM(BL39:BL48)</f>
        <v>2369999.1087823631</v>
      </c>
      <c r="BM49" s="1140">
        <f t="shared" si="261"/>
        <v>2160425.8190858974</v>
      </c>
      <c r="BN49" s="1140">
        <f t="shared" si="261"/>
        <v>2235274.9274697341</v>
      </c>
      <c r="BO49" s="1140">
        <f t="shared" si="261"/>
        <v>1823883.8005788068</v>
      </c>
      <c r="BP49" s="1140">
        <f t="shared" si="261"/>
        <v>2406999.7409326425</v>
      </c>
      <c r="BQ49" s="2014">
        <f t="shared" si="261"/>
        <v>2093720.1667959802</v>
      </c>
      <c r="BR49" s="2762"/>
      <c r="BS49" s="2762"/>
      <c r="BT49" s="1546"/>
      <c r="BU49" s="1546"/>
      <c r="BV49" s="1546"/>
      <c r="BW49" s="1546"/>
    </row>
    <row r="50" spans="1:75" ht="15" customHeight="1" x14ac:dyDescent="0.25">
      <c r="B50" s="1973" t="s">
        <v>343</v>
      </c>
      <c r="C50" s="1949" t="s">
        <v>50</v>
      </c>
      <c r="D50" s="2532">
        <v>42940.816250000003</v>
      </c>
      <c r="E50" s="155">
        <v>3583.125</v>
      </c>
      <c r="F50" s="18">
        <v>3447.44</v>
      </c>
      <c r="G50" s="155">
        <v>3702.5625</v>
      </c>
      <c r="H50" s="18">
        <v>3578.13</v>
      </c>
      <c r="I50" s="61">
        <f>+E50+G50</f>
        <v>7285.6875</v>
      </c>
      <c r="J50" s="39">
        <f>+F50+H50</f>
        <v>7025.57</v>
      </c>
      <c r="K50" s="155">
        <v>3531.5250000000001</v>
      </c>
      <c r="L50" s="18">
        <v>3463.0699999999997</v>
      </c>
      <c r="M50" s="72">
        <f>+E50+G50+K50</f>
        <v>10817.2125</v>
      </c>
      <c r="N50" s="69">
        <f>+F50+H50+L50</f>
        <v>10488.64</v>
      </c>
      <c r="O50" s="155">
        <v>3649.2424999999998</v>
      </c>
      <c r="P50" s="18">
        <v>3586.12</v>
      </c>
      <c r="Q50" s="61">
        <f>+M50+O50</f>
        <v>14466.455</v>
      </c>
      <c r="R50" s="39">
        <f>+N50+P50</f>
        <v>14074.759999999998</v>
      </c>
      <c r="S50" s="155">
        <v>3649.2424999999998</v>
      </c>
      <c r="T50" s="18">
        <v>3608.6899999999996</v>
      </c>
      <c r="U50" s="61">
        <f>+Q50+S50</f>
        <v>18115.697499999998</v>
      </c>
      <c r="V50" s="39">
        <f>+R50+T50</f>
        <v>17683.449999999997</v>
      </c>
      <c r="W50" s="155">
        <v>3400.5337499999996</v>
      </c>
      <c r="X50" s="18">
        <v>3497.87</v>
      </c>
      <c r="Y50" s="781">
        <f>+O50+S50+W50</f>
        <v>10699.018749999999</v>
      </c>
      <c r="Z50" s="781">
        <f>+P50+T50+X50</f>
        <v>10692.68</v>
      </c>
      <c r="AA50" s="465">
        <f>+M50+Y50</f>
        <v>21516.231249999997</v>
      </c>
      <c r="AB50" s="465">
        <f>+N50+Z50</f>
        <v>21181.32</v>
      </c>
      <c r="AC50" s="155">
        <v>3996.3820499999997</v>
      </c>
      <c r="AD50" s="18">
        <v>3647.77</v>
      </c>
      <c r="AE50" s="61">
        <f>+AA50+AC50</f>
        <v>25512.613299999997</v>
      </c>
      <c r="AF50" s="39">
        <f>+AB50+AD50</f>
        <v>24829.09</v>
      </c>
      <c r="AG50" s="155">
        <v>3867.4664999999995</v>
      </c>
      <c r="AH50" s="18">
        <v>3383.76</v>
      </c>
      <c r="AI50" s="61">
        <f>+AE50+AG50</f>
        <v>29380.079799999996</v>
      </c>
      <c r="AJ50" s="39">
        <f>+AF50+AH50</f>
        <v>28212.85</v>
      </c>
      <c r="AK50" s="155">
        <v>3996.3820499999997</v>
      </c>
      <c r="AL50" s="18">
        <v>3673.9500000000003</v>
      </c>
      <c r="AM50" s="781">
        <f>+AC50+AG50+AK50</f>
        <v>11860.230599999999</v>
      </c>
      <c r="AN50" s="781">
        <f>+AD50+AH50+AL50</f>
        <v>10705.480000000001</v>
      </c>
      <c r="AO50" s="61">
        <f>AI50+AK50</f>
        <v>33376.461849999992</v>
      </c>
      <c r="AP50" s="61">
        <f t="shared" si="222"/>
        <v>31886.799999999999</v>
      </c>
      <c r="AQ50" s="155">
        <v>3996.3820499999997</v>
      </c>
      <c r="AR50" s="18">
        <v>3683.34</v>
      </c>
      <c r="AS50" s="61">
        <f>+AO50+AQ50</f>
        <v>37372.843899999993</v>
      </c>
      <c r="AT50" s="39">
        <f>+AP50+AR50</f>
        <v>35570.14</v>
      </c>
      <c r="AU50" s="155">
        <v>3609.6354000000001</v>
      </c>
      <c r="AV50" s="18">
        <v>3305.7</v>
      </c>
      <c r="AW50" s="61">
        <f>+AS50+AU50</f>
        <v>40982.479299999992</v>
      </c>
      <c r="AX50" s="39">
        <f>+AT50+AV50</f>
        <v>38875.839999999997</v>
      </c>
      <c r="AY50" s="155">
        <v>3996.3820499999997</v>
      </c>
      <c r="AZ50" s="18">
        <v>3667.4974999999999</v>
      </c>
      <c r="BA50" s="781">
        <f>+AQ50+AU50+AY50</f>
        <v>11602.3995</v>
      </c>
      <c r="BB50" s="781">
        <f>+AR50+AV50+AZ50</f>
        <v>10656.5375</v>
      </c>
      <c r="BC50" s="465">
        <f>AM50+BA50</f>
        <v>23462.630099999998</v>
      </c>
      <c r="BD50" s="465">
        <f>AN50+BB50</f>
        <v>21362.017500000002</v>
      </c>
      <c r="BE50" s="61">
        <f>AW50+AY50</f>
        <v>44978.861349999992</v>
      </c>
      <c r="BF50" s="61">
        <f t="shared" ref="BF50:BF51" si="262">AX50+AZ50</f>
        <v>42543.337499999994</v>
      </c>
      <c r="BG50" s="1775">
        <v>46866.669119999991</v>
      </c>
      <c r="BH50" s="1775">
        <v>43164.837499999994</v>
      </c>
      <c r="BI50" s="1775">
        <v>50890.945799999994</v>
      </c>
      <c r="BJ50" s="1775">
        <v>44869.641499999998</v>
      </c>
      <c r="BK50" s="1775">
        <v>48878.170000000006</v>
      </c>
      <c r="BL50" s="1775">
        <v>51086.382800000007</v>
      </c>
      <c r="BM50" s="1775">
        <v>49592.549999999996</v>
      </c>
      <c r="BN50" s="1775">
        <v>48584.311000000002</v>
      </c>
      <c r="BO50" s="1775">
        <v>46678.95</v>
      </c>
      <c r="BP50" s="1775">
        <v>46118.873100000012</v>
      </c>
      <c r="BQ50" s="1099">
        <v>49237.57</v>
      </c>
      <c r="BR50" s="2762"/>
      <c r="BS50" s="2762"/>
      <c r="BT50" s="1546"/>
      <c r="BU50" s="1546"/>
      <c r="BV50" s="1546"/>
      <c r="BW50" s="1546"/>
    </row>
    <row r="51" spans="1:75" ht="15" customHeight="1" x14ac:dyDescent="0.25">
      <c r="B51" s="1973" t="s">
        <v>344</v>
      </c>
      <c r="C51" s="1949" t="s">
        <v>50</v>
      </c>
      <c r="D51" s="2532">
        <v>9122.3970800000025</v>
      </c>
      <c r="E51" s="155">
        <v>835.57544000000007</v>
      </c>
      <c r="F51" s="18">
        <v>674</v>
      </c>
      <c r="G51" s="155">
        <v>865.41741999999999</v>
      </c>
      <c r="H51" s="18">
        <v>488.5</v>
      </c>
      <c r="I51" s="61">
        <f>+E51+G51</f>
        <v>1700.9928600000001</v>
      </c>
      <c r="J51" s="39">
        <f>+F51+H51</f>
        <v>1162.5</v>
      </c>
      <c r="K51" s="155">
        <v>816.31144000000006</v>
      </c>
      <c r="L51" s="18">
        <v>494.65</v>
      </c>
      <c r="M51" s="72">
        <f>+E51+G51+K51</f>
        <v>2517.3043000000002</v>
      </c>
      <c r="N51" s="69">
        <f>+F51+H51+L51</f>
        <v>1657.15</v>
      </c>
      <c r="O51" s="155">
        <v>845.46541999999999</v>
      </c>
      <c r="P51" s="18">
        <v>717.5</v>
      </c>
      <c r="Q51" s="61">
        <f>+M51+O51</f>
        <v>3362.7697200000002</v>
      </c>
      <c r="R51" s="39">
        <f>+N51+P51</f>
        <v>2374.65</v>
      </c>
      <c r="S51" s="155">
        <v>845.46541999999999</v>
      </c>
      <c r="T51" s="18">
        <v>586.54999999999995</v>
      </c>
      <c r="U51" s="61">
        <f>+Q51+S51</f>
        <v>4208.2351400000007</v>
      </c>
      <c r="V51" s="39">
        <f>+R51+T51</f>
        <v>2961.2</v>
      </c>
      <c r="W51" s="155">
        <v>790.46478000000002</v>
      </c>
      <c r="X51" s="18">
        <v>519.6</v>
      </c>
      <c r="Y51" s="781">
        <f>+O51+S51+W51</f>
        <v>2481.3956200000002</v>
      </c>
      <c r="Z51" s="781">
        <f>+P51+T51+X51</f>
        <v>1823.65</v>
      </c>
      <c r="AA51" s="465">
        <f>+M51+Y51</f>
        <v>4998.6999200000009</v>
      </c>
      <c r="AB51" s="465">
        <f>+N51+Z51</f>
        <v>3480.8</v>
      </c>
      <c r="AC51" s="155">
        <v>902.0331900000001</v>
      </c>
      <c r="AD51" s="18">
        <v>376</v>
      </c>
      <c r="AE51" s="61">
        <f>+AA51+AC51</f>
        <v>5900.733110000001</v>
      </c>
      <c r="AF51" s="39">
        <f>+AB51+AD51</f>
        <v>3856.8</v>
      </c>
      <c r="AG51" s="155">
        <v>0</v>
      </c>
      <c r="AH51" s="18">
        <v>317</v>
      </c>
      <c r="AI51" s="61">
        <f>+AE51+AG51</f>
        <v>5900.733110000001</v>
      </c>
      <c r="AJ51" s="39">
        <f>+AF51+AH51</f>
        <v>4173.8</v>
      </c>
      <c r="AK51" s="155">
        <v>902.0331900000001</v>
      </c>
      <c r="AL51" s="18">
        <v>455</v>
      </c>
      <c r="AM51" s="781">
        <f>+AC51+AG51+AK51</f>
        <v>1804.0663800000002</v>
      </c>
      <c r="AN51" s="781">
        <f>+AD51+AH51+AL51</f>
        <v>1148</v>
      </c>
      <c r="AO51" s="61">
        <f>AI51+AK51</f>
        <v>6802.7663000000011</v>
      </c>
      <c r="AP51" s="61">
        <f t="shared" si="222"/>
        <v>4628.8</v>
      </c>
      <c r="AQ51" s="155">
        <v>902.0331900000001</v>
      </c>
      <c r="AR51" s="18">
        <v>479</v>
      </c>
      <c r="AS51" s="61">
        <f>+AO51+AQ51</f>
        <v>7704.7994900000012</v>
      </c>
      <c r="AT51" s="39">
        <f>+AP51+AR51</f>
        <v>5107.8</v>
      </c>
      <c r="AU51" s="155">
        <v>813.14172000000008</v>
      </c>
      <c r="AV51" s="18">
        <v>501</v>
      </c>
      <c r="AW51" s="61">
        <f>+AS51+AU51</f>
        <v>8517.9412100000009</v>
      </c>
      <c r="AX51" s="39">
        <f>+AT51+AV51</f>
        <v>5608.8</v>
      </c>
      <c r="AY51" s="155">
        <v>902.0331900000001</v>
      </c>
      <c r="AZ51" s="18">
        <v>572</v>
      </c>
      <c r="BA51" s="781">
        <f>+AQ51+AU51+AY51</f>
        <v>2617.2081000000003</v>
      </c>
      <c r="BB51" s="781">
        <f>+AR51+AV51+AZ51</f>
        <v>1552</v>
      </c>
      <c r="BC51" s="465">
        <f>AM51+BA51</f>
        <v>4421.27448</v>
      </c>
      <c r="BD51" s="465">
        <f>AN51+BB51</f>
        <v>2700</v>
      </c>
      <c r="BE51" s="61">
        <f>AW51+AY51</f>
        <v>9419.974400000001</v>
      </c>
      <c r="BF51" s="61">
        <f t="shared" si="262"/>
        <v>6180.8</v>
      </c>
      <c r="BG51" s="1775">
        <v>9348.2025633333342</v>
      </c>
      <c r="BH51" s="1775">
        <v>4897.75</v>
      </c>
      <c r="BI51" s="1775">
        <v>8145.2</v>
      </c>
      <c r="BJ51" s="1775">
        <v>16578.809000000001</v>
      </c>
      <c r="BK51" s="1775">
        <v>8876.9</v>
      </c>
      <c r="BL51" s="1775">
        <v>21728.852072500002</v>
      </c>
      <c r="BM51" s="1775">
        <v>10510.61</v>
      </c>
      <c r="BN51" s="1775">
        <v>15654.414839999999</v>
      </c>
      <c r="BO51" s="1099">
        <v>12312.800000000001</v>
      </c>
      <c r="BP51" s="2762"/>
      <c r="BQ51" s="2762"/>
      <c r="BR51" s="2762"/>
      <c r="BS51" s="2762"/>
      <c r="BT51" s="1546"/>
      <c r="BU51" s="1546"/>
    </row>
    <row r="52" spans="1:75" ht="15" customHeight="1" x14ac:dyDescent="0.25">
      <c r="A52" s="149"/>
      <c r="B52" s="2016"/>
      <c r="C52" s="26"/>
      <c r="D52" s="2534"/>
      <c r="E52" s="2534"/>
      <c r="F52" s="2534"/>
      <c r="G52" s="2534"/>
      <c r="H52" s="2534"/>
      <c r="I52" s="2534"/>
      <c r="J52" s="2534"/>
      <c r="K52" s="2534"/>
      <c r="L52" s="2534"/>
      <c r="M52" s="2534"/>
      <c r="N52" s="2534"/>
      <c r="O52" s="2534"/>
      <c r="P52" s="2534"/>
      <c r="Q52" s="2534"/>
      <c r="R52" s="2534"/>
      <c r="S52" s="2534"/>
      <c r="T52" s="2534"/>
      <c r="U52" s="2534"/>
      <c r="V52" s="2534"/>
      <c r="W52" s="2534"/>
      <c r="X52" s="2534"/>
      <c r="Y52" s="2534"/>
      <c r="Z52" s="2534"/>
      <c r="AA52" s="2534"/>
      <c r="AB52" s="2534"/>
      <c r="AC52" s="2534"/>
      <c r="AD52" s="2534"/>
      <c r="AE52" s="2534"/>
      <c r="AF52" s="2534"/>
      <c r="AG52" s="2534"/>
      <c r="AH52" s="2534"/>
      <c r="AI52" s="2534"/>
      <c r="AJ52" s="2534"/>
      <c r="AK52" s="2534"/>
      <c r="AL52" s="2534"/>
      <c r="AM52" s="2534"/>
      <c r="AN52" s="2534"/>
      <c r="AO52" s="2534"/>
      <c r="AP52" s="2534"/>
      <c r="AQ52" s="2534"/>
      <c r="AR52" s="2534"/>
      <c r="AS52" s="2534"/>
      <c r="AT52" s="2534"/>
      <c r="AU52" s="2534"/>
      <c r="AV52" s="2534"/>
      <c r="AW52" s="2534"/>
      <c r="AX52" s="2534"/>
      <c r="AY52" s="2534"/>
      <c r="AZ52" s="2534"/>
      <c r="BA52" s="2534"/>
      <c r="BB52" s="2534"/>
      <c r="BC52" s="2534"/>
      <c r="BD52" s="2534"/>
      <c r="BE52" s="2534"/>
      <c r="BF52" s="2534"/>
      <c r="BG52" s="26"/>
      <c r="BH52" s="26"/>
      <c r="BI52" s="26"/>
      <c r="BJ52" s="26"/>
      <c r="BK52" s="26"/>
      <c r="BL52" s="26"/>
      <c r="BM52" s="26"/>
      <c r="BN52" s="26"/>
      <c r="BO52" s="2012"/>
      <c r="BP52" s="2762"/>
      <c r="BQ52" s="2762"/>
      <c r="BR52" s="2762"/>
      <c r="BS52" s="2762"/>
      <c r="BT52" s="1546"/>
      <c r="BU52" s="1546"/>
    </row>
    <row r="53" spans="1:75" ht="15.75" thickBot="1" x14ac:dyDescent="0.3">
      <c r="B53" s="1972" t="s">
        <v>709</v>
      </c>
      <c r="C53" s="1952" t="s">
        <v>710</v>
      </c>
      <c r="D53" s="1955">
        <v>18466.792571608465</v>
      </c>
      <c r="E53" s="720">
        <v>1580.7365439093514</v>
      </c>
      <c r="F53" s="38">
        <v>1323</v>
      </c>
      <c r="G53" s="720">
        <v>1631.0985206169341</v>
      </c>
      <c r="H53" s="38">
        <v>1516</v>
      </c>
      <c r="I53" s="722">
        <f>+E53+G53</f>
        <v>3211.8350645262854</v>
      </c>
      <c r="J53" s="44">
        <f>+F53+H53</f>
        <v>2839</v>
      </c>
      <c r="K53" s="720">
        <v>1580.7365439093485</v>
      </c>
      <c r="L53" s="38">
        <v>1556</v>
      </c>
      <c r="M53" s="1541">
        <f>+E53+G53+K53</f>
        <v>4792.5716084356336</v>
      </c>
      <c r="N53" s="74">
        <f>+F53+H53+L53</f>
        <v>4395</v>
      </c>
      <c r="O53" s="720">
        <v>1599.6222851746932</v>
      </c>
      <c r="P53" s="38">
        <v>1610</v>
      </c>
      <c r="Q53" s="722">
        <f>+M53+O53</f>
        <v>6392.193893610327</v>
      </c>
      <c r="R53" s="44">
        <f>+N53+P53</f>
        <v>6005</v>
      </c>
      <c r="S53" s="720">
        <v>1599.6222851746932</v>
      </c>
      <c r="T53" s="38">
        <v>1515</v>
      </c>
      <c r="U53" s="722">
        <f>+Q53+S53</f>
        <v>7991.8161787850204</v>
      </c>
      <c r="V53" s="44">
        <f>+R53+T53</f>
        <v>7520</v>
      </c>
      <c r="W53" s="720">
        <v>839.47119924457036</v>
      </c>
      <c r="X53" s="38">
        <v>1448</v>
      </c>
      <c r="Y53" s="488">
        <f>+O53+S53+W53</f>
        <v>4038.7157695939568</v>
      </c>
      <c r="Z53" s="488">
        <f>+P53+T53+X53</f>
        <v>4573</v>
      </c>
      <c r="AA53" s="1143">
        <f>+M53+Y53</f>
        <v>8831.2873780295904</v>
      </c>
      <c r="AB53" s="1143">
        <f>+N53+Z53</f>
        <v>8968</v>
      </c>
      <c r="AC53" s="720">
        <v>1569.9371069182389</v>
      </c>
      <c r="AD53" s="38">
        <v>1451</v>
      </c>
      <c r="AE53" s="722">
        <f>+AA53+AC53</f>
        <v>10401.22448494783</v>
      </c>
      <c r="AF53" s="44">
        <f>+AB53+AD53</f>
        <v>10419</v>
      </c>
      <c r="AG53" s="720">
        <v>1519.6226415094338</v>
      </c>
      <c r="AH53" s="38">
        <v>52</v>
      </c>
      <c r="AI53" s="722">
        <f>+AE53+AG53</f>
        <v>11920.847126457264</v>
      </c>
      <c r="AJ53" s="44">
        <f>+AF53+AH53</f>
        <v>10471</v>
      </c>
      <c r="AK53" s="720">
        <v>1569.9371069182389</v>
      </c>
      <c r="AL53" s="38">
        <v>1531</v>
      </c>
      <c r="AM53" s="488">
        <f>+AC53+AG53+AK53</f>
        <v>4659.4968553459112</v>
      </c>
      <c r="AN53" s="488">
        <f>+AD53+AH53+AL53</f>
        <v>3034</v>
      </c>
      <c r="AO53" s="61">
        <f>AI53+AK53</f>
        <v>13490.784233375503</v>
      </c>
      <c r="AP53" s="61">
        <f t="shared" si="222"/>
        <v>12002</v>
      </c>
      <c r="AQ53" s="720">
        <v>1569.9371069182389</v>
      </c>
      <c r="AR53" s="38">
        <v>1599</v>
      </c>
      <c r="AS53" s="722">
        <f>+AO53+AQ53</f>
        <v>15060.721340293741</v>
      </c>
      <c r="AT53" s="44">
        <f>+AP53+AR53</f>
        <v>13601</v>
      </c>
      <c r="AU53" s="720">
        <v>1412.7044025157234</v>
      </c>
      <c r="AV53" s="38">
        <v>1443</v>
      </c>
      <c r="AW53" s="722">
        <f>+AS53+AU53</f>
        <v>16473.425742809464</v>
      </c>
      <c r="AX53" s="44">
        <f>+AT53+AV53</f>
        <v>15044</v>
      </c>
      <c r="AY53" s="720">
        <v>1569.9371069182389</v>
      </c>
      <c r="AZ53" s="38">
        <v>1572</v>
      </c>
      <c r="BA53" s="488">
        <f>+AQ53+AU53+AY53</f>
        <v>4552.5786163522007</v>
      </c>
      <c r="BB53" s="488">
        <f>+AR53+AV53+AZ53</f>
        <v>4614</v>
      </c>
      <c r="BC53" s="465">
        <f>AM53+BA53</f>
        <v>9212.0754716981119</v>
      </c>
      <c r="BD53" s="465">
        <f>AN53+BB53</f>
        <v>7648</v>
      </c>
      <c r="BE53" s="61">
        <f>AW53+AY53</f>
        <v>18043.362849727702</v>
      </c>
      <c r="BF53" s="61">
        <f t="shared" ref="BF53" si="263">AX53+AZ53</f>
        <v>16616</v>
      </c>
      <c r="BG53" s="1144">
        <v>16596.855319496852</v>
      </c>
      <c r="BH53" s="1144">
        <v>15925</v>
      </c>
      <c r="BI53" s="1144">
        <v>16116</v>
      </c>
      <c r="BJ53" s="1144">
        <v>16344.714992175272</v>
      </c>
      <c r="BK53" s="1144">
        <v>14624</v>
      </c>
      <c r="BL53" s="1144">
        <v>15300.816666666668</v>
      </c>
      <c r="BM53" s="1144">
        <v>12158</v>
      </c>
      <c r="BN53" s="1144">
        <v>16891.891891891893</v>
      </c>
      <c r="BO53" s="1101">
        <v>14151</v>
      </c>
      <c r="BP53" s="2762"/>
      <c r="BQ53" s="2762"/>
      <c r="BR53" s="2762"/>
      <c r="BS53" s="2762"/>
      <c r="BT53" s="1546"/>
      <c r="BU53" s="1546"/>
    </row>
    <row r="54" spans="1:75" x14ac:dyDescent="0.25">
      <c r="E54" s="87"/>
      <c r="F54" s="93"/>
      <c r="G54" s="87"/>
      <c r="H54" s="93"/>
      <c r="I54" s="87"/>
      <c r="J54" s="93"/>
      <c r="K54" s="87"/>
      <c r="L54" s="93"/>
      <c r="M54" s="87"/>
      <c r="N54" s="93"/>
      <c r="O54" s="87"/>
      <c r="P54" s="93"/>
      <c r="Q54" s="87"/>
      <c r="R54" s="93"/>
      <c r="S54" s="87"/>
      <c r="T54" s="93"/>
      <c r="U54" s="87"/>
      <c r="V54" s="93"/>
      <c r="W54" s="87"/>
      <c r="X54" s="93"/>
      <c r="Z54" s="93"/>
      <c r="AE54" s="87"/>
      <c r="AF54" s="93"/>
      <c r="AG54" s="87"/>
      <c r="AH54" s="93"/>
      <c r="AI54" s="87"/>
      <c r="AJ54" s="93"/>
      <c r="AK54" s="87"/>
      <c r="AL54" s="93"/>
      <c r="AN54" s="93"/>
      <c r="AO54" s="87"/>
      <c r="AP54" s="93"/>
      <c r="AQ54" s="87"/>
      <c r="AR54" s="93"/>
      <c r="AS54" s="87"/>
      <c r="AT54" s="93"/>
      <c r="AU54" s="87"/>
      <c r="AV54" s="93"/>
      <c r="AW54" s="87"/>
      <c r="AX54" s="93"/>
      <c r="AY54" s="87"/>
      <c r="AZ54" s="93"/>
      <c r="BB54" s="93"/>
      <c r="BE54" s="87"/>
      <c r="BF54" s="93"/>
      <c r="BP54" s="4309"/>
      <c r="BQ54" s="4309"/>
      <c r="BR54" s="2762"/>
      <c r="BS54" s="2762"/>
      <c r="BT54" s="1546"/>
      <c r="BU54" s="1546"/>
    </row>
    <row r="55" spans="1:75" ht="15" customHeight="1" x14ac:dyDescent="0.25">
      <c r="E55" s="1346">
        <f t="shared" ref="E55:R55" si="264">+E37-E49</f>
        <v>0</v>
      </c>
      <c r="F55" s="1346">
        <f t="shared" si="264"/>
        <v>0</v>
      </c>
      <c r="G55" s="1346">
        <f t="shared" si="264"/>
        <v>0</v>
      </c>
      <c r="H55" s="1346">
        <f t="shared" si="264"/>
        <v>0</v>
      </c>
      <c r="I55" s="1346">
        <f t="shared" si="264"/>
        <v>0</v>
      </c>
      <c r="J55" s="1346">
        <f t="shared" si="264"/>
        <v>0</v>
      </c>
      <c r="K55" s="1346">
        <f t="shared" ref="K55:L55" si="265">+K37-K49</f>
        <v>0</v>
      </c>
      <c r="L55" s="1346">
        <f t="shared" si="265"/>
        <v>0</v>
      </c>
      <c r="M55" s="1346">
        <f t="shared" si="264"/>
        <v>0</v>
      </c>
      <c r="N55" s="1346">
        <f t="shared" si="264"/>
        <v>0</v>
      </c>
      <c r="O55" s="1346">
        <f t="shared" si="264"/>
        <v>0</v>
      </c>
      <c r="P55" s="1346">
        <f t="shared" si="264"/>
        <v>0</v>
      </c>
      <c r="Q55" s="1346">
        <f t="shared" si="264"/>
        <v>0</v>
      </c>
      <c r="R55" s="1346">
        <f t="shared" si="264"/>
        <v>0</v>
      </c>
      <c r="S55" s="1346">
        <f t="shared" ref="S55:T55" si="266">+S37-S49</f>
        <v>0</v>
      </c>
      <c r="T55" s="1346">
        <f t="shared" si="266"/>
        <v>0</v>
      </c>
      <c r="U55" s="1346">
        <f t="shared" ref="U55:X55" si="267">+U37-U49</f>
        <v>0</v>
      </c>
      <c r="V55" s="1346">
        <f t="shared" si="267"/>
        <v>0</v>
      </c>
      <c r="W55" s="1346">
        <f t="shared" si="267"/>
        <v>0</v>
      </c>
      <c r="X55" s="1346">
        <f t="shared" si="267"/>
        <v>0</v>
      </c>
      <c r="Y55" s="1346">
        <f t="shared" ref="Y55:AB55" si="268">+Y37-Y49</f>
        <v>0</v>
      </c>
      <c r="Z55" s="1346">
        <f t="shared" si="268"/>
        <v>0</v>
      </c>
      <c r="AA55" s="1346">
        <f t="shared" si="268"/>
        <v>0</v>
      </c>
      <c r="AB55" s="1346">
        <f t="shared" si="268"/>
        <v>0</v>
      </c>
      <c r="AC55" s="1346">
        <f t="shared" ref="AC55:AD55" si="269">+AC37-AC49</f>
        <v>0</v>
      </c>
      <c r="AD55" s="1346">
        <f t="shared" si="269"/>
        <v>0</v>
      </c>
      <c r="AE55" s="1346">
        <f t="shared" ref="AE55:AF55" si="270">+AE37-AE49</f>
        <v>0</v>
      </c>
      <c r="AF55" s="1346">
        <f t="shared" si="270"/>
        <v>10865.558999999892</v>
      </c>
      <c r="AG55" s="1346">
        <f t="shared" ref="AG55:AN55" si="271">+AG37-AG49</f>
        <v>0</v>
      </c>
      <c r="AH55" s="1346">
        <f t="shared" si="271"/>
        <v>0</v>
      </c>
      <c r="AI55" s="1346">
        <f t="shared" si="271"/>
        <v>0</v>
      </c>
      <c r="AJ55" s="1346">
        <f t="shared" si="271"/>
        <v>10865.558999999892</v>
      </c>
      <c r="AK55" s="1346">
        <f t="shared" ref="AK55:AL55" si="272">+AK37-AK49</f>
        <v>0</v>
      </c>
      <c r="AL55" s="1346">
        <f t="shared" si="272"/>
        <v>0</v>
      </c>
      <c r="AM55" s="1346">
        <f t="shared" si="271"/>
        <v>0</v>
      </c>
      <c r="AN55" s="1346">
        <f t="shared" si="271"/>
        <v>0</v>
      </c>
      <c r="AO55" s="1346">
        <f t="shared" ref="AO55:AT55" si="273">+AO37-AO49</f>
        <v>0</v>
      </c>
      <c r="AP55" s="1346">
        <f t="shared" si="273"/>
        <v>10865.559000000358</v>
      </c>
      <c r="AQ55" s="1346">
        <f t="shared" si="273"/>
        <v>0</v>
      </c>
      <c r="AR55" s="1346">
        <f t="shared" si="273"/>
        <v>0</v>
      </c>
      <c r="AS55" s="1346">
        <f t="shared" si="273"/>
        <v>0</v>
      </c>
      <c r="AT55" s="1346">
        <f t="shared" si="273"/>
        <v>10865.559000000358</v>
      </c>
      <c r="AU55" s="1346">
        <f t="shared" ref="AU55:AV55" si="274">+AU37-AU49</f>
        <v>0</v>
      </c>
      <c r="AV55" s="1346">
        <f t="shared" si="274"/>
        <v>0</v>
      </c>
      <c r="AW55" s="1346">
        <f t="shared" ref="AW55:BF55" si="275">+AW37-AW49</f>
        <v>0</v>
      </c>
      <c r="AX55" s="1346">
        <f t="shared" si="275"/>
        <v>10865.559000000358</v>
      </c>
      <c r="AY55" s="1346">
        <f t="shared" si="275"/>
        <v>0</v>
      </c>
      <c r="AZ55" s="1346">
        <f t="shared" si="275"/>
        <v>0</v>
      </c>
      <c r="BA55" s="1346">
        <f t="shared" si="275"/>
        <v>0</v>
      </c>
      <c r="BB55" s="1346">
        <f t="shared" si="275"/>
        <v>0</v>
      </c>
      <c r="BC55" s="1346">
        <f t="shared" si="275"/>
        <v>0</v>
      </c>
      <c r="BD55" s="1346">
        <f t="shared" si="275"/>
        <v>0</v>
      </c>
      <c r="BE55" s="1346">
        <f t="shared" si="275"/>
        <v>0</v>
      </c>
      <c r="BF55" s="1346">
        <f t="shared" si="275"/>
        <v>10865.558999999892</v>
      </c>
      <c r="BG55" s="1346">
        <v>0</v>
      </c>
      <c r="BH55" s="1346">
        <v>0</v>
      </c>
      <c r="BI55" s="1346">
        <v>-1.2959999963641167E-2</v>
      </c>
      <c r="BJ55" s="1346">
        <f t="shared" ref="BJ55:BO55" si="276">+BL37-BL49</f>
        <v>0</v>
      </c>
      <c r="BK55" s="1346">
        <f t="shared" si="276"/>
        <v>-3.9024325087666512E-4</v>
      </c>
      <c r="BL55" s="1346">
        <f t="shared" si="276"/>
        <v>0</v>
      </c>
      <c r="BM55" s="1346">
        <f t="shared" si="276"/>
        <v>0.55446018418297172</v>
      </c>
      <c r="BN55" s="1346">
        <f t="shared" si="276"/>
        <v>0</v>
      </c>
      <c r="BO55" s="1346">
        <f t="shared" si="276"/>
        <v>0</v>
      </c>
      <c r="BP55" s="4309"/>
      <c r="BQ55" s="4309"/>
      <c r="BR55" s="2762"/>
      <c r="BS55" s="2762"/>
      <c r="BT55" s="1546"/>
      <c r="BU55" s="1546"/>
    </row>
    <row r="56" spans="1:75" x14ac:dyDescent="0.25">
      <c r="E56" s="26"/>
      <c r="F56" s="26"/>
      <c r="S56" s="26"/>
      <c r="T56" s="26"/>
    </row>
    <row r="57" spans="1:75" x14ac:dyDescent="0.25">
      <c r="AC57" s="26"/>
      <c r="AG57" s="26"/>
      <c r="AV57" s="26"/>
    </row>
    <row r="58" spans="1:75" x14ac:dyDescent="0.25">
      <c r="E58" s="5650">
        <v>237.077</v>
      </c>
      <c r="F58" s="5650">
        <v>110.658</v>
      </c>
      <c r="G58" s="5650">
        <v>257.62299999999999</v>
      </c>
      <c r="H58" s="5650"/>
      <c r="AC58" s="26"/>
      <c r="AD58" s="26"/>
      <c r="AH58" s="2479"/>
      <c r="AO58" s="2479"/>
    </row>
    <row r="59" spans="1:75" ht="15.75" thickBot="1" x14ac:dyDescent="0.3">
      <c r="E59" s="6468">
        <v>223.226</v>
      </c>
      <c r="F59" s="6468">
        <v>97.960999999999999</v>
      </c>
      <c r="G59" s="6468">
        <v>240.80600000000001</v>
      </c>
      <c r="AH59" s="2479"/>
      <c r="AO59" s="2479"/>
    </row>
    <row r="60" spans="1:75" x14ac:dyDescent="0.25">
      <c r="AH60" s="2479"/>
      <c r="AO60" s="2479"/>
      <c r="AZ60" s="26"/>
    </row>
    <row r="61" spans="1:75" x14ac:dyDescent="0.25">
      <c r="X61" s="26"/>
      <c r="AH61" s="2479"/>
      <c r="AZ61" s="26"/>
    </row>
    <row r="62" spans="1:75" x14ac:dyDescent="0.25">
      <c r="E62" t="s">
        <v>2370</v>
      </c>
      <c r="G62">
        <v>384</v>
      </c>
      <c r="K62">
        <f>+($E$63*G62+$E$64*G63+$E$65*G64)/SUM($E$63:$E$65)</f>
        <v>376.8995866908507</v>
      </c>
      <c r="X62" s="26"/>
      <c r="AZ62" s="26"/>
    </row>
    <row r="63" spans="1:75" x14ac:dyDescent="0.25">
      <c r="E63" s="5650">
        <v>237.077</v>
      </c>
      <c r="G63">
        <v>415</v>
      </c>
      <c r="X63" s="26"/>
    </row>
    <row r="64" spans="1:75" x14ac:dyDescent="0.25">
      <c r="E64" s="5650">
        <v>110.658</v>
      </c>
      <c r="G64">
        <v>354</v>
      </c>
      <c r="AO64" s="185"/>
      <c r="AZ64" s="26"/>
    </row>
    <row r="65" spans="5:41" x14ac:dyDescent="0.25">
      <c r="E65" s="5650">
        <v>257.62299999999999</v>
      </c>
      <c r="AO65" s="185"/>
    </row>
    <row r="66" spans="5:41" x14ac:dyDescent="0.25">
      <c r="E66" s="5650"/>
      <c r="G66">
        <v>32</v>
      </c>
      <c r="K66" s="5650">
        <f>+($E$63*G66+$E$64*G67+$E$65*G68)/SUM($E$63:$E$65)</f>
        <v>33.033940246928267</v>
      </c>
      <c r="AO66" s="2479"/>
    </row>
    <row r="67" spans="5:41" ht="15.75" thickBot="1" x14ac:dyDescent="0.3">
      <c r="E67" s="6468">
        <v>223.226</v>
      </c>
      <c r="G67">
        <v>33</v>
      </c>
      <c r="AO67" s="2479"/>
    </row>
    <row r="68" spans="5:41" ht="15.75" thickBot="1" x14ac:dyDescent="0.3">
      <c r="E68" s="6468">
        <v>97.960999999999999</v>
      </c>
      <c r="F68" s="5650"/>
      <c r="G68" s="5650">
        <v>34</v>
      </c>
    </row>
    <row r="69" spans="5:41" ht="15.75" thickBot="1" x14ac:dyDescent="0.3">
      <c r="E69" s="6468">
        <v>240.80600000000001</v>
      </c>
    </row>
    <row r="70" spans="5:41" x14ac:dyDescent="0.25">
      <c r="G70">
        <v>125</v>
      </c>
      <c r="K70" s="5650">
        <f>+($E$63*G70+$E$64*G71+$E$65*G72)/SUM($E$63:$E$65)</f>
        <v>126.38518859914301</v>
      </c>
    </row>
    <row r="71" spans="5:41" x14ac:dyDescent="0.25">
      <c r="G71">
        <v>93</v>
      </c>
    </row>
    <row r="72" spans="5:41" x14ac:dyDescent="0.25">
      <c r="G72">
        <v>142</v>
      </c>
    </row>
    <row r="74" spans="5:41" x14ac:dyDescent="0.25">
      <c r="G74">
        <f>+G62+G66+G70</f>
        <v>541</v>
      </c>
      <c r="K74" s="5650">
        <f>+($E$63*G74+$E$64*G75+$E$65*G76)/SUM($E$63:$E$65)</f>
        <v>536.31871553692201</v>
      </c>
    </row>
    <row r="75" spans="5:41" x14ac:dyDescent="0.25">
      <c r="G75" s="5650">
        <f t="shared" ref="G75:G76" si="277">+G63+G67+G71</f>
        <v>541</v>
      </c>
    </row>
    <row r="76" spans="5:41" x14ac:dyDescent="0.25">
      <c r="G76" s="5650">
        <f t="shared" si="277"/>
        <v>530</v>
      </c>
    </row>
    <row r="78" spans="5:41" x14ac:dyDescent="0.25">
      <c r="G78">
        <v>71</v>
      </c>
      <c r="K78" s="5650">
        <f>+($E$63*G78+$E$64*G79+$E$65*G80)/SUM($E$63:$E$65)</f>
        <v>68.932119506143479</v>
      </c>
    </row>
    <row r="79" spans="5:41" x14ac:dyDescent="0.25">
      <c r="G79">
        <v>69</v>
      </c>
    </row>
    <row r="80" spans="5:41" x14ac:dyDescent="0.25">
      <c r="G80">
        <v>67</v>
      </c>
    </row>
    <row r="82" spans="7:11" x14ac:dyDescent="0.25">
      <c r="G82">
        <v>15</v>
      </c>
      <c r="K82" s="5650">
        <f>+($E$63*G82+$E$64*G83+$E$65*G84)/SUM($E$63:$E$65)</f>
        <v>15.97396416665841</v>
      </c>
    </row>
    <row r="83" spans="7:11" x14ac:dyDescent="0.25">
      <c r="G83">
        <v>18</v>
      </c>
    </row>
    <row r="84" spans="7:11" x14ac:dyDescent="0.25">
      <c r="G84">
        <v>16</v>
      </c>
    </row>
    <row r="87" spans="7:11" x14ac:dyDescent="0.25">
      <c r="G87">
        <v>6.11</v>
      </c>
      <c r="K87" s="5650">
        <f>+($E$67*G87+$E$68*G88+$E$69*G89)/SUM($E$67:$E$69)</f>
        <v>6.2823513816008374</v>
      </c>
    </row>
    <row r="88" spans="7:11" x14ac:dyDescent="0.25">
      <c r="G88">
        <v>7.32</v>
      </c>
    </row>
    <row r="89" spans="7:11" x14ac:dyDescent="0.25">
      <c r="G89">
        <v>6.02</v>
      </c>
    </row>
    <row r="94" spans="7:11" x14ac:dyDescent="0.25">
      <c r="G94">
        <v>2.2599999999999998</v>
      </c>
      <c r="K94">
        <v>2.2000000000000002</v>
      </c>
    </row>
    <row r="95" spans="7:11" x14ac:dyDescent="0.25">
      <c r="G95">
        <v>1.83</v>
      </c>
    </row>
    <row r="96" spans="7:11" x14ac:dyDescent="0.25">
      <c r="G96">
        <v>2.4700000000000002</v>
      </c>
    </row>
  </sheetData>
  <mergeCells count="98"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  <mergeCell ref="AC42:AC45"/>
    <mergeCell ref="AE42:AE45"/>
    <mergeCell ref="AO42:AO45"/>
    <mergeCell ref="AG42:AG45"/>
    <mergeCell ref="AI42:AI45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M3:N3"/>
    <mergeCell ref="O3:P3"/>
    <mergeCell ref="O39:O40"/>
    <mergeCell ref="K39:K40"/>
    <mergeCell ref="K3:L3"/>
    <mergeCell ref="B3:B4"/>
    <mergeCell ref="C3:C4"/>
    <mergeCell ref="E3:F3"/>
    <mergeCell ref="G3:H3"/>
    <mergeCell ref="I3:J3"/>
    <mergeCell ref="D3:D4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D42:D45"/>
    <mergeCell ref="E42:E45"/>
    <mergeCell ref="G42:G45"/>
    <mergeCell ref="K42:K45"/>
    <mergeCell ref="AA42:AA45"/>
  </mergeCells>
  <printOptions horizontalCentered="1" verticalCentered="1"/>
  <pageMargins left="0" right="0" top="0" bottom="0" header="0" footer="0"/>
  <pageSetup paperSize="9" scale="68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7030A0"/>
    <pageSetUpPr fitToPage="1"/>
  </sheetPr>
  <dimension ref="A1:BW46"/>
  <sheetViews>
    <sheetView workbookViewId="0">
      <pane xSplit="4" topLeftCell="P1" activePane="topRight" state="frozen"/>
      <selection pane="topRight" activeCell="BU21" sqref="BU21"/>
    </sheetView>
  </sheetViews>
  <sheetFormatPr defaultColWidth="9.140625" defaultRowHeight="15" x14ac:dyDescent="0.25"/>
  <cols>
    <col min="1" max="1" width="9.140625" style="4"/>
    <col min="2" max="2" width="58.42578125" style="4" customWidth="1"/>
    <col min="3" max="3" width="12.42578125" style="4" customWidth="1"/>
    <col min="4" max="4" width="13.7109375" style="4" bestFit="1" customWidth="1"/>
    <col min="5" max="5" width="12.140625" style="4" customWidth="1"/>
    <col min="6" max="6" width="8.42578125" style="4" customWidth="1"/>
    <col min="7" max="7" width="12.5703125" style="4" customWidth="1"/>
    <col min="8" max="8" width="8.42578125" style="4" customWidth="1"/>
    <col min="9" max="9" width="10.42578125" style="4" hidden="1" customWidth="1"/>
    <col min="10" max="10" width="9.85546875" style="4" hidden="1" customWidth="1"/>
    <col min="11" max="11" width="7.85546875" style="4" customWidth="1"/>
    <col min="12" max="12" width="9.85546875" style="4" customWidth="1"/>
    <col min="13" max="13" width="7.85546875" style="4" customWidth="1"/>
    <col min="14" max="14" width="11.28515625" style="4" customWidth="1"/>
    <col min="15" max="15" width="7.85546875" style="4" customWidth="1"/>
    <col min="16" max="16" width="9.85546875" style="4" customWidth="1"/>
    <col min="17" max="17" width="9.5703125" style="4" hidden="1" customWidth="1"/>
    <col min="18" max="18" width="11.28515625" style="4" hidden="1" customWidth="1"/>
    <col min="19" max="19" width="12.140625" style="4" customWidth="1"/>
    <col min="20" max="20" width="9.85546875" style="4" customWidth="1"/>
    <col min="21" max="21" width="9" style="4" hidden="1" customWidth="1"/>
    <col min="22" max="22" width="11.28515625" style="4" hidden="1" customWidth="1"/>
    <col min="23" max="24" width="9.85546875" style="4" customWidth="1"/>
    <col min="25" max="25" width="9.140625" style="4" customWidth="1"/>
    <col min="26" max="26" width="11.28515625" style="4" customWidth="1"/>
    <col min="27" max="27" width="9.140625" style="4" customWidth="1"/>
    <col min="28" max="28" width="11.28515625" style="4" customWidth="1"/>
    <col min="29" max="59" width="11.28515625" style="4" hidden="1" customWidth="1"/>
    <col min="60" max="60" width="11.28515625" style="4" customWidth="1"/>
    <col min="61" max="61" width="11.28515625" style="4" hidden="1" customWidth="1"/>
    <col min="62" max="62" width="11.28515625" style="4" customWidth="1"/>
    <col min="63" max="63" width="9.140625" style="4" hidden="1" customWidth="1"/>
    <col min="64" max="64" width="13" style="4" customWidth="1"/>
    <col min="65" max="65" width="11.28515625" style="4" hidden="1" customWidth="1"/>
    <col min="66" max="66" width="13.5703125" style="4" hidden="1" customWidth="1"/>
    <col min="67" max="67" width="9" style="4" hidden="1" customWidth="1"/>
    <col min="68" max="68" width="13.7109375" style="4" hidden="1" customWidth="1"/>
    <col min="69" max="70" width="9" style="4" hidden="1" customWidth="1"/>
    <col min="71" max="71" width="10.140625" style="4" bestFit="1" customWidth="1"/>
    <col min="72" max="72" width="9.5703125" style="4" bestFit="1" customWidth="1"/>
    <col min="73" max="16384" width="9.140625" style="4"/>
  </cols>
  <sheetData>
    <row r="1" spans="1:75" ht="22.9" x14ac:dyDescent="0.4">
      <c r="B1" s="389" t="s">
        <v>2196</v>
      </c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793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  <c r="AF1" s="389"/>
      <c r="AG1" s="389"/>
      <c r="AH1" s="389"/>
      <c r="AI1" s="389"/>
      <c r="AJ1" s="389"/>
      <c r="AK1" s="389"/>
      <c r="AL1" s="389"/>
      <c r="AM1" s="389"/>
      <c r="AN1" s="389"/>
      <c r="AO1" s="389"/>
      <c r="AP1" s="389"/>
      <c r="AQ1" s="389"/>
      <c r="AR1" s="389"/>
      <c r="AS1" s="389"/>
      <c r="AT1" s="389"/>
      <c r="AU1" s="389"/>
      <c r="AV1" s="389"/>
      <c r="AW1" s="389"/>
      <c r="AX1" s="389"/>
      <c r="AY1" s="389"/>
      <c r="AZ1" s="389"/>
      <c r="BA1" s="389"/>
      <c r="BB1" s="389"/>
      <c r="BC1" s="389"/>
      <c r="BD1" s="389"/>
      <c r="BE1" s="389"/>
      <c r="BF1" s="389"/>
      <c r="BG1" s="389"/>
      <c r="BH1" s="389"/>
      <c r="BI1" s="389"/>
      <c r="BJ1" s="389"/>
      <c r="BK1" s="389"/>
      <c r="BL1" s="389"/>
      <c r="BM1" s="389"/>
      <c r="BN1" s="389"/>
      <c r="BO1" s="389"/>
      <c r="BP1" s="389"/>
      <c r="BQ1" s="389"/>
      <c r="BR1" s="389"/>
    </row>
    <row r="2" spans="1:75" ht="14.45" thickBot="1" x14ac:dyDescent="0.3">
      <c r="B2" s="724"/>
      <c r="C2" s="45"/>
      <c r="D2" s="45"/>
      <c r="E2" s="202">
        <v>30</v>
      </c>
      <c r="F2" s="202">
        <v>30</v>
      </c>
      <c r="G2" s="202">
        <v>31</v>
      </c>
      <c r="H2" s="202">
        <v>31</v>
      </c>
      <c r="I2" s="202">
        <f>+G2+E2</f>
        <v>61</v>
      </c>
      <c r="J2" s="202">
        <f>+H2+F2</f>
        <v>61</v>
      </c>
      <c r="K2" s="202">
        <v>30</v>
      </c>
      <c r="L2" s="202">
        <v>30</v>
      </c>
      <c r="M2" s="202">
        <f>+E2+G2+K2</f>
        <v>91</v>
      </c>
      <c r="N2" s="202">
        <f>+F2+H2+L2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+O2+S2+W2</f>
        <v>92</v>
      </c>
      <c r="Z2" s="202">
        <f>+P2+T2+X2</f>
        <v>92</v>
      </c>
      <c r="AA2" s="202">
        <f>+M2+Y2</f>
        <v>183</v>
      </c>
      <c r="AB2" s="202">
        <f>+N2+Z2</f>
        <v>183</v>
      </c>
      <c r="AC2" s="202">
        <v>31</v>
      </c>
      <c r="AD2" s="202">
        <v>31</v>
      </c>
      <c r="AE2" s="202">
        <f>AA2+AC2</f>
        <v>214</v>
      </c>
      <c r="AF2" s="202">
        <f>AB2+AD2</f>
        <v>214</v>
      </c>
      <c r="AG2" s="202">
        <v>30</v>
      </c>
      <c r="AH2" s="202">
        <v>30</v>
      </c>
      <c r="AI2" s="202">
        <f>AE2+AG2</f>
        <v>244</v>
      </c>
      <c r="AJ2" s="20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AM2+BA2</f>
        <v>182</v>
      </c>
      <c r="BD2" s="202">
        <f>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/>
      <c r="BO2" s="202">
        <v>365</v>
      </c>
      <c r="BP2" s="202">
        <v>365</v>
      </c>
      <c r="BQ2" s="32">
        <v>366</v>
      </c>
      <c r="BR2" s="32">
        <v>366</v>
      </c>
    </row>
    <row r="3" spans="1:75" ht="15" customHeight="1" thickBot="1" x14ac:dyDescent="0.3">
      <c r="B3" s="5767" t="s">
        <v>171</v>
      </c>
      <c r="C3" s="5769" t="s">
        <v>172</v>
      </c>
      <c r="D3" s="5772" t="s">
        <v>2191</v>
      </c>
      <c r="E3" s="5760" t="s">
        <v>2190</v>
      </c>
      <c r="F3" s="5771"/>
      <c r="G3" s="5760" t="s">
        <v>2242</v>
      </c>
      <c r="H3" s="5760"/>
      <c r="I3" s="5758" t="s">
        <v>14</v>
      </c>
      <c r="J3" s="5759"/>
      <c r="K3" s="5774" t="s">
        <v>2273</v>
      </c>
      <c r="L3" s="5771"/>
      <c r="M3" s="5775" t="s">
        <v>637</v>
      </c>
      <c r="N3" s="5764"/>
      <c r="O3" s="5760" t="s">
        <v>2296</v>
      </c>
      <c r="P3" s="5760"/>
      <c r="Q3" s="5758" t="s">
        <v>17</v>
      </c>
      <c r="R3" s="5759"/>
      <c r="S3" s="5760" t="s">
        <v>2299</v>
      </c>
      <c r="T3" s="5760"/>
      <c r="U3" s="5758" t="s">
        <v>18</v>
      </c>
      <c r="V3" s="5759"/>
      <c r="W3" s="5760" t="s">
        <v>2344</v>
      </c>
      <c r="X3" s="5760"/>
      <c r="Y3" s="5763" t="s">
        <v>660</v>
      </c>
      <c r="Z3" s="5764"/>
      <c r="AA3" s="5765" t="s">
        <v>657</v>
      </c>
      <c r="AB3" s="5766"/>
      <c r="AC3" s="5760" t="s">
        <v>1954</v>
      </c>
      <c r="AD3" s="5760"/>
      <c r="AE3" s="5758" t="s">
        <v>24</v>
      </c>
      <c r="AF3" s="5759"/>
      <c r="AG3" s="5760" t="s">
        <v>1970</v>
      </c>
      <c r="AH3" s="5760"/>
      <c r="AI3" s="5758" t="s">
        <v>27</v>
      </c>
      <c r="AJ3" s="5759"/>
      <c r="AK3" s="5760" t="s">
        <v>1985</v>
      </c>
      <c r="AL3" s="5760"/>
      <c r="AM3" s="5763" t="s">
        <v>662</v>
      </c>
      <c r="AN3" s="5764"/>
      <c r="AO3" s="5758" t="s">
        <v>1666</v>
      </c>
      <c r="AP3" s="5759"/>
      <c r="AQ3" s="5760" t="s">
        <v>2085</v>
      </c>
      <c r="AR3" s="5760"/>
      <c r="AS3" s="5758" t="s">
        <v>28</v>
      </c>
      <c r="AT3" s="5759"/>
      <c r="AU3" s="5760" t="s">
        <v>2099</v>
      </c>
      <c r="AV3" s="5760"/>
      <c r="AW3" s="5758" t="s">
        <v>30</v>
      </c>
      <c r="AX3" s="5759"/>
      <c r="AY3" s="5774" t="s">
        <v>2111</v>
      </c>
      <c r="AZ3" s="5760"/>
      <c r="BA3" s="5763" t="s">
        <v>663</v>
      </c>
      <c r="BB3" s="5764"/>
      <c r="BC3" s="5765" t="s">
        <v>671</v>
      </c>
      <c r="BD3" s="5766"/>
      <c r="BE3" s="5758" t="s">
        <v>1745</v>
      </c>
      <c r="BF3" s="5759"/>
      <c r="BG3" s="5776" t="s">
        <v>1745</v>
      </c>
      <c r="BH3" s="5777"/>
      <c r="BI3" s="5776" t="s">
        <v>1399</v>
      </c>
      <c r="BJ3" s="5777"/>
      <c r="BK3" s="5776" t="s">
        <v>1253</v>
      </c>
      <c r="BL3" s="5777"/>
      <c r="BM3" s="5776" t="s">
        <v>946</v>
      </c>
      <c r="BN3" s="5777"/>
      <c r="BO3" s="5776" t="s">
        <v>679</v>
      </c>
      <c r="BP3" s="5777"/>
      <c r="BQ3" s="5776" t="s">
        <v>650</v>
      </c>
      <c r="BR3" s="5777"/>
    </row>
    <row r="4" spans="1:75" ht="15" customHeight="1" thickBot="1" x14ac:dyDescent="0.3">
      <c r="B4" s="5768"/>
      <c r="C4" s="5770"/>
      <c r="D4" s="5773"/>
      <c r="E4" s="3380" t="s">
        <v>173</v>
      </c>
      <c r="F4" s="1409" t="s">
        <v>174</v>
      </c>
      <c r="G4" s="546" t="s">
        <v>173</v>
      </c>
      <c r="H4" s="178" t="s">
        <v>174</v>
      </c>
      <c r="I4" s="146" t="s">
        <v>173</v>
      </c>
      <c r="J4" s="163" t="s">
        <v>174</v>
      </c>
      <c r="K4" s="179" t="s">
        <v>173</v>
      </c>
      <c r="L4" s="178" t="s">
        <v>174</v>
      </c>
      <c r="M4" s="704" t="s">
        <v>173</v>
      </c>
      <c r="N4" s="170" t="s">
        <v>174</v>
      </c>
      <c r="O4" s="232" t="s">
        <v>173</v>
      </c>
      <c r="P4" s="178" t="s">
        <v>174</v>
      </c>
      <c r="Q4" s="146" t="s">
        <v>173</v>
      </c>
      <c r="R4" s="163" t="s">
        <v>174</v>
      </c>
      <c r="S4" s="546" t="s">
        <v>173</v>
      </c>
      <c r="T4" s="178" t="s">
        <v>174</v>
      </c>
      <c r="U4" s="146" t="s">
        <v>173</v>
      </c>
      <c r="V4" s="163" t="s">
        <v>174</v>
      </c>
      <c r="W4" s="546" t="s">
        <v>173</v>
      </c>
      <c r="X4" s="178" t="s">
        <v>174</v>
      </c>
      <c r="Y4" s="703" t="s">
        <v>173</v>
      </c>
      <c r="Z4" s="170" t="s">
        <v>174</v>
      </c>
      <c r="AA4" s="705" t="s">
        <v>173</v>
      </c>
      <c r="AB4" s="467" t="s">
        <v>174</v>
      </c>
      <c r="AC4" s="546" t="s">
        <v>173</v>
      </c>
      <c r="AD4" s="178" t="s">
        <v>174</v>
      </c>
      <c r="AE4" s="146" t="s">
        <v>173</v>
      </c>
      <c r="AF4" s="163" t="s">
        <v>174</v>
      </c>
      <c r="AG4" s="546" t="s">
        <v>173</v>
      </c>
      <c r="AH4" s="178" t="s">
        <v>174</v>
      </c>
      <c r="AI4" s="146" t="s">
        <v>173</v>
      </c>
      <c r="AJ4" s="163" t="s">
        <v>174</v>
      </c>
      <c r="AK4" s="546" t="s">
        <v>173</v>
      </c>
      <c r="AL4" s="178" t="s">
        <v>174</v>
      </c>
      <c r="AM4" s="703" t="s">
        <v>173</v>
      </c>
      <c r="AN4" s="170" t="s">
        <v>174</v>
      </c>
      <c r="AO4" s="146" t="s">
        <v>173</v>
      </c>
      <c r="AP4" s="163" t="s">
        <v>174</v>
      </c>
      <c r="AQ4" s="546" t="s">
        <v>173</v>
      </c>
      <c r="AR4" s="178" t="s">
        <v>174</v>
      </c>
      <c r="AS4" s="146" t="s">
        <v>173</v>
      </c>
      <c r="AT4" s="163" t="s">
        <v>174</v>
      </c>
      <c r="AU4" s="546" t="s">
        <v>173</v>
      </c>
      <c r="AV4" s="178" t="s">
        <v>174</v>
      </c>
      <c r="AW4" s="146" t="s">
        <v>173</v>
      </c>
      <c r="AX4" s="163" t="s">
        <v>174</v>
      </c>
      <c r="AY4" s="546" t="s">
        <v>173</v>
      </c>
      <c r="AZ4" s="178" t="s">
        <v>174</v>
      </c>
      <c r="BA4" s="703" t="s">
        <v>173</v>
      </c>
      <c r="BB4" s="170" t="s">
        <v>174</v>
      </c>
      <c r="BC4" s="705" t="s">
        <v>173</v>
      </c>
      <c r="BD4" s="467" t="s">
        <v>174</v>
      </c>
      <c r="BE4" s="146" t="s">
        <v>173</v>
      </c>
      <c r="BF4" s="163" t="s">
        <v>174</v>
      </c>
      <c r="BG4" s="1093" t="s">
        <v>173</v>
      </c>
      <c r="BH4" s="1094" t="s">
        <v>174</v>
      </c>
      <c r="BI4" s="1093" t="s">
        <v>173</v>
      </c>
      <c r="BJ4" s="1094" t="s">
        <v>174</v>
      </c>
      <c r="BK4" s="1093" t="s">
        <v>173</v>
      </c>
      <c r="BL4" s="1094" t="s">
        <v>174</v>
      </c>
      <c r="BM4" s="1093" t="s">
        <v>173</v>
      </c>
      <c r="BN4" s="1094" t="s">
        <v>174</v>
      </c>
      <c r="BO4" s="1093" t="s">
        <v>173</v>
      </c>
      <c r="BP4" s="1094" t="s">
        <v>174</v>
      </c>
      <c r="BQ4" s="1093" t="s">
        <v>173</v>
      </c>
      <c r="BR4" s="1094" t="s">
        <v>174</v>
      </c>
    </row>
    <row r="5" spans="1:75" ht="15" customHeight="1" x14ac:dyDescent="0.25">
      <c r="A5" s="1274"/>
      <c r="B5" s="1934" t="s">
        <v>140</v>
      </c>
      <c r="C5" s="268"/>
      <c r="D5" s="252"/>
      <c r="E5" s="267"/>
      <c r="F5" s="5327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252"/>
      <c r="BL5" s="252"/>
      <c r="BM5" s="1095"/>
      <c r="BN5" s="1102"/>
      <c r="BO5" s="1095"/>
      <c r="BP5" s="1102"/>
      <c r="BQ5" s="1095"/>
      <c r="BR5" s="1102"/>
      <c r="BS5" s="1274"/>
    </row>
    <row r="6" spans="1:75" ht="15" customHeight="1" x14ac:dyDescent="0.25">
      <c r="B6" s="5309" t="s">
        <v>1186</v>
      </c>
      <c r="C6" s="5310" t="s">
        <v>354</v>
      </c>
      <c r="D6" s="1936">
        <v>25000</v>
      </c>
      <c r="E6" s="5320">
        <v>2083.3333333333335</v>
      </c>
      <c r="F6" s="5328">
        <v>1095.8900000000001</v>
      </c>
      <c r="G6" s="5320">
        <v>2083.3333333333335</v>
      </c>
      <c r="H6" s="5328">
        <v>2704.95</v>
      </c>
      <c r="I6" s="437">
        <f t="shared" ref="I6:J11" si="0">+E6+G6</f>
        <v>4166.666666666667</v>
      </c>
      <c r="J6" s="39">
        <f t="shared" si="0"/>
        <v>3800.84</v>
      </c>
      <c r="K6" s="5320">
        <v>2083.3333333333335</v>
      </c>
      <c r="L6" s="5328">
        <v>6803.8099999999995</v>
      </c>
      <c r="M6" s="68">
        <f t="shared" ref="M6:N11" si="1">+E6+G6+K6</f>
        <v>6250</v>
      </c>
      <c r="N6" s="68">
        <f t="shared" si="1"/>
        <v>10604.65</v>
      </c>
      <c r="O6" s="5320">
        <v>2083.3333333333335</v>
      </c>
      <c r="P6" s="5328">
        <v>3865.3599999999997</v>
      </c>
      <c r="Q6" s="437">
        <f t="shared" ref="Q6:Q11" si="2">+M6+O6</f>
        <v>8333.3333333333339</v>
      </c>
      <c r="R6" s="39">
        <f t="shared" ref="R6:R11" si="3">+N6+P6</f>
        <v>14470.009999999998</v>
      </c>
      <c r="S6" s="5320">
        <v>2083.3333333333335</v>
      </c>
      <c r="T6" s="5328">
        <v>6257.93</v>
      </c>
      <c r="U6" s="437">
        <f t="shared" ref="U6:U11" si="4">+Q6+S6</f>
        <v>10416.666666666668</v>
      </c>
      <c r="V6" s="39">
        <f t="shared" ref="V6:V11" si="5">+R6+T6</f>
        <v>20727.939999999999</v>
      </c>
      <c r="W6" s="5320">
        <v>2083</v>
      </c>
      <c r="X6" s="5328">
        <v>5182.59</v>
      </c>
      <c r="Y6" s="68">
        <f t="shared" ref="Y6:Z6" si="6">+O6+S6+W6</f>
        <v>6249.666666666667</v>
      </c>
      <c r="Z6" s="69">
        <f t="shared" si="6"/>
        <v>15305.880000000001</v>
      </c>
      <c r="AA6" s="640">
        <f>+M6+Y6</f>
        <v>12499.666666666668</v>
      </c>
      <c r="AB6" s="640">
        <f>+N6+Z6</f>
        <v>25910.53</v>
      </c>
      <c r="AC6" s="1312">
        <v>2100</v>
      </c>
      <c r="AD6" s="1306">
        <v>4044.2099999999996</v>
      </c>
      <c r="AE6" s="437">
        <f t="shared" ref="AE6:AE11" si="7">+AA6+AC6</f>
        <v>14599.666666666668</v>
      </c>
      <c r="AF6" s="39">
        <f t="shared" ref="AF6:AF11" si="8">+AB6+AD6</f>
        <v>29954.739999999998</v>
      </c>
      <c r="AG6" s="1312">
        <v>2100</v>
      </c>
      <c r="AH6" s="1306">
        <v>5778.3499999999995</v>
      </c>
      <c r="AI6" s="437">
        <f t="shared" ref="AI6:AI11" si="9">+AE6+AG6</f>
        <v>16699.666666666668</v>
      </c>
      <c r="AJ6" s="39">
        <f t="shared" ref="AJ6:AJ11" si="10">+AF6+AH6</f>
        <v>35733.089999999997</v>
      </c>
      <c r="AK6" s="1312">
        <v>2100</v>
      </c>
      <c r="AL6" s="1306">
        <v>3912</v>
      </c>
      <c r="AM6" s="68">
        <f t="shared" ref="AM6:AM11" si="11">+AC6+AG6+AK6</f>
        <v>6300</v>
      </c>
      <c r="AN6" s="69">
        <f t="shared" ref="AN6:AN11" si="12">+AD6+AH6+AL6</f>
        <v>13734.56</v>
      </c>
      <c r="AO6" s="437">
        <f>AI6+AK6</f>
        <v>18799.666666666668</v>
      </c>
      <c r="AP6" s="437">
        <f>AJ6+AL6</f>
        <v>39645.089999999997</v>
      </c>
      <c r="AQ6" s="1312">
        <v>2200</v>
      </c>
      <c r="AR6" s="1306">
        <v>3486.44</v>
      </c>
      <c r="AS6" s="437">
        <f t="shared" ref="AS6:AS11" si="13">+AO6+AQ6</f>
        <v>20999.666666666668</v>
      </c>
      <c r="AT6" s="39">
        <f t="shared" ref="AT6:AT11" si="14">+AP6+AR6</f>
        <v>43131.53</v>
      </c>
      <c r="AU6" s="1312">
        <v>2100</v>
      </c>
      <c r="AV6" s="1306">
        <v>1080.8899999999999</v>
      </c>
      <c r="AW6" s="437">
        <f t="shared" ref="AW6:AW11" si="15">+AS6+AU6</f>
        <v>23099.666666666668</v>
      </c>
      <c r="AX6" s="39">
        <f t="shared" ref="AX6:AX11" si="16">+AT6+AV6</f>
        <v>44212.42</v>
      </c>
      <c r="AY6" s="1312">
        <v>2100</v>
      </c>
      <c r="AZ6" s="1306">
        <v>6965.79</v>
      </c>
      <c r="BA6" s="68">
        <f t="shared" ref="BA6:BA11" si="17">+AQ6+AU6+AY6</f>
        <v>6400</v>
      </c>
      <c r="BB6" s="69">
        <f t="shared" ref="BB6:BB11" si="18">+AR6+AV6+AZ6</f>
        <v>11533.119999999999</v>
      </c>
      <c r="BC6" s="640">
        <f>AM6+BA6</f>
        <v>12700</v>
      </c>
      <c r="BD6" s="640">
        <f t="shared" ref="BD6:BD11" si="19">AN6+BB6</f>
        <v>25267.68</v>
      </c>
      <c r="BE6" s="437">
        <f t="shared" ref="BE6:BE11" si="20">+AW6+AY6</f>
        <v>25199.666666666668</v>
      </c>
      <c r="BF6" s="39">
        <f t="shared" ref="BF6:BF11" si="21">+AX6+AZ6</f>
        <v>51178.21</v>
      </c>
      <c r="BG6" s="1098">
        <v>21500</v>
      </c>
      <c r="BH6" s="1098">
        <v>53987.54</v>
      </c>
      <c r="BI6" s="1098">
        <v>21500</v>
      </c>
      <c r="BJ6" s="1098">
        <v>30649.839999999997</v>
      </c>
      <c r="BK6" s="1098">
        <v>25500</v>
      </c>
      <c r="BL6" s="1098">
        <v>34807.22</v>
      </c>
      <c r="BM6" s="1098">
        <v>16050</v>
      </c>
      <c r="BN6" s="1099">
        <v>33201.15</v>
      </c>
      <c r="BO6" s="1098">
        <v>0</v>
      </c>
      <c r="BP6" s="1099">
        <v>35268.25</v>
      </c>
      <c r="BQ6" s="1098">
        <v>2000</v>
      </c>
      <c r="BR6" s="1099">
        <v>28405.85</v>
      </c>
      <c r="BS6" s="2534"/>
      <c r="BT6" s="2534"/>
      <c r="BU6" s="2534"/>
      <c r="BV6" s="2534"/>
      <c r="BW6" s="2534"/>
    </row>
    <row r="7" spans="1:75" ht="15" customHeight="1" x14ac:dyDescent="0.25">
      <c r="B7" s="5309" t="s">
        <v>77</v>
      </c>
      <c r="C7" s="5310" t="s">
        <v>354</v>
      </c>
      <c r="D7" s="1937">
        <v>0</v>
      </c>
      <c r="E7" s="136">
        <v>0</v>
      </c>
      <c r="F7" s="5328">
        <v>0</v>
      </c>
      <c r="G7" s="136">
        <v>0</v>
      </c>
      <c r="H7" s="5328">
        <v>0</v>
      </c>
      <c r="I7" s="437">
        <f t="shared" si="0"/>
        <v>0</v>
      </c>
      <c r="J7" s="39">
        <f t="shared" si="0"/>
        <v>0</v>
      </c>
      <c r="K7" s="136">
        <v>0</v>
      </c>
      <c r="L7" s="5328">
        <v>0</v>
      </c>
      <c r="M7" s="68">
        <f t="shared" si="1"/>
        <v>0</v>
      </c>
      <c r="N7" s="68">
        <f t="shared" si="1"/>
        <v>0</v>
      </c>
      <c r="O7" s="136">
        <v>0</v>
      </c>
      <c r="P7" s="5328">
        <v>64.099999999999994</v>
      </c>
      <c r="Q7" s="437">
        <f t="shared" si="2"/>
        <v>0</v>
      </c>
      <c r="R7" s="39">
        <f t="shared" si="3"/>
        <v>64.099999999999994</v>
      </c>
      <c r="S7" s="136">
        <v>0</v>
      </c>
      <c r="T7" s="5328">
        <v>1485.1599999999999</v>
      </c>
      <c r="U7" s="437">
        <f t="shared" si="4"/>
        <v>0</v>
      </c>
      <c r="V7" s="39">
        <f t="shared" si="5"/>
        <v>1549.2599999999998</v>
      </c>
      <c r="W7" s="136">
        <v>0</v>
      </c>
      <c r="X7" s="5328">
        <v>694</v>
      </c>
      <c r="Y7" s="68">
        <f t="shared" ref="Y7:Y11" si="22">+O7+S7+W7</f>
        <v>0</v>
      </c>
      <c r="Z7" s="69">
        <f t="shared" ref="Z7:Z11" si="23">+P7+T7+X7</f>
        <v>2243.2599999999998</v>
      </c>
      <c r="AA7" s="640">
        <f t="shared" ref="AA7:AA11" si="24">+M7+Y7</f>
        <v>0</v>
      </c>
      <c r="AB7" s="640">
        <f t="shared" ref="AB7:AB11" si="25">+N7+Z7</f>
        <v>2243.2599999999998</v>
      </c>
      <c r="AC7" s="1306">
        <v>0</v>
      </c>
      <c r="AD7" s="1306">
        <v>0</v>
      </c>
      <c r="AE7" s="437">
        <f t="shared" si="7"/>
        <v>0</v>
      </c>
      <c r="AF7" s="39">
        <f t="shared" si="8"/>
        <v>2243.2599999999998</v>
      </c>
      <c r="AG7" s="1306">
        <v>0</v>
      </c>
      <c r="AH7" s="1306">
        <v>0</v>
      </c>
      <c r="AI7" s="437">
        <f t="shared" si="9"/>
        <v>0</v>
      </c>
      <c r="AJ7" s="39">
        <f t="shared" si="10"/>
        <v>2243.2599999999998</v>
      </c>
      <c r="AK7" s="1306">
        <v>0</v>
      </c>
      <c r="AL7" s="1306">
        <v>0</v>
      </c>
      <c r="AM7" s="68">
        <f t="shared" si="11"/>
        <v>0</v>
      </c>
      <c r="AN7" s="69">
        <f t="shared" si="12"/>
        <v>0</v>
      </c>
      <c r="AO7" s="437">
        <f t="shared" ref="AO7:AO11" si="26">AI7+AK7</f>
        <v>0</v>
      </c>
      <c r="AP7" s="437">
        <f t="shared" ref="AP7:AP11" si="27">AJ7+AL7</f>
        <v>2243.2599999999998</v>
      </c>
      <c r="AQ7" s="1306">
        <v>0</v>
      </c>
      <c r="AR7" s="1306">
        <v>0</v>
      </c>
      <c r="AS7" s="437">
        <f t="shared" si="13"/>
        <v>0</v>
      </c>
      <c r="AT7" s="39">
        <f t="shared" si="14"/>
        <v>2243.2599999999998</v>
      </c>
      <c r="AU7" s="1306">
        <v>0</v>
      </c>
      <c r="AV7" s="1306">
        <v>0</v>
      </c>
      <c r="AW7" s="437">
        <f t="shared" si="15"/>
        <v>0</v>
      </c>
      <c r="AX7" s="39">
        <f t="shared" si="16"/>
        <v>2243.2599999999998</v>
      </c>
      <c r="AY7" s="1306">
        <v>0</v>
      </c>
      <c r="AZ7" s="1306">
        <v>0</v>
      </c>
      <c r="BA7" s="68">
        <f t="shared" si="17"/>
        <v>0</v>
      </c>
      <c r="BB7" s="69">
        <f t="shared" si="18"/>
        <v>0</v>
      </c>
      <c r="BC7" s="640">
        <f t="shared" ref="BC7:BC11" si="28">AM7+BA7</f>
        <v>0</v>
      </c>
      <c r="BD7" s="640">
        <f t="shared" si="19"/>
        <v>0</v>
      </c>
      <c r="BE7" s="437">
        <f t="shared" si="20"/>
        <v>0</v>
      </c>
      <c r="BF7" s="39">
        <f t="shared" si="21"/>
        <v>2243.2599999999998</v>
      </c>
      <c r="BG7" s="1098">
        <v>0</v>
      </c>
      <c r="BH7" s="1098">
        <v>322.72000000000003</v>
      </c>
      <c r="BI7" s="1098">
        <v>0</v>
      </c>
      <c r="BJ7" s="1098">
        <v>3076.2</v>
      </c>
      <c r="BK7" s="1098">
        <v>123000</v>
      </c>
      <c r="BL7" s="1098">
        <v>42263.08</v>
      </c>
      <c r="BM7" s="1098">
        <v>0</v>
      </c>
      <c r="BN7" s="1099">
        <v>71707.420000000013</v>
      </c>
      <c r="BO7" s="1098">
        <v>10800</v>
      </c>
      <c r="BP7" s="1099">
        <v>9758.5099999999966</v>
      </c>
      <c r="BQ7" s="1098">
        <v>24210</v>
      </c>
      <c r="BR7" s="1099">
        <v>5928.0949999999839</v>
      </c>
      <c r="BS7" s="2534"/>
      <c r="BT7" s="2534"/>
      <c r="BU7" s="2534"/>
      <c r="BV7" s="2534"/>
      <c r="BW7" s="2534"/>
    </row>
    <row r="8" spans="1:75" ht="15" customHeight="1" x14ac:dyDescent="0.25">
      <c r="B8" s="5309" t="s">
        <v>568</v>
      </c>
      <c r="C8" s="5310" t="s">
        <v>354</v>
      </c>
      <c r="D8" s="5311">
        <v>499000.00000000006</v>
      </c>
      <c r="E8" s="5321">
        <v>42416.666666666664</v>
      </c>
      <c r="F8" s="5329">
        <v>33332.799999999996</v>
      </c>
      <c r="G8" s="5321">
        <v>43916.666666666664</v>
      </c>
      <c r="H8" s="5329">
        <v>39367.019999999997</v>
      </c>
      <c r="I8" s="437">
        <f t="shared" si="0"/>
        <v>86333.333333333328</v>
      </c>
      <c r="J8" s="39">
        <f t="shared" si="0"/>
        <v>72699.819999999992</v>
      </c>
      <c r="K8" s="5321">
        <v>42416.666666666664</v>
      </c>
      <c r="L8" s="5329">
        <v>37508.06</v>
      </c>
      <c r="M8" s="68">
        <f t="shared" si="1"/>
        <v>128750</v>
      </c>
      <c r="N8" s="68">
        <f t="shared" si="1"/>
        <v>110207.87999999999</v>
      </c>
      <c r="O8" s="5321">
        <v>43916.666666666664</v>
      </c>
      <c r="P8" s="5329">
        <v>44133.19</v>
      </c>
      <c r="Q8" s="437">
        <f t="shared" si="2"/>
        <v>172666.66666666666</v>
      </c>
      <c r="R8" s="39">
        <f t="shared" si="3"/>
        <v>154341.07</v>
      </c>
      <c r="S8" s="5321">
        <v>43916.666666666664</v>
      </c>
      <c r="T8" s="5329">
        <v>40726.54</v>
      </c>
      <c r="U8" s="437">
        <f t="shared" si="4"/>
        <v>216583.33333333331</v>
      </c>
      <c r="V8" s="39">
        <f t="shared" si="5"/>
        <v>195067.61000000002</v>
      </c>
      <c r="W8" s="5321">
        <v>24916.666666666668</v>
      </c>
      <c r="X8" s="5329">
        <v>36332.970000000008</v>
      </c>
      <c r="Y8" s="68">
        <f t="shared" si="22"/>
        <v>112750</v>
      </c>
      <c r="Z8" s="69">
        <f t="shared" si="23"/>
        <v>121192.70000000001</v>
      </c>
      <c r="AA8" s="640">
        <f t="shared" si="24"/>
        <v>241500</v>
      </c>
      <c r="AB8" s="640">
        <f t="shared" si="25"/>
        <v>231400.58000000002</v>
      </c>
      <c r="AC8" s="1134">
        <v>45400</v>
      </c>
      <c r="AD8" s="1218">
        <v>37048.140000000014</v>
      </c>
      <c r="AE8" s="437">
        <f t="shared" si="7"/>
        <v>286900</v>
      </c>
      <c r="AF8" s="39">
        <f t="shared" si="8"/>
        <v>268448.72000000003</v>
      </c>
      <c r="AG8" s="1134">
        <v>43900</v>
      </c>
      <c r="AH8" s="1218">
        <v>30159.91</v>
      </c>
      <c r="AI8" s="437">
        <f t="shared" si="9"/>
        <v>330800</v>
      </c>
      <c r="AJ8" s="39">
        <f t="shared" si="10"/>
        <v>298608.63</v>
      </c>
      <c r="AK8" s="1134">
        <v>45400</v>
      </c>
      <c r="AL8" s="1218">
        <v>37390</v>
      </c>
      <c r="AM8" s="68">
        <f t="shared" si="11"/>
        <v>134700</v>
      </c>
      <c r="AN8" s="69">
        <f t="shared" si="12"/>
        <v>104598.05000000002</v>
      </c>
      <c r="AO8" s="437">
        <f t="shared" si="26"/>
        <v>376200</v>
      </c>
      <c r="AP8" s="437">
        <f t="shared" si="27"/>
        <v>335998.63</v>
      </c>
      <c r="AQ8" s="1134">
        <v>45300</v>
      </c>
      <c r="AR8" s="1218">
        <v>37025.609999999993</v>
      </c>
      <c r="AS8" s="437">
        <f t="shared" si="13"/>
        <v>421500</v>
      </c>
      <c r="AT8" s="39">
        <f t="shared" si="14"/>
        <v>373024.24</v>
      </c>
      <c r="AU8" s="1134">
        <v>40400</v>
      </c>
      <c r="AV8" s="1218">
        <v>32967.389999999992</v>
      </c>
      <c r="AW8" s="437">
        <f t="shared" si="15"/>
        <v>461900</v>
      </c>
      <c r="AX8" s="39">
        <f t="shared" si="16"/>
        <v>405991.63</v>
      </c>
      <c r="AY8" s="1134">
        <v>45400</v>
      </c>
      <c r="AZ8" s="1218">
        <v>44837.42</v>
      </c>
      <c r="BA8" s="68">
        <f t="shared" si="17"/>
        <v>131100</v>
      </c>
      <c r="BB8" s="69">
        <f t="shared" si="18"/>
        <v>114830.41999999998</v>
      </c>
      <c r="BC8" s="640">
        <f t="shared" si="28"/>
        <v>265800</v>
      </c>
      <c r="BD8" s="640">
        <f t="shared" si="19"/>
        <v>219428.47</v>
      </c>
      <c r="BE8" s="437">
        <f t="shared" si="20"/>
        <v>507300</v>
      </c>
      <c r="BF8" s="39">
        <f t="shared" si="21"/>
        <v>450829.05</v>
      </c>
      <c r="BG8" s="1098">
        <v>498500</v>
      </c>
      <c r="BH8" s="1098">
        <v>459216.41</v>
      </c>
      <c r="BI8" s="1098">
        <v>498500</v>
      </c>
      <c r="BJ8" s="1098">
        <v>473494.20999999996</v>
      </c>
      <c r="BK8" s="1098">
        <v>498500</v>
      </c>
      <c r="BL8" s="1098">
        <v>453432.75</v>
      </c>
      <c r="BM8" s="1098">
        <v>498500</v>
      </c>
      <c r="BN8" s="1099">
        <v>467953.64</v>
      </c>
      <c r="BO8" s="1098">
        <v>435166.28679320007</v>
      </c>
      <c r="BP8" s="1099">
        <v>351267.01600000006</v>
      </c>
      <c r="BQ8" s="1098">
        <v>498000</v>
      </c>
      <c r="BR8" s="1099">
        <v>399090.26199999993</v>
      </c>
      <c r="BS8" s="2534"/>
      <c r="BT8" s="2534"/>
      <c r="BU8" s="2534"/>
      <c r="BV8" s="2534"/>
      <c r="BW8" s="2534"/>
    </row>
    <row r="9" spans="1:75" ht="15" customHeight="1" x14ac:dyDescent="0.25">
      <c r="B9" s="5309" t="s">
        <v>569</v>
      </c>
      <c r="C9" s="5310" t="s">
        <v>354</v>
      </c>
      <c r="D9" s="5311">
        <v>900000</v>
      </c>
      <c r="E9" s="5321">
        <v>76000</v>
      </c>
      <c r="F9" s="5330">
        <v>60011.209999999992</v>
      </c>
      <c r="G9" s="5321">
        <v>79000</v>
      </c>
      <c r="H9" s="5330">
        <v>67347.899999999994</v>
      </c>
      <c r="I9" s="437">
        <f t="shared" si="0"/>
        <v>155000</v>
      </c>
      <c r="J9" s="39">
        <f t="shared" si="0"/>
        <v>127359.10999999999</v>
      </c>
      <c r="K9" s="5321">
        <v>76000</v>
      </c>
      <c r="L9" s="5330">
        <v>73175.62999999999</v>
      </c>
      <c r="M9" s="68">
        <f t="shared" si="1"/>
        <v>231000</v>
      </c>
      <c r="N9" s="68">
        <f t="shared" si="1"/>
        <v>200534.74</v>
      </c>
      <c r="O9" s="5321">
        <v>79000</v>
      </c>
      <c r="P9" s="5330">
        <v>84102.500000000015</v>
      </c>
      <c r="Q9" s="437">
        <f t="shared" si="2"/>
        <v>310000</v>
      </c>
      <c r="R9" s="39">
        <f t="shared" si="3"/>
        <v>284637.24</v>
      </c>
      <c r="S9" s="5321">
        <v>79000</v>
      </c>
      <c r="T9" s="5330">
        <v>86905.93</v>
      </c>
      <c r="U9" s="437">
        <f t="shared" si="4"/>
        <v>389000</v>
      </c>
      <c r="V9" s="39">
        <f t="shared" si="5"/>
        <v>371543.17</v>
      </c>
      <c r="W9" s="5321">
        <v>47500</v>
      </c>
      <c r="X9" s="5330">
        <v>68689.990000000005</v>
      </c>
      <c r="Y9" s="68">
        <f t="shared" si="22"/>
        <v>205500</v>
      </c>
      <c r="Z9" s="69">
        <f t="shared" si="23"/>
        <v>239698.41999999998</v>
      </c>
      <c r="AA9" s="640">
        <f t="shared" si="24"/>
        <v>436500</v>
      </c>
      <c r="AB9" s="640">
        <f t="shared" si="25"/>
        <v>440233.16</v>
      </c>
      <c r="AC9" s="1134">
        <v>80000</v>
      </c>
      <c r="AD9" s="1134">
        <v>64076.47</v>
      </c>
      <c r="AE9" s="437">
        <f t="shared" si="7"/>
        <v>516500</v>
      </c>
      <c r="AF9" s="39">
        <f t="shared" si="8"/>
        <v>504309.63</v>
      </c>
      <c r="AG9" s="1134">
        <v>77500</v>
      </c>
      <c r="AH9" s="1134">
        <v>10813.23</v>
      </c>
      <c r="AI9" s="437">
        <f t="shared" si="9"/>
        <v>594000</v>
      </c>
      <c r="AJ9" s="39">
        <f t="shared" si="10"/>
        <v>515122.86</v>
      </c>
      <c r="AK9" s="1134">
        <v>80000</v>
      </c>
      <c r="AL9" s="1134">
        <v>67253</v>
      </c>
      <c r="AM9" s="68">
        <f t="shared" si="11"/>
        <v>237500</v>
      </c>
      <c r="AN9" s="69">
        <f t="shared" si="12"/>
        <v>142142.70000000001</v>
      </c>
      <c r="AO9" s="437">
        <f t="shared" si="26"/>
        <v>674000</v>
      </c>
      <c r="AP9" s="437">
        <f t="shared" si="27"/>
        <v>582375.86</v>
      </c>
      <c r="AQ9" s="1134">
        <v>80000</v>
      </c>
      <c r="AR9" s="1134">
        <v>70877.679999999993</v>
      </c>
      <c r="AS9" s="437">
        <f t="shared" si="13"/>
        <v>754000</v>
      </c>
      <c r="AT9" s="39">
        <f t="shared" si="14"/>
        <v>653253.54</v>
      </c>
      <c r="AU9" s="1134">
        <v>72500</v>
      </c>
      <c r="AV9" s="1134">
        <v>58216.86</v>
      </c>
      <c r="AW9" s="437">
        <f t="shared" si="15"/>
        <v>826500</v>
      </c>
      <c r="AX9" s="39">
        <f t="shared" si="16"/>
        <v>711470.4</v>
      </c>
      <c r="AY9" s="1134">
        <v>80000</v>
      </c>
      <c r="AZ9" s="1134">
        <v>84208.419999999984</v>
      </c>
      <c r="BA9" s="68">
        <f t="shared" si="17"/>
        <v>232500</v>
      </c>
      <c r="BB9" s="69">
        <f t="shared" si="18"/>
        <v>213302.95999999996</v>
      </c>
      <c r="BC9" s="640">
        <f t="shared" si="28"/>
        <v>470000</v>
      </c>
      <c r="BD9" s="640">
        <f t="shared" si="19"/>
        <v>355445.66</v>
      </c>
      <c r="BE9" s="437">
        <f t="shared" si="20"/>
        <v>906500</v>
      </c>
      <c r="BF9" s="39">
        <f t="shared" si="21"/>
        <v>795678.82000000007</v>
      </c>
      <c r="BG9" s="1098">
        <v>870000</v>
      </c>
      <c r="BH9" s="1098">
        <v>750184.19</v>
      </c>
      <c r="BI9" s="1098">
        <v>850000</v>
      </c>
      <c r="BJ9" s="1098">
        <v>781402.45000000007</v>
      </c>
      <c r="BK9" s="1098">
        <v>780000</v>
      </c>
      <c r="BL9" s="1098">
        <v>768402.31</v>
      </c>
      <c r="BM9" s="1098">
        <v>750000</v>
      </c>
      <c r="BN9" s="1099">
        <v>648761.89</v>
      </c>
      <c r="BO9" s="1098">
        <v>674874.74</v>
      </c>
      <c r="BP9" s="1099">
        <v>436958.46299999999</v>
      </c>
      <c r="BQ9" s="1098">
        <v>800000</v>
      </c>
      <c r="BR9" s="1099">
        <v>612890.54699999979</v>
      </c>
      <c r="BS9" s="2534"/>
      <c r="BT9" s="2534"/>
      <c r="BU9" s="2534"/>
      <c r="BV9" s="2534"/>
      <c r="BW9" s="2534"/>
    </row>
    <row r="10" spans="1:75" ht="15" customHeight="1" x14ac:dyDescent="0.25">
      <c r="B10" s="5309" t="s">
        <v>570</v>
      </c>
      <c r="C10" s="5310" t="s">
        <v>354</v>
      </c>
      <c r="D10" s="5311">
        <v>750000</v>
      </c>
      <c r="E10" s="5321">
        <v>62000</v>
      </c>
      <c r="F10" s="5330">
        <v>44122.7</v>
      </c>
      <c r="G10" s="5321">
        <v>65000</v>
      </c>
      <c r="H10" s="5330">
        <v>57715.999999999985</v>
      </c>
      <c r="I10" s="437">
        <f t="shared" si="0"/>
        <v>127000</v>
      </c>
      <c r="J10" s="39">
        <f t="shared" si="0"/>
        <v>101838.69999999998</v>
      </c>
      <c r="K10" s="5321">
        <v>62500</v>
      </c>
      <c r="L10" s="5330">
        <v>56720.68</v>
      </c>
      <c r="M10" s="68">
        <f t="shared" si="1"/>
        <v>189500</v>
      </c>
      <c r="N10" s="68">
        <f t="shared" si="1"/>
        <v>158559.37999999998</v>
      </c>
      <c r="O10" s="5321">
        <v>65000</v>
      </c>
      <c r="P10" s="5330">
        <v>57264.83</v>
      </c>
      <c r="Q10" s="437">
        <f t="shared" si="2"/>
        <v>254500</v>
      </c>
      <c r="R10" s="39">
        <f t="shared" si="3"/>
        <v>215824.20999999996</v>
      </c>
      <c r="S10" s="5321">
        <v>65000</v>
      </c>
      <c r="T10" s="5330">
        <v>47224.14</v>
      </c>
      <c r="U10" s="437">
        <f t="shared" si="4"/>
        <v>319500</v>
      </c>
      <c r="V10" s="39">
        <f t="shared" si="5"/>
        <v>263048.34999999998</v>
      </c>
      <c r="W10" s="5321">
        <v>33500</v>
      </c>
      <c r="X10" s="5330">
        <v>45948.119999999995</v>
      </c>
      <c r="Y10" s="68">
        <f t="shared" si="22"/>
        <v>163500</v>
      </c>
      <c r="Z10" s="69">
        <f t="shared" si="23"/>
        <v>150437.09</v>
      </c>
      <c r="AA10" s="640">
        <f t="shared" si="24"/>
        <v>353000</v>
      </c>
      <c r="AB10" s="640">
        <f t="shared" si="25"/>
        <v>308996.46999999997</v>
      </c>
      <c r="AC10" s="1134">
        <v>54000</v>
      </c>
      <c r="AD10" s="1134">
        <v>43303.750000000007</v>
      </c>
      <c r="AE10" s="437">
        <f t="shared" si="7"/>
        <v>407000</v>
      </c>
      <c r="AF10" s="39">
        <f t="shared" si="8"/>
        <v>352300.22</v>
      </c>
      <c r="AG10" s="1134">
        <v>52000</v>
      </c>
      <c r="AH10" s="1134">
        <v>15465.420000000002</v>
      </c>
      <c r="AI10" s="437">
        <f t="shared" si="9"/>
        <v>459000</v>
      </c>
      <c r="AJ10" s="39">
        <f t="shared" si="10"/>
        <v>367765.63999999996</v>
      </c>
      <c r="AK10" s="1134">
        <v>54000</v>
      </c>
      <c r="AL10" s="1134">
        <v>33463</v>
      </c>
      <c r="AM10" s="68">
        <f t="shared" si="11"/>
        <v>160000</v>
      </c>
      <c r="AN10" s="69">
        <f t="shared" si="12"/>
        <v>92232.170000000013</v>
      </c>
      <c r="AO10" s="437">
        <f t="shared" si="26"/>
        <v>513000</v>
      </c>
      <c r="AP10" s="437">
        <f t="shared" si="27"/>
        <v>401228.63999999996</v>
      </c>
      <c r="AQ10" s="1134">
        <v>54000</v>
      </c>
      <c r="AR10" s="1134">
        <v>44656.87999999999</v>
      </c>
      <c r="AS10" s="437">
        <f t="shared" si="13"/>
        <v>567000</v>
      </c>
      <c r="AT10" s="39">
        <f t="shared" si="14"/>
        <v>445885.51999999996</v>
      </c>
      <c r="AU10" s="1134">
        <v>48000</v>
      </c>
      <c r="AV10" s="1134">
        <v>47339.009999999987</v>
      </c>
      <c r="AW10" s="437">
        <f t="shared" si="15"/>
        <v>615000</v>
      </c>
      <c r="AX10" s="39">
        <f t="shared" si="16"/>
        <v>493224.52999999997</v>
      </c>
      <c r="AY10" s="1134">
        <v>60000</v>
      </c>
      <c r="AZ10" s="1134">
        <v>68418.50999999998</v>
      </c>
      <c r="BA10" s="68">
        <f t="shared" si="17"/>
        <v>162000</v>
      </c>
      <c r="BB10" s="69">
        <f t="shared" si="18"/>
        <v>160414.39999999997</v>
      </c>
      <c r="BC10" s="640">
        <f t="shared" si="28"/>
        <v>322000</v>
      </c>
      <c r="BD10" s="640">
        <f t="shared" si="19"/>
        <v>252646.56999999998</v>
      </c>
      <c r="BE10" s="437">
        <f t="shared" si="20"/>
        <v>675000</v>
      </c>
      <c r="BF10" s="39">
        <f t="shared" si="21"/>
        <v>561643.03999999992</v>
      </c>
      <c r="BG10" s="1098">
        <v>560000</v>
      </c>
      <c r="BH10" s="1098">
        <v>502052.01</v>
      </c>
      <c r="BI10" s="1098">
        <v>525000</v>
      </c>
      <c r="BJ10" s="1098">
        <v>452802.58999999997</v>
      </c>
      <c r="BK10" s="1098">
        <v>470000</v>
      </c>
      <c r="BL10" s="1098">
        <v>357334.79000000004</v>
      </c>
      <c r="BM10" s="1098">
        <v>445000</v>
      </c>
      <c r="BN10" s="1099">
        <v>214319.65000000002</v>
      </c>
      <c r="BO10" s="1098">
        <v>220000</v>
      </c>
      <c r="BP10" s="1099">
        <v>100400.402</v>
      </c>
      <c r="BQ10" s="1098">
        <v>535000</v>
      </c>
      <c r="BR10" s="1099">
        <v>167166.99200000003</v>
      </c>
      <c r="BS10" s="2534"/>
      <c r="BT10" s="2534"/>
      <c r="BU10" s="2534"/>
      <c r="BV10" s="2534"/>
      <c r="BW10" s="2534"/>
    </row>
    <row r="11" spans="1:75" ht="15" customHeight="1" thickBot="1" x14ac:dyDescent="0.3">
      <c r="B11" s="5312" t="s">
        <v>661</v>
      </c>
      <c r="C11" s="5313" t="s">
        <v>354</v>
      </c>
      <c r="D11" s="5314">
        <v>500798.33712910977</v>
      </c>
      <c r="E11" s="5322">
        <v>46499.815368603406</v>
      </c>
      <c r="F11" s="5331">
        <v>37328.400000000001</v>
      </c>
      <c r="G11" s="5322">
        <v>46499.576671657051</v>
      </c>
      <c r="H11" s="5331">
        <v>50330.159999999996</v>
      </c>
      <c r="I11" s="437">
        <f t="shared" si="0"/>
        <v>92999.392040260456</v>
      </c>
      <c r="J11" s="39">
        <f t="shared" si="0"/>
        <v>87658.559999999998</v>
      </c>
      <c r="K11" s="5322">
        <v>46000.110883115281</v>
      </c>
      <c r="L11" s="5331">
        <v>44296.209999999992</v>
      </c>
      <c r="M11" s="68">
        <f t="shared" si="1"/>
        <v>138999.50292337575</v>
      </c>
      <c r="N11" s="68">
        <f t="shared" si="1"/>
        <v>131954.76999999999</v>
      </c>
      <c r="O11" s="5322">
        <v>41500.141355320884</v>
      </c>
      <c r="P11" s="5331">
        <v>54193.850000000006</v>
      </c>
      <c r="Q11" s="437">
        <f t="shared" si="2"/>
        <v>180499.64427869662</v>
      </c>
      <c r="R11" s="39">
        <f t="shared" si="3"/>
        <v>186148.62</v>
      </c>
      <c r="S11" s="5322">
        <v>41500.141355320884</v>
      </c>
      <c r="T11" s="5331">
        <v>63719.03</v>
      </c>
      <c r="U11" s="437">
        <f t="shared" si="4"/>
        <v>221999.78563401749</v>
      </c>
      <c r="V11" s="39">
        <f t="shared" si="5"/>
        <v>249867.65</v>
      </c>
      <c r="W11" s="5322">
        <v>13300.014764853251</v>
      </c>
      <c r="X11" s="5331">
        <v>50417.94000000001</v>
      </c>
      <c r="Y11" s="68">
        <f t="shared" si="22"/>
        <v>96300.297475495026</v>
      </c>
      <c r="Z11" s="69">
        <f t="shared" si="23"/>
        <v>168330.82</v>
      </c>
      <c r="AA11" s="640">
        <f t="shared" si="24"/>
        <v>235299.80039887078</v>
      </c>
      <c r="AB11" s="640">
        <f t="shared" si="25"/>
        <v>300285.58999999997</v>
      </c>
      <c r="AC11" s="234">
        <v>45341.093867539748</v>
      </c>
      <c r="AD11" s="234">
        <v>31038.069999999996</v>
      </c>
      <c r="AE11" s="437">
        <f t="shared" si="7"/>
        <v>280640.8942664105</v>
      </c>
      <c r="AF11" s="39">
        <f t="shared" si="8"/>
        <v>331323.65999999997</v>
      </c>
      <c r="AG11" s="234">
        <v>47680.915573301034</v>
      </c>
      <c r="AH11" s="234">
        <v>11905.300000000003</v>
      </c>
      <c r="AI11" s="437">
        <f t="shared" si="9"/>
        <v>328321.80983971152</v>
      </c>
      <c r="AJ11" s="39">
        <f t="shared" si="10"/>
        <v>343228.95999999996</v>
      </c>
      <c r="AK11" s="234">
        <v>43710.093867539748</v>
      </c>
      <c r="AL11" s="234">
        <v>56100</v>
      </c>
      <c r="AM11" s="68">
        <f t="shared" si="11"/>
        <v>136732.10330838052</v>
      </c>
      <c r="AN11" s="69">
        <f t="shared" si="12"/>
        <v>99043.37</v>
      </c>
      <c r="AO11" s="437">
        <f t="shared" si="26"/>
        <v>372031.9037072513</v>
      </c>
      <c r="AP11" s="437">
        <f t="shared" si="27"/>
        <v>399328.95999999996</v>
      </c>
      <c r="AQ11" s="234">
        <v>45340.093867539748</v>
      </c>
      <c r="AR11" s="234">
        <v>82929.73</v>
      </c>
      <c r="AS11" s="437">
        <f t="shared" si="13"/>
        <v>417371.99757479108</v>
      </c>
      <c r="AT11" s="39">
        <f t="shared" si="14"/>
        <v>482258.68999999994</v>
      </c>
      <c r="AU11" s="234">
        <v>44657.996091741865</v>
      </c>
      <c r="AV11" s="234">
        <v>49136.170000000006</v>
      </c>
      <c r="AW11" s="437">
        <f t="shared" si="15"/>
        <v>462029.99366653292</v>
      </c>
      <c r="AX11" s="39">
        <f t="shared" si="16"/>
        <v>531394.86</v>
      </c>
      <c r="AY11" s="234">
        <v>43452.640041682229</v>
      </c>
      <c r="AZ11" s="234">
        <v>61705.96</v>
      </c>
      <c r="BA11" s="68">
        <f t="shared" si="17"/>
        <v>133450.73000096384</v>
      </c>
      <c r="BB11" s="69">
        <f t="shared" si="18"/>
        <v>193771.86</v>
      </c>
      <c r="BC11" s="640">
        <f t="shared" si="28"/>
        <v>270182.83330934437</v>
      </c>
      <c r="BD11" s="640">
        <f t="shared" si="19"/>
        <v>292815.23</v>
      </c>
      <c r="BE11" s="437">
        <f t="shared" si="20"/>
        <v>505482.63370821514</v>
      </c>
      <c r="BF11" s="39">
        <f t="shared" si="21"/>
        <v>593100.81999999995</v>
      </c>
      <c r="BG11" s="1098">
        <v>459999.54066167952</v>
      </c>
      <c r="BH11" s="1098">
        <v>584980.47</v>
      </c>
      <c r="BI11" s="1098">
        <v>630000.01444664178</v>
      </c>
      <c r="BJ11" s="1098">
        <v>623466.16999999993</v>
      </c>
      <c r="BK11" s="1098">
        <v>513000.01387175487</v>
      </c>
      <c r="BL11" s="1098">
        <v>641816.63</v>
      </c>
      <c r="BM11" s="1098">
        <v>659950.1509075613</v>
      </c>
      <c r="BN11" s="1099">
        <v>742311.7699999999</v>
      </c>
      <c r="BO11" s="1098">
        <v>893633.77567653405</v>
      </c>
      <c r="BP11" s="1099">
        <v>944002.20799999987</v>
      </c>
      <c r="BQ11" s="1098">
        <v>547789.74093264237</v>
      </c>
      <c r="BR11" s="1099">
        <v>836451.00399999984</v>
      </c>
      <c r="BS11" s="2534"/>
      <c r="BT11" s="2534"/>
      <c r="BU11" s="2534"/>
      <c r="BV11" s="2534"/>
      <c r="BW11" s="2534"/>
    </row>
    <row r="12" spans="1:75" ht="15" customHeight="1" thickBot="1" x14ac:dyDescent="0.3">
      <c r="A12" s="1274"/>
      <c r="B12" s="1931" t="s">
        <v>2</v>
      </c>
      <c r="C12" s="733" t="s">
        <v>354</v>
      </c>
      <c r="D12" s="711">
        <f>SUM(D6:D11)</f>
        <v>2674798.3371291095</v>
      </c>
      <c r="E12" s="1389">
        <f>SUM(E6:E11)</f>
        <v>228999.81536860339</v>
      </c>
      <c r="F12" s="1388">
        <f>SUM(F6:F11)</f>
        <v>175890.99999999997</v>
      </c>
      <c r="G12" s="1389">
        <f>SUM(G6:G11)</f>
        <v>236499.57667165704</v>
      </c>
      <c r="H12" s="1388">
        <f>SUM(H6:H11)</f>
        <v>217466.03</v>
      </c>
      <c r="I12" s="455">
        <f t="shared" ref="I12:J12" si="29">SUM(I6:I11)</f>
        <v>465499.39204026049</v>
      </c>
      <c r="J12" s="401">
        <f t="shared" si="29"/>
        <v>393357.02999999997</v>
      </c>
      <c r="K12" s="1389">
        <f>SUM(K6:K11)</f>
        <v>229000.11088311527</v>
      </c>
      <c r="L12" s="1388">
        <f>SUM(L6:L11)</f>
        <v>218504.38999999998</v>
      </c>
      <c r="M12" s="455">
        <f t="shared" ref="M12:N12" si="30">SUM(M6:M11)</f>
        <v>694499.50292337569</v>
      </c>
      <c r="N12" s="401">
        <f t="shared" si="30"/>
        <v>611861.41999999993</v>
      </c>
      <c r="O12" s="1389">
        <f>SUM(O6:O11)</f>
        <v>231500.14135532087</v>
      </c>
      <c r="P12" s="1388">
        <f>SUM(P6:P11)</f>
        <v>243623.83000000005</v>
      </c>
      <c r="Q12" s="455">
        <f t="shared" ref="Q12:R12" si="31">SUM(Q6:Q11)</f>
        <v>925999.64427869662</v>
      </c>
      <c r="R12" s="401">
        <f t="shared" si="31"/>
        <v>855485.24999999988</v>
      </c>
      <c r="S12" s="1389">
        <f>SUM(S6:S11)</f>
        <v>231500.14135532087</v>
      </c>
      <c r="T12" s="1388">
        <f>SUM(T6:T11)</f>
        <v>246318.73</v>
      </c>
      <c r="U12" s="455">
        <f t="shared" ref="U12:V12" si="32">SUM(U6:U11)</f>
        <v>1157499.7856340175</v>
      </c>
      <c r="V12" s="401">
        <f t="shared" si="32"/>
        <v>1101803.98</v>
      </c>
      <c r="W12" s="1389">
        <f>SUM(W6:W11)</f>
        <v>121299.68143151992</v>
      </c>
      <c r="X12" s="1388">
        <f>SUM(X6:X11)</f>
        <v>207265.61000000002</v>
      </c>
      <c r="Y12" s="455">
        <f t="shared" ref="Y12:Z12" si="33">SUM(Y6:Y11)</f>
        <v>584299.96414216165</v>
      </c>
      <c r="Z12" s="401">
        <f t="shared" si="33"/>
        <v>697208.16999999993</v>
      </c>
      <c r="AA12" s="455">
        <f t="shared" ref="AA12:AB12" si="34">SUM(AA6:AA11)</f>
        <v>1278799.4670655373</v>
      </c>
      <c r="AB12" s="401">
        <f t="shared" si="34"/>
        <v>1309069.5899999999</v>
      </c>
      <c r="AC12" s="711">
        <f>SUM(AC6:AC11)</f>
        <v>226841.09386753975</v>
      </c>
      <c r="AD12" s="711">
        <f>SUM(AD6:AD11)</f>
        <v>179510.64</v>
      </c>
      <c r="AE12" s="455">
        <f t="shared" ref="AE12:AF12" si="35">SUM(AE6:AE11)</f>
        <v>1505640.5609330772</v>
      </c>
      <c r="AF12" s="401">
        <f t="shared" si="35"/>
        <v>1488580.23</v>
      </c>
      <c r="AG12" s="711">
        <f>SUM(AG6:AG11)</f>
        <v>223180.91557330103</v>
      </c>
      <c r="AH12" s="711">
        <f>SUM(AH6:AH11)</f>
        <v>74122.210000000006</v>
      </c>
      <c r="AI12" s="455">
        <f t="shared" ref="AI12:AN12" si="36">SUM(AI6:AI11)</f>
        <v>1728821.4765063783</v>
      </c>
      <c r="AJ12" s="401">
        <f t="shared" si="36"/>
        <v>1562702.44</v>
      </c>
      <c r="AK12" s="711">
        <f>SUM(AK6:AK11)</f>
        <v>225210.09386753975</v>
      </c>
      <c r="AL12" s="711">
        <f>SUM(AL6:AL11)</f>
        <v>198118</v>
      </c>
      <c r="AM12" s="455">
        <f t="shared" si="36"/>
        <v>675232.10330838058</v>
      </c>
      <c r="AN12" s="401">
        <f t="shared" si="36"/>
        <v>451750.85000000003</v>
      </c>
      <c r="AO12" s="455">
        <f t="shared" ref="AO12:AP12" si="37">SUM(AO6:AO11)</f>
        <v>1954031.5703739179</v>
      </c>
      <c r="AP12" s="401">
        <f t="shared" si="37"/>
        <v>1760820.44</v>
      </c>
      <c r="AQ12" s="711">
        <f>SUM(AQ6:AQ11)</f>
        <v>226840.09386753975</v>
      </c>
      <c r="AR12" s="711">
        <f>SUM(AR6:AR11)</f>
        <v>238976.33999999997</v>
      </c>
      <c r="AS12" s="455">
        <f t="shared" ref="AS12:AT12" si="38">SUM(AS6:AS11)</f>
        <v>2180871.6642414578</v>
      </c>
      <c r="AT12" s="401">
        <f t="shared" si="38"/>
        <v>1999796.78</v>
      </c>
      <c r="AU12" s="711">
        <f>SUM(AU6:AU11)</f>
        <v>207657.99609174186</v>
      </c>
      <c r="AV12" s="711">
        <f>SUM(AV6:AV11)</f>
        <v>188740.31999999998</v>
      </c>
      <c r="AW12" s="455">
        <f t="shared" ref="AW12:AX12" si="39">SUM(AW6:AW11)</f>
        <v>2388529.6603331994</v>
      </c>
      <c r="AX12" s="401">
        <f t="shared" si="39"/>
        <v>2188537.1</v>
      </c>
      <c r="AY12" s="711">
        <f>SUM(AY6:AY11)</f>
        <v>230952.64004168223</v>
      </c>
      <c r="AZ12" s="711">
        <f>SUM(AZ6:AZ11)</f>
        <v>266136.09999999998</v>
      </c>
      <c r="BA12" s="455">
        <f t="shared" ref="BA12:BD12" si="40">SUM(BA6:BA11)</f>
        <v>665450.7300009639</v>
      </c>
      <c r="BB12" s="401">
        <f t="shared" si="40"/>
        <v>693852.75999999989</v>
      </c>
      <c r="BC12" s="455">
        <f t="shared" si="40"/>
        <v>1340682.8333093445</v>
      </c>
      <c r="BD12" s="401">
        <f t="shared" si="40"/>
        <v>1145603.6099999999</v>
      </c>
      <c r="BE12" s="455">
        <f t="shared" ref="BE12:BF12" si="41">SUM(BE6:BE11)</f>
        <v>2619482.3003748818</v>
      </c>
      <c r="BF12" s="401">
        <f t="shared" si="41"/>
        <v>2454673.1999999997</v>
      </c>
      <c r="BG12" s="455">
        <v>2409999.5406616796</v>
      </c>
      <c r="BH12" s="1389">
        <v>2350743.34</v>
      </c>
      <c r="BI12" s="455">
        <v>2525000.0144466418</v>
      </c>
      <c r="BJ12" s="1389">
        <v>2364891.46</v>
      </c>
      <c r="BK12" s="455">
        <v>2410000.013871755</v>
      </c>
      <c r="BL12" s="1389">
        <v>2298056.7800000003</v>
      </c>
      <c r="BM12" s="455">
        <v>2369500.1509075612</v>
      </c>
      <c r="BN12" s="401">
        <v>2178255.52</v>
      </c>
      <c r="BO12" s="455">
        <v>2234474.8024697341</v>
      </c>
      <c r="BP12" s="401">
        <v>1877654.8489999999</v>
      </c>
      <c r="BQ12" s="455">
        <v>2406999.7409326425</v>
      </c>
      <c r="BR12" s="401">
        <v>2049932.7499999995</v>
      </c>
      <c r="BS12" s="2534"/>
      <c r="BT12" s="2534"/>
      <c r="BU12" s="2534"/>
      <c r="BV12" s="2534"/>
      <c r="BW12" s="2534"/>
    </row>
    <row r="13" spans="1:75" ht="96.75" hidden="1" customHeight="1" thickBot="1" x14ac:dyDescent="0.3">
      <c r="A13" s="1274"/>
      <c r="B13" s="5315" t="s">
        <v>1120</v>
      </c>
      <c r="C13" s="527"/>
      <c r="D13" s="3761" t="s">
        <v>1183</v>
      </c>
      <c r="E13" s="3761" t="s">
        <v>1184</v>
      </c>
      <c r="F13" s="5332"/>
      <c r="G13" s="3761" t="s">
        <v>1184</v>
      </c>
      <c r="H13" s="5332"/>
      <c r="I13" s="527"/>
      <c r="J13" s="527"/>
      <c r="K13" s="3761" t="s">
        <v>1184</v>
      </c>
      <c r="L13" s="5332"/>
      <c r="M13" s="527"/>
      <c r="N13" s="527"/>
      <c r="O13" s="3761" t="s">
        <v>1184</v>
      </c>
      <c r="P13" s="5332"/>
      <c r="Q13" s="527"/>
      <c r="R13" s="527"/>
      <c r="S13" s="3761" t="s">
        <v>1184</v>
      </c>
      <c r="T13" s="5332"/>
      <c r="U13" s="527"/>
      <c r="V13" s="527"/>
      <c r="W13" s="3761" t="s">
        <v>1184</v>
      </c>
      <c r="X13" s="5332"/>
      <c r="Y13" s="527"/>
      <c r="Z13" s="527"/>
      <c r="AA13" s="527"/>
      <c r="AB13" s="709"/>
      <c r="AC13" s="3761" t="s">
        <v>1184</v>
      </c>
      <c r="AD13" s="1601"/>
      <c r="AE13" s="527"/>
      <c r="AF13" s="527"/>
      <c r="AG13" s="3761" t="s">
        <v>1184</v>
      </c>
      <c r="AH13" s="1601"/>
      <c r="AI13" s="527"/>
      <c r="AJ13" s="527"/>
      <c r="AK13" s="3761" t="s">
        <v>1184</v>
      </c>
      <c r="AL13" s="1601"/>
      <c r="AM13" s="527"/>
      <c r="AN13" s="527"/>
      <c r="AO13" s="527"/>
      <c r="AP13" s="527"/>
      <c r="AQ13" s="3761" t="s">
        <v>1184</v>
      </c>
      <c r="AR13" s="1601"/>
      <c r="AS13" s="527"/>
      <c r="AT13" s="527"/>
      <c r="AU13" s="3761" t="s">
        <v>1184</v>
      </c>
      <c r="AV13" s="1601"/>
      <c r="AW13" s="527"/>
      <c r="AX13" s="527"/>
      <c r="AY13" s="3761" t="s">
        <v>1184</v>
      </c>
      <c r="AZ13" s="1601"/>
      <c r="BA13" s="527"/>
      <c r="BB13" s="527"/>
      <c r="BC13" s="527"/>
      <c r="BD13" s="709"/>
      <c r="BE13" s="527"/>
      <c r="BF13" s="527"/>
      <c r="BG13" s="527"/>
      <c r="BH13" s="527"/>
      <c r="BI13" s="527"/>
      <c r="BJ13" s="527"/>
      <c r="BK13" s="527"/>
      <c r="BL13" s="527"/>
      <c r="BM13" s="527"/>
      <c r="BN13" s="527"/>
      <c r="BO13" s="527"/>
      <c r="BP13" s="527"/>
      <c r="BQ13" s="527"/>
      <c r="BR13" s="527"/>
      <c r="BS13" s="2534"/>
      <c r="BT13" s="2534"/>
      <c r="BU13" s="2534"/>
      <c r="BV13" s="2534"/>
      <c r="BW13" s="2534"/>
    </row>
    <row r="14" spans="1:75" ht="15" customHeight="1" thickBot="1" x14ac:dyDescent="0.3">
      <c r="A14" s="1274"/>
      <c r="B14" s="1932" t="s">
        <v>351</v>
      </c>
      <c r="C14" s="1922"/>
      <c r="D14" s="187"/>
      <c r="E14" s="188"/>
      <c r="F14" s="2061"/>
      <c r="G14" s="188"/>
      <c r="H14" s="2061"/>
      <c r="I14" s="188"/>
      <c r="J14" s="188"/>
      <c r="K14" s="188"/>
      <c r="L14" s="2061"/>
      <c r="M14" s="188"/>
      <c r="N14" s="188"/>
      <c r="O14" s="188"/>
      <c r="P14" s="2061"/>
      <c r="Q14" s="188"/>
      <c r="R14" s="188"/>
      <c r="S14" s="188"/>
      <c r="T14" s="2061"/>
      <c r="U14" s="188"/>
      <c r="V14" s="188"/>
      <c r="W14" s="188"/>
      <c r="X14" s="2061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664"/>
      <c r="BG14" s="188"/>
      <c r="BH14" s="188"/>
      <c r="BI14" s="188"/>
      <c r="BJ14" s="188"/>
      <c r="BK14" s="188"/>
      <c r="BL14" s="188"/>
      <c r="BM14" s="1664"/>
      <c r="BN14" s="188"/>
      <c r="BO14" s="188"/>
      <c r="BP14" s="188"/>
      <c r="BQ14" s="188"/>
      <c r="BR14" s="188"/>
      <c r="BS14" s="2534"/>
      <c r="BT14" s="2534"/>
      <c r="BU14" s="2534"/>
      <c r="BV14" s="2534"/>
      <c r="BW14" s="2534"/>
    </row>
    <row r="15" spans="1:75" ht="15" customHeight="1" thickBot="1" x14ac:dyDescent="0.3">
      <c r="B15" s="1933" t="s">
        <v>77</v>
      </c>
      <c r="C15" s="758" t="s">
        <v>354</v>
      </c>
      <c r="D15" s="5743">
        <f>+D12</f>
        <v>2674798.3371291095</v>
      </c>
      <c r="E15" s="5738">
        <f>+E12</f>
        <v>228999.81536860339</v>
      </c>
      <c r="F15" s="5333">
        <f>+F7</f>
        <v>0</v>
      </c>
      <c r="G15" s="5738">
        <f>+G12</f>
        <v>236499.57667165704</v>
      </c>
      <c r="H15" s="5333">
        <f>+H7</f>
        <v>0</v>
      </c>
      <c r="I15" s="5740">
        <f>+E15+G15</f>
        <v>465499.39204026043</v>
      </c>
      <c r="J15" s="1923">
        <f>+F15+H15</f>
        <v>0</v>
      </c>
      <c r="K15" s="5738">
        <f>+K12</f>
        <v>229000.11088311527</v>
      </c>
      <c r="L15" s="5333">
        <f>+L7</f>
        <v>0</v>
      </c>
      <c r="M15" s="5755">
        <f>+E15+G15+K15</f>
        <v>694499.50292337569</v>
      </c>
      <c r="N15" s="1924">
        <f>+F15+H15+L15</f>
        <v>0</v>
      </c>
      <c r="O15" s="5738">
        <f>+O12</f>
        <v>231500.14135532087</v>
      </c>
      <c r="P15" s="5333">
        <f>+P7</f>
        <v>64.099999999999994</v>
      </c>
      <c r="Q15" s="5740">
        <f>+M15+O15</f>
        <v>925999.64427869651</v>
      </c>
      <c r="R15" s="1923">
        <f>+N15+P15</f>
        <v>64.099999999999994</v>
      </c>
      <c r="S15" s="5738">
        <f>+S12</f>
        <v>231500.14135532087</v>
      </c>
      <c r="T15" s="5333">
        <f>+T7</f>
        <v>1485.1599999999999</v>
      </c>
      <c r="U15" s="5740">
        <f>+Q15+S15</f>
        <v>1157499.7856340173</v>
      </c>
      <c r="V15" s="1923">
        <f>+R15+T15</f>
        <v>1549.2599999999998</v>
      </c>
      <c r="W15" s="5738">
        <f>+W12</f>
        <v>121299.68143151992</v>
      </c>
      <c r="X15" s="5333">
        <f>+X7</f>
        <v>694</v>
      </c>
      <c r="Y15" s="5749">
        <f>+O15+S15+W15</f>
        <v>584299.96414216165</v>
      </c>
      <c r="Z15" s="73">
        <f>+P15+T15+X15</f>
        <v>2243.2599999999998</v>
      </c>
      <c r="AA15" s="5752">
        <f>+M15+Y15</f>
        <v>1278799.4670655373</v>
      </c>
      <c r="AB15" s="714">
        <f>+N15+Z15</f>
        <v>2243.2599999999998</v>
      </c>
      <c r="AC15" s="5743">
        <f>+AC12</f>
        <v>226841.09386753975</v>
      </c>
      <c r="AD15" s="451">
        <f>+AD7</f>
        <v>0</v>
      </c>
      <c r="AE15" s="5740">
        <f>+AA15+AC15</f>
        <v>1505640.560933077</v>
      </c>
      <c r="AF15" s="1923">
        <f>+AB15+AD15</f>
        <v>2243.2599999999998</v>
      </c>
      <c r="AG15" s="5743">
        <f>+AG12</f>
        <v>223180.91557330103</v>
      </c>
      <c r="AH15" s="451">
        <f>+AH7</f>
        <v>0</v>
      </c>
      <c r="AI15" s="5740">
        <f>+AE15+AG15</f>
        <v>1728821.476506378</v>
      </c>
      <c r="AJ15" s="1923">
        <f>+AF15+AH15</f>
        <v>2243.2599999999998</v>
      </c>
      <c r="AK15" s="5743">
        <f>+AK12</f>
        <v>225210.09386753975</v>
      </c>
      <c r="AL15" s="451">
        <f>+AL7</f>
        <v>0</v>
      </c>
      <c r="AM15" s="5749">
        <f>+AC15+AG15+AK15</f>
        <v>675232.10330838058</v>
      </c>
      <c r="AN15" s="73">
        <f>+AD15+AH15+AL15</f>
        <v>0</v>
      </c>
      <c r="AO15" s="5740">
        <f>AI15+AK15</f>
        <v>1954031.5703739177</v>
      </c>
      <c r="AP15" s="437">
        <f t="shared" ref="AP15:AP19" si="42">AJ15+AL15</f>
        <v>2243.2599999999998</v>
      </c>
      <c r="AQ15" s="5743">
        <f>+AQ12</f>
        <v>226840.09386753975</v>
      </c>
      <c r="AR15" s="451">
        <f>+AR7</f>
        <v>0</v>
      </c>
      <c r="AS15" s="5740">
        <f>+AO15+AQ15</f>
        <v>2180871.6642414574</v>
      </c>
      <c r="AT15" s="1923">
        <f>+AP15+AR15</f>
        <v>2243.2599999999998</v>
      </c>
      <c r="AU15" s="5743">
        <f>+AU12</f>
        <v>207657.99609174186</v>
      </c>
      <c r="AV15" s="451">
        <f>+AV7</f>
        <v>0</v>
      </c>
      <c r="AW15" s="5740">
        <f>+AS15+AU15</f>
        <v>2388529.6603331994</v>
      </c>
      <c r="AX15" s="1923">
        <f>+AT15+AV15</f>
        <v>2243.2599999999998</v>
      </c>
      <c r="AY15" s="5743">
        <f>+AY12</f>
        <v>230952.64004168223</v>
      </c>
      <c r="AZ15" s="451">
        <f>+AZ7</f>
        <v>0</v>
      </c>
      <c r="BA15" s="5749">
        <f>+AQ15+AU15+AY15</f>
        <v>665450.7300009639</v>
      </c>
      <c r="BB15" s="73">
        <f>+AR15+AV15+AZ15</f>
        <v>0</v>
      </c>
      <c r="BC15" s="5752">
        <f>+AM15+BA15</f>
        <v>1340682.8333093445</v>
      </c>
      <c r="BD15" s="640">
        <f t="shared" ref="BD15:BD19" si="43">AN15+BB15</f>
        <v>0</v>
      </c>
      <c r="BE15" s="5740">
        <f>+AW15+AY15</f>
        <v>2619482.3003748818</v>
      </c>
      <c r="BF15" s="1923">
        <f>+AX15+AZ15</f>
        <v>2243.2599999999998</v>
      </c>
      <c r="BG15" s="5778">
        <v>2409999.5406616796</v>
      </c>
      <c r="BH15" s="1912">
        <v>322.72000000000003</v>
      </c>
      <c r="BI15" s="5778">
        <v>2525000.0144466418</v>
      </c>
      <c r="BJ15" s="1912">
        <v>3076.2</v>
      </c>
      <c r="BK15" s="5778">
        <v>2410000.013871755</v>
      </c>
      <c r="BL15" s="1912">
        <v>42263.08</v>
      </c>
      <c r="BM15" s="5787">
        <v>2369500.1509075612</v>
      </c>
      <c r="BN15" s="1912">
        <v>71707.420000000013</v>
      </c>
      <c r="BO15" s="5781">
        <v>2234474.8024697341</v>
      </c>
      <c r="BP15" s="1912">
        <v>9758.5099999999966</v>
      </c>
      <c r="BQ15" s="5781">
        <f>+BQ12</f>
        <v>2406999.7409326425</v>
      </c>
      <c r="BR15" s="1912">
        <v>5928.2490000000007</v>
      </c>
      <c r="BS15" s="2534"/>
      <c r="BT15" s="2534"/>
      <c r="BU15" s="2534"/>
      <c r="BV15" s="2534"/>
      <c r="BW15" s="2534"/>
    </row>
    <row r="16" spans="1:75" ht="15" customHeight="1" thickBot="1" x14ac:dyDescent="0.3">
      <c r="B16" s="5309" t="s">
        <v>75</v>
      </c>
      <c r="C16" s="5316" t="s">
        <v>354</v>
      </c>
      <c r="D16" s="5744"/>
      <c r="E16" s="5739"/>
      <c r="F16" s="5330">
        <v>121879.79999999997</v>
      </c>
      <c r="G16" s="5739"/>
      <c r="H16" s="5330">
        <v>138747.00999999995</v>
      </c>
      <c r="I16" s="5741"/>
      <c r="J16" s="528">
        <f>+F16+H16</f>
        <v>260626.80999999994</v>
      </c>
      <c r="K16" s="5739"/>
      <c r="L16" s="5330">
        <v>120386.73999999999</v>
      </c>
      <c r="M16" s="5756"/>
      <c r="N16" s="1920">
        <f>+F16+H16+L16</f>
        <v>381013.54999999993</v>
      </c>
      <c r="O16" s="5739"/>
      <c r="P16" s="5330">
        <v>136780.81</v>
      </c>
      <c r="Q16" s="5741"/>
      <c r="R16" s="528">
        <f>+N16+P16</f>
        <v>517794.35999999993</v>
      </c>
      <c r="S16" s="5739"/>
      <c r="T16" s="5330">
        <v>149407.49</v>
      </c>
      <c r="U16" s="5741"/>
      <c r="V16" s="528">
        <f>+R16+T16</f>
        <v>667201.84999999986</v>
      </c>
      <c r="W16" s="5739"/>
      <c r="X16" s="5330">
        <v>118171.66000000002</v>
      </c>
      <c r="Y16" s="5750"/>
      <c r="Z16" s="73">
        <f t="shared" ref="Z16:Z19" si="44">+P16+T16+X16</f>
        <v>404359.96</v>
      </c>
      <c r="AA16" s="5753"/>
      <c r="AB16" s="714">
        <f t="shared" ref="AB16:AB19" si="45">+N16+Z16</f>
        <v>785373.51</v>
      </c>
      <c r="AC16" s="5744"/>
      <c r="AD16" s="448">
        <v>116531.94000000002</v>
      </c>
      <c r="AE16" s="5741"/>
      <c r="AF16" s="528">
        <f>+AB16+AD16</f>
        <v>901905.45000000007</v>
      </c>
      <c r="AG16" s="5744"/>
      <c r="AH16" s="448">
        <v>55204.140000000007</v>
      </c>
      <c r="AI16" s="5741"/>
      <c r="AJ16" s="528">
        <f>+AF16+AH16</f>
        <v>957109.59000000008</v>
      </c>
      <c r="AK16" s="5744"/>
      <c r="AL16" s="448">
        <v>139405.21</v>
      </c>
      <c r="AM16" s="5750"/>
      <c r="AN16" s="73">
        <f t="shared" ref="AN16:AN19" si="46">+AD16+AH16+AL16</f>
        <v>311141.29000000004</v>
      </c>
      <c r="AO16" s="5741"/>
      <c r="AP16" s="437">
        <f t="shared" si="42"/>
        <v>1096514.8</v>
      </c>
      <c r="AQ16" s="5744"/>
      <c r="AR16" s="448">
        <v>171765.58</v>
      </c>
      <c r="AS16" s="5741"/>
      <c r="AT16" s="528">
        <f>+AP16+AR16</f>
        <v>1268280.3800000001</v>
      </c>
      <c r="AU16" s="5744"/>
      <c r="AV16" s="448">
        <v>136540.59</v>
      </c>
      <c r="AW16" s="5741"/>
      <c r="AX16" s="528">
        <f>+AT16+AV16</f>
        <v>1404820.9700000002</v>
      </c>
      <c r="AY16" s="5744"/>
      <c r="AZ16" s="448">
        <v>189752.73999999996</v>
      </c>
      <c r="BA16" s="5750"/>
      <c r="BB16" s="73">
        <f t="shared" ref="BB16:BB19" si="47">+AR16+AV16+AZ16</f>
        <v>498058.90999999992</v>
      </c>
      <c r="BC16" s="5753"/>
      <c r="BD16" s="640">
        <f t="shared" si="43"/>
        <v>809200.2</v>
      </c>
      <c r="BE16" s="5741"/>
      <c r="BF16" s="528">
        <f>+AX16+AZ16</f>
        <v>1594573.7100000002</v>
      </c>
      <c r="BG16" s="5779"/>
      <c r="BH16" s="1910">
        <v>1620104.8800000001</v>
      </c>
      <c r="BI16" s="5779"/>
      <c r="BJ16" s="1910">
        <v>1443296.0299999998</v>
      </c>
      <c r="BK16" s="5779"/>
      <c r="BL16" s="1910">
        <v>1325226.6500000001</v>
      </c>
      <c r="BM16" s="5788"/>
      <c r="BN16" s="1910">
        <v>1097093.1499999999</v>
      </c>
      <c r="BO16" s="5782"/>
      <c r="BP16" s="1910">
        <v>691326.51799999992</v>
      </c>
      <c r="BQ16" s="5782"/>
      <c r="BR16" s="1910">
        <v>569419.82700000005</v>
      </c>
      <c r="BS16" s="2534"/>
      <c r="BT16" s="2534"/>
      <c r="BU16" s="2534"/>
      <c r="BV16" s="2534"/>
      <c r="BW16" s="2534"/>
    </row>
    <row r="17" spans="2:75" ht="15" customHeight="1" thickBot="1" x14ac:dyDescent="0.3">
      <c r="B17" s="5309" t="s">
        <v>76</v>
      </c>
      <c r="C17" s="5316" t="s">
        <v>354</v>
      </c>
      <c r="D17" s="5744"/>
      <c r="E17" s="5739"/>
      <c r="F17" s="5330">
        <v>48531.65</v>
      </c>
      <c r="G17" s="5739"/>
      <c r="H17" s="5330">
        <v>73085.040000000008</v>
      </c>
      <c r="I17" s="5741"/>
      <c r="J17" s="528">
        <f>+F17+H17</f>
        <v>121616.69</v>
      </c>
      <c r="K17" s="5739"/>
      <c r="L17" s="5330">
        <v>91277.939999999973</v>
      </c>
      <c r="M17" s="5756"/>
      <c r="N17" s="1920">
        <f>+F17+H17+L17</f>
        <v>212894.62999999998</v>
      </c>
      <c r="O17" s="5739"/>
      <c r="P17" s="5330">
        <v>102874.62000000002</v>
      </c>
      <c r="Q17" s="5741"/>
      <c r="R17" s="528">
        <f>+N17+P17</f>
        <v>315769.25</v>
      </c>
      <c r="S17" s="5739"/>
      <c r="T17" s="5330">
        <v>89009.359999999986</v>
      </c>
      <c r="U17" s="5741"/>
      <c r="V17" s="528">
        <f>+R17+T17</f>
        <v>404778.61</v>
      </c>
      <c r="W17" s="5739"/>
      <c r="X17" s="5330">
        <v>83127.569999999992</v>
      </c>
      <c r="Y17" s="5750"/>
      <c r="Z17" s="73">
        <f t="shared" si="44"/>
        <v>275011.55</v>
      </c>
      <c r="AA17" s="5753"/>
      <c r="AB17" s="714">
        <f t="shared" si="45"/>
        <v>487906.17999999993</v>
      </c>
      <c r="AC17" s="5744"/>
      <c r="AD17" s="448">
        <v>56105</v>
      </c>
      <c r="AE17" s="5741"/>
      <c r="AF17" s="528">
        <f>+AB17+AD17</f>
        <v>544011.17999999993</v>
      </c>
      <c r="AG17" s="5744"/>
      <c r="AH17" s="448">
        <v>12954.53</v>
      </c>
      <c r="AI17" s="5741"/>
      <c r="AJ17" s="528">
        <f>+AF17+AH17</f>
        <v>556965.71</v>
      </c>
      <c r="AK17" s="5744"/>
      <c r="AL17" s="448">
        <v>54572.320000000007</v>
      </c>
      <c r="AM17" s="5750"/>
      <c r="AN17" s="73">
        <f t="shared" si="46"/>
        <v>123631.85</v>
      </c>
      <c r="AO17" s="5741"/>
      <c r="AP17" s="437">
        <f t="shared" si="42"/>
        <v>611538.03</v>
      </c>
      <c r="AQ17" s="5744"/>
      <c r="AR17" s="448">
        <v>60538.109999999993</v>
      </c>
      <c r="AS17" s="5741"/>
      <c r="AT17" s="528">
        <f>+AP17+AR17</f>
        <v>672076.14</v>
      </c>
      <c r="AU17" s="5744"/>
      <c r="AV17" s="448">
        <v>51118.84</v>
      </c>
      <c r="AW17" s="5741"/>
      <c r="AX17" s="528">
        <f>+AT17+AV17</f>
        <v>723194.98</v>
      </c>
      <c r="AY17" s="5744"/>
      <c r="AZ17" s="448">
        <v>68622.95</v>
      </c>
      <c r="BA17" s="5750"/>
      <c r="BB17" s="73">
        <f t="shared" si="47"/>
        <v>180279.89999999997</v>
      </c>
      <c r="BC17" s="5753"/>
      <c r="BD17" s="640">
        <f t="shared" si="43"/>
        <v>303911.75</v>
      </c>
      <c r="BE17" s="5741"/>
      <c r="BF17" s="528">
        <f>+AX17+AZ17</f>
        <v>791817.92999999993</v>
      </c>
      <c r="BG17" s="5779"/>
      <c r="BH17" s="1910">
        <v>662107.03</v>
      </c>
      <c r="BI17" s="5779"/>
      <c r="BJ17" s="1910">
        <v>829404.40000000014</v>
      </c>
      <c r="BK17" s="5779"/>
      <c r="BL17" s="1910">
        <v>809005.30999999994</v>
      </c>
      <c r="BM17" s="5788"/>
      <c r="BN17" s="1910">
        <v>567271.22</v>
      </c>
      <c r="BO17" s="5782"/>
      <c r="BP17" s="1910">
        <v>479205.15300000005</v>
      </c>
      <c r="BQ17" s="5782"/>
      <c r="BR17" s="1910">
        <v>909567.00199999986</v>
      </c>
      <c r="BS17" s="2534"/>
      <c r="BT17" s="2534"/>
      <c r="BU17" s="2534"/>
      <c r="BV17" s="2534"/>
      <c r="BW17" s="2534"/>
    </row>
    <row r="18" spans="2:75" ht="15" customHeight="1" thickBot="1" x14ac:dyDescent="0.3">
      <c r="B18" s="5312" t="s">
        <v>1848</v>
      </c>
      <c r="C18" s="5316" t="s">
        <v>354</v>
      </c>
      <c r="D18" s="5744"/>
      <c r="E18" s="5739"/>
      <c r="F18" s="5330">
        <f>+F6</f>
        <v>1095.8900000000001</v>
      </c>
      <c r="G18" s="5739"/>
      <c r="H18" s="5330">
        <f>+H6</f>
        <v>2704.95</v>
      </c>
      <c r="I18" s="5741"/>
      <c r="J18" s="528">
        <f>+F18+H18</f>
        <v>3800.84</v>
      </c>
      <c r="K18" s="5739"/>
      <c r="L18" s="5330">
        <f>+L6</f>
        <v>6803.8099999999995</v>
      </c>
      <c r="M18" s="5756"/>
      <c r="N18" s="1920">
        <f>+F18+H18+L18</f>
        <v>10604.65</v>
      </c>
      <c r="O18" s="5739"/>
      <c r="P18" s="5330">
        <f>+P6</f>
        <v>3865.3599999999997</v>
      </c>
      <c r="Q18" s="5741"/>
      <c r="R18" s="528">
        <f>+N18+P18</f>
        <v>14470.009999999998</v>
      </c>
      <c r="S18" s="5739"/>
      <c r="T18" s="5330">
        <f>+T6</f>
        <v>6257.93</v>
      </c>
      <c r="U18" s="5741"/>
      <c r="V18" s="528">
        <f>+R18+T18</f>
        <v>20727.939999999999</v>
      </c>
      <c r="W18" s="5739"/>
      <c r="X18" s="5330">
        <f>+X6</f>
        <v>5182.59</v>
      </c>
      <c r="Y18" s="5750"/>
      <c r="Z18" s="73">
        <f t="shared" si="44"/>
        <v>15305.880000000001</v>
      </c>
      <c r="AA18" s="5753"/>
      <c r="AB18" s="714">
        <f t="shared" si="45"/>
        <v>25910.53</v>
      </c>
      <c r="AC18" s="5744"/>
      <c r="AD18" s="448">
        <f>+AD6</f>
        <v>4044.2099999999996</v>
      </c>
      <c r="AE18" s="5741"/>
      <c r="AF18" s="528">
        <f>+AB18+AD18</f>
        <v>29954.739999999998</v>
      </c>
      <c r="AG18" s="5744"/>
      <c r="AH18" s="448">
        <f>+AH6</f>
        <v>5778.3499999999995</v>
      </c>
      <c r="AI18" s="5741"/>
      <c r="AJ18" s="528">
        <f>+AF18+AH18</f>
        <v>35733.089999999997</v>
      </c>
      <c r="AK18" s="5744"/>
      <c r="AL18" s="448">
        <f>+AL6</f>
        <v>3912</v>
      </c>
      <c r="AM18" s="5750"/>
      <c r="AN18" s="73">
        <f t="shared" si="46"/>
        <v>13734.56</v>
      </c>
      <c r="AO18" s="5741"/>
      <c r="AP18" s="437">
        <f t="shared" si="42"/>
        <v>39645.089999999997</v>
      </c>
      <c r="AQ18" s="5744"/>
      <c r="AR18" s="448">
        <f>+AR6</f>
        <v>3486.44</v>
      </c>
      <c r="AS18" s="5741"/>
      <c r="AT18" s="528">
        <f>+AP18+AR18</f>
        <v>43131.53</v>
      </c>
      <c r="AU18" s="5744"/>
      <c r="AV18" s="448">
        <f>+AV6</f>
        <v>1080.8899999999999</v>
      </c>
      <c r="AW18" s="5741"/>
      <c r="AX18" s="528">
        <f>+AT18+AV18</f>
        <v>44212.42</v>
      </c>
      <c r="AY18" s="5744"/>
      <c r="AZ18" s="448">
        <f>+AZ6</f>
        <v>6965.79</v>
      </c>
      <c r="BA18" s="5750"/>
      <c r="BB18" s="73">
        <f t="shared" si="47"/>
        <v>11533.119999999999</v>
      </c>
      <c r="BC18" s="5753"/>
      <c r="BD18" s="640">
        <f t="shared" si="43"/>
        <v>25267.68</v>
      </c>
      <c r="BE18" s="5741"/>
      <c r="BF18" s="528">
        <f>+AX18+AZ18</f>
        <v>51178.21</v>
      </c>
      <c r="BG18" s="5779"/>
      <c r="BH18" s="1910">
        <v>53987.54</v>
      </c>
      <c r="BI18" s="5779"/>
      <c r="BJ18" s="1910">
        <v>30649.839999999997</v>
      </c>
      <c r="BK18" s="5779"/>
      <c r="BL18" s="1910">
        <v>34807.22</v>
      </c>
      <c r="BM18" s="5788"/>
      <c r="BN18" s="1910">
        <v>33201.15</v>
      </c>
      <c r="BO18" s="5782"/>
      <c r="BP18" s="1910">
        <v>35268.25</v>
      </c>
      <c r="BQ18" s="5782"/>
      <c r="BR18" s="1910">
        <v>28405.85</v>
      </c>
      <c r="BS18" s="2534"/>
      <c r="BT18" s="2534"/>
      <c r="BU18" s="2534"/>
      <c r="BV18" s="2534"/>
      <c r="BW18" s="2534"/>
    </row>
    <row r="19" spans="2:75" ht="15" customHeight="1" thickBot="1" x14ac:dyDescent="0.3">
      <c r="B19" s="5312" t="s">
        <v>1185</v>
      </c>
      <c r="C19" s="5317" t="s">
        <v>354</v>
      </c>
      <c r="D19" s="5745"/>
      <c r="E19" s="5746"/>
      <c r="F19" s="5330">
        <v>4383.6600000000008</v>
      </c>
      <c r="G19" s="5746"/>
      <c r="H19" s="5330">
        <v>2929.0299999999993</v>
      </c>
      <c r="I19" s="5741"/>
      <c r="J19" s="528">
        <f>+F19+H19</f>
        <v>7312.6900000000005</v>
      </c>
      <c r="K19" s="5746"/>
      <c r="L19" s="5330">
        <v>35.9</v>
      </c>
      <c r="M19" s="5757"/>
      <c r="N19" s="1920">
        <f>+F19+H19+L19</f>
        <v>7348.59</v>
      </c>
      <c r="O19" s="5746"/>
      <c r="P19" s="5330">
        <v>38.94</v>
      </c>
      <c r="Q19" s="5741"/>
      <c r="R19" s="528">
        <f>+N19+P19</f>
        <v>7387.53</v>
      </c>
      <c r="S19" s="5746"/>
      <c r="T19" s="5330">
        <v>158.79</v>
      </c>
      <c r="U19" s="5741"/>
      <c r="V19" s="528">
        <f>+R19+T19</f>
        <v>7546.32</v>
      </c>
      <c r="W19" s="5746"/>
      <c r="X19" s="5330">
        <v>89.79</v>
      </c>
      <c r="Y19" s="5750"/>
      <c r="Z19" s="73">
        <f t="shared" si="44"/>
        <v>287.52</v>
      </c>
      <c r="AA19" s="5753"/>
      <c r="AB19" s="714">
        <f t="shared" si="45"/>
        <v>7636.1100000000006</v>
      </c>
      <c r="AC19" s="5745"/>
      <c r="AD19" s="448">
        <v>2829.4900000000002</v>
      </c>
      <c r="AE19" s="5741"/>
      <c r="AF19" s="528">
        <f>+AB19+AD19</f>
        <v>10465.6</v>
      </c>
      <c r="AG19" s="5745"/>
      <c r="AH19" s="448">
        <v>185.19</v>
      </c>
      <c r="AI19" s="5741"/>
      <c r="AJ19" s="528">
        <f>+AF19+AH19</f>
        <v>10650.79</v>
      </c>
      <c r="AK19" s="5745"/>
      <c r="AL19" s="448">
        <v>228.3</v>
      </c>
      <c r="AM19" s="5750"/>
      <c r="AN19" s="73">
        <f t="shared" si="46"/>
        <v>3242.9800000000005</v>
      </c>
      <c r="AO19" s="5741"/>
      <c r="AP19" s="437">
        <f t="shared" si="42"/>
        <v>10879.09</v>
      </c>
      <c r="AQ19" s="5745"/>
      <c r="AR19" s="448">
        <v>3186.2100000000009</v>
      </c>
      <c r="AS19" s="5741"/>
      <c r="AT19" s="528">
        <f>+AP19+AR19</f>
        <v>14065.300000000001</v>
      </c>
      <c r="AU19" s="5745"/>
      <c r="AV19" s="448">
        <v>0</v>
      </c>
      <c r="AW19" s="5741"/>
      <c r="AX19" s="528">
        <f>+AT19+AV19</f>
        <v>14065.300000000001</v>
      </c>
      <c r="AY19" s="5745"/>
      <c r="AZ19" s="448">
        <v>794.61999999999989</v>
      </c>
      <c r="BA19" s="5750"/>
      <c r="BB19" s="73">
        <f t="shared" si="47"/>
        <v>3980.8300000000008</v>
      </c>
      <c r="BC19" s="5753"/>
      <c r="BD19" s="640">
        <f t="shared" si="43"/>
        <v>7223.8100000000013</v>
      </c>
      <c r="BE19" s="5741"/>
      <c r="BF19" s="528">
        <f>+AX19+AZ19</f>
        <v>14859.920000000002</v>
      </c>
      <c r="BG19" s="5780"/>
      <c r="BH19" s="1910">
        <v>14221</v>
      </c>
      <c r="BI19" s="5780"/>
      <c r="BJ19" s="1910">
        <v>58464.989999999991</v>
      </c>
      <c r="BK19" s="5780"/>
      <c r="BL19" s="1910">
        <v>86754.520000000019</v>
      </c>
      <c r="BM19" s="5788"/>
      <c r="BN19" s="1910">
        <v>408982.57999999996</v>
      </c>
      <c r="BO19" s="5782"/>
      <c r="BP19" s="1910">
        <v>662096.97799999977</v>
      </c>
      <c r="BQ19" s="5782"/>
      <c r="BR19" s="1910">
        <v>536611.97599999979</v>
      </c>
      <c r="BS19" s="2534"/>
      <c r="BT19" s="2534"/>
      <c r="BU19" s="2534"/>
      <c r="BV19" s="2534"/>
      <c r="BW19" s="2534"/>
    </row>
    <row r="20" spans="2:75" ht="15" customHeight="1" thickBot="1" x14ac:dyDescent="0.3">
      <c r="B20" s="278" t="s">
        <v>1444</v>
      </c>
      <c r="C20" s="104" t="s">
        <v>49</v>
      </c>
      <c r="D20" s="1918"/>
      <c r="E20" s="5323"/>
      <c r="F20" s="5334">
        <f>+((F16+F18+F15+F19)/F12)*100</f>
        <v>72.408110704925207</v>
      </c>
      <c r="G20" s="5323"/>
      <c r="H20" s="5334">
        <f>+((H16+H18+H15+H19)/H12)*100</f>
        <v>66.392433797591266</v>
      </c>
      <c r="I20" s="5742"/>
      <c r="J20" s="1921">
        <f>+((+J15+J16+J18+J19)/J12)*100</f>
        <v>69.082365198862718</v>
      </c>
      <c r="K20" s="5323"/>
      <c r="L20" s="5334">
        <f>+((L16+L18+L15+L19)/L12)*100</f>
        <v>58.226038387604021</v>
      </c>
      <c r="M20" s="1926"/>
      <c r="N20" s="71">
        <f>+((+N15+N16+N18+N19)/N12)*100</f>
        <v>65.205416939018647</v>
      </c>
      <c r="O20" s="5323"/>
      <c r="P20" s="5334">
        <f>+((P16+P18+P15+P19)/P12)*100</f>
        <v>57.773170219021665</v>
      </c>
      <c r="Q20" s="5742"/>
      <c r="R20" s="1921">
        <f>+((+R15+R16+R18+R19)/R12)*100</f>
        <v>63.088872660282568</v>
      </c>
      <c r="S20" s="5323"/>
      <c r="T20" s="5334">
        <f>+((T16+T18+T15+T19)/T12)*100</f>
        <v>63.864152758501149</v>
      </c>
      <c r="U20" s="5742"/>
      <c r="V20" s="1921">
        <f>+((+V15+V16+V18+V19)/V12)*100</f>
        <v>63.262193879531978</v>
      </c>
      <c r="W20" s="5323"/>
      <c r="X20" s="5334">
        <f>+((X16+X18+X15+X19)/X12)*100</f>
        <v>59.893216245570116</v>
      </c>
      <c r="Y20" s="5751"/>
      <c r="Z20" s="1613">
        <f>+((Z16+Z18+Z15+Z19)/Z12)*100</f>
        <v>60.555317359519769</v>
      </c>
      <c r="AA20" s="5754"/>
      <c r="AB20" s="1614">
        <f>+((AB16+AB18+AB15+AB19)/AB12)*100</f>
        <v>62.728782050463806</v>
      </c>
      <c r="AC20" s="1918"/>
      <c r="AD20" s="110">
        <f>+((AD16+AD18+AD15+AD19)/AD12)*100</f>
        <v>68.745585219906758</v>
      </c>
      <c r="AE20" s="5742"/>
      <c r="AF20" s="1921">
        <f>+((+AF15+AF16+AF18+AF19)/AF12)*100</f>
        <v>63.4543594603564</v>
      </c>
      <c r="AG20" s="1918"/>
      <c r="AH20" s="110">
        <f>+((AH16+AH18+AH15+AH19)/AH12)*100</f>
        <v>82.52274183406027</v>
      </c>
      <c r="AI20" s="5742"/>
      <c r="AJ20" s="1921">
        <f>+((+AJ15+AJ16+AJ18+AJ19)/AJ12)*100</f>
        <v>64.358812289305718</v>
      </c>
      <c r="AK20" s="1918"/>
      <c r="AL20" s="110">
        <f>+((AL16+AL18+AL15+AL19)/AL12)*100</f>
        <v>72.454552337495826</v>
      </c>
      <c r="AM20" s="5751"/>
      <c r="AN20" s="1613">
        <f>+((AN16+AN18+AN15+AN19)/AN12)*100</f>
        <v>72.632697868747783</v>
      </c>
      <c r="AO20" s="5742"/>
      <c r="AP20" s="1921">
        <f>+((+AP15+AP16+AP18+AP19)/AP12)*100</f>
        <v>65.269701208148192</v>
      </c>
      <c r="AQ20" s="1918"/>
      <c r="AR20" s="110">
        <f>+((AR16+AR18+AR15+AR19)/AR12)*100</f>
        <v>74.667739074085745</v>
      </c>
      <c r="AS20" s="5742"/>
      <c r="AT20" s="1921">
        <f>+((+AT15+AT16+AT18+AT19)/AT12)*100</f>
        <v>66.392769669326114</v>
      </c>
      <c r="AU20" s="1918"/>
      <c r="AV20" s="110">
        <f>+((AV16+AV18+AV15+AV19)/AV12)*100</f>
        <v>72.915781853077306</v>
      </c>
      <c r="AW20" s="5742"/>
      <c r="AX20" s="1921">
        <f>+((+AX15+AX16+AX18+AX19)/AX12)*100</f>
        <v>66.955316864402263</v>
      </c>
      <c r="AY20" s="1918"/>
      <c r="AZ20" s="110">
        <f>+((AZ16+AZ18+AZ15+AZ19)/AZ12)*100</f>
        <v>74.215091451328846</v>
      </c>
      <c r="BA20" s="5751"/>
      <c r="BB20" s="1613">
        <f>+((BB16+BB18+BB15+BB19)/BB12)*100</f>
        <v>74.017556693152017</v>
      </c>
      <c r="BC20" s="5754"/>
      <c r="BD20" s="1614">
        <f>+((BD16+BD18+BD15+BD19)/BD12)*100</f>
        <v>73.471459294720646</v>
      </c>
      <c r="BE20" s="5742"/>
      <c r="BF20" s="1921">
        <f>+((+BF15+BF16+BF18+BF19)/BF12)*100</f>
        <v>67.742422901753287</v>
      </c>
      <c r="BG20" s="1919"/>
      <c r="BH20" s="1917">
        <v>71.834134814564663</v>
      </c>
      <c r="BI20" s="1919"/>
      <c r="BJ20" s="1917">
        <v>64.928436927079929</v>
      </c>
      <c r="BK20" s="1919"/>
      <c r="BL20" s="1917">
        <v>64.796113088206639</v>
      </c>
      <c r="BM20" s="5783"/>
      <c r="BN20" s="1911">
        <v>70.665579215426476</v>
      </c>
      <c r="BO20" s="5783"/>
      <c r="BP20" s="1911">
        <f>+((BP16+BP18+BP15+BP19)/BP12)*100</f>
        <v>74.478558013193179</v>
      </c>
      <c r="BQ20" s="5783"/>
      <c r="BR20" s="1925">
        <f>+((BR16+BR18+BR15+BR19)/BR12)*100</f>
        <v>55.629429892273293</v>
      </c>
      <c r="BS20" s="2534"/>
      <c r="BT20" s="2534"/>
      <c r="BU20" s="2534"/>
      <c r="BV20" s="2534"/>
      <c r="BW20" s="2534"/>
    </row>
    <row r="21" spans="2:75" ht="15" customHeight="1" thickBot="1" x14ac:dyDescent="0.3">
      <c r="B21" s="1932" t="s">
        <v>141</v>
      </c>
      <c r="C21" s="1922"/>
      <c r="D21" s="187"/>
      <c r="E21" s="188"/>
      <c r="F21" s="5335"/>
      <c r="G21" s="188"/>
      <c r="H21" s="5335"/>
      <c r="I21" s="1944"/>
      <c r="J21" s="1944"/>
      <c r="K21" s="188"/>
      <c r="L21" s="5335"/>
      <c r="M21" s="1944"/>
      <c r="N21" s="1944"/>
      <c r="O21" s="188"/>
      <c r="P21" s="5335"/>
      <c r="Q21" s="1944"/>
      <c r="R21" s="1944"/>
      <c r="S21" s="188"/>
      <c r="T21" s="5335"/>
      <c r="U21" s="1944"/>
      <c r="V21" s="1944"/>
      <c r="W21" s="188"/>
      <c r="X21" s="5335"/>
      <c r="Y21" s="1944"/>
      <c r="Z21" s="1944"/>
      <c r="AA21" s="1944"/>
      <c r="AB21" s="1944"/>
      <c r="AC21" s="188"/>
      <c r="AD21" s="187"/>
      <c r="AE21" s="1944"/>
      <c r="AF21" s="1944"/>
      <c r="AG21" s="188"/>
      <c r="AH21" s="187"/>
      <c r="AI21" s="1944"/>
      <c r="AJ21" s="1944"/>
      <c r="AK21" s="188"/>
      <c r="AL21" s="187"/>
      <c r="AM21" s="1944"/>
      <c r="AN21" s="1944"/>
      <c r="AO21" s="1944"/>
      <c r="AP21" s="1944"/>
      <c r="AQ21" s="188"/>
      <c r="AR21" s="187"/>
      <c r="AS21" s="1944"/>
      <c r="AT21" s="1944"/>
      <c r="AU21" s="188"/>
      <c r="AV21" s="187"/>
      <c r="AW21" s="1944"/>
      <c r="AX21" s="1944"/>
      <c r="AY21" s="188"/>
      <c r="AZ21" s="187"/>
      <c r="BA21" s="1944"/>
      <c r="BB21" s="1944"/>
      <c r="BC21" s="1944"/>
      <c r="BD21" s="1944"/>
      <c r="BE21" s="1944"/>
      <c r="BF21" s="1944"/>
      <c r="BG21" s="249"/>
      <c r="BH21" s="249"/>
      <c r="BI21" s="249"/>
      <c r="BJ21" s="249"/>
      <c r="BK21" s="249"/>
      <c r="BL21" s="249"/>
      <c r="BM21" s="187"/>
      <c r="BN21" s="188"/>
      <c r="BO21" s="187"/>
      <c r="BP21" s="188"/>
      <c r="BQ21" s="187"/>
      <c r="BR21" s="188"/>
      <c r="BS21" s="2534"/>
      <c r="BT21" s="2534"/>
      <c r="BU21" s="2534"/>
      <c r="BV21" s="2534"/>
      <c r="BW21" s="2534"/>
    </row>
    <row r="22" spans="2:75" ht="15" customHeight="1" x14ac:dyDescent="0.25">
      <c r="B22" s="1947" t="s">
        <v>22</v>
      </c>
      <c r="C22" s="758" t="s">
        <v>354</v>
      </c>
      <c r="D22" s="5736">
        <f>+D12</f>
        <v>2674798.3371291095</v>
      </c>
      <c r="E22" s="5738">
        <f>+E12</f>
        <v>228999.81536860339</v>
      </c>
      <c r="F22" s="5333">
        <v>141481.09999999998</v>
      </c>
      <c r="G22" s="5738">
        <f>+G12</f>
        <v>236499.57667165704</v>
      </c>
      <c r="H22" s="5333">
        <v>175451.51999999999</v>
      </c>
      <c r="I22" s="5747">
        <f>+I12</f>
        <v>465499.39204026049</v>
      </c>
      <c r="J22" s="43">
        <f>+F22+H22</f>
        <v>316932.62</v>
      </c>
      <c r="K22" s="5738">
        <f>+K12</f>
        <v>229000.11088311527</v>
      </c>
      <c r="L22" s="5333">
        <v>185082.04</v>
      </c>
      <c r="M22" s="5755">
        <f>+M12</f>
        <v>694499.50292337569</v>
      </c>
      <c r="N22" s="716">
        <f>+F22+H22+L22</f>
        <v>502014.66000000003</v>
      </c>
      <c r="O22" s="5738">
        <f>+O12</f>
        <v>231500.14135532087</v>
      </c>
      <c r="P22" s="5333">
        <v>192470.12000000002</v>
      </c>
      <c r="Q22" s="5747">
        <f>+Q12</f>
        <v>925999.64427869662</v>
      </c>
      <c r="R22" s="43">
        <f>+N22+P22</f>
        <v>694484.78</v>
      </c>
      <c r="S22" s="5738">
        <f>+S12</f>
        <v>231500.14135532087</v>
      </c>
      <c r="T22" s="5333">
        <v>199128.92</v>
      </c>
      <c r="U22" s="5747">
        <f>+U12</f>
        <v>1157499.7856340175</v>
      </c>
      <c r="V22" s="43">
        <f>+R22+T22</f>
        <v>893613.70000000007</v>
      </c>
      <c r="W22" s="5738">
        <f>+W12</f>
        <v>121299.68143151992</v>
      </c>
      <c r="X22" s="5333">
        <v>164143.06000000003</v>
      </c>
      <c r="Y22" s="5749">
        <f>+Y12</f>
        <v>584299.96414216165</v>
      </c>
      <c r="Z22" s="73">
        <f>+P22+T22+X22</f>
        <v>555742.10000000009</v>
      </c>
      <c r="AA22" s="5752">
        <f>+AA12</f>
        <v>1278799.4670655373</v>
      </c>
      <c r="AB22" s="640">
        <f>+N22+Z22</f>
        <v>1057756.7600000002</v>
      </c>
      <c r="AC22" s="5761">
        <f>+AC12</f>
        <v>226841.09386753975</v>
      </c>
      <c r="AD22" s="729">
        <v>148158.06</v>
      </c>
      <c r="AE22" s="5747">
        <f>+AE12</f>
        <v>1505640.5609330772</v>
      </c>
      <c r="AF22" s="43">
        <f>+AB22+AD22</f>
        <v>1205914.8200000003</v>
      </c>
      <c r="AG22" s="5761">
        <f>+AG12</f>
        <v>223180.91557330103</v>
      </c>
      <c r="AH22" s="729">
        <v>62803.839999999997</v>
      </c>
      <c r="AI22" s="5747">
        <f>+AI12</f>
        <v>1728821.4765063783</v>
      </c>
      <c r="AJ22" s="43">
        <f>+AF22+AH22</f>
        <v>1268718.6600000004</v>
      </c>
      <c r="AK22" s="5761">
        <f>+AK12</f>
        <v>225210.09386753975</v>
      </c>
      <c r="AL22" s="729">
        <v>157996.80000000002</v>
      </c>
      <c r="AM22" s="5749">
        <f>+AM12</f>
        <v>675232.10330838058</v>
      </c>
      <c r="AN22" s="73">
        <f>+AD22+AH22+AL22</f>
        <v>368958.7</v>
      </c>
      <c r="AO22" s="5747">
        <f>AI22+AK22</f>
        <v>1954031.5703739179</v>
      </c>
      <c r="AP22" s="437">
        <f t="shared" ref="AP22:AP23" si="48">AJ22+AL22</f>
        <v>1426715.4600000004</v>
      </c>
      <c r="AQ22" s="5761">
        <f>+AQ12</f>
        <v>226840.09386753975</v>
      </c>
      <c r="AR22" s="729">
        <v>197810</v>
      </c>
      <c r="AS22" s="5747">
        <f>+AS12</f>
        <v>2180871.6642414578</v>
      </c>
      <c r="AT22" s="43">
        <f>+AP22+AR22</f>
        <v>1624525.4600000004</v>
      </c>
      <c r="AU22" s="5761">
        <f>+AU12</f>
        <v>207657.99609174186</v>
      </c>
      <c r="AV22" s="729">
        <v>141082.89999999997</v>
      </c>
      <c r="AW22" s="5747">
        <f>+AW12</f>
        <v>2388529.6603331994</v>
      </c>
      <c r="AX22" s="43">
        <f>+AT22+AV22</f>
        <v>1765608.3600000003</v>
      </c>
      <c r="AY22" s="5761">
        <f>+AY12</f>
        <v>230952.64004168223</v>
      </c>
      <c r="AZ22" s="729">
        <v>218617.29999999993</v>
      </c>
      <c r="BA22" s="5749">
        <f>+BA12</f>
        <v>665450.7300009639</v>
      </c>
      <c r="BB22" s="73">
        <f>+AR22+AV22+AZ22</f>
        <v>557510.19999999995</v>
      </c>
      <c r="BC22" s="5752">
        <f>+BC12</f>
        <v>1340682.8333093445</v>
      </c>
      <c r="BD22" s="640">
        <f t="shared" ref="BD22:BD23" si="49">AN22+BB22</f>
        <v>926468.89999999991</v>
      </c>
      <c r="BE22" s="5747">
        <f>+BE12</f>
        <v>2619482.3003748818</v>
      </c>
      <c r="BF22" s="43">
        <f>+AX22+AZ22</f>
        <v>1984225.6600000001</v>
      </c>
      <c r="BG22" s="5778">
        <v>2409999.5406616796</v>
      </c>
      <c r="BH22" s="1948">
        <v>1898390.98</v>
      </c>
      <c r="BI22" s="5778">
        <v>2525000.0144466418</v>
      </c>
      <c r="BJ22" s="1948">
        <v>1848504.2699999998</v>
      </c>
      <c r="BK22" s="5778">
        <v>2410000.013871755</v>
      </c>
      <c r="BL22" s="1948">
        <v>1959110.71</v>
      </c>
      <c r="BM22" s="5781">
        <v>2369500.1509075612</v>
      </c>
      <c r="BN22" s="1912">
        <v>1882591.37</v>
      </c>
      <c r="BO22" s="5784">
        <v>2234474.8024697341</v>
      </c>
      <c r="BP22" s="1912">
        <v>1557181.9489999996</v>
      </c>
      <c r="BQ22" s="5784">
        <f>+BQ12</f>
        <v>2406999.7409326425</v>
      </c>
      <c r="BR22" s="1912">
        <v>1655527.3639999998</v>
      </c>
      <c r="BS22" s="2534"/>
      <c r="BT22" s="2534"/>
      <c r="BU22" s="2534"/>
      <c r="BV22" s="2534"/>
      <c r="BW22" s="2534"/>
    </row>
    <row r="23" spans="2:75" ht="15" customHeight="1" thickBot="1" x14ac:dyDescent="0.3">
      <c r="B23" s="5318" t="s">
        <v>23</v>
      </c>
      <c r="C23" s="5317" t="s">
        <v>354</v>
      </c>
      <c r="D23" s="5737"/>
      <c r="E23" s="5739"/>
      <c r="F23" s="5328">
        <v>34409.9</v>
      </c>
      <c r="G23" s="5739"/>
      <c r="H23" s="5328">
        <v>42014.51</v>
      </c>
      <c r="I23" s="5748"/>
      <c r="J23" s="39">
        <f>+F23+H23</f>
        <v>76424.41</v>
      </c>
      <c r="K23" s="5739"/>
      <c r="L23" s="5328">
        <v>33422.350000000006</v>
      </c>
      <c r="M23" s="5756"/>
      <c r="N23" s="68">
        <f>+F23+H23+L23</f>
        <v>109846.76000000001</v>
      </c>
      <c r="O23" s="5739"/>
      <c r="P23" s="5328">
        <v>51153.710000000021</v>
      </c>
      <c r="Q23" s="5748"/>
      <c r="R23" s="39">
        <f>+N23+P23</f>
        <v>161000.47000000003</v>
      </c>
      <c r="S23" s="5739"/>
      <c r="T23" s="5328">
        <v>47189.729999999996</v>
      </c>
      <c r="U23" s="5748"/>
      <c r="V23" s="39">
        <f>+R23+T23</f>
        <v>208190.2</v>
      </c>
      <c r="W23" s="5739"/>
      <c r="X23" s="5328">
        <v>43122.55000000001</v>
      </c>
      <c r="Y23" s="5750"/>
      <c r="Z23" s="69">
        <f>+P23+T23+X23</f>
        <v>141465.99000000002</v>
      </c>
      <c r="AA23" s="5753"/>
      <c r="AB23" s="640">
        <f>+N23+Z23</f>
        <v>251312.75000000003</v>
      </c>
      <c r="AC23" s="5762"/>
      <c r="AD23" s="521">
        <v>31352.579999999994</v>
      </c>
      <c r="AE23" s="5748"/>
      <c r="AF23" s="39">
        <f>+AB23+AD23</f>
        <v>282665.33</v>
      </c>
      <c r="AG23" s="5762"/>
      <c r="AH23" s="521">
        <v>11318.370000000004</v>
      </c>
      <c r="AI23" s="5748"/>
      <c r="AJ23" s="39">
        <f>+AF23+AH23</f>
        <v>293983.7</v>
      </c>
      <c r="AK23" s="5762"/>
      <c r="AL23" s="521">
        <v>40121.519999999997</v>
      </c>
      <c r="AM23" s="5750"/>
      <c r="AN23" s="69">
        <f>+AD23+AH23+AL23</f>
        <v>82792.47</v>
      </c>
      <c r="AO23" s="5748"/>
      <c r="AP23" s="437">
        <f t="shared" si="48"/>
        <v>334105.22000000003</v>
      </c>
      <c r="AQ23" s="5762"/>
      <c r="AR23" s="521">
        <v>41165.900000000009</v>
      </c>
      <c r="AS23" s="5748"/>
      <c r="AT23" s="39">
        <f>+AP23+AR23</f>
        <v>375271.12000000005</v>
      </c>
      <c r="AU23" s="5762"/>
      <c r="AV23" s="521">
        <v>47657.42000000002</v>
      </c>
      <c r="AW23" s="5748"/>
      <c r="AX23" s="39">
        <f>+AT23+AV23</f>
        <v>422928.5400000001</v>
      </c>
      <c r="AY23" s="5762"/>
      <c r="AZ23" s="521">
        <v>47518.8</v>
      </c>
      <c r="BA23" s="5750"/>
      <c r="BB23" s="69">
        <f>+AR23+AV23+AZ23</f>
        <v>136342.12000000005</v>
      </c>
      <c r="BC23" s="5753"/>
      <c r="BD23" s="640">
        <f t="shared" si="49"/>
        <v>219134.59000000005</v>
      </c>
      <c r="BE23" s="5748"/>
      <c r="BF23" s="39">
        <f>+AX23+AZ23</f>
        <v>470447.34000000008</v>
      </c>
      <c r="BG23" s="5779"/>
      <c r="BH23" s="1909">
        <v>452352.24000000011</v>
      </c>
      <c r="BI23" s="5779"/>
      <c r="BJ23" s="1909">
        <v>516386.89</v>
      </c>
      <c r="BK23" s="5779"/>
      <c r="BL23" s="1909">
        <v>338946.25000000006</v>
      </c>
      <c r="BM23" s="5782"/>
      <c r="BN23" s="1913">
        <v>295664.13</v>
      </c>
      <c r="BO23" s="5785"/>
      <c r="BP23" s="1913">
        <v>320472.90000000002</v>
      </c>
      <c r="BQ23" s="5785"/>
      <c r="BR23" s="1913">
        <v>394405.53999999992</v>
      </c>
      <c r="BS23" s="2534"/>
      <c r="BT23" s="2534"/>
      <c r="BU23" s="2534"/>
      <c r="BV23" s="2534"/>
      <c r="BW23" s="2534"/>
    </row>
    <row r="24" spans="2:75" ht="15" customHeight="1" thickBot="1" x14ac:dyDescent="0.3">
      <c r="B24" s="1930" t="s">
        <v>2</v>
      </c>
      <c r="C24" s="495" t="s">
        <v>354</v>
      </c>
      <c r="D24" s="5737"/>
      <c r="E24" s="5739"/>
      <c r="F24" s="775">
        <f>SUM(F22:F23)</f>
        <v>175890.99999999997</v>
      </c>
      <c r="G24" s="5739"/>
      <c r="H24" s="775">
        <f>SUM(H22:H23)</f>
        <v>217466.03</v>
      </c>
      <c r="I24" s="5748"/>
      <c r="J24" s="41">
        <f>SUM(J22:J23)</f>
        <v>393357.03</v>
      </c>
      <c r="K24" s="5739"/>
      <c r="L24" s="775">
        <f>SUM(L22:L23)</f>
        <v>218504.39</v>
      </c>
      <c r="M24" s="5757"/>
      <c r="N24" s="1494">
        <f>SUM(N22:N23)</f>
        <v>611861.42000000004</v>
      </c>
      <c r="O24" s="5739"/>
      <c r="P24" s="775">
        <f>SUM(P22:P23)</f>
        <v>243623.83000000005</v>
      </c>
      <c r="Q24" s="5748"/>
      <c r="R24" s="41">
        <f>SUM(R22:R23)</f>
        <v>855485.25</v>
      </c>
      <c r="S24" s="5739"/>
      <c r="T24" s="775">
        <f>SUM(T22:T23)</f>
        <v>246318.65000000002</v>
      </c>
      <c r="U24" s="5748"/>
      <c r="V24" s="41">
        <f>SUM(V22:V23)</f>
        <v>1101803.9000000001</v>
      </c>
      <c r="W24" s="5739"/>
      <c r="X24" s="775">
        <f>SUM(X22:X23)</f>
        <v>207265.61000000004</v>
      </c>
      <c r="Y24" s="5750"/>
      <c r="Z24" s="67">
        <f>SUM(Z22:Z23)</f>
        <v>697208.09000000008</v>
      </c>
      <c r="AA24" s="5753"/>
      <c r="AB24" s="460">
        <f>SUM(AB22:AB23)</f>
        <v>1309069.5100000002</v>
      </c>
      <c r="AC24" s="5762"/>
      <c r="AD24" s="92">
        <f>SUM(AD22:AD23)</f>
        <v>179510.63999999998</v>
      </c>
      <c r="AE24" s="5748"/>
      <c r="AF24" s="41">
        <f>SUM(AF22:AF23)</f>
        <v>1488580.1500000004</v>
      </c>
      <c r="AG24" s="5762"/>
      <c r="AH24" s="92">
        <f>SUM(AH22:AH23)</f>
        <v>74122.210000000006</v>
      </c>
      <c r="AI24" s="5748"/>
      <c r="AJ24" s="41">
        <f>SUM(AJ22:AJ23)</f>
        <v>1562702.3600000003</v>
      </c>
      <c r="AK24" s="5762"/>
      <c r="AL24" s="92">
        <f>SUM(AL22:AL23)</f>
        <v>198118.32</v>
      </c>
      <c r="AM24" s="5750"/>
      <c r="AN24" s="67">
        <f>SUM(AN22:AN23)</f>
        <v>451751.17000000004</v>
      </c>
      <c r="AO24" s="5748"/>
      <c r="AP24" s="41">
        <f>SUM(AP22:AP23)</f>
        <v>1760820.6800000004</v>
      </c>
      <c r="AQ24" s="5762"/>
      <c r="AR24" s="92">
        <f>SUM(AR22:AR23)</f>
        <v>238975.90000000002</v>
      </c>
      <c r="AS24" s="5748"/>
      <c r="AT24" s="41">
        <f>SUM(AT22:AT23)</f>
        <v>1999796.5800000005</v>
      </c>
      <c r="AU24" s="5762"/>
      <c r="AV24" s="92">
        <f>SUM(AV22:AV23)</f>
        <v>188740.31999999998</v>
      </c>
      <c r="AW24" s="5748"/>
      <c r="AX24" s="41">
        <f>SUM(AX22:AX23)</f>
        <v>2188536.9000000004</v>
      </c>
      <c r="AY24" s="5762"/>
      <c r="AZ24" s="92">
        <f>SUM(AZ22:AZ23)</f>
        <v>266136.09999999992</v>
      </c>
      <c r="BA24" s="5750"/>
      <c r="BB24" s="67">
        <f>SUM(BB22:BB23)</f>
        <v>693852.32000000007</v>
      </c>
      <c r="BC24" s="5753"/>
      <c r="BD24" s="460">
        <f>SUM(BD22:BD23)</f>
        <v>1145603.49</v>
      </c>
      <c r="BE24" s="5748"/>
      <c r="BF24" s="41">
        <f>SUM(BF22:BF23)</f>
        <v>2454673</v>
      </c>
      <c r="BG24" s="5780"/>
      <c r="BH24" s="1945">
        <v>2350743.2200000002</v>
      </c>
      <c r="BI24" s="5780"/>
      <c r="BJ24" s="1945">
        <v>2364891.1599999997</v>
      </c>
      <c r="BK24" s="5780"/>
      <c r="BL24" s="1945">
        <v>2298056.96</v>
      </c>
      <c r="BM24" s="5785"/>
      <c r="BN24" s="1914">
        <f>SUM(BN22:BN23)</f>
        <v>2178255.5</v>
      </c>
      <c r="BO24" s="5785"/>
      <c r="BP24" s="1914">
        <v>1877654.8489999995</v>
      </c>
      <c r="BQ24" s="5785"/>
      <c r="BR24" s="1914">
        <f>SUM(BR22:BR23)</f>
        <v>2049932.9039999996</v>
      </c>
      <c r="BS24" s="2534"/>
      <c r="BT24" s="2534"/>
      <c r="BU24" s="2534"/>
      <c r="BV24" s="2534"/>
      <c r="BW24" s="2534"/>
    </row>
    <row r="25" spans="2:75" ht="15" customHeight="1" thickBot="1" x14ac:dyDescent="0.3">
      <c r="B25" s="1929" t="s">
        <v>656</v>
      </c>
      <c r="C25" s="495" t="s">
        <v>49</v>
      </c>
      <c r="D25" s="1938"/>
      <c r="E25" s="1938"/>
      <c r="F25" s="5336">
        <f>+F23/F24*100</f>
        <v>19.563195388052833</v>
      </c>
      <c r="G25" s="1938"/>
      <c r="H25" s="5336">
        <f>+H23/H24*100</f>
        <v>19.320033570300613</v>
      </c>
      <c r="I25" s="5742"/>
      <c r="J25" s="1921">
        <f>+J23/J24*100</f>
        <v>19.42876424504222</v>
      </c>
      <c r="K25" s="1938"/>
      <c r="L25" s="5336">
        <f>+L23/L24*100</f>
        <v>15.295962703541107</v>
      </c>
      <c r="M25" s="1943"/>
      <c r="N25" s="1939">
        <f>+N23/N24*100</f>
        <v>17.952882206562396</v>
      </c>
      <c r="O25" s="1938"/>
      <c r="P25" s="5336">
        <f>+P23/P24*100</f>
        <v>20.997005916867824</v>
      </c>
      <c r="Q25" s="5742"/>
      <c r="R25" s="1921">
        <f>+R23/R24*100</f>
        <v>18.819783275047701</v>
      </c>
      <c r="S25" s="1938"/>
      <c r="T25" s="5336">
        <f>+T23/T24*100</f>
        <v>19.158001231331852</v>
      </c>
      <c r="U25" s="5742"/>
      <c r="V25" s="1921">
        <f>+V23/V24*100</f>
        <v>18.895395088000686</v>
      </c>
      <c r="W25" s="1938"/>
      <c r="X25" s="5336">
        <f>+X23/X24*100</f>
        <v>20.805453446908054</v>
      </c>
      <c r="Y25" s="5751"/>
      <c r="Z25" s="71">
        <f>+Z23/Z24*100</f>
        <v>20.290354060578959</v>
      </c>
      <c r="AA25" s="5754"/>
      <c r="AB25" s="461">
        <f>+AB23/AB24*100</f>
        <v>19.19781555373633</v>
      </c>
      <c r="AC25" s="1938"/>
      <c r="AD25" s="1794">
        <f>+AD23/AD24*100</f>
        <v>17.465583098584013</v>
      </c>
      <c r="AE25" s="5742"/>
      <c r="AF25" s="1921">
        <f>+AF23/AF24*100</f>
        <v>18.988922430545642</v>
      </c>
      <c r="AG25" s="1938"/>
      <c r="AH25" s="1794">
        <f>+AH23/AH24*100</f>
        <v>15.269876599739812</v>
      </c>
      <c r="AI25" s="5742"/>
      <c r="AJ25" s="1921">
        <f>+AJ23/AJ24*100</f>
        <v>18.812520382960191</v>
      </c>
      <c r="AK25" s="1938"/>
      <c r="AL25" s="1794">
        <f>+AL23/AL24*100</f>
        <v>20.251292258080927</v>
      </c>
      <c r="AM25" s="5751"/>
      <c r="AN25" s="71">
        <f>+AN23/AN24*100</f>
        <v>18.327007321309203</v>
      </c>
      <c r="AO25" s="5742"/>
      <c r="AP25" s="1921">
        <f>+AP23/AP24*100</f>
        <v>18.974403458278328</v>
      </c>
      <c r="AQ25" s="1938"/>
      <c r="AR25" s="1794">
        <f>+AR23/AR24*100</f>
        <v>17.225962952749629</v>
      </c>
      <c r="AS25" s="5742"/>
      <c r="AT25" s="1921">
        <f>+AT23/AT24*100</f>
        <v>18.765464635408065</v>
      </c>
      <c r="AU25" s="1938"/>
      <c r="AV25" s="1794">
        <f>+AV23/AV24*100</f>
        <v>25.250259192100565</v>
      </c>
      <c r="AW25" s="5742"/>
      <c r="AX25" s="1921">
        <f>+AX23/AX24*100</f>
        <v>19.324715978058219</v>
      </c>
      <c r="AY25" s="1938"/>
      <c r="AZ25" s="1794">
        <f>+AZ23/AZ24*100</f>
        <v>17.855074903404695</v>
      </c>
      <c r="BA25" s="5751"/>
      <c r="BB25" s="71">
        <f>+BB23/BB24*100</f>
        <v>19.650020050376142</v>
      </c>
      <c r="BC25" s="5754"/>
      <c r="BD25" s="461">
        <f>+BD23/BD24*100</f>
        <v>19.128310267281051</v>
      </c>
      <c r="BE25" s="5742"/>
      <c r="BF25" s="1921">
        <f>+BF23/BF24*100</f>
        <v>19.165377221324391</v>
      </c>
      <c r="BG25" s="1940"/>
      <c r="BH25" s="1942">
        <v>19.24294564167668</v>
      </c>
      <c r="BI25" s="1940"/>
      <c r="BJ25" s="1942">
        <v>21.835545700124317</v>
      </c>
      <c r="BK25" s="1940"/>
      <c r="BL25" s="1942">
        <v>14.749253647742485</v>
      </c>
      <c r="BM25" s="5783"/>
      <c r="BN25" s="1915">
        <v>13.573437879389068</v>
      </c>
      <c r="BO25" s="5786"/>
      <c r="BP25" s="1941">
        <f>+BP23/BP24*100</f>
        <v>17.06772148090355</v>
      </c>
      <c r="BQ25" s="5786"/>
      <c r="BR25" s="1941">
        <f>+BR23/BR24*100</f>
        <v>19.239924352177724</v>
      </c>
      <c r="BS25" s="2534"/>
      <c r="BT25" s="2534"/>
      <c r="BU25" s="2534"/>
      <c r="BV25" s="2534"/>
      <c r="BW25" s="2534"/>
    </row>
    <row r="26" spans="2:75" ht="13.9" x14ac:dyDescent="0.25">
      <c r="B26" s="1756" t="s">
        <v>635</v>
      </c>
      <c r="C26" s="16" t="s">
        <v>354</v>
      </c>
      <c r="D26" s="1935">
        <v>14270</v>
      </c>
      <c r="E26" s="5324">
        <f>+'Maj Production Summ'!E26</f>
        <v>810</v>
      </c>
      <c r="F26" s="5328">
        <v>3593.88</v>
      </c>
      <c r="G26" s="5324">
        <f>+'Maj Production Summ'!G26</f>
        <v>810</v>
      </c>
      <c r="H26" s="5328">
        <v>2497.5899999999997</v>
      </c>
      <c r="I26" s="718">
        <f t="shared" ref="I26:J27" si="50">+E26+G26</f>
        <v>1620</v>
      </c>
      <c r="J26" s="62">
        <f t="shared" si="50"/>
        <v>6091.4699999999993</v>
      </c>
      <c r="K26" s="5324">
        <f>+'Maj Production Summ'!K26</f>
        <v>810</v>
      </c>
      <c r="L26" s="5328">
        <v>996.79</v>
      </c>
      <c r="M26" s="456">
        <f t="shared" ref="M26:N27" si="51">+E26+G26+K26</f>
        <v>2430</v>
      </c>
      <c r="N26" s="456">
        <f t="shared" si="51"/>
        <v>7088.2599999999993</v>
      </c>
      <c r="O26" s="5324">
        <f>+'Maj Production Summ'!O26</f>
        <v>810</v>
      </c>
      <c r="P26" s="5328">
        <v>900.29000000000019</v>
      </c>
      <c r="Q26" s="718">
        <f t="shared" ref="Q26:Q27" si="52">+M26+O26</f>
        <v>3240</v>
      </c>
      <c r="R26" s="62">
        <f t="shared" ref="R26:R27" si="53">+N26+P26</f>
        <v>7988.5499999999993</v>
      </c>
      <c r="S26" s="5324">
        <f>+'Maj Production Summ'!S26</f>
        <v>810</v>
      </c>
      <c r="T26" s="5328">
        <v>98.82</v>
      </c>
      <c r="U26" s="718">
        <f t="shared" ref="U26:U27" si="54">+Q26+S26</f>
        <v>4050</v>
      </c>
      <c r="V26" s="62">
        <f t="shared" ref="V26:V27" si="55">+R26+T26</f>
        <v>8087.369999999999</v>
      </c>
      <c r="W26" s="5324">
        <f>+'Maj Production Summ'!W26</f>
        <v>5360</v>
      </c>
      <c r="X26" s="5328">
        <v>199.97</v>
      </c>
      <c r="Y26" s="1123">
        <f t="shared" ref="Y26:Z27" si="56">+O26+S26+W26</f>
        <v>6980</v>
      </c>
      <c r="Z26" s="84">
        <f t="shared" si="56"/>
        <v>1199.0800000000002</v>
      </c>
      <c r="AA26" s="796">
        <f t="shared" ref="AA26:AB27" si="57">+M26+Y26</f>
        <v>9410</v>
      </c>
      <c r="AB26" s="796">
        <f t="shared" si="57"/>
        <v>8287.34</v>
      </c>
      <c r="AC26" s="1122">
        <f>+'Maj Production Summ'!AC26</f>
        <v>342</v>
      </c>
      <c r="AD26" s="136">
        <v>748.03</v>
      </c>
      <c r="AE26" s="718">
        <f t="shared" ref="AE26:AE27" si="58">+AA26+AC26</f>
        <v>9752</v>
      </c>
      <c r="AF26" s="62">
        <f t="shared" ref="AF26:AF27" si="59">+AB26+AD26</f>
        <v>9035.3700000000008</v>
      </c>
      <c r="AG26" s="1122">
        <f>+'Maj Production Summ'!AG26</f>
        <v>342</v>
      </c>
      <c r="AH26" s="136">
        <v>298.96999999999997</v>
      </c>
      <c r="AI26" s="718">
        <f t="shared" ref="AI26:AI27" si="60">+AE26+AG26</f>
        <v>10094</v>
      </c>
      <c r="AJ26" s="62">
        <f t="shared" ref="AJ26:AJ27" si="61">+AF26+AH26</f>
        <v>9334.34</v>
      </c>
      <c r="AK26" s="1122">
        <f>+'Maj Production Summ'!AK26</f>
        <v>342</v>
      </c>
      <c r="AL26" s="136">
        <v>499.24</v>
      </c>
      <c r="AM26" s="1123">
        <f t="shared" ref="AM26:AM27" si="62">+AC26+AG26+AK26</f>
        <v>1026</v>
      </c>
      <c r="AN26" s="84">
        <f t="shared" ref="AN26:AN27" si="63">+AD26+AH26+AL26</f>
        <v>1546.24</v>
      </c>
      <c r="AO26" s="437">
        <f t="shared" ref="AO26:AO27" si="64">AI26+AK26</f>
        <v>10436</v>
      </c>
      <c r="AP26" s="437">
        <f t="shared" ref="AP26:AP28" si="65">AJ26+AL26</f>
        <v>9833.58</v>
      </c>
      <c r="AQ26" s="1122">
        <f>+'Maj Production Summ'!AQ26</f>
        <v>342</v>
      </c>
      <c r="AR26" s="136">
        <v>1595.84</v>
      </c>
      <c r="AS26" s="718">
        <f t="shared" ref="AS26:AS27" si="66">+AO26+AQ26</f>
        <v>10778</v>
      </c>
      <c r="AT26" s="62">
        <f t="shared" ref="AT26:AT27" si="67">+AP26+AR26</f>
        <v>11429.42</v>
      </c>
      <c r="AU26" s="1122">
        <f>+'Maj Production Summ'!AU26</f>
        <v>342</v>
      </c>
      <c r="AV26" s="136">
        <v>249.07</v>
      </c>
      <c r="AW26" s="718">
        <f t="shared" ref="AW26:AW27" si="68">+AS26+AU26</f>
        <v>11120</v>
      </c>
      <c r="AX26" s="62">
        <f t="shared" ref="AX26:AX27" si="69">+AT26+AV26</f>
        <v>11678.49</v>
      </c>
      <c r="AY26" s="1122">
        <f>+'Maj Production Summ'!AY26</f>
        <v>342</v>
      </c>
      <c r="AZ26" s="136">
        <v>1297.1300000000001</v>
      </c>
      <c r="BA26" s="1123">
        <f t="shared" ref="BA26:BA27" si="70">+AQ26+AU26+AY26</f>
        <v>1026</v>
      </c>
      <c r="BB26" s="84">
        <f t="shared" ref="BB26:BB27" si="71">+AR26+AV26+AZ26</f>
        <v>3142.04</v>
      </c>
      <c r="BC26" s="640">
        <f t="shared" ref="BC26:BD28" si="72">AM26+BA26</f>
        <v>2052</v>
      </c>
      <c r="BD26" s="640">
        <f t="shared" ref="BD26:BD27" si="73">AN26+BB26</f>
        <v>4688.28</v>
      </c>
      <c r="BE26" s="718">
        <f t="shared" ref="BE26:BE27" si="74">+AW26+AY26</f>
        <v>11462</v>
      </c>
      <c r="BF26" s="62">
        <f t="shared" ref="BF26:BF27" si="75">+AX26+AZ26</f>
        <v>12975.619999999999</v>
      </c>
      <c r="BG26" s="1195">
        <v>9365</v>
      </c>
      <c r="BH26" s="1916">
        <v>8679.7900000000009</v>
      </c>
      <c r="BI26" s="1195">
        <v>20742.20366598777</v>
      </c>
      <c r="BJ26" s="1916">
        <v>7537.0999999999985</v>
      </c>
      <c r="BK26" s="1195">
        <v>16929.735234215885</v>
      </c>
      <c r="BL26" s="1916">
        <v>8801.7400000000016</v>
      </c>
      <c r="BM26" s="1946">
        <v>19251.63543788188</v>
      </c>
      <c r="BN26" s="1913">
        <v>20488.86</v>
      </c>
      <c r="BO26" s="1946">
        <v>20754.644854293481</v>
      </c>
      <c r="BP26" s="1913">
        <v>80002.179999999993</v>
      </c>
      <c r="BQ26" s="1946">
        <v>29958.27154308611</v>
      </c>
      <c r="BR26" s="1913">
        <v>124050.80000000006</v>
      </c>
      <c r="BS26" s="2534"/>
      <c r="BT26" s="2534"/>
      <c r="BU26" s="2534"/>
      <c r="BV26" s="2534"/>
      <c r="BW26" s="2534"/>
    </row>
    <row r="27" spans="2:75" ht="15" customHeight="1" thickBot="1" x14ac:dyDescent="0.3">
      <c r="B27" s="5319" t="s">
        <v>1352</v>
      </c>
      <c r="C27" s="5310" t="s">
        <v>354</v>
      </c>
      <c r="D27" s="5311">
        <f>+'Maj Production Summ'!D27</f>
        <v>3541.35</v>
      </c>
      <c r="E27" s="5325">
        <f>+'Maj Production Summ'!E27</f>
        <v>273.99599999999998</v>
      </c>
      <c r="F27" s="5328">
        <v>999.31</v>
      </c>
      <c r="G27" s="5325">
        <f>+'Maj Production Summ'!G27</f>
        <v>279.98</v>
      </c>
      <c r="H27" s="5328">
        <v>0</v>
      </c>
      <c r="I27" s="61">
        <f t="shared" si="50"/>
        <v>553.976</v>
      </c>
      <c r="J27" s="39">
        <f t="shared" si="50"/>
        <v>999.31</v>
      </c>
      <c r="K27" s="5325">
        <f>+'Maj Production Summ'!K27</f>
        <v>273.99599999999998</v>
      </c>
      <c r="L27" s="5328">
        <v>0</v>
      </c>
      <c r="M27" s="68">
        <f t="shared" si="51"/>
        <v>827.97199999999998</v>
      </c>
      <c r="N27" s="68">
        <f t="shared" si="51"/>
        <v>999.31</v>
      </c>
      <c r="O27" s="5325">
        <f>+'Maj Production Summ'!O27</f>
        <v>276.24</v>
      </c>
      <c r="P27" s="5328">
        <v>996.4</v>
      </c>
      <c r="Q27" s="61">
        <f t="shared" si="52"/>
        <v>1104.212</v>
      </c>
      <c r="R27" s="39">
        <f t="shared" si="53"/>
        <v>1995.71</v>
      </c>
      <c r="S27" s="5325">
        <f>+'Maj Production Summ'!S27</f>
        <v>276.24</v>
      </c>
      <c r="T27" s="5328">
        <v>496.32</v>
      </c>
      <c r="U27" s="61">
        <f t="shared" si="54"/>
        <v>1380.452</v>
      </c>
      <c r="V27" s="39">
        <f t="shared" si="55"/>
        <v>2492.0300000000002</v>
      </c>
      <c r="W27" s="5325">
        <f>+'Maj Production Summ'!W27</f>
        <v>498.97</v>
      </c>
      <c r="X27" s="5328">
        <v>335.17</v>
      </c>
      <c r="Y27" s="72">
        <f t="shared" si="56"/>
        <v>1051.45</v>
      </c>
      <c r="Z27" s="69">
        <f t="shared" si="56"/>
        <v>1827.89</v>
      </c>
      <c r="AA27" s="640">
        <f t="shared" si="57"/>
        <v>1879.422</v>
      </c>
      <c r="AB27" s="640">
        <f t="shared" si="57"/>
        <v>2827.2</v>
      </c>
      <c r="AC27" s="155">
        <f>+'Maj Production Summ'!AC27</f>
        <v>226.1</v>
      </c>
      <c r="AD27" s="136">
        <v>0</v>
      </c>
      <c r="AE27" s="61">
        <f t="shared" si="58"/>
        <v>2105.5219999999999</v>
      </c>
      <c r="AF27" s="39">
        <f t="shared" si="59"/>
        <v>2827.2</v>
      </c>
      <c r="AG27" s="155">
        <f>+'Maj Production Summ'!AG27</f>
        <v>220.02</v>
      </c>
      <c r="AH27" s="136">
        <v>198.57000000000002</v>
      </c>
      <c r="AI27" s="61">
        <f t="shared" si="60"/>
        <v>2325.5419999999999</v>
      </c>
      <c r="AJ27" s="39">
        <f t="shared" si="61"/>
        <v>3025.77</v>
      </c>
      <c r="AK27" s="155">
        <f>+'Maj Production Summ'!AK27</f>
        <v>226.1</v>
      </c>
      <c r="AL27" s="136">
        <v>298.70999999999998</v>
      </c>
      <c r="AM27" s="72">
        <f t="shared" si="62"/>
        <v>672.22</v>
      </c>
      <c r="AN27" s="69">
        <f t="shared" si="63"/>
        <v>497.28</v>
      </c>
      <c r="AO27" s="437">
        <f t="shared" si="64"/>
        <v>2551.6419999999998</v>
      </c>
      <c r="AP27" s="437">
        <f t="shared" si="65"/>
        <v>3324.48</v>
      </c>
      <c r="AQ27" s="155">
        <f>+'Maj Production Summ'!AQ27</f>
        <v>226.1</v>
      </c>
      <c r="AR27" s="136">
        <v>499.09</v>
      </c>
      <c r="AS27" s="61">
        <f t="shared" si="66"/>
        <v>2777.7419999999997</v>
      </c>
      <c r="AT27" s="39">
        <f t="shared" si="67"/>
        <v>3823.57</v>
      </c>
      <c r="AU27" s="155">
        <f>+'Maj Production Summ'!AU27</f>
        <v>207.1</v>
      </c>
      <c r="AV27" s="136">
        <v>0</v>
      </c>
      <c r="AW27" s="61">
        <f t="shared" si="68"/>
        <v>2984.8419999999996</v>
      </c>
      <c r="AX27" s="39">
        <f t="shared" si="69"/>
        <v>3823.57</v>
      </c>
      <c r="AY27" s="155">
        <f>+'Maj Production Summ'!AY27</f>
        <v>226.1</v>
      </c>
      <c r="AZ27" s="136">
        <v>998.41</v>
      </c>
      <c r="BA27" s="72">
        <f t="shared" si="70"/>
        <v>659.3</v>
      </c>
      <c r="BB27" s="69">
        <f t="shared" si="71"/>
        <v>1497.5</v>
      </c>
      <c r="BC27" s="640">
        <f t="shared" si="72"/>
        <v>1331.52</v>
      </c>
      <c r="BD27" s="640">
        <f t="shared" si="73"/>
        <v>1994.78</v>
      </c>
      <c r="BE27" s="61">
        <f t="shared" si="74"/>
        <v>3210.9419999999996</v>
      </c>
      <c r="BF27" s="39">
        <f t="shared" si="75"/>
        <v>4821.9800000000005</v>
      </c>
      <c r="BG27" s="1100">
        <v>2831.4999999999995</v>
      </c>
      <c r="BH27" s="1098">
        <v>5762.5199999999995</v>
      </c>
      <c r="BI27" s="1100">
        <v>2236.7519999999995</v>
      </c>
      <c r="BJ27" s="1098">
        <v>5991.8400000000011</v>
      </c>
      <c r="BK27" s="1100">
        <v>2057.5999999999995</v>
      </c>
      <c r="BL27" s="1098">
        <v>5429.83</v>
      </c>
      <c r="BM27" s="1100">
        <v>2163.56</v>
      </c>
      <c r="BN27" s="1099">
        <v>17862.580000000002</v>
      </c>
      <c r="BO27" s="1100">
        <v>6973.7102305913804</v>
      </c>
      <c r="BP27" s="1099">
        <v>29483.779999999995</v>
      </c>
      <c r="BQ27" s="1100">
        <v>8472.5250501001919</v>
      </c>
      <c r="BR27" s="1099">
        <v>59555.1</v>
      </c>
      <c r="BS27" s="2534"/>
      <c r="BT27" s="2534"/>
      <c r="BU27" s="2534"/>
      <c r="BV27" s="2534"/>
      <c r="BW27" s="2534"/>
    </row>
    <row r="28" spans="2:75" ht="15" customHeight="1" thickBot="1" x14ac:dyDescent="0.3">
      <c r="B28" s="1927" t="s">
        <v>352</v>
      </c>
      <c r="C28" s="15" t="s">
        <v>354</v>
      </c>
      <c r="D28" s="537">
        <f t="shared" ref="D28:AB28" si="76">SUM(D26:D27)</f>
        <v>17811.349999999999</v>
      </c>
      <c r="E28" s="5326">
        <f t="shared" si="76"/>
        <v>1083.9960000000001</v>
      </c>
      <c r="F28" s="775">
        <f t="shared" si="76"/>
        <v>4593.1900000000005</v>
      </c>
      <c r="G28" s="5326">
        <f t="shared" ref="G28:H28" si="77">SUM(G26:G27)</f>
        <v>1089.98</v>
      </c>
      <c r="H28" s="775">
        <f t="shared" si="77"/>
        <v>2497.5899999999997</v>
      </c>
      <c r="I28" s="726">
        <f t="shared" si="76"/>
        <v>2173.9760000000001</v>
      </c>
      <c r="J28" s="41">
        <f t="shared" si="76"/>
        <v>7090.7799999999988</v>
      </c>
      <c r="K28" s="5326">
        <f t="shared" ref="K28:L28" si="78">SUM(K26:K27)</f>
        <v>1083.9960000000001</v>
      </c>
      <c r="L28" s="775">
        <f t="shared" si="78"/>
        <v>996.79</v>
      </c>
      <c r="M28" s="727">
        <f t="shared" si="76"/>
        <v>3257.9719999999998</v>
      </c>
      <c r="N28" s="67">
        <f t="shared" si="76"/>
        <v>8087.57</v>
      </c>
      <c r="O28" s="5326">
        <f t="shared" ref="O28:P28" si="79">SUM(O26:O27)</f>
        <v>1086.24</v>
      </c>
      <c r="P28" s="775">
        <f t="shared" si="79"/>
        <v>1896.69</v>
      </c>
      <c r="Q28" s="726">
        <f t="shared" ref="Q28:T28" si="80">SUM(Q26:Q27)</f>
        <v>4344.2119999999995</v>
      </c>
      <c r="R28" s="41">
        <f t="shared" si="80"/>
        <v>9984.2599999999984</v>
      </c>
      <c r="S28" s="5326">
        <f t="shared" si="80"/>
        <v>1086.24</v>
      </c>
      <c r="T28" s="775">
        <f t="shared" si="80"/>
        <v>595.14</v>
      </c>
      <c r="U28" s="726">
        <f t="shared" ref="U28:X28" si="81">SUM(U26:U27)</f>
        <v>5430.4520000000002</v>
      </c>
      <c r="V28" s="41">
        <f t="shared" si="81"/>
        <v>10579.4</v>
      </c>
      <c r="W28" s="5326">
        <f t="shared" si="81"/>
        <v>5858.97</v>
      </c>
      <c r="X28" s="775">
        <f t="shared" si="81"/>
        <v>535.14</v>
      </c>
      <c r="Y28" s="354">
        <f t="shared" si="76"/>
        <v>8031.45</v>
      </c>
      <c r="Z28" s="67">
        <f t="shared" si="76"/>
        <v>3026.9700000000003</v>
      </c>
      <c r="AA28" s="728">
        <f t="shared" si="76"/>
        <v>11289.422</v>
      </c>
      <c r="AB28" s="460">
        <f t="shared" si="76"/>
        <v>11114.54</v>
      </c>
      <c r="AC28" s="537">
        <f t="shared" ref="AC28:AD28" si="82">SUM(AC26:AC27)</f>
        <v>568.1</v>
      </c>
      <c r="AD28" s="28">
        <f t="shared" si="82"/>
        <v>748.03</v>
      </c>
      <c r="AE28" s="726">
        <f t="shared" ref="AE28:AH28" si="83">SUM(AE26:AE27)</f>
        <v>11857.522000000001</v>
      </c>
      <c r="AF28" s="41">
        <f t="shared" si="83"/>
        <v>11862.57</v>
      </c>
      <c r="AG28" s="537">
        <f t="shared" si="83"/>
        <v>562.02</v>
      </c>
      <c r="AH28" s="28">
        <f t="shared" si="83"/>
        <v>497.53999999999996</v>
      </c>
      <c r="AI28" s="726">
        <f t="shared" ref="AI28:AL28" si="84">SUM(AI26:AI27)</f>
        <v>12419.541999999999</v>
      </c>
      <c r="AJ28" s="41">
        <f t="shared" si="84"/>
        <v>12360.11</v>
      </c>
      <c r="AK28" s="537">
        <f t="shared" si="84"/>
        <v>568.1</v>
      </c>
      <c r="AL28" s="28">
        <f t="shared" si="84"/>
        <v>797.95</v>
      </c>
      <c r="AM28" s="354">
        <f t="shared" ref="AM28:AN28" si="85">SUM(AM26:AM27)</f>
        <v>1698.22</v>
      </c>
      <c r="AN28" s="67">
        <f t="shared" si="85"/>
        <v>2043.52</v>
      </c>
      <c r="AO28" s="726">
        <f t="shared" ref="AO28" si="86">SUM(AO26:AO27)</f>
        <v>12987.642</v>
      </c>
      <c r="AP28" s="41">
        <f t="shared" si="65"/>
        <v>13158.060000000001</v>
      </c>
      <c r="AQ28" s="537">
        <f t="shared" ref="AQ28:AR28" si="87">SUM(AQ26:AQ27)</f>
        <v>568.1</v>
      </c>
      <c r="AR28" s="28">
        <f t="shared" si="87"/>
        <v>2094.9299999999998</v>
      </c>
      <c r="AS28" s="726">
        <f t="shared" ref="AS28:AV28" si="88">SUM(AS26:AS27)</f>
        <v>13555.742</v>
      </c>
      <c r="AT28" s="41">
        <f t="shared" si="88"/>
        <v>15252.99</v>
      </c>
      <c r="AU28" s="537">
        <f t="shared" si="88"/>
        <v>549.1</v>
      </c>
      <c r="AV28" s="28">
        <f t="shared" si="88"/>
        <v>249.07</v>
      </c>
      <c r="AW28" s="726">
        <f t="shared" ref="AW28:AZ28" si="89">SUM(AW26:AW27)</f>
        <v>14104.842000000001</v>
      </c>
      <c r="AX28" s="41">
        <f t="shared" si="89"/>
        <v>15502.06</v>
      </c>
      <c r="AY28" s="537">
        <f t="shared" si="89"/>
        <v>568.1</v>
      </c>
      <c r="AZ28" s="28">
        <f t="shared" si="89"/>
        <v>2295.54</v>
      </c>
      <c r="BA28" s="354">
        <f t="shared" ref="BA28:BB28" si="90">SUM(BA26:BA27)</f>
        <v>1685.3</v>
      </c>
      <c r="BB28" s="67">
        <f t="shared" si="90"/>
        <v>4639.54</v>
      </c>
      <c r="BC28" s="640">
        <f t="shared" si="72"/>
        <v>3383.52</v>
      </c>
      <c r="BD28" s="640">
        <f t="shared" si="72"/>
        <v>6683.0599999999995</v>
      </c>
      <c r="BE28" s="726">
        <f t="shared" ref="BE28:BF28" si="91">SUM(BE26:BE27)</f>
        <v>14672.941999999999</v>
      </c>
      <c r="BF28" s="41">
        <f t="shared" si="91"/>
        <v>17797.599999999999</v>
      </c>
      <c r="BG28" s="1096">
        <v>12196.5</v>
      </c>
      <c r="BH28" s="2428">
        <v>14442.310000000001</v>
      </c>
      <c r="BI28" s="1096">
        <v>22978.955665987771</v>
      </c>
      <c r="BJ28" s="2428">
        <v>13528.939999999999</v>
      </c>
      <c r="BK28" s="1096">
        <v>18987.335234215883</v>
      </c>
      <c r="BL28" s="2428">
        <v>14231.570000000002</v>
      </c>
      <c r="BM28" s="1096">
        <v>21415.195437881881</v>
      </c>
      <c r="BN28" s="1097">
        <v>38351.440000000002</v>
      </c>
      <c r="BO28" s="1096">
        <v>27728.355084884861</v>
      </c>
      <c r="BP28" s="1097">
        <v>109485.95999999999</v>
      </c>
      <c r="BQ28" s="1096">
        <f>SUM(BQ26:BQ27)</f>
        <v>38430.7965931863</v>
      </c>
      <c r="BR28" s="1097">
        <f>SUM(BR26:BR27)</f>
        <v>183605.90000000005</v>
      </c>
      <c r="BS28" s="2534"/>
      <c r="BT28" s="2534"/>
      <c r="BU28" s="2534"/>
      <c r="BV28" s="2534"/>
      <c r="BW28" s="2534"/>
    </row>
    <row r="29" spans="2:75" ht="15" customHeight="1" x14ac:dyDescent="0.25">
      <c r="B29" s="3762"/>
      <c r="D29" s="3388"/>
      <c r="I29" s="112"/>
      <c r="J29" s="45"/>
      <c r="O29" s="1274"/>
      <c r="BS29" s="2534"/>
      <c r="BT29" s="2534"/>
      <c r="BU29" s="2534"/>
      <c r="BV29" s="2534"/>
    </row>
    <row r="30" spans="2:75" ht="15" customHeight="1" x14ac:dyDescent="0.25">
      <c r="E30" s="3763"/>
      <c r="F30" s="3763"/>
      <c r="G30" s="3763"/>
      <c r="H30" s="3763"/>
      <c r="I30" s="3763"/>
      <c r="J30" s="3763"/>
      <c r="K30" s="3763"/>
      <c r="L30" s="3763"/>
      <c r="M30" s="3763"/>
      <c r="N30" s="3763"/>
      <c r="O30" s="3763"/>
      <c r="P30" s="3763"/>
      <c r="Q30" s="3763"/>
      <c r="R30" s="3763"/>
      <c r="S30" s="3763"/>
      <c r="T30" s="3763"/>
      <c r="U30" s="2534"/>
      <c r="V30" s="3763"/>
      <c r="W30" s="3763"/>
      <c r="X30" s="3763"/>
      <c r="Y30" s="3763"/>
      <c r="Z30" s="3763"/>
      <c r="AA30" s="3763"/>
      <c r="AB30" s="3763"/>
      <c r="AC30" s="3763"/>
      <c r="AD30" s="3763"/>
      <c r="AE30" s="3763"/>
      <c r="AF30" s="3763"/>
      <c r="AG30" s="3763"/>
      <c r="AH30" s="3763"/>
      <c r="AI30" s="3763"/>
      <c r="AJ30" s="3763"/>
      <c r="AK30" s="3763"/>
      <c r="AL30" s="3763"/>
      <c r="AM30" s="3763"/>
      <c r="AN30" s="3763"/>
      <c r="AO30" s="3763"/>
      <c r="AP30" s="3763"/>
      <c r="AQ30" s="3763"/>
      <c r="AR30" s="3763"/>
      <c r="AS30" s="3763"/>
      <c r="AT30" s="3763"/>
      <c r="AU30" s="3763"/>
      <c r="AV30" s="3763"/>
      <c r="BS30" s="2534"/>
      <c r="BT30" s="2534"/>
      <c r="BU30" s="2534"/>
      <c r="BV30" s="2534"/>
    </row>
    <row r="31" spans="2:75" ht="15" customHeight="1" x14ac:dyDescent="0.25">
      <c r="BS31" s="2534"/>
      <c r="BT31" s="2534"/>
      <c r="BU31" s="2534"/>
      <c r="BV31" s="2534"/>
    </row>
    <row r="32" spans="2:75" ht="15" customHeight="1" x14ac:dyDescent="0.25">
      <c r="BF32" s="2534"/>
      <c r="BG32" s="2534"/>
      <c r="BH32" s="2534"/>
      <c r="BI32" s="2534"/>
      <c r="BJ32" s="2534"/>
      <c r="BS32" s="2534"/>
      <c r="BT32" s="2534"/>
      <c r="BU32" s="2534"/>
      <c r="BV32" s="2534"/>
    </row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</sheetData>
  <mergeCells count="104"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</mergeCells>
  <printOptions horizontalCentered="1" verticalCentered="1"/>
  <pageMargins left="0" right="0" top="0" bottom="0" header="0" footer="0"/>
  <pageSetup scale="54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3" tint="0.39997558519241921"/>
    <pageSetUpPr fitToPage="1"/>
  </sheetPr>
  <dimension ref="A1:BU72"/>
  <sheetViews>
    <sheetView zoomScaleNormal="100" workbookViewId="0">
      <pane xSplit="4" topLeftCell="N1" activePane="topRight" state="frozen"/>
      <selection pane="topRight" activeCell="X10" sqref="X10"/>
    </sheetView>
  </sheetViews>
  <sheetFormatPr defaultRowHeight="15" x14ac:dyDescent="0.25"/>
  <cols>
    <col min="1" max="1" width="3.85546875" customWidth="1"/>
    <col min="2" max="2" width="42.7109375" bestFit="1" customWidth="1"/>
    <col min="3" max="3" width="18.5703125" bestFit="1" customWidth="1"/>
    <col min="4" max="4" width="11.28515625" bestFit="1" customWidth="1"/>
    <col min="5" max="6" width="7.140625" bestFit="1" customWidth="1"/>
    <col min="7" max="7" width="8.28515625" bestFit="1" customWidth="1"/>
    <col min="8" max="8" width="8.42578125" bestFit="1" customWidth="1"/>
    <col min="9" max="9" width="7.140625" hidden="1" customWidth="1"/>
    <col min="10" max="10" width="8.28515625" hidden="1" customWidth="1"/>
    <col min="11" max="11" width="8.28515625" bestFit="1" customWidth="1"/>
    <col min="12" max="12" width="8.42578125" bestFit="1" customWidth="1"/>
    <col min="13" max="13" width="8.28515625" bestFit="1" customWidth="1"/>
    <col min="14" max="14" width="8.28515625" customWidth="1"/>
    <col min="15" max="15" width="8.28515625" bestFit="1" customWidth="1"/>
    <col min="16" max="16" width="8.42578125" bestFit="1" customWidth="1"/>
    <col min="17" max="17" width="7.140625" hidden="1" customWidth="1"/>
    <col min="18" max="18" width="8.28515625" hidden="1" customWidth="1"/>
    <col min="19" max="19" width="7.140625" customWidth="1"/>
    <col min="20" max="20" width="8.42578125" bestFit="1" customWidth="1"/>
    <col min="21" max="21" width="7.140625" hidden="1" customWidth="1"/>
    <col min="22" max="22" width="8.28515625" hidden="1" customWidth="1"/>
    <col min="23" max="23" width="6.7109375" bestFit="1" customWidth="1"/>
    <col min="24" max="24" width="8.42578125" bestFit="1" customWidth="1"/>
    <col min="25" max="25" width="8.28515625" bestFit="1" customWidth="1"/>
    <col min="26" max="26" width="7.140625" customWidth="1"/>
    <col min="27" max="27" width="8" bestFit="1" customWidth="1"/>
    <col min="28" max="28" width="8.28515625" customWidth="1"/>
    <col min="29" max="30" width="7.140625" hidden="1" customWidth="1"/>
    <col min="31" max="31" width="8.140625" hidden="1" customWidth="1"/>
    <col min="32" max="32" width="8.28515625" hidden="1" customWidth="1"/>
    <col min="33" max="33" width="7.140625" hidden="1" customWidth="1"/>
    <col min="34" max="34" width="7" hidden="1" customWidth="1"/>
    <col min="35" max="35" width="8.140625" hidden="1" customWidth="1"/>
    <col min="36" max="37" width="8.28515625" hidden="1" customWidth="1"/>
    <col min="38" max="40" width="7.140625" hidden="1" customWidth="1"/>
    <col min="41" max="41" width="8.140625" hidden="1" customWidth="1"/>
    <col min="42" max="42" width="8.28515625" hidden="1" customWidth="1"/>
    <col min="43" max="44" width="7.140625" hidden="1" customWidth="1"/>
    <col min="45" max="45" width="8.140625" hidden="1" customWidth="1"/>
    <col min="46" max="46" width="8.28515625" hidden="1" customWidth="1"/>
    <col min="47" max="48" width="7.140625" hidden="1" customWidth="1"/>
    <col min="49" max="50" width="8.28515625" hidden="1" customWidth="1"/>
    <col min="51" max="54" width="7.140625" hidden="1" customWidth="1"/>
    <col min="55" max="57" width="8.140625" hidden="1" customWidth="1"/>
    <col min="58" max="59" width="8.28515625" hidden="1" customWidth="1"/>
    <col min="60" max="60" width="10.140625" customWidth="1"/>
    <col min="61" max="61" width="8.140625" hidden="1" customWidth="1"/>
    <col min="62" max="62" width="10" customWidth="1"/>
    <col min="63" max="63" width="8.140625" hidden="1" customWidth="1"/>
    <col min="64" max="64" width="10.85546875" customWidth="1"/>
    <col min="65" max="65" width="12.28515625" hidden="1" customWidth="1"/>
    <col min="66" max="66" width="8.140625" hidden="1" customWidth="1"/>
    <col min="67" max="67" width="8.5703125" hidden="1" customWidth="1"/>
    <col min="68" max="68" width="7.140625" hidden="1" customWidth="1"/>
    <col min="69" max="69" width="6.7109375" hidden="1" customWidth="1"/>
    <col min="70" max="70" width="6.5703125" hidden="1" customWidth="1"/>
    <col min="71" max="71" width="8.5703125" hidden="1" customWidth="1"/>
    <col min="72" max="72" width="11.85546875" customWidth="1"/>
    <col min="73" max="73" width="11.7109375" bestFit="1" customWidth="1"/>
    <col min="74" max="74" width="14.85546875" customWidth="1"/>
  </cols>
  <sheetData>
    <row r="1" spans="1:73" ht="22.9" x14ac:dyDescent="0.3">
      <c r="A1" s="93"/>
      <c r="B1" s="5820" t="s">
        <v>2195</v>
      </c>
      <c r="C1" s="5820"/>
      <c r="D1" s="5820"/>
      <c r="E1" s="5820"/>
      <c r="F1" s="5820"/>
      <c r="G1" s="5820"/>
      <c r="H1" s="5820"/>
      <c r="I1" s="5820"/>
      <c r="J1" s="5820"/>
      <c r="K1" s="5820"/>
      <c r="L1" s="5820"/>
      <c r="M1" s="5820"/>
      <c r="N1" s="5820"/>
      <c r="O1" s="5820"/>
      <c r="P1" s="5820"/>
      <c r="Q1" s="5820"/>
      <c r="R1" s="5820"/>
      <c r="S1" s="5820"/>
      <c r="T1" s="5820"/>
      <c r="U1" s="5820"/>
      <c r="V1" s="5820"/>
      <c r="W1" s="5820"/>
      <c r="X1" s="5820"/>
      <c r="Y1" s="5820"/>
      <c r="Z1" s="5820"/>
      <c r="AA1" s="5820"/>
      <c r="AB1" s="5820"/>
      <c r="AC1" s="5820"/>
      <c r="AD1" s="5820"/>
      <c r="AE1" s="5820"/>
      <c r="AF1" s="5820"/>
      <c r="AG1" s="5820"/>
      <c r="AH1" s="5820"/>
      <c r="AI1" s="5820"/>
      <c r="AJ1" s="5820"/>
      <c r="AK1" s="5820"/>
      <c r="AL1" s="5820"/>
      <c r="AM1" s="5820"/>
      <c r="AN1" s="5820"/>
      <c r="AO1" s="5820"/>
      <c r="AP1" s="5820"/>
      <c r="AQ1" s="5820"/>
      <c r="AR1" s="5820"/>
      <c r="AS1" s="5820"/>
      <c r="AT1" s="5820"/>
      <c r="AU1" s="5820"/>
      <c r="AV1" s="5820"/>
      <c r="AW1" s="5820"/>
      <c r="AX1" s="5820"/>
      <c r="AY1" s="5820"/>
      <c r="AZ1" s="5820"/>
      <c r="BA1" s="5820"/>
      <c r="BB1" s="5820"/>
      <c r="BC1" s="5820"/>
      <c r="BD1" s="5820"/>
      <c r="BE1" s="5820"/>
      <c r="BF1" s="5820"/>
      <c r="BG1" s="5820"/>
      <c r="BH1" s="5820"/>
      <c r="BI1" s="5820"/>
      <c r="BJ1" s="5820"/>
      <c r="BK1" s="5820"/>
      <c r="BL1" s="5820"/>
      <c r="BM1" s="5820"/>
      <c r="BN1" s="5820"/>
      <c r="BO1" s="5820"/>
      <c r="BP1" s="5820"/>
      <c r="BQ1" s="5820"/>
      <c r="BR1" s="5820"/>
      <c r="BS1" s="5820"/>
    </row>
    <row r="2" spans="1:73" ht="18.600000000000001" thickBot="1" x14ac:dyDescent="0.4">
      <c r="A2" s="93"/>
      <c r="B2" s="2222"/>
      <c r="C2" s="2601"/>
      <c r="D2" s="2554">
        <v>365</v>
      </c>
      <c r="E2" s="2554">
        <v>30</v>
      </c>
      <c r="F2" s="2554">
        <v>30</v>
      </c>
      <c r="G2" s="2554">
        <v>31</v>
      </c>
      <c r="H2" s="2554">
        <v>31</v>
      </c>
      <c r="I2" s="2554">
        <f>+E2+G2</f>
        <v>61</v>
      </c>
      <c r="J2" s="2554">
        <f>+F2+H2</f>
        <v>61</v>
      </c>
      <c r="K2" s="2555">
        <v>30</v>
      </c>
      <c r="L2" s="2555">
        <v>30</v>
      </c>
      <c r="M2" s="2556">
        <f>+I2+K2</f>
        <v>91</v>
      </c>
      <c r="N2" s="2556">
        <f>+J2+L2</f>
        <v>91</v>
      </c>
      <c r="O2" s="2555">
        <v>31</v>
      </c>
      <c r="P2" s="2554">
        <v>31</v>
      </c>
      <c r="Q2" s="2557">
        <f>+M2+O2</f>
        <v>122</v>
      </c>
      <c r="R2" s="2557">
        <f>+N2+P2</f>
        <v>122</v>
      </c>
      <c r="S2" s="2557">
        <v>31</v>
      </c>
      <c r="T2" s="2557">
        <v>31</v>
      </c>
      <c r="U2" s="2557">
        <f>+Q2+S2</f>
        <v>153</v>
      </c>
      <c r="V2" s="2557">
        <f>+R2+T2</f>
        <v>153</v>
      </c>
      <c r="W2" s="2557">
        <v>30</v>
      </c>
      <c r="X2" s="2557">
        <v>30</v>
      </c>
      <c r="Y2" s="2557">
        <f>+O2+S2+W2</f>
        <v>92</v>
      </c>
      <c r="Z2" s="2557">
        <f>+P2+T2+X2</f>
        <v>92</v>
      </c>
      <c r="AA2" s="2557">
        <f>+U2+W2</f>
        <v>183</v>
      </c>
      <c r="AB2" s="2557">
        <f>+V2+X2</f>
        <v>183</v>
      </c>
      <c r="AC2" s="2557">
        <v>31</v>
      </c>
      <c r="AD2" s="2557">
        <v>31</v>
      </c>
      <c r="AE2" s="2557">
        <f>+AA2+AC2</f>
        <v>214</v>
      </c>
      <c r="AF2" s="2557">
        <f>+AB2+AD2</f>
        <v>214</v>
      </c>
      <c r="AG2" s="2557">
        <v>30</v>
      </c>
      <c r="AH2" s="2557">
        <v>30</v>
      </c>
      <c r="AI2" s="2557">
        <f>+AE2+AG2</f>
        <v>244</v>
      </c>
      <c r="AJ2" s="2557">
        <f>+AF2+AH2</f>
        <v>244</v>
      </c>
      <c r="AK2" s="2557">
        <v>31</v>
      </c>
      <c r="AL2" s="2557">
        <v>31</v>
      </c>
      <c r="AM2" s="2557">
        <f>+AC2+AG2+AK2</f>
        <v>92</v>
      </c>
      <c r="AN2" s="2557">
        <f>+AD2+AH2+AL2</f>
        <v>92</v>
      </c>
      <c r="AO2" s="2557">
        <f>+AI2+AK2</f>
        <v>275</v>
      </c>
      <c r="AP2" s="2557">
        <f>+AJ2+AL2</f>
        <v>275</v>
      </c>
      <c r="AQ2" s="2557">
        <v>31</v>
      </c>
      <c r="AR2" s="2557">
        <v>31</v>
      </c>
      <c r="AS2" s="2557">
        <f>+AO2+AQ2</f>
        <v>306</v>
      </c>
      <c r="AT2" s="2557">
        <f>+AP2+AR2</f>
        <v>306</v>
      </c>
      <c r="AU2" s="2557">
        <v>28</v>
      </c>
      <c r="AV2" s="2557">
        <v>28</v>
      </c>
      <c r="AW2" s="2557">
        <f>+AS2+AU2</f>
        <v>334</v>
      </c>
      <c r="AX2" s="2557">
        <f>+AT2+AV2</f>
        <v>334</v>
      </c>
      <c r="AY2" s="2557">
        <v>31</v>
      </c>
      <c r="AZ2" s="2557">
        <v>31</v>
      </c>
      <c r="BA2" s="2557">
        <f>+AQ2+AU2+AY2</f>
        <v>90</v>
      </c>
      <c r="BB2" s="2557">
        <f>+AR2+AV2+AZ2</f>
        <v>90</v>
      </c>
      <c r="BC2" s="2557">
        <f>+AM2+BA2</f>
        <v>182</v>
      </c>
      <c r="BD2" s="2557">
        <f>+AN2+BB2</f>
        <v>182</v>
      </c>
      <c r="BE2" s="2557">
        <f>+AW2+AY2</f>
        <v>365</v>
      </c>
      <c r="BF2" s="2557">
        <f>+AX2+AZ2</f>
        <v>365</v>
      </c>
      <c r="BG2" s="2557"/>
      <c r="BH2" s="2557"/>
      <c r="BI2" s="2557"/>
      <c r="BJ2" s="2557"/>
      <c r="BK2" s="2557"/>
      <c r="BL2" s="2557"/>
      <c r="BM2" s="2557"/>
      <c r="BN2" s="2557"/>
      <c r="BO2" s="2557">
        <v>365</v>
      </c>
      <c r="BP2" s="2558">
        <v>365</v>
      </c>
      <c r="BQ2" s="148">
        <v>366</v>
      </c>
      <c r="BR2" s="148">
        <v>366</v>
      </c>
      <c r="BS2" s="148">
        <v>365</v>
      </c>
    </row>
    <row r="3" spans="1:73" ht="19.5" thickBot="1" x14ac:dyDescent="0.3">
      <c r="A3" s="93"/>
      <c r="B3" s="5809" t="s">
        <v>171</v>
      </c>
      <c r="C3" s="5811" t="s">
        <v>172</v>
      </c>
      <c r="D3" s="5815" t="s">
        <v>2192</v>
      </c>
      <c r="E3" s="5813" t="s">
        <v>2190</v>
      </c>
      <c r="F3" s="5807"/>
      <c r="G3" s="5807" t="s">
        <v>2242</v>
      </c>
      <c r="H3" s="5814"/>
      <c r="I3" s="5800" t="s">
        <v>14</v>
      </c>
      <c r="J3" s="5808"/>
      <c r="K3" s="5821" t="s">
        <v>2273</v>
      </c>
      <c r="L3" s="5821"/>
      <c r="M3" s="5806" t="s">
        <v>637</v>
      </c>
      <c r="N3" s="5806"/>
      <c r="O3" s="5807" t="s">
        <v>2296</v>
      </c>
      <c r="P3" s="5807"/>
      <c r="Q3" s="5808" t="s">
        <v>17</v>
      </c>
      <c r="R3" s="5808"/>
      <c r="S3" s="5807" t="s">
        <v>2299</v>
      </c>
      <c r="T3" s="5807"/>
      <c r="U3" s="5808" t="s">
        <v>18</v>
      </c>
      <c r="V3" s="5808"/>
      <c r="W3" s="5807" t="s">
        <v>2344</v>
      </c>
      <c r="X3" s="5807"/>
      <c r="Y3" s="5806" t="s">
        <v>660</v>
      </c>
      <c r="Z3" s="5806"/>
      <c r="AA3" s="5793" t="s">
        <v>657</v>
      </c>
      <c r="AB3" s="5794"/>
      <c r="AC3" s="5807" t="s">
        <v>1954</v>
      </c>
      <c r="AD3" s="5807"/>
      <c r="AE3" s="5808" t="s">
        <v>24</v>
      </c>
      <c r="AF3" s="5808"/>
      <c r="AG3" s="5807" t="s">
        <v>1970</v>
      </c>
      <c r="AH3" s="5807"/>
      <c r="AI3" s="5808" t="s">
        <v>27</v>
      </c>
      <c r="AJ3" s="5808"/>
      <c r="AK3" s="5803" t="s">
        <v>1985</v>
      </c>
      <c r="AL3" s="5804"/>
      <c r="AM3" s="5801" t="s">
        <v>662</v>
      </c>
      <c r="AN3" s="5802"/>
      <c r="AO3" s="5799" t="s">
        <v>917</v>
      </c>
      <c r="AP3" s="5800"/>
      <c r="AQ3" s="5807" t="s">
        <v>2085</v>
      </c>
      <c r="AR3" s="5807"/>
      <c r="AS3" s="5808" t="s">
        <v>28</v>
      </c>
      <c r="AT3" s="5808"/>
      <c r="AU3" s="5791" t="s">
        <v>2099</v>
      </c>
      <c r="AV3" s="5791"/>
      <c r="AW3" s="5789" t="s">
        <v>30</v>
      </c>
      <c r="AX3" s="5790"/>
      <c r="AY3" s="5791" t="s">
        <v>2111</v>
      </c>
      <c r="AZ3" s="5791"/>
      <c r="BA3" s="5797" t="s">
        <v>663</v>
      </c>
      <c r="BB3" s="5798"/>
      <c r="BC3" s="5793" t="s">
        <v>671</v>
      </c>
      <c r="BD3" s="5794"/>
      <c r="BE3" s="5789" t="s">
        <v>1745</v>
      </c>
      <c r="BF3" s="5792"/>
      <c r="BG3" s="5795" t="s">
        <v>1745</v>
      </c>
      <c r="BH3" s="5796"/>
      <c r="BI3" s="5795" t="s">
        <v>1399</v>
      </c>
      <c r="BJ3" s="5796"/>
      <c r="BK3" s="5795" t="s">
        <v>1253</v>
      </c>
      <c r="BL3" s="5796"/>
      <c r="BM3" s="5795" t="s">
        <v>946</v>
      </c>
      <c r="BN3" s="5796"/>
      <c r="BO3" s="5795" t="s">
        <v>679</v>
      </c>
      <c r="BP3" s="5796"/>
      <c r="BQ3" s="5776" t="s">
        <v>669</v>
      </c>
      <c r="BR3" s="5777"/>
      <c r="BS3" s="1191" t="s">
        <v>628</v>
      </c>
    </row>
    <row r="4" spans="1:73" ht="19.5" thickBot="1" x14ac:dyDescent="0.3">
      <c r="A4" s="93"/>
      <c r="B4" s="5810"/>
      <c r="C4" s="5812"/>
      <c r="D4" s="5816"/>
      <c r="E4" s="2559" t="s">
        <v>173</v>
      </c>
      <c r="F4" s="2560" t="s">
        <v>174</v>
      </c>
      <c r="G4" s="2560" t="s">
        <v>173</v>
      </c>
      <c r="H4" s="1004" t="s">
        <v>174</v>
      </c>
      <c r="I4" s="2561" t="s">
        <v>173</v>
      </c>
      <c r="J4" s="2562" t="s">
        <v>174</v>
      </c>
      <c r="K4" s="2436" t="s">
        <v>173</v>
      </c>
      <c r="L4" s="2436" t="s">
        <v>174</v>
      </c>
      <c r="M4" s="2563" t="s">
        <v>173</v>
      </c>
      <c r="N4" s="2563" t="s">
        <v>174</v>
      </c>
      <c r="O4" s="2436" t="s">
        <v>173</v>
      </c>
      <c r="P4" s="2560" t="s">
        <v>174</v>
      </c>
      <c r="Q4" s="2562" t="s">
        <v>173</v>
      </c>
      <c r="R4" s="2562" t="s">
        <v>174</v>
      </c>
      <c r="S4" s="2560" t="s">
        <v>173</v>
      </c>
      <c r="T4" s="2560" t="s">
        <v>174</v>
      </c>
      <c r="U4" s="2562" t="s">
        <v>173</v>
      </c>
      <c r="V4" s="2562" t="s">
        <v>174</v>
      </c>
      <c r="W4" s="2560" t="s">
        <v>173</v>
      </c>
      <c r="X4" s="2560" t="s">
        <v>174</v>
      </c>
      <c r="Y4" s="2563" t="s">
        <v>173</v>
      </c>
      <c r="Z4" s="2563" t="s">
        <v>174</v>
      </c>
      <c r="AA4" s="2564" t="s">
        <v>173</v>
      </c>
      <c r="AB4" s="2564" t="s">
        <v>174</v>
      </c>
      <c r="AC4" s="2560" t="s">
        <v>173</v>
      </c>
      <c r="AD4" s="2560" t="s">
        <v>174</v>
      </c>
      <c r="AE4" s="2562" t="s">
        <v>173</v>
      </c>
      <c r="AF4" s="2562" t="s">
        <v>174</v>
      </c>
      <c r="AG4" s="2560" t="s">
        <v>173</v>
      </c>
      <c r="AH4" s="2560" t="s">
        <v>174</v>
      </c>
      <c r="AI4" s="2562" t="s">
        <v>173</v>
      </c>
      <c r="AJ4" s="2562" t="s">
        <v>174</v>
      </c>
      <c r="AK4" s="2560" t="s">
        <v>173</v>
      </c>
      <c r="AL4" s="2560" t="s">
        <v>174</v>
      </c>
      <c r="AM4" s="2563" t="s">
        <v>173</v>
      </c>
      <c r="AN4" s="2563" t="s">
        <v>174</v>
      </c>
      <c r="AO4" s="2562" t="s">
        <v>173</v>
      </c>
      <c r="AP4" s="2562" t="s">
        <v>174</v>
      </c>
      <c r="AQ4" s="2560" t="s">
        <v>173</v>
      </c>
      <c r="AR4" s="2560" t="s">
        <v>174</v>
      </c>
      <c r="AS4" s="2562" t="s">
        <v>173</v>
      </c>
      <c r="AT4" s="2562" t="s">
        <v>174</v>
      </c>
      <c r="AU4" s="2063" t="s">
        <v>173</v>
      </c>
      <c r="AV4" s="208" t="s">
        <v>174</v>
      </c>
      <c r="AW4" s="2533" t="s">
        <v>173</v>
      </c>
      <c r="AX4" s="210" t="s">
        <v>174</v>
      </c>
      <c r="AY4" s="2063" t="s">
        <v>173</v>
      </c>
      <c r="AZ4" s="208" t="s">
        <v>174</v>
      </c>
      <c r="BA4" s="2565" t="s">
        <v>173</v>
      </c>
      <c r="BB4" s="2566" t="s">
        <v>174</v>
      </c>
      <c r="BC4" s="2564" t="s">
        <v>173</v>
      </c>
      <c r="BD4" s="2564" t="s">
        <v>174</v>
      </c>
      <c r="BE4" s="2533" t="s">
        <v>173</v>
      </c>
      <c r="BF4" s="2069" t="s">
        <v>174</v>
      </c>
      <c r="BG4" s="2567" t="s">
        <v>173</v>
      </c>
      <c r="BH4" s="2568" t="s">
        <v>174</v>
      </c>
      <c r="BI4" s="2567" t="s">
        <v>173</v>
      </c>
      <c r="BJ4" s="2568" t="s">
        <v>174</v>
      </c>
      <c r="BK4" s="2567" t="s">
        <v>173</v>
      </c>
      <c r="BL4" s="2568" t="s">
        <v>174</v>
      </c>
      <c r="BM4" s="2569" t="s">
        <v>173</v>
      </c>
      <c r="BN4" s="2568" t="s">
        <v>174</v>
      </c>
      <c r="BO4" s="2569" t="s">
        <v>173</v>
      </c>
      <c r="BP4" s="2568" t="s">
        <v>174</v>
      </c>
      <c r="BQ4" s="1093" t="s">
        <v>173</v>
      </c>
      <c r="BR4" s="1094" t="s">
        <v>174</v>
      </c>
      <c r="BS4" s="1094" t="s">
        <v>174</v>
      </c>
    </row>
    <row r="5" spans="1:73" ht="18" x14ac:dyDescent="0.3">
      <c r="A5" s="93"/>
      <c r="B5" s="2610" t="s">
        <v>361</v>
      </c>
      <c r="C5" s="3977" t="s">
        <v>49</v>
      </c>
      <c r="D5" s="136">
        <v>70</v>
      </c>
      <c r="E5" s="962">
        <f>+$D$5</f>
        <v>70</v>
      </c>
      <c r="F5" s="103">
        <f>('Maj Production Summ'!F14*100)/('Maj Production Summ'!F10*31.55)</f>
        <v>70</v>
      </c>
      <c r="G5" s="962">
        <f>+$D$5</f>
        <v>70</v>
      </c>
      <c r="H5" s="103">
        <f>('Maj Production Summ'!H14*100)/('Maj Production Summ'!H10*31.55)</f>
        <v>70</v>
      </c>
      <c r="I5" s="435">
        <f>+$D$5</f>
        <v>70</v>
      </c>
      <c r="J5" s="348">
        <f>('Maj Production Summ'!J14*100)/('Maj Production Summ'!J10*31.55)</f>
        <v>70</v>
      </c>
      <c r="K5" s="962">
        <f>+$D$5</f>
        <v>70</v>
      </c>
      <c r="L5" s="103">
        <f>('Maj Production Summ'!L14*100)/('Maj Production Summ'!L10*31.55)</f>
        <v>70</v>
      </c>
      <c r="M5" s="452">
        <f>+$D$5</f>
        <v>70</v>
      </c>
      <c r="N5" s="452">
        <f>('Maj Production Summ'!N14*100)/('Maj Production Summ'!N10*31.55)</f>
        <v>70</v>
      </c>
      <c r="O5" s="962">
        <f>+$D$5</f>
        <v>70</v>
      </c>
      <c r="P5" s="103">
        <f>('Maj Production Summ'!P14*100)/('Maj Production Summ'!P10*31.55)</f>
        <v>69.999999999999986</v>
      </c>
      <c r="Q5" s="348">
        <f>+$D$5</f>
        <v>70</v>
      </c>
      <c r="R5" s="348">
        <f>('Maj Production Summ'!R14*100)/('Maj Production Summ'!R10*31.55)</f>
        <v>70</v>
      </c>
      <c r="S5" s="962">
        <f>+$D$5</f>
        <v>70</v>
      </c>
      <c r="T5" s="103">
        <f>('Maj Production Summ'!T14*100)/('Maj Production Summ'!T10*31.55)</f>
        <v>70</v>
      </c>
      <c r="U5" s="348">
        <f>+$D$5</f>
        <v>70</v>
      </c>
      <c r="V5" s="348">
        <f>('Maj Production Summ'!V14*100)/('Maj Production Summ'!V10*31.55)</f>
        <v>70</v>
      </c>
      <c r="W5" s="962">
        <f>+$D$5</f>
        <v>70</v>
      </c>
      <c r="X5" s="103">
        <f>('Maj Production Summ'!X14*100)/('Maj Production Summ'!X10*31.55)</f>
        <v>69.49295404013472</v>
      </c>
      <c r="Y5" s="452">
        <f>+$D$5</f>
        <v>70</v>
      </c>
      <c r="Z5" s="452">
        <f>('Maj Production Summ'!Z14*100)/('Maj Production Summ'!Z10*31.55)</f>
        <v>69.834649220880394</v>
      </c>
      <c r="AA5" s="472">
        <f>+$D$5</f>
        <v>70</v>
      </c>
      <c r="AB5" s="472">
        <f>('Maj Production Summ'!AB14*100)/('Maj Production Summ'!AB10*31.55)</f>
        <v>69.916418515767404</v>
      </c>
      <c r="AC5" s="962">
        <f>+$D$5</f>
        <v>70</v>
      </c>
      <c r="AD5" s="103">
        <f>('Maj Production Summ'!AD14*100)/('Maj Production Summ'!AD10*31.55)</f>
        <v>70.453746245081177</v>
      </c>
      <c r="AE5" s="348">
        <f>+$D$5</f>
        <v>70</v>
      </c>
      <c r="AF5" s="348">
        <f>('Maj Production Summ'!AF14*100)/('Maj Production Summ'!AF10*31.55)</f>
        <v>69.99399443936835</v>
      </c>
      <c r="AG5" s="1146">
        <f>+$D$5</f>
        <v>70</v>
      </c>
      <c r="AH5" s="1146">
        <f>('Maj Production Summ'!AH14*100)/('Maj Production Summ'!AH10*31.55)</f>
        <v>70.490000000000009</v>
      </c>
      <c r="AI5" s="348">
        <f>+$D$5</f>
        <v>70</v>
      </c>
      <c r="AJ5" s="348">
        <f>('Maj Production Summ'!AJ14*100)/('Maj Production Summ'!AJ10*31.55)</f>
        <v>70.052695785724794</v>
      </c>
      <c r="AK5" s="1146">
        <f>+$D$5</f>
        <v>70</v>
      </c>
      <c r="AL5" s="1146">
        <f>('Maj Production Summ'!AL14*100)/('Maj Production Summ'!AL10*31.55)</f>
        <v>70.010000000000005</v>
      </c>
      <c r="AM5" s="452">
        <f>+$D$5</f>
        <v>70</v>
      </c>
      <c r="AN5" s="452">
        <f>('Maj Production Summ'!AN14*100)/('Maj Production Summ'!AN10*31.55)</f>
        <v>70.313108282206528</v>
      </c>
      <c r="AO5" s="348">
        <f>+$D$5</f>
        <v>70</v>
      </c>
      <c r="AP5" s="348">
        <f>('Maj Production Summ'!AP14*100)/('Maj Production Summ'!AP10*31.55)</f>
        <v>70.047846627069319</v>
      </c>
      <c r="AQ5" s="1146">
        <f>+$D$5</f>
        <v>70</v>
      </c>
      <c r="AR5" s="1146">
        <f>('Maj Production Summ'!AR14*100)/('Maj Production Summ'!AR10*31.55)</f>
        <v>70.59499999999997</v>
      </c>
      <c r="AS5" s="348">
        <f>+$D$5</f>
        <v>70</v>
      </c>
      <c r="AT5" s="348">
        <f>('Maj Production Summ'!AT14*100)/('Maj Production Summ'!AT10*31.55)</f>
        <v>70.103651372427692</v>
      </c>
      <c r="AU5" s="1146">
        <f>+$D$5</f>
        <v>70</v>
      </c>
      <c r="AV5" s="1146">
        <f>('Maj Production Summ'!AV14*100)/('Maj Production Summ'!AV10*31.55)</f>
        <v>70.499999999999972</v>
      </c>
      <c r="AW5" s="348">
        <f>+$D$5</f>
        <v>70</v>
      </c>
      <c r="AX5" s="348">
        <f>('Maj Production Summ'!AX14*100)/('Maj Production Summ'!AX10*31.55)</f>
        <v>70.137055284109337</v>
      </c>
      <c r="AY5" s="1146">
        <f>+$D$5</f>
        <v>70</v>
      </c>
      <c r="AZ5" s="1146">
        <f>('Maj Production Summ'!AZ14*100)/('Maj Production Summ'!AZ10*31.55)</f>
        <v>70.5</v>
      </c>
      <c r="BA5" s="452">
        <f>+$D$5</f>
        <v>70</v>
      </c>
      <c r="BB5" s="452">
        <f>('Maj Production Summ'!BB14*100)/('Maj Production Summ'!BB10*31.55)</f>
        <v>70.532713173922829</v>
      </c>
      <c r="BC5" s="472">
        <f>+$D$5</f>
        <v>70</v>
      </c>
      <c r="BD5" s="472">
        <f>('Maj Production Summ'!BD14*100)/('Maj Production Summ'!BD10*31.55)</f>
        <v>70.422663592242358</v>
      </c>
      <c r="BE5" s="348">
        <f>+$D$5</f>
        <v>70</v>
      </c>
      <c r="BF5" s="348">
        <f>('Maj Production Summ'!BF14*100)/('Maj Production Summ'!BF10*31.55)</f>
        <v>70.168103622185086</v>
      </c>
      <c r="BG5" s="1192">
        <v>70</v>
      </c>
      <c r="BH5" s="1193">
        <v>70.341275484250673</v>
      </c>
      <c r="BI5" s="1192">
        <v>69.500000000000028</v>
      </c>
      <c r="BJ5" s="1193">
        <v>69.398028518298972</v>
      </c>
      <c r="BK5" s="1192">
        <v>69.5</v>
      </c>
      <c r="BL5" s="1193">
        <v>69.459875135267765</v>
      </c>
      <c r="BM5" s="1192">
        <v>70.500002850729032</v>
      </c>
      <c r="BN5" s="1193">
        <v>69.798394297532738</v>
      </c>
      <c r="BO5" s="2570">
        <v>70.99978732308368</v>
      </c>
      <c r="BP5" s="2571">
        <v>72.813877092165015</v>
      </c>
      <c r="BQ5" s="1192">
        <v>66.5</v>
      </c>
      <c r="BR5" s="1193">
        <v>67.485669750420143</v>
      </c>
      <c r="BS5" s="1193">
        <v>67.015011462089603</v>
      </c>
      <c r="BT5" s="1219"/>
      <c r="BU5" s="4911"/>
    </row>
    <row r="6" spans="1:73" ht="15" customHeight="1" x14ac:dyDescent="0.3">
      <c r="A6" s="154"/>
      <c r="B6" s="3987" t="s">
        <v>359</v>
      </c>
      <c r="C6" s="403"/>
      <c r="D6" s="4215"/>
      <c r="E6" s="1336"/>
      <c r="F6" s="205"/>
      <c r="G6" s="1336"/>
      <c r="H6" s="205"/>
      <c r="I6" s="4212"/>
      <c r="J6" s="205"/>
      <c r="K6" s="1336"/>
      <c r="L6" s="205"/>
      <c r="M6" s="205"/>
      <c r="N6" s="1134"/>
      <c r="O6" s="1336"/>
      <c r="P6" s="205"/>
      <c r="Q6" s="205"/>
      <c r="R6" s="1134"/>
      <c r="S6" s="1336"/>
      <c r="T6" s="205"/>
      <c r="U6" s="205"/>
      <c r="V6" s="1134"/>
      <c r="W6" s="1336"/>
      <c r="X6" s="205"/>
      <c r="Y6" s="205"/>
      <c r="Z6" s="1134"/>
      <c r="AA6" s="205"/>
      <c r="AB6" s="1134"/>
      <c r="AC6" s="1336"/>
      <c r="AD6" s="205"/>
      <c r="AE6" s="205"/>
      <c r="AF6" s="1134"/>
      <c r="AG6" s="205"/>
      <c r="AH6" s="205"/>
      <c r="AI6" s="205"/>
      <c r="AJ6" s="1134"/>
      <c r="AK6" s="205"/>
      <c r="AL6" s="205"/>
      <c r="AM6" s="205"/>
      <c r="AN6" s="1134"/>
      <c r="AO6" s="205"/>
      <c r="AP6" s="1134"/>
      <c r="AQ6" s="205"/>
      <c r="AR6" s="205"/>
      <c r="AS6" s="205"/>
      <c r="AT6" s="1134"/>
      <c r="AU6" s="205"/>
      <c r="AV6" s="205"/>
      <c r="AW6" s="205"/>
      <c r="AX6" s="1134"/>
      <c r="AY6" s="205"/>
      <c r="AZ6" s="205"/>
      <c r="BA6" s="205"/>
      <c r="BB6" s="1134"/>
      <c r="BC6" s="205"/>
      <c r="BD6" s="1134"/>
      <c r="BE6" s="205"/>
      <c r="BF6" s="4213"/>
      <c r="BG6" s="4214"/>
      <c r="BH6" s="4213"/>
      <c r="BI6" s="4214"/>
      <c r="BJ6" s="4213"/>
      <c r="BK6" s="4214"/>
      <c r="BL6" s="4213"/>
      <c r="BM6" s="4213"/>
      <c r="BN6" s="4213"/>
      <c r="BO6" s="3988"/>
      <c r="BP6" s="3988"/>
      <c r="BQ6" s="3989"/>
      <c r="BR6" s="3989"/>
      <c r="BS6" s="3990"/>
      <c r="BT6" s="1219"/>
      <c r="BU6" s="4911"/>
    </row>
    <row r="7" spans="1:73" ht="18" x14ac:dyDescent="0.3">
      <c r="A7" s="93"/>
      <c r="B7" s="4443" t="s">
        <v>349</v>
      </c>
      <c r="C7" s="2077" t="s">
        <v>49</v>
      </c>
      <c r="D7" s="5372">
        <v>92</v>
      </c>
      <c r="E7" s="774">
        <f>+$D$7</f>
        <v>92</v>
      </c>
      <c r="F7" s="102">
        <f>'COKE OVENS'!F149</f>
        <v>89.466617312982208</v>
      </c>
      <c r="G7" s="774">
        <f>+$D$7</f>
        <v>92</v>
      </c>
      <c r="H7" s="102">
        <f>'COKE OVENS'!H149</f>
        <v>91.22579404282105</v>
      </c>
      <c r="I7" s="390">
        <f>+$D$7</f>
        <v>92</v>
      </c>
      <c r="J7" s="266">
        <f>'COKE OVENS'!J149</f>
        <v>90.362489637492544</v>
      </c>
      <c r="K7" s="774">
        <f>+$D$7</f>
        <v>92</v>
      </c>
      <c r="L7" s="102">
        <f>'COKE OVENS'!L149</f>
        <v>90.499999999999986</v>
      </c>
      <c r="M7" s="353">
        <f>+$D$7</f>
        <v>92</v>
      </c>
      <c r="N7" s="353">
        <f>'COKE OVENS'!N149</f>
        <v>90.407401766585494</v>
      </c>
      <c r="O7" s="774">
        <f>+$D$7</f>
        <v>92</v>
      </c>
      <c r="P7" s="102">
        <f>'COKE OVENS'!P149</f>
        <v>91.999999679999988</v>
      </c>
      <c r="Q7" s="266">
        <f>+$D$7</f>
        <v>92</v>
      </c>
      <c r="R7" s="266">
        <f>'COKE OVENS'!R149</f>
        <v>90.807240704898419</v>
      </c>
      <c r="S7" s="774">
        <f>+$D$7</f>
        <v>92</v>
      </c>
      <c r="T7" s="102">
        <f>'COKE OVENS'!T149</f>
        <v>90</v>
      </c>
      <c r="U7" s="266">
        <f>+$D$7</f>
        <v>92</v>
      </c>
      <c r="V7" s="266">
        <f>'COKE OVENS'!V149</f>
        <v>90.64176186512033</v>
      </c>
      <c r="W7" s="774">
        <f>+$D$7</f>
        <v>92</v>
      </c>
      <c r="X7" s="102">
        <f>'COKE OVENS'!X149</f>
        <v>89.999962999863101</v>
      </c>
      <c r="Y7" s="353">
        <f>+$D$7</f>
        <v>92</v>
      </c>
      <c r="Z7" s="353">
        <f>'COKE OVENS'!Z149</f>
        <v>90.662029690766587</v>
      </c>
      <c r="AA7" s="465">
        <f>+$D$7</f>
        <v>92</v>
      </c>
      <c r="AB7" s="466">
        <f>'COKE OVENS'!AB149</f>
        <v>90.535518493018969</v>
      </c>
      <c r="AC7" s="774">
        <f>+$D$7</f>
        <v>92</v>
      </c>
      <c r="AD7" s="102">
        <f>'COKE OVENS'!AD149</f>
        <v>92.000347584289187</v>
      </c>
      <c r="AE7" s="266">
        <f>+$D$7</f>
        <v>92</v>
      </c>
      <c r="AF7" s="266">
        <f>'COKE OVENS'!AF149</f>
        <v>90.749876152213602</v>
      </c>
      <c r="AG7" s="191">
        <f>+$D$7</f>
        <v>92</v>
      </c>
      <c r="AH7" s="191">
        <f>'COKE OVENS'!AH149</f>
        <v>90.270086275741988</v>
      </c>
      <c r="AI7" s="266">
        <f>+$D$7</f>
        <v>92</v>
      </c>
      <c r="AJ7" s="266">
        <f>'COKE OVENS'!AJ149</f>
        <v>90.692443733024831</v>
      </c>
      <c r="AK7" s="191">
        <f>+$D$7</f>
        <v>92</v>
      </c>
      <c r="AL7" s="191">
        <f>'COKE OVENS'!AL149</f>
        <v>91.999923369245295</v>
      </c>
      <c r="AM7" s="353">
        <f>+$D$7</f>
        <v>92</v>
      </c>
      <c r="AN7" s="353">
        <f>'COKE OVENS'!AN149</f>
        <v>91.450919482289862</v>
      </c>
      <c r="AO7" s="266">
        <f>+$D$7</f>
        <v>92</v>
      </c>
      <c r="AP7" s="266">
        <f>'COKE OVENS'!AP149</f>
        <v>90.841371699516941</v>
      </c>
      <c r="AQ7" s="191">
        <f>+$D$7</f>
        <v>92</v>
      </c>
      <c r="AR7" s="191">
        <f>'COKE OVENS'!AR149</f>
        <v>91.99992336924528</v>
      </c>
      <c r="AS7" s="266">
        <f>+$D$7</f>
        <v>92</v>
      </c>
      <c r="AT7" s="266">
        <f>'COKE OVENS'!AT149</f>
        <v>90.959841792592087</v>
      </c>
      <c r="AU7" s="191">
        <f>+$D$7</f>
        <v>92</v>
      </c>
      <c r="AV7" s="191">
        <f>'COKE OVENS'!AV149</f>
        <v>89.850746268656707</v>
      </c>
      <c r="AW7" s="266">
        <f>+$D$7</f>
        <v>92</v>
      </c>
      <c r="AX7" s="266">
        <f>'COKE OVENS'!AX149</f>
        <v>90.870029738899689</v>
      </c>
      <c r="AY7" s="191">
        <f>+$D$7</f>
        <v>92</v>
      </c>
      <c r="AZ7" s="191">
        <f>'COKE OVENS'!AZ149</f>
        <v>88.356131710039108</v>
      </c>
      <c r="BA7" s="452">
        <f>+$D$7</f>
        <v>92</v>
      </c>
      <c r="BB7" s="452">
        <f>'COKE OVENS'!BB149</f>
        <v>90.11517120193794</v>
      </c>
      <c r="BC7" s="472">
        <f>+$D$7</f>
        <v>92</v>
      </c>
      <c r="BD7" s="472">
        <f>'COKE OVENS'!BD149</f>
        <v>90.798145662127496</v>
      </c>
      <c r="BE7" s="348">
        <f>+$D$7</f>
        <v>92</v>
      </c>
      <c r="BF7" s="348">
        <f>'COKE OVENS'!BF149</f>
        <v>90.665596281544822</v>
      </c>
      <c r="BG7" s="1100">
        <v>95</v>
      </c>
      <c r="BH7" s="1194">
        <v>92.468483882270078</v>
      </c>
      <c r="BI7" s="1100">
        <v>92</v>
      </c>
      <c r="BJ7" s="1194">
        <v>90.939873157833944</v>
      </c>
      <c r="BK7" s="1100">
        <v>92</v>
      </c>
      <c r="BL7" s="1194">
        <v>89.651305773130588</v>
      </c>
      <c r="BM7" s="1100">
        <v>95</v>
      </c>
      <c r="BN7" s="1194">
        <v>93.865971705137753</v>
      </c>
      <c r="BO7" s="2574">
        <v>94.377234802612818</v>
      </c>
      <c r="BP7" s="2575">
        <v>94.023330283623039</v>
      </c>
      <c r="BQ7" s="1100">
        <v>90</v>
      </c>
      <c r="BR7" s="1194">
        <v>91.425994537590384</v>
      </c>
      <c r="BS7" s="1194">
        <v>91.808305695910761</v>
      </c>
      <c r="BT7" s="1219"/>
      <c r="BU7" s="4911"/>
    </row>
    <row r="8" spans="1:73" ht="18.600000000000001" thickBot="1" x14ac:dyDescent="0.35">
      <c r="A8" s="93"/>
      <c r="B8" s="2599" t="s">
        <v>360</v>
      </c>
      <c r="C8" s="3978" t="s">
        <v>49</v>
      </c>
      <c r="D8" s="5373">
        <v>97</v>
      </c>
      <c r="E8" s="1343">
        <f>+$D$8</f>
        <v>97</v>
      </c>
      <c r="F8" s="4217">
        <f>'COKE OVENS'!F174</f>
        <v>94.592173017507719</v>
      </c>
      <c r="G8" s="1343">
        <f>+$D$8</f>
        <v>97</v>
      </c>
      <c r="H8" s="4217">
        <f>'COKE OVENS'!H174</f>
        <v>94.99999761388338</v>
      </c>
      <c r="I8" s="4218">
        <f>+$D$8</f>
        <v>97</v>
      </c>
      <c r="J8" s="603">
        <f>'COKE OVENS'!J174</f>
        <v>94.799830302761691</v>
      </c>
      <c r="K8" s="1343">
        <f>+$D$8</f>
        <v>97</v>
      </c>
      <c r="L8" s="4217">
        <f>'COKE OVENS'!L174</f>
        <v>94.999999511791174</v>
      </c>
      <c r="M8" s="997">
        <f>+$D$8</f>
        <v>97</v>
      </c>
      <c r="N8" s="997">
        <f>'COKE OVENS'!N174</f>
        <v>94.866350705825596</v>
      </c>
      <c r="O8" s="1343">
        <f>+$D$8</f>
        <v>97</v>
      </c>
      <c r="P8" s="4217">
        <f>'COKE OVENS'!P174</f>
        <v>95.000001409744897</v>
      </c>
      <c r="Q8" s="603">
        <f>+$D$8</f>
        <v>97</v>
      </c>
      <c r="R8" s="603">
        <f>'COKE OVENS'!R174</f>
        <v>94.900651925974543</v>
      </c>
      <c r="S8" s="1343">
        <f>+$D$8</f>
        <v>97</v>
      </c>
      <c r="T8" s="4217">
        <f>'COKE OVENS'!T174</f>
        <v>95</v>
      </c>
      <c r="U8" s="603">
        <f>+$D$8</f>
        <v>97</v>
      </c>
      <c r="V8" s="603">
        <f>'COKE OVENS'!V174</f>
        <v>94.920863024190282</v>
      </c>
      <c r="W8" s="1343">
        <f>+$D$8</f>
        <v>97</v>
      </c>
      <c r="X8" s="4217">
        <f>'COKE OVENS'!X174</f>
        <v>94.999999513274034</v>
      </c>
      <c r="Y8" s="997">
        <f>+$D$8</f>
        <v>97</v>
      </c>
      <c r="Z8" s="997">
        <f>'COKE OVENS'!Z174</f>
        <v>95.000000317448595</v>
      </c>
      <c r="AA8" s="2261">
        <f>+$D$8</f>
        <v>97</v>
      </c>
      <c r="AB8" s="4219">
        <f>'COKE OVENS'!AB174</f>
        <v>94.933907887034792</v>
      </c>
      <c r="AC8" s="1343">
        <f>+$D$8</f>
        <v>97</v>
      </c>
      <c r="AD8" s="4217">
        <f>'COKE OVENS'!AD174</f>
        <v>97.142520527088507</v>
      </c>
      <c r="AE8" s="603">
        <f>+$D$8</f>
        <v>97</v>
      </c>
      <c r="AF8" s="603">
        <f>'COKE OVENS'!AF174</f>
        <v>95.266138313976356</v>
      </c>
      <c r="AG8" s="4220">
        <f>+$D$8</f>
        <v>97</v>
      </c>
      <c r="AH8" s="4220">
        <f>'COKE OVENS'!AH174</f>
        <v>95.492103729734282</v>
      </c>
      <c r="AI8" s="603">
        <f>+$D$8</f>
        <v>97</v>
      </c>
      <c r="AJ8" s="603">
        <f>'COKE OVENS'!AJ174</f>
        <v>95.293880137761619</v>
      </c>
      <c r="AK8" s="4220">
        <f>+$D$8</f>
        <v>97</v>
      </c>
      <c r="AL8" s="4220">
        <f>'COKE OVENS'!AL174</f>
        <v>97.075494453039653</v>
      </c>
      <c r="AM8" s="997">
        <f>+$D$8</f>
        <v>97</v>
      </c>
      <c r="AN8" s="997">
        <f>'COKE OVENS'!AN174</f>
        <v>96.593022111402348</v>
      </c>
      <c r="AO8" s="603">
        <f>+$D$8</f>
        <v>97</v>
      </c>
      <c r="AP8" s="603">
        <f>'COKE OVENS'!AP174</f>
        <v>95.498637222262019</v>
      </c>
      <c r="AQ8" s="4220">
        <f>+$D$8</f>
        <v>97</v>
      </c>
      <c r="AR8" s="4220">
        <f>'COKE OVENS'!AR174</f>
        <v>96.999995843116182</v>
      </c>
      <c r="AS8" s="603">
        <f>+$D$8</f>
        <v>97</v>
      </c>
      <c r="AT8" s="603">
        <f>'COKE OVENS'!AT174</f>
        <v>95.649896355952933</v>
      </c>
      <c r="AU8" s="4220">
        <f>+$D$8</f>
        <v>97</v>
      </c>
      <c r="AV8" s="4220">
        <f>'COKE OVENS'!AV174</f>
        <v>97.000002931422728</v>
      </c>
      <c r="AW8" s="603">
        <f>+$D$8</f>
        <v>97</v>
      </c>
      <c r="AX8" s="603">
        <f>'COKE OVENS'!AX174</f>
        <v>95.762411089730207</v>
      </c>
      <c r="AY8" s="4220">
        <f>+$D$8</f>
        <v>97</v>
      </c>
      <c r="AZ8" s="4220">
        <f>'COKE OVENS'!AZ174</f>
        <v>95.119450318074115</v>
      </c>
      <c r="BA8" s="452">
        <f>+$D$8</f>
        <v>97</v>
      </c>
      <c r="BB8" s="452">
        <f>'COKE OVENS'!BB174</f>
        <v>96.375123705516785</v>
      </c>
      <c r="BC8" s="472">
        <f>+$D$8</f>
        <v>97</v>
      </c>
      <c r="BD8" s="472">
        <f>'COKE OVENS'!BD174</f>
        <v>96.487571330453349</v>
      </c>
      <c r="BE8" s="348">
        <f>+$D$8</f>
        <v>97</v>
      </c>
      <c r="BF8" s="348">
        <f>'COKE OVENS'!BF174</f>
        <v>95.710716378884698</v>
      </c>
      <c r="BG8" s="1679">
        <v>100</v>
      </c>
      <c r="BH8" s="1204">
        <v>97.818139447003276</v>
      </c>
      <c r="BI8" s="1679">
        <v>94</v>
      </c>
      <c r="BJ8" s="1204">
        <v>93.889003787888356</v>
      </c>
      <c r="BK8" s="1679">
        <v>94</v>
      </c>
      <c r="BL8" s="1204">
        <v>92.198587038217795</v>
      </c>
      <c r="BM8" s="1679">
        <v>95</v>
      </c>
      <c r="BN8" s="1204">
        <v>94.753433109833978</v>
      </c>
      <c r="BO8" s="2576">
        <v>94.836589147670892</v>
      </c>
      <c r="BP8" s="2577">
        <v>95.080612657941344</v>
      </c>
      <c r="BQ8" s="1679">
        <v>90</v>
      </c>
      <c r="BR8" s="1204">
        <v>96.370934540963361</v>
      </c>
      <c r="BS8" s="1204">
        <v>94.117212910536992</v>
      </c>
      <c r="BT8" s="1219"/>
      <c r="BU8" s="4911"/>
    </row>
    <row r="9" spans="1:73" ht="18.600000000000001" thickBot="1" x14ac:dyDescent="0.35">
      <c r="A9" s="93"/>
      <c r="B9" s="3991" t="s">
        <v>358</v>
      </c>
      <c r="C9" s="3992" t="s">
        <v>49</v>
      </c>
      <c r="D9" s="5371">
        <v>95.322290299597682</v>
      </c>
      <c r="E9" s="4221">
        <f>+$D$9</f>
        <v>95.322290299597682</v>
      </c>
      <c r="F9" s="4222">
        <f>'COKE OVENS'!F215</f>
        <v>92.782623883203556</v>
      </c>
      <c r="G9" s="4221">
        <f>+$D$9</f>
        <v>95.322290299597682</v>
      </c>
      <c r="H9" s="4222">
        <f>'COKE OVENS'!H215</f>
        <v>93.667281514284795</v>
      </c>
      <c r="I9" s="2352">
        <f>+$D$9</f>
        <v>95.322290299597682</v>
      </c>
      <c r="J9" s="4223">
        <f>'COKE OVENS'!J215</f>
        <v>93.233099399768022</v>
      </c>
      <c r="K9" s="4221">
        <f>+$D$9</f>
        <v>95.322290299597682</v>
      </c>
      <c r="L9" s="4222">
        <f>'COKE OVENS'!L215</f>
        <v>93.437618856972875</v>
      </c>
      <c r="M9" s="4224">
        <f>+$D$9</f>
        <v>95.322290299597682</v>
      </c>
      <c r="N9" s="4224">
        <f>'COKE OVENS'!N215</f>
        <v>93.300655293176519</v>
      </c>
      <c r="O9" s="4221">
        <f>+$D$9</f>
        <v>95.322290299597682</v>
      </c>
      <c r="P9" s="4222">
        <f>'COKE OVENS'!P215</f>
        <v>93.966668191590372</v>
      </c>
      <c r="Q9" s="4223">
        <f>+$D$9</f>
        <v>95.322290299597682</v>
      </c>
      <c r="R9" s="4223">
        <f>'COKE OVENS'!R215</f>
        <v>93.470286002129185</v>
      </c>
      <c r="S9" s="4221">
        <f>+$D$9</f>
        <v>95.322290299597682</v>
      </c>
      <c r="T9" s="4222">
        <f>'COKE OVENS'!T215</f>
        <v>93.241945303495299</v>
      </c>
      <c r="U9" s="4223">
        <f>+$D$9</f>
        <v>95.322290299597682</v>
      </c>
      <c r="V9" s="4223">
        <f>'COKE OVENS'!V215</f>
        <v>93.423708694745685</v>
      </c>
      <c r="W9" s="4221">
        <f>+$D$9</f>
        <v>95.322290299597682</v>
      </c>
      <c r="X9" s="4222">
        <f>'COKE OVENS'!X215</f>
        <v>93.2448303447526</v>
      </c>
      <c r="Y9" s="4224">
        <f>+$D$9</f>
        <v>95.322290299597682</v>
      </c>
      <c r="Z9" s="4224">
        <f>'COKE OVENS'!Z215</f>
        <v>93.485972730981359</v>
      </c>
      <c r="AA9" s="4225">
        <f>+$D$9</f>
        <v>95.322290299597682</v>
      </c>
      <c r="AB9" s="4225">
        <f>'COKE OVENS'!AB215</f>
        <v>93.394178549317672</v>
      </c>
      <c r="AC9" s="4221">
        <f>+$D$9</f>
        <v>95.322290299597682</v>
      </c>
      <c r="AD9" s="4222">
        <f>'COKE OVENS'!AD215</f>
        <v>95.3800883954206</v>
      </c>
      <c r="AE9" s="4223">
        <f>+$D$9</f>
        <v>95.322290299597682</v>
      </c>
      <c r="AF9" s="4223">
        <f>'COKE OVENS'!AF215</f>
        <v>93.690075353100966</v>
      </c>
      <c r="AG9" s="4226">
        <f>+$D$9</f>
        <v>95.322290299597682</v>
      </c>
      <c r="AH9" s="4226">
        <f>'COKE OVENS'!AH215</f>
        <v>93.703754279502533</v>
      </c>
      <c r="AI9" s="4223">
        <f>+$D$9</f>
        <v>95.322290299597682</v>
      </c>
      <c r="AJ9" s="4223">
        <f>'COKE OVENS'!AJ215</f>
        <v>93.691740110765394</v>
      </c>
      <c r="AK9" s="4226">
        <f>+$D$9</f>
        <v>95.322290299597682</v>
      </c>
      <c r="AL9" s="4226">
        <f>'COKE OVENS'!AL215</f>
        <v>95.31988359709247</v>
      </c>
      <c r="AM9" s="4224">
        <f>+$D$9</f>
        <v>95.322290299597682</v>
      </c>
      <c r="AN9" s="4224">
        <f>'COKE OVENS'!AN215</f>
        <v>94.825575231487974</v>
      </c>
      <c r="AO9" s="4223">
        <f>+$D$9</f>
        <v>95.322290299597682</v>
      </c>
      <c r="AP9" s="4223">
        <f>'COKE OVENS'!AP215</f>
        <v>93.87827950492786</v>
      </c>
      <c r="AQ9" s="4226">
        <f>+$D$9</f>
        <v>95.322290299597682</v>
      </c>
      <c r="AR9" s="4226">
        <f>'COKE OVENS'!AR215</f>
        <v>95.241553208149213</v>
      </c>
      <c r="AS9" s="4223">
        <f>+$D$9</f>
        <v>95.322290299597682</v>
      </c>
      <c r="AT9" s="4223">
        <f>'COKE OVENS'!AT215</f>
        <v>94.016343304713217</v>
      </c>
      <c r="AU9" s="4226">
        <f>+$D$9</f>
        <v>95.322290299597682</v>
      </c>
      <c r="AV9" s="4226">
        <f>'COKE OVENS'!AV215</f>
        <v>94.560451266203287</v>
      </c>
      <c r="AW9" s="4223">
        <f>+$D$9</f>
        <v>95.322290299597682</v>
      </c>
      <c r="AX9" s="4223">
        <f>'COKE OVENS'!AX215</f>
        <v>94.061241504840723</v>
      </c>
      <c r="AY9" s="4226">
        <f>+$D$9</f>
        <v>95.322290299597682</v>
      </c>
      <c r="AZ9" s="4226">
        <f>'COKE OVENS'!AZ215</f>
        <v>92.748692203997848</v>
      </c>
      <c r="BA9" s="452">
        <f>+$D$9</f>
        <v>95.322290299597682</v>
      </c>
      <c r="BB9" s="452">
        <f>'COKE OVENS'!BB215</f>
        <v>94.19651634154765</v>
      </c>
      <c r="BC9" s="472">
        <f>+$D$9</f>
        <v>95.322290299597682</v>
      </c>
      <c r="BD9" s="472">
        <f>'COKE OVENS'!BD215</f>
        <v>94.520112104957136</v>
      </c>
      <c r="BE9" s="348">
        <f>+$D$9</f>
        <v>95.322290299597682</v>
      </c>
      <c r="BF9" s="348">
        <f>'COKE OVENS'!BF215</f>
        <v>93.955290902483881</v>
      </c>
      <c r="BG9" s="4227">
        <v>98.275343312827886</v>
      </c>
      <c r="BH9" s="4228">
        <v>95.930697723131729</v>
      </c>
      <c r="BI9" s="4227">
        <v>93.289715727782763</v>
      </c>
      <c r="BJ9" s="4228">
        <v>92.833390112642292</v>
      </c>
      <c r="BK9" s="4227">
        <v>93.294358974358971</v>
      </c>
      <c r="BL9" s="4228">
        <v>91.262623548364061</v>
      </c>
      <c r="BM9" s="4227">
        <v>95</v>
      </c>
      <c r="BN9" s="4228">
        <v>94.439236826010074</v>
      </c>
      <c r="BO9" s="3993">
        <v>94.673168200952773</v>
      </c>
      <c r="BP9" s="3994">
        <v>94.712020160218685</v>
      </c>
      <c r="BQ9" s="3995">
        <v>90</v>
      </c>
      <c r="BR9" s="3996">
        <v>94.617132782598674</v>
      </c>
      <c r="BS9" s="3996">
        <v>93.297277602628242</v>
      </c>
      <c r="BT9" s="1219"/>
      <c r="BU9" s="4911"/>
    </row>
    <row r="10" spans="1:73" ht="18" x14ac:dyDescent="0.3">
      <c r="A10" s="93"/>
      <c r="B10" s="2610" t="s">
        <v>355</v>
      </c>
      <c r="C10" s="3977" t="s">
        <v>363</v>
      </c>
      <c r="D10" s="4229">
        <v>356.24</v>
      </c>
      <c r="E10" s="1122">
        <v>356</v>
      </c>
      <c r="F10" s="1306">
        <f>+('B-FCE'!F23/'Maj Production Summ'!F$17)*1000</f>
        <v>347.96952445897341</v>
      </c>
      <c r="G10" s="1122">
        <v>356</v>
      </c>
      <c r="H10" s="1306">
        <f>+('B-FCE'!H23/'Maj Production Summ'!H$17)*1000</f>
        <v>345.97012054468189</v>
      </c>
      <c r="I10" s="1127">
        <f>+('B-FCE'!I23/'Maj Production Summ'!I$17)*1000</f>
        <v>356</v>
      </c>
      <c r="J10" s="572">
        <f>+('B-FCE'!J23/'Maj Production Summ'!J$17)*1000</f>
        <v>346.90840073756402</v>
      </c>
      <c r="K10" s="1122">
        <v>356</v>
      </c>
      <c r="L10" s="1306">
        <f>+('B-FCE'!L23/'Maj Production Summ'!L$17)*1000</f>
        <v>348.40698971547278</v>
      </c>
      <c r="M10" s="487">
        <f>+('B-FCE'!M23/'Maj Production Summ'!M$17)*1000</f>
        <v>356</v>
      </c>
      <c r="N10" s="487">
        <f>+('B-FCE'!N23/'Maj Production Summ'!N$17)*1000</f>
        <v>347.43556530306734</v>
      </c>
      <c r="O10" s="1122">
        <v>356</v>
      </c>
      <c r="P10" s="1306">
        <f>+('B-FCE'!P23/'Maj Production Summ'!P$17)*1000</f>
        <v>362.56961546164109</v>
      </c>
      <c r="Q10" s="572">
        <f>+('B-FCE'!Q23/'Maj Production Summ'!Q$17)*1000</f>
        <v>356</v>
      </c>
      <c r="R10" s="572">
        <f>+('B-FCE'!R23/'Maj Production Summ'!R$17)*1000</f>
        <v>351.44755181150322</v>
      </c>
      <c r="S10" s="1122">
        <v>356</v>
      </c>
      <c r="T10" s="1306">
        <f>+('B-FCE'!T23/'Maj Production Summ'!T$17)*1000</f>
        <v>365.93798366603016</v>
      </c>
      <c r="U10" s="572">
        <f>+('B-FCE'!U23/'Maj Production Summ'!U$17)*1000</f>
        <v>356</v>
      </c>
      <c r="V10" s="572">
        <f>+('B-FCE'!V23/'Maj Production Summ'!V$17)*1000</f>
        <v>354.34922586817993</v>
      </c>
      <c r="W10" s="1122">
        <v>383</v>
      </c>
      <c r="X10" s="1306">
        <f>+('B-FCE'!X23/'Maj Production Summ'!X$17)*1000</f>
        <v>390.38903144875366</v>
      </c>
      <c r="Y10" s="487">
        <f>+('B-FCE'!Y23/'Maj Production Summ'!Y$17)*1000</f>
        <v>361.81538461538457</v>
      </c>
      <c r="Z10" s="487">
        <f>+('B-FCE'!Z23/'Maj Production Summ'!Z$17)*1000</f>
        <v>372.53619548915242</v>
      </c>
      <c r="AA10" s="1612">
        <f>+('B-FCE'!AA23/'Maj Production Summ'!AA$17)*1000</f>
        <v>358.67326732673268</v>
      </c>
      <c r="AB10" s="1612">
        <f>+('B-FCE'!AB23/'Maj Production Summ'!AB$17)*1000</f>
        <v>360.16361712747266</v>
      </c>
      <c r="AC10" s="1122">
        <v>362.4</v>
      </c>
      <c r="AD10" s="1306">
        <f>+('B-FCE'!AD23/'Maj Production Summ'!AD$17)*1000</f>
        <v>380.55652082528508</v>
      </c>
      <c r="AE10" s="572">
        <f>+('B-FCE'!AE23/'Maj Production Summ'!AE$17)*1000</f>
        <v>359.23317307692309</v>
      </c>
      <c r="AF10" s="572">
        <f>+('B-FCE'!AF23/'Maj Production Summ'!AF$17)*1000</f>
        <v>362.94217969043541</v>
      </c>
      <c r="AG10" s="1306">
        <v>355.3</v>
      </c>
      <c r="AH10" s="1306">
        <f>+('B-FCE'!AH23/'Maj Production Summ'!AH$17)*1000</f>
        <v>624.51898381131389</v>
      </c>
      <c r="AI10" s="572">
        <f>+('B-FCE'!AI23/'Maj Production Summ'!AI$17)*1000</f>
        <v>358.73378803777547</v>
      </c>
      <c r="AJ10" s="572">
        <f>+('B-FCE'!AJ23/'Maj Production Summ'!AJ$17)*1000</f>
        <v>364.17186537888733</v>
      </c>
      <c r="AK10" s="1306">
        <v>355.3</v>
      </c>
      <c r="AL10" s="1306">
        <f>+('B-FCE'!AL23/'Maj Production Summ'!AL$17)*1000</f>
        <v>366.34425469381154</v>
      </c>
      <c r="AM10" s="487">
        <f>+('B-FCE'!AM23/'Maj Production Summ'!AM$17)*1000</f>
        <v>357.69218328840969</v>
      </c>
      <c r="AN10" s="487">
        <f>+('B-FCE'!AN23/'Maj Production Summ'!AN$17)*1000</f>
        <v>377.28919294026088</v>
      </c>
      <c r="AO10" s="572">
        <f>+('B-FCE'!AO23/'Maj Production Summ'!AO$17)*1000</f>
        <v>358.33562152133578</v>
      </c>
      <c r="AP10" s="572">
        <f>+('B-FCE'!AP23/'Maj Production Summ'!AP$17)*1000</f>
        <v>364.44973930055454</v>
      </c>
      <c r="AQ10" s="1306">
        <v>355.3</v>
      </c>
      <c r="AR10" s="1306">
        <f>+('B-FCE'!AR23/'Maj Production Summ'!AR$17)*1000</f>
        <v>348.01919033139393</v>
      </c>
      <c r="AS10" s="572">
        <f>+('B-FCE'!AS23/'Maj Production Summ'!AS$17)*1000</f>
        <v>358.02019950124685</v>
      </c>
      <c r="AT10" s="572">
        <f>+('B-FCE'!AT23/'Maj Production Summ'!AT$17)*1000</f>
        <v>362.55723585271016</v>
      </c>
      <c r="AU10" s="1306">
        <v>355.3</v>
      </c>
      <c r="AV10" s="1306">
        <f>+('B-FCE'!AV23/'Maj Production Summ'!AV$17)*1000</f>
        <v>342.2419244316095</v>
      </c>
      <c r="AW10" s="572">
        <f>+('B-FCE'!AW23/'Maj Production Summ'!AW$17)*1000</f>
        <v>357.78757126567842</v>
      </c>
      <c r="AX10" s="572">
        <f>+('B-FCE'!AX23/'Maj Production Summ'!AX$17)*1000</f>
        <v>360.62005042056671</v>
      </c>
      <c r="AY10" s="1306">
        <v>355.3</v>
      </c>
      <c r="AZ10" s="1306">
        <f>+('B-FCE'!AZ23/'Maj Production Summ'!AZ$17)*1000</f>
        <v>339.29313876359765</v>
      </c>
      <c r="BA10" s="781">
        <f>+('B-FCE'!BA23/'Maj Production Summ'!BA$17)*1000</f>
        <v>355.3</v>
      </c>
      <c r="BB10" s="781">
        <f>+('B-FCE'!BB23/'Maj Production Summ'!BB$17)*1000</f>
        <v>343.20203543867916</v>
      </c>
      <c r="BC10" s="465">
        <f>+('B-FCE'!BC23/'Maj Production Summ'!BC$17)*1000</f>
        <v>356.50995228357192</v>
      </c>
      <c r="BD10" s="465">
        <f>+('B-FCE'!BD23/'Maj Production Summ'!BD$17)*1000</f>
        <v>356.72766837775703</v>
      </c>
      <c r="BE10" s="782">
        <f>+('B-FCE'!BE23/'Maj Production Summ'!BE$17)*1000</f>
        <v>357.57171121138492</v>
      </c>
      <c r="BF10" s="528">
        <f>+('B-FCE'!BF23/'Maj Production Summ'!BF$17)*1000</f>
        <v>358.59371283095254</v>
      </c>
      <c r="BG10" s="1195">
        <v>360.04562264150945</v>
      </c>
      <c r="BH10" s="3985">
        <v>371.74357132695411</v>
      </c>
      <c r="BI10" s="1195">
        <v>380.41999999999996</v>
      </c>
      <c r="BJ10" s="3985">
        <v>390.51223594984998</v>
      </c>
      <c r="BK10" s="1195">
        <v>389.92559291044773</v>
      </c>
      <c r="BL10" s="3985">
        <v>400.04040555458937</v>
      </c>
      <c r="BM10" s="1195">
        <v>377.88521420805364</v>
      </c>
      <c r="BN10" s="3985">
        <v>396.71458967036409</v>
      </c>
      <c r="BO10" s="2578">
        <v>373.8786504081541</v>
      </c>
      <c r="BP10" s="2579">
        <v>423.66105089932233</v>
      </c>
      <c r="BQ10" s="1195">
        <v>370.47898148148147</v>
      </c>
      <c r="BR10" s="3985">
        <v>381.58770716890342</v>
      </c>
      <c r="BS10" s="3985">
        <v>388.39310872643784</v>
      </c>
      <c r="BT10" s="1219"/>
      <c r="BU10" s="4911"/>
    </row>
    <row r="11" spans="1:73" ht="18" x14ac:dyDescent="0.3">
      <c r="A11" s="93"/>
      <c r="B11" s="4443" t="s">
        <v>356</v>
      </c>
      <c r="C11" s="2077" t="s">
        <v>363</v>
      </c>
      <c r="D11" s="4230">
        <v>28.952542372881357</v>
      </c>
      <c r="E11" s="1126">
        <v>29</v>
      </c>
      <c r="F11" s="1134">
        <f>+('B-FCE'!F24/'Maj Production Summ'!F$17)*1000</f>
        <v>28.720758728777291</v>
      </c>
      <c r="G11" s="1126">
        <v>29</v>
      </c>
      <c r="H11" s="1134">
        <f>+('B-FCE'!H24/'Maj Production Summ'!H$17)*1000</f>
        <v>29.24639142160763</v>
      </c>
      <c r="I11" s="437">
        <f>+('B-FCE'!I24/'Maj Production Summ'!I$17)*1000</f>
        <v>29</v>
      </c>
      <c r="J11" s="782">
        <f>+('B-FCE'!J24/'Maj Production Summ'!J$17)*1000</f>
        <v>28.999722531500559</v>
      </c>
      <c r="K11" s="1126">
        <v>29</v>
      </c>
      <c r="L11" s="1134">
        <f>+('B-FCE'!L24/'Maj Production Summ'!L$17)*1000</f>
        <v>31.876010889904354</v>
      </c>
      <c r="M11" s="781">
        <f>+('B-FCE'!M24/'Maj Production Summ'!M$17)*1000</f>
        <v>29</v>
      </c>
      <c r="N11" s="781">
        <f>+('B-FCE'!N24/'Maj Production Summ'!N$17)*1000</f>
        <v>30.01152585120477</v>
      </c>
      <c r="O11" s="1126">
        <v>29</v>
      </c>
      <c r="P11" s="1134">
        <f>+('B-FCE'!P24/'Maj Production Summ'!P$17)*1000</f>
        <v>40.769372829277593</v>
      </c>
      <c r="Q11" s="782">
        <f>+('B-FCE'!Q24/'Maj Production Summ'!Q$17)*1000</f>
        <v>29</v>
      </c>
      <c r="R11" s="782">
        <f>+('B-FCE'!R24/'Maj Production Summ'!R$17)*1000</f>
        <v>32.863395409162749</v>
      </c>
      <c r="S11" s="1126">
        <v>29</v>
      </c>
      <c r="T11" s="1134">
        <f>+('B-FCE'!T24/'Maj Production Summ'!T$17)*1000</f>
        <v>37.253344065234799</v>
      </c>
      <c r="U11" s="782">
        <f>+('B-FCE'!U24/'Maj Production Summ'!U$17)*1000</f>
        <v>29</v>
      </c>
      <c r="V11" s="782">
        <f>+('B-FCE'!V24/'Maj Production Summ'!V$17)*1000</f>
        <v>33.7424720476887</v>
      </c>
      <c r="W11" s="1126">
        <v>28</v>
      </c>
      <c r="X11" s="1134">
        <f>+('B-FCE'!X24/'Maj Production Summ'!X$17)*1000</f>
        <v>36.733820007940906</v>
      </c>
      <c r="Y11" s="781">
        <f>+('B-FCE'!Y24/'Maj Production Summ'!Y$17)*1000</f>
        <v>28.784615384615385</v>
      </c>
      <c r="Z11" s="781">
        <f>+('B-FCE'!Z24/'Maj Production Summ'!Z$17)*1000</f>
        <v>38.320943992264716</v>
      </c>
      <c r="AA11" s="465">
        <f>+('B-FCE'!AA24/'Maj Production Summ'!AA$17)*1000</f>
        <v>28.900990099009903</v>
      </c>
      <c r="AB11" s="465">
        <f>+('B-FCE'!AB24/'Maj Production Summ'!AB$17)*1000</f>
        <v>34.225073636498855</v>
      </c>
      <c r="AC11" s="1126">
        <v>39</v>
      </c>
      <c r="AD11" s="1134">
        <f>+('B-FCE'!AD24/'Maj Production Summ'!AD$17)*1000</f>
        <v>39.767759135351639</v>
      </c>
      <c r="AE11" s="782">
        <f>+('B-FCE'!AE24/'Maj Production Summ'!AE$17)*1000</f>
        <v>30.41826923076923</v>
      </c>
      <c r="AF11" s="782">
        <f>+('B-FCE'!AF24/'Maj Production Summ'!AF$17)*1000</f>
        <v>34.980272535763049</v>
      </c>
      <c r="AG11" s="1134">
        <v>39</v>
      </c>
      <c r="AH11" s="1134">
        <f>+('B-FCE'!AH24/'Maj Production Summ'!AH$17)*1000</f>
        <v>14.079451888680046</v>
      </c>
      <c r="AI11" s="782">
        <f>+('B-FCE'!AI24/'Maj Production Summ'!AI$17)*1000</f>
        <v>31.507869884575026</v>
      </c>
      <c r="AJ11" s="782">
        <f>+('B-FCE'!AJ24/'Maj Production Summ'!AJ$17)*1000</f>
        <v>34.882016728590102</v>
      </c>
      <c r="AK11" s="1134">
        <v>39</v>
      </c>
      <c r="AL11" s="1134">
        <f>+('B-FCE'!AL24/'Maj Production Summ'!AL$17)*1000</f>
        <v>33.19678231915703</v>
      </c>
      <c r="AM11" s="781">
        <f>+('B-FCE'!AM24/'Maj Production Summ'!AM$17)*1000</f>
        <v>39</v>
      </c>
      <c r="AN11" s="781">
        <f>+('B-FCE'!AN24/'Maj Production Summ'!AN$17)*1000</f>
        <v>35.988653851616441</v>
      </c>
      <c r="AO11" s="782">
        <f>+('B-FCE'!AO24/'Maj Production Summ'!AO$17)*1000</f>
        <v>32.376623376623378</v>
      </c>
      <c r="AP11" s="782">
        <f>+('B-FCE'!AP24/'Maj Production Summ'!AP$17)*1000</f>
        <v>34.66645559916428</v>
      </c>
      <c r="AQ11" s="1134">
        <v>39</v>
      </c>
      <c r="AR11" s="1134">
        <f>+('B-FCE'!AR24/'Maj Production Summ'!AR$17)*1000</f>
        <v>30.413521108257008</v>
      </c>
      <c r="AS11" s="782">
        <f>+('B-FCE'!AS24/'Maj Production Summ'!AS$17)*1000</f>
        <v>33.064837905236907</v>
      </c>
      <c r="AT11" s="782">
        <f>+('B-FCE'!AT24/'Maj Production Summ'!AT$17)*1000</f>
        <v>34.176594109897835</v>
      </c>
      <c r="AU11" s="1134">
        <v>39</v>
      </c>
      <c r="AV11" s="1134">
        <f>+('B-FCE'!AV24/'Maj Production Summ'!AV$17)*1000</f>
        <v>29.174869378693284</v>
      </c>
      <c r="AW11" s="782">
        <f>+('B-FCE'!AW24/'Maj Production Summ'!AW$17)*1000</f>
        <v>33.572405929304445</v>
      </c>
      <c r="AX11" s="782">
        <f>+('B-FCE'!AX24/'Maj Production Summ'!AX$17)*1000</f>
        <v>33.699649992033251</v>
      </c>
      <c r="AY11" s="1134">
        <v>39</v>
      </c>
      <c r="AZ11" s="1134">
        <f>+('B-FCE'!AZ24/'Maj Production Summ'!AZ$17)*1000</f>
        <v>28.136015995148384</v>
      </c>
      <c r="BA11" s="781">
        <f>+('B-FCE'!BA24/'Maj Production Summ'!BA$17)*1000</f>
        <v>39</v>
      </c>
      <c r="BB11" s="781">
        <f>+('B-FCE'!BB24/'Maj Production Summ'!BB$17)*1000</f>
        <v>29.240535926200902</v>
      </c>
      <c r="BC11" s="465">
        <f>+('B-FCE'!BC24/'Maj Production Summ'!BC$17)*1000</f>
        <v>39</v>
      </c>
      <c r="BD11" s="465">
        <f>+('B-FCE'!BD24/'Maj Production Summ'!BD$17)*1000</f>
        <v>31.918159194862927</v>
      </c>
      <c r="BE11" s="782">
        <f>+('B-FCE'!BE24/'Maj Production Summ'!BE$17)*1000</f>
        <v>34.043387712599795</v>
      </c>
      <c r="BF11" s="528">
        <f>+('B-FCE'!BF24/'Maj Production Summ'!BF$17)*1000</f>
        <v>33.171031461414493</v>
      </c>
      <c r="BG11" s="1100">
        <v>38.916226415094336</v>
      </c>
      <c r="BH11" s="3985">
        <v>40.499375813748237</v>
      </c>
      <c r="BI11" s="1100">
        <v>32.20428571428571</v>
      </c>
      <c r="BJ11" s="3985">
        <v>47.260948860569819</v>
      </c>
      <c r="BK11" s="1100">
        <v>30</v>
      </c>
      <c r="BL11" s="3985">
        <v>36.610035455154154</v>
      </c>
      <c r="BM11" s="1100">
        <v>23.75142504193121</v>
      </c>
      <c r="BN11" s="3985">
        <v>37.043769455668603</v>
      </c>
      <c r="BO11" s="2574">
        <v>34.857516027392144</v>
      </c>
      <c r="BP11" s="2579">
        <v>41.208946109466851</v>
      </c>
      <c r="BQ11" s="1100">
        <v>25</v>
      </c>
      <c r="BR11" s="3985">
        <v>44.993877243288374</v>
      </c>
      <c r="BS11" s="3985">
        <v>29.180384193772984</v>
      </c>
      <c r="BT11" s="1219"/>
      <c r="BU11" s="4911"/>
    </row>
    <row r="12" spans="1:73" ht="18.600000000000001" thickBot="1" x14ac:dyDescent="0.35">
      <c r="A12" s="93"/>
      <c r="B12" s="2599" t="s">
        <v>357</v>
      </c>
      <c r="C12" s="3978" t="s">
        <v>363</v>
      </c>
      <c r="D12" s="4231">
        <v>149.6650847457627</v>
      </c>
      <c r="E12" s="725">
        <v>150</v>
      </c>
      <c r="F12" s="231">
        <f>+('B-FCE'!F25/'Maj Production Summ'!F$17)*1000</f>
        <v>150.9002222658558</v>
      </c>
      <c r="G12" s="725">
        <v>150</v>
      </c>
      <c r="H12" s="231">
        <f>+('B-FCE'!H25/'Maj Production Summ'!H$17)*1000</f>
        <v>155.9320942443795</v>
      </c>
      <c r="I12" s="2688">
        <f>+('B-FCE'!I25/'Maj Production Summ'!I$17)*1000</f>
        <v>150</v>
      </c>
      <c r="J12" s="276">
        <f>+('B-FCE'!J25/'Maj Production Summ'!J$17)*1000</f>
        <v>153.57073755360776</v>
      </c>
      <c r="K12" s="725">
        <v>150</v>
      </c>
      <c r="L12" s="231">
        <f>+('B-FCE'!L25/'Maj Production Summ'!L$17)*1000</f>
        <v>155.24561139837525</v>
      </c>
      <c r="M12" s="1203">
        <f>+('B-FCE'!M25/'Maj Production Summ'!M$17)*1000</f>
        <v>150</v>
      </c>
      <c r="N12" s="1203">
        <f>+('B-FCE'!N25/'Maj Production Summ'!N$17)*1000</f>
        <v>154.15991454320627</v>
      </c>
      <c r="O12" s="725">
        <v>150</v>
      </c>
      <c r="P12" s="231">
        <f>+('B-FCE'!P25/'Maj Production Summ'!P$17)*1000</f>
        <v>142.77673720259727</v>
      </c>
      <c r="Q12" s="276">
        <f>+('B-FCE'!Q25/'Maj Production Summ'!Q$17)*1000</f>
        <v>150</v>
      </c>
      <c r="R12" s="276">
        <f>+('B-FCE'!R25/'Maj Production Summ'!R$17)*1000</f>
        <v>151.14227197990448</v>
      </c>
      <c r="S12" s="725">
        <v>150</v>
      </c>
      <c r="T12" s="231">
        <f>+('B-FCE'!T25/'Maj Production Summ'!T$17)*1000</f>
        <v>141.84996849132682</v>
      </c>
      <c r="U12" s="276">
        <f>+('B-FCE'!U25/'Maj Production Summ'!U$17)*1000</f>
        <v>150</v>
      </c>
      <c r="V12" s="276">
        <f>+('B-FCE'!V25/'Maj Production Summ'!V$17)*1000</f>
        <v>149.28151060092952</v>
      </c>
      <c r="W12" s="725">
        <v>121</v>
      </c>
      <c r="X12" s="231">
        <f>+('B-FCE'!X25/'Maj Production Summ'!X$17)*1000</f>
        <v>128.55199052682025</v>
      </c>
      <c r="Y12" s="1203">
        <f>+('B-FCE'!Y25/'Maj Production Summ'!Y$17)*1000</f>
        <v>143.75384615384615</v>
      </c>
      <c r="Z12" s="1203">
        <f>+('B-FCE'!Z25/'Maj Production Summ'!Z$17)*1000</f>
        <v>137.94406463264903</v>
      </c>
      <c r="AA12" s="2261">
        <f>+('B-FCE'!AA25/'Maj Production Summ'!AA$17)*1000</f>
        <v>147.12871287128712</v>
      </c>
      <c r="AB12" s="2261">
        <f>+('B-FCE'!AB25/'Maj Production Summ'!AB$17)*1000</f>
        <v>145.93716569155515</v>
      </c>
      <c r="AC12" s="725">
        <v>146</v>
      </c>
      <c r="AD12" s="231">
        <f>+('B-FCE'!AD25/'Maj Production Summ'!AD$17)*1000</f>
        <v>126.07255945382309</v>
      </c>
      <c r="AE12" s="276">
        <f>+('B-FCE'!AE25/'Maj Production Summ'!AE$17)*1000</f>
        <v>146.95913461538461</v>
      </c>
      <c r="AF12" s="276">
        <f>+('B-FCE'!AF25/'Maj Production Summ'!AF$17)*1000</f>
        <v>143.23058442004745</v>
      </c>
      <c r="AG12" s="231">
        <v>146</v>
      </c>
      <c r="AH12" s="231">
        <f>+('B-FCE'!AH25/'Maj Production Summ'!AH$17)*1000</f>
        <v>0</v>
      </c>
      <c r="AI12" s="276">
        <f>+('B-FCE'!AI25/'Maj Production Summ'!AI$17)*1000</f>
        <v>146.83735571878279</v>
      </c>
      <c r="AJ12" s="276">
        <f>+('B-FCE'!AJ25/'Maj Production Summ'!AJ$17)*1000</f>
        <v>142.55725025189798</v>
      </c>
      <c r="AK12" s="231">
        <v>146</v>
      </c>
      <c r="AL12" s="231">
        <f>+('B-FCE'!AL25/'Maj Production Summ'!AL$17)*1000</f>
        <v>138.96212419483157</v>
      </c>
      <c r="AM12" s="1203">
        <f>+('B-FCE'!AM25/'Maj Production Summ'!AM$17)*1000</f>
        <v>146</v>
      </c>
      <c r="AN12" s="1203">
        <f>+('B-FCE'!AN25/'Maj Production Summ'!AN$17)*1000</f>
        <v>130.5950131072494</v>
      </c>
      <c r="AO12" s="276">
        <f>+('B-FCE'!AO25/'Maj Production Summ'!AO$17)*1000</f>
        <v>146.74025974025972</v>
      </c>
      <c r="AP12" s="276">
        <f>+('B-FCE'!AP25/'Maj Production Summ'!AP$17)*1000</f>
        <v>142.09739171296027</v>
      </c>
      <c r="AQ12" s="231">
        <v>146</v>
      </c>
      <c r="AR12" s="231">
        <f>+('B-FCE'!AR25/'Maj Production Summ'!AR$17)*1000</f>
        <v>153.61839772629187</v>
      </c>
      <c r="AS12" s="276">
        <f>+('B-FCE'!AS25/'Maj Production Summ'!AS$17)*1000</f>
        <v>146.66334164588528</v>
      </c>
      <c r="AT12" s="276">
        <f>+('B-FCE'!AT25/'Maj Production Summ'!AT$17)*1000</f>
        <v>143.42440419707083</v>
      </c>
      <c r="AU12" s="231">
        <v>146</v>
      </c>
      <c r="AV12" s="231">
        <f>+('B-FCE'!AV25/'Maj Production Summ'!AV$17)*1000</f>
        <v>156.32760908757055</v>
      </c>
      <c r="AW12" s="276">
        <f>+('B-FCE'!AW25/'Maj Production Summ'!AW$17)*1000</f>
        <v>146.6066134549601</v>
      </c>
      <c r="AX12" s="276">
        <f>+('B-FCE'!AX25/'Maj Production Summ'!AX$17)*1000</f>
        <v>144.65480131103661</v>
      </c>
      <c r="AY12" s="231">
        <v>146</v>
      </c>
      <c r="AZ12" s="231">
        <f>+('B-FCE'!AZ25/'Maj Production Summ'!AZ$17)*1000</f>
        <v>158.53602736610694</v>
      </c>
      <c r="BA12" s="781">
        <f>+('B-FCE'!BA25/'Maj Production Summ'!BA$17)*1000</f>
        <v>146</v>
      </c>
      <c r="BB12" s="781">
        <f>+('B-FCE'!BB25/'Maj Production Summ'!BB$17)*1000</f>
        <v>156.16199084959428</v>
      </c>
      <c r="BC12" s="465">
        <f>+('B-FCE'!BC25/'Maj Production Summ'!BC$17)*1000</f>
        <v>146</v>
      </c>
      <c r="BD12" s="465">
        <f>+('B-FCE'!BD25/'Maj Production Summ'!BD$17)*1000</f>
        <v>146.01712745673188</v>
      </c>
      <c r="BE12" s="782">
        <f>+('B-FCE'!BE25/'Maj Production Summ'!BE$17)*1000</f>
        <v>146.55397431447415</v>
      </c>
      <c r="BF12" s="528">
        <f>+('B-FCE'!BF25/'Maj Production Summ'!BF$17)*1000</f>
        <v>145.97370067151337</v>
      </c>
      <c r="BG12" s="1680">
        <v>140.90981132075473</v>
      </c>
      <c r="BH12" s="3984">
        <v>134.06433821400003</v>
      </c>
      <c r="BI12" s="1680">
        <v>139.64750000000001</v>
      </c>
      <c r="BJ12" s="3984">
        <v>125.94309352319971</v>
      </c>
      <c r="BK12" s="1680">
        <v>129.6457817164179</v>
      </c>
      <c r="BL12" s="3984">
        <v>122.58808331992087</v>
      </c>
      <c r="BM12" s="1680">
        <v>133.64291547787624</v>
      </c>
      <c r="BN12" s="3984">
        <v>118.07599367903838</v>
      </c>
      <c r="BO12" s="2580">
        <v>128.5773179329438</v>
      </c>
      <c r="BP12" s="2581">
        <v>89.175352805191892</v>
      </c>
      <c r="BQ12" s="1680">
        <v>139.85351851851851</v>
      </c>
      <c r="BR12" s="3984">
        <v>118.98027062075417</v>
      </c>
      <c r="BS12" s="3984">
        <v>123.03826485628637</v>
      </c>
      <c r="BT12" s="1219"/>
      <c r="BU12" s="4911"/>
    </row>
    <row r="13" spans="1:73" ht="18.600000000000001" thickBot="1" x14ac:dyDescent="0.35">
      <c r="A13" s="93"/>
      <c r="B13" s="3281" t="s">
        <v>239</v>
      </c>
      <c r="C13" s="3979" t="s">
        <v>363</v>
      </c>
      <c r="D13" s="2337">
        <f t="shared" ref="D13:R13" si="0">SUM(D10:D12)</f>
        <v>534.85762711864402</v>
      </c>
      <c r="E13" s="1125">
        <f t="shared" si="0"/>
        <v>535</v>
      </c>
      <c r="F13" s="158">
        <f t="shared" si="0"/>
        <v>527.59050545360651</v>
      </c>
      <c r="G13" s="1125">
        <f t="shared" ref="G13:H13" si="1">SUM(G10:G12)</f>
        <v>535</v>
      </c>
      <c r="H13" s="158">
        <f t="shared" si="1"/>
        <v>531.14860621066907</v>
      </c>
      <c r="I13" s="715">
        <f t="shared" si="0"/>
        <v>535</v>
      </c>
      <c r="J13" s="373">
        <f t="shared" si="0"/>
        <v>529.47886082267235</v>
      </c>
      <c r="K13" s="1125">
        <f t="shared" ref="K13:L13" si="2">SUM(K10:K12)</f>
        <v>535</v>
      </c>
      <c r="L13" s="158">
        <f t="shared" si="2"/>
        <v>535.52861200375241</v>
      </c>
      <c r="M13" s="618">
        <f t="shared" si="0"/>
        <v>535</v>
      </c>
      <c r="N13" s="618">
        <f t="shared" si="0"/>
        <v>531.60700569747837</v>
      </c>
      <c r="O13" s="1125">
        <f t="shared" ref="O13:P13" si="3">SUM(O10:O12)</f>
        <v>535</v>
      </c>
      <c r="P13" s="158">
        <f t="shared" si="3"/>
        <v>546.11572549351592</v>
      </c>
      <c r="Q13" s="373">
        <f t="shared" si="0"/>
        <v>535</v>
      </c>
      <c r="R13" s="373">
        <f t="shared" si="0"/>
        <v>535.4532192005704</v>
      </c>
      <c r="S13" s="1125">
        <f t="shared" ref="S13:T13" si="4">SUM(S10:S12)</f>
        <v>535</v>
      </c>
      <c r="T13" s="158">
        <f t="shared" si="4"/>
        <v>545.04129622259177</v>
      </c>
      <c r="U13" s="373">
        <f t="shared" ref="U13:X13" si="5">SUM(U10:U12)</f>
        <v>535</v>
      </c>
      <c r="V13" s="373">
        <f t="shared" si="5"/>
        <v>537.37320851679817</v>
      </c>
      <c r="W13" s="1125">
        <f t="shared" si="5"/>
        <v>532</v>
      </c>
      <c r="X13" s="158">
        <f t="shared" si="5"/>
        <v>555.67484198351485</v>
      </c>
      <c r="Y13" s="618">
        <f t="shared" ref="Y13:Z13" si="6">SUM(Y10:Y12)</f>
        <v>534.35384615384612</v>
      </c>
      <c r="Z13" s="618">
        <f t="shared" si="6"/>
        <v>548.80120411406619</v>
      </c>
      <c r="AA13" s="1049">
        <f t="shared" ref="AA13:AF13" si="7">SUM(AA10:AA12)</f>
        <v>534.70297029702965</v>
      </c>
      <c r="AB13" s="1049">
        <f t="shared" si="7"/>
        <v>540.32585645552672</v>
      </c>
      <c r="AC13" s="1125">
        <f t="shared" si="7"/>
        <v>547.4</v>
      </c>
      <c r="AD13" s="158">
        <f t="shared" si="7"/>
        <v>546.39683941445981</v>
      </c>
      <c r="AE13" s="373">
        <f t="shared" si="7"/>
        <v>536.61057692307691</v>
      </c>
      <c r="AF13" s="373">
        <f t="shared" si="7"/>
        <v>541.15303664624594</v>
      </c>
      <c r="AG13" s="275">
        <f t="shared" ref="AG13:AJ13" si="8">SUM(AG10:AG12)</f>
        <v>540.29999999999995</v>
      </c>
      <c r="AH13" s="275">
        <f t="shared" si="8"/>
        <v>638.59843569999396</v>
      </c>
      <c r="AI13" s="373">
        <f t="shared" si="8"/>
        <v>537.07901364113332</v>
      </c>
      <c r="AJ13" s="373">
        <f t="shared" si="8"/>
        <v>541.61113235937546</v>
      </c>
      <c r="AK13" s="275">
        <f t="shared" ref="AK13:AL13" si="9">SUM(AK10:AK12)</f>
        <v>540.29999999999995</v>
      </c>
      <c r="AL13" s="275">
        <f t="shared" si="9"/>
        <v>538.50316120780008</v>
      </c>
      <c r="AM13" s="618">
        <f t="shared" ref="AM13:AT13" si="10">SUM(AM10:AM12)</f>
        <v>542.69218328840975</v>
      </c>
      <c r="AN13" s="618">
        <f t="shared" si="10"/>
        <v>543.87285989912675</v>
      </c>
      <c r="AO13" s="373">
        <f t="shared" si="10"/>
        <v>537.4525046382189</v>
      </c>
      <c r="AP13" s="373">
        <f t="shared" si="10"/>
        <v>541.21358661267914</v>
      </c>
      <c r="AQ13" s="275">
        <f t="shared" si="10"/>
        <v>540.29999999999995</v>
      </c>
      <c r="AR13" s="275">
        <f t="shared" si="10"/>
        <v>532.05110916594276</v>
      </c>
      <c r="AS13" s="373">
        <f t="shared" si="10"/>
        <v>537.74837905236905</v>
      </c>
      <c r="AT13" s="373">
        <f t="shared" si="10"/>
        <v>540.15823415967884</v>
      </c>
      <c r="AU13" s="275">
        <f t="shared" ref="AU13:AV13" si="11">SUM(AU10:AU12)</f>
        <v>540.29999999999995</v>
      </c>
      <c r="AV13" s="275">
        <f t="shared" si="11"/>
        <v>527.74440289787333</v>
      </c>
      <c r="AW13" s="373">
        <f t="shared" ref="AW13:AZ13" si="12">SUM(AW10:AW12)</f>
        <v>537.96659064994299</v>
      </c>
      <c r="AX13" s="373">
        <f t="shared" si="12"/>
        <v>538.97450172363654</v>
      </c>
      <c r="AY13" s="275">
        <f t="shared" si="12"/>
        <v>540.29999999999995</v>
      </c>
      <c r="AZ13" s="275">
        <f t="shared" si="12"/>
        <v>525.96518212485296</v>
      </c>
      <c r="BA13" s="487">
        <f t="shared" ref="BA13:BD13" si="13">SUM(BA10:BA12)</f>
        <v>540.29999999999995</v>
      </c>
      <c r="BB13" s="487">
        <f t="shared" si="13"/>
        <v>528.6045622144743</v>
      </c>
      <c r="BC13" s="1612">
        <f t="shared" si="13"/>
        <v>541.50995228357192</v>
      </c>
      <c r="BD13" s="1612">
        <f t="shared" si="13"/>
        <v>534.66295502935191</v>
      </c>
      <c r="BE13" s="572">
        <f t="shared" ref="BE13:BF13" si="14">SUM(BE10:BE12)</f>
        <v>538.16907323845885</v>
      </c>
      <c r="BF13" s="572">
        <f t="shared" si="14"/>
        <v>537.7384449638804</v>
      </c>
      <c r="BG13" s="4227">
        <v>539.87166037735847</v>
      </c>
      <c r="BH13" s="4232">
        <v>546.30728535470234</v>
      </c>
      <c r="BI13" s="4227">
        <v>552.27178571428567</v>
      </c>
      <c r="BJ13" s="4232">
        <v>563.71627833361958</v>
      </c>
      <c r="BK13" s="4227">
        <v>549.57137462686569</v>
      </c>
      <c r="BL13" s="4232">
        <v>559.23852432966441</v>
      </c>
      <c r="BM13" s="4227">
        <v>535.27955472786107</v>
      </c>
      <c r="BN13" s="4232">
        <v>551.83435280507103</v>
      </c>
      <c r="BO13" s="3993">
        <v>537.31348436848998</v>
      </c>
      <c r="BP13" s="3997">
        <v>554.04534981398115</v>
      </c>
      <c r="BQ13" s="3995">
        <v>535.33249999999998</v>
      </c>
      <c r="BR13" s="3998">
        <v>545.56185503294591</v>
      </c>
      <c r="BS13" s="3998">
        <v>540.61175777649714</v>
      </c>
      <c r="BT13" s="1219"/>
      <c r="BU13" s="4911"/>
    </row>
    <row r="14" spans="1:73" ht="19.5" thickBot="1" x14ac:dyDescent="0.3">
      <c r="A14" s="93"/>
      <c r="B14" s="3282" t="s">
        <v>1896</v>
      </c>
      <c r="C14" s="3981" t="s">
        <v>370</v>
      </c>
      <c r="D14" s="5209">
        <v>2.4361020820953088</v>
      </c>
      <c r="E14" s="4233">
        <v>2.4471008652249489</v>
      </c>
      <c r="F14" s="4091">
        <v>2.3879780343565189</v>
      </c>
      <c r="G14" s="4233">
        <v>2.4406270534121841</v>
      </c>
      <c r="H14" s="4091">
        <v>2.4173399790859662</v>
      </c>
      <c r="I14" s="392">
        <f>+('Maj Production Summ'!I17/3551)/('B-FCE'!E50+'B-FCE'!G50)</f>
        <v>2.4438090965065942</v>
      </c>
      <c r="J14" s="4234">
        <f>+('Maj Production Summ'!J17/3551)/('B-FCE'!F50+'B-FCE'!H50)</f>
        <v>2.40347160666763</v>
      </c>
      <c r="K14" s="4233">
        <v>2.4471008652249489</v>
      </c>
      <c r="L14" s="4091">
        <v>2.4868497260238507</v>
      </c>
      <c r="M14" s="4235">
        <f>+('Maj Production Summ'!M17/3551)/('B-FCE'!E50+'B-FCE'!G50+'B-FCE'!K50)</f>
        <v>2.4448938839251428</v>
      </c>
      <c r="N14" s="4235">
        <f>+('Maj Production Summ'!N17/3551)/('B-FCE'!F50+'B-FCE'!H50+'B-FCE'!L50)</f>
        <v>2.4321568011919901</v>
      </c>
      <c r="O14" s="4233">
        <v>2.3936919177696425</v>
      </c>
      <c r="P14" s="4091">
        <v>2.4358635913554569</v>
      </c>
      <c r="Q14" s="4234">
        <f>+('Maj Production Summ'!Q17/3551)/('B-FCE'!M50+'B-FCE'!O50)</f>
        <v>2.4318764349025579</v>
      </c>
      <c r="R14" s="4234">
        <f>+('Maj Production Summ'!R17/3551)/('B-FCE'!N50+'B-FCE'!P50)</f>
        <v>2.4331383595790892</v>
      </c>
      <c r="S14" s="4233">
        <v>2.3936919177696425</v>
      </c>
      <c r="T14" s="4091">
        <v>2.3754677151130301</v>
      </c>
      <c r="U14" s="4234">
        <f>+('Maj Production Summ'!U17/3551)/('B-FCE'!Q50+'B-FCE'!S50)</f>
        <v>2.4241363300783183</v>
      </c>
      <c r="V14" s="4234">
        <f>+('Maj Production Summ'!V17/3551)/('B-FCE'!R50+'B-FCE'!T50)</f>
        <v>2.4213668121745622</v>
      </c>
      <c r="W14" s="4233">
        <v>2.3168490916157101</v>
      </c>
      <c r="X14" s="4091">
        <v>2.3089599228862205</v>
      </c>
      <c r="Y14" s="4235">
        <f>+('Maj Production Summ'!Y17/3551)/('B-FCE'!P50+'B-FCE'!T50+'B-FCE'!X50)</f>
        <v>2.018205442123318</v>
      </c>
      <c r="Z14" s="4235">
        <f>+('Maj Production Summ'!Z17/3551)/('B-FCE'!P50+'B-FCE'!T50+'B-FCE'!X50)</f>
        <v>2.3743513256456312</v>
      </c>
      <c r="AA14" s="4236">
        <f>+('Maj Production Summ'!AA17/3551)/('B-FCE'!M50+'B-FCE'!Y50)</f>
        <v>2.4130726567331631</v>
      </c>
      <c r="AB14" s="4236">
        <f>+('Maj Production Summ'!AB17/3551)/('B-FCE'!N50+'B-FCE'!Z50)</f>
        <v>2.4024972748460312</v>
      </c>
      <c r="AC14" s="4233">
        <v>2.3467567821271005</v>
      </c>
      <c r="AD14" s="4091">
        <v>2.2356326894354832</v>
      </c>
      <c r="AE14" s="4234">
        <f>+('Maj Production Summ'!AE17/3551)/('B-FCE'!AA50+'B-FCE'!AC50)</f>
        <v>2.4028710969194242</v>
      </c>
      <c r="AF14" s="4234">
        <f>+('Maj Production Summ'!AF17/3551)/('B-FCE'!AB50+'B-FCE'!AD50)</f>
        <v>2.3783107521954485</v>
      </c>
      <c r="AG14" s="4237">
        <v>2.3499936880334826</v>
      </c>
      <c r="AH14" s="4237">
        <v>0.80694655877663402</v>
      </c>
      <c r="AI14" s="4234">
        <f>+('Maj Production Summ'!AI17/3551)/('B-FCE'!AE50+'B-FCE'!AG50)</f>
        <v>2.3960258764009361</v>
      </c>
      <c r="AJ14" s="4234">
        <f>+('Maj Production Summ'!AJ17/3551)/('B-FCE'!AF50+'B-FCE'!AH50)</f>
        <v>2.3567363894955582</v>
      </c>
      <c r="AK14" s="4237">
        <v>2.3467567821271005</v>
      </c>
      <c r="AL14" s="4237">
        <v>2.3560233856843715</v>
      </c>
      <c r="AM14" s="4235">
        <f>+('Maj Production Summ'!AM17/3551)/('B-FCE'!AC50+'B-FCE'!AG50+'B-FCE'!AK50)</f>
        <v>2.347811504276371</v>
      </c>
      <c r="AN14" s="4235">
        <f>+('Maj Production Summ'!AN17/3551)/('B-FCE'!AD50+'B-FCE'!AH50+'B-FCE'!AL50)</f>
        <v>2.2291988613244564</v>
      </c>
      <c r="AO14" s="4234">
        <f>+('Maj Production Summ'!AO17/3551)/('B-FCE'!AK50+'B-FCE'!AI50)</f>
        <v>2.3902070784489053</v>
      </c>
      <c r="AP14" s="4234">
        <f>+('Maj Production Summ'!AP17/3551)/('B-FCE'!AL50+'B-FCE'!AJ50)</f>
        <v>2.3566451639260722</v>
      </c>
      <c r="AQ14" s="4237">
        <v>2.3467567821271005</v>
      </c>
      <c r="AR14" s="4237">
        <v>2.4887714643263985</v>
      </c>
      <c r="AS14" s="4234">
        <f>+('Maj Production Summ'!AS17/3551)/('B-FCE'!AO50+'B-FCE'!AQ50)</f>
        <v>2.3856175309996064</v>
      </c>
      <c r="AT14" s="4234">
        <f>+('Maj Production Summ'!AT17/3551)/('B-FCE'!AP50+'B-FCE'!AR50)</f>
        <v>2.3711444585556967</v>
      </c>
      <c r="AU14" s="4237">
        <v>2.3467567821271005</v>
      </c>
      <c r="AV14" s="4237">
        <v>2.4820490909149764</v>
      </c>
      <c r="AW14" s="4234">
        <f>+('Maj Production Summ'!AW17/3551)/('B-FCE'!AS50+'B-FCE'!AU50)</f>
        <v>2.3822439512060303</v>
      </c>
      <c r="AX14" s="4234">
        <f>+('Maj Production Summ'!AX17/3551)/('B-FCE'!AT50+'B-FCE'!AV50)</f>
        <v>2.3812905651611711</v>
      </c>
      <c r="AY14" s="4237">
        <v>2.3467567821271005</v>
      </c>
      <c r="AZ14" s="4237">
        <v>2.458086816036321</v>
      </c>
      <c r="BA14" s="4235">
        <f>+('Maj Production Summ'!BA17/3551)/('B-FCE'!AQ50+'B-FCE'!AU50+'B-FCE'!AY50)</f>
        <v>2.3467567821271009</v>
      </c>
      <c r="BB14" s="4235">
        <f>+('Maj Production Summ'!BB17/3551)/('B-FCE'!AR50+'B-FCE'!AV50+'B-FCE'!AZ50)</f>
        <v>2.4760163164415827</v>
      </c>
      <c r="BC14" s="4238">
        <f>+('Maj Production Summ'!BC17/3551)/('B-FCE'!AM50+'B-FCE'!BA50)</f>
        <v>2.3472901359412202</v>
      </c>
      <c r="BD14" s="4238">
        <f>+('Maj Production Summ'!BD17/3551)/('B-FCE'!AN50+'B-FCE'!BB50)</f>
        <v>2.371814661419942</v>
      </c>
      <c r="BE14" s="4239">
        <f>+('Maj Production Summ'!BE17/3551)/('B-FCE'!AW50+'B-FCE'!AY50)</f>
        <v>2.3791220672937579</v>
      </c>
      <c r="BF14" s="4240">
        <f>+('Maj Production Summ'!BF17/3551)/('B-FCE'!AX50+'B-FCE'!AZ50)</f>
        <v>2.3883803019635828</v>
      </c>
      <c r="BG14" s="1206">
        <v>2.3140113386555594</v>
      </c>
      <c r="BH14" s="4241">
        <v>2.2734567413998459</v>
      </c>
      <c r="BI14" s="1206">
        <v>2.2723639158348869</v>
      </c>
      <c r="BJ14" s="4241">
        <v>2.1810141580001829</v>
      </c>
      <c r="BK14" s="1206">
        <v>2.2132462789796934</v>
      </c>
      <c r="BL14" s="4241">
        <v>2.086254508453981</v>
      </c>
      <c r="BM14" s="1206">
        <v>2.2066158005423167</v>
      </c>
      <c r="BN14" s="4241">
        <v>2.0192262714625757</v>
      </c>
      <c r="BO14" s="2584">
        <v>2.0565754006373806</v>
      </c>
      <c r="BP14" s="3999">
        <v>1.7450412546954082</v>
      </c>
      <c r="BQ14" s="1206">
        <v>2.1585498861864605</v>
      </c>
      <c r="BR14" s="4000">
        <v>2.0057992136444116</v>
      </c>
      <c r="BS14" s="4000">
        <v>1.7419241961288634</v>
      </c>
      <c r="BT14" s="1219"/>
      <c r="BU14" s="4911"/>
    </row>
    <row r="15" spans="1:73" ht="18.600000000000001" thickBot="1" x14ac:dyDescent="0.35">
      <c r="A15" s="93"/>
      <c r="B15" s="2610" t="s">
        <v>362</v>
      </c>
      <c r="C15" s="3977" t="s">
        <v>363</v>
      </c>
      <c r="D15" s="4229">
        <v>871.29177755633066</v>
      </c>
      <c r="E15" s="1122">
        <v>866.91251568708628</v>
      </c>
      <c r="F15" s="1306">
        <f>+'Coal to Hot Metal'!F20</f>
        <v>846.11004846869969</v>
      </c>
      <c r="G15" s="1122">
        <v>866.91251568708628</v>
      </c>
      <c r="H15" s="1306">
        <f>+'Coal to Hot Metal'!H20</f>
        <v>849.34190363265725</v>
      </c>
      <c r="I15" s="1127">
        <f>+'Coal to Hot Metal'!I20</f>
        <v>866.91251568708617</v>
      </c>
      <c r="J15" s="572">
        <f>+'Coal to Hot Metal'!J20</f>
        <v>847.82525876418902</v>
      </c>
      <c r="K15" s="1122">
        <v>866.91251568708628</v>
      </c>
      <c r="L15" s="1306">
        <f>+'Coal to Hot Metal'!L20</f>
        <v>861.73356013497948</v>
      </c>
      <c r="M15" s="487">
        <f>+'Coal to Hot Metal'!M20</f>
        <v>866.91251568708617</v>
      </c>
      <c r="N15" s="487">
        <f>+'Coal to Hot Metal'!N20</f>
        <v>852.7178368874138</v>
      </c>
      <c r="O15" s="1122">
        <v>866.91251568708628</v>
      </c>
      <c r="P15" s="1306">
        <f>+'Coal to Hot Metal'!P20</f>
        <v>901.89702481912377</v>
      </c>
      <c r="Q15" s="572">
        <f>+((M15*'Maj Production Summ'!M$17)+('Maj Production Summ'!O$17*O15))/('Maj Production Summ'!Q$17)</f>
        <v>866.91251568708617</v>
      </c>
      <c r="R15" s="572">
        <f>+'Coal to Hot Metal'!R20</f>
        <v>865.75507651662667</v>
      </c>
      <c r="S15" s="1122">
        <v>866.91251568708628</v>
      </c>
      <c r="T15" s="1306">
        <f>+'Coal to Hot Metal'!T20</f>
        <v>901.57952496561427</v>
      </c>
      <c r="U15" s="572">
        <f>+((Q15*'Maj Production Summ'!Q$17)+('Maj Production Summ'!S$17*S15))/('Maj Production Summ'!U$17)</f>
        <v>866.91251568708617</v>
      </c>
      <c r="V15" s="572">
        <f>+'Coal to Hot Metal'!V20</f>
        <v>872.92883598099377</v>
      </c>
      <c r="W15" s="1122">
        <v>973.86831544015627</v>
      </c>
      <c r="X15" s="1306">
        <f>+'Coal to Hot Metal'!X20</f>
        <v>935.33175377395651</v>
      </c>
      <c r="Y15" s="487">
        <f>+'Coal to Hot Metal'!Y20</f>
        <v>889.9491494800551</v>
      </c>
      <c r="Z15" s="487">
        <f>+'Coal to Hot Metal'!Z20</f>
        <v>912.42943846048797</v>
      </c>
      <c r="AA15" s="1612">
        <f>+((M15*'Maj Production Summ'!M$17)+('Maj Production Summ'!Y$17*Y15))/('Maj Production Summ'!AA$17)</f>
        <v>877.50219883095463</v>
      </c>
      <c r="AB15" s="1612">
        <f>+'Coal to Hot Metal'!AB20</f>
        <v>882.99645354786935</v>
      </c>
      <c r="AC15" s="1122">
        <v>882.68648653107562</v>
      </c>
      <c r="AD15" s="1306">
        <f>+'Coal to Hot Metal'!AD20</f>
        <v>891.4254777158103</v>
      </c>
      <c r="AE15" s="572">
        <f>+((AA15*'Maj Production Summ'!AA$17)+('Maj Production Summ'!AC$17*AC15))/('Maj Production Summ'!AE$17)</f>
        <v>878.28108820897751</v>
      </c>
      <c r="AF15" s="572">
        <f>+'Coal to Hot Metal'!AF20</f>
        <v>884.14492025679908</v>
      </c>
      <c r="AG15" s="1306">
        <v>869.98415961395165</v>
      </c>
      <c r="AH15" s="1306">
        <f>+'Coal to Hot Metal'!AH20</f>
        <v>1821.6844408777995</v>
      </c>
      <c r="AI15" s="572">
        <f>+((AE15*'Maj Production Summ'!AE$17)+('Maj Production Summ'!AG$17*AG15))/('Maj Production Summ'!AI$17)</f>
        <v>877.22764816700669</v>
      </c>
      <c r="AJ15" s="572">
        <f>+'Coal to Hot Metal'!AJ20</f>
        <v>888.55234061175145</v>
      </c>
      <c r="AK15" s="1306">
        <v>869.98415961395165</v>
      </c>
      <c r="AL15" s="1306">
        <f>+'Coal to Hot Metal'!AL20</f>
        <v>880.90990660152113</v>
      </c>
      <c r="AM15" s="487">
        <f>+'Coal to Hot Metal'!AM20</f>
        <v>883.49537384954363</v>
      </c>
      <c r="AN15" s="487">
        <f>+'Coal to Hot Metal'!AN20</f>
        <v>901.28957387120761</v>
      </c>
      <c r="AO15" s="572">
        <f>+'Coal to Hot Metal'!AO20</f>
        <v>879.56478503865083</v>
      </c>
      <c r="AP15" s="572">
        <f>+'Coal to Hot Metal'!AP20</f>
        <v>887.57478419729296</v>
      </c>
      <c r="AQ15" s="1306">
        <v>869.98415961395165</v>
      </c>
      <c r="AR15" s="1306">
        <f>+'Coal to Hot Metal'!AR20</f>
        <v>839.50234176485299</v>
      </c>
      <c r="AS15" s="572">
        <f>+((AO15*'Maj Production Summ'!AO$17)+('Maj Production Summ'!AQ$17*AQ15))/('Maj Production Summ'!AS$17)</f>
        <v>878.56929195628391</v>
      </c>
      <c r="AT15" s="572">
        <f>+'Coal to Hot Metal'!AT20</f>
        <v>882.03770426037454</v>
      </c>
      <c r="AU15" s="1306">
        <v>869.98415961395165</v>
      </c>
      <c r="AV15" s="1306">
        <f>+'Coal to Hot Metal'!AV20</f>
        <v>833.07785405401853</v>
      </c>
      <c r="AW15" s="572">
        <f>+((AS15*'Maj Production Summ'!AS$17)+('Maj Production Summ'!AU$17*AU15))/('Maj Production Summ'!AW$17)</f>
        <v>877.83510161914035</v>
      </c>
      <c r="AX15" s="572">
        <f>+'Coal to Hot Metal'!AX20</f>
        <v>877.36909216707602</v>
      </c>
      <c r="AY15" s="1306">
        <v>869.98415961395165</v>
      </c>
      <c r="AZ15" s="1306">
        <f>+'Coal to Hot Metal'!AZ20</f>
        <v>821.7498196679386</v>
      </c>
      <c r="BA15" s="781">
        <f>+'Coal to Hot Metal'!BA20</f>
        <v>879.17042362526865</v>
      </c>
      <c r="BB15" s="781">
        <f>+'Coal to Hot Metal'!BB20</f>
        <v>831.3707407887515</v>
      </c>
      <c r="BC15" s="465">
        <f>+'Coal to Hot Metal'!BC20</f>
        <v>881.35795809453384</v>
      </c>
      <c r="BD15" s="465">
        <f>+'Coal to Hot Metal'!BD20</f>
        <v>859.114223704805</v>
      </c>
      <c r="BE15" s="782">
        <f>+'Coal to Hot Metal'!BE20</f>
        <v>879.46554448859797</v>
      </c>
      <c r="BF15" s="528">
        <f>+'Coal to Hot Metal'!BF20</f>
        <v>872.08452849537503</v>
      </c>
      <c r="BG15" s="1195">
        <v>879.8743565218308</v>
      </c>
      <c r="BH15" s="3985">
        <v>887.52975181303168</v>
      </c>
      <c r="BI15" s="1195">
        <v>900.75553765627933</v>
      </c>
      <c r="BJ15" s="3985">
        <v>932.0378517640504</v>
      </c>
      <c r="BK15" s="1195">
        <v>910.43802076736529</v>
      </c>
      <c r="BL15" s="3985">
        <v>930.8611107215944</v>
      </c>
      <c r="BM15" s="1195">
        <v>908.37669886703623</v>
      </c>
      <c r="BN15" s="3985">
        <v>935.21205199417307</v>
      </c>
      <c r="BO15" s="2578">
        <v>907.5085368428455</v>
      </c>
      <c r="BP15" s="2579">
        <v>991.44637124749988</v>
      </c>
      <c r="BQ15" s="1195">
        <v>886.42711546488033</v>
      </c>
      <c r="BR15" s="3985">
        <v>931.68362998699263</v>
      </c>
      <c r="BS15" s="3985">
        <v>905.60969999999998</v>
      </c>
      <c r="BT15" s="1219"/>
      <c r="BU15" s="4911"/>
    </row>
    <row r="16" spans="1:73" ht="18.600000000000001" thickBot="1" x14ac:dyDescent="0.35">
      <c r="A16" s="93"/>
      <c r="B16" s="4443" t="s">
        <v>364</v>
      </c>
      <c r="C16" s="2077" t="s">
        <v>271</v>
      </c>
      <c r="D16" s="4230">
        <v>1059</v>
      </c>
      <c r="E16" s="1126">
        <f>+$D$16</f>
        <v>1059</v>
      </c>
      <c r="F16" s="1201">
        <f>+(F38/'Maj Production Summ'!F18)*1000</f>
        <v>1059.7699014587963</v>
      </c>
      <c r="G16" s="1126">
        <f>+$D$16</f>
        <v>1059</v>
      </c>
      <c r="H16" s="1201">
        <f>+(H38/'Maj Production Summ'!H18)*1000</f>
        <v>1067.8204683947631</v>
      </c>
      <c r="I16" s="437">
        <f>+$D$16</f>
        <v>1059</v>
      </c>
      <c r="J16" s="782">
        <f>+(J38/'Maj Production Summ'!J18)*1000</f>
        <v>1064.0639073340274</v>
      </c>
      <c r="K16" s="1126">
        <f>+$D$16</f>
        <v>1059</v>
      </c>
      <c r="L16" s="1201">
        <f>+(L38/'Maj Production Summ'!L18)*1000</f>
        <v>1061.9196518424501</v>
      </c>
      <c r="M16" s="781">
        <f>+$D$16</f>
        <v>1059</v>
      </c>
      <c r="N16" s="781">
        <f>+(N38/'Maj Production Summ'!N18)*1000</f>
        <v>1063.3041677400013</v>
      </c>
      <c r="O16" s="1126">
        <f>+$D$16</f>
        <v>1059</v>
      </c>
      <c r="P16" s="1201">
        <f>+(P38/'Maj Production Summ'!P18)*1000</f>
        <v>1051.7068973673629</v>
      </c>
      <c r="Q16" s="782">
        <f>+$D$16</f>
        <v>1059</v>
      </c>
      <c r="R16" s="782">
        <f>+(R38/'Maj Production Summ'!R18)*1000</f>
        <v>1060.1771787668226</v>
      </c>
      <c r="S16" s="1126">
        <f>+$D$16</f>
        <v>1059</v>
      </c>
      <c r="T16" s="1201">
        <f>+(T38/'Maj Production Summ'!T18)*1000</f>
        <v>1060.1658095630878</v>
      </c>
      <c r="U16" s="782">
        <f>+$D$16</f>
        <v>1059</v>
      </c>
      <c r="V16" s="782">
        <f>+(V38/'Maj Production Summ'!V18)*1000</f>
        <v>1060.1748861799313</v>
      </c>
      <c r="W16" s="1126">
        <f>+$D$16</f>
        <v>1059</v>
      </c>
      <c r="X16" s="1201">
        <f>+(X38/'Maj Production Summ'!X18)*1000</f>
        <v>1063.8152587426769</v>
      </c>
      <c r="Y16" s="781">
        <f>+$D$16</f>
        <v>1059</v>
      </c>
      <c r="Z16" s="781">
        <f>+(Z38/'Maj Production Summ'!Z18)*1000</f>
        <v>1058.3307154265726</v>
      </c>
      <c r="AA16" s="465">
        <f>+$D$16</f>
        <v>1059</v>
      </c>
      <c r="AB16" s="465">
        <f>+(AB38/'Maj Production Summ'!AB18)*1000</f>
        <v>1060.7625483724512</v>
      </c>
      <c r="AC16" s="1126">
        <f>+$D$16</f>
        <v>1059</v>
      </c>
      <c r="AD16" s="1201">
        <f>+(AD38/'Maj Production Summ'!AD18)*1000</f>
        <v>1061.2178015467862</v>
      </c>
      <c r="AE16" s="782">
        <f>+$D$16</f>
        <v>1059</v>
      </c>
      <c r="AF16" s="782">
        <f>+(AF38/'Maj Production Summ'!AF18)*1000</f>
        <v>1060.824690606988</v>
      </c>
      <c r="AG16" s="1134">
        <f>$D$16</f>
        <v>1059</v>
      </c>
      <c r="AH16" s="1134">
        <f>+(AH38/'Maj Production Summ'!AH18)*1000</f>
        <v>1058.374291115312</v>
      </c>
      <c r="AI16" s="782">
        <f>+$D$16</f>
        <v>1059</v>
      </c>
      <c r="AJ16" s="782">
        <f>+(AJ38/'Maj Production Summ'!AJ18)*1000</f>
        <v>1060.8128005919348</v>
      </c>
      <c r="AK16" s="1134">
        <f>$D$16</f>
        <v>1059</v>
      </c>
      <c r="AL16" s="1134">
        <f>+(AL38/'Maj Production Summ'!AL18)*1000</f>
        <v>1061.5576980377132</v>
      </c>
      <c r="AM16" s="781">
        <f>+$D$16</f>
        <v>1059</v>
      </c>
      <c r="AN16" s="781">
        <f>+(AN38/'Maj Production Summ'!AN18)*1000</f>
        <v>1061.3410021010616</v>
      </c>
      <c r="AO16" s="782">
        <f>+$D$16</f>
        <v>1059</v>
      </c>
      <c r="AP16" s="782">
        <f>+(AP38/'Maj Production Summ'!AP18)*1000</f>
        <v>1060.9063705557294</v>
      </c>
      <c r="AQ16" s="1134">
        <f>$D$16</f>
        <v>1059</v>
      </c>
      <c r="AR16" s="1134">
        <f>+(AR38/'Maj Production Summ'!AR18)*1000</f>
        <v>1062.3569338318973</v>
      </c>
      <c r="AS16" s="782">
        <f>+$D$16</f>
        <v>1059</v>
      </c>
      <c r="AT16" s="782">
        <f>+(AT38/'Maj Production Summ'!AT18)*1000</f>
        <v>1061.075013526061</v>
      </c>
      <c r="AU16" s="1134">
        <f>$D$16</f>
        <v>1059</v>
      </c>
      <c r="AV16" s="1134">
        <f>+(AV38/'Maj Production Summ'!AV18)*1000</f>
        <v>1061.4913748626034</v>
      </c>
      <c r="AW16" s="782">
        <f>+$D$16</f>
        <v>1059</v>
      </c>
      <c r="AX16" s="782">
        <f>+(AX38/'Maj Production Summ'!AX18)*1000</f>
        <v>1061.1146876255782</v>
      </c>
      <c r="AY16" s="1134">
        <f>$D$16</f>
        <v>1059</v>
      </c>
      <c r="AZ16" s="1134">
        <f>+(AZ38/'Maj Production Summ'!AZ18)*1000</f>
        <v>1057.0891431809223</v>
      </c>
      <c r="BA16" s="618">
        <f>+$D$16</f>
        <v>1059</v>
      </c>
      <c r="BB16" s="618">
        <f>+(BB38/'Maj Production Summ'!BB18)*1000</f>
        <v>1060.2854438045888</v>
      </c>
      <c r="BC16" s="1049">
        <f>+$D$16</f>
        <v>1059</v>
      </c>
      <c r="BD16" s="1049">
        <f>+(BD38/'Maj Production Summ'!BD18)*1000</f>
        <v>1060.7022947116322</v>
      </c>
      <c r="BE16" s="1815">
        <f>+$D$16</f>
        <v>1059</v>
      </c>
      <c r="BF16" s="4242">
        <f>+(BF38/'Maj Production Summ'!BF18)*1000</f>
        <v>1060.7350782040101</v>
      </c>
      <c r="BG16" s="1100">
        <v>1060</v>
      </c>
      <c r="BH16" s="1196">
        <v>1059.5459918693748</v>
      </c>
      <c r="BI16" s="1100">
        <v>1060</v>
      </c>
      <c r="BJ16" s="1196">
        <v>1066.0113803295867</v>
      </c>
      <c r="BK16" s="1100">
        <v>1061.9999999999998</v>
      </c>
      <c r="BL16" s="1196">
        <v>1062.9741019163143</v>
      </c>
      <c r="BM16" s="1100">
        <v>1064.9999163858361</v>
      </c>
      <c r="BN16" s="1196">
        <v>1062.0576596902831</v>
      </c>
      <c r="BO16" s="2574">
        <v>1077.0434194075694</v>
      </c>
      <c r="BP16" s="2585">
        <v>1071.1760588881978</v>
      </c>
      <c r="BQ16" s="1100">
        <v>1065</v>
      </c>
      <c r="BR16" s="1196">
        <v>1093.6626453647993</v>
      </c>
      <c r="BS16" s="1196">
        <v>1078.3300007201833</v>
      </c>
      <c r="BT16" s="1219"/>
      <c r="BU16" s="4911"/>
    </row>
    <row r="17" spans="1:73" ht="18.600000000000001" thickBot="1" x14ac:dyDescent="0.35">
      <c r="A17" s="93"/>
      <c r="B17" s="2599" t="s">
        <v>1897</v>
      </c>
      <c r="C17" s="3978" t="s">
        <v>271</v>
      </c>
      <c r="D17" s="4231">
        <v>38</v>
      </c>
      <c r="E17" s="725">
        <f>+$D$17</f>
        <v>38</v>
      </c>
      <c r="F17" s="1215">
        <f>+(F39/'Maj Production Summ'!F18)*1000</f>
        <v>37.174669114095252</v>
      </c>
      <c r="G17" s="725">
        <f>+$D$17</f>
        <v>38</v>
      </c>
      <c r="H17" s="1215">
        <f>+(H39/'Maj Production Summ'!H18)*1000</f>
        <v>28.189893423710473</v>
      </c>
      <c r="I17" s="2688">
        <f>+$D$17</f>
        <v>38</v>
      </c>
      <c r="J17" s="276">
        <f>+(J39/'Maj Production Summ'!J18)*1000</f>
        <v>32.382375613648342</v>
      </c>
      <c r="K17" s="725">
        <f>+$D$17</f>
        <v>38</v>
      </c>
      <c r="L17" s="1215">
        <f>+(L39/'Maj Production Summ'!L18)*1000</f>
        <v>34.520831536271892</v>
      </c>
      <c r="M17" s="1203">
        <f>+$D$17</f>
        <v>38</v>
      </c>
      <c r="N17" s="1203">
        <f>+(N39/'Maj Production Summ'!N18)*1000</f>
        <v>33.140060339595784</v>
      </c>
      <c r="O17" s="725">
        <f>+$D$17</f>
        <v>38</v>
      </c>
      <c r="P17" s="1215">
        <f>+(P39/'Maj Production Summ'!P18)*1000</f>
        <v>44.526180507919989</v>
      </c>
      <c r="Q17" s="276">
        <f>+$D$17</f>
        <v>38</v>
      </c>
      <c r="R17" s="276">
        <f>+(R39/'Maj Production Summ'!R18)*1000</f>
        <v>36.210116574348966</v>
      </c>
      <c r="S17" s="725">
        <f>+$D$17</f>
        <v>38</v>
      </c>
      <c r="T17" s="1215">
        <f>+(T39/'Maj Production Summ'!T18)*1000</f>
        <v>36.183939197549044</v>
      </c>
      <c r="U17" s="276">
        <f>+$D$17</f>
        <v>38</v>
      </c>
      <c r="V17" s="276">
        <f>+(V39/'Maj Production Summ'!V18)*1000</f>
        <v>36.204837936345619</v>
      </c>
      <c r="W17" s="725">
        <f>+$D$17</f>
        <v>38</v>
      </c>
      <c r="X17" s="1215">
        <f>+(X39/'Maj Production Summ'!X18)*1000</f>
        <v>34.040564785957052</v>
      </c>
      <c r="Y17" s="1203">
        <f>+$D$17</f>
        <v>38</v>
      </c>
      <c r="Z17" s="1203">
        <f>+(Z39/'Maj Production Summ'!Z18)*1000</f>
        <v>38.453569056342083</v>
      </c>
      <c r="AA17" s="2261">
        <f>+$D$17</f>
        <v>38</v>
      </c>
      <c r="AB17" s="2261">
        <f>+(AB39/'Maj Production Summ'!AB18)*1000</f>
        <v>35.855461194584279</v>
      </c>
      <c r="AC17" s="725">
        <f>+$D$17</f>
        <v>38</v>
      </c>
      <c r="AD17" s="1215">
        <f>+(AD39/'Maj Production Summ'!AD18)*1000</f>
        <v>34.008139084713108</v>
      </c>
      <c r="AE17" s="276">
        <f>+$D$17</f>
        <v>38</v>
      </c>
      <c r="AF17" s="276">
        <f>+(AF39/'Maj Production Summ'!AF18)*1000</f>
        <v>35.603301011441708</v>
      </c>
      <c r="AG17" s="231">
        <f>$D$17</f>
        <v>38</v>
      </c>
      <c r="AH17" s="231">
        <f>+(AH39/'Maj Production Summ'!AH18)*1000</f>
        <v>41.109010712035285</v>
      </c>
      <c r="AI17" s="276">
        <f>+$D$17</f>
        <v>38</v>
      </c>
      <c r="AJ17" s="276">
        <f>+(AJ39/'Maj Production Summ'!AJ18)*1000</f>
        <v>35.630016235404184</v>
      </c>
      <c r="AK17" s="231">
        <f>$D$17</f>
        <v>38</v>
      </c>
      <c r="AL17" s="231">
        <f>+(AL39/'Maj Production Summ'!AL18)*1000</f>
        <v>37.65462052526285</v>
      </c>
      <c r="AM17" s="1203">
        <f>+$D$17</f>
        <v>38</v>
      </c>
      <c r="AN17" s="1203">
        <f>+(AN39/'Maj Production Summ'!AN18)*1000</f>
        <v>35.971595882177105</v>
      </c>
      <c r="AO17" s="276">
        <f>+$D$17</f>
        <v>38</v>
      </c>
      <c r="AP17" s="276">
        <f>+(AP39/'Maj Production Summ'!AP18)*1000</f>
        <v>35.884336009453307</v>
      </c>
      <c r="AQ17" s="231">
        <f>$D$17</f>
        <v>38</v>
      </c>
      <c r="AR17" s="231">
        <f>+(AR39/'Maj Production Summ'!AR18)*1000</f>
        <v>37.524386278653878</v>
      </c>
      <c r="AS17" s="276">
        <f>+$D$17</f>
        <v>38</v>
      </c>
      <c r="AT17" s="276">
        <f>+(AT39/'Maj Production Summ'!AT18)*1000</f>
        <v>36.075008800799516</v>
      </c>
      <c r="AU17" s="231">
        <f>$D$17</f>
        <v>38</v>
      </c>
      <c r="AV17" s="231">
        <f>+(AV39/'Maj Production Summ'!AV18)*1000</f>
        <v>35.703806725139643</v>
      </c>
      <c r="AW17" s="276">
        <f>+$D$17</f>
        <v>38</v>
      </c>
      <c r="AX17" s="276">
        <f>+(AX39/'Maj Production Summ'!AX18)*1000</f>
        <v>36.039637821800802</v>
      </c>
      <c r="AY17" s="231">
        <f>$D$17</f>
        <v>38</v>
      </c>
      <c r="AZ17" s="231">
        <f>+(AZ39/'Maj Production Summ'!AZ18)*1000</f>
        <v>38.362238864800943</v>
      </c>
      <c r="BA17" s="618">
        <f>+(BA39/'Maj Production Summ'!BA18)*1000</f>
        <v>38</v>
      </c>
      <c r="BB17" s="618">
        <f>+(BB39/'Maj Production Summ'!BB18)*1000</f>
        <v>37.241240892816293</v>
      </c>
      <c r="BC17" s="1049">
        <f>+(BC39/'Maj Production Summ'!BC18)*1000</f>
        <v>38</v>
      </c>
      <c r="BD17" s="1049">
        <f>+(BD39/'Maj Production Summ'!BD18)*1000</f>
        <v>36.739844924373031</v>
      </c>
      <c r="BE17" s="1815">
        <f>+(BE39/'Maj Production Summ'!BE18)*1000</f>
        <v>38</v>
      </c>
      <c r="BF17" s="4242">
        <f>+(BF39/'Maj Production Summ'!BF18)*1000</f>
        <v>36.258659435047846</v>
      </c>
      <c r="BG17" s="1679">
        <v>40</v>
      </c>
      <c r="BH17" s="1207">
        <v>37.680157934540539</v>
      </c>
      <c r="BI17" s="1679">
        <v>40</v>
      </c>
      <c r="BJ17" s="1207">
        <v>34.431040857281253</v>
      </c>
      <c r="BK17" s="1679">
        <v>46</v>
      </c>
      <c r="BL17" s="1207">
        <v>38.506404738512508</v>
      </c>
      <c r="BM17" s="1679">
        <v>49.999999999999993</v>
      </c>
      <c r="BN17" s="1207">
        <v>45.611232627441403</v>
      </c>
      <c r="BO17" s="2576">
        <v>40.465027848474861</v>
      </c>
      <c r="BP17" s="2586">
        <v>41.122433127480129</v>
      </c>
      <c r="BQ17" s="1679">
        <v>50</v>
      </c>
      <c r="BR17" s="1207">
        <v>25.53216575879436</v>
      </c>
      <c r="BS17" s="1207">
        <v>41.130412495604766</v>
      </c>
      <c r="BT17" s="1219"/>
      <c r="BU17" s="4911"/>
    </row>
    <row r="18" spans="1:73" ht="18.600000000000001" thickBot="1" x14ac:dyDescent="0.35">
      <c r="A18" s="93"/>
      <c r="B18" s="3281" t="s">
        <v>288</v>
      </c>
      <c r="C18" s="3979" t="s">
        <v>271</v>
      </c>
      <c r="D18" s="2337">
        <f>SUM(D16:D17)</f>
        <v>1097</v>
      </c>
      <c r="E18" s="1125">
        <f>+$D$18</f>
        <v>1097</v>
      </c>
      <c r="F18" s="158">
        <f>SUM(F16:F17)</f>
        <v>1096.9445705728915</v>
      </c>
      <c r="G18" s="1125">
        <f>+$D$18</f>
        <v>1097</v>
      </c>
      <c r="H18" s="158">
        <f>SUM(H16:H17)</f>
        <v>1096.0103618184735</v>
      </c>
      <c r="I18" s="715">
        <f>+$D$18</f>
        <v>1097</v>
      </c>
      <c r="J18" s="373">
        <f>SUM(J16:J17)</f>
        <v>1096.4462829476756</v>
      </c>
      <c r="K18" s="1125">
        <f>+$D$18</f>
        <v>1097</v>
      </c>
      <c r="L18" s="158">
        <f>SUM(L16:L17)</f>
        <v>1096.4404833787221</v>
      </c>
      <c r="M18" s="618">
        <f>+$D$18</f>
        <v>1097</v>
      </c>
      <c r="N18" s="618">
        <f>SUM(N16:N17)</f>
        <v>1096.444228079597</v>
      </c>
      <c r="O18" s="1125">
        <f>+$D$18</f>
        <v>1097</v>
      </c>
      <c r="P18" s="158">
        <f>SUM(P16:P17)</f>
        <v>1096.2330778752828</v>
      </c>
      <c r="Q18" s="373">
        <f>+$D$18</f>
        <v>1097</v>
      </c>
      <c r="R18" s="373">
        <f>SUM(R16:R17)</f>
        <v>1096.3872953411717</v>
      </c>
      <c r="S18" s="1125">
        <f>+$D$18</f>
        <v>1097</v>
      </c>
      <c r="T18" s="158">
        <f>SUM(T16:T17)</f>
        <v>1096.3497487606369</v>
      </c>
      <c r="U18" s="373">
        <f>+$D$18</f>
        <v>1097</v>
      </c>
      <c r="V18" s="373">
        <f>SUM(V16:V17)</f>
        <v>1096.379724116277</v>
      </c>
      <c r="W18" s="1125">
        <f>+$D$18</f>
        <v>1097</v>
      </c>
      <c r="X18" s="158">
        <f>SUM(X16:X17)</f>
        <v>1097.8558235286339</v>
      </c>
      <c r="Y18" s="618">
        <f>+$D$18</f>
        <v>1097</v>
      </c>
      <c r="Z18" s="618">
        <f>SUM(Z16:Z17)</f>
        <v>1096.7842844829147</v>
      </c>
      <c r="AA18" s="1049">
        <f>+$D$18</f>
        <v>1097</v>
      </c>
      <c r="AB18" s="1049">
        <f>SUM(AB16:AB17)</f>
        <v>1096.6180095670354</v>
      </c>
      <c r="AC18" s="1125">
        <f>+$D$18</f>
        <v>1097</v>
      </c>
      <c r="AD18" s="158">
        <f>SUM(AD16:AD17)</f>
        <v>1095.2259406314993</v>
      </c>
      <c r="AE18" s="373">
        <f>+$D$18</f>
        <v>1097</v>
      </c>
      <c r="AF18" s="373">
        <f>SUM(AF16:AF17)</f>
        <v>1096.4279916184298</v>
      </c>
      <c r="AG18" s="275">
        <f>+$D$18</f>
        <v>1097</v>
      </c>
      <c r="AH18" s="275">
        <f>SUM(AH16:AH17)</f>
        <v>1099.4833018273473</v>
      </c>
      <c r="AI18" s="373">
        <f>+$D$18</f>
        <v>1097</v>
      </c>
      <c r="AJ18" s="373">
        <f>SUM(AJ16:AJ17)</f>
        <v>1096.4428168273389</v>
      </c>
      <c r="AK18" s="275">
        <f>+$D$18</f>
        <v>1097</v>
      </c>
      <c r="AL18" s="275">
        <f>SUM(AL16:AL17)</f>
        <v>1099.212318562976</v>
      </c>
      <c r="AM18" s="618">
        <f>+$D$18</f>
        <v>1097</v>
      </c>
      <c r="AN18" s="618">
        <f>SUM(AN16:AN17)</f>
        <v>1097.3125979832387</v>
      </c>
      <c r="AO18" s="373">
        <f>+$D$18</f>
        <v>1097</v>
      </c>
      <c r="AP18" s="373">
        <f>SUM(AP16:AP17)</f>
        <v>1096.7907065651827</v>
      </c>
      <c r="AQ18" s="275">
        <f>+$D$18</f>
        <v>1097</v>
      </c>
      <c r="AR18" s="275">
        <f>SUM(AR16:AR17)</f>
        <v>1099.8813201105513</v>
      </c>
      <c r="AS18" s="373">
        <f>+$D$18</f>
        <v>1097</v>
      </c>
      <c r="AT18" s="373">
        <f>SUM(AT16:AT17)</f>
        <v>1097.1500223268604</v>
      </c>
      <c r="AU18" s="275">
        <f>+$D$18</f>
        <v>1097</v>
      </c>
      <c r="AV18" s="275">
        <f>SUM(AV16:AV17)</f>
        <v>1097.195181587743</v>
      </c>
      <c r="AW18" s="373">
        <f>+$D$18</f>
        <v>1097</v>
      </c>
      <c r="AX18" s="373">
        <f>SUM(AX16:AX17)</f>
        <v>1097.1543254473791</v>
      </c>
      <c r="AY18" s="275">
        <f>+$D$18</f>
        <v>1097</v>
      </c>
      <c r="AZ18" s="275">
        <f>SUM(AZ16:AZ17)</f>
        <v>1095.4513820457232</v>
      </c>
      <c r="BA18" s="618">
        <f>+$D$18</f>
        <v>1097</v>
      </c>
      <c r="BB18" s="618">
        <f>SUM(BB16:BB17)</f>
        <v>1097.526684697405</v>
      </c>
      <c r="BC18" s="1049">
        <f>+$D$18</f>
        <v>1097</v>
      </c>
      <c r="BD18" s="1049">
        <f>SUM(BD16:BD17)</f>
        <v>1097.4421396360053</v>
      </c>
      <c r="BE18" s="373">
        <f>+$D$18</f>
        <v>1097</v>
      </c>
      <c r="BF18" s="4243">
        <f t="shared" ref="BF18" si="15">SUM(BF16:BF17)</f>
        <v>1096.9937376390578</v>
      </c>
      <c r="BG18" s="4227">
        <v>1100</v>
      </c>
      <c r="BH18" s="4244">
        <v>1097.2261498039154</v>
      </c>
      <c r="BI18" s="4227">
        <v>1100</v>
      </c>
      <c r="BJ18" s="4244">
        <v>1100.4424211868679</v>
      </c>
      <c r="BK18" s="4227">
        <v>1107.9999999999998</v>
      </c>
      <c r="BL18" s="4244">
        <v>1101.4805066548267</v>
      </c>
      <c r="BM18" s="4227">
        <v>1114.9999163858361</v>
      </c>
      <c r="BN18" s="4244">
        <v>1107.6688923177246</v>
      </c>
      <c r="BO18" s="3993">
        <v>1117.5084472560443</v>
      </c>
      <c r="BP18" s="4001">
        <v>1112.298492015678</v>
      </c>
      <c r="BQ18" s="4002">
        <v>1115</v>
      </c>
      <c r="BR18" s="4003">
        <v>1119.1948111235938</v>
      </c>
      <c r="BS18" s="4003">
        <v>1119.4604132157881</v>
      </c>
      <c r="BT18" s="1219"/>
      <c r="BU18" s="4911"/>
    </row>
    <row r="19" spans="1:73" ht="18.600000000000001" thickBot="1" x14ac:dyDescent="0.35">
      <c r="A19" s="154"/>
      <c r="B19" s="4004" t="s">
        <v>1898</v>
      </c>
      <c r="C19" s="4005" t="s">
        <v>271</v>
      </c>
      <c r="D19" s="4216">
        <f>+D50+D51+D54</f>
        <v>22.017291674197072</v>
      </c>
      <c r="E19" s="1343">
        <f>+$D$19</f>
        <v>22.017291674197072</v>
      </c>
      <c r="F19" s="4220">
        <f>F50+F53+F54</f>
        <v>20.62119601970824</v>
      </c>
      <c r="G19" s="1343">
        <f>+$D$19</f>
        <v>22.017291674197072</v>
      </c>
      <c r="H19" s="4220">
        <f>H50+H53+H54</f>
        <v>19.422070842383725</v>
      </c>
      <c r="I19" s="4218">
        <f>+$D$19</f>
        <v>22.017291674197072</v>
      </c>
      <c r="J19" s="603">
        <f>J50+J53+J54</f>
        <v>19.981607454390545</v>
      </c>
      <c r="K19" s="1343">
        <f>+$D$19</f>
        <v>22.017291674197072</v>
      </c>
      <c r="L19" s="4220">
        <f>L50+L53+L54</f>
        <v>19.733624149219764</v>
      </c>
      <c r="M19" s="997">
        <f>+$D$19</f>
        <v>22.017291674197072</v>
      </c>
      <c r="N19" s="997">
        <f>N50+N53+N54</f>
        <v>19.893743514512209</v>
      </c>
      <c r="O19" s="1343">
        <f>+$D$19</f>
        <v>22.017291674197072</v>
      </c>
      <c r="P19" s="4220">
        <f>P50+P53+P54</f>
        <v>20.120845849989355</v>
      </c>
      <c r="Q19" s="603">
        <f>+$D$19</f>
        <v>22.017291674197072</v>
      </c>
      <c r="R19" s="603">
        <f>R50+R53+R54</f>
        <v>19.95497744939534</v>
      </c>
      <c r="S19" s="1343">
        <f>+$D$19</f>
        <v>22.017291674197072</v>
      </c>
      <c r="T19" s="4220">
        <f>T50+T53+T54</f>
        <v>19.080809016000202</v>
      </c>
      <c r="U19" s="276">
        <f>+$D$19</f>
        <v>22.017291674197072</v>
      </c>
      <c r="V19" s="603">
        <f>V50+V53+V54</f>
        <v>19.778702387569531</v>
      </c>
      <c r="W19" s="1343">
        <f>+$D$19</f>
        <v>22.017291674197072</v>
      </c>
      <c r="X19" s="4220">
        <f>X50+X53+X54</f>
        <v>17.254404951354879</v>
      </c>
      <c r="Y19" s="1203">
        <f>+$D$19</f>
        <v>22.017291674197072</v>
      </c>
      <c r="Z19" s="1203">
        <f>Z50+Z53+Z54</f>
        <v>18.871242154982866</v>
      </c>
      <c r="AA19" s="2261">
        <f>+$D$19</f>
        <v>22.017291674197072</v>
      </c>
      <c r="AB19" s="4219">
        <f>AB50+AB53+AB54</f>
        <v>19.371207236902968</v>
      </c>
      <c r="AC19" s="1343">
        <f>+$D$19</f>
        <v>22.017291674197072</v>
      </c>
      <c r="AD19" s="4385">
        <f>AD50+AD53+AD54</f>
        <v>19.519397851785826</v>
      </c>
      <c r="AE19" s="603">
        <f>+$D$19</f>
        <v>22.017291674197072</v>
      </c>
      <c r="AF19" s="603">
        <f>AF50+AF53+AF54</f>
        <v>19.391435313202816</v>
      </c>
      <c r="AG19" s="231">
        <f>+$D$19</f>
        <v>22.017291674197072</v>
      </c>
      <c r="AH19" s="231">
        <f>AH50+AH53+AH54</f>
        <v>17.643352236925015</v>
      </c>
      <c r="AI19" s="276">
        <f>+$D$19</f>
        <v>22.017291674197072</v>
      </c>
      <c r="AJ19" s="276">
        <f>AJ50+AJ53+AJ54</f>
        <v>19.382953131353897</v>
      </c>
      <c r="AK19" s="231">
        <f>+$D$19</f>
        <v>22.017291674197072</v>
      </c>
      <c r="AL19" s="231">
        <f>AL50+AL53+AL54</f>
        <v>21.325501213127318</v>
      </c>
      <c r="AM19" s="1203">
        <f>+$D$19</f>
        <v>22.017291674197072</v>
      </c>
      <c r="AN19" s="1203">
        <f>AN50+AN53+AN54</f>
        <v>20.399868387945887</v>
      </c>
      <c r="AO19" s="276">
        <f>+$D$19</f>
        <v>22.017291674197072</v>
      </c>
      <c r="AP19" s="276">
        <f>AP50+AP53+AP54</f>
        <v>19.62696545105053</v>
      </c>
      <c r="AQ19" s="231">
        <f>+$D$19</f>
        <v>22.017291674197072</v>
      </c>
      <c r="AR19" s="231">
        <f>AR50+AR53+AR54</f>
        <v>20.886847667046009</v>
      </c>
      <c r="AS19" s="276">
        <f>+$D$19</f>
        <v>22.017291674197072</v>
      </c>
      <c r="AT19" s="276">
        <f>AT50+AT53+AT54</f>
        <v>19.773439777723702</v>
      </c>
      <c r="AU19" s="231">
        <f>+$D$19</f>
        <v>22.017291674197072</v>
      </c>
      <c r="AV19" s="231">
        <f>AV50+AV53+AV54</f>
        <v>20.637519908477088</v>
      </c>
      <c r="AW19" s="276">
        <f>+$D$19</f>
        <v>22.017291674197072</v>
      </c>
      <c r="AX19" s="276">
        <f>AX50+AX53+AX54</f>
        <v>19.855775955676776</v>
      </c>
      <c r="AY19" s="231">
        <f>+$D$19</f>
        <v>22.017291674197072</v>
      </c>
      <c r="AZ19" s="231">
        <f>AZ50+AZ53+AZ54</f>
        <v>20.430955196426229</v>
      </c>
      <c r="BA19" s="1203">
        <f>+$D$19</f>
        <v>22.017291674197072</v>
      </c>
      <c r="BB19" s="1203">
        <f>BB50+BB53+BB54</f>
        <v>20.653008405767402</v>
      </c>
      <c r="BC19" s="2261">
        <f>+$D$19</f>
        <v>22.017291674197072</v>
      </c>
      <c r="BD19" s="2261">
        <f>BD50+BD53+BD54</f>
        <v>20.553040790155329</v>
      </c>
      <c r="BE19" s="603">
        <f>+$D$19</f>
        <v>22.017291674197072</v>
      </c>
      <c r="BF19" s="4801">
        <f>BF50+BF53+BF54</f>
        <v>19.91001544101362</v>
      </c>
      <c r="BG19" s="4245">
        <v>22.999999999999996</v>
      </c>
      <c r="BH19" s="4246">
        <v>20.403234933373927</v>
      </c>
      <c r="BI19" s="4245">
        <v>21.173676902697167</v>
      </c>
      <c r="BJ19" s="4246">
        <v>22.701786332137168</v>
      </c>
      <c r="BK19" s="4245">
        <v>20.999999999999996</v>
      </c>
      <c r="BL19" s="4246">
        <v>22.930617482833931</v>
      </c>
      <c r="BM19" s="4245">
        <v>21.957789999999999</v>
      </c>
      <c r="BN19" s="4246">
        <v>20.936321602680948</v>
      </c>
      <c r="BO19" s="4006">
        <v>20.938577554449214</v>
      </c>
      <c r="BP19" s="4007">
        <v>20.212673477197818</v>
      </c>
      <c r="BQ19" s="4008">
        <v>21</v>
      </c>
      <c r="BR19" s="4009">
        <v>21.832464031742681</v>
      </c>
      <c r="BS19" s="4009">
        <v>23.120676252165847</v>
      </c>
      <c r="BT19" s="1219"/>
      <c r="BU19" s="4911"/>
    </row>
    <row r="20" spans="1:73" ht="18.600000000000001" thickBot="1" x14ac:dyDescent="0.35">
      <c r="A20" s="149"/>
      <c r="B20" s="4451" t="s">
        <v>366</v>
      </c>
      <c r="C20" s="3280"/>
      <c r="D20" s="4847"/>
      <c r="E20" s="4248"/>
      <c r="F20" s="4249"/>
      <c r="G20" s="4248"/>
      <c r="H20" s="4249"/>
      <c r="I20" s="4250"/>
      <c r="J20" s="4249"/>
      <c r="K20" s="4248"/>
      <c r="L20" s="4249"/>
      <c r="M20" s="4249"/>
      <c r="N20" s="4249"/>
      <c r="O20" s="4248"/>
      <c r="P20" s="4249"/>
      <c r="Q20" s="4249"/>
      <c r="R20" s="4249"/>
      <c r="S20" s="4248"/>
      <c r="T20" s="4249"/>
      <c r="U20" s="4249"/>
      <c r="V20" s="4249"/>
      <c r="W20" s="4248"/>
      <c r="X20" s="4249"/>
      <c r="Y20" s="4249"/>
      <c r="Z20" s="4249"/>
      <c r="AA20" s="4249"/>
      <c r="AB20" s="4249"/>
      <c r="AC20" s="4248"/>
      <c r="AD20" s="4249"/>
      <c r="AE20" s="4249"/>
      <c r="AF20" s="4249"/>
      <c r="AG20" s="4249"/>
      <c r="AH20" s="4249"/>
      <c r="AI20" s="4249"/>
      <c r="AJ20" s="4249"/>
      <c r="AK20" s="4249"/>
      <c r="AL20" s="4249"/>
      <c r="AM20" s="4249"/>
      <c r="AN20" s="4249"/>
      <c r="AO20" s="4249"/>
      <c r="AP20" s="4249"/>
      <c r="AQ20" s="4249"/>
      <c r="AR20" s="4249"/>
      <c r="AS20" s="4249"/>
      <c r="AT20" s="4249"/>
      <c r="AU20" s="4249"/>
      <c r="AV20" s="4249"/>
      <c r="AW20" s="4249"/>
      <c r="AX20" s="4249"/>
      <c r="AY20" s="4249"/>
      <c r="AZ20" s="4249"/>
      <c r="BA20" s="4249"/>
      <c r="BB20" s="4249"/>
      <c r="BC20" s="4249"/>
      <c r="BD20" s="4249"/>
      <c r="BE20" s="4249"/>
      <c r="BF20" s="4247"/>
      <c r="BG20" s="4248"/>
      <c r="BH20" s="4249"/>
      <c r="BI20" s="4248"/>
      <c r="BJ20" s="4249"/>
      <c r="BK20" s="4248"/>
      <c r="BL20" s="4249"/>
      <c r="BM20" s="4249"/>
      <c r="BN20" s="4249"/>
      <c r="BO20" s="2605"/>
      <c r="BP20" s="2605"/>
      <c r="BQ20" s="4010"/>
      <c r="BR20" s="4011"/>
      <c r="BS20" s="4011"/>
      <c r="BT20" s="1219"/>
      <c r="BU20" s="4911"/>
    </row>
    <row r="21" spans="1:73" ht="18" x14ac:dyDescent="0.3">
      <c r="A21" s="93"/>
      <c r="B21" s="3281" t="s">
        <v>16</v>
      </c>
      <c r="C21" s="3979" t="s">
        <v>49</v>
      </c>
      <c r="D21" s="5374">
        <v>96</v>
      </c>
      <c r="E21" s="4251">
        <f>+$D$21</f>
        <v>96</v>
      </c>
      <c r="F21" s="2123">
        <f>+WRM!F161</f>
        <v>95.812540022738901</v>
      </c>
      <c r="G21" s="4251">
        <f>+$D$21</f>
        <v>96</v>
      </c>
      <c r="H21" s="2123">
        <f>+WRM!H161</f>
        <v>95.667534001835477</v>
      </c>
      <c r="I21" s="4252">
        <f>+$D$21</f>
        <v>96</v>
      </c>
      <c r="J21" s="2124">
        <f>+WRM!J161</f>
        <v>95.737476932696083</v>
      </c>
      <c r="K21" s="4251">
        <f>+$D$21</f>
        <v>96</v>
      </c>
      <c r="L21" s="2123">
        <f>+WRM!L161</f>
        <v>95.272840169253413</v>
      </c>
      <c r="M21" s="2125">
        <f>+$D$21</f>
        <v>96</v>
      </c>
      <c r="N21" s="2125">
        <f>+WRM!N161</f>
        <v>95.581449264204409</v>
      </c>
      <c r="O21" s="4251">
        <f>+$D$21</f>
        <v>96</v>
      </c>
      <c r="P21" s="2123">
        <f>+WRM!P161</f>
        <v>95.763065622511988</v>
      </c>
      <c r="Q21" s="2124">
        <f>+$D$21</f>
        <v>96</v>
      </c>
      <c r="R21" s="2124">
        <f>+WRM!R161</f>
        <v>95.634315725930975</v>
      </c>
      <c r="S21" s="4251">
        <f>+$D$21</f>
        <v>96</v>
      </c>
      <c r="T21" s="2123">
        <f>+WRM!T161</f>
        <v>95.916693405975138</v>
      </c>
      <c r="U21" s="2124">
        <f>+$D$21</f>
        <v>96</v>
      </c>
      <c r="V21" s="2124">
        <f>+WRM!V161</f>
        <v>95.688814764695167</v>
      </c>
      <c r="W21" s="4251">
        <f>+$D$21</f>
        <v>96</v>
      </c>
      <c r="X21" s="2123">
        <f>+WRM!X161</f>
        <v>95.610321120425965</v>
      </c>
      <c r="Y21" s="1533">
        <f>+$D$21</f>
        <v>96</v>
      </c>
      <c r="Z21" s="2125">
        <f>+WRM!Z161</f>
        <v>95.760445512828014</v>
      </c>
      <c r="AA21" s="2317">
        <f>+$D$21</f>
        <v>96</v>
      </c>
      <c r="AB21" s="4253">
        <f>+WRM!AB161</f>
        <v>95.675462547055403</v>
      </c>
      <c r="AC21" s="4251">
        <f>+$D$21</f>
        <v>96</v>
      </c>
      <c r="AD21" s="2123">
        <f>+WRM!AD161</f>
        <v>95.917021134700391</v>
      </c>
      <c r="AE21" s="2124">
        <f>+$D$21</f>
        <v>96</v>
      </c>
      <c r="AF21" s="2124">
        <f>+WRM!AF161</f>
        <v>89.211338049120201</v>
      </c>
      <c r="AG21" s="1221">
        <f>+$D$21</f>
        <v>96</v>
      </c>
      <c r="AH21" s="2123">
        <f>+WRM!AH161</f>
        <v>95.589763343773882</v>
      </c>
      <c r="AI21" s="2124">
        <f>+$D$21</f>
        <v>96</v>
      </c>
      <c r="AJ21" s="2124">
        <f>+WRM!AJ161</f>
        <v>89.631641243804538</v>
      </c>
      <c r="AK21" s="1221">
        <f>+$D$21</f>
        <v>96</v>
      </c>
      <c r="AL21" s="2123">
        <f>+WRM!AL161</f>
        <v>95.504190674215039</v>
      </c>
      <c r="AM21" s="1533">
        <f>+$D$21</f>
        <v>96</v>
      </c>
      <c r="AN21" s="2125">
        <f>+WRM!AN161</f>
        <v>95.69292018289876</v>
      </c>
      <c r="AO21" s="2124">
        <f>+$D$21</f>
        <v>96</v>
      </c>
      <c r="AP21" s="2124">
        <f>+WRM!AP161</f>
        <v>90.30443706906766</v>
      </c>
      <c r="AQ21" s="1221">
        <f>+$D$21</f>
        <v>96</v>
      </c>
      <c r="AR21" s="2123">
        <f>+WRM!AR161</f>
        <v>96.131407927563089</v>
      </c>
      <c r="AS21" s="2124">
        <f>+$D$21</f>
        <v>96</v>
      </c>
      <c r="AT21" s="1450">
        <f>+WRM!AT161</f>
        <v>90.914797110712897</v>
      </c>
      <c r="AU21" s="1221">
        <f>+$D$21</f>
        <v>96</v>
      </c>
      <c r="AV21" s="1221">
        <f>+WRM!AV161</f>
        <v>95.760199382221273</v>
      </c>
      <c r="AW21" s="2124">
        <f>+$D$21</f>
        <v>96</v>
      </c>
      <c r="AX21" s="2124">
        <f>+WRM!AX161</f>
        <v>91.313232397787488</v>
      </c>
      <c r="AY21" s="1221">
        <f>+$D$21</f>
        <v>96</v>
      </c>
      <c r="AZ21" s="1221">
        <f>+WRM!AZ161</f>
        <v>95.419404264602818</v>
      </c>
      <c r="BA21" s="1533">
        <f>+$D$21</f>
        <v>96</v>
      </c>
      <c r="BB21" s="1533">
        <f>+WRM!BB161</f>
        <v>95.761638869331975</v>
      </c>
      <c r="BC21" s="2317">
        <f>+$D$21</f>
        <v>96</v>
      </c>
      <c r="BD21" s="2317">
        <f>+WRM!BD161</f>
        <v>95.729796138600832</v>
      </c>
      <c r="BE21" s="1450">
        <f>+$D$21</f>
        <v>96</v>
      </c>
      <c r="BF21" s="1450">
        <f>+WRM!BF161</f>
        <v>91.698436826246294</v>
      </c>
      <c r="BG21" s="4254">
        <v>96</v>
      </c>
      <c r="BH21" s="4255">
        <v>95.818830917541447</v>
      </c>
      <c r="BI21" s="4254">
        <v>96</v>
      </c>
      <c r="BJ21" s="4255">
        <v>95.88178499213079</v>
      </c>
      <c r="BK21" s="4254">
        <v>96</v>
      </c>
      <c r="BL21" s="4255">
        <v>95.450038252944893</v>
      </c>
      <c r="BM21" s="4255">
        <v>95.999999938560009</v>
      </c>
      <c r="BN21" s="4256">
        <v>95.505335593423183</v>
      </c>
      <c r="BO21" s="3272">
        <v>96.222984019632065</v>
      </c>
      <c r="BP21" s="2587">
        <v>94.958654249153824</v>
      </c>
      <c r="BQ21" s="1209">
        <v>96.5</v>
      </c>
      <c r="BR21" s="1197">
        <v>96.195270984402612</v>
      </c>
      <c r="BS21" s="1197">
        <v>96.032658515622913</v>
      </c>
      <c r="BT21" s="1219"/>
      <c r="BU21" s="4911"/>
    </row>
    <row r="22" spans="1:73" ht="18" x14ac:dyDescent="0.3">
      <c r="A22" s="93"/>
      <c r="B22" s="4443" t="s">
        <v>91</v>
      </c>
      <c r="C22" s="3980" t="s">
        <v>49</v>
      </c>
      <c r="D22" s="5375">
        <v>96.5</v>
      </c>
      <c r="E22" s="406">
        <f>+$D$22</f>
        <v>96.5</v>
      </c>
      <c r="F22" s="2732">
        <f>+BM!F58</f>
        <v>96.340554248429044</v>
      </c>
      <c r="G22" s="406">
        <f>+$D$22</f>
        <v>96.5</v>
      </c>
      <c r="H22" s="2732">
        <f>+BM!H58</f>
        <v>96.517503903684087</v>
      </c>
      <c r="I22" s="390">
        <f>+$D$22</f>
        <v>96.5</v>
      </c>
      <c r="J22" s="3012">
        <f>+BM!J58</f>
        <v>96.434687077655013</v>
      </c>
      <c r="K22" s="406">
        <f>+$D$22</f>
        <v>96.5</v>
      </c>
      <c r="L22" s="2732">
        <f>+BM!L58</f>
        <v>96.419419676816304</v>
      </c>
      <c r="M22" s="3477">
        <f>+$D$22</f>
        <v>96.5</v>
      </c>
      <c r="N22" s="3477">
        <f>+BM!N58</f>
        <v>96.429498375073877</v>
      </c>
      <c r="O22" s="406">
        <f>+$D$22</f>
        <v>96.5</v>
      </c>
      <c r="P22" s="2732">
        <f>+BM!P58</f>
        <v>96.454667703108399</v>
      </c>
      <c r="Q22" s="3012">
        <f>+$D$22</f>
        <v>96.5</v>
      </c>
      <c r="R22" s="3012">
        <f>+BM!R58</f>
        <v>96.436769103209457</v>
      </c>
      <c r="S22" s="406">
        <f>+$D$22</f>
        <v>96.5</v>
      </c>
      <c r="T22" s="2732">
        <f>+BM!T58</f>
        <v>96.329019569725332</v>
      </c>
      <c r="U22" s="3012">
        <f>+$D$22</f>
        <v>96.5</v>
      </c>
      <c r="V22" s="3012">
        <f>+BM!V58</f>
        <v>96.415276787524633</v>
      </c>
      <c r="W22" s="406">
        <f>+$D$22</f>
        <v>96.5</v>
      </c>
      <c r="X22" s="2732">
        <f>+BM!X58</f>
        <v>96.394637106483472</v>
      </c>
      <c r="Y22" s="3459">
        <f>+$D$22</f>
        <v>96.5</v>
      </c>
      <c r="Z22" s="3477">
        <f>+BM!Z58</f>
        <v>96.395894549603327</v>
      </c>
      <c r="AA22" s="3460">
        <f>+$D$22</f>
        <v>96.5</v>
      </c>
      <c r="AB22" s="3478">
        <f>+BM!AB58</f>
        <v>96.411828924430893</v>
      </c>
      <c r="AC22" s="406">
        <f>+$D$22</f>
        <v>96.5</v>
      </c>
      <c r="AD22" s="2732">
        <f>+BM!AD58</f>
        <v>96.204059065906378</v>
      </c>
      <c r="AE22" s="3012">
        <f>+$D$22</f>
        <v>96.5</v>
      </c>
      <c r="AF22" s="3012">
        <f>+BM!AF58</f>
        <v>95.549715307654239</v>
      </c>
      <c r="AG22" s="2936">
        <f>+$D$22</f>
        <v>96.5</v>
      </c>
      <c r="AH22" s="2732">
        <f>+BM!AH58</f>
        <v>94.958487192653337</v>
      </c>
      <c r="AI22" s="3012">
        <f>+$D$22</f>
        <v>96.5</v>
      </c>
      <c r="AJ22" s="3012">
        <f>+BM!AJ58</f>
        <v>95.54610522639571</v>
      </c>
      <c r="AK22" s="2936">
        <f>+$D$22</f>
        <v>96.5</v>
      </c>
      <c r="AL22" s="2732">
        <f>+BM!AL58</f>
        <v>96.296097647380492</v>
      </c>
      <c r="AM22" s="3459">
        <f>+$D$22</f>
        <v>96.5</v>
      </c>
      <c r="AN22" s="3477">
        <f>+BM!AN58</f>
        <v>96.22181161869544</v>
      </c>
      <c r="AO22" s="3012">
        <f>+$D$22</f>
        <v>96.5</v>
      </c>
      <c r="AP22" s="3012">
        <f>+BM!AP58</f>
        <v>95.634828478635356</v>
      </c>
      <c r="AQ22" s="2936">
        <f>+$D$22</f>
        <v>96.5</v>
      </c>
      <c r="AR22" s="2732">
        <f>+BM!AR58</f>
        <v>96.148154975014705</v>
      </c>
      <c r="AS22" s="3012">
        <f>+$D$22</f>
        <v>96.5</v>
      </c>
      <c r="AT22" s="3202">
        <f>+BM!AT58</f>
        <v>95.688829453316416</v>
      </c>
      <c r="AU22" s="2936">
        <f>+$D$22</f>
        <v>96.5</v>
      </c>
      <c r="AV22" s="2936">
        <f>+BM!AV58</f>
        <v>96.184460544082043</v>
      </c>
      <c r="AW22" s="3012">
        <f>+$D$22</f>
        <v>96.5</v>
      </c>
      <c r="AX22" s="3012">
        <f>+BM!AX58</f>
        <v>95.733482556002386</v>
      </c>
      <c r="AY22" s="2936">
        <f>+$D$22</f>
        <v>96.5</v>
      </c>
      <c r="AZ22" s="2936">
        <f>+BM!AZ58</f>
        <v>96.379797529138472</v>
      </c>
      <c r="BA22" s="3459">
        <f>+$D$22</f>
        <v>96.5</v>
      </c>
      <c r="BB22" s="452">
        <f>+BM!BB58</f>
        <v>96.243641618151642</v>
      </c>
      <c r="BC22" s="472">
        <f>+$D$22</f>
        <v>96.5</v>
      </c>
      <c r="BD22" s="472">
        <f>+BM!BD58</f>
        <v>96.234988789342083</v>
      </c>
      <c r="BE22" s="348">
        <f>+$D$22</f>
        <v>96.5</v>
      </c>
      <c r="BF22" s="348">
        <f>+BM!BF58</f>
        <v>95.795578501755813</v>
      </c>
      <c r="BG22" s="4259">
        <v>96.5</v>
      </c>
      <c r="BH22" s="4260">
        <v>96.28695091898561</v>
      </c>
      <c r="BI22" s="4259">
        <v>96.5</v>
      </c>
      <c r="BJ22" s="4260">
        <v>96.088707842896071</v>
      </c>
      <c r="BK22" s="4259">
        <v>96.5</v>
      </c>
      <c r="BL22" s="4260">
        <v>95.450022221864671</v>
      </c>
      <c r="BM22" s="4260">
        <v>96.499981924910045</v>
      </c>
      <c r="BN22" s="1197">
        <v>95.423965808878961</v>
      </c>
      <c r="BO22" s="3272">
        <v>96.209843463927712</v>
      </c>
      <c r="BP22" s="2587">
        <v>95.175924318366739</v>
      </c>
      <c r="BQ22" s="1209">
        <v>96.5</v>
      </c>
      <c r="BR22" s="1197">
        <v>96.065592581466589</v>
      </c>
      <c r="BS22" s="1197">
        <v>96.054939695674079</v>
      </c>
      <c r="BT22" s="1219"/>
      <c r="BU22" s="4911"/>
    </row>
    <row r="23" spans="1:73" ht="18" x14ac:dyDescent="0.3">
      <c r="A23" s="93"/>
      <c r="B23" s="4443" t="s">
        <v>109</v>
      </c>
      <c r="C23" s="3980" t="s">
        <v>49</v>
      </c>
      <c r="D23" s="5375">
        <v>94.75</v>
      </c>
      <c r="E23" s="406">
        <f>+$D$23</f>
        <v>94.75</v>
      </c>
      <c r="F23" s="2732">
        <f>+USM!G123</f>
        <v>93.760477464473936</v>
      </c>
      <c r="G23" s="406">
        <f>+$D$23</f>
        <v>94.75</v>
      </c>
      <c r="H23" s="2732">
        <f>+USM!I123</f>
        <v>93.848373432627127</v>
      </c>
      <c r="I23" s="390">
        <f>+$D$23</f>
        <v>94.75</v>
      </c>
      <c r="J23" s="3012">
        <f>+USM!K123</f>
        <v>93.80756445928256</v>
      </c>
      <c r="K23" s="406">
        <f>+$D$23</f>
        <v>94.75</v>
      </c>
      <c r="L23" s="2732">
        <f>+USM!M123</f>
        <v>94.300657609568276</v>
      </c>
      <c r="M23" s="3477">
        <f>+$D$23</f>
        <v>94.75</v>
      </c>
      <c r="N23" s="3477">
        <f>+USM!O123</f>
        <v>93.981855291627923</v>
      </c>
      <c r="O23" s="406">
        <f>+$D$23</f>
        <v>94.75</v>
      </c>
      <c r="P23" s="2732">
        <f>+USM!Q123</f>
        <v>94.039736544191683</v>
      </c>
      <c r="Q23" s="3012">
        <f>+$D$23</f>
        <v>94.75</v>
      </c>
      <c r="R23" s="3012">
        <f>+USM!S123</f>
        <v>93.996743918003119</v>
      </c>
      <c r="S23" s="406">
        <f>+$D$23</f>
        <v>94.75</v>
      </c>
      <c r="T23" s="2732">
        <f>+USM!U123</f>
        <v>93.446166495534285</v>
      </c>
      <c r="U23" s="3012">
        <f>+$D$23</f>
        <v>94.75</v>
      </c>
      <c r="V23" s="3012">
        <f>+USM!W123</f>
        <v>93.904783814889868</v>
      </c>
      <c r="W23" s="406">
        <f>+$D$23</f>
        <v>94.75</v>
      </c>
      <c r="X23" s="2732">
        <f>+USM!Y123</f>
        <v>93.998143621476331</v>
      </c>
      <c r="Y23" s="3459">
        <f>+$D$23</f>
        <v>94.75</v>
      </c>
      <c r="Z23" s="3477">
        <f>+USM!AA123</f>
        <v>93.85159449703977</v>
      </c>
      <c r="AA23" s="3460">
        <f>+$D$23</f>
        <v>94.75</v>
      </c>
      <c r="AB23" s="3478">
        <f>+USM!AC123</f>
        <v>93.919491644619058</v>
      </c>
      <c r="AC23" s="406">
        <f>+$D$23</f>
        <v>94.75</v>
      </c>
      <c r="AD23" s="2732">
        <f>+USM!AE123</f>
        <v>94.095025573033311</v>
      </c>
      <c r="AE23" s="3012">
        <f>+$D$23</f>
        <v>94.75</v>
      </c>
      <c r="AF23" s="3012">
        <f>+USM!AG123</f>
        <v>88.973341592513563</v>
      </c>
      <c r="AG23" s="2936">
        <f>+$D$23</f>
        <v>94.75</v>
      </c>
      <c r="AH23" s="2732">
        <f>+USM!AI123</f>
        <v>93.69597873790353</v>
      </c>
      <c r="AI23" s="3012">
        <f>+$D$23</f>
        <v>94.75</v>
      </c>
      <c r="AJ23" s="3012">
        <f>+USM!AK123</f>
        <v>89.08300183172895</v>
      </c>
      <c r="AK23" s="2936">
        <f>+$D$23</f>
        <v>94.75</v>
      </c>
      <c r="AL23" s="2732">
        <f>+USM!AM123</f>
        <v>91.062905975135806</v>
      </c>
      <c r="AM23" s="3459">
        <f>+$D$23</f>
        <v>94.75</v>
      </c>
      <c r="AN23" s="3477">
        <f>+USM!AO123</f>
        <v>92.736311942445084</v>
      </c>
      <c r="AO23" s="3012">
        <f>+$D$23</f>
        <v>94.75</v>
      </c>
      <c r="AP23" s="3012">
        <f>+USM!AQ123</f>
        <v>89.281621462532954</v>
      </c>
      <c r="AQ23" s="2936">
        <f>+$D$23</f>
        <v>94.75</v>
      </c>
      <c r="AR23" s="2732">
        <f>+USM!AS123</f>
        <v>93.52941585010818</v>
      </c>
      <c r="AS23" s="3012">
        <f>+$D$23</f>
        <v>94.75</v>
      </c>
      <c r="AT23" s="3202">
        <f>+USM!AU123</f>
        <v>89.75165141243501</v>
      </c>
      <c r="AU23" s="2936">
        <f>+$D$23</f>
        <v>94.75</v>
      </c>
      <c r="AV23" s="2936">
        <f>+USM!AW123</f>
        <v>94.085079490713611</v>
      </c>
      <c r="AW23" s="3012">
        <f>+$D$23</f>
        <v>94.75</v>
      </c>
      <c r="AX23" s="3012">
        <f>+USM!AY123</f>
        <v>90.180862270176036</v>
      </c>
      <c r="AY23" s="2936">
        <f>+$D$23</f>
        <v>94.75</v>
      </c>
      <c r="AZ23" s="2936">
        <f>+USM!BA123</f>
        <v>94.09315214316058</v>
      </c>
      <c r="BA23" s="3459">
        <f>+$D$23</f>
        <v>94.75</v>
      </c>
      <c r="BB23" s="452">
        <f>+USM!BC123</f>
        <v>93.914611600919798</v>
      </c>
      <c r="BC23" s="472">
        <f>+$D$23</f>
        <v>94.75</v>
      </c>
      <c r="BD23" s="472">
        <f>+USM!BE123</f>
        <v>93.483365333354996</v>
      </c>
      <c r="BE23" s="348">
        <f>+$D$23</f>
        <v>94.75</v>
      </c>
      <c r="BF23" s="348">
        <f>+USM!BG123</f>
        <v>90.601645818228064</v>
      </c>
      <c r="BG23" s="4259">
        <v>94.75</v>
      </c>
      <c r="BH23" s="4260">
        <v>93.736035078776908</v>
      </c>
      <c r="BI23" s="4259">
        <v>94.5</v>
      </c>
      <c r="BJ23" s="4260">
        <v>94.168642194921944</v>
      </c>
      <c r="BK23" s="4259">
        <v>94.5</v>
      </c>
      <c r="BL23" s="4260">
        <v>93.371871065542948</v>
      </c>
      <c r="BM23" s="4260">
        <v>95.700065288711201</v>
      </c>
      <c r="BN23" s="1197">
        <v>93.445480895587224</v>
      </c>
      <c r="BO23" s="3272">
        <v>95.699819475340547</v>
      </c>
      <c r="BP23" s="2587">
        <v>95.266762287385887</v>
      </c>
      <c r="BQ23" s="1209">
        <v>95.7</v>
      </c>
      <c r="BR23" s="1197">
        <v>95.476013180662989</v>
      </c>
      <c r="BS23" s="1197">
        <v>95.486332877569964</v>
      </c>
      <c r="BT23" s="1219"/>
      <c r="BU23" s="4911"/>
    </row>
    <row r="24" spans="1:73" ht="18" x14ac:dyDescent="0.3">
      <c r="A24" s="93"/>
      <c r="B24" s="4443" t="s">
        <v>1757</v>
      </c>
      <c r="C24" s="3980" t="s">
        <v>324</v>
      </c>
      <c r="D24" s="5283">
        <v>5.9499750782715646</v>
      </c>
      <c r="E24" s="3483">
        <v>5.9579646181196697</v>
      </c>
      <c r="F24" s="2943">
        <f>EMD!E130</f>
        <v>6.0846476745556721</v>
      </c>
      <c r="G24" s="3483">
        <v>5.8950819349699</v>
      </c>
      <c r="H24" s="2943">
        <f>EMD!G130</f>
        <v>5.9791618358977949</v>
      </c>
      <c r="I24" s="999">
        <f>EMD!H130</f>
        <v>5.9260302723648577</v>
      </c>
      <c r="J24" s="3215">
        <f>EMD!I130</f>
        <v>6.0300558618251694</v>
      </c>
      <c r="K24" s="3483">
        <v>5.8881874827843568</v>
      </c>
      <c r="L24" s="2943">
        <f>EMD!K130</f>
        <v>5.9510024504802947</v>
      </c>
      <c r="M24" s="3481">
        <f>EMD!L130</f>
        <v>5.9135485641504033</v>
      </c>
      <c r="N24" s="3481">
        <f>EMD!M130</f>
        <v>6.0018291327647386</v>
      </c>
      <c r="O24" s="3483">
        <v>5.9044904422712001</v>
      </c>
      <c r="P24" s="2943">
        <f>EMD!O130</f>
        <v>5.9231909835586922</v>
      </c>
      <c r="Q24" s="3215">
        <f>+EMD!P130</f>
        <v>5.9112818034949903</v>
      </c>
      <c r="R24" s="3215">
        <f>+EMD!Q130</f>
        <v>5.9807714639072804</v>
      </c>
      <c r="S24" s="3483">
        <v>5.9110636073860041</v>
      </c>
      <c r="T24" s="2943">
        <f>EMD!S130</f>
        <v>6.028154237488426</v>
      </c>
      <c r="U24" s="3215">
        <f>+EMD!T130</f>
        <v>5.9112381298980674</v>
      </c>
      <c r="V24" s="3215">
        <f>+EMD!U130</f>
        <v>5.9903261458466117</v>
      </c>
      <c r="W24" s="3483">
        <v>6.4404862064644854</v>
      </c>
      <c r="X24" s="2943">
        <f>EMD!W130</f>
        <v>6.2161034181344306</v>
      </c>
      <c r="Y24" s="3481">
        <f>+EMD!X130</f>
        <v>6.0185038105368784</v>
      </c>
      <c r="Z24" s="3481">
        <f>+EMD!Y130</f>
        <v>6.0504489425821761</v>
      </c>
      <c r="AA24" s="3482">
        <f>+EMD!Z130</f>
        <v>5.9615465955288425</v>
      </c>
      <c r="AB24" s="3482">
        <f>+EMD!AA130</f>
        <v>6.0267096597919014</v>
      </c>
      <c r="AC24" s="3483">
        <f>EMD!AB130</f>
        <v>5.9185019189583619</v>
      </c>
      <c r="AD24" s="2943">
        <f>EMD!AC130</f>
        <v>6.0970123553483413</v>
      </c>
      <c r="AE24" s="3215">
        <f>+EMD!AD130</f>
        <v>6.0094385160929535</v>
      </c>
      <c r="AF24" s="3215">
        <f>+EMD!AE130</f>
        <v>6.1913023947145307</v>
      </c>
      <c r="AG24" s="998">
        <f>+EMD!AF130</f>
        <v>5.8679361229423455</v>
      </c>
      <c r="AH24" s="406">
        <f>+EMD!AG130</f>
        <v>29.436172268975831</v>
      </c>
      <c r="AI24" s="3012">
        <f>+EMD!AH130</f>
        <v>5.9889092752809976</v>
      </c>
      <c r="AJ24" s="3012">
        <f>+EMD!AI130</f>
        <v>6.3410738789124395</v>
      </c>
      <c r="AK24" s="998">
        <f>+EMD!AJ130</f>
        <v>5.8607390227005398</v>
      </c>
      <c r="AL24" s="406">
        <f>+EMD!AK130</f>
        <v>5.9578574346924951</v>
      </c>
      <c r="AM24" s="3481">
        <f>+EMD!AL130</f>
        <v>5.8825484570394195</v>
      </c>
      <c r="AN24" s="3481">
        <f>+EMD!AM130</f>
        <v>6.4249770532211636</v>
      </c>
      <c r="AO24" s="3215">
        <f>+EMD!AN130</f>
        <v>5.9722026485530275</v>
      </c>
      <c r="AP24" s="3215">
        <f>+EMD!AO130</f>
        <v>6.2868475436743649</v>
      </c>
      <c r="AQ24" s="998">
        <f>+EMD!AP130</f>
        <v>5.8608476022205673</v>
      </c>
      <c r="AR24" s="998">
        <f>+EMD!AQ130</f>
        <v>5.8560511441313423</v>
      </c>
      <c r="AS24" s="3215">
        <f>+EMD!AR130</f>
        <v>5.9593616265608853</v>
      </c>
      <c r="AT24" s="3215">
        <f>+EMD!AS130</f>
        <v>6.230431626440768</v>
      </c>
      <c r="AU24" s="998">
        <f>+EMD!AT130</f>
        <v>5.8591772297916185</v>
      </c>
      <c r="AV24" s="998">
        <f>+EMD!AU130</f>
        <v>5.888599128118563</v>
      </c>
      <c r="AW24" s="3215">
        <f>+EMD!AV130</f>
        <v>5.9499431326203212</v>
      </c>
      <c r="AX24" s="3215">
        <f>+EMD!AW130</f>
        <v>6.1941702176749738</v>
      </c>
      <c r="AY24" s="998">
        <f>+EMD!AX130</f>
        <v>5.8704881721591375</v>
      </c>
      <c r="AZ24" s="998">
        <f>+EMD!AY130</f>
        <v>5.8758634243320023</v>
      </c>
      <c r="BA24" s="3481">
        <f>+EMD!AZ130</f>
        <v>5.8636537802288489</v>
      </c>
      <c r="BB24" s="5044">
        <f>+EMD!BA130</f>
        <v>5.8730059845119555</v>
      </c>
      <c r="BC24" s="4800">
        <f>+EMD!BB130</f>
        <v>5.8732107674085681</v>
      </c>
      <c r="BD24" s="5045">
        <f>+EMD!BC130</f>
        <v>6.0909850780609363</v>
      </c>
      <c r="BE24" s="4258">
        <f>+EMD!BD130</f>
        <v>5.9500019581826908</v>
      </c>
      <c r="BF24" s="4258">
        <f>+EMD!BE130</f>
        <v>6.1600133062678522</v>
      </c>
      <c r="BG24" s="4261">
        <v>5.9500019581826908</v>
      </c>
      <c r="BH24" s="4262">
        <v>6.1600133062678522</v>
      </c>
      <c r="BI24" s="4261">
        <v>5.9498028934774796</v>
      </c>
      <c r="BJ24" s="4262">
        <v>6.1924446176470314</v>
      </c>
      <c r="BK24" s="4261">
        <v>5.989203092506215</v>
      </c>
      <c r="BL24" s="4262">
        <v>6.2012037687729737</v>
      </c>
      <c r="BM24" s="4262">
        <v>5.9854778159958535</v>
      </c>
      <c r="BN24" s="1198">
        <v>6.3006370372485003</v>
      </c>
      <c r="BO24" s="3273">
        <v>6.1969869203763626</v>
      </c>
      <c r="BP24" s="2588">
        <v>6.4827565550935358</v>
      </c>
      <c r="BQ24" s="1210">
        <v>5.95</v>
      </c>
      <c r="BR24" s="1198">
        <v>6.1800190917369466</v>
      </c>
      <c r="BS24" s="1198">
        <v>6.3116941199196104</v>
      </c>
      <c r="BT24" s="1219"/>
      <c r="BU24" s="4911"/>
    </row>
    <row r="25" spans="1:73" ht="18.75" x14ac:dyDescent="0.25">
      <c r="A25" s="93"/>
      <c r="B25" s="5805" t="s">
        <v>308</v>
      </c>
      <c r="C25" s="3980" t="s">
        <v>367</v>
      </c>
      <c r="D25" s="4263">
        <v>467.95995482299668</v>
      </c>
      <c r="E25" s="1126">
        <v>461.33365080836813</v>
      </c>
      <c r="F25" s="2647">
        <f>+'POWER DISTRIBUTION'!J18/('Maj Production Summ'!F37+0.25*'Maj Production Summ'!F26)</f>
        <v>479.82228799886599</v>
      </c>
      <c r="G25" s="1126">
        <v>461.80049178666684</v>
      </c>
      <c r="H25" s="2647">
        <f>+'POWER DISTRIBUTION'!L18/('Maj Production Summ'!H37+0.25*'Maj Production Summ'!H26)</f>
        <v>454.07151976836832</v>
      </c>
      <c r="I25" s="437">
        <f>+'POWER DISTRIBUTION'!M18/('Maj Production Summ'!I37+0.25*'Maj Production Summ'!I26)</f>
        <v>461.57082871638227</v>
      </c>
      <c r="J25" s="2648">
        <f>+'POWER DISTRIBUTION'!N18/('Maj Production Summ'!J37+0.25*'Maj Production Summ'!J26)</f>
        <v>466.0736787227786</v>
      </c>
      <c r="K25" s="1126">
        <v>461.30940171262648</v>
      </c>
      <c r="L25" s="2647">
        <f>+'POWER DISTRIBUTION'!P18/('Maj Production Summ'!L37+0.25*'Maj Production Summ'!L26)</f>
        <v>452.69568410646042</v>
      </c>
      <c r="M25" s="2649">
        <f>+'POWER DISTRIBUTION'!Q18/('Maj Production Summ'!M37+0.25*'Maj Production Summ'!M26)</f>
        <v>461.48462651792335</v>
      </c>
      <c r="N25" s="2649">
        <f>+'POWER DISTRIBUTION'!R18/('Maj Production Summ'!N37+0.25*'Maj Production Summ'!N26)</f>
        <v>461.42918851243252</v>
      </c>
      <c r="O25" s="1126">
        <v>467.7439435313612</v>
      </c>
      <c r="P25" s="2647">
        <f>+'POWER DISTRIBUTION'!T18/('Maj Production Summ'!P37+0.25*'Maj Production Summ'!P26)</f>
        <v>442.74265376564608</v>
      </c>
      <c r="Q25" s="2648">
        <f>+'POWER DISTRIBUTION'!U18/('Maj Production Summ'!Q37+0.25*'Maj Production Summ'!Q26)</f>
        <v>463.0494573265438</v>
      </c>
      <c r="R25" s="2648">
        <f>+'POWER DISTRIBUTION'!V18/('Maj Production Summ'!R37+0.25*'Maj Production Summ'!R26)</f>
        <v>456.38153371500158</v>
      </c>
      <c r="S25" s="1126">
        <v>467.7439435313612</v>
      </c>
      <c r="T25" s="2647">
        <f>+'POWER DISTRIBUTION'!X18/('Maj Production Summ'!T37+0.25*'Maj Production Summ'!T26)</f>
        <v>478.60887298753227</v>
      </c>
      <c r="U25" s="2648">
        <f>+'POWER DISTRIBUTION'!Y18/('Maj Production Summ'!U37+0.25*'Maj Production Summ'!U26)</f>
        <v>463.98835531403216</v>
      </c>
      <c r="V25" s="2648">
        <f>+'POWER DISTRIBUTION'!Z18/('Maj Production Summ'!V37+0.25*'Maj Production Summ'!V26)</f>
        <v>460.73140549718403</v>
      </c>
      <c r="W25" s="1126">
        <v>583.45256429103893</v>
      </c>
      <c r="X25" s="2647">
        <f>+'POWER DISTRIBUTION'!AB18/('Maj Production Summ'!X37+0.25*'Maj Production Summ'!X26)</f>
        <v>460.50130338661052</v>
      </c>
      <c r="Y25" s="2649">
        <f>+'POWER DISTRIBUTION'!AC18/('Maj Production Summ'!Y37+0.25*'Maj Production Summ'!Y26)</f>
        <v>491.95795398331109</v>
      </c>
      <c r="Z25" s="2649">
        <f>+'POWER DISTRIBUTION'!AD18/('Maj Production Summ'!Z37+0.25*'Maj Production Summ'!Z26)</f>
        <v>459.98729965214289</v>
      </c>
      <c r="AA25" s="2693">
        <f>+'POWER DISTRIBUTION'!AE18/('Maj Production Summ'!AA37+0.25*'Maj Production Summ'!AA26)</f>
        <v>475.42422624698077</v>
      </c>
      <c r="AB25" s="2693">
        <f>+'POWER DISTRIBUTION'!AF18/('Maj Production Summ'!AB37+0.25*'Maj Production Summ'!AB26)</f>
        <v>460.69319784507042</v>
      </c>
      <c r="AC25" s="1126">
        <v>473.75976042711665</v>
      </c>
      <c r="AD25" s="2647">
        <f>+'POWER DISTRIBUTION'!AH18/('Maj Production Summ'!AD37+0.25*'Maj Production Summ'!AD26)</f>
        <v>548.7195620509907</v>
      </c>
      <c r="AE25" s="2648">
        <f>+'POWER DISTRIBUTION'!AI18/('Maj Production Summ'!AE37+0.25*'Maj Production Summ'!AE26)</f>
        <v>475.17376749409539</v>
      </c>
      <c r="AF25" s="2648">
        <f>+'POWER DISTRIBUTION'!AJ18/('Maj Production Summ'!AF37+0.25*'Maj Production Summ'!AF26)</f>
        <v>471.45152961925061</v>
      </c>
      <c r="AG25" s="2716">
        <v>466.25572957873084</v>
      </c>
      <c r="AH25" s="2716">
        <f>+'POWER DISTRIBUTION'!AL18/('Maj Production Summ'!AH37+0.25*'Maj Production Summ'!AH26)</f>
        <v>1065.6855882267746</v>
      </c>
      <c r="AI25" s="2648">
        <f>+'POWER DISTRIBUTION'!AM18/('Maj Production Summ'!AI37+0.25*'Maj Production Summ'!AI26)</f>
        <v>474.02373789110726</v>
      </c>
      <c r="AJ25" s="2648">
        <f>+'POWER DISTRIBUTION'!AN18/('Maj Production Summ'!AJ37+0.25*'Maj Production Summ'!AJ26)</f>
        <v>486.8538349799266</v>
      </c>
      <c r="AK25" s="2716">
        <v>477.18948648607778</v>
      </c>
      <c r="AL25" s="2716">
        <f>+'POWER DISTRIBUTION'!AP18/('Maj Production Summ'!AL37+0.25*'Maj Production Summ'!AL26)</f>
        <v>440.38862841414038</v>
      </c>
      <c r="AM25" s="2649">
        <f>+'POWER DISTRIBUTION'!AQ18/('Maj Production Summ'!AM37+0.25*'Maj Production Summ'!AM26)</f>
        <v>472.42342260403262</v>
      </c>
      <c r="AN25" s="2649">
        <f>+'POWER DISTRIBUTION'!AR18/('Maj Production Summ'!AN37+0.25*'Maj Production Summ'!AN26)</f>
        <v>540.56277464225934</v>
      </c>
      <c r="AO25" s="2648">
        <f>+'POWER DISTRIBUTION'!AS18/('Maj Production Summ'!AO37+0.25*'Maj Production Summ'!AO26)</f>
        <v>474.38826272621498</v>
      </c>
      <c r="AP25" s="2648">
        <f>+'POWER DISTRIBUTION'!AT18/('Maj Production Summ'!AP37+0.25*'Maj Production Summ'!AP26)</f>
        <v>480.94951625723826</v>
      </c>
      <c r="AQ25" s="2716">
        <v>473.76184815883681</v>
      </c>
      <c r="AR25" s="2716">
        <f>+'POWER DISTRIBUTION'!AV18/('Maj Production Summ'!AR37+0.25*'Maj Production Summ'!AR26)</f>
        <v>429.41760724586254</v>
      </c>
      <c r="AS25" s="2648">
        <f>+'POWER DISTRIBUTION'!AW18/('Maj Production Summ'!AS37+0.25*'Maj Production Summ'!AS26)</f>
        <v>474.32326765349546</v>
      </c>
      <c r="AT25" s="2648">
        <f>+'POWER DISTRIBUTION'!AX18/('Maj Production Summ'!AT37+0.25*'Maj Production Summ'!AT26)</f>
        <v>474.98213995204452</v>
      </c>
      <c r="AU25" s="2716">
        <v>466.39504702757426</v>
      </c>
      <c r="AV25" s="2716">
        <f>+'POWER DISTRIBUTION'!AZ18/('Maj Production Summ'!AV37+0.25*'Maj Production Summ'!AV26)</f>
        <v>447.46905949788925</v>
      </c>
      <c r="AW25" s="2648">
        <f>+'POWER DISTRIBUTION'!BA18/('Maj Production Summ'!AW37+0.25*'Maj Production Summ'!AW26)</f>
        <v>473.63450850957184</v>
      </c>
      <c r="AX25" s="2648">
        <f>+'POWER DISTRIBUTION'!BB18/('Maj Production Summ'!AX37+0.25*'Maj Production Summ'!AX26)</f>
        <v>472.41784785863882</v>
      </c>
      <c r="AY25" s="2716">
        <v>467.6395763391838</v>
      </c>
      <c r="AZ25" s="2716">
        <f>+'POWER DISTRIBUTION'!BD18/('Maj Production Summ'!AZ37+0.25*'Maj Production Summ'!AZ26)</f>
        <v>432.53356318568495</v>
      </c>
      <c r="BA25" s="2649">
        <f>+'POWER DISTRIBUTION'!BE18/('Maj Production Summ'!BA37+0.25*'Maj Production Summ'!BA26)</f>
        <v>469.33851593448247</v>
      </c>
      <c r="BB25" s="2649">
        <f>+'POWER DISTRIBUTION'!BF18/('Maj Production Summ'!BB37+0.25*'Maj Production Summ'!BB26)</f>
        <v>436.01158173192226</v>
      </c>
      <c r="BC25" s="2693">
        <f>+'POWER DISTRIBUTION'!BG18/('Maj Production Summ'!BC37+0.25*'Maj Production Summ'!BC26)</f>
        <v>470.89221897235092</v>
      </c>
      <c r="BD25" s="2693">
        <f>+'POWER DISTRIBUTION'!BH18/('Maj Production Summ'!BD37+0.25*'Maj Production Summ'!BD26)</f>
        <v>477.738633617647</v>
      </c>
      <c r="BE25" s="2648">
        <f>+'POWER DISTRIBUTION'!BI18/('Maj Production Summ'!BE37+0.25*'Maj Production Summ'!BE26)</f>
        <v>473.10633870286927</v>
      </c>
      <c r="BF25" s="4264">
        <f>+'POWER DISTRIBUTION'!BJ18/('Maj Production Summ'!BF37+0.25*'Maj Production Summ'!BF26)</f>
        <v>468.53180601953625</v>
      </c>
      <c r="BG25" s="1100">
        <v>498.86963107144817</v>
      </c>
      <c r="BH25" s="2831">
        <v>491.52958024478414</v>
      </c>
      <c r="BI25" s="1100">
        <v>491.86597886404491</v>
      </c>
      <c r="BJ25" s="2831">
        <v>499.12040640635269</v>
      </c>
      <c r="BK25" s="1100">
        <v>499.14522665560133</v>
      </c>
      <c r="BL25" s="2831">
        <v>516.74946439793155</v>
      </c>
      <c r="BM25" s="2831">
        <v>501.08847615207304</v>
      </c>
      <c r="BN25" s="1099">
        <v>528.34198170405227</v>
      </c>
      <c r="BO25" s="3274">
        <v>500.04339220311806</v>
      </c>
      <c r="BP25" s="2587">
        <v>579.80533013641912</v>
      </c>
      <c r="BQ25" s="1211">
        <v>483.42299975438647</v>
      </c>
      <c r="BR25" s="1197">
        <v>525.26172798809614</v>
      </c>
      <c r="BS25" s="1099">
        <v>552.0369062994705</v>
      </c>
      <c r="BT25" s="1219"/>
      <c r="BU25" s="4911"/>
    </row>
    <row r="26" spans="1:73" ht="18.75" x14ac:dyDescent="0.25">
      <c r="A26" s="93"/>
      <c r="B26" s="5805"/>
      <c r="C26" s="3980" t="s">
        <v>274</v>
      </c>
      <c r="D26" s="4263">
        <v>452.47632158543593</v>
      </c>
      <c r="E26" s="1126">
        <v>445.94713913647837</v>
      </c>
      <c r="F26" s="2647">
        <f>+'POWER DISTRIBUTION'!J18/'Maj Production Summ'!F18</f>
        <v>463.47150499243207</v>
      </c>
      <c r="G26" s="1126">
        <v>446.77103204676359</v>
      </c>
      <c r="H26" s="2647">
        <f>+'POWER DISTRIBUTION'!L18/'Maj Production Summ'!H18</f>
        <v>439.53564177111588</v>
      </c>
      <c r="I26" s="437">
        <f>+'POWER DISTRIBUTION'!M18/'Maj Production Summ'!I18</f>
        <v>446.36554496371298</v>
      </c>
      <c r="J26" s="2648">
        <f>+'POWER DISTRIBUTION'!N18/'Maj Production Summ'!J18</f>
        <v>450.70461067075678</v>
      </c>
      <c r="K26" s="1126">
        <v>445.92427373959413</v>
      </c>
      <c r="L26" s="2647">
        <f>+'POWER DISTRIBUTION'!P18/'Maj Production Summ'!L18</f>
        <v>424.25451464279837</v>
      </c>
      <c r="M26" s="2649">
        <f>+'POWER DISTRIBUTION'!Q18/'Maj Production Summ'!M18</f>
        <v>446.22000023183836</v>
      </c>
      <c r="N26" s="2649">
        <f>+'POWER DISTRIBUTION'!R18/'Maj Production Summ'!N18</f>
        <v>441.33297315033496</v>
      </c>
      <c r="O26" s="1126">
        <v>451.67957543733371</v>
      </c>
      <c r="P26" s="2647">
        <f>+'POWER DISTRIBUTION'!T18/'Maj Production Summ'!P18</f>
        <v>424.51701842872308</v>
      </c>
      <c r="Q26" s="2648">
        <f>+'POWER DISTRIBUTION'!U18/'Maj Production Summ'!Q18</f>
        <v>447.58623822643796</v>
      </c>
      <c r="R26" s="2648">
        <f>+'POWER DISTRIBUTION'!V18/'Maj Production Summ'!R18</f>
        <v>436.79886268309843</v>
      </c>
      <c r="S26" s="1126">
        <v>451.67957543733371</v>
      </c>
      <c r="T26" s="2647">
        <f>+'POWER DISTRIBUTION'!X18/'Maj Production Summ'!T18</f>
        <v>441.2684100265684</v>
      </c>
      <c r="U26" s="2648">
        <f>+'POWER DISTRIBUTION'!Y18/'Maj Production Summ'!U18</f>
        <v>448.4055505425377</v>
      </c>
      <c r="V26" s="2648">
        <f>+'POWER DISTRIBUTION'!Z18/'Maj Production Summ'!V18</f>
        <v>437.70014177784174</v>
      </c>
      <c r="W26" s="1126">
        <v>568.25162605249295</v>
      </c>
      <c r="X26" s="2647">
        <f>+'POWER DISTRIBUTION'!AB18/'Maj Production Summ'!X18</f>
        <v>452.48637104156836</v>
      </c>
      <c r="Y26" s="2649">
        <f>+'POWER DISTRIBUTION'!AC18/'Maj Production Summ'!Y18</f>
        <v>475.90977253737464</v>
      </c>
      <c r="Z26" s="2649">
        <f>+'POWER DISTRIBUTION'!AD18/'Maj Production Summ'!Z18</f>
        <v>438.89498415702241</v>
      </c>
      <c r="AA26" s="2693">
        <f>+'POWER DISTRIBUTION'!AE18/'Maj Production Summ'!AA18</f>
        <v>459.79769807737904</v>
      </c>
      <c r="AB26" s="2693">
        <f>+'POWER DISTRIBUTION'!AF18/'Maj Production Summ'!AB18</f>
        <v>440.08706997226562</v>
      </c>
      <c r="AC26" s="1126">
        <v>456.53076704567292</v>
      </c>
      <c r="AD26" s="2647">
        <f>+'POWER DISTRIBUTION'!AH18/'Maj Production Summ'!AD18</f>
        <v>461.69013625614019</v>
      </c>
      <c r="AE26" s="2648">
        <f>+'POWER DISTRIBUTION'!AI18/'Maj Production Summ'!AE18</f>
        <v>459.3045949566993</v>
      </c>
      <c r="AF26" s="2648">
        <f>+'POWER DISTRIBUTION'!AJ18/'Maj Production Summ'!AF18</f>
        <v>443.03589688310842</v>
      </c>
      <c r="AG26" s="2716">
        <v>456.6890166897237</v>
      </c>
      <c r="AH26" s="2716">
        <f>+'POWER DISTRIBUTION'!AL18/'Maj Production Summ'!AH18</f>
        <v>5465.2040932577493</v>
      </c>
      <c r="AI26" s="2648">
        <f>+'POWER DISTRIBUTION'!AM18/'Maj Production Summ'!AI18</f>
        <v>458.97117134066161</v>
      </c>
      <c r="AJ26" s="2648">
        <f>+'POWER DISTRIBUTION'!AN18/'Maj Production Summ'!AJ18</f>
        <v>467.40484392892699</v>
      </c>
      <c r="AK26" s="2716">
        <v>456.53076704567292</v>
      </c>
      <c r="AL26" s="2647">
        <f>+'POWER DISTRIBUTION'!AP18/'Maj Production Summ'!AL18</f>
        <v>428.40644115268259</v>
      </c>
      <c r="AM26" s="2649">
        <f>+'POWER DISTRIBUTION'!AQ18/'Maj Production Summ'!AM18</f>
        <v>456.58237771299918</v>
      </c>
      <c r="AN26" s="2649">
        <f>+'POWER DISTRIBUTION'!AR18/'Maj Production Summ'!AN18</f>
        <v>530.25645681353978</v>
      </c>
      <c r="AO26" s="2648">
        <f>+'POWER DISTRIBUTION'!AS18/'Maj Production Summ'!AO18</f>
        <v>458.68717886162489</v>
      </c>
      <c r="AP26" s="2648">
        <f>+'POWER DISTRIBUTION'!AT18/'Maj Production Summ'!AP18</f>
        <v>462.50607678118797</v>
      </c>
      <c r="AQ26" s="2716">
        <v>456.53076704567292</v>
      </c>
      <c r="AR26" s="2647">
        <f>+'POWER DISTRIBUTION'!AV18/'Maj Production Summ'!AR18</f>
        <v>411.09963149623462</v>
      </c>
      <c r="AS26" s="2648">
        <f>+'POWER DISTRIBUTION'!AW18/'Maj Production Summ'!AS18</f>
        <v>458.46239341800856</v>
      </c>
      <c r="AT26" s="2648">
        <f>+'POWER DISTRIBUTION'!AX18/'Maj Production Summ'!AT18</f>
        <v>456.52954630542035</v>
      </c>
      <c r="AU26" s="2716">
        <v>457.23430632687865</v>
      </c>
      <c r="AV26" s="2647">
        <f>+'POWER DISTRIBUTION'!AZ18/'Maj Production Summ'!AV18</f>
        <v>419.70726135437445</v>
      </c>
      <c r="AW26" s="2648">
        <f>+'POWER DISTRIBUTION'!BA18/'Maj Production Summ'!AW18</f>
        <v>458.35707688777387</v>
      </c>
      <c r="AX26" s="2648">
        <f>+'POWER DISTRIBUTION'!BB18/'Maj Production Summ'!AX18</f>
        <v>453.02083675585027</v>
      </c>
      <c r="AY26" s="2716">
        <v>458.79790322459104</v>
      </c>
      <c r="AZ26" s="2647">
        <f>+'POWER DISTRIBUTION'!BD18/'Maj Production Summ'!AZ18</f>
        <v>430.04094318318113</v>
      </c>
      <c r="BA26" s="2649">
        <f>+'POWER DISTRIBUTION'!BE18/'Maj Production Summ'!BA18</f>
        <v>457.53089348770027</v>
      </c>
      <c r="BB26" s="2649">
        <f>+'POWER DISTRIBUTION'!BF18/'Maj Production Summ'!BB18</f>
        <v>420.26722613474635</v>
      </c>
      <c r="BC26" s="2693">
        <f>+'POWER DISTRIBUTION'!BG18/'Maj Production Summ'!BC18</f>
        <v>457.0511312144705</v>
      </c>
      <c r="BD26" s="2693">
        <f>+'POWER DISTRIBUTION'!BH18/'Maj Production Summ'!BD18</f>
        <v>463.70311283724999</v>
      </c>
      <c r="BE26" s="2648">
        <f>+'POWER DISTRIBUTION'!BI18/'Maj Production Summ'!BE18</f>
        <v>458.39543279901056</v>
      </c>
      <c r="BF26" s="4264">
        <f>+'POWER DISTRIBUTION'!BJ18/'Maj Production Summ'!BF18</f>
        <v>450.85382947851349</v>
      </c>
      <c r="BG26" s="1100">
        <v>483.40224419045359</v>
      </c>
      <c r="BH26" s="2831">
        <v>471.6278698390359</v>
      </c>
      <c r="BI26" s="1100">
        <v>475.02938820908332</v>
      </c>
      <c r="BJ26" s="2831">
        <v>476.2494644347301</v>
      </c>
      <c r="BK26" s="1100">
        <v>482.32052805467174</v>
      </c>
      <c r="BL26" s="2831">
        <v>494.76973868424994</v>
      </c>
      <c r="BM26" s="2831">
        <v>486.14726114397098</v>
      </c>
      <c r="BN26" s="1099">
        <v>514.38475747997404</v>
      </c>
      <c r="BO26" s="3274">
        <v>487.7465843305942</v>
      </c>
      <c r="BP26" s="2587">
        <v>580.20285834899937</v>
      </c>
      <c r="BQ26" s="1211">
        <v>448.29125296551734</v>
      </c>
      <c r="BR26" s="1197">
        <v>538.52023832812074</v>
      </c>
      <c r="BS26" s="1099">
        <v>565.51993685574621</v>
      </c>
      <c r="BT26" s="1219"/>
      <c r="BU26" s="4911"/>
    </row>
    <row r="27" spans="1:73" ht="18.75" x14ac:dyDescent="0.25">
      <c r="A27" s="93"/>
      <c r="B27" s="4443" t="s">
        <v>1401</v>
      </c>
      <c r="C27" s="3980" t="s">
        <v>29</v>
      </c>
      <c r="D27" s="5284">
        <v>2.850000000000001</v>
      </c>
      <c r="E27" s="1353">
        <f>+$D$27</f>
        <v>2.850000000000001</v>
      </c>
      <c r="F27" s="2934">
        <v>2.98</v>
      </c>
      <c r="G27" s="1353">
        <f>+$D$27</f>
        <v>2.850000000000001</v>
      </c>
      <c r="H27" s="2934">
        <v>2.97</v>
      </c>
      <c r="I27" s="735">
        <f>+$D$27</f>
        <v>2.850000000000001</v>
      </c>
      <c r="J27" s="3012">
        <f>+((F27*F32)+(H27*H32))/J32</f>
        <v>2.9746662068530263</v>
      </c>
      <c r="K27" s="1353">
        <f>+$D$27</f>
        <v>2.850000000000001</v>
      </c>
      <c r="L27" s="2934">
        <v>2.96</v>
      </c>
      <c r="M27" s="3477">
        <f>+$D$27</f>
        <v>2.850000000000001</v>
      </c>
      <c r="N27" s="3477">
        <f>+((F32*F27)+(H32*H27)+(L32*L27))/N32</f>
        <v>2.9694697654381894</v>
      </c>
      <c r="O27" s="1353">
        <f>+$D$27</f>
        <v>2.850000000000001</v>
      </c>
      <c r="P27" s="2934">
        <v>2.9</v>
      </c>
      <c r="Q27" s="3012">
        <f>+$D$27</f>
        <v>2.850000000000001</v>
      </c>
      <c r="R27" s="3012">
        <f>+(((N27*N32)+(P27*P32))/R32)</f>
        <v>2.9507385309739966</v>
      </c>
      <c r="S27" s="1353">
        <f>+$D$27</f>
        <v>2.850000000000001</v>
      </c>
      <c r="T27" s="2934">
        <v>2.9</v>
      </c>
      <c r="U27" s="3012">
        <f>+$D$27</f>
        <v>2.850000000000001</v>
      </c>
      <c r="V27" s="3012">
        <f>+(((R27*R32)+(T27*T32))/V32)</f>
        <v>2.9405071644058229</v>
      </c>
      <c r="W27" s="1353">
        <f>+$D$27</f>
        <v>2.850000000000001</v>
      </c>
      <c r="X27" s="2934">
        <v>2.9049999999999998</v>
      </c>
      <c r="Y27" s="3477">
        <f>+$D$27</f>
        <v>2.850000000000001</v>
      </c>
      <c r="Z27" s="3477">
        <f>+((P32*P27)+(T32*T27)+(X32*X27))/Z32</f>
        <v>2.9015794263163683</v>
      </c>
      <c r="AA27" s="3478">
        <f>+$D$27</f>
        <v>2.850000000000001</v>
      </c>
      <c r="AB27" s="3478">
        <f>+((N27*N32)+(Z27*Z32))/AB32</f>
        <v>2.9347752735827703</v>
      </c>
      <c r="AC27" s="1353">
        <f>+$D$27</f>
        <v>2.850000000000001</v>
      </c>
      <c r="AD27" s="2934">
        <v>2.99</v>
      </c>
      <c r="AE27" s="3012">
        <f>+$D$27</f>
        <v>2.850000000000001</v>
      </c>
      <c r="AF27" s="3012">
        <f>+(((AB27*AB32)+(AD27*AD32))/AF32)</f>
        <v>2.9423134701176115</v>
      </c>
      <c r="AG27" s="2732">
        <f>+$D$27</f>
        <v>2.850000000000001</v>
      </c>
      <c r="AH27" s="2732">
        <v>3.19</v>
      </c>
      <c r="AI27" s="3012">
        <f>+$D$27</f>
        <v>2.850000000000001</v>
      </c>
      <c r="AJ27" s="3012">
        <f>+(((AF27*AF32)+(AH27*AH32))/AJ32)</f>
        <v>2.9435153135634415</v>
      </c>
      <c r="AK27" s="2732">
        <f>+$D$27</f>
        <v>2.850000000000001</v>
      </c>
      <c r="AL27" s="2934">
        <v>2.87</v>
      </c>
      <c r="AM27" s="3459">
        <f>+$D$27</f>
        <v>2.850000000000001</v>
      </c>
      <c r="AN27" s="3477">
        <f>+((AD32*AD27)+(AH32*AH27)+(AL32*AL27))/AN32</f>
        <v>2.9327861755730611</v>
      </c>
      <c r="AO27" s="3012">
        <f>+$D$27</f>
        <v>2.850000000000001</v>
      </c>
      <c r="AP27" s="3012">
        <f>+(((AL27*AL32)+(AJ27*AJ32))/AP32)</f>
        <v>2.9342807199056802</v>
      </c>
      <c r="AQ27" s="2732">
        <f>+$D$27</f>
        <v>2.850000000000001</v>
      </c>
      <c r="AR27" s="2934">
        <v>2.87</v>
      </c>
      <c r="AS27" s="3012">
        <f>+$D$27</f>
        <v>2.850000000000001</v>
      </c>
      <c r="AT27" s="3012">
        <f>+(((AP27*AP32)+(AR27*AR32))/AT32)</f>
        <v>2.9268074219682125</v>
      </c>
      <c r="AU27" s="2732">
        <f>+$D$27</f>
        <v>2.850000000000001</v>
      </c>
      <c r="AV27" s="2934">
        <v>2.86</v>
      </c>
      <c r="AW27" s="3012">
        <f>+$D$27</f>
        <v>2.850000000000001</v>
      </c>
      <c r="AX27" s="3012">
        <f>+(((AT27*AT32)+(AV27*AV32))/AX32)</f>
        <v>2.920441498730324</v>
      </c>
      <c r="AY27" s="2732">
        <f>+$D$27</f>
        <v>2.850000000000001</v>
      </c>
      <c r="AZ27" s="2934">
        <v>2.88</v>
      </c>
      <c r="BA27" s="3477">
        <f>+$D$27</f>
        <v>2.850000000000001</v>
      </c>
      <c r="BB27" s="3477">
        <f>+((AR27*AR32)+(AV27*AV32)+(AZ27*AZ32))/BB32</f>
        <v>2.8702899280969336</v>
      </c>
      <c r="BC27" s="3478">
        <f>+$D$27</f>
        <v>2.850000000000001</v>
      </c>
      <c r="BD27" s="3478">
        <f>+((AN27*AN32)+(BB27*BB32))/BD32</f>
        <v>2.8949703436971861</v>
      </c>
      <c r="BE27" s="3012">
        <f>+$D$27</f>
        <v>2.850000000000001</v>
      </c>
      <c r="BF27" s="4265">
        <f>+((AX27*AX32)+(AZ27*AZ32))/BF32</f>
        <v>2.9166278595688593</v>
      </c>
      <c r="BG27" s="4266">
        <v>2.85</v>
      </c>
      <c r="BH27" s="4267">
        <v>2.991974559276541</v>
      </c>
      <c r="BI27" s="4266">
        <v>2.85</v>
      </c>
      <c r="BJ27" s="4267">
        <v>3.0828892276362487</v>
      </c>
      <c r="BK27" s="4266">
        <v>3.3</v>
      </c>
      <c r="BL27" s="4267">
        <v>3.0186531588909742</v>
      </c>
      <c r="BM27" s="4267">
        <v>4.2999999999999989</v>
      </c>
      <c r="BN27" s="1198">
        <v>3.3197103856374044</v>
      </c>
      <c r="BO27" s="3274">
        <v>4.3000000000000007</v>
      </c>
      <c r="BP27" s="2588">
        <v>5.0407393881131286</v>
      </c>
      <c r="BQ27" s="1211">
        <v>4.5999999999999988</v>
      </c>
      <c r="BR27" s="1198">
        <v>5.0056729201905341</v>
      </c>
      <c r="BS27" s="1198">
        <v>5.0192042238753487</v>
      </c>
      <c r="BT27" s="1219"/>
      <c r="BU27" s="4911"/>
    </row>
    <row r="28" spans="1:73" ht="18" x14ac:dyDescent="0.3">
      <c r="A28" s="93"/>
      <c r="B28" s="4443" t="s">
        <v>368</v>
      </c>
      <c r="C28" s="3980" t="s">
        <v>1165</v>
      </c>
      <c r="D28" s="5284">
        <v>2.2695881506742244</v>
      </c>
      <c r="E28" s="1353">
        <f>+$D$28</f>
        <v>2.2695881506742244</v>
      </c>
      <c r="F28" s="2934">
        <v>2.2999999999999998</v>
      </c>
      <c r="G28" s="1353">
        <f>+$D$28</f>
        <v>2.2695881506742244</v>
      </c>
      <c r="H28" s="2934">
        <v>2.2909999999999999</v>
      </c>
      <c r="I28" s="735">
        <f>+$D$28</f>
        <v>2.2695881506742244</v>
      </c>
      <c r="J28" s="3012">
        <f>+((F28*F32)+(H28*H32))/J32</f>
        <v>2.2951995861677235</v>
      </c>
      <c r="K28" s="1353">
        <f>+$D$28</f>
        <v>2.2695881506742244</v>
      </c>
      <c r="L28" s="2934">
        <v>2.31</v>
      </c>
      <c r="M28" s="3477">
        <f>+$D$28</f>
        <v>2.2695881506742244</v>
      </c>
      <c r="N28" s="3477">
        <f>+((F32*F28)+(H32*H28)+(L32*L28))/N32</f>
        <v>2.3004435789850546</v>
      </c>
      <c r="O28" s="1353">
        <f>+$D$28</f>
        <v>2.2695881506742244</v>
      </c>
      <c r="P28" s="2934">
        <v>2.3199999999999998</v>
      </c>
      <c r="Q28" s="3012">
        <f>+$D$28</f>
        <v>2.2695881506742244</v>
      </c>
      <c r="R28" s="3012">
        <f>+((N28*N32)+(P28*P32))/R32</f>
        <v>2.3057166053872717</v>
      </c>
      <c r="S28" s="1353">
        <f>+$D$28</f>
        <v>2.2695881506742244</v>
      </c>
      <c r="T28" s="2934">
        <v>2.36</v>
      </c>
      <c r="U28" s="3012">
        <f>+$D$28</f>
        <v>2.2695881506742244</v>
      </c>
      <c r="V28" s="3012">
        <f>+((R28*R32)+(T28*T32))/V32</f>
        <v>2.316662789641843</v>
      </c>
      <c r="W28" s="1353">
        <f>+$D$28</f>
        <v>2.2695881506742244</v>
      </c>
      <c r="X28" s="2934">
        <v>2.42</v>
      </c>
      <c r="Y28" s="3477">
        <f>+$D$28</f>
        <v>2.2695881506742244</v>
      </c>
      <c r="Z28" s="3477">
        <f>+((P32*P28)+(T32*T28)+(X32*X28))/Z32</f>
        <v>2.3648241059082533</v>
      </c>
      <c r="AA28" s="3478">
        <f>+$D$28</f>
        <v>2.2695881506742244</v>
      </c>
      <c r="AB28" s="3478">
        <f>+((N28*N32)+(Z28*Z32))/AB32+0.01</f>
        <v>2.343344426084617</v>
      </c>
      <c r="AC28" s="1353">
        <f>+$D$28</f>
        <v>2.2695881506742244</v>
      </c>
      <c r="AD28" s="2934">
        <v>2.36</v>
      </c>
      <c r="AE28" s="3012">
        <f>+$D$28</f>
        <v>2.2695881506742244</v>
      </c>
      <c r="AF28" s="3012">
        <f>+((AB28*AB32)+(AD28*AD32))/AF32</f>
        <v>2.3456179183718611</v>
      </c>
      <c r="AG28" s="2736">
        <f>+$D$28</f>
        <v>2.2695881506742244</v>
      </c>
      <c r="AH28" s="4502"/>
      <c r="AI28" s="3012">
        <f>+$D$28</f>
        <v>2.2695881506742244</v>
      </c>
      <c r="AJ28" s="3012">
        <v>2.4500000000000002</v>
      </c>
      <c r="AK28" s="2736">
        <f>+$D$28</f>
        <v>2.2695881506742244</v>
      </c>
      <c r="AL28" s="2934">
        <v>2.33</v>
      </c>
      <c r="AM28" s="3481">
        <f>+$D$28</f>
        <v>2.2695881506742244</v>
      </c>
      <c r="AN28" s="3481">
        <f>+((AD32*AD28)+(AH32*AH28)+(AL32*AL28))/AN32</f>
        <v>2.3045713253462883</v>
      </c>
      <c r="AO28" s="3215">
        <f>+$D$28</f>
        <v>2.2695881506742244</v>
      </c>
      <c r="AP28" s="3012">
        <f>+((AL28*AL32)+(AJ28*AJ32))/AP32-0.034</f>
        <v>2.4009262529775515</v>
      </c>
      <c r="AQ28" s="2736">
        <f>+$D$28</f>
        <v>2.2695881506742244</v>
      </c>
      <c r="AR28" s="2934">
        <v>2.29</v>
      </c>
      <c r="AS28" s="3215">
        <f>+$D$28</f>
        <v>2.2695881506742244</v>
      </c>
      <c r="AT28" s="3012">
        <f>+((AP28*AP32)+(AR28*AR32))/AT32-0.01</f>
        <v>2.3780299298062406</v>
      </c>
      <c r="AU28" s="2736">
        <f>+$D$28</f>
        <v>2.2695881506742244</v>
      </c>
      <c r="AV28" s="2934">
        <v>2.29</v>
      </c>
      <c r="AW28" s="3215">
        <f>+$D$28</f>
        <v>2.2695881506742244</v>
      </c>
      <c r="AX28" s="3012">
        <f>+((AT28*AT32)+(AV28*AV32))/AX32</f>
        <v>2.3696417633529698</v>
      </c>
      <c r="AY28" s="2736">
        <f>+$D$28</f>
        <v>2.2695881506742244</v>
      </c>
      <c r="AZ28" s="2934">
        <v>2.29</v>
      </c>
      <c r="BA28" s="3477">
        <f>+$D$28</f>
        <v>2.2695881506742244</v>
      </c>
      <c r="BB28" s="3477">
        <f>+((AR28*AR32)+(AV28*AV32)+(AZ28*AZ32))/BB32</f>
        <v>2.29</v>
      </c>
      <c r="BC28" s="3478">
        <f>+$D$28</f>
        <v>2.2695881506742244</v>
      </c>
      <c r="BD28" s="3478">
        <f>+((AN28*AN32)+(BB28*BB32))/BD32</f>
        <v>2.2957543673406993</v>
      </c>
      <c r="BE28" s="3012">
        <f>+$D$28</f>
        <v>2.2695881506742244</v>
      </c>
      <c r="BF28" s="4265">
        <f>+((AX28*AX32)+(AZ28*AZ32))/BF32+0.01</f>
        <v>2.3721315335853661</v>
      </c>
      <c r="BG28" s="4261">
        <v>2.3199999999999998</v>
      </c>
      <c r="BH28" s="4262">
        <v>2.3695074279050243</v>
      </c>
      <c r="BI28" s="4261">
        <v>2.375</v>
      </c>
      <c r="BJ28" s="4262">
        <v>2.4275691559637163</v>
      </c>
      <c r="BK28" s="4261">
        <v>2.35</v>
      </c>
      <c r="BL28" s="4262">
        <v>2.4470555125122435</v>
      </c>
      <c r="BM28" s="4262">
        <v>2.4499999999999997</v>
      </c>
      <c r="BN28" s="4268">
        <v>2.4734991631008487</v>
      </c>
      <c r="BO28" s="3273">
        <v>2.4499999999999997</v>
      </c>
      <c r="BP28" s="2589">
        <v>2.6211067789738518</v>
      </c>
      <c r="BQ28" s="1210">
        <v>2.456658</v>
      </c>
      <c r="BR28" s="1198">
        <v>2.4355941599645199</v>
      </c>
      <c r="BS28" s="1198">
        <v>2.6099530027409332</v>
      </c>
      <c r="BT28" s="1219"/>
      <c r="BU28" s="4911"/>
    </row>
    <row r="29" spans="1:73" ht="18" x14ac:dyDescent="0.3">
      <c r="A29" s="93"/>
      <c r="B29" s="4443" t="s">
        <v>369</v>
      </c>
      <c r="C29" s="3980" t="s">
        <v>425</v>
      </c>
      <c r="D29" s="5284">
        <v>0.5</v>
      </c>
      <c r="E29" s="1353">
        <f>+$D$29</f>
        <v>0.5</v>
      </c>
      <c r="F29" s="2934">
        <v>0.5</v>
      </c>
      <c r="G29" s="1353">
        <f>+$D$29</f>
        <v>0.5</v>
      </c>
      <c r="H29" s="2934">
        <v>0.49199999999999999</v>
      </c>
      <c r="I29" s="735">
        <f>+$D$29</f>
        <v>0.5</v>
      </c>
      <c r="J29" s="3012">
        <f>+((F29*F32)+(H29*H32))/J32</f>
        <v>0.49573296548242118</v>
      </c>
      <c r="K29" s="1353">
        <f>+$D$29</f>
        <v>0.5</v>
      </c>
      <c r="L29" s="2934">
        <v>0.5</v>
      </c>
      <c r="M29" s="3477">
        <f>+$D$29</f>
        <v>0.5</v>
      </c>
      <c r="N29" s="3477">
        <f>+((F32*F29)+(H32*H29)+(L32*L29))/N32</f>
        <v>0.49724483525951413</v>
      </c>
      <c r="O29" s="1353">
        <f>+$D$29</f>
        <v>0.5</v>
      </c>
      <c r="P29" s="2934">
        <v>0.5</v>
      </c>
      <c r="Q29" s="3012">
        <f>+$D$29</f>
        <v>0.5</v>
      </c>
      <c r="R29" s="3012">
        <f>+((N29*N32)+(P29*P32))/R32</f>
        <v>0.49798771435829897</v>
      </c>
      <c r="S29" s="1353">
        <f>+$D$29</f>
        <v>0.5</v>
      </c>
      <c r="T29" s="2934">
        <v>0.5</v>
      </c>
      <c r="U29" s="3012">
        <f>+$D$29</f>
        <v>0.5</v>
      </c>
      <c r="V29" s="3012">
        <f>+((R29*R32)+(T29*T32))/V32</f>
        <v>0.49839348944963274</v>
      </c>
      <c r="W29" s="1353">
        <f>+$D$29</f>
        <v>0.5</v>
      </c>
      <c r="X29" s="2934">
        <v>0.5</v>
      </c>
      <c r="Y29" s="3477">
        <f>+$D$29</f>
        <v>0.5</v>
      </c>
      <c r="Z29" s="3477">
        <f>+((P32*P29)+(T32*T29)+(X32*X29))/Z32</f>
        <v>0.5</v>
      </c>
      <c r="AA29" s="3478">
        <f>+$D$29</f>
        <v>0.5</v>
      </c>
      <c r="AB29" s="3478">
        <f>+((N29*N32)+(Z29*Z32))/AB32</f>
        <v>0.49865282705754593</v>
      </c>
      <c r="AC29" s="1353">
        <f>+$D$29</f>
        <v>0.5</v>
      </c>
      <c r="AD29" s="2934">
        <v>0.5</v>
      </c>
      <c r="AE29" s="3012">
        <f>+$D$29</f>
        <v>0.5</v>
      </c>
      <c r="AF29" s="3012">
        <f>+((AB29*AB32)+(AD29*AD32))/AF32</f>
        <v>0.49883671668571566</v>
      </c>
      <c r="AG29" s="2732">
        <f>+$D$29</f>
        <v>0.5</v>
      </c>
      <c r="AH29" s="4502"/>
      <c r="AI29" s="3012">
        <f>+$D$29</f>
        <v>0.5</v>
      </c>
      <c r="AJ29" s="3012">
        <v>0.54</v>
      </c>
      <c r="AK29" s="2732">
        <f>+$D$29</f>
        <v>0.5</v>
      </c>
      <c r="AL29" s="2934">
        <v>0.49</v>
      </c>
      <c r="AM29" s="3477">
        <f>+$D$29</f>
        <v>0.5</v>
      </c>
      <c r="AN29" s="3477">
        <f>+((AD32*AD29)+(AH32*AH29)+(AL32*AL29))/AN32</f>
        <v>0.48641557151244186</v>
      </c>
      <c r="AO29" s="3012">
        <f>+$D$29</f>
        <v>0.5</v>
      </c>
      <c r="AP29" s="3012">
        <f>+((AL29*AL32)+(AJ29*AJ32))/AP32-0.01</f>
        <v>0.52371927207397961</v>
      </c>
      <c r="AQ29" s="2732">
        <f>+$D$29</f>
        <v>0.5</v>
      </c>
      <c r="AR29" s="2934">
        <v>0.46</v>
      </c>
      <c r="AS29" s="3012">
        <f>+$D$29</f>
        <v>0.5</v>
      </c>
      <c r="AT29" s="3012">
        <f>+((AP29*AP32)+(AR29*AR32))/AT32</f>
        <v>0.51631124824870001</v>
      </c>
      <c r="AU29" s="2732">
        <f>+$D$29</f>
        <v>0.5</v>
      </c>
      <c r="AV29" s="2934">
        <v>0.44</v>
      </c>
      <c r="AW29" s="3012">
        <f>+$D$29</f>
        <v>0.5</v>
      </c>
      <c r="AX29" s="3012">
        <f>+((AT29*AT32)+(AV29*AV32))/AX32</f>
        <v>0.50903972759685023</v>
      </c>
      <c r="AY29" s="2732">
        <f>+$D$29</f>
        <v>0.5</v>
      </c>
      <c r="AZ29" s="2934">
        <v>0.49</v>
      </c>
      <c r="BA29" s="3477">
        <f>+$D$29</f>
        <v>0.5</v>
      </c>
      <c r="BB29" s="3477">
        <f>+((AR29*AR32)+(AV29*AV32)+(AZ29*AZ32))/BB32</f>
        <v>0.46399819224771821</v>
      </c>
      <c r="BC29" s="3478">
        <f>+$D$29</f>
        <v>0.5</v>
      </c>
      <c r="BD29" s="3478">
        <f>+((AN29*AN32)+(BB29*BB32))/BD32</f>
        <v>0.47285104756728297</v>
      </c>
      <c r="BE29" s="3012">
        <f>+$D$29</f>
        <v>0.5</v>
      </c>
      <c r="BF29" s="4265">
        <f>+((AX29*AX32)+(AZ29*AZ32))/BF32-0.01</f>
        <v>0.49724427853915931</v>
      </c>
      <c r="BG29" s="4266">
        <v>0.5</v>
      </c>
      <c r="BH29" s="4267">
        <v>0.49588308625627264</v>
      </c>
      <c r="BI29" s="4266">
        <v>0.53</v>
      </c>
      <c r="BJ29" s="4267">
        <v>0.53450494973160534</v>
      </c>
      <c r="BK29" s="4266">
        <v>0.53</v>
      </c>
      <c r="BL29" s="4267">
        <v>0.52806819520607939</v>
      </c>
      <c r="BM29" s="4267">
        <v>0.55000000000000004</v>
      </c>
      <c r="BN29" s="1198">
        <v>0.5391608296186442</v>
      </c>
      <c r="BO29" s="3275">
        <v>0.55000000000000004</v>
      </c>
      <c r="BP29" s="2588">
        <v>0.6232821487978184</v>
      </c>
      <c r="BQ29" s="1212">
        <v>0.55112399999999995</v>
      </c>
      <c r="BR29" s="1198">
        <v>0.57147495070586141</v>
      </c>
      <c r="BS29" s="1198">
        <v>0.55061804440565798</v>
      </c>
      <c r="BT29" s="1219"/>
      <c r="BU29" s="4911"/>
    </row>
    <row r="30" spans="1:73" ht="18" x14ac:dyDescent="0.3">
      <c r="A30" s="93"/>
      <c r="B30" s="4443" t="s">
        <v>546</v>
      </c>
      <c r="C30" s="3980" t="s">
        <v>547</v>
      </c>
      <c r="D30" s="4263">
        <v>789.97408213376912</v>
      </c>
      <c r="E30" s="1126">
        <f t="shared" ref="E30:AI30" si="16">+E36</f>
        <v>812.64670771500494</v>
      </c>
      <c r="F30" s="2716">
        <f t="shared" si="16"/>
        <v>724.01994644622903</v>
      </c>
      <c r="G30" s="1126">
        <f t="shared" ref="G30:H30" si="17">+G36</f>
        <v>814.8825190968206</v>
      </c>
      <c r="H30" s="2716">
        <f t="shared" si="17"/>
        <v>799.42672946489506</v>
      </c>
      <c r="I30" s="437">
        <f t="shared" si="16"/>
        <v>813.75238109297538</v>
      </c>
      <c r="J30" s="2648">
        <f t="shared" si="16"/>
        <v>762.26283598469161</v>
      </c>
      <c r="K30" s="1126">
        <f t="shared" si="16"/>
        <v>817.70562892885039</v>
      </c>
      <c r="L30" s="2716">
        <f t="shared" si="16"/>
        <v>850.75383150272273</v>
      </c>
      <c r="M30" s="2649">
        <f t="shared" si="16"/>
        <v>815.06429122951818</v>
      </c>
      <c r="N30" s="2649">
        <f t="shared" si="16"/>
        <v>791.32400474477765</v>
      </c>
      <c r="O30" s="1126">
        <f t="shared" ref="O30:P30" si="18">+O36</f>
        <v>802.355516552626</v>
      </c>
      <c r="P30" s="2716">
        <f t="shared" si="18"/>
        <v>858.73073141775944</v>
      </c>
      <c r="Q30" s="2648">
        <f t="shared" si="16"/>
        <v>811.83068756855312</v>
      </c>
      <c r="R30" s="2648">
        <f t="shared" si="16"/>
        <v>808.32928989530308</v>
      </c>
      <c r="S30" s="1126">
        <f t="shared" si="16"/>
        <v>803.0385660843109</v>
      </c>
      <c r="T30" s="2716">
        <f t="shared" si="16"/>
        <v>807.72736148331228</v>
      </c>
      <c r="U30" s="2648">
        <f t="shared" ref="U30:X30" si="19">+U36</f>
        <v>810.04622105357214</v>
      </c>
      <c r="V30" s="2648">
        <f t="shared" si="19"/>
        <v>808.18827844831412</v>
      </c>
      <c r="W30" s="1126">
        <f t="shared" si="19"/>
        <v>444.87961481035342</v>
      </c>
      <c r="X30" s="2716">
        <f t="shared" si="19"/>
        <v>800.50814464028986</v>
      </c>
      <c r="Y30" s="2649">
        <f t="shared" si="16"/>
        <v>685.40836522048141</v>
      </c>
      <c r="Z30" s="2649">
        <f t="shared" si="16"/>
        <v>822.67304970318651</v>
      </c>
      <c r="AA30" s="2693">
        <f t="shared" si="16"/>
        <v>750.46891161293547</v>
      </c>
      <c r="AB30" s="2693">
        <f t="shared" si="16"/>
        <v>806.9679414653026</v>
      </c>
      <c r="AC30" s="1126">
        <f t="shared" si="16"/>
        <v>795.73412401614883</v>
      </c>
      <c r="AD30" s="2716">
        <f t="shared" si="16"/>
        <v>739.55185266664535</v>
      </c>
      <c r="AE30" s="2648">
        <f t="shared" si="16"/>
        <v>756.93276976701293</v>
      </c>
      <c r="AF30" s="2648">
        <f t="shared" si="16"/>
        <v>797.09664731713747</v>
      </c>
      <c r="AG30" s="2716">
        <f t="shared" si="16"/>
        <v>797.75562539658404</v>
      </c>
      <c r="AH30" s="4503" t="s">
        <v>1983</v>
      </c>
      <c r="AI30" s="2648">
        <f t="shared" si="16"/>
        <v>761.91358903596199</v>
      </c>
      <c r="AJ30" s="4504" t="s">
        <v>1984</v>
      </c>
      <c r="AK30" s="2716">
        <f t="shared" ref="AK30:AL30" si="20">+AK36</f>
        <v>799.40215800758006</v>
      </c>
      <c r="AL30" s="2716">
        <f t="shared" si="20"/>
        <v>783.42260951459184</v>
      </c>
      <c r="AM30" s="2649">
        <f t="shared" ref="AM30:BF30" si="21">+AM36</f>
        <v>797.6264351018807</v>
      </c>
      <c r="AN30" s="2649">
        <f t="shared" si="21"/>
        <v>523.07889747208162</v>
      </c>
      <c r="AO30" s="2648">
        <f t="shared" si="21"/>
        <v>766.06915723120687</v>
      </c>
      <c r="AP30" s="2648">
        <f t="shared" si="21"/>
        <v>710.78255109002725</v>
      </c>
      <c r="AQ30" s="2716">
        <f t="shared" si="21"/>
        <v>801.24888548781723</v>
      </c>
      <c r="AR30" s="2716">
        <f t="shared" si="21"/>
        <v>812.39513195852544</v>
      </c>
      <c r="AS30" s="2648">
        <f t="shared" si="21"/>
        <v>769.57062663376075</v>
      </c>
      <c r="AT30" s="2648">
        <f t="shared" si="21"/>
        <v>721.25877479144867</v>
      </c>
      <c r="AU30" s="2716">
        <f t="shared" ref="AU30:AV30" si="22">+AU36</f>
        <v>800.86058845530192</v>
      </c>
      <c r="AV30" s="2716">
        <f t="shared" si="22"/>
        <v>821.47127169292764</v>
      </c>
      <c r="AW30" s="2648">
        <f t="shared" si="21"/>
        <v>772.24431479499026</v>
      </c>
      <c r="AX30" s="2648">
        <f t="shared" si="21"/>
        <v>729.68251463830302</v>
      </c>
      <c r="AY30" s="2716">
        <f t="shared" si="21"/>
        <v>804.50127296152823</v>
      </c>
      <c r="AZ30" s="2716">
        <f t="shared" si="21"/>
        <v>821.28851210997527</v>
      </c>
      <c r="BA30" s="3459">
        <f t="shared" si="21"/>
        <v>802.26722065252466</v>
      </c>
      <c r="BB30" s="2649">
        <f t="shared" si="21"/>
        <v>818.29190777807003</v>
      </c>
      <c r="BC30" s="2693">
        <f t="shared" si="21"/>
        <v>799.94403598855672</v>
      </c>
      <c r="BD30" s="2693">
        <f t="shared" si="21"/>
        <v>668.98436156557557</v>
      </c>
      <c r="BE30" s="2648">
        <f t="shared" si="21"/>
        <v>774.92440784547284</v>
      </c>
      <c r="BF30" s="4264">
        <f t="shared" si="21"/>
        <v>737.49727748245709</v>
      </c>
      <c r="BG30" s="1100">
        <v>712.17383164731029</v>
      </c>
      <c r="BH30" s="2831">
        <v>691.16367009719045</v>
      </c>
      <c r="BI30" s="1100">
        <v>729.20663969961981</v>
      </c>
      <c r="BJ30" s="2831">
        <v>695.16314963675404</v>
      </c>
      <c r="BK30" s="1100">
        <v>656.40621199671705</v>
      </c>
      <c r="BL30" s="2831">
        <v>639.11266207165545</v>
      </c>
      <c r="BM30" s="2831">
        <v>615.77607331821741</v>
      </c>
      <c r="BN30" s="1099">
        <v>561.88093987319337</v>
      </c>
      <c r="BO30" s="3276">
        <v>549.90657676580804</v>
      </c>
      <c r="BP30" s="2590">
        <v>459.24950351799106</v>
      </c>
      <c r="BQ30" s="1775">
        <v>562.64319308862753</v>
      </c>
      <c r="BR30" s="1099">
        <v>490.34382042747291</v>
      </c>
      <c r="BS30" s="1099">
        <v>421.02863329539394</v>
      </c>
      <c r="BT30" s="1219"/>
      <c r="BU30" s="4911"/>
    </row>
    <row r="31" spans="1:73" ht="19.5" thickBot="1" x14ac:dyDescent="0.3">
      <c r="A31" s="93"/>
      <c r="B31" s="3282" t="s">
        <v>554</v>
      </c>
      <c r="C31" s="3981" t="s">
        <v>175</v>
      </c>
      <c r="D31" s="234">
        <v>3515.5</v>
      </c>
      <c r="E31" s="234">
        <v>3556</v>
      </c>
      <c r="F31" s="234">
        <v>3518</v>
      </c>
      <c r="G31" s="234">
        <v>3541</v>
      </c>
      <c r="H31" s="234">
        <v>3507</v>
      </c>
      <c r="I31" s="589">
        <f>+AVERAGE(E31,G31)</f>
        <v>3548.5</v>
      </c>
      <c r="J31" s="589">
        <f>+AVERAGE(F31,H31)</f>
        <v>3512.5</v>
      </c>
      <c r="K31" s="234">
        <v>3534</v>
      </c>
      <c r="L31" s="234">
        <v>3489</v>
      </c>
      <c r="M31" s="488">
        <f>+AVERAGE(E31,G31,K31)</f>
        <v>3543.6666666666665</v>
      </c>
      <c r="N31" s="488">
        <f>+AVERAGE(F31,H31,L31)</f>
        <v>3504.6666666666665</v>
      </c>
      <c r="O31" s="234">
        <v>3527</v>
      </c>
      <c r="P31" s="234">
        <v>3478</v>
      </c>
      <c r="Q31" s="589">
        <f>+AVERAGE(E31,G31,K31,O31)</f>
        <v>3539.5</v>
      </c>
      <c r="R31" s="589">
        <f>+AVERAGE(F31,H31,L31,P31)</f>
        <v>3498</v>
      </c>
      <c r="S31" s="234">
        <v>3524</v>
      </c>
      <c r="T31" s="234">
        <v>3465</v>
      </c>
      <c r="U31" s="589">
        <f>+AVERAGE(E31,G31,K31,O31,S31)</f>
        <v>3536.4</v>
      </c>
      <c r="V31" s="589">
        <f>+AVERAGE(F31,H31,L31,P31,T31)</f>
        <v>3491.4</v>
      </c>
      <c r="W31" s="234">
        <v>3517</v>
      </c>
      <c r="X31" s="234">
        <v>3450</v>
      </c>
      <c r="Y31" s="488">
        <f>+AVERAGE(Q31,S31,W31)</f>
        <v>3526.8333333333335</v>
      </c>
      <c r="Z31" s="488">
        <f>+AVERAGE(P31,T31,X31)</f>
        <v>3464.3333333333335</v>
      </c>
      <c r="AA31" s="1143">
        <f>+AVERAGE(E31,G31,K31,O31,S31,W31)</f>
        <v>3533.1666666666665</v>
      </c>
      <c r="AB31" s="1143">
        <f>+AVERAGE(X31,P31,L31,H31,T31,F31)</f>
        <v>3484.5</v>
      </c>
      <c r="AC31" s="234">
        <v>3487</v>
      </c>
      <c r="AD31" s="234">
        <v>3539</v>
      </c>
      <c r="AE31" s="589">
        <f>+AVERAGE(E31,G31,K31,O31,S31,W31,AC31)</f>
        <v>3526.5714285714284</v>
      </c>
      <c r="AF31" s="589">
        <f>+AVERAGE(F31,H31,L31,P31,T31,X31,AD31)</f>
        <v>3492.2857142857142</v>
      </c>
      <c r="AG31" s="234">
        <v>3479</v>
      </c>
      <c r="AH31" s="234">
        <v>3551</v>
      </c>
      <c r="AI31" s="589">
        <f>+AVERAGE(E31,G31,K31,O31,S31,W31,AC31,AG31)</f>
        <v>3520.625</v>
      </c>
      <c r="AJ31" s="589">
        <f>+AVERAGE(F31,H31,L31,P31,T31,X31,AD31,AH31)</f>
        <v>3499.625</v>
      </c>
      <c r="AK31" s="234">
        <v>3471</v>
      </c>
      <c r="AL31" s="234">
        <v>3568</v>
      </c>
      <c r="AM31" s="488">
        <f>+AVERAGE(AC31,AG31,AK31)</f>
        <v>3479</v>
      </c>
      <c r="AN31" s="488">
        <f>+AVERAGE(AD31,AH31,AL31)</f>
        <v>3552.6666666666665</v>
      </c>
      <c r="AO31" s="589">
        <f>+AVERAGE(E31,G31,K31,O31,S31,W31,AC31,AG31,AK31)</f>
        <v>3515.1111111111113</v>
      </c>
      <c r="AP31" s="589">
        <f>+AVERAGE(F31,H31,L31,P31,T31,X31,AD31,AH31,AL31)</f>
        <v>3507.2222222222222</v>
      </c>
      <c r="AQ31" s="234">
        <v>3463</v>
      </c>
      <c r="AR31" s="234">
        <v>3570</v>
      </c>
      <c r="AS31" s="589">
        <f>+AVERAGE(E31,G31,K31,O31,S31,W31,AC31,AG31,AK31,AQ31)</f>
        <v>3509.9</v>
      </c>
      <c r="AT31" s="589">
        <f>+AVERAGE(F31,H31,L31,P31,T31,X31,AD31,AH31,AL31,AR31)</f>
        <v>3513.5</v>
      </c>
      <c r="AU31" s="234">
        <v>3452</v>
      </c>
      <c r="AV31" s="234">
        <v>3545</v>
      </c>
      <c r="AW31" s="589">
        <f>+AVERAGE(E31,G31,K31,O31,S31,W31,AC31,AG31,AK31,AQ31,AU31)</f>
        <v>3504.6363636363635</v>
      </c>
      <c r="AX31" s="589">
        <f>+AVERAGE(F31,H31,L31,P31,T31,X31,AD31,AH31,AL31,AR31,AV31)</f>
        <v>3516.3636363636365</v>
      </c>
      <c r="AY31" s="234">
        <v>3449</v>
      </c>
      <c r="AZ31" s="234">
        <v>3531</v>
      </c>
      <c r="BA31" s="488">
        <f>+AVERAGE(AQ31,AU31,AY31)</f>
        <v>3454.6666666666665</v>
      </c>
      <c r="BB31" s="488">
        <f>+AVERAGE(AR31,AV31,AZ31)</f>
        <v>3548.6666666666665</v>
      </c>
      <c r="BC31" s="1143">
        <f>+AVERAGE(AC31,AG31,AK31,AQ31,AU31,AY31)</f>
        <v>3466.8333333333335</v>
      </c>
      <c r="BD31" s="1143">
        <f>+AVERAGE(AD31,AH31,AL31,AR31,AV31,AZ31)</f>
        <v>3550.6666666666665</v>
      </c>
      <c r="BE31" s="589">
        <f>+AVERAGE(E31,G31,K31,O31,S31,W31,AC31,AG31,AK31,AQ31,AU31,AY31)</f>
        <v>3500</v>
      </c>
      <c r="BF31" s="589">
        <f>+AVERAGE(F31,H31,L31,P31,T31,X31,AD31,AH31,AL31,AR31,AV31,AZ31)</f>
        <v>3517.5833333333335</v>
      </c>
      <c r="BG31" s="1144">
        <v>3502.25</v>
      </c>
      <c r="BH31" s="1144">
        <v>3544.5833333333335</v>
      </c>
      <c r="BI31" s="1144">
        <v>3607.8333333333335</v>
      </c>
      <c r="BJ31" s="1144">
        <v>3647.6666666666665</v>
      </c>
      <c r="BK31" s="1144">
        <v>3826.0833333333335</v>
      </c>
      <c r="BL31" s="1144">
        <v>3802.9166666666665</v>
      </c>
      <c r="BM31" s="1144">
        <v>4009.5833333333335</v>
      </c>
      <c r="BN31" s="1101">
        <v>3995.5833333333335</v>
      </c>
      <c r="BO31" s="3276">
        <v>4196.5983072916661</v>
      </c>
      <c r="BP31" s="2600">
        <v>4090.302734375</v>
      </c>
      <c r="BQ31" s="1144">
        <v>4470.8032786885242</v>
      </c>
      <c r="BR31" s="1101">
        <v>4421.333333333333</v>
      </c>
      <c r="BS31" s="1101">
        <v>4614.4191780821911</v>
      </c>
      <c r="BT31" s="1219"/>
      <c r="BU31" s="4911"/>
    </row>
    <row r="32" spans="1:73" ht="15" hidden="1" customHeight="1" x14ac:dyDescent="0.3">
      <c r="A32" s="154"/>
      <c r="B32" s="5817" t="s">
        <v>1706</v>
      </c>
      <c r="C32" s="2488" t="s">
        <v>588</v>
      </c>
      <c r="D32" s="3558">
        <f>'Maj Production Summ'!D18</f>
        <v>2769999.8857412599</v>
      </c>
      <c r="E32" s="3558">
        <f>'Maj Production Summ'!E18</f>
        <v>237110.48158640199</v>
      </c>
      <c r="F32" s="3558">
        <f>'Maj Production Summ'!F18</f>
        <v>207020</v>
      </c>
      <c r="G32" s="3558">
        <f>'Maj Production Summ'!G18</f>
        <v>244664.77809253999</v>
      </c>
      <c r="H32" s="3558">
        <f>'Maj Production Summ'!H18</f>
        <v>236638</v>
      </c>
      <c r="I32" s="3674">
        <f t="shared" ref="I32:J35" si="23">+E32+G32</f>
        <v>481775.25967894198</v>
      </c>
      <c r="J32" s="3674">
        <f t="shared" si="23"/>
        <v>443658</v>
      </c>
      <c r="K32" s="3558">
        <f>'Maj Production Summ'!K18</f>
        <v>237110.48158640199</v>
      </c>
      <c r="L32" s="3558">
        <f>'Maj Production Summ'!L18</f>
        <v>243453</v>
      </c>
      <c r="M32" s="3558">
        <f t="shared" ref="M32:N35" si="24">+E32+G32+K32</f>
        <v>718885.74126534397</v>
      </c>
      <c r="N32" s="3558">
        <f t="shared" si="24"/>
        <v>687111</v>
      </c>
      <c r="O32" s="3558">
        <f>'Maj Production Summ'!O18</f>
        <v>239943.34277620399</v>
      </c>
      <c r="P32" s="3558">
        <f>'Maj Production Summ'!P18</f>
        <v>253662</v>
      </c>
      <c r="Q32" s="3558">
        <f t="shared" ref="Q32:R35" si="25">+M32+O32</f>
        <v>958829.08404154796</v>
      </c>
      <c r="R32" s="3558">
        <f t="shared" si="25"/>
        <v>940773</v>
      </c>
      <c r="S32" s="3558">
        <f>'Maj Production Summ'!S18</f>
        <v>239943.34277620399</v>
      </c>
      <c r="T32" s="3558">
        <f>'Maj Production Summ'!T18</f>
        <v>237622</v>
      </c>
      <c r="U32" s="3558">
        <f t="shared" ref="U32:U35" si="26">+Q32+S32</f>
        <v>1198772.426817752</v>
      </c>
      <c r="V32" s="3558">
        <f t="shared" ref="V32:V35" si="27">+R32+T32</f>
        <v>1178395</v>
      </c>
      <c r="W32" s="3558">
        <f>'Maj Production Summ'!W18</f>
        <v>125920.679886686</v>
      </c>
      <c r="X32" s="3558">
        <f>'Maj Production Summ'!X18</f>
        <v>226847</v>
      </c>
      <c r="Y32" s="3558">
        <f t="shared" ref="Y32:Z35" si="28">+O32+S32+W32</f>
        <v>605807.36543909402</v>
      </c>
      <c r="Z32" s="3558">
        <f t="shared" si="28"/>
        <v>718131</v>
      </c>
      <c r="AA32" s="3558">
        <f>+M32+Y32</f>
        <v>1324693.1067044381</v>
      </c>
      <c r="AB32" s="3558">
        <f>+N32+Z32</f>
        <v>1405242</v>
      </c>
      <c r="AC32" s="3558">
        <f>'Maj Production Summ'!AC18</f>
        <v>235490.56603773599</v>
      </c>
      <c r="AD32" s="3558">
        <f>'Maj Production Summ'!AD18</f>
        <v>222138</v>
      </c>
      <c r="AE32" s="3558">
        <f t="shared" ref="AE32:AE35" si="29">+AA32+AC32</f>
        <v>1560183.672742174</v>
      </c>
      <c r="AF32" s="3558">
        <f t="shared" ref="AF32:AF35" si="30">+AB32+AD32</f>
        <v>1627380</v>
      </c>
      <c r="AG32" s="3558">
        <f>'Maj Production Summ'!AG18</f>
        <v>227943.396226415</v>
      </c>
      <c r="AH32" s="3558">
        <f>'Maj Production Summ'!AH18</f>
        <v>7935</v>
      </c>
      <c r="AI32" s="3558">
        <f t="shared" ref="AI32:AI35" si="31">+AE32+AG32</f>
        <v>1788127.068968589</v>
      </c>
      <c r="AJ32" s="3558">
        <f t="shared" ref="AJ32:AJ35" si="32">+AF32+AH32</f>
        <v>1635315</v>
      </c>
      <c r="AK32" s="3558">
        <f>'Maj Production Summ'!AK18</f>
        <v>235490.56603773599</v>
      </c>
      <c r="AL32" s="3558">
        <f>'Maj Production Summ'!AL18</f>
        <v>234930</v>
      </c>
      <c r="AM32" s="3558">
        <f t="shared" ref="AM32:AM35" si="33">+AC32+AG32+AK32</f>
        <v>698924.52830188698</v>
      </c>
      <c r="AN32" s="3558">
        <f t="shared" ref="AN32:AN35" si="34">+AD32+AH32+AL32</f>
        <v>465003</v>
      </c>
      <c r="AO32" s="3558">
        <f>AI32+AK32</f>
        <v>2023617.6350063249</v>
      </c>
      <c r="AP32" s="3558">
        <f>AJ32+AL32</f>
        <v>1870245</v>
      </c>
      <c r="AQ32" s="3558">
        <f>'Maj Production Summ'!AQ18</f>
        <v>235490.56603773599</v>
      </c>
      <c r="AR32" s="3558">
        <f>'Maj Production Summ'!AR18</f>
        <v>246040</v>
      </c>
      <c r="AS32" s="3558">
        <f t="shared" ref="AS32:AS35" si="35">+AO32+AQ32</f>
        <v>2259108.2010440608</v>
      </c>
      <c r="AT32" s="3558">
        <f t="shared" ref="AT32:AT35" si="36">+AP32+AR32</f>
        <v>2116285</v>
      </c>
      <c r="AU32" s="3558">
        <f>'Maj Production Summ'!AU18</f>
        <v>211905.660377358</v>
      </c>
      <c r="AV32" s="3558">
        <f>'Maj Production Summ'!AV18</f>
        <v>222895</v>
      </c>
      <c r="AW32" s="3558">
        <f t="shared" ref="AW32:AW35" si="37">+AS32+AU32</f>
        <v>2471013.8614214188</v>
      </c>
      <c r="AX32" s="3558">
        <f t="shared" ref="AX32:AX35" si="38">+AT32+AV32</f>
        <v>2339180</v>
      </c>
      <c r="AY32" s="3558">
        <f>'Maj Production Summ'!AY18</f>
        <v>235490.56603773599</v>
      </c>
      <c r="AZ32" s="3558">
        <f>'Maj Production Summ'!AZ18</f>
        <v>243552</v>
      </c>
      <c r="BA32" s="3558">
        <f t="shared" ref="BA32:BA35" si="39">+AQ32+AU32+AY32</f>
        <v>682886.79245283001</v>
      </c>
      <c r="BB32" s="3558">
        <f t="shared" ref="BB32:BB35" si="40">+AR32+AV32+AZ32</f>
        <v>712487</v>
      </c>
      <c r="BC32" s="3558">
        <f>+AM32+BA32</f>
        <v>1381811.3207547171</v>
      </c>
      <c r="BD32" s="3558">
        <f>+AN32+BB32</f>
        <v>1177490</v>
      </c>
      <c r="BE32" s="3558">
        <f t="shared" ref="BE32:BF35" si="41">+AW32+AY32</f>
        <v>2706504.4274591547</v>
      </c>
      <c r="BF32" s="3558">
        <f t="shared" si="41"/>
        <v>2582732</v>
      </c>
      <c r="BG32" s="3558">
        <v>2489528.3018867923</v>
      </c>
      <c r="BH32" s="3558">
        <v>2436959</v>
      </c>
      <c r="BI32" s="3558">
        <v>2620075.4716981109</v>
      </c>
      <c r="BJ32" s="3558">
        <v>2528925</v>
      </c>
      <c r="BK32" s="3558">
        <v>2499999.9999999981</v>
      </c>
      <c r="BL32" s="3558">
        <v>2422324.3024999998</v>
      </c>
      <c r="BM32" s="4269">
        <v>2573000.7983342619</v>
      </c>
      <c r="BN32" s="4270">
        <v>2322716</v>
      </c>
      <c r="BO32" s="3277"/>
      <c r="BP32" s="2606"/>
      <c r="BQ32" s="154"/>
      <c r="BR32" s="154"/>
      <c r="BS32" s="149"/>
      <c r="BU32" s="4911"/>
    </row>
    <row r="33" spans="1:73" ht="15" hidden="1" customHeight="1" x14ac:dyDescent="0.3">
      <c r="A33" s="154"/>
      <c r="B33" s="5818"/>
      <c r="C33" s="2811" t="s">
        <v>591</v>
      </c>
      <c r="D33" s="4204">
        <f>'Maj Production Summ'!D26</f>
        <v>14270</v>
      </c>
      <c r="E33" s="4204">
        <f>'Maj Production Summ'!E26</f>
        <v>810</v>
      </c>
      <c r="F33" s="4204">
        <f>'Maj Production Summ'!F26</f>
        <v>4661.7268380000005</v>
      </c>
      <c r="G33" s="4204">
        <f>'Maj Production Summ'!G26</f>
        <v>810</v>
      </c>
      <c r="H33" s="4204">
        <f>'Maj Production Summ'!H26</f>
        <v>2950.1684780000001</v>
      </c>
      <c r="I33" s="4271">
        <f t="shared" si="23"/>
        <v>1620</v>
      </c>
      <c r="J33" s="4271">
        <f t="shared" si="23"/>
        <v>7611.8953160000001</v>
      </c>
      <c r="K33" s="4204">
        <f>'Maj Production Summ'!K26</f>
        <v>810</v>
      </c>
      <c r="L33" s="4204">
        <f>'Maj Production Summ'!L26</f>
        <v>1030.457772</v>
      </c>
      <c r="M33" s="4204">
        <f t="shared" si="24"/>
        <v>2430</v>
      </c>
      <c r="N33" s="4204">
        <f t="shared" si="24"/>
        <v>8642.3530879999998</v>
      </c>
      <c r="O33" s="4204">
        <f>'Maj Production Summ'!O26</f>
        <v>810</v>
      </c>
      <c r="P33" s="4204">
        <f>'Maj Production Summ'!P26</f>
        <v>0</v>
      </c>
      <c r="Q33" s="4204">
        <f t="shared" si="25"/>
        <v>3240</v>
      </c>
      <c r="R33" s="4204">
        <f t="shared" si="25"/>
        <v>8642.3530879999998</v>
      </c>
      <c r="S33" s="4204">
        <f>'Maj Production Summ'!S26</f>
        <v>810</v>
      </c>
      <c r="T33" s="4204">
        <f>'Maj Production Summ'!T26</f>
        <v>164.40840400000002</v>
      </c>
      <c r="U33" s="4204">
        <f t="shared" si="26"/>
        <v>4050</v>
      </c>
      <c r="V33" s="4204">
        <f t="shared" si="27"/>
        <v>8806.7614919999996</v>
      </c>
      <c r="W33" s="4204">
        <f>'Maj Production Summ'!W26</f>
        <v>5360</v>
      </c>
      <c r="X33" s="4204">
        <f>'Maj Production Summ'!X26</f>
        <v>292.81079599999998</v>
      </c>
      <c r="Y33" s="4204">
        <f t="shared" si="28"/>
        <v>6980</v>
      </c>
      <c r="Z33" s="4204">
        <f t="shared" si="28"/>
        <v>457.2192</v>
      </c>
      <c r="AA33" s="4204">
        <f t="shared" ref="AA33:AB35" si="42">+M33+Y33</f>
        <v>9410</v>
      </c>
      <c r="AB33" s="4204">
        <f t="shared" si="42"/>
        <v>9099.5722879999994</v>
      </c>
      <c r="AC33" s="4204">
        <f>'Maj Production Summ'!AC26</f>
        <v>342</v>
      </c>
      <c r="AD33" s="4204">
        <f>'Maj Production Summ'!AD26</f>
        <v>302.050434</v>
      </c>
      <c r="AE33" s="4204">
        <f t="shared" si="29"/>
        <v>9752</v>
      </c>
      <c r="AF33" s="4204">
        <f t="shared" si="30"/>
        <v>9401.6227220000001</v>
      </c>
      <c r="AG33" s="4204">
        <f>'Maj Production Summ'!AG26</f>
        <v>342</v>
      </c>
      <c r="AH33" s="4204">
        <f>'Maj Production Summ'!AH26</f>
        <v>1541.4762000000001</v>
      </c>
      <c r="AI33" s="4204">
        <f t="shared" si="31"/>
        <v>10094</v>
      </c>
      <c r="AJ33" s="4204">
        <f t="shared" si="32"/>
        <v>10943.098922000001</v>
      </c>
      <c r="AK33" s="4204">
        <f>'Maj Production Summ'!AK26</f>
        <v>342</v>
      </c>
      <c r="AL33" s="4204">
        <f>'Maj Production Summ'!AL26</f>
        <v>4949.9068120000002</v>
      </c>
      <c r="AM33" s="4204">
        <f t="shared" si="33"/>
        <v>1026</v>
      </c>
      <c r="AN33" s="4204">
        <f t="shared" si="34"/>
        <v>6793.433446</v>
      </c>
      <c r="AO33" s="4204">
        <f t="shared" ref="AO33:AO35" si="43">AI33+AK33</f>
        <v>10436</v>
      </c>
      <c r="AP33" s="4204">
        <f t="shared" ref="AP33:AP35" si="44">AJ33+AL33</f>
        <v>15893.005734000002</v>
      </c>
      <c r="AQ33" s="4204">
        <f>'Maj Production Summ'!AQ26</f>
        <v>342</v>
      </c>
      <c r="AR33" s="4204">
        <f>'Maj Production Summ'!AR26</f>
        <v>565.31097999999997</v>
      </c>
      <c r="AS33" s="4204">
        <f t="shared" si="35"/>
        <v>10778</v>
      </c>
      <c r="AT33" s="4204">
        <f t="shared" si="36"/>
        <v>16458.316714000001</v>
      </c>
      <c r="AU33" s="4204">
        <f>'Maj Production Summ'!AU26</f>
        <v>342</v>
      </c>
      <c r="AV33" s="4204">
        <f>'Maj Production Summ'!AV26</f>
        <v>1000.347552</v>
      </c>
      <c r="AW33" s="4204">
        <f t="shared" si="37"/>
        <v>11120</v>
      </c>
      <c r="AX33" s="4204">
        <f t="shared" si="38"/>
        <v>17458.664266</v>
      </c>
      <c r="AY33" s="4204">
        <f>'Maj Production Summ'!AY26</f>
        <v>342</v>
      </c>
      <c r="AZ33" s="4204">
        <f>'Maj Production Summ'!AZ26</f>
        <v>5493.5990359999996</v>
      </c>
      <c r="BA33" s="4204">
        <f t="shared" si="39"/>
        <v>1026</v>
      </c>
      <c r="BB33" s="4204">
        <f t="shared" si="40"/>
        <v>7059.2575679999991</v>
      </c>
      <c r="BC33" s="4204">
        <f t="shared" ref="BC33:BC35" si="45">+AM33+BA33</f>
        <v>2052</v>
      </c>
      <c r="BD33" s="4204">
        <f t="shared" ref="BD33:BD35" si="46">+AN33+BB33</f>
        <v>13852.691014</v>
      </c>
      <c r="BE33" s="4204">
        <f t="shared" si="41"/>
        <v>11462</v>
      </c>
      <c r="BF33" s="4204">
        <f t="shared" si="41"/>
        <v>22952.263301999999</v>
      </c>
      <c r="BG33" s="4204">
        <v>9365</v>
      </c>
      <c r="BH33" s="4204">
        <v>25856.451263999999</v>
      </c>
      <c r="BI33" s="4204">
        <v>21561.099796334001</v>
      </c>
      <c r="BJ33" s="4204">
        <v>13596.897649999999</v>
      </c>
      <c r="BK33" s="4204">
        <v>22929.735234215885</v>
      </c>
      <c r="BL33" s="4204">
        <v>16335.783939999999</v>
      </c>
      <c r="BM33" s="4272">
        <v>34051.635437881865</v>
      </c>
      <c r="BN33" s="4273">
        <v>32547.079289999998</v>
      </c>
      <c r="BO33" s="3278"/>
      <c r="BP33" s="2607"/>
      <c r="BQ33" s="154"/>
      <c r="BR33" s="154"/>
      <c r="BS33" s="149"/>
      <c r="BU33" s="4911"/>
    </row>
    <row r="34" spans="1:73" ht="15" hidden="1" customHeight="1" x14ac:dyDescent="0.3">
      <c r="A34" s="154"/>
      <c r="B34" s="5818"/>
      <c r="C34" s="2811" t="s">
        <v>589</v>
      </c>
      <c r="D34" s="4204">
        <f>+D33/2</f>
        <v>7135</v>
      </c>
      <c r="E34" s="4204">
        <f>+E33/2</f>
        <v>405</v>
      </c>
      <c r="F34" s="4204">
        <f>+F33/2</f>
        <v>2330.8634190000002</v>
      </c>
      <c r="G34" s="4204">
        <f>+G33/2</f>
        <v>405</v>
      </c>
      <c r="H34" s="4204">
        <f>+H33/2</f>
        <v>1475.084239</v>
      </c>
      <c r="I34" s="4271">
        <f t="shared" si="23"/>
        <v>810</v>
      </c>
      <c r="J34" s="4271">
        <f t="shared" si="23"/>
        <v>3805.947658</v>
      </c>
      <c r="K34" s="4204">
        <f>+K33/2</f>
        <v>405</v>
      </c>
      <c r="L34" s="4204">
        <f>+L33/2</f>
        <v>515.22888599999999</v>
      </c>
      <c r="M34" s="4204">
        <f t="shared" si="24"/>
        <v>1215</v>
      </c>
      <c r="N34" s="4204">
        <f t="shared" si="24"/>
        <v>4321.1765439999999</v>
      </c>
      <c r="O34" s="4204">
        <f>+O33/2</f>
        <v>405</v>
      </c>
      <c r="P34" s="4204">
        <f>+P33/2</f>
        <v>0</v>
      </c>
      <c r="Q34" s="4204">
        <f t="shared" si="25"/>
        <v>1620</v>
      </c>
      <c r="R34" s="4204">
        <f t="shared" si="25"/>
        <v>4321.1765439999999</v>
      </c>
      <c r="S34" s="4204">
        <f>+S33/2</f>
        <v>405</v>
      </c>
      <c r="T34" s="4204">
        <f>+T33/2</f>
        <v>82.204202000000009</v>
      </c>
      <c r="U34" s="4204">
        <f t="shared" si="26"/>
        <v>2025</v>
      </c>
      <c r="V34" s="4204">
        <f t="shared" si="27"/>
        <v>4403.3807459999998</v>
      </c>
      <c r="W34" s="4204">
        <f>+W33/2</f>
        <v>2680</v>
      </c>
      <c r="X34" s="4204">
        <f>+X33/2</f>
        <v>146.40539799999999</v>
      </c>
      <c r="Y34" s="4204">
        <f t="shared" si="28"/>
        <v>3490</v>
      </c>
      <c r="Z34" s="4204">
        <f t="shared" si="28"/>
        <v>228.6096</v>
      </c>
      <c r="AA34" s="4204">
        <f t="shared" si="42"/>
        <v>4705</v>
      </c>
      <c r="AB34" s="4204">
        <f t="shared" si="42"/>
        <v>4549.7861439999997</v>
      </c>
      <c r="AC34" s="4204">
        <f>+AC33/2</f>
        <v>171</v>
      </c>
      <c r="AD34" s="4204">
        <f>+AD33/2</f>
        <v>151.025217</v>
      </c>
      <c r="AE34" s="4204">
        <f t="shared" si="29"/>
        <v>4876</v>
      </c>
      <c r="AF34" s="4204">
        <f t="shared" si="30"/>
        <v>4700.811361</v>
      </c>
      <c r="AG34" s="4204">
        <f>+AG33/2</f>
        <v>171</v>
      </c>
      <c r="AH34" s="4204">
        <f>+AH33/2</f>
        <v>770.73810000000003</v>
      </c>
      <c r="AI34" s="4204">
        <f t="shared" si="31"/>
        <v>5047</v>
      </c>
      <c r="AJ34" s="4204">
        <f t="shared" si="32"/>
        <v>5471.5494610000005</v>
      </c>
      <c r="AK34" s="4204">
        <f>+AK33/2</f>
        <v>171</v>
      </c>
      <c r="AL34" s="4204">
        <f>+AL33/2</f>
        <v>2474.9534060000001</v>
      </c>
      <c r="AM34" s="4204">
        <f t="shared" si="33"/>
        <v>513</v>
      </c>
      <c r="AN34" s="4204">
        <f t="shared" si="34"/>
        <v>3396.716723</v>
      </c>
      <c r="AO34" s="4204">
        <f t="shared" si="43"/>
        <v>5218</v>
      </c>
      <c r="AP34" s="4204">
        <f t="shared" si="44"/>
        <v>7946.5028670000011</v>
      </c>
      <c r="AQ34" s="4204">
        <f>+AQ33/2</f>
        <v>171</v>
      </c>
      <c r="AR34" s="4204">
        <f>+AR33/2</f>
        <v>282.65548999999999</v>
      </c>
      <c r="AS34" s="4204">
        <f t="shared" si="35"/>
        <v>5389</v>
      </c>
      <c r="AT34" s="4204">
        <f t="shared" si="36"/>
        <v>8229.1583570000003</v>
      </c>
      <c r="AU34" s="4204">
        <f>+AU33/2</f>
        <v>171</v>
      </c>
      <c r="AV34" s="4204">
        <f>+AV33/2</f>
        <v>500.17377599999998</v>
      </c>
      <c r="AW34" s="4204">
        <f t="shared" si="37"/>
        <v>5560</v>
      </c>
      <c r="AX34" s="4204">
        <f t="shared" si="38"/>
        <v>8729.3321329999999</v>
      </c>
      <c r="AY34" s="4204">
        <f>+AY33/2</f>
        <v>171</v>
      </c>
      <c r="AZ34" s="4204">
        <f>+AZ33/2</f>
        <v>2746.7995179999998</v>
      </c>
      <c r="BA34" s="4204">
        <f t="shared" si="39"/>
        <v>513</v>
      </c>
      <c r="BB34" s="4204">
        <f t="shared" si="40"/>
        <v>3529.6287839999995</v>
      </c>
      <c r="BC34" s="4204">
        <f t="shared" si="45"/>
        <v>1026</v>
      </c>
      <c r="BD34" s="4204">
        <f t="shared" si="46"/>
        <v>6926.345507</v>
      </c>
      <c r="BE34" s="4204">
        <f t="shared" si="41"/>
        <v>5731</v>
      </c>
      <c r="BF34" s="4204">
        <f t="shared" si="41"/>
        <v>11476.131651</v>
      </c>
      <c r="BG34" s="4204">
        <v>4682.5</v>
      </c>
      <c r="BH34" s="4204">
        <v>12928.225632</v>
      </c>
      <c r="BI34" s="4204">
        <v>10780.549898167001</v>
      </c>
      <c r="BJ34" s="4204">
        <v>6798.4488249999995</v>
      </c>
      <c r="BK34" s="4204">
        <v>11464.867617107942</v>
      </c>
      <c r="BL34" s="4204">
        <v>8167.8919699999997</v>
      </c>
      <c r="BM34" s="4272">
        <v>17025.817718940933</v>
      </c>
      <c r="BN34" s="4273">
        <v>16273.539644999999</v>
      </c>
      <c r="BO34" s="3278"/>
      <c r="BP34" s="2607"/>
      <c r="BQ34" s="154"/>
      <c r="BR34" s="154"/>
      <c r="BS34" s="149"/>
      <c r="BU34" s="4911"/>
    </row>
    <row r="35" spans="1:73" ht="15" hidden="1" customHeight="1" x14ac:dyDescent="0.3">
      <c r="A35" s="154"/>
      <c r="B35" s="5818"/>
      <c r="C35" s="2811" t="s">
        <v>590</v>
      </c>
      <c r="D35" s="4204">
        <f>+D32+D34</f>
        <v>2777134.8857412599</v>
      </c>
      <c r="E35" s="4204">
        <f>+E32+E34</f>
        <v>237515.48158640199</v>
      </c>
      <c r="F35" s="4204">
        <f>+F32+F34</f>
        <v>209350.863419</v>
      </c>
      <c r="G35" s="4204">
        <f>+G32+G34</f>
        <v>245069.77809253999</v>
      </c>
      <c r="H35" s="4204">
        <f>+H32+H34</f>
        <v>238113.08423899999</v>
      </c>
      <c r="I35" s="4271">
        <f t="shared" si="23"/>
        <v>482585.25967894198</v>
      </c>
      <c r="J35" s="4271">
        <f t="shared" si="23"/>
        <v>447463.94765799999</v>
      </c>
      <c r="K35" s="4204">
        <f>+K32+K34</f>
        <v>237515.48158640199</v>
      </c>
      <c r="L35" s="4204">
        <f>+L32+L34</f>
        <v>243968.228886</v>
      </c>
      <c r="M35" s="4204">
        <f t="shared" si="24"/>
        <v>720100.74126534397</v>
      </c>
      <c r="N35" s="4204">
        <f t="shared" si="24"/>
        <v>691432.17654399993</v>
      </c>
      <c r="O35" s="4204">
        <f>+O32+O34</f>
        <v>240348.34277620399</v>
      </c>
      <c r="P35" s="4204">
        <f>+P32+P34</f>
        <v>253662</v>
      </c>
      <c r="Q35" s="4204">
        <f t="shared" si="25"/>
        <v>960449.08404154796</v>
      </c>
      <c r="R35" s="4204">
        <f t="shared" si="25"/>
        <v>945094.17654399993</v>
      </c>
      <c r="S35" s="4204">
        <f>+S32+S34</f>
        <v>240348.34277620399</v>
      </c>
      <c r="T35" s="4204">
        <f>+T32+T34</f>
        <v>237704.20420199999</v>
      </c>
      <c r="U35" s="4204">
        <f t="shared" si="26"/>
        <v>1200797.426817752</v>
      </c>
      <c r="V35" s="4204">
        <f t="shared" si="27"/>
        <v>1182798.380746</v>
      </c>
      <c r="W35" s="4204">
        <f>+W32+W34</f>
        <v>128600.679886686</v>
      </c>
      <c r="X35" s="4204">
        <f>+X32+X34</f>
        <v>226993.405398</v>
      </c>
      <c r="Y35" s="4204">
        <f t="shared" si="28"/>
        <v>609297.36543909402</v>
      </c>
      <c r="Z35" s="4204">
        <f t="shared" si="28"/>
        <v>718359.60959999997</v>
      </c>
      <c r="AA35" s="4204">
        <f t="shared" si="42"/>
        <v>1329398.1067044381</v>
      </c>
      <c r="AB35" s="4204">
        <f t="shared" si="42"/>
        <v>1409791.786144</v>
      </c>
      <c r="AC35" s="4204">
        <f>+AC32+AC34</f>
        <v>235661.56603773599</v>
      </c>
      <c r="AD35" s="4204">
        <f>+AD32+AD34</f>
        <v>222289.02521699999</v>
      </c>
      <c r="AE35" s="4204">
        <f t="shared" si="29"/>
        <v>1565059.672742174</v>
      </c>
      <c r="AF35" s="4204">
        <f t="shared" si="30"/>
        <v>1632080.8113609999</v>
      </c>
      <c r="AG35" s="4204">
        <f>+AG32+AG34</f>
        <v>228114.396226415</v>
      </c>
      <c r="AH35" s="4204">
        <f>+AH32+AH34</f>
        <v>8705.7381000000005</v>
      </c>
      <c r="AI35" s="4204">
        <f t="shared" si="31"/>
        <v>1793174.068968589</v>
      </c>
      <c r="AJ35" s="4204">
        <f t="shared" si="32"/>
        <v>1640786.5494609999</v>
      </c>
      <c r="AK35" s="4204">
        <f>+AK32+AK34</f>
        <v>235661.56603773599</v>
      </c>
      <c r="AL35" s="4204">
        <f>+AL32+AL34</f>
        <v>237404.95340599999</v>
      </c>
      <c r="AM35" s="4204">
        <f t="shared" si="33"/>
        <v>699437.52830188698</v>
      </c>
      <c r="AN35" s="4204">
        <f t="shared" si="34"/>
        <v>468399.71672299993</v>
      </c>
      <c r="AO35" s="4204">
        <f t="shared" si="43"/>
        <v>2028835.6350063249</v>
      </c>
      <c r="AP35" s="4204">
        <f t="shared" si="44"/>
        <v>1878191.5028669999</v>
      </c>
      <c r="AQ35" s="4204">
        <f>+AQ32+AQ34</f>
        <v>235661.56603773599</v>
      </c>
      <c r="AR35" s="4204">
        <f>+AR32+AR34</f>
        <v>246322.65549</v>
      </c>
      <c r="AS35" s="4204">
        <f t="shared" si="35"/>
        <v>2264497.2010440608</v>
      </c>
      <c r="AT35" s="4204">
        <f t="shared" si="36"/>
        <v>2124514.158357</v>
      </c>
      <c r="AU35" s="4204">
        <f>+AU32+AU34</f>
        <v>212076.660377358</v>
      </c>
      <c r="AV35" s="4204">
        <f>+AV32+AV34</f>
        <v>223395.17377600001</v>
      </c>
      <c r="AW35" s="4204">
        <f t="shared" si="37"/>
        <v>2476573.8614214188</v>
      </c>
      <c r="AX35" s="4204">
        <f t="shared" si="38"/>
        <v>2347909.3321329998</v>
      </c>
      <c r="AY35" s="4204">
        <f>+AY32+AY34</f>
        <v>235661.56603773599</v>
      </c>
      <c r="AZ35" s="4204">
        <f>+AZ32+AZ34</f>
        <v>246298.79951799999</v>
      </c>
      <c r="BA35" s="4204">
        <f t="shared" si="39"/>
        <v>683399.79245283001</v>
      </c>
      <c r="BB35" s="4204">
        <f t="shared" si="40"/>
        <v>716016.62878399994</v>
      </c>
      <c r="BC35" s="4204">
        <f t="shared" si="45"/>
        <v>1382837.3207547171</v>
      </c>
      <c r="BD35" s="4204">
        <f t="shared" si="46"/>
        <v>1184416.3455069999</v>
      </c>
      <c r="BE35" s="4204">
        <f t="shared" si="41"/>
        <v>2712235.4274591547</v>
      </c>
      <c r="BF35" s="4204">
        <f t="shared" si="41"/>
        <v>2594208.1316509997</v>
      </c>
      <c r="BG35" s="4204">
        <v>2494210.8018867923</v>
      </c>
      <c r="BH35" s="4204">
        <v>2449887.2256319998</v>
      </c>
      <c r="BI35" s="4204">
        <v>2630856.0215962785</v>
      </c>
      <c r="BJ35" s="4204">
        <v>2535723.4488249999</v>
      </c>
      <c r="BK35" s="4204">
        <v>2511464.8676171061</v>
      </c>
      <c r="BL35" s="4204">
        <v>2430492.1944699995</v>
      </c>
      <c r="BM35" s="4272">
        <v>2590026.6160532027</v>
      </c>
      <c r="BN35" s="4273">
        <v>2338989.5396449999</v>
      </c>
      <c r="BO35" s="3278"/>
      <c r="BP35" s="2607"/>
      <c r="BQ35" s="154"/>
      <c r="BR35" s="154"/>
      <c r="BS35" s="149"/>
      <c r="BU35" s="4911"/>
    </row>
    <row r="36" spans="1:73" ht="15" hidden="1" customHeight="1" thickBot="1" x14ac:dyDescent="0.35">
      <c r="A36" s="154"/>
      <c r="B36" s="5819"/>
      <c r="C36" s="2602"/>
      <c r="D36" s="4274">
        <f t="shared" ref="D36" si="47">+D35/(D31/365*D2)</f>
        <v>789.9686774971583</v>
      </c>
      <c r="E36" s="4274">
        <f t="shared" ref="E36:AJ36" si="48">+E35/(E31/365*E2)</f>
        <v>812.64670771500494</v>
      </c>
      <c r="F36" s="4274">
        <f t="shared" si="48"/>
        <v>724.01994644622903</v>
      </c>
      <c r="G36" s="4274">
        <f t="shared" ref="G36:H36" si="49">+G35/(G31/365*G2)</f>
        <v>814.8825190968206</v>
      </c>
      <c r="H36" s="4274">
        <f t="shared" si="49"/>
        <v>799.42672946489506</v>
      </c>
      <c r="I36" s="1067">
        <f t="shared" si="48"/>
        <v>813.75238109297538</v>
      </c>
      <c r="J36" s="1067">
        <f t="shared" si="48"/>
        <v>762.26283598469161</v>
      </c>
      <c r="K36" s="4274">
        <f t="shared" si="48"/>
        <v>817.70562892885039</v>
      </c>
      <c r="L36" s="4274">
        <f t="shared" si="48"/>
        <v>850.75383150272273</v>
      </c>
      <c r="M36" s="4274">
        <f t="shared" si="48"/>
        <v>815.06429122951818</v>
      </c>
      <c r="N36" s="4274">
        <f t="shared" si="48"/>
        <v>791.32400474477765</v>
      </c>
      <c r="O36" s="4274">
        <f t="shared" ref="O36:P36" si="50">+O35/(O31/365*O2)</f>
        <v>802.355516552626</v>
      </c>
      <c r="P36" s="4274">
        <f t="shared" si="50"/>
        <v>858.73073141775944</v>
      </c>
      <c r="Q36" s="4274">
        <f t="shared" si="48"/>
        <v>811.83068756855312</v>
      </c>
      <c r="R36" s="4274">
        <f t="shared" si="48"/>
        <v>808.32928989530308</v>
      </c>
      <c r="S36" s="4274">
        <f t="shared" si="48"/>
        <v>803.0385660843109</v>
      </c>
      <c r="T36" s="4274">
        <f t="shared" si="48"/>
        <v>807.72736148331228</v>
      </c>
      <c r="U36" s="4274">
        <f t="shared" ref="U36:X36" si="51">+U35/(U31/365*U2)</f>
        <v>810.04622105357214</v>
      </c>
      <c r="V36" s="4274">
        <f t="shared" si="51"/>
        <v>808.18827844831412</v>
      </c>
      <c r="W36" s="4274">
        <f t="shared" si="51"/>
        <v>444.87961481035342</v>
      </c>
      <c r="X36" s="4274">
        <f t="shared" si="51"/>
        <v>800.50814464028986</v>
      </c>
      <c r="Y36" s="4274">
        <f t="shared" si="48"/>
        <v>685.40836522048141</v>
      </c>
      <c r="Z36" s="4274">
        <f t="shared" si="48"/>
        <v>822.67304970318651</v>
      </c>
      <c r="AA36" s="4274">
        <f t="shared" si="48"/>
        <v>750.46891161293547</v>
      </c>
      <c r="AB36" s="4274">
        <f t="shared" si="48"/>
        <v>806.9679414653026</v>
      </c>
      <c r="AC36" s="4274">
        <f t="shared" si="48"/>
        <v>795.73412401614883</v>
      </c>
      <c r="AD36" s="4274">
        <f t="shared" si="48"/>
        <v>739.55185266664535</v>
      </c>
      <c r="AE36" s="4274">
        <f t="shared" si="48"/>
        <v>756.93276976701293</v>
      </c>
      <c r="AF36" s="4274">
        <f t="shared" si="48"/>
        <v>797.09664731713747</v>
      </c>
      <c r="AG36" s="4274">
        <f t="shared" si="48"/>
        <v>797.75562539658404</v>
      </c>
      <c r="AH36" s="4274">
        <f t="shared" si="48"/>
        <v>29.828164897212055</v>
      </c>
      <c r="AI36" s="4274">
        <f t="shared" si="48"/>
        <v>761.91358903596199</v>
      </c>
      <c r="AJ36" s="4274">
        <f t="shared" si="48"/>
        <v>701.34808419551393</v>
      </c>
      <c r="AK36" s="4274">
        <f t="shared" ref="AK36:AL36" si="52">+AK35/(AK31/365*AK2)</f>
        <v>799.40215800758006</v>
      </c>
      <c r="AL36" s="4274">
        <f t="shared" si="52"/>
        <v>783.42260951459184</v>
      </c>
      <c r="AM36" s="4274">
        <f t="shared" ref="AM36:BF36" si="53">+AM35/(AM31/365*AM2)</f>
        <v>797.6264351018807</v>
      </c>
      <c r="AN36" s="4274">
        <f t="shared" si="53"/>
        <v>523.07889747208162</v>
      </c>
      <c r="AO36" s="4274">
        <f t="shared" si="53"/>
        <v>766.06915723120687</v>
      </c>
      <c r="AP36" s="4274">
        <f t="shared" si="53"/>
        <v>710.78255109002725</v>
      </c>
      <c r="AQ36" s="4274">
        <f t="shared" si="53"/>
        <v>801.24888548781723</v>
      </c>
      <c r="AR36" s="4274">
        <f t="shared" si="53"/>
        <v>812.39513195852544</v>
      </c>
      <c r="AS36" s="4274">
        <f t="shared" si="53"/>
        <v>769.57062663376075</v>
      </c>
      <c r="AT36" s="4274">
        <f t="shared" si="53"/>
        <v>721.25877479144867</v>
      </c>
      <c r="AU36" s="4274">
        <f t="shared" ref="AU36:AV36" si="54">+AU35/(AU31/365*AU2)</f>
        <v>800.86058845530192</v>
      </c>
      <c r="AV36" s="4274">
        <f t="shared" si="54"/>
        <v>821.47127169292764</v>
      </c>
      <c r="AW36" s="4274">
        <f t="shared" si="53"/>
        <v>772.24431479499026</v>
      </c>
      <c r="AX36" s="4274">
        <f t="shared" si="53"/>
        <v>729.68251463830302</v>
      </c>
      <c r="AY36" s="4274">
        <f t="shared" si="53"/>
        <v>804.50127296152823</v>
      </c>
      <c r="AZ36" s="4274">
        <f t="shared" si="53"/>
        <v>821.28851210997527</v>
      </c>
      <c r="BA36" s="4274">
        <f t="shared" si="53"/>
        <v>802.26722065252466</v>
      </c>
      <c r="BB36" s="4274">
        <f t="shared" si="53"/>
        <v>818.29190777807003</v>
      </c>
      <c r="BC36" s="4274">
        <f t="shared" si="53"/>
        <v>799.94403598855672</v>
      </c>
      <c r="BD36" s="4274">
        <f t="shared" si="53"/>
        <v>668.98436156557557</v>
      </c>
      <c r="BE36" s="4274">
        <f t="shared" si="53"/>
        <v>774.92440784547284</v>
      </c>
      <c r="BF36" s="4274">
        <f t="shared" si="53"/>
        <v>737.49727748245709</v>
      </c>
      <c r="BG36" s="4274">
        <v>712.17383164731029</v>
      </c>
      <c r="BH36" s="4274">
        <v>691.16367009719045</v>
      </c>
      <c r="BI36" s="4274">
        <v>729.20663969961981</v>
      </c>
      <c r="BJ36" s="4274">
        <v>695.16314963675404</v>
      </c>
      <c r="BK36" s="4274">
        <v>656.40621199671705</v>
      </c>
      <c r="BL36" s="4274">
        <v>639.11266207165545</v>
      </c>
      <c r="BM36" s="4275">
        <v>645.95904380418642</v>
      </c>
      <c r="BN36" s="4276">
        <v>585.39375718480824</v>
      </c>
      <c r="BO36" s="3279"/>
      <c r="BP36" s="2608"/>
      <c r="BQ36" s="154"/>
      <c r="BR36" s="154"/>
      <c r="BS36" s="149"/>
      <c r="BU36" s="4911"/>
    </row>
    <row r="37" spans="1:73" ht="15" customHeight="1" x14ac:dyDescent="0.25">
      <c r="AY37" s="1546"/>
      <c r="AZ37" s="1546"/>
      <c r="BA37" s="1546"/>
      <c r="BB37" s="1546"/>
      <c r="BC37" s="1546"/>
      <c r="BD37" s="1546"/>
      <c r="BE37" s="1546"/>
      <c r="BF37" s="1546"/>
      <c r="BU37" s="4911"/>
    </row>
    <row r="38" spans="1:73" ht="19.5" hidden="1" customHeight="1" thickBot="1" x14ac:dyDescent="0.35">
      <c r="A38" s="93"/>
      <c r="B38" s="2611" t="s">
        <v>711</v>
      </c>
      <c r="C38" s="2603" t="s">
        <v>354</v>
      </c>
      <c r="D38" s="155">
        <f>+(D16*D32)/1000</f>
        <v>2933429.8789999941</v>
      </c>
      <c r="E38" s="155">
        <f>+(E16*E32)/1000</f>
        <v>251099.99999999971</v>
      </c>
      <c r="F38" s="88">
        <f>+SMS!F15</f>
        <v>219393.565</v>
      </c>
      <c r="G38" s="155">
        <f>+(G16*G32)/1000</f>
        <v>259099.99999999985</v>
      </c>
      <c r="H38" s="88">
        <f>+SMS!H15</f>
        <v>252686.9</v>
      </c>
      <c r="I38" s="61">
        <f>+(I16*I32)/1000</f>
        <v>510199.99999999959</v>
      </c>
      <c r="J38" s="43">
        <f>+SMS!J15</f>
        <v>472080.46499999997</v>
      </c>
      <c r="K38" s="155">
        <f>+(K16*K32)/1000</f>
        <v>251099.99999999971</v>
      </c>
      <c r="L38" s="88">
        <f>+SMS!L15</f>
        <v>258527.52499999999</v>
      </c>
      <c r="M38" s="72">
        <f>+(M16*M32)/1000</f>
        <v>761299.9999999993</v>
      </c>
      <c r="N38" s="73">
        <f>+SMS!N15</f>
        <v>730607.99</v>
      </c>
      <c r="O38" s="155">
        <f>+(O16*O32)/1000</f>
        <v>254100.00000000003</v>
      </c>
      <c r="P38" s="88">
        <f>+SMS!P15</f>
        <v>266778.07500000001</v>
      </c>
      <c r="Q38" s="61">
        <f>+(Q16*Q32)/1000</f>
        <v>1015399.9999999993</v>
      </c>
      <c r="R38" s="43">
        <f>+SMS!R15</f>
        <v>997386.06499999994</v>
      </c>
      <c r="S38" s="155">
        <f>+(S16*S32)/1000</f>
        <v>254100.00000000003</v>
      </c>
      <c r="T38" s="88">
        <f>+SMS!T15</f>
        <v>251918.72</v>
      </c>
      <c r="U38" s="61">
        <f>+(U16*U32)/1000</f>
        <v>1269499.9999999993</v>
      </c>
      <c r="V38" s="43">
        <f>+SMS!V15</f>
        <v>1249304.7849999999</v>
      </c>
      <c r="W38" s="155">
        <f>+(W16*W32)/1000</f>
        <v>133350.00000000047</v>
      </c>
      <c r="X38" s="88">
        <f>+SMS!X15</f>
        <v>241323.3</v>
      </c>
      <c r="Y38" s="618">
        <f>+O38+S38+W38</f>
        <v>641550.00000000047</v>
      </c>
      <c r="Z38" s="618">
        <f>+P38+T38+X38</f>
        <v>760020.09499999997</v>
      </c>
      <c r="AA38" s="1049">
        <f>+M38+Y38</f>
        <v>1402849.9999999998</v>
      </c>
      <c r="AB38" s="1049">
        <f>+N38+Z38</f>
        <v>1490628.085</v>
      </c>
      <c r="AC38" s="155">
        <f>+(AC16*AC32)/1000</f>
        <v>249384.5094339624</v>
      </c>
      <c r="AD38" s="88">
        <f>+SMS!AD15</f>
        <v>235736.8</v>
      </c>
      <c r="AE38" s="61">
        <f>+(AE16*AE32)/1000</f>
        <v>1652234.5094339624</v>
      </c>
      <c r="AF38" s="43">
        <f>+SMS!AF15</f>
        <v>1726364.885</v>
      </c>
      <c r="AG38" s="155">
        <f>+(AG16*AG32)/1000</f>
        <v>241392.05660377347</v>
      </c>
      <c r="AH38" s="88">
        <f>+SMS!AH15</f>
        <v>8398.2000000000007</v>
      </c>
      <c r="AI38" s="61">
        <f>+(AI16*AI32)/1000</f>
        <v>1893626.5660377357</v>
      </c>
      <c r="AJ38" s="43">
        <f>+SMS!AJ15</f>
        <v>1734763.085</v>
      </c>
      <c r="AK38" s="155">
        <f>+(AK16*AK32)/1000</f>
        <v>249384.5094339624</v>
      </c>
      <c r="AL38" s="88">
        <f>+SMS!AL15</f>
        <v>249391.75</v>
      </c>
      <c r="AM38" s="618">
        <f>+AC38+AG38+AK38</f>
        <v>740161.07547169831</v>
      </c>
      <c r="AN38" s="618">
        <f>+AD38+AH38+AL38</f>
        <v>493526.75</v>
      </c>
      <c r="AO38" s="61">
        <f>+(AO16*AO32)/1000</f>
        <v>2143011.0754716978</v>
      </c>
      <c r="AP38" s="43">
        <f>+SMS!AP15</f>
        <v>1984154.835</v>
      </c>
      <c r="AQ38" s="155">
        <f>+(AQ16*AQ32)/1000</f>
        <v>249384.5094339624</v>
      </c>
      <c r="AR38" s="88">
        <f>+SMS!AR15</f>
        <v>261382.3</v>
      </c>
      <c r="AS38" s="61">
        <f>+(AS16*AS32)/1000</f>
        <v>2392395.5849056602</v>
      </c>
      <c r="AT38" s="43">
        <f>+SMS!AT15</f>
        <v>2245537.1349999998</v>
      </c>
      <c r="AU38" s="155">
        <f>+(AU16*AU32)/1000</f>
        <v>224408.0943396221</v>
      </c>
      <c r="AV38" s="88">
        <f>+SMS!AV15</f>
        <v>236601.12</v>
      </c>
      <c r="AW38" s="61">
        <f>+(AW16*AW32)/1000</f>
        <v>2616803.6792452824</v>
      </c>
      <c r="AX38" s="43">
        <f>+SMS!AX15</f>
        <v>2482138.2549999999</v>
      </c>
      <c r="AY38" s="155">
        <f>+(AY16*AY32)/1000</f>
        <v>249384.5094339624</v>
      </c>
      <c r="AZ38" s="88">
        <f>+SMS!AZ15</f>
        <v>257456.17499999999</v>
      </c>
      <c r="BA38" s="618">
        <f t="shared" ref="BA38:BA41" si="55">+AQ38+AU38+AY38</f>
        <v>723177.11320754688</v>
      </c>
      <c r="BB38" s="618">
        <f t="shared" ref="BB38:BB41" si="56">+AR38+AV38+AZ38</f>
        <v>755439.59499999997</v>
      </c>
      <c r="BC38" s="1049">
        <f>+AM38+BA38</f>
        <v>1463338.1886792453</v>
      </c>
      <c r="BD38" s="1049">
        <f>+AN38+BB38</f>
        <v>1248966.345</v>
      </c>
      <c r="BE38" s="373">
        <f t="shared" ref="BE38:BF41" si="57">+AW38+AY38</f>
        <v>2866188.1886792448</v>
      </c>
      <c r="BF38" s="373">
        <f t="shared" si="57"/>
        <v>2739594.4299999997</v>
      </c>
      <c r="BG38" s="1776">
        <v>2638900</v>
      </c>
      <c r="BH38" s="1776">
        <v>2582070.1407999997</v>
      </c>
      <c r="BI38" s="1776">
        <v>2777279.9999999977</v>
      </c>
      <c r="BJ38" s="1776">
        <v>2695862.83</v>
      </c>
      <c r="BK38" s="1776">
        <v>2655000</v>
      </c>
      <c r="BL38" s="1776">
        <v>2574868</v>
      </c>
      <c r="BM38" s="1776">
        <v>2611100.4700000002</v>
      </c>
      <c r="BN38" s="1776">
        <v>2366123.2121212119</v>
      </c>
      <c r="BO38" s="2593"/>
      <c r="BP38" s="2594"/>
      <c r="BQ38" s="2480"/>
      <c r="BR38" s="1776"/>
      <c r="BS38" s="1776"/>
      <c r="BU38" s="4911"/>
    </row>
    <row r="39" spans="1:73" ht="19.5" hidden="1" customHeight="1" thickBot="1" x14ac:dyDescent="0.35">
      <c r="A39" s="93"/>
      <c r="B39" s="4459" t="s">
        <v>281</v>
      </c>
      <c r="C39" s="4460" t="s">
        <v>354</v>
      </c>
      <c r="D39" s="1311">
        <f>+(D17*D32)/1000</f>
        <v>105259.99565816787</v>
      </c>
      <c r="E39" s="1311">
        <f>+(E17*E32)/1000</f>
        <v>9010.1983002832749</v>
      </c>
      <c r="F39" s="4461">
        <f>+SMS!F19</f>
        <v>7695.9</v>
      </c>
      <c r="G39" s="1311">
        <f>+(G17*G32)/1000</f>
        <v>9297.261567516518</v>
      </c>
      <c r="H39" s="4461">
        <f>+SMS!H19</f>
        <v>6670.7999999999993</v>
      </c>
      <c r="I39" s="1124">
        <f>+(I17*I32)/1000</f>
        <v>18307.459867799796</v>
      </c>
      <c r="J39" s="4152">
        <f>+SMS!J19</f>
        <v>14366.699999999999</v>
      </c>
      <c r="K39" s="1311">
        <f>+(K17*K32)/1000</f>
        <v>9010.1983002832749</v>
      </c>
      <c r="L39" s="4461">
        <f>+SMS!L19</f>
        <v>8404.2000000000007</v>
      </c>
      <c r="M39" s="1566">
        <f>+(M17*M32)/1000</f>
        <v>27317.658168083071</v>
      </c>
      <c r="N39" s="4462">
        <f>+SMS!N19</f>
        <v>22770.9</v>
      </c>
      <c r="O39" s="1311">
        <f>+(O17*O32)/1000</f>
        <v>9117.847025495752</v>
      </c>
      <c r="P39" s="4461">
        <f>+SMS!P19</f>
        <v>11294.6</v>
      </c>
      <c r="Q39" s="1124">
        <f>+(Q17*Q32)/1000</f>
        <v>36435.505193578821</v>
      </c>
      <c r="R39" s="4152">
        <f>+SMS!R19</f>
        <v>34065.5</v>
      </c>
      <c r="S39" s="1311">
        <f>+(S17*S32)/1000</f>
        <v>9117.847025495752</v>
      </c>
      <c r="T39" s="4461">
        <f>+SMS!T19</f>
        <v>8598.0999999999985</v>
      </c>
      <c r="U39" s="1124">
        <f>+(U17*U32)/1000</f>
        <v>45553.352219074579</v>
      </c>
      <c r="V39" s="4152">
        <f>+SMS!V19</f>
        <v>42663.6</v>
      </c>
      <c r="W39" s="1311">
        <f>+(W17*W32)/1000</f>
        <v>4784.9858356940686</v>
      </c>
      <c r="X39" s="4461">
        <f>+SMS!X19</f>
        <v>7722</v>
      </c>
      <c r="Y39" s="4325">
        <f t="shared" ref="Y39:Y46" si="58">+O39+S39+W39</f>
        <v>23020.679886685572</v>
      </c>
      <c r="Z39" s="4325">
        <f t="shared" ref="Z39:Z46" si="59">+P39+T39+X39</f>
        <v>27614.699999999997</v>
      </c>
      <c r="AA39" s="4463">
        <f t="shared" ref="AA39:AB46" si="60">+M39+Y39</f>
        <v>50338.338054768639</v>
      </c>
      <c r="AB39" s="4463">
        <f t="shared" si="60"/>
        <v>50385.599999999999</v>
      </c>
      <c r="AC39" s="1311">
        <f>+(AC17*AC32)/1000</f>
        <v>8948.6415094339682</v>
      </c>
      <c r="AD39" s="4461">
        <f>+SMS!AD19</f>
        <v>7554.5</v>
      </c>
      <c r="AE39" s="1124">
        <f>+(AE17*AE32)/1000</f>
        <v>59286.979564202615</v>
      </c>
      <c r="AF39" s="4152">
        <f>+SMS!AF19</f>
        <v>57940.1</v>
      </c>
      <c r="AG39" s="1311">
        <f>+(AG17*AG32)/1000</f>
        <v>8661.8490566037708</v>
      </c>
      <c r="AH39" s="4461">
        <f>+SMS!AH19</f>
        <v>326.2</v>
      </c>
      <c r="AI39" s="1124">
        <f>+(AI17*AI32)/1000</f>
        <v>67948.82862080638</v>
      </c>
      <c r="AJ39" s="4152">
        <f>+SMS!AJ19</f>
        <v>58266.299999999996</v>
      </c>
      <c r="AK39" s="1311">
        <f>+(AK17*AK32)/1000</f>
        <v>8948.6415094339682</v>
      </c>
      <c r="AL39" s="4461">
        <f>+SMS!AL19</f>
        <v>8846.2000000000007</v>
      </c>
      <c r="AM39" s="4325">
        <f t="shared" ref="AM39:AM41" si="61">+AC39+AG39+AK39</f>
        <v>26559.132075471709</v>
      </c>
      <c r="AN39" s="4325">
        <f t="shared" ref="AN39:AN41" si="62">+AD39+AH39+AL39</f>
        <v>16726.900000000001</v>
      </c>
      <c r="AO39" s="1124">
        <f>+(AO17*AO32)/1000</f>
        <v>76897.470130240356</v>
      </c>
      <c r="AP39" s="4152">
        <f>+SMS!AP19</f>
        <v>67112.5</v>
      </c>
      <c r="AQ39" s="1311">
        <f>+(AQ17*AQ32)/1000</f>
        <v>8948.6415094339682</v>
      </c>
      <c r="AR39" s="4461">
        <f>+SMS!AR19</f>
        <v>9232.5</v>
      </c>
      <c r="AS39" s="1124">
        <f>+(AS17*AS32)/1000</f>
        <v>85846.111639674302</v>
      </c>
      <c r="AT39" s="4152">
        <f>+SMS!AT19</f>
        <v>76345</v>
      </c>
      <c r="AU39" s="1311">
        <f>+(AU17*AU32)/1000</f>
        <v>8052.4150943396035</v>
      </c>
      <c r="AV39" s="4461">
        <f>+SMS!AV19</f>
        <v>7958.2</v>
      </c>
      <c r="AW39" s="1124">
        <f>+(AW17*AW32)/1000</f>
        <v>93898.526734013911</v>
      </c>
      <c r="AX39" s="4152">
        <f>+SMS!AX19</f>
        <v>84303.2</v>
      </c>
      <c r="AY39" s="1311">
        <f>+(AY17*AY32)/1000</f>
        <v>8948.6415094339682</v>
      </c>
      <c r="AZ39" s="4461">
        <f>+SMS!AZ19</f>
        <v>9343.2000000000007</v>
      </c>
      <c r="BA39" s="4325">
        <f t="shared" si="55"/>
        <v>25949.698113207538</v>
      </c>
      <c r="BB39" s="4325">
        <f t="shared" si="56"/>
        <v>26533.9</v>
      </c>
      <c r="BC39" s="4464">
        <f t="shared" ref="BC39:BC46" si="63">+AM39+BA39</f>
        <v>52508.830188679247</v>
      </c>
      <c r="BD39" s="4464">
        <f t="shared" ref="BD39:BD46" si="64">+AN39+BB39</f>
        <v>43260.800000000003</v>
      </c>
      <c r="BE39" s="4326">
        <f t="shared" si="57"/>
        <v>102847.16824344787</v>
      </c>
      <c r="BF39" s="4326">
        <f t="shared" si="57"/>
        <v>93646.399999999994</v>
      </c>
      <c r="BG39" s="4465">
        <v>99581.132075471687</v>
      </c>
      <c r="BH39" s="4465">
        <v>91824.999999999985</v>
      </c>
      <c r="BI39" s="4465">
        <v>104803.01886792443</v>
      </c>
      <c r="BJ39" s="4465">
        <v>87073.52</v>
      </c>
      <c r="BK39" s="4465">
        <v>121081.638418079</v>
      </c>
      <c r="BL39" s="4465">
        <v>93275</v>
      </c>
      <c r="BM39" s="4465">
        <v>128650.03991671308</v>
      </c>
      <c r="BN39" s="4465">
        <v>101615.76000000001</v>
      </c>
      <c r="BO39" s="2590"/>
      <c r="BP39" s="2595"/>
      <c r="BQ39" s="1098"/>
      <c r="BR39" s="1775"/>
      <c r="BS39" s="1775"/>
      <c r="BU39" s="4911"/>
    </row>
    <row r="40" spans="1:73" ht="19.5" hidden="1" customHeight="1" thickBot="1" x14ac:dyDescent="0.35">
      <c r="A40" s="93"/>
      <c r="B40" s="2611" t="s">
        <v>83</v>
      </c>
      <c r="C40" s="2603" t="s">
        <v>354</v>
      </c>
      <c r="D40" s="1125">
        <f>+(D48*'Maj Production Summ'!D$18)/1000</f>
        <v>4535.1330768625012</v>
      </c>
      <c r="E40" s="1125">
        <f>+(E48*'Maj Production Summ'!E$18)/1000</f>
        <v>388.20492139678475</v>
      </c>
      <c r="F40" s="277">
        <f>+SMS!F55</f>
        <v>365</v>
      </c>
      <c r="G40" s="1125">
        <f>+(G48*'Maj Production Summ'!G$18)/1000</f>
        <v>400.57305907569491</v>
      </c>
      <c r="H40" s="277">
        <f>+SMS!H55</f>
        <v>297</v>
      </c>
      <c r="I40" s="712">
        <f>+(I48*'Maj Production Summ'!I$18)/1000</f>
        <v>788.77798047247973</v>
      </c>
      <c r="J40" s="43">
        <f>+SMS!J55</f>
        <v>662</v>
      </c>
      <c r="K40" s="1125">
        <f>+(K48*'Maj Production Summ'!K$18)/1000</f>
        <v>388.20492139678475</v>
      </c>
      <c r="L40" s="277">
        <f>+SMS!L55</f>
        <v>405</v>
      </c>
      <c r="M40" s="713">
        <f>+(M48*'Maj Production Summ'!M$18)/1000</f>
        <v>1176.9829018692644</v>
      </c>
      <c r="N40" s="73">
        <f>+SMS!N55</f>
        <v>1067</v>
      </c>
      <c r="O40" s="1125">
        <f>+(O48*'Maj Production Summ'!O$18)/1000</f>
        <v>392.84297302637651</v>
      </c>
      <c r="P40" s="277">
        <f>+SMS!P55</f>
        <v>383</v>
      </c>
      <c r="Q40" s="712">
        <f>+(Q48*'Maj Production Summ'!Q$18)/1000</f>
        <v>1569.8258748956412</v>
      </c>
      <c r="R40" s="43">
        <f>+SMS!R55</f>
        <v>1450</v>
      </c>
      <c r="S40" s="1125">
        <f>+(S48*'Maj Production Summ'!S$18)/1000</f>
        <v>392.84297302637651</v>
      </c>
      <c r="T40" s="277">
        <f>+SMS!T55</f>
        <v>300</v>
      </c>
      <c r="U40" s="712">
        <f>+(U48*'Maj Production Summ'!U$18)/1000</f>
        <v>1962.6688479220177</v>
      </c>
      <c r="V40" s="43">
        <f>+SMS!V55</f>
        <v>1750</v>
      </c>
      <c r="W40" s="1125">
        <f>+(W48*'Maj Production Summ'!W$18)/1000</f>
        <v>206.16139493533055</v>
      </c>
      <c r="X40" s="277">
        <f>+SMS!X55</f>
        <v>293</v>
      </c>
      <c r="Y40" s="618">
        <f t="shared" si="58"/>
        <v>991.8473409880836</v>
      </c>
      <c r="Z40" s="618">
        <f t="shared" si="59"/>
        <v>976</v>
      </c>
      <c r="AA40" s="1049">
        <f t="shared" si="60"/>
        <v>2168.8302428573479</v>
      </c>
      <c r="AB40" s="1049">
        <f t="shared" si="60"/>
        <v>2043</v>
      </c>
      <c r="AC40" s="1125">
        <f>+(AC48*'Maj Production Summ'!AC$18)/1000</f>
        <v>385.55274345833226</v>
      </c>
      <c r="AD40" s="277">
        <f>+SMS!AD55</f>
        <v>291</v>
      </c>
      <c r="AE40" s="712">
        <f>+(AE48*'Maj Production Summ'!AE$18)/1000</f>
        <v>2554.3829863156807</v>
      </c>
      <c r="AF40" s="43">
        <f>+SMS!AF55</f>
        <v>2334</v>
      </c>
      <c r="AG40" s="1125">
        <f>+(AG48*'Maj Production Summ'!AG$18)/1000</f>
        <v>373.19627383383602</v>
      </c>
      <c r="AH40" s="277">
        <f>+SMS!AH55</f>
        <v>2</v>
      </c>
      <c r="AI40" s="712">
        <f>+(AI48*'Maj Production Summ'!AI$18)/1000</f>
        <v>2927.5792601495164</v>
      </c>
      <c r="AJ40" s="43">
        <f>+SMS!AJ55</f>
        <v>2336</v>
      </c>
      <c r="AK40" s="1125">
        <f>+(AK48*'Maj Production Summ'!AK$18)/1000</f>
        <v>385.55274345833226</v>
      </c>
      <c r="AL40" s="277">
        <f>+SMS!AL55</f>
        <v>421</v>
      </c>
      <c r="AM40" s="618">
        <f t="shared" si="61"/>
        <v>1144.3017607505005</v>
      </c>
      <c r="AN40" s="618">
        <f t="shared" si="62"/>
        <v>714</v>
      </c>
      <c r="AO40" s="712">
        <f>+(AO48*'Maj Production Summ'!AO$18)/1000</f>
        <v>3313.1320036078487</v>
      </c>
      <c r="AP40" s="43">
        <f>+SMS!AP55</f>
        <v>2757</v>
      </c>
      <c r="AQ40" s="1125">
        <f>+(AQ48*'Maj Production Summ'!AQ$18)/1000</f>
        <v>385.55274345833226</v>
      </c>
      <c r="AR40" s="277">
        <f>+SMS!AR55</f>
        <v>443</v>
      </c>
      <c r="AS40" s="712">
        <f>+(AS48*'Maj Production Summ'!AS$18)/1000</f>
        <v>3698.6847470661805</v>
      </c>
      <c r="AT40" s="43">
        <f>+SMS!AT55</f>
        <v>3200</v>
      </c>
      <c r="AU40" s="1125">
        <f>+(AU48*'Maj Production Summ'!AU$18)/1000</f>
        <v>346.93877588178162</v>
      </c>
      <c r="AV40" s="277">
        <f>+SMS!AV55</f>
        <v>330</v>
      </c>
      <c r="AW40" s="712">
        <f>+(AW48*'Maj Production Summ'!AW$18)/1000</f>
        <v>4045.6235229479626</v>
      </c>
      <c r="AX40" s="43">
        <f>+SMS!AX55</f>
        <v>3530</v>
      </c>
      <c r="AY40" s="1125">
        <f>+(AY48*'Maj Production Summ'!AY$18)/1000</f>
        <v>385.55274345833226</v>
      </c>
      <c r="AZ40" s="277">
        <f>+SMS!AZ55</f>
        <v>328</v>
      </c>
      <c r="BA40" s="618">
        <f t="shared" si="55"/>
        <v>1118.0442627984462</v>
      </c>
      <c r="BB40" s="618">
        <f t="shared" si="56"/>
        <v>1101</v>
      </c>
      <c r="BC40" s="1049">
        <f t="shared" si="63"/>
        <v>2262.3460235489465</v>
      </c>
      <c r="BD40" s="1049">
        <f t="shared" si="64"/>
        <v>1815</v>
      </c>
      <c r="BE40" s="373">
        <f t="shared" si="57"/>
        <v>4431.1762664062944</v>
      </c>
      <c r="BF40" s="373">
        <f t="shared" si="57"/>
        <v>3858</v>
      </c>
      <c r="BG40" s="1776">
        <v>4107.721698113206</v>
      </c>
      <c r="BH40" s="1776">
        <v>3222</v>
      </c>
      <c r="BI40" s="1776">
        <v>3385.0942571672449</v>
      </c>
      <c r="BJ40" s="1776">
        <v>4727</v>
      </c>
      <c r="BK40" s="1776">
        <v>4499.9999999999973</v>
      </c>
      <c r="BL40" s="1776">
        <v>4569.84</v>
      </c>
      <c r="BM40" s="1776">
        <v>6693.3528167707818</v>
      </c>
      <c r="BN40" s="4466">
        <v>4136</v>
      </c>
      <c r="BO40" s="4452"/>
      <c r="BP40" s="2595"/>
      <c r="BQ40" s="1098"/>
      <c r="BR40" s="1775"/>
      <c r="BS40" s="1775"/>
      <c r="BU40" s="4911"/>
    </row>
    <row r="41" spans="1:73" ht="18.75" hidden="1" customHeight="1" x14ac:dyDescent="0.3">
      <c r="A41" s="93"/>
      <c r="B41" s="2612" t="s">
        <v>838</v>
      </c>
      <c r="C41" s="4467" t="s">
        <v>354</v>
      </c>
      <c r="D41" s="1126">
        <f>+(D49*'Maj Production Summ'!D$18)/1000</f>
        <v>2327.1482664991559</v>
      </c>
      <c r="E41" s="1126">
        <f>+(E49*'Maj Production Summ'!E$18)/1000</f>
        <v>199.20262417083617</v>
      </c>
      <c r="F41" s="181">
        <f>+SMS!F56</f>
        <v>105</v>
      </c>
      <c r="G41" s="1126">
        <f>+(G49*'Maj Production Summ'!G$18)/1000</f>
        <v>205.54918328420422</v>
      </c>
      <c r="H41" s="181">
        <f>+SMS!H56</f>
        <v>178</v>
      </c>
      <c r="I41" s="61">
        <v>0</v>
      </c>
      <c r="J41" s="39">
        <f>+SMS!J56</f>
        <v>283</v>
      </c>
      <c r="K41" s="1126">
        <f>+(K49*'Maj Production Summ'!K$18)/1000</f>
        <v>199.20262417083617</v>
      </c>
      <c r="L41" s="181">
        <f>+SMS!L56</f>
        <v>105</v>
      </c>
      <c r="M41" s="72">
        <v>0</v>
      </c>
      <c r="N41" s="69">
        <f>+SMS!N56</f>
        <v>388</v>
      </c>
      <c r="O41" s="1126">
        <f>+(O49*'Maj Production Summ'!O$18)/1000</f>
        <v>201.58258383834942</v>
      </c>
      <c r="P41" s="181">
        <f>+SMS!P56</f>
        <v>137</v>
      </c>
      <c r="Q41" s="61">
        <v>0</v>
      </c>
      <c r="R41" s="39">
        <f>+SMS!R56</f>
        <v>525</v>
      </c>
      <c r="S41" s="1126">
        <f>+(S49*'Maj Production Summ'!S$18)/1000</f>
        <v>201.58258383834942</v>
      </c>
      <c r="T41" s="181">
        <f>+SMS!T56</f>
        <v>131</v>
      </c>
      <c r="U41" s="61">
        <v>0</v>
      </c>
      <c r="V41" s="39">
        <f>+SMS!V56</f>
        <v>656</v>
      </c>
      <c r="W41" s="1126">
        <f>+(W49*'Maj Production Summ'!W$18)/1000</f>
        <v>105.78920722095233</v>
      </c>
      <c r="X41" s="181">
        <f>+SMS!X56</f>
        <v>129</v>
      </c>
      <c r="Y41" s="4434">
        <f t="shared" si="58"/>
        <v>508.95437489765118</v>
      </c>
      <c r="Z41" s="4434">
        <f t="shared" si="59"/>
        <v>397</v>
      </c>
      <c r="AA41" s="4468">
        <f t="shared" si="60"/>
        <v>508.95437489765118</v>
      </c>
      <c r="AB41" s="4468">
        <f t="shared" si="60"/>
        <v>785</v>
      </c>
      <c r="AC41" s="1126">
        <f>+(AC49*'Maj Production Summ'!AC$18)/1000</f>
        <v>197.84169138511356</v>
      </c>
      <c r="AD41" s="181">
        <f>+SMS!AD56</f>
        <v>155</v>
      </c>
      <c r="AE41" s="61">
        <v>0</v>
      </c>
      <c r="AF41" s="39">
        <f>+SMS!AF56</f>
        <v>940</v>
      </c>
      <c r="AG41" s="1126"/>
      <c r="AH41" s="181">
        <f>+SMS!AH56</f>
        <v>9</v>
      </c>
      <c r="AI41" s="61">
        <v>0</v>
      </c>
      <c r="AJ41" s="39">
        <f>+SMS!AJ56</f>
        <v>949</v>
      </c>
      <c r="AK41" s="1126"/>
      <c r="AL41" s="181">
        <f>+SMS!AL56</f>
        <v>123</v>
      </c>
      <c r="AM41" s="4434">
        <f t="shared" si="61"/>
        <v>197.84169138511356</v>
      </c>
      <c r="AN41" s="4434">
        <f t="shared" si="62"/>
        <v>287</v>
      </c>
      <c r="AO41" s="61">
        <v>0</v>
      </c>
      <c r="AP41" s="39">
        <f>+SMS!AP56</f>
        <v>1072</v>
      </c>
      <c r="AQ41" s="1126"/>
      <c r="AR41" s="181">
        <f>+SMS!AR56</f>
        <v>116</v>
      </c>
      <c r="AS41" s="61">
        <v>0</v>
      </c>
      <c r="AT41" s="39">
        <f>+SMS!AT56</f>
        <v>1188</v>
      </c>
      <c r="AU41" s="1126"/>
      <c r="AV41" s="181">
        <f>+SMS!AV56</f>
        <v>149</v>
      </c>
      <c r="AW41" s="61">
        <v>0</v>
      </c>
      <c r="AX41" s="39">
        <f>+SMS!AX56</f>
        <v>1337</v>
      </c>
      <c r="AY41" s="1126"/>
      <c r="AZ41" s="181">
        <f>+SMS!AZ56</f>
        <v>78</v>
      </c>
      <c r="BA41" s="4434">
        <f t="shared" si="55"/>
        <v>0</v>
      </c>
      <c r="BB41" s="4434">
        <f t="shared" si="56"/>
        <v>343</v>
      </c>
      <c r="BC41" s="1049">
        <f t="shared" si="63"/>
        <v>197.84169138511356</v>
      </c>
      <c r="BD41" s="1049">
        <f t="shared" si="64"/>
        <v>630</v>
      </c>
      <c r="BE41" s="4432">
        <f t="shared" si="57"/>
        <v>0</v>
      </c>
      <c r="BF41" s="4432">
        <f t="shared" si="57"/>
        <v>1415</v>
      </c>
      <c r="BG41" s="4469">
        <v>0</v>
      </c>
      <c r="BH41" s="4469">
        <v>1433</v>
      </c>
      <c r="BI41" s="4469">
        <v>0</v>
      </c>
      <c r="BJ41" s="4469">
        <v>1668.3050000000001</v>
      </c>
      <c r="BK41" s="4469">
        <v>0</v>
      </c>
      <c r="BL41" s="4469">
        <v>1122.0419999999999</v>
      </c>
      <c r="BM41" s="4469">
        <v>0</v>
      </c>
      <c r="BN41" s="1099">
        <v>968.33999999999992</v>
      </c>
      <c r="BO41" s="4452"/>
      <c r="BP41" s="2595"/>
      <c r="BQ41" s="1098"/>
      <c r="BR41" s="1775"/>
      <c r="BS41" s="1775"/>
      <c r="BU41" s="4911"/>
    </row>
    <row r="42" spans="1:73" ht="19.5" hidden="1" customHeight="1" thickBot="1" x14ac:dyDescent="0.35">
      <c r="A42" s="841"/>
      <c r="B42" s="2613" t="s">
        <v>880</v>
      </c>
      <c r="C42" s="4470" t="s">
        <v>354</v>
      </c>
      <c r="D42" s="1339">
        <f>SUM(D40:D41)</f>
        <v>6862.2813433616575</v>
      </c>
      <c r="E42" s="1339">
        <f>SUM(E40:E41)</f>
        <v>587.4075455676209</v>
      </c>
      <c r="F42" s="1141">
        <f t="shared" ref="F42:H42" si="65">SUM(F40:F41)</f>
        <v>470</v>
      </c>
      <c r="G42" s="1339">
        <f>SUM(G40:G41)</f>
        <v>606.12224235989913</v>
      </c>
      <c r="H42" s="1141">
        <f t="shared" si="65"/>
        <v>475</v>
      </c>
      <c r="I42" s="2044">
        <f t="shared" ref="I42:R42" si="66">SUM(I40:I41)</f>
        <v>788.77798047247973</v>
      </c>
      <c r="J42" s="2045">
        <f t="shared" si="66"/>
        <v>945</v>
      </c>
      <c r="K42" s="1339">
        <f>SUM(K40:K41)</f>
        <v>587.4075455676209</v>
      </c>
      <c r="L42" s="1141">
        <f t="shared" ref="L42" si="67">SUM(L40:L41)</f>
        <v>510</v>
      </c>
      <c r="M42" s="2036">
        <f t="shared" si="66"/>
        <v>1176.9829018692644</v>
      </c>
      <c r="N42" s="2037">
        <f t="shared" si="66"/>
        <v>1455</v>
      </c>
      <c r="O42" s="1339">
        <f>SUM(O40:O41)</f>
        <v>594.42555686472588</v>
      </c>
      <c r="P42" s="1141">
        <f t="shared" ref="P42" si="68">SUM(P40:P41)</f>
        <v>520</v>
      </c>
      <c r="Q42" s="2044">
        <f t="shared" si="66"/>
        <v>1569.8258748956412</v>
      </c>
      <c r="R42" s="2045">
        <f t="shared" si="66"/>
        <v>1975</v>
      </c>
      <c r="S42" s="1339">
        <f>SUM(S40:S41)</f>
        <v>594.42555686472588</v>
      </c>
      <c r="T42" s="1141">
        <f t="shared" ref="T42" si="69">SUM(T40:T41)</f>
        <v>431</v>
      </c>
      <c r="U42" s="2044">
        <f t="shared" ref="U42:V42" si="70">SUM(U40:U41)</f>
        <v>1962.6688479220177</v>
      </c>
      <c r="V42" s="2045">
        <f t="shared" si="70"/>
        <v>2406</v>
      </c>
      <c r="W42" s="1339">
        <f>SUM(W40:W41)</f>
        <v>311.95060215628291</v>
      </c>
      <c r="X42" s="1141">
        <f t="shared" ref="X42" si="71">SUM(X40:X41)</f>
        <v>422</v>
      </c>
      <c r="Y42" s="4471">
        <f t="shared" ref="Y42:AF42" si="72">SUM(Y40:Y41)</f>
        <v>1500.8017158857347</v>
      </c>
      <c r="Z42" s="4471">
        <f t="shared" si="72"/>
        <v>1373</v>
      </c>
      <c r="AA42" s="4472">
        <f t="shared" si="72"/>
        <v>2677.7846177549991</v>
      </c>
      <c r="AB42" s="4472">
        <f t="shared" si="72"/>
        <v>2828</v>
      </c>
      <c r="AC42" s="1339">
        <f>SUM(AC40:AC41)</f>
        <v>583.39443484344588</v>
      </c>
      <c r="AD42" s="1141">
        <f t="shared" ref="AD42" si="73">SUM(AD40:AD41)</f>
        <v>446</v>
      </c>
      <c r="AE42" s="2044">
        <f t="shared" si="72"/>
        <v>2554.3829863156807</v>
      </c>
      <c r="AF42" s="2045">
        <f t="shared" si="72"/>
        <v>3274</v>
      </c>
      <c r="AG42" s="1339">
        <f t="shared" ref="AG42:AH42" si="74">SUM(AG40:AG41)</f>
        <v>373.19627383383602</v>
      </c>
      <c r="AH42" s="1141">
        <f t="shared" si="74"/>
        <v>11</v>
      </c>
      <c r="AI42" s="2044">
        <f t="shared" ref="AI42:AN42" si="75">SUM(AI40:AI41)</f>
        <v>2927.5792601495164</v>
      </c>
      <c r="AJ42" s="2045">
        <f t="shared" si="75"/>
        <v>3285</v>
      </c>
      <c r="AK42" s="1339">
        <f t="shared" si="75"/>
        <v>385.55274345833226</v>
      </c>
      <c r="AL42" s="1141">
        <f t="shared" si="75"/>
        <v>544</v>
      </c>
      <c r="AM42" s="4471">
        <f t="shared" si="75"/>
        <v>1342.1434521356141</v>
      </c>
      <c r="AN42" s="4471">
        <f t="shared" si="75"/>
        <v>1001</v>
      </c>
      <c r="AO42" s="2044">
        <f t="shared" ref="AO42:AT42" si="76">SUM(AO40:AO41)</f>
        <v>3313.1320036078487</v>
      </c>
      <c r="AP42" s="2045">
        <f t="shared" si="76"/>
        <v>3829</v>
      </c>
      <c r="AQ42" s="1339">
        <f t="shared" si="76"/>
        <v>385.55274345833226</v>
      </c>
      <c r="AR42" s="1141">
        <f t="shared" si="76"/>
        <v>559</v>
      </c>
      <c r="AS42" s="2044">
        <f t="shared" si="76"/>
        <v>3698.6847470661805</v>
      </c>
      <c r="AT42" s="2045">
        <f t="shared" si="76"/>
        <v>4388</v>
      </c>
      <c r="AU42" s="1339">
        <f t="shared" ref="AU42:AV42" si="77">SUM(AU40:AU41)</f>
        <v>346.93877588178162</v>
      </c>
      <c r="AV42" s="1141">
        <f t="shared" si="77"/>
        <v>479</v>
      </c>
      <c r="AW42" s="2044">
        <f t="shared" ref="AW42:AZ42" si="78">SUM(AW40:AW41)</f>
        <v>4045.6235229479626</v>
      </c>
      <c r="AX42" s="2045">
        <f t="shared" si="78"/>
        <v>4867</v>
      </c>
      <c r="AY42" s="1339">
        <f t="shared" si="78"/>
        <v>385.55274345833226</v>
      </c>
      <c r="AZ42" s="1141">
        <f t="shared" si="78"/>
        <v>406</v>
      </c>
      <c r="BA42" s="4471">
        <f t="shared" ref="BA42:BD42" si="79">SUM(BA40:BA41)</f>
        <v>1118.0442627984462</v>
      </c>
      <c r="BB42" s="4471">
        <f t="shared" si="79"/>
        <v>1444</v>
      </c>
      <c r="BC42" s="4472">
        <f t="shared" si="79"/>
        <v>2460.1877149340598</v>
      </c>
      <c r="BD42" s="4472">
        <f t="shared" si="79"/>
        <v>2445</v>
      </c>
      <c r="BE42" s="4473">
        <f t="shared" ref="BE42:BF42" si="80">SUM(BE40:BE41)</f>
        <v>4431.1762664062944</v>
      </c>
      <c r="BF42" s="4473">
        <f t="shared" si="80"/>
        <v>5273</v>
      </c>
      <c r="BG42" s="4474">
        <v>4107.721698113206</v>
      </c>
      <c r="BH42" s="4474">
        <v>4655</v>
      </c>
      <c r="BI42" s="4474">
        <v>3385.0942571672449</v>
      </c>
      <c r="BJ42" s="4474">
        <v>6395.3050000000003</v>
      </c>
      <c r="BK42" s="4474">
        <v>4499.9999999999973</v>
      </c>
      <c r="BL42" s="4474">
        <v>5691.8819999999996</v>
      </c>
      <c r="BM42" s="4474">
        <v>6693.3528167707818</v>
      </c>
      <c r="BN42" s="2015">
        <v>5104.34</v>
      </c>
      <c r="BO42" s="4453"/>
      <c r="BP42" s="2014"/>
      <c r="BQ42" s="2481"/>
      <c r="BR42" s="1493"/>
      <c r="BS42" s="1493"/>
      <c r="BU42" s="4911"/>
    </row>
    <row r="43" spans="1:73" ht="19.5" hidden="1" customHeight="1" thickBot="1" x14ac:dyDescent="0.35">
      <c r="A43" s="93"/>
      <c r="B43" s="2612" t="s">
        <v>84</v>
      </c>
      <c r="C43" s="4467" t="s">
        <v>354</v>
      </c>
      <c r="D43" s="1126">
        <f>+(D51*'Maj Production Summ'!D$18)/1000</f>
        <v>48123.1193885826</v>
      </c>
      <c r="E43" s="1126">
        <f>+(E51*'Maj Production Summ'!E$18)/1000</f>
        <v>4119.3128102289647</v>
      </c>
      <c r="F43" s="181">
        <f>+SMS!F58</f>
        <v>3332</v>
      </c>
      <c r="G43" s="1126">
        <f>+(G51*'Maj Production Summ'!G$18)/1000</f>
        <v>4250.5533617296896</v>
      </c>
      <c r="H43" s="181">
        <f>+SMS!H58</f>
        <v>3570</v>
      </c>
      <c r="I43" s="61">
        <f>+(I51*'Maj Production Summ'!I$18)/1000</f>
        <v>8369.8661719586544</v>
      </c>
      <c r="J43" s="39">
        <f>+SMS!J58</f>
        <v>6902</v>
      </c>
      <c r="K43" s="1126">
        <f>+(K51*'Maj Production Summ'!K$18)/1000</f>
        <v>4119.3128102289647</v>
      </c>
      <c r="L43" s="181">
        <f>+SMS!L58</f>
        <v>3768</v>
      </c>
      <c r="M43" s="72">
        <f>+(M51*'Maj Production Summ'!M$18)/1000</f>
        <v>12489.178982187617</v>
      </c>
      <c r="N43" s="69">
        <f>+SMS!N58</f>
        <v>10670</v>
      </c>
      <c r="O43" s="1126">
        <f>+(O51*'Maj Production Summ'!O$18)/1000</f>
        <v>4168.5280170417409</v>
      </c>
      <c r="P43" s="181">
        <f>+SMS!P58</f>
        <v>4098</v>
      </c>
      <c r="Q43" s="61">
        <f>+(Q51*'Maj Production Summ'!Q$18)/1000</f>
        <v>16657.706999229358</v>
      </c>
      <c r="R43" s="39">
        <f>+SMS!R58</f>
        <v>14768</v>
      </c>
      <c r="S43" s="1126">
        <f>+(S51*'Maj Production Summ'!S$18)/1000</f>
        <v>4168.5280170417409</v>
      </c>
      <c r="T43" s="181">
        <f>+SMS!T58</f>
        <v>3587.02</v>
      </c>
      <c r="U43" s="61">
        <f>+(U51*'Maj Production Summ'!U$18)/1000</f>
        <v>20826.235016271101</v>
      </c>
      <c r="V43" s="39">
        <f>+SMS!V58</f>
        <v>18355.02</v>
      </c>
      <c r="W43" s="1126">
        <f>+(W51*'Maj Production Summ'!W$18)/1000</f>
        <v>2187.6159428276978</v>
      </c>
      <c r="X43" s="181">
        <f>+SMS!X58</f>
        <v>3011.1099999999997</v>
      </c>
      <c r="Y43" s="4434">
        <f t="shared" si="58"/>
        <v>10524.671976911181</v>
      </c>
      <c r="Z43" s="4434">
        <f t="shared" si="59"/>
        <v>10696.130000000001</v>
      </c>
      <c r="AA43" s="4468">
        <f t="shared" si="60"/>
        <v>23013.850959098796</v>
      </c>
      <c r="AB43" s="4468">
        <f t="shared" si="60"/>
        <v>21366.13</v>
      </c>
      <c r="AC43" s="1126">
        <f>+(AC51*'Maj Production Summ'!AC$18)/1000</f>
        <v>4091.1700692313361</v>
      </c>
      <c r="AD43" s="181">
        <f>+SMS!AD58</f>
        <v>3276</v>
      </c>
      <c r="AE43" s="61">
        <f>+(AE51*'Maj Production Summ'!AE$18)/1000</f>
        <v>27105.021028330135</v>
      </c>
      <c r="AF43" s="39">
        <f>+SMS!AF58</f>
        <v>24642.129999999997</v>
      </c>
      <c r="AG43" s="1126">
        <f>+(AG51*'Maj Production Summ'!AG$18)/1000</f>
        <v>3960.0533295716468</v>
      </c>
      <c r="AH43" s="181">
        <f>+SMS!AH58</f>
        <v>110</v>
      </c>
      <c r="AI43" s="61">
        <f>+(AI51*'Maj Production Summ'!AI$18)/1000</f>
        <v>31065.074357901784</v>
      </c>
      <c r="AJ43" s="39">
        <f>+SMS!AJ58</f>
        <v>24752.129999999997</v>
      </c>
      <c r="AK43" s="1126">
        <f>+(AK51*'Maj Production Summ'!AK$18)/1000</f>
        <v>4091.1700692313361</v>
      </c>
      <c r="AL43" s="181">
        <f>+SMS!AL58</f>
        <v>3928</v>
      </c>
      <c r="AM43" s="4434">
        <f t="shared" ref="AM43" si="81">+AC43+AG43+AK43</f>
        <v>12142.393468034319</v>
      </c>
      <c r="AN43" s="4434">
        <f t="shared" ref="AN43" si="82">+AD43+AH43+AL43</f>
        <v>7314</v>
      </c>
      <c r="AO43" s="61">
        <f>+(AO51*'Maj Production Summ'!AO$18)/1000</f>
        <v>35156.244427133111</v>
      </c>
      <c r="AP43" s="39">
        <f>+SMS!AP58</f>
        <v>28680.129999999997</v>
      </c>
      <c r="AQ43" s="1126">
        <f>+(AQ51*'Maj Production Summ'!AQ$18)/1000</f>
        <v>4091.1700692313361</v>
      </c>
      <c r="AR43" s="181">
        <f>+SMS!AR58</f>
        <v>4040</v>
      </c>
      <c r="AS43" s="61">
        <f>+(AS51*'Maj Production Summ'!AS$18)/1000</f>
        <v>39247.41449636445</v>
      </c>
      <c r="AT43" s="39">
        <f>+SMS!AT58</f>
        <v>32720.129999999997</v>
      </c>
      <c r="AU43" s="1126">
        <f>+(AU51*'Maj Production Summ'!AU$18)/1000</f>
        <v>3681.4302577948083</v>
      </c>
      <c r="AV43" s="181">
        <f>+SMS!AV58</f>
        <v>3626</v>
      </c>
      <c r="AW43" s="61">
        <f>+(AW51*'Maj Production Summ'!AW$18)/1000</f>
        <v>42928.844754159254</v>
      </c>
      <c r="AX43" s="39">
        <f>+SMS!AX58</f>
        <v>36346.129999999997</v>
      </c>
      <c r="AY43" s="1126">
        <f>+(AY51*'Maj Production Summ'!AY$18)/1000</f>
        <v>4091.1700692313361</v>
      </c>
      <c r="AZ43" s="181">
        <f>+SMS!AZ58</f>
        <v>4060</v>
      </c>
      <c r="BA43" s="4434">
        <f>+AQ43+AU43+AY43</f>
        <v>11863.770396257481</v>
      </c>
      <c r="BB43" s="4434">
        <f>+AR43+AV43+AZ43</f>
        <v>11726</v>
      </c>
      <c r="BC43" s="1049">
        <f t="shared" si="63"/>
        <v>24006.163864291801</v>
      </c>
      <c r="BD43" s="1049">
        <f t="shared" si="64"/>
        <v>19040</v>
      </c>
      <c r="BE43" s="4432">
        <f>+AW43+AY43</f>
        <v>47020.014823390593</v>
      </c>
      <c r="BF43" s="4432">
        <f>+AX43+AZ43</f>
        <v>40406.129999999997</v>
      </c>
      <c r="BG43" s="4469">
        <v>45682.844339622636</v>
      </c>
      <c r="BH43" s="4469">
        <v>39439.440000000002</v>
      </c>
      <c r="BI43" s="4469">
        <v>44076.080225204008</v>
      </c>
      <c r="BJ43" s="4469">
        <v>45680</v>
      </c>
      <c r="BK43" s="4469">
        <v>39999.999999999971</v>
      </c>
      <c r="BL43" s="4469">
        <v>44647.62</v>
      </c>
      <c r="BM43" s="4469">
        <v>42007.865963932476</v>
      </c>
      <c r="BN43" s="1099">
        <v>36347</v>
      </c>
      <c r="BO43" s="4452"/>
      <c r="BP43" s="2595"/>
      <c r="BQ43" s="1098"/>
      <c r="BR43" s="1775"/>
      <c r="BS43" s="1775"/>
      <c r="BU43" s="4911"/>
    </row>
    <row r="44" spans="1:73" ht="18.75" hidden="1" customHeight="1" x14ac:dyDescent="0.3">
      <c r="A44" s="93"/>
      <c r="B44" s="2612" t="s">
        <v>1573</v>
      </c>
      <c r="C44" s="4467" t="s">
        <v>354</v>
      </c>
      <c r="D44" s="1126"/>
      <c r="E44" s="1126"/>
      <c r="F44" s="181">
        <f>+SMS!F59</f>
        <v>0</v>
      </c>
      <c r="G44" s="1126"/>
      <c r="H44" s="181">
        <f>+SMS!H59</f>
        <v>0</v>
      </c>
      <c r="I44" s="61"/>
      <c r="J44" s="39">
        <f>+SMS!J59</f>
        <v>0</v>
      </c>
      <c r="K44" s="1126"/>
      <c r="L44" s="181">
        <f>+SMS!L59</f>
        <v>0</v>
      </c>
      <c r="M44" s="72"/>
      <c r="N44" s="69">
        <f>+SMS!N59</f>
        <v>0</v>
      </c>
      <c r="O44" s="1126"/>
      <c r="P44" s="181">
        <f>+SMS!P59</f>
        <v>0</v>
      </c>
      <c r="Q44" s="61"/>
      <c r="R44" s="39">
        <f>+SMS!R59</f>
        <v>0</v>
      </c>
      <c r="S44" s="1126"/>
      <c r="T44" s="181">
        <f>+SMS!T59</f>
        <v>0</v>
      </c>
      <c r="U44" s="61"/>
      <c r="V44" s="39">
        <f>+SMS!V59</f>
        <v>0</v>
      </c>
      <c r="W44" s="1126"/>
      <c r="X44" s="181">
        <f>+SMS!X59</f>
        <v>0</v>
      </c>
      <c r="Y44" s="4434"/>
      <c r="Z44" s="4434">
        <f>P44+T44+X44</f>
        <v>0</v>
      </c>
      <c r="AA44" s="4468"/>
      <c r="AB44" s="4468">
        <f t="shared" si="60"/>
        <v>0</v>
      </c>
      <c r="AC44" s="1126"/>
      <c r="AD44" s="181">
        <f>+SMS!AD59</f>
        <v>0</v>
      </c>
      <c r="AE44" s="61"/>
      <c r="AF44" s="39">
        <f>+SMS!AF59</f>
        <v>0</v>
      </c>
      <c r="AG44" s="1126"/>
      <c r="AH44" s="181">
        <f>+SMS!AH59</f>
        <v>0</v>
      </c>
      <c r="AI44" s="61"/>
      <c r="AJ44" s="39">
        <f>+SMS!AJ59</f>
        <v>0</v>
      </c>
      <c r="AK44" s="1126"/>
      <c r="AL44" s="181">
        <f>+SMS!AL59</f>
        <v>0</v>
      </c>
      <c r="AM44" s="4434"/>
      <c r="AN44" s="4434">
        <f>AD44+AH44+AL44</f>
        <v>0</v>
      </c>
      <c r="AO44" s="61"/>
      <c r="AP44" s="39">
        <f>+SMS!AP59</f>
        <v>0</v>
      </c>
      <c r="AQ44" s="1126"/>
      <c r="AR44" s="181">
        <f>+SMS!AR59</f>
        <v>0</v>
      </c>
      <c r="AS44" s="61"/>
      <c r="AT44" s="39">
        <f>+SMS!AT59</f>
        <v>0</v>
      </c>
      <c r="AU44" s="1126"/>
      <c r="AV44" s="181">
        <f>+SMS!AV59</f>
        <v>0</v>
      </c>
      <c r="AW44" s="61"/>
      <c r="AX44" s="39">
        <f>+SMS!AX59</f>
        <v>0</v>
      </c>
      <c r="AY44" s="1126"/>
      <c r="AZ44" s="181">
        <f>+SMS!AZ59</f>
        <v>0</v>
      </c>
      <c r="BA44" s="4434"/>
      <c r="BB44" s="4434">
        <f>+SMS!BB59</f>
        <v>0</v>
      </c>
      <c r="BC44" s="1049"/>
      <c r="BD44" s="1049">
        <f>+SMS!BD59</f>
        <v>0</v>
      </c>
      <c r="BE44" s="4432"/>
      <c r="BF44" s="4432">
        <f>+SMS!BF59</f>
        <v>0</v>
      </c>
      <c r="BG44" s="4469"/>
      <c r="BH44" s="4469">
        <v>0</v>
      </c>
      <c r="BI44" s="4469"/>
      <c r="BJ44" s="4469">
        <v>25.81</v>
      </c>
      <c r="BK44" s="4469"/>
      <c r="BL44" s="4469"/>
      <c r="BM44" s="4469"/>
      <c r="BN44" s="1099"/>
      <c r="BO44" s="4452"/>
      <c r="BP44" s="2595"/>
      <c r="BQ44" s="1098"/>
      <c r="BR44" s="1775"/>
      <c r="BS44" s="1775"/>
      <c r="BU44" s="4911"/>
    </row>
    <row r="45" spans="1:73" ht="18.75" hidden="1" customHeight="1" x14ac:dyDescent="0.3">
      <c r="A45" s="841"/>
      <c r="B45" s="2613" t="s">
        <v>1574</v>
      </c>
      <c r="C45" s="4467" t="s">
        <v>354</v>
      </c>
      <c r="D45" s="3426">
        <f>SUM(D43:D44)</f>
        <v>48123.1193885826</v>
      </c>
      <c r="E45" s="3426">
        <f>SUM(E43:E44)</f>
        <v>4119.3128102289647</v>
      </c>
      <c r="F45" s="1141">
        <f>SUM(F43:F44)</f>
        <v>3332</v>
      </c>
      <c r="G45" s="3426">
        <f>SUM(G43:G44)</f>
        <v>4250.5533617296896</v>
      </c>
      <c r="H45" s="1141">
        <f>SUM(H43:H44)</f>
        <v>3570</v>
      </c>
      <c r="I45" s="2044">
        <f t="shared" ref="I45:R45" si="83">SUM(I43:I44)</f>
        <v>8369.8661719586544</v>
      </c>
      <c r="J45" s="2045">
        <f t="shared" si="83"/>
        <v>6902</v>
      </c>
      <c r="K45" s="3426">
        <f>SUM(K43:K44)</f>
        <v>4119.3128102289647</v>
      </c>
      <c r="L45" s="1141">
        <f>SUM(L43:L44)</f>
        <v>3768</v>
      </c>
      <c r="M45" s="2036">
        <f t="shared" si="83"/>
        <v>12489.178982187617</v>
      </c>
      <c r="N45" s="2037">
        <f t="shared" si="83"/>
        <v>10670</v>
      </c>
      <c r="O45" s="3426">
        <f>SUM(O43:O44)</f>
        <v>4168.5280170417409</v>
      </c>
      <c r="P45" s="1141">
        <f>SUM(P43:P44)</f>
        <v>4098</v>
      </c>
      <c r="Q45" s="2044">
        <f t="shared" si="83"/>
        <v>16657.706999229358</v>
      </c>
      <c r="R45" s="2045">
        <f t="shared" si="83"/>
        <v>14768</v>
      </c>
      <c r="S45" s="3426">
        <f>SUM(S43:S44)</f>
        <v>4168.5280170417409</v>
      </c>
      <c r="T45" s="1141">
        <f>SUM(T43:T44)</f>
        <v>3587.02</v>
      </c>
      <c r="U45" s="2044">
        <f t="shared" ref="U45:V45" si="84">SUM(U43:U44)</f>
        <v>20826.235016271101</v>
      </c>
      <c r="V45" s="2045">
        <f t="shared" si="84"/>
        <v>18355.02</v>
      </c>
      <c r="W45" s="3426">
        <f>SUM(W43:W44)</f>
        <v>2187.6159428276978</v>
      </c>
      <c r="X45" s="1141">
        <f>SUM(X43:X44)</f>
        <v>3011.1099999999997</v>
      </c>
      <c r="Y45" s="4471">
        <f t="shared" ref="Y45:AB45" si="85">SUM(Y43:Y44)</f>
        <v>10524.671976911181</v>
      </c>
      <c r="Z45" s="4471">
        <f t="shared" si="85"/>
        <v>10696.130000000001</v>
      </c>
      <c r="AA45" s="4472">
        <f t="shared" si="85"/>
        <v>23013.850959098796</v>
      </c>
      <c r="AB45" s="4472">
        <f t="shared" si="85"/>
        <v>21366.13</v>
      </c>
      <c r="AC45" s="3426">
        <f t="shared" ref="AC45:AD45" si="86">SUM(AC43:AC44)</f>
        <v>4091.1700692313361</v>
      </c>
      <c r="AD45" s="1141">
        <f t="shared" si="86"/>
        <v>3276</v>
      </c>
      <c r="AE45" s="2044">
        <f t="shared" ref="AE45:AF45" si="87">SUM(AE43:AE44)</f>
        <v>27105.021028330135</v>
      </c>
      <c r="AF45" s="2045">
        <f t="shared" si="87"/>
        <v>24642.129999999997</v>
      </c>
      <c r="AG45" s="3426">
        <f t="shared" ref="AG45:AH45" si="88">SUM(AG43:AG44)</f>
        <v>3960.0533295716468</v>
      </c>
      <c r="AH45" s="1141">
        <f t="shared" si="88"/>
        <v>110</v>
      </c>
      <c r="AI45" s="2044">
        <f t="shared" ref="AI45:AL45" si="89">SUM(AI43:AI44)</f>
        <v>31065.074357901784</v>
      </c>
      <c r="AJ45" s="2045">
        <f t="shared" si="89"/>
        <v>24752.129999999997</v>
      </c>
      <c r="AK45" s="3426">
        <f t="shared" si="89"/>
        <v>4091.1700692313361</v>
      </c>
      <c r="AL45" s="1141">
        <f t="shared" si="89"/>
        <v>3928</v>
      </c>
      <c r="AM45" s="4471">
        <f>SUM(AM43:AM44)</f>
        <v>12142.393468034319</v>
      </c>
      <c r="AN45" s="4471">
        <f>SUM(AN43:AN44)</f>
        <v>7314</v>
      </c>
      <c r="AO45" s="2044">
        <f t="shared" ref="AO45:AT45" si="90">SUM(AO43:AO44)</f>
        <v>35156.244427133111</v>
      </c>
      <c r="AP45" s="2045">
        <f t="shared" si="90"/>
        <v>28680.129999999997</v>
      </c>
      <c r="AQ45" s="3426">
        <f t="shared" si="90"/>
        <v>4091.1700692313361</v>
      </c>
      <c r="AR45" s="1141">
        <f t="shared" si="90"/>
        <v>4040</v>
      </c>
      <c r="AS45" s="2044">
        <f t="shared" si="90"/>
        <v>39247.41449636445</v>
      </c>
      <c r="AT45" s="2045">
        <f t="shared" si="90"/>
        <v>32720.129999999997</v>
      </c>
      <c r="AU45" s="3426">
        <f t="shared" ref="AU45:AV45" si="91">SUM(AU43:AU44)</f>
        <v>3681.4302577948083</v>
      </c>
      <c r="AV45" s="1141">
        <f t="shared" si="91"/>
        <v>3626</v>
      </c>
      <c r="AW45" s="2044">
        <f t="shared" ref="AW45:AZ45" si="92">SUM(AW43:AW44)</f>
        <v>42928.844754159254</v>
      </c>
      <c r="AX45" s="2045">
        <f t="shared" si="92"/>
        <v>36346.129999999997</v>
      </c>
      <c r="AY45" s="3426">
        <f t="shared" si="92"/>
        <v>4091.1700692313361</v>
      </c>
      <c r="AZ45" s="1141">
        <f t="shared" si="92"/>
        <v>4060</v>
      </c>
      <c r="BA45" s="4471">
        <f t="shared" ref="BA45:BF45" si="93">SUM(BA43:BA44)</f>
        <v>11863.770396257481</v>
      </c>
      <c r="BB45" s="4471">
        <f t="shared" si="93"/>
        <v>11726</v>
      </c>
      <c r="BC45" s="4472">
        <f t="shared" si="93"/>
        <v>24006.163864291801</v>
      </c>
      <c r="BD45" s="4472">
        <f t="shared" si="93"/>
        <v>19040</v>
      </c>
      <c r="BE45" s="4473">
        <f t="shared" si="93"/>
        <v>47020.014823390593</v>
      </c>
      <c r="BF45" s="4473">
        <f t="shared" si="93"/>
        <v>40406.129999999997</v>
      </c>
      <c r="BG45" s="4474">
        <v>45682.844339622636</v>
      </c>
      <c r="BH45" s="4474">
        <v>39439.440000000002</v>
      </c>
      <c r="BI45" s="4474">
        <v>44076.080225204008</v>
      </c>
      <c r="BJ45" s="4474">
        <v>45705.81</v>
      </c>
      <c r="BK45" s="4474"/>
      <c r="BL45" s="4474"/>
      <c r="BM45" s="4474"/>
      <c r="BN45" s="2015"/>
      <c r="BO45" s="4453"/>
      <c r="BP45" s="2014"/>
      <c r="BQ45" s="2481"/>
      <c r="BR45" s="1493"/>
      <c r="BS45" s="1493"/>
      <c r="BU45" s="4911"/>
    </row>
    <row r="46" spans="1:73" ht="18.75" hidden="1" customHeight="1" x14ac:dyDescent="0.3">
      <c r="A46" s="93"/>
      <c r="B46" s="2613" t="s">
        <v>85</v>
      </c>
      <c r="C46" s="4470" t="s">
        <v>354</v>
      </c>
      <c r="D46" s="3426">
        <f>+(D54*'Maj Production Summ'!D$18)/1000</f>
        <v>6002.4946899136239</v>
      </c>
      <c r="E46" s="3426">
        <f>+(E54*'Maj Production Summ'!E$18)/1000</f>
        <v>513.81027630056133</v>
      </c>
      <c r="F46" s="1141">
        <f>+SMS!F61</f>
        <v>467</v>
      </c>
      <c r="G46" s="3426">
        <f>+(G54*'Maj Production Summ'!G$18)/1000</f>
        <v>530.18017757656514</v>
      </c>
      <c r="H46" s="1141">
        <f>+SMS!H61</f>
        <v>551</v>
      </c>
      <c r="I46" s="2044">
        <f>+(I54*'Maj Production Summ'!I$18)/1000</f>
        <v>1043.9904538771264</v>
      </c>
      <c r="J46" s="2045">
        <f>+SMS!J61</f>
        <v>1018</v>
      </c>
      <c r="K46" s="3426">
        <f>+(K54*'Maj Production Summ'!K$18)/1000</f>
        <v>513.81027630056133</v>
      </c>
      <c r="L46" s="1141">
        <f>+SMS!L61</f>
        <v>526.21</v>
      </c>
      <c r="M46" s="2036">
        <f>+(M54*'Maj Production Summ'!M$18)/1000</f>
        <v>1557.8007301776877</v>
      </c>
      <c r="N46" s="2037">
        <f>+SMS!N61</f>
        <v>1544.21</v>
      </c>
      <c r="O46" s="3426">
        <f>+(O54*'Maj Production Summ'!O$18)/1000</f>
        <v>519.94898927906331</v>
      </c>
      <c r="P46" s="1141">
        <f>+SMS!P61</f>
        <v>485.89400000000001</v>
      </c>
      <c r="Q46" s="2044">
        <f>+(Q54*'Maj Production Summ'!Q$18)/1000</f>
        <v>2077.7497194567513</v>
      </c>
      <c r="R46" s="2045">
        <f>+SMS!R61</f>
        <v>2030.104</v>
      </c>
      <c r="S46" s="3426">
        <f>+(S54*'Maj Production Summ'!S$18)/1000</f>
        <v>519.94898927906331</v>
      </c>
      <c r="T46" s="1141">
        <f>+SMS!T61</f>
        <v>516</v>
      </c>
      <c r="U46" s="2044">
        <f>+(U54*'Maj Production Summ'!U$18)/1000</f>
        <v>2597.6987087358143</v>
      </c>
      <c r="V46" s="2045">
        <f>+SMS!V61</f>
        <v>2546.1040000000003</v>
      </c>
      <c r="W46" s="3426">
        <f>+(W54*'Maj Production Summ'!W$18)/1000</f>
        <v>272.86579189438544</v>
      </c>
      <c r="X46" s="1141">
        <f>+SMS!X61</f>
        <v>481</v>
      </c>
      <c r="Y46" s="4471">
        <f t="shared" si="58"/>
        <v>1312.7637704525121</v>
      </c>
      <c r="Z46" s="4471">
        <f t="shared" si="59"/>
        <v>1482.894</v>
      </c>
      <c r="AA46" s="4472">
        <f t="shared" si="60"/>
        <v>2870.5645006301997</v>
      </c>
      <c r="AB46" s="4472">
        <f t="shared" si="60"/>
        <v>3027.1040000000003</v>
      </c>
      <c r="AC46" s="3426">
        <f>+(AC54*'Maj Production Summ'!AC$18)/1000</f>
        <v>510.2999748998181</v>
      </c>
      <c r="AD46" s="1141">
        <f>+SMS!AD61</f>
        <v>614</v>
      </c>
      <c r="AE46" s="2044">
        <f>+(AE54*'Maj Production Summ'!AE$18)/1000</f>
        <v>3380.8644755300179</v>
      </c>
      <c r="AF46" s="2045">
        <f>+SMS!AF61</f>
        <v>3641.1040000000003</v>
      </c>
      <c r="AG46" s="3426">
        <f>+(AG54*'Maj Production Summ'!AG$18)/1000</f>
        <v>493.94551692690453</v>
      </c>
      <c r="AH46" s="1141">
        <f>+SMS!AH61</f>
        <v>19</v>
      </c>
      <c r="AI46" s="2044">
        <f>+(AI54*'Maj Production Summ'!AI$18)/1000</f>
        <v>3874.8099924569224</v>
      </c>
      <c r="AJ46" s="2045">
        <f>+SMS!AJ61</f>
        <v>3660.1040000000003</v>
      </c>
      <c r="AK46" s="3426">
        <f>+(AK54*'Maj Production Summ'!AK$18)/1000</f>
        <v>510.2999748998181</v>
      </c>
      <c r="AL46" s="1141">
        <f>+SMS!AL61</f>
        <v>538</v>
      </c>
      <c r="AM46" s="4471">
        <f t="shared" ref="AM46" si="94">+AC46+AG46+AK46</f>
        <v>1514.5454667265408</v>
      </c>
      <c r="AN46" s="4471">
        <f t="shared" ref="AN46" si="95">+AD46+AH46+AL46</f>
        <v>1171</v>
      </c>
      <c r="AO46" s="2044">
        <f>+(AO54*'Maj Production Summ'!AO$18)/1000</f>
        <v>4385.1099673567405</v>
      </c>
      <c r="AP46" s="2045">
        <f>+SMS!AP61</f>
        <v>4198.1040000000003</v>
      </c>
      <c r="AQ46" s="3426">
        <f>+(AQ54*'Maj Production Summ'!AQ$18)/1000</f>
        <v>510.2999748998181</v>
      </c>
      <c r="AR46" s="1141">
        <f>+SMS!AR61</f>
        <v>540</v>
      </c>
      <c r="AS46" s="2044">
        <f>+(AS54*'Maj Production Summ'!AS$18)/1000</f>
        <v>4895.4099422565578</v>
      </c>
      <c r="AT46" s="2045">
        <f>+SMS!AT61</f>
        <v>4738.1040000000003</v>
      </c>
      <c r="AU46" s="3426">
        <f>+(AU54*'Maj Production Summ'!AU$18)/1000</f>
        <v>459.19229373446359</v>
      </c>
      <c r="AV46" s="1141">
        <f>+SMS!AV61</f>
        <v>495</v>
      </c>
      <c r="AW46" s="2044">
        <f>+(AW54*'Maj Production Summ'!AW$18)/1000</f>
        <v>5354.6022359910212</v>
      </c>
      <c r="AX46" s="2045">
        <f>+SMS!AX61</f>
        <v>5233.1040000000003</v>
      </c>
      <c r="AY46" s="3426">
        <f>+(AY54*'Maj Production Summ'!AY$18)/1000</f>
        <v>510.2999748998181</v>
      </c>
      <c r="AZ46" s="1141">
        <f>+SMS!AZ61</f>
        <v>510</v>
      </c>
      <c r="BA46" s="4471">
        <f>+AQ46+AU46+AY46</f>
        <v>1479.7922435340997</v>
      </c>
      <c r="BB46" s="4471">
        <f>+AR46+AV46+AZ46</f>
        <v>1545</v>
      </c>
      <c r="BC46" s="4472">
        <f t="shared" si="63"/>
        <v>2994.3377102606405</v>
      </c>
      <c r="BD46" s="4472">
        <f t="shared" si="64"/>
        <v>2716</v>
      </c>
      <c r="BE46" s="4473">
        <f>+AW46+AY46</f>
        <v>5864.9022108908393</v>
      </c>
      <c r="BF46" s="4473">
        <f>+AX46+AZ46</f>
        <v>5743.1040000000003</v>
      </c>
      <c r="BG46" s="4469">
        <v>5352.4858490566021</v>
      </c>
      <c r="BH46" s="4469">
        <v>5627.4070000000002</v>
      </c>
      <c r="BI46" s="4469">
        <v>7386.6389028388803</v>
      </c>
      <c r="BJ46" s="4469">
        <v>5310</v>
      </c>
      <c r="BK46" s="4469">
        <v>7999.9999999999945</v>
      </c>
      <c r="BL46" s="4469">
        <v>5205.8899999999994</v>
      </c>
      <c r="BM46" s="4469">
        <v>7796.1924189528136</v>
      </c>
      <c r="BN46" s="1099">
        <v>5192</v>
      </c>
      <c r="BO46" s="4452"/>
      <c r="BP46" s="2595"/>
      <c r="BQ46" s="1098"/>
      <c r="BR46" s="1775"/>
      <c r="BS46" s="1775"/>
      <c r="BU46" s="4911"/>
    </row>
    <row r="47" spans="1:73" ht="19.5" thickBot="1" x14ac:dyDescent="0.3">
      <c r="A47" s="154"/>
      <c r="B47" s="2614" t="s">
        <v>1707</v>
      </c>
      <c r="C47" s="4475"/>
      <c r="D47" s="4476"/>
      <c r="E47" s="1340"/>
      <c r="F47" s="4277"/>
      <c r="G47" s="1340"/>
      <c r="H47" s="4277"/>
      <c r="I47" s="1340"/>
      <c r="J47" s="4277"/>
      <c r="K47" s="1340"/>
      <c r="L47" s="4277"/>
      <c r="M47" s="1340"/>
      <c r="N47" s="4277"/>
      <c r="O47" s="1340"/>
      <c r="P47" s="4277"/>
      <c r="Q47" s="1340"/>
      <c r="R47" s="4277"/>
      <c r="S47" s="1340"/>
      <c r="T47" s="4277"/>
      <c r="U47" s="1340"/>
      <c r="V47" s="4277"/>
      <c r="W47" s="1340"/>
      <c r="X47" s="4277"/>
      <c r="Y47" s="4477"/>
      <c r="Z47" s="4477"/>
      <c r="AA47" s="4477"/>
      <c r="AB47" s="4477"/>
      <c r="AC47" s="1340"/>
      <c r="AD47" s="4277"/>
      <c r="AE47" s="1340"/>
      <c r="AF47" s="4277"/>
      <c r="AG47" s="1340"/>
      <c r="AH47" s="4277"/>
      <c r="AI47" s="1340"/>
      <c r="AJ47" s="4277"/>
      <c r="AK47" s="1340"/>
      <c r="AL47" s="4277"/>
      <c r="AM47" s="4477"/>
      <c r="AN47" s="4477"/>
      <c r="AO47" s="1340"/>
      <c r="AP47" s="4277"/>
      <c r="AQ47" s="1340"/>
      <c r="AR47" s="4277"/>
      <c r="AS47" s="1340"/>
      <c r="AT47" s="4277"/>
      <c r="AU47" s="1340"/>
      <c r="AV47" s="4277"/>
      <c r="AW47" s="1340"/>
      <c r="AX47" s="4277"/>
      <c r="AY47" s="1340"/>
      <c r="AZ47" s="4277"/>
      <c r="BA47" s="4477"/>
      <c r="BB47" s="4477"/>
      <c r="BC47" s="4477"/>
      <c r="BD47" s="4477"/>
      <c r="BE47" s="4477"/>
      <c r="BF47" s="4477"/>
      <c r="BG47" s="4477"/>
      <c r="BH47" s="4477"/>
      <c r="BI47" s="4477"/>
      <c r="BJ47" s="4477"/>
      <c r="BK47" s="4477"/>
      <c r="BL47" s="4477"/>
      <c r="BM47" s="4478"/>
      <c r="BN47" s="4479"/>
      <c r="BO47" s="4454"/>
      <c r="BP47" s="2609"/>
      <c r="BQ47" s="2482"/>
      <c r="BR47" s="1777"/>
      <c r="BS47" s="1777"/>
      <c r="BU47" s="4911"/>
    </row>
    <row r="48" spans="1:73" ht="19.5" thickBot="1" x14ac:dyDescent="0.3">
      <c r="A48" s="93"/>
      <c r="B48" s="2612" t="s">
        <v>83</v>
      </c>
      <c r="C48" s="4467" t="s">
        <v>532</v>
      </c>
      <c r="D48" s="4480">
        <v>1.6372322252457012</v>
      </c>
      <c r="E48" s="769">
        <f>+$D$48</f>
        <v>1.6372322252457012</v>
      </c>
      <c r="F48" s="82">
        <f>+(F40/'Maj Production Summ'!F$18)*1000</f>
        <v>1.7631146749106366</v>
      </c>
      <c r="G48" s="769">
        <f>+$D$48</f>
        <v>1.6372322252457012</v>
      </c>
      <c r="H48" s="82">
        <f>+(H40/'Maj Production Summ'!H$18)*1000</f>
        <v>1.255081601433413</v>
      </c>
      <c r="I48" s="53">
        <f t="shared" ref="I48" si="96">+$D$48</f>
        <v>1.6372322252457012</v>
      </c>
      <c r="J48" s="2945">
        <f>+(J40/'Maj Production Summ'!J$18)*1000</f>
        <v>1.4921403423357631</v>
      </c>
      <c r="K48" s="769">
        <f>+$D$48</f>
        <v>1.6372322252457012</v>
      </c>
      <c r="L48" s="82">
        <f>+(L40/'Maj Production Summ'!L$18)*1000</f>
        <v>1.6635654520585081</v>
      </c>
      <c r="M48" s="77">
        <f t="shared" ref="M48" si="97">+$D$48</f>
        <v>1.6372322252457012</v>
      </c>
      <c r="N48" s="114">
        <f>+(N40/'Maj Production Summ'!N$18)*1000</f>
        <v>1.5528786469726144</v>
      </c>
      <c r="O48" s="769">
        <f>+$D$48</f>
        <v>1.6372322252457012</v>
      </c>
      <c r="P48" s="82">
        <f>+(P40/'Maj Production Summ'!P$18)*1000</f>
        <v>1.5098832304405074</v>
      </c>
      <c r="Q48" s="53">
        <f t="shared" ref="Q48" si="98">+$D$48</f>
        <v>1.6372322252457012</v>
      </c>
      <c r="R48" s="107">
        <f>+(R40/'Maj Production Summ'!R$18)*1000</f>
        <v>1.5412857299263478</v>
      </c>
      <c r="S48" s="769">
        <f>+$D$48</f>
        <v>1.6372322252457012</v>
      </c>
      <c r="T48" s="82">
        <f>+(T40/'Maj Production Summ'!T$18)*1000</f>
        <v>1.2625093636111133</v>
      </c>
      <c r="U48" s="53">
        <f t="shared" ref="U48" si="99">+$D$48</f>
        <v>1.6372322252457012</v>
      </c>
      <c r="V48" s="107">
        <f>+(V40/'Maj Production Summ'!V$18)*1000</f>
        <v>1.4850707954463485</v>
      </c>
      <c r="W48" s="769">
        <f>+$D$48</f>
        <v>1.6372322252457012</v>
      </c>
      <c r="X48" s="82">
        <f>+(X40/'Maj Production Summ'!X$18)*1000</f>
        <v>1.2916194615754231</v>
      </c>
      <c r="Y48" s="4481">
        <f>+$D$48</f>
        <v>1.6372322252457012</v>
      </c>
      <c r="Z48" s="4481">
        <f>+(Z40/'Maj Production Summ'!Z$18)*1000</f>
        <v>1.3590835098331639</v>
      </c>
      <c r="AA48" s="4482">
        <f>+$D$48</f>
        <v>1.6372322252457012</v>
      </c>
      <c r="AB48" s="4482">
        <f>+(AB40/'Maj Production Summ'!AB$18)*1000</f>
        <v>1.4538421140273348</v>
      </c>
      <c r="AC48" s="769">
        <f>+$D$48</f>
        <v>1.6372322252457012</v>
      </c>
      <c r="AD48" s="82">
        <f>+(AD40/'Maj Production Summ'!AD$18)*1000</f>
        <v>1.3099964886692057</v>
      </c>
      <c r="AE48" s="53">
        <f t="shared" ref="AE48" si="100">+$D$48</f>
        <v>1.6372322252457012</v>
      </c>
      <c r="AF48" s="107">
        <f>+(AF40/'Maj Production Summ'!AF$18)*1000</f>
        <v>1.4342071304796666</v>
      </c>
      <c r="AG48" s="769">
        <f t="shared" ref="AG48" si="101">+$D$48</f>
        <v>1.6372322252457012</v>
      </c>
      <c r="AH48" s="101">
        <f>+(AH40/'Maj Production Summ'!AH$18)*1000</f>
        <v>0.25204788909892878</v>
      </c>
      <c r="AI48" s="53">
        <f t="shared" ref="AI48" si="102">+$D$48</f>
        <v>1.6372322252457012</v>
      </c>
      <c r="AJ48" s="107">
        <f>+(AJ40/'Maj Production Summ'!AJ$18)*1000</f>
        <v>1.4284709673671432</v>
      </c>
      <c r="AK48" s="769">
        <f t="shared" ref="AK48" si="103">+$D$48</f>
        <v>1.6372322252457012</v>
      </c>
      <c r="AL48" s="101">
        <f>+(AL40/'Maj Production Summ'!AL$18)*1000</f>
        <v>1.7920231558336526</v>
      </c>
      <c r="AM48" s="4481">
        <f>+$D$48</f>
        <v>1.6372322252457012</v>
      </c>
      <c r="AN48" s="4481">
        <f>+(AN40/'Maj Production Summ'!AN$18)*1000</f>
        <v>1.5354739646840987</v>
      </c>
      <c r="AO48" s="53">
        <f t="shared" ref="AO48" si="104">+$D$48</f>
        <v>1.6372322252457012</v>
      </c>
      <c r="AP48" s="107">
        <f>+(AP40/'Maj Production Summ'!AP$18)*1000</f>
        <v>1.4741384150204919</v>
      </c>
      <c r="AQ48" s="769">
        <f t="shared" ref="AQ48" si="105">+$D$48</f>
        <v>1.6372322252457012</v>
      </c>
      <c r="AR48" s="101">
        <f>+(AR40/'Maj Production Summ'!AR$18)*1000</f>
        <v>1.8005202406112828</v>
      </c>
      <c r="AS48" s="53">
        <f t="shared" ref="AS48" si="106">+$D$48</f>
        <v>1.6372322252457012</v>
      </c>
      <c r="AT48" s="107">
        <f>+(AT40/'Maj Production Summ'!AT$18)*1000</f>
        <v>1.5120836749303614</v>
      </c>
      <c r="AU48" s="769">
        <f t="shared" ref="AU48" si="107">+$D$48</f>
        <v>1.6372322252457012</v>
      </c>
      <c r="AV48" s="101">
        <f>+(AV40/'Maj Production Summ'!AV$18)*1000</f>
        <v>1.4805177325646603</v>
      </c>
      <c r="AW48" s="53">
        <f t="shared" ref="AW48" si="108">+$D$48</f>
        <v>1.6372322252457012</v>
      </c>
      <c r="AX48" s="107">
        <f>+(AX40/'Maj Production Summ'!AX$18)*1000</f>
        <v>1.5090758299917066</v>
      </c>
      <c r="AY48" s="769">
        <f t="shared" ref="AY48" si="109">+$D$48</f>
        <v>1.6372322252457012</v>
      </c>
      <c r="AZ48" s="101">
        <f>+(AZ40/'Maj Production Summ'!AZ$18)*1000</f>
        <v>1.3467349888319537</v>
      </c>
      <c r="BA48" s="1533">
        <f>+$D$48</f>
        <v>1.6372322252457012</v>
      </c>
      <c r="BB48" s="1533">
        <f>+(BB40/'Maj Production Summ'!BB$18)*1000</f>
        <v>1.5452913526843297</v>
      </c>
      <c r="BC48" s="2317">
        <f>+$D$48</f>
        <v>1.6372322252457012</v>
      </c>
      <c r="BD48" s="2317">
        <f>+(BD40/'Maj Production Summ'!BD$18)*1000</f>
        <v>1.5414143644532015</v>
      </c>
      <c r="BE48" s="1450">
        <f>+$D$48</f>
        <v>1.6372322252457012</v>
      </c>
      <c r="BF48" s="1450">
        <f>+(BF40/'Maj Production Summ'!BF$18)*1000</f>
        <v>1.4937670652626753</v>
      </c>
      <c r="BG48" s="4483">
        <v>1.6499999999999997</v>
      </c>
      <c r="BH48" s="4483">
        <v>1.3221396010355528</v>
      </c>
      <c r="BI48" s="4483">
        <v>1.2919834919767839</v>
      </c>
      <c r="BJ48" s="4483">
        <v>1.8691736607451781</v>
      </c>
      <c r="BK48" s="4483">
        <v>1.8</v>
      </c>
      <c r="BL48" s="4483">
        <v>1.8865516872714447</v>
      </c>
      <c r="BM48" s="4483">
        <v>2.6013799999999998</v>
      </c>
      <c r="BN48" s="1197">
        <v>1.7806740040538749</v>
      </c>
      <c r="BO48" s="4455"/>
      <c r="BP48" s="2592"/>
      <c r="BQ48" s="2483"/>
      <c r="BR48" s="1209"/>
      <c r="BS48" s="1209"/>
      <c r="BU48" s="4911"/>
    </row>
    <row r="49" spans="1:73" ht="18.75" x14ac:dyDescent="0.25">
      <c r="A49" s="93"/>
      <c r="B49" s="2612" t="s">
        <v>838</v>
      </c>
      <c r="C49" s="4467" t="s">
        <v>532</v>
      </c>
      <c r="D49" s="4257">
        <v>0.84012576263208183</v>
      </c>
      <c r="E49" s="769">
        <f>+$D$49</f>
        <v>0.84012576263208183</v>
      </c>
      <c r="F49" s="82">
        <f>+(F41/'Maj Production Summ'!F$18)*1000</f>
        <v>0.50719737223456662</v>
      </c>
      <c r="G49" s="769">
        <f>+$D$49</f>
        <v>0.84012576263208183</v>
      </c>
      <c r="H49" s="82">
        <f>+(H41/'Maj Production Summ'!H$18)*1000</f>
        <v>0.75220378806446986</v>
      </c>
      <c r="I49" s="53">
        <f t="shared" ref="I49" si="110">+$D$49</f>
        <v>0.84012576263208183</v>
      </c>
      <c r="J49" s="2945">
        <f>+(J41/'Maj Production Summ'!J$18)*1000</f>
        <v>0.63787872640637611</v>
      </c>
      <c r="K49" s="769">
        <f>+$D$49</f>
        <v>0.84012576263208183</v>
      </c>
      <c r="L49" s="82">
        <f>+(L41/'Maj Production Summ'!L$18)*1000</f>
        <v>0.43129474682998364</v>
      </c>
      <c r="M49" s="77">
        <f t="shared" ref="M49" si="111">+$D$49</f>
        <v>0.84012576263208183</v>
      </c>
      <c r="N49" s="114">
        <f>+(N41/'Maj Production Summ'!N$18)*1000</f>
        <v>0.56468314435367795</v>
      </c>
      <c r="O49" s="769">
        <f>+$D$49</f>
        <v>0.84012576263208183</v>
      </c>
      <c r="P49" s="82">
        <f>+(P41/'Maj Production Summ'!P$18)*1000</f>
        <v>0.54008877955704837</v>
      </c>
      <c r="Q49" s="53">
        <f t="shared" ref="Q49" si="112">+$D$49</f>
        <v>0.84012576263208183</v>
      </c>
      <c r="R49" s="107">
        <f>+(R41/'Maj Production Summ'!R$18)*1000</f>
        <v>0.55805172980091911</v>
      </c>
      <c r="S49" s="769">
        <f>+$D$49</f>
        <v>0.84012576263208183</v>
      </c>
      <c r="T49" s="82">
        <f>+(T41/'Maj Production Summ'!T$18)*1000</f>
        <v>0.5512957554435195</v>
      </c>
      <c r="U49" s="53">
        <f t="shared" ref="U49" si="113">+$D$49</f>
        <v>0.84012576263208183</v>
      </c>
      <c r="V49" s="107">
        <f>+(V41/'Maj Production Summ'!V$18)*1000</f>
        <v>0.55668939532160266</v>
      </c>
      <c r="W49" s="769">
        <f>+$D$49</f>
        <v>0.84012576263208183</v>
      </c>
      <c r="X49" s="82">
        <f>+(X41/'Maj Production Summ'!X$18)*1000</f>
        <v>0.56866522369702932</v>
      </c>
      <c r="Y49" s="4481">
        <f>+$D$49</f>
        <v>0.84012576263208183</v>
      </c>
      <c r="Z49" s="4481">
        <f>+(Z41/'Maj Production Summ'!Z$18)*1000</f>
        <v>0.5528239276677932</v>
      </c>
      <c r="AA49" s="4482">
        <f>+$D$49</f>
        <v>0.84012576263208183</v>
      </c>
      <c r="AB49" s="4482">
        <f>+(AB41/'Maj Production Summ'!AB$18)*1000</f>
        <v>0.55862264293267638</v>
      </c>
      <c r="AC49" s="769">
        <f>+$D$49</f>
        <v>0.84012576263208183</v>
      </c>
      <c r="AD49" s="82">
        <f>+(AD41/'Maj Production Summ'!AD$18)*1000</f>
        <v>0.69776445272758369</v>
      </c>
      <c r="AE49" s="53">
        <f t="shared" ref="AE49" si="114">+$D$49</f>
        <v>0.84012576263208183</v>
      </c>
      <c r="AF49" s="107">
        <f>+(AF41/'Maj Production Summ'!AF$18)*1000</f>
        <v>0.57761555383499852</v>
      </c>
      <c r="AG49" s="769">
        <f t="shared" ref="AG49" si="115">+$D$49</f>
        <v>0.84012576263208183</v>
      </c>
      <c r="AH49" s="101">
        <f>+(AH41/'Maj Production Summ'!AH$18)*1000</f>
        <v>1.1342155009451795</v>
      </c>
      <c r="AI49" s="53">
        <f t="shared" ref="AI49" si="116">+$D$49</f>
        <v>0.84012576263208183</v>
      </c>
      <c r="AJ49" s="107">
        <f>+(AJ41/'Maj Production Summ'!AJ$18)*1000</f>
        <v>0.58031633049290199</v>
      </c>
      <c r="AK49" s="769">
        <f t="shared" ref="AK49" si="117">+$D$49</f>
        <v>0.84012576263208183</v>
      </c>
      <c r="AL49" s="101">
        <f>+(AL41/'Maj Production Summ'!AL$18)*1000</f>
        <v>0.52356020942408388</v>
      </c>
      <c r="AM49" s="4481">
        <f>+$D$49</f>
        <v>0.84012576263208183</v>
      </c>
      <c r="AN49" s="4481">
        <f>+(AN41/'Maj Production Summ'!AN$18)*1000</f>
        <v>0.61720031913772599</v>
      </c>
      <c r="AO49" s="53">
        <f t="shared" ref="AO49" si="118">+$D$49</f>
        <v>0.84012576263208183</v>
      </c>
      <c r="AP49" s="107">
        <f>+(AP41/'Maj Production Summ'!AP$18)*1000</f>
        <v>0.57318693540151167</v>
      </c>
      <c r="AQ49" s="769">
        <f t="shared" ref="AQ49" si="119">+$D$49</f>
        <v>0.84012576263208183</v>
      </c>
      <c r="AR49" s="101">
        <f>+(AR41/'Maj Production Summ'!AR$18)*1000</f>
        <v>0.47146805397496339</v>
      </c>
      <c r="AS49" s="53">
        <f t="shared" ref="AS49" si="120">+$D$49</f>
        <v>0.84012576263208183</v>
      </c>
      <c r="AT49" s="107">
        <f>+(AT41/'Maj Production Summ'!AT$18)*1000</f>
        <v>0.56136106431789679</v>
      </c>
      <c r="AU49" s="769">
        <f t="shared" ref="AU49" si="121">+$D$49</f>
        <v>0.84012576263208183</v>
      </c>
      <c r="AV49" s="101">
        <f>+(AV41/'Maj Production Summ'!AV$18)*1000</f>
        <v>0.66847618833980116</v>
      </c>
      <c r="AW49" s="53">
        <f t="shared" ref="AW49" si="122">+$D$49</f>
        <v>0.84012576263208183</v>
      </c>
      <c r="AX49" s="107">
        <f>+(AX41/'Maj Production Summ'!AX$18)*1000</f>
        <v>0.57156781436229787</v>
      </c>
      <c r="AY49" s="769">
        <f t="shared" ref="AY49" si="123">+$D$49</f>
        <v>0.84012576263208183</v>
      </c>
      <c r="AZ49" s="101">
        <f>+(AZ41/'Maj Production Summ'!AZ$18)*1000</f>
        <v>0.32026014978320849</v>
      </c>
      <c r="BA49" s="4481">
        <f>+$D$49</f>
        <v>0.84012576263208183</v>
      </c>
      <c r="BB49" s="4481">
        <f>+(BB41/'Maj Production Summ'!BB$18)*1000</f>
        <v>0.48141229243480937</v>
      </c>
      <c r="BC49" s="2317">
        <f>+$D$49</f>
        <v>0.84012576263208183</v>
      </c>
      <c r="BD49" s="2317">
        <f>+(BD41/'Maj Production Summ'!BD$18)*1000</f>
        <v>0.53503639096722688</v>
      </c>
      <c r="BE49" s="4484">
        <f>+$D$49</f>
        <v>0.84012576263208183</v>
      </c>
      <c r="BF49" s="4484">
        <f>+(BF41/'Maj Production Summ'!BF$18)*1000</f>
        <v>0.54786946535683922</v>
      </c>
      <c r="BG49" s="4483">
        <v>0.84999999999999987</v>
      </c>
      <c r="BH49" s="4483">
        <v>0.58802794794660063</v>
      </c>
      <c r="BI49" s="4483">
        <v>0.24</v>
      </c>
      <c r="BJ49" s="4483">
        <v>0.6596893937147208</v>
      </c>
      <c r="BK49" s="4483">
        <v>0</v>
      </c>
      <c r="BL49" s="4483">
        <v>0.46320882750587022</v>
      </c>
      <c r="BM49" s="4483">
        <v>0</v>
      </c>
      <c r="BN49" s="1197">
        <v>0.4168998706686482</v>
      </c>
      <c r="BO49" s="4455"/>
      <c r="BP49" s="2592"/>
      <c r="BQ49" s="2483"/>
      <c r="BR49" s="1209"/>
      <c r="BS49" s="1209"/>
      <c r="BU49" s="4911"/>
    </row>
    <row r="50" spans="1:73" ht="19.5" thickBot="1" x14ac:dyDescent="0.3">
      <c r="A50" s="841"/>
      <c r="B50" s="2613" t="s">
        <v>880</v>
      </c>
      <c r="C50" s="4470" t="s">
        <v>532</v>
      </c>
      <c r="D50" s="4485">
        <f>SUM(D48:D49)</f>
        <v>2.4773579878777832</v>
      </c>
      <c r="E50" s="1368">
        <f>SUM(E48:E49)</f>
        <v>2.4773579878777832</v>
      </c>
      <c r="F50" s="4278">
        <f>SUM(F48:F49)</f>
        <v>2.270312047145203</v>
      </c>
      <c r="G50" s="1368">
        <f>SUM(G48:G49)</f>
        <v>2.4773579878777832</v>
      </c>
      <c r="H50" s="4278">
        <f>SUM(H48:H49)</f>
        <v>2.0072853894978828</v>
      </c>
      <c r="I50" s="1369">
        <f t="shared" ref="I50:R50" si="124">SUM(I48:I49)</f>
        <v>2.4773579878777832</v>
      </c>
      <c r="J50" s="3471">
        <f t="shared" si="124"/>
        <v>2.130019068742139</v>
      </c>
      <c r="K50" s="1368">
        <f>SUM(K48:K49)</f>
        <v>2.4773579878777832</v>
      </c>
      <c r="L50" s="4278">
        <f>SUM(L48:L49)</f>
        <v>2.0948601988884916</v>
      </c>
      <c r="M50" s="1370">
        <f t="shared" si="124"/>
        <v>2.4773579878777832</v>
      </c>
      <c r="N50" s="3974">
        <f t="shared" si="124"/>
        <v>2.1175617913262923</v>
      </c>
      <c r="O50" s="1368">
        <f>SUM(O48:O49)</f>
        <v>2.4773579878777832</v>
      </c>
      <c r="P50" s="4278">
        <f>SUM(P48:P49)</f>
        <v>2.049972009997556</v>
      </c>
      <c r="Q50" s="1369">
        <f t="shared" si="124"/>
        <v>2.4773579878777832</v>
      </c>
      <c r="R50" s="3476">
        <f t="shared" si="124"/>
        <v>2.0993374597272672</v>
      </c>
      <c r="S50" s="1368">
        <f>SUM(S48:S49)</f>
        <v>2.4773579878777832</v>
      </c>
      <c r="T50" s="4278">
        <f>SUM(T48:T49)</f>
        <v>1.8138051190546327</v>
      </c>
      <c r="U50" s="1369">
        <f t="shared" ref="U50:V50" si="125">SUM(U48:U49)</f>
        <v>2.4773579878777832</v>
      </c>
      <c r="V50" s="3476">
        <f t="shared" si="125"/>
        <v>2.0417601907679512</v>
      </c>
      <c r="W50" s="1368">
        <f>SUM(W48:W49)</f>
        <v>2.4773579878777832</v>
      </c>
      <c r="X50" s="4278">
        <f>SUM(X48:X49)</f>
        <v>1.8602846852724524</v>
      </c>
      <c r="Y50" s="4486">
        <f>SUM(Y48:Y49)</f>
        <v>2.4773579878777832</v>
      </c>
      <c r="Z50" s="4486">
        <f t="shared" ref="Z50:AF50" si="126">SUM(Z48:Z49)</f>
        <v>1.911907437500957</v>
      </c>
      <c r="AA50" s="4487">
        <f>SUM(AA48:AA49)</f>
        <v>2.4773579878777832</v>
      </c>
      <c r="AB50" s="4487">
        <f t="shared" si="126"/>
        <v>2.0124647569600111</v>
      </c>
      <c r="AC50" s="1368">
        <f>SUM(AC48:AC49)</f>
        <v>2.4773579878777832</v>
      </c>
      <c r="AD50" s="4278">
        <f>SUM(AD48:AD49)</f>
        <v>2.0077609413967892</v>
      </c>
      <c r="AE50" s="1369">
        <f t="shared" si="126"/>
        <v>2.4773579878777832</v>
      </c>
      <c r="AF50" s="3476">
        <f t="shared" si="126"/>
        <v>2.0118226843146649</v>
      </c>
      <c r="AG50" s="1368">
        <f t="shared" ref="AG50:AH50" si="127">SUM(AG48:AG49)</f>
        <v>2.4773579878777832</v>
      </c>
      <c r="AH50" s="4279">
        <f t="shared" si="127"/>
        <v>1.3862633900441084</v>
      </c>
      <c r="AI50" s="1369">
        <f t="shared" ref="AI50:AL50" si="128">SUM(AI48:AI49)</f>
        <v>2.4773579878777832</v>
      </c>
      <c r="AJ50" s="3476">
        <f t="shared" si="128"/>
        <v>2.008787297860045</v>
      </c>
      <c r="AK50" s="1368">
        <f t="shared" si="128"/>
        <v>2.4773579878777832</v>
      </c>
      <c r="AL50" s="4279">
        <f t="shared" si="128"/>
        <v>2.3155833652577362</v>
      </c>
      <c r="AM50" s="4486">
        <f>SUM(AM48:AM49)</f>
        <v>2.4773579878777832</v>
      </c>
      <c r="AN50" s="4486">
        <f t="shared" ref="AN50:AT50" si="129">SUM(AN48:AN49)</f>
        <v>2.1526742838218249</v>
      </c>
      <c r="AO50" s="1369">
        <f t="shared" si="129"/>
        <v>2.4773579878777832</v>
      </c>
      <c r="AP50" s="3476">
        <f t="shared" si="129"/>
        <v>2.0473253504220037</v>
      </c>
      <c r="AQ50" s="1368">
        <f t="shared" si="129"/>
        <v>2.4773579878777832</v>
      </c>
      <c r="AR50" s="4279">
        <f t="shared" si="129"/>
        <v>2.2719882945862464</v>
      </c>
      <c r="AS50" s="1369">
        <f t="shared" si="129"/>
        <v>2.4773579878777832</v>
      </c>
      <c r="AT50" s="3476">
        <f t="shared" si="129"/>
        <v>2.0734447392482585</v>
      </c>
      <c r="AU50" s="1368">
        <f t="shared" ref="AU50:AV50" si="130">SUM(AU48:AU49)</f>
        <v>2.4773579878777832</v>
      </c>
      <c r="AV50" s="4279">
        <f t="shared" si="130"/>
        <v>2.1489939209044615</v>
      </c>
      <c r="AW50" s="1369">
        <f t="shared" ref="AW50:AZ50" si="131">SUM(AW48:AW49)</f>
        <v>2.4773579878777832</v>
      </c>
      <c r="AX50" s="3476">
        <f t="shared" si="131"/>
        <v>2.0806436443540046</v>
      </c>
      <c r="AY50" s="1368">
        <f t="shared" si="131"/>
        <v>2.4773579878777832</v>
      </c>
      <c r="AZ50" s="4279">
        <f t="shared" si="131"/>
        <v>1.6669951386151622</v>
      </c>
      <c r="BA50" s="4486">
        <f t="shared" ref="BA50:BB50" si="132">SUM(BA48:BA49)</f>
        <v>2.4773579878777832</v>
      </c>
      <c r="BB50" s="4486">
        <f t="shared" si="132"/>
        <v>2.0267036451191389</v>
      </c>
      <c r="BC50" s="4487">
        <f>SUM(BC48:BC49)</f>
        <v>2.4773579878777832</v>
      </c>
      <c r="BD50" s="4487">
        <f t="shared" ref="BD50" si="133">SUM(BD48:BD49)</f>
        <v>2.0764507554204283</v>
      </c>
      <c r="BE50" s="4488">
        <f>SUM(BE48:BE49)</f>
        <v>2.4773579878777832</v>
      </c>
      <c r="BF50" s="4488">
        <f t="shared" ref="BF50" si="134">SUM(BF48:BF49)</f>
        <v>2.0416365306195146</v>
      </c>
      <c r="BG50" s="4489">
        <v>2.4999999999999996</v>
      </c>
      <c r="BH50" s="4489">
        <v>1.9101675489821535</v>
      </c>
      <c r="BI50" s="4489">
        <v>1.5319834919767839</v>
      </c>
      <c r="BJ50" s="4489">
        <v>2.5288630544598991</v>
      </c>
      <c r="BK50" s="4489">
        <v>1.8</v>
      </c>
      <c r="BL50" s="4489">
        <v>2.3497605147773148</v>
      </c>
      <c r="BM50" s="4489">
        <v>2.6013799999999998</v>
      </c>
      <c r="BN50" s="4490">
        <v>2.1975738747225231</v>
      </c>
      <c r="BO50" s="4456"/>
      <c r="BP50" s="2596"/>
      <c r="BQ50" s="2484"/>
      <c r="BR50" s="1778"/>
      <c r="BS50" s="1778"/>
      <c r="BU50" s="4911"/>
    </row>
    <row r="51" spans="1:73" ht="18.75" x14ac:dyDescent="0.25">
      <c r="A51" s="93"/>
      <c r="B51" s="2612" t="s">
        <v>84</v>
      </c>
      <c r="C51" s="4467" t="s">
        <v>532</v>
      </c>
      <c r="D51" s="4480">
        <v>17.372968004908316</v>
      </c>
      <c r="E51" s="769">
        <f>+$D$51</f>
        <v>17.372968004908316</v>
      </c>
      <c r="F51" s="2114">
        <f>+(F43/'Maj Production Summ'!F$18)*1000</f>
        <v>16.095063278910249</v>
      </c>
      <c r="G51" s="769">
        <f>+$D$51</f>
        <v>17.372968004908316</v>
      </c>
      <c r="H51" s="2114">
        <f>+(H43/'Maj Production Summ'!H$18)*1000</f>
        <v>15.086334401068298</v>
      </c>
      <c r="I51" s="53">
        <f t="shared" ref="I51" si="135">+$D$51</f>
        <v>17.372968004908316</v>
      </c>
      <c r="J51" s="2945">
        <f>+(J43/'Maj Production Summ'!J$18)*1000</f>
        <v>15.557028161331477</v>
      </c>
      <c r="K51" s="769">
        <f>+$D$51</f>
        <v>17.372968004908316</v>
      </c>
      <c r="L51" s="2114">
        <f>+(L43/'Maj Production Summ'!L$18)*1000</f>
        <v>15.477320057670269</v>
      </c>
      <c r="M51" s="77">
        <f t="shared" ref="M51" si="136">+$D$51</f>
        <v>17.372968004908316</v>
      </c>
      <c r="N51" s="114">
        <f>+(N43/'Maj Production Summ'!N$18)*1000</f>
        <v>15.528786469726143</v>
      </c>
      <c r="O51" s="769">
        <f>+$D$51</f>
        <v>17.372968004908316</v>
      </c>
      <c r="P51" s="2114">
        <f>+(P43/'Maj Production Summ'!P$18)*1000</f>
        <v>16.15535634032689</v>
      </c>
      <c r="Q51" s="53">
        <f t="shared" ref="Q51" si="137">+$D$51</f>
        <v>17.372968004908316</v>
      </c>
      <c r="R51" s="107">
        <f>+(R43/'Maj Production Summ'!R$18)*1000</f>
        <v>15.697729420380901</v>
      </c>
      <c r="S51" s="769">
        <f>+$D$51</f>
        <v>17.372968004908316</v>
      </c>
      <c r="T51" s="2114">
        <f>+(T43/'Maj Production Summ'!T$18)*1000</f>
        <v>15.095487791534454</v>
      </c>
      <c r="U51" s="53">
        <f t="shared" ref="U51" si="138">+$D$51</f>
        <v>17.372968004908316</v>
      </c>
      <c r="V51" s="107">
        <f>+(V43/'Maj Production Summ'!V$18)*1000</f>
        <v>15.576288086762078</v>
      </c>
      <c r="W51" s="769">
        <f>+$D$51</f>
        <v>17.372968004908316</v>
      </c>
      <c r="X51" s="2114">
        <f>+(X43/'Maj Production Summ'!X$18)*1000</f>
        <v>13.273748385475672</v>
      </c>
      <c r="Y51" s="4481">
        <f>+$D$51</f>
        <v>17.372968004908316</v>
      </c>
      <c r="Z51" s="4481">
        <f>+(Z43/'Maj Production Summ'!Z$18)*1000</f>
        <v>14.894399489786684</v>
      </c>
      <c r="AA51" s="4482">
        <f>+$D$51</f>
        <v>17.372968004908316</v>
      </c>
      <c r="AB51" s="4482">
        <f>+(AB43/'Maj Production Summ'!AB$18)*1000</f>
        <v>15.204591095341586</v>
      </c>
      <c r="AC51" s="769">
        <f>+$D$51</f>
        <v>17.372968004908316</v>
      </c>
      <c r="AD51" s="2114">
        <f>+(AD43/'Maj Production Summ'!AD$18)*1000</f>
        <v>14.74758933635848</v>
      </c>
      <c r="AE51" s="53">
        <f t="shared" ref="AE51" si="139">+$D$51</f>
        <v>17.372968004908316</v>
      </c>
      <c r="AF51" s="107">
        <f>+(AF43/'Maj Production Summ'!AF$18)*1000</f>
        <v>15.142210178323438</v>
      </c>
      <c r="AG51" s="769">
        <f t="shared" ref="AG51" si="140">+$D$51</f>
        <v>17.372968004908316</v>
      </c>
      <c r="AH51" s="134">
        <f>+(AH43/'Maj Production Summ'!AH$18)*1000</f>
        <v>13.862633900441084</v>
      </c>
      <c r="AI51" s="53">
        <f t="shared" ref="AI51" si="141">+$D$51</f>
        <v>17.372968004908316</v>
      </c>
      <c r="AJ51" s="107">
        <f>+(AJ43/'Maj Production Summ'!AJ$18)*1000</f>
        <v>15.136001320846441</v>
      </c>
      <c r="AK51" s="769">
        <f t="shared" ref="AK51" si="142">+$D$51</f>
        <v>17.372968004908316</v>
      </c>
      <c r="AL51" s="134">
        <f>+(AL43/'Maj Production Summ'!AL$18)*1000</f>
        <v>16.719874005022774</v>
      </c>
      <c r="AM51" s="4481">
        <f>+$D$51</f>
        <v>17.372968004908316</v>
      </c>
      <c r="AN51" s="4481">
        <f>+(AN43/'Maj Production Summ'!AN$18)*1000</f>
        <v>15.728930781091735</v>
      </c>
      <c r="AO51" s="53">
        <f t="shared" ref="AO51" si="143">+$D$51</f>
        <v>17.372968004908316</v>
      </c>
      <c r="AP51" s="107">
        <f>+(AP43/'Maj Production Summ'!AP$18)*1000</f>
        <v>15.334958788821783</v>
      </c>
      <c r="AQ51" s="769">
        <f t="shared" ref="AQ51" si="144">+$D$51</f>
        <v>17.372968004908316</v>
      </c>
      <c r="AR51" s="134">
        <f>+(AR43/'Maj Production Summ'!AR$18)*1000</f>
        <v>16.420094293610795</v>
      </c>
      <c r="AS51" s="53">
        <f t="shared" ref="AS51" si="145">+$D$51</f>
        <v>17.372968004908316</v>
      </c>
      <c r="AT51" s="107">
        <f>+(AT43/'Maj Production Summ'!AT$18)*1000</f>
        <v>15.46111700456224</v>
      </c>
      <c r="AU51" s="769">
        <f t="shared" ref="AU51" si="146">+$D$51</f>
        <v>17.372968004908316</v>
      </c>
      <c r="AV51" s="134">
        <f>+(AV43/'Maj Production Summ'!AV$18)*1000</f>
        <v>16.267749388725633</v>
      </c>
      <c r="AW51" s="53">
        <f t="shared" ref="AW51" si="147">+$D$51</f>
        <v>17.372968004908316</v>
      </c>
      <c r="AX51" s="107">
        <f>+(AX43/'Maj Production Summ'!AX$18)*1000</f>
        <v>15.537979120888515</v>
      </c>
      <c r="AY51" s="769">
        <f t="shared" ref="AY51" si="148">+$D$51</f>
        <v>17.372968004908316</v>
      </c>
      <c r="AZ51" s="134">
        <f>+(AZ43/'Maj Production Summ'!AZ$18)*1000</f>
        <v>16.669951386151624</v>
      </c>
      <c r="BA51" s="4481">
        <f>+$D$51</f>
        <v>17.372968004908316</v>
      </c>
      <c r="BB51" s="4481">
        <f>+(BB43/'Maj Production Summ'!BB$18)*1000</f>
        <v>16.457844143121207</v>
      </c>
      <c r="BC51" s="2317">
        <f>+$D$51</f>
        <v>17.372968004908316</v>
      </c>
      <c r="BD51" s="2317">
        <f>+(BD43/'Maj Production Summ'!BD$18)*1000</f>
        <v>16.169988704787301</v>
      </c>
      <c r="BE51" s="4484">
        <f>+$D$51</f>
        <v>17.372968004908316</v>
      </c>
      <c r="BF51" s="4484">
        <f>+(BF43/'Maj Production Summ'!BF$18)*1000</f>
        <v>15.644724268720097</v>
      </c>
      <c r="BG51" s="4483">
        <v>18.349999999999998</v>
      </c>
      <c r="BH51" s="4483">
        <v>16.183875067245694</v>
      </c>
      <c r="BI51" s="4483">
        <v>16.822446796403778</v>
      </c>
      <c r="BJ51" s="4483">
        <v>18.06301096315628</v>
      </c>
      <c r="BK51" s="4483">
        <v>16</v>
      </c>
      <c r="BL51" s="4483">
        <v>18.431726897146138</v>
      </c>
      <c r="BM51" s="4483">
        <v>16.326409999999999</v>
      </c>
      <c r="BN51" s="1197">
        <v>15.648490818507298</v>
      </c>
      <c r="BO51" s="4455"/>
      <c r="BP51" s="2592"/>
      <c r="BQ51" s="2483"/>
      <c r="BR51" s="1209"/>
      <c r="BS51" s="1209"/>
      <c r="BU51" s="4911"/>
    </row>
    <row r="52" spans="1:73" ht="18.75" hidden="1" customHeight="1" x14ac:dyDescent="0.3">
      <c r="A52" s="93"/>
      <c r="B52" s="2612" t="s">
        <v>1573</v>
      </c>
      <c r="C52" s="4467" t="s">
        <v>532</v>
      </c>
      <c r="D52" s="4491">
        <v>0</v>
      </c>
      <c r="E52" s="769">
        <f>D52</f>
        <v>0</v>
      </c>
      <c r="F52" s="134">
        <f>+(F44/'Maj Production Summ'!F$18)*1000</f>
        <v>0</v>
      </c>
      <c r="G52" s="769">
        <f>F52</f>
        <v>0</v>
      </c>
      <c r="H52" s="134">
        <f>+(H44/'Maj Production Summ'!H$18)*1000</f>
        <v>0</v>
      </c>
      <c r="I52" s="53"/>
      <c r="J52" s="107">
        <f>+(J44/'Maj Production Summ'!J$18)*1000</f>
        <v>0</v>
      </c>
      <c r="K52" s="769">
        <f>J52</f>
        <v>0</v>
      </c>
      <c r="L52" s="134">
        <f>+(L44/'Maj Production Summ'!L$18)*1000</f>
        <v>0</v>
      </c>
      <c r="M52" s="77">
        <f>D52</f>
        <v>0</v>
      </c>
      <c r="N52" s="114">
        <f>+(N44/'Maj Production Summ'!N$18)*1000</f>
        <v>0</v>
      </c>
      <c r="O52" s="769">
        <f>N52</f>
        <v>0</v>
      </c>
      <c r="P52" s="134">
        <f>+(P44/'Maj Production Summ'!P$18)*1000</f>
        <v>0</v>
      </c>
      <c r="Q52" s="53"/>
      <c r="R52" s="107">
        <f>+(R44/'Maj Production Summ'!R$18)*1000</f>
        <v>0</v>
      </c>
      <c r="S52" s="769">
        <f>R52</f>
        <v>0</v>
      </c>
      <c r="T52" s="134">
        <f>+(T44/'Maj Production Summ'!T$18)*1000</f>
        <v>0</v>
      </c>
      <c r="U52" s="53"/>
      <c r="V52" s="107">
        <f>+(V44/'Maj Production Summ'!V$18)*1000</f>
        <v>0</v>
      </c>
      <c r="W52" s="769">
        <f>V52</f>
        <v>0</v>
      </c>
      <c r="X52" s="134">
        <f>+(X44/'Maj Production Summ'!X$18)*1000</f>
        <v>0</v>
      </c>
      <c r="Y52" s="4492">
        <f>D52</f>
        <v>0</v>
      </c>
      <c r="Z52" s="4481">
        <f>+(Z44/'Maj Production Summ'!Z$18)*1000</f>
        <v>0</v>
      </c>
      <c r="AA52" s="4493">
        <f>D52</f>
        <v>0</v>
      </c>
      <c r="AB52" s="4493">
        <f>+(AB44/'Maj Production Summ'!AB$18)*1000</f>
        <v>0</v>
      </c>
      <c r="AC52" s="769">
        <f>AB52</f>
        <v>0</v>
      </c>
      <c r="AD52" s="134">
        <f>+(AD44/'Maj Production Summ'!AD$18)*1000</f>
        <v>0</v>
      </c>
      <c r="AE52" s="53"/>
      <c r="AF52" s="107">
        <f>+(AF44/'Maj Production Summ'!AF$18)*1000</f>
        <v>0</v>
      </c>
      <c r="AG52" s="769">
        <f>D52</f>
        <v>0</v>
      </c>
      <c r="AH52" s="134">
        <f>+(AH44/'Maj Production Summ'!AH$18)*1000</f>
        <v>0</v>
      </c>
      <c r="AI52" s="53">
        <f>D52</f>
        <v>0</v>
      </c>
      <c r="AJ52" s="107">
        <f>+(AJ44/'Maj Production Summ'!AJ$18)*1000</f>
        <v>0</v>
      </c>
      <c r="AK52" s="769">
        <f>H52</f>
        <v>0</v>
      </c>
      <c r="AL52" s="134">
        <f>+(AL44/'Maj Production Summ'!AL$18)*1000</f>
        <v>0</v>
      </c>
      <c r="AM52" s="4492">
        <v>0</v>
      </c>
      <c r="AN52" s="4481">
        <f>+(AN44/'Maj Production Summ'!AN$18)*1000</f>
        <v>0</v>
      </c>
      <c r="AO52" s="53">
        <f>D52</f>
        <v>0</v>
      </c>
      <c r="AP52" s="107">
        <f>+(AP44/'Maj Production Summ'!AP$18)*1000</f>
        <v>0</v>
      </c>
      <c r="AQ52" s="769">
        <f>N52</f>
        <v>0</v>
      </c>
      <c r="AR52" s="134">
        <f>+(AR44/'Maj Production Summ'!AR$18)*1000</f>
        <v>0</v>
      </c>
      <c r="AS52" s="53">
        <f>D52</f>
        <v>0</v>
      </c>
      <c r="AT52" s="107">
        <f>+(AT44/'Maj Production Summ'!AT$18)*1000</f>
        <v>0</v>
      </c>
      <c r="AU52" s="769">
        <f>R52</f>
        <v>0</v>
      </c>
      <c r="AV52" s="134">
        <f>+(AV44/'Maj Production Summ'!AV$18)*1000</f>
        <v>0</v>
      </c>
      <c r="AW52" s="53">
        <f>H52</f>
        <v>0</v>
      </c>
      <c r="AX52" s="107">
        <f>+(AX44/'Maj Production Summ'!AX$18)*1000</f>
        <v>0</v>
      </c>
      <c r="AY52" s="769">
        <f>V52</f>
        <v>0</v>
      </c>
      <c r="AZ52" s="134">
        <f>+(AZ44/'Maj Production Summ'!AZ$18)*1000</f>
        <v>0</v>
      </c>
      <c r="BA52" s="1533">
        <f>L52</f>
        <v>0</v>
      </c>
      <c r="BB52" s="1533">
        <f>+(BB44/'Maj Production Summ'!BB$18)*1000</f>
        <v>0</v>
      </c>
      <c r="BC52" s="2317">
        <f>N52</f>
        <v>0</v>
      </c>
      <c r="BD52" s="2317">
        <f>+(BD44/'Maj Production Summ'!BD$18)*1000</f>
        <v>0</v>
      </c>
      <c r="BE52" s="1450">
        <f>P52</f>
        <v>0</v>
      </c>
      <c r="BF52" s="1450">
        <f>+(BF44/'Maj Production Summ'!BF$18)*1000</f>
        <v>0</v>
      </c>
      <c r="BG52" s="4494">
        <v>0</v>
      </c>
      <c r="BH52" s="4494">
        <v>0</v>
      </c>
      <c r="BI52" s="4494">
        <v>0</v>
      </c>
      <c r="BJ52" s="4494">
        <v>1.0205917534130115E-2</v>
      </c>
      <c r="BK52" s="4494"/>
      <c r="BL52" s="4494"/>
      <c r="BM52" s="4494"/>
      <c r="BN52" s="4495"/>
      <c r="BO52" s="4457"/>
      <c r="BP52" s="2577"/>
      <c r="BQ52" s="2485"/>
      <c r="BR52" s="1779"/>
      <c r="BS52" s="1779"/>
      <c r="BU52" s="4911"/>
    </row>
    <row r="53" spans="1:73" ht="18.75" x14ac:dyDescent="0.25">
      <c r="A53" s="93"/>
      <c r="B53" s="2613" t="s">
        <v>1574</v>
      </c>
      <c r="C53" s="4470" t="s">
        <v>532</v>
      </c>
      <c r="D53" s="4496">
        <f>SUM(D51:D52)</f>
        <v>17.372968004908316</v>
      </c>
      <c r="E53" s="1368">
        <f t="shared" ref="E53:W53" si="149">+$D$51</f>
        <v>17.372968004908316</v>
      </c>
      <c r="F53" s="681">
        <f>SUM(F51:F52)</f>
        <v>16.095063278910249</v>
      </c>
      <c r="G53" s="1368">
        <f t="shared" si="149"/>
        <v>17.372968004908316</v>
      </c>
      <c r="H53" s="681">
        <f>SUM(H51:H52)</f>
        <v>15.086334401068298</v>
      </c>
      <c r="I53" s="1369">
        <f t="shared" si="149"/>
        <v>17.372968004908316</v>
      </c>
      <c r="J53" s="3471">
        <f t="shared" ref="J53" si="150">SUM(J51:J52)</f>
        <v>15.557028161331477</v>
      </c>
      <c r="K53" s="1368">
        <f t="shared" si="149"/>
        <v>17.372968004908316</v>
      </c>
      <c r="L53" s="681">
        <f>SUM(L51:L52)</f>
        <v>15.477320057670269</v>
      </c>
      <c r="M53" s="1370">
        <f t="shared" si="149"/>
        <v>17.372968004908316</v>
      </c>
      <c r="N53" s="3974">
        <f t="shared" ref="N53" si="151">SUM(N51:N52)</f>
        <v>15.528786469726143</v>
      </c>
      <c r="O53" s="1368">
        <f t="shared" si="149"/>
        <v>17.372968004908316</v>
      </c>
      <c r="P53" s="681">
        <f>SUM(P51:P52)</f>
        <v>16.15535634032689</v>
      </c>
      <c r="Q53" s="1369">
        <f t="shared" si="149"/>
        <v>17.372968004908316</v>
      </c>
      <c r="R53" s="3476">
        <f t="shared" ref="R53" si="152">SUM(R51:R52)</f>
        <v>15.697729420380901</v>
      </c>
      <c r="S53" s="1368">
        <f t="shared" si="149"/>
        <v>17.372968004908316</v>
      </c>
      <c r="T53" s="681">
        <f>SUM(T51:T52)</f>
        <v>15.095487791534454</v>
      </c>
      <c r="U53" s="1369">
        <f t="shared" si="149"/>
        <v>17.372968004908316</v>
      </c>
      <c r="V53" s="3476">
        <f t="shared" ref="V53" si="153">SUM(V51:V52)</f>
        <v>15.576288086762078</v>
      </c>
      <c r="W53" s="1368">
        <f t="shared" si="149"/>
        <v>17.372968004908316</v>
      </c>
      <c r="X53" s="681">
        <f>SUM(X51:X52)</f>
        <v>13.273748385475672</v>
      </c>
      <c r="Y53" s="4492">
        <f>SUM(Y51:Y52)</f>
        <v>17.372968004908316</v>
      </c>
      <c r="Z53" s="4492">
        <f>SUM(Z51:Z52)</f>
        <v>14.894399489786684</v>
      </c>
      <c r="AA53" s="4493">
        <f>SUM(AA51:AA52)</f>
        <v>17.372968004908316</v>
      </c>
      <c r="AB53" s="4493">
        <f>SUM(AB51:AB52)</f>
        <v>15.204591095341586</v>
      </c>
      <c r="AC53" s="1368">
        <f t="shared" ref="AC53" si="154">+$D$51</f>
        <v>17.372968004908316</v>
      </c>
      <c r="AD53" s="681">
        <f>SUM(AD51:AD52)</f>
        <v>14.74758933635848</v>
      </c>
      <c r="AE53" s="1369">
        <f t="shared" ref="AE53" si="155">+$D$51</f>
        <v>17.372968004908316</v>
      </c>
      <c r="AF53" s="3476">
        <f t="shared" ref="AF53" si="156">SUM(AF51:AF52)</f>
        <v>15.142210178323438</v>
      </c>
      <c r="AG53" s="1368">
        <f t="shared" ref="AG53" si="157">+$D$51</f>
        <v>17.372968004908316</v>
      </c>
      <c r="AH53" s="682">
        <f t="shared" ref="AH53" si="158">SUM(AH51:AH52)</f>
        <v>13.862633900441084</v>
      </c>
      <c r="AI53" s="1369">
        <f t="shared" ref="AI53" si="159">+$D$51</f>
        <v>17.372968004908316</v>
      </c>
      <c r="AJ53" s="3476">
        <f t="shared" ref="AJ53" si="160">SUM(AJ51:AJ52)</f>
        <v>15.136001320846441</v>
      </c>
      <c r="AK53" s="1368">
        <f t="shared" ref="AK53" si="161">+$D$51</f>
        <v>17.372968004908316</v>
      </c>
      <c r="AL53" s="682">
        <f t="shared" ref="AL53" si="162">SUM(AL51:AL52)</f>
        <v>16.719874005022774</v>
      </c>
      <c r="AM53" s="4492">
        <f>SUM(AM51:AM52)</f>
        <v>17.372968004908316</v>
      </c>
      <c r="AN53" s="4492">
        <f>SUM(AN51:AN52)</f>
        <v>15.728930781091735</v>
      </c>
      <c r="AO53" s="1369">
        <f t="shared" ref="AO53" si="163">+$D$51</f>
        <v>17.372968004908316</v>
      </c>
      <c r="AP53" s="3476">
        <f t="shared" ref="AP53" si="164">SUM(AP51:AP52)</f>
        <v>15.334958788821783</v>
      </c>
      <c r="AQ53" s="1368">
        <f t="shared" ref="AQ53" si="165">+$D$51</f>
        <v>17.372968004908316</v>
      </c>
      <c r="AR53" s="682">
        <f t="shared" ref="AR53" si="166">SUM(AR51:AR52)</f>
        <v>16.420094293610795</v>
      </c>
      <c r="AS53" s="1369">
        <f t="shared" ref="AS53" si="167">+$D$51</f>
        <v>17.372968004908316</v>
      </c>
      <c r="AT53" s="3476">
        <f t="shared" ref="AT53" si="168">SUM(AT51:AT52)</f>
        <v>15.46111700456224</v>
      </c>
      <c r="AU53" s="1368">
        <f t="shared" ref="AU53" si="169">+$D$51</f>
        <v>17.372968004908316</v>
      </c>
      <c r="AV53" s="682">
        <f t="shared" ref="AV53" si="170">SUM(AV51:AV52)</f>
        <v>16.267749388725633</v>
      </c>
      <c r="AW53" s="1369">
        <f t="shared" ref="AW53" si="171">+$D$51</f>
        <v>17.372968004908316</v>
      </c>
      <c r="AX53" s="3476">
        <f t="shared" ref="AX53" si="172">SUM(AX51:AX52)</f>
        <v>15.537979120888515</v>
      </c>
      <c r="AY53" s="1368">
        <f t="shared" ref="AY53" si="173">+$D$51</f>
        <v>17.372968004908316</v>
      </c>
      <c r="AZ53" s="682">
        <f t="shared" ref="AZ53" si="174">SUM(AZ51:AZ52)</f>
        <v>16.669951386151624</v>
      </c>
      <c r="BA53" s="4486">
        <f t="shared" ref="BA53" si="175">+$D$51</f>
        <v>17.372968004908316</v>
      </c>
      <c r="BB53" s="4486">
        <f t="shared" ref="BB53" si="176">SUM(BB51:BB52)</f>
        <v>16.457844143121207</v>
      </c>
      <c r="BC53" s="4487">
        <f t="shared" ref="BC53" si="177">+$D$51</f>
        <v>17.372968004908316</v>
      </c>
      <c r="BD53" s="4487">
        <f t="shared" ref="BD53" si="178">SUM(BD51:BD52)</f>
        <v>16.169988704787301</v>
      </c>
      <c r="BE53" s="4488">
        <f t="shared" ref="BE53" si="179">+$D$51</f>
        <v>17.372968004908316</v>
      </c>
      <c r="BF53" s="4488">
        <f t="shared" ref="BF53" si="180">SUM(BF51:BF52)</f>
        <v>15.644724268720097</v>
      </c>
      <c r="BG53" s="4489">
        <v>18.349999999999998</v>
      </c>
      <c r="BH53" s="4489">
        <v>16.183875067245694</v>
      </c>
      <c r="BI53" s="4489">
        <v>16.822446796403778</v>
      </c>
      <c r="BJ53" s="4489">
        <v>18.07321688069041</v>
      </c>
      <c r="BK53" s="4489">
        <f t="shared" ref="BK53:BL53" si="181">SUM(BK51:BK52)</f>
        <v>16</v>
      </c>
      <c r="BL53" s="4489">
        <f t="shared" si="181"/>
        <v>18.431726897146138</v>
      </c>
      <c r="BM53" s="4489"/>
      <c r="BN53" s="4490">
        <f t="shared" ref="BN53" si="182">SUM(BN51:BN52)</f>
        <v>15.648490818507298</v>
      </c>
      <c r="BO53" s="4457"/>
      <c r="BP53" s="2577"/>
      <c r="BQ53" s="2485"/>
      <c r="BR53" s="1779"/>
      <c r="BS53" s="1779"/>
      <c r="BU53" s="4911"/>
    </row>
    <row r="54" spans="1:73" ht="19.5" thickBot="1" x14ac:dyDescent="0.3">
      <c r="A54" s="93"/>
      <c r="B54" s="2615" t="s">
        <v>85</v>
      </c>
      <c r="C54" s="2604" t="s">
        <v>532</v>
      </c>
      <c r="D54" s="4280">
        <v>2.1669656814109719</v>
      </c>
      <c r="E54" s="4281">
        <f>+$D$54</f>
        <v>2.1669656814109719</v>
      </c>
      <c r="F54" s="4282">
        <f>+(F46/'Maj Production Summ'!F$18)*1000</f>
        <v>2.2558206936527871</v>
      </c>
      <c r="G54" s="4281">
        <f>+$D$54</f>
        <v>2.1669656814109719</v>
      </c>
      <c r="H54" s="4282">
        <f>+(H46/'Maj Production Summ'!H$18)*1000</f>
        <v>2.3284510518175443</v>
      </c>
      <c r="I54" s="4283">
        <f t="shared" ref="I54" si="183">+$D$54</f>
        <v>2.1669656814109719</v>
      </c>
      <c r="J54" s="3507">
        <f>+(J46/'Maj Production Summ'!J$18)*1000</f>
        <v>2.2945602243169287</v>
      </c>
      <c r="K54" s="4281">
        <f>+$D$54</f>
        <v>2.1669656814109719</v>
      </c>
      <c r="L54" s="4282">
        <f>+(L46/'Maj Production Summ'!L$18)*1000</f>
        <v>2.1614438926610067</v>
      </c>
      <c r="M54" s="4284">
        <f t="shared" ref="M54" si="184">+$D$54</f>
        <v>2.1669656814109719</v>
      </c>
      <c r="N54" s="4285">
        <f>+(N46/'Maj Production Summ'!N$18)*1000</f>
        <v>2.2473952534597759</v>
      </c>
      <c r="O54" s="4281">
        <f>+$D$54</f>
        <v>2.1669656814109719</v>
      </c>
      <c r="P54" s="4282">
        <f>+(P46/'Maj Production Summ'!P$18)*1000</f>
        <v>1.9155174996649085</v>
      </c>
      <c r="Q54" s="4283">
        <f t="shared" ref="Q54" si="185">+$D$54</f>
        <v>2.1669656814109719</v>
      </c>
      <c r="R54" s="4286">
        <f>+(R46/'Maj Production Summ'!R$18)*1000</f>
        <v>2.1579105692871714</v>
      </c>
      <c r="S54" s="4281">
        <f>+$D$54</f>
        <v>2.1669656814109719</v>
      </c>
      <c r="T54" s="4282">
        <f>+(T46/'Maj Production Summ'!T$18)*1000</f>
        <v>2.1715161054111154</v>
      </c>
      <c r="U54" s="4283">
        <f t="shared" ref="U54" si="186">+$D$54</f>
        <v>2.1669656814109719</v>
      </c>
      <c r="V54" s="4286">
        <f>+(V46/'Maj Production Summ'!V$18)*1000</f>
        <v>2.1606541100395034</v>
      </c>
      <c r="W54" s="4281">
        <f>+$D$54</f>
        <v>2.1669656814109719</v>
      </c>
      <c r="X54" s="4282">
        <f>+(X46/'Maj Production Summ'!X$18)*1000</f>
        <v>2.1203718806067529</v>
      </c>
      <c r="Y54" s="594">
        <f>+$D$54</f>
        <v>2.1669656814109719</v>
      </c>
      <c r="Z54" s="594">
        <f>+(Z46/'Maj Production Summ'!Z$18)*1000</f>
        <v>2.0649352276952255</v>
      </c>
      <c r="AA54" s="619">
        <f>+$D$54</f>
        <v>2.1669656814109719</v>
      </c>
      <c r="AB54" s="619">
        <f>+(AB46/'Maj Production Summ'!AB$18)*1000</f>
        <v>2.1541513846013713</v>
      </c>
      <c r="AC54" s="1837">
        <f>+$D$54</f>
        <v>2.1669656814109719</v>
      </c>
      <c r="AD54" s="2024">
        <f>+(AD46/'Maj Production Summ'!AD$18)*1000</f>
        <v>2.7640475740305575</v>
      </c>
      <c r="AE54" s="2048">
        <f t="shared" ref="AE54" si="187">+$D$54</f>
        <v>2.1669656814109719</v>
      </c>
      <c r="AF54" s="131">
        <f>+(AF46/'Maj Production Summ'!AF$18)*1000</f>
        <v>2.2374024505647117</v>
      </c>
      <c r="AG54" s="4281">
        <f t="shared" ref="AG54" si="188">+$D$54</f>
        <v>2.1669656814109719</v>
      </c>
      <c r="AH54" s="4282">
        <f>+(AH46/'Maj Production Summ'!AH$18)*1000</f>
        <v>2.3944549464398235</v>
      </c>
      <c r="AI54" s="4283">
        <f t="shared" ref="AI54" si="189">+$D$54</f>
        <v>2.1669656814109719</v>
      </c>
      <c r="AJ54" s="4286">
        <f>+(AJ46/'Maj Production Summ'!AJ$18)*1000</f>
        <v>2.2381645126474106</v>
      </c>
      <c r="AK54" s="4281">
        <f t="shared" ref="AK54" si="190">+$D$54</f>
        <v>2.1669656814109719</v>
      </c>
      <c r="AL54" s="4282">
        <f>+(AL46/'Maj Production Summ'!AL$18)*1000</f>
        <v>2.2900438428468051</v>
      </c>
      <c r="AM54" s="594">
        <f>+$D$54</f>
        <v>2.1669656814109719</v>
      </c>
      <c r="AN54" s="594">
        <f>+(AN46/'Maj Production Summ'!AN$18)*1000</f>
        <v>2.5182633230323246</v>
      </c>
      <c r="AO54" s="4283">
        <f t="shared" ref="AO54" si="191">+$D$54</f>
        <v>2.1669656814109719</v>
      </c>
      <c r="AP54" s="4286">
        <f>+(AP46/'Maj Production Summ'!AP$18)*1000</f>
        <v>2.2446813118067421</v>
      </c>
      <c r="AQ54" s="4281">
        <f t="shared" ref="AQ54" si="192">+$D$54</f>
        <v>2.1669656814109719</v>
      </c>
      <c r="AR54" s="4282">
        <f>+(AR46/'Maj Production Summ'!AR$18)*1000</f>
        <v>2.1947650788489677</v>
      </c>
      <c r="AS54" s="4283">
        <f t="shared" ref="AS54" si="193">+$D$54</f>
        <v>2.1669656814109719</v>
      </c>
      <c r="AT54" s="4286">
        <f>+(AT46/'Maj Production Summ'!AT$18)*1000</f>
        <v>2.2388780339132017</v>
      </c>
      <c r="AU54" s="4281">
        <f t="shared" ref="AU54" si="194">+$D$54</f>
        <v>2.1669656814109719</v>
      </c>
      <c r="AV54" s="4282">
        <f>+(AV46/'Maj Production Summ'!AV$18)*1000</f>
        <v>2.220776598846991</v>
      </c>
      <c r="AW54" s="4283">
        <f t="shared" ref="AW54" si="195">+$D$54</f>
        <v>2.1669656814109719</v>
      </c>
      <c r="AX54" s="4286">
        <f>+(AX46/'Maj Production Summ'!AX$18)*1000</f>
        <v>2.2371531904342548</v>
      </c>
      <c r="AY54" s="4281">
        <f t="shared" ref="AY54" si="196">+$D$54</f>
        <v>2.1669656814109719</v>
      </c>
      <c r="AZ54" s="4282">
        <f>+(AZ46/'Maj Production Summ'!AZ$18)*1000</f>
        <v>2.0940086716594402</v>
      </c>
      <c r="BA54" s="4497">
        <f t="shared" ref="BA54" si="197">+$D$54</f>
        <v>2.1669656814109719</v>
      </c>
      <c r="BB54" s="4497">
        <f>+(BB46/'Maj Production Summ'!BB$18)*1000</f>
        <v>2.1684606175270567</v>
      </c>
      <c r="BC54" s="4498">
        <f t="shared" ref="BC54" si="198">+$D$54</f>
        <v>2.1669656814109719</v>
      </c>
      <c r="BD54" s="4498">
        <f>+(BD46/'Maj Production Summ'!BD$18)*1000</f>
        <v>2.3066013299476</v>
      </c>
      <c r="BE54" s="4499">
        <f t="shared" ref="BE54" si="199">+$D$54</f>
        <v>2.1669656814109719</v>
      </c>
      <c r="BF54" s="4499">
        <f>+(BF46/'Maj Production Summ'!BF$18)*1000</f>
        <v>2.2236546416740106</v>
      </c>
      <c r="BG54" s="1780">
        <v>2.1499999999999995</v>
      </c>
      <c r="BH54" s="1780">
        <v>2.3091923171460826</v>
      </c>
      <c r="BI54" s="1780">
        <v>2.8192466143166044</v>
      </c>
      <c r="BJ54" s="1780">
        <v>2.0997063969868619</v>
      </c>
      <c r="BK54" s="4500">
        <v>3.2</v>
      </c>
      <c r="BL54" s="1780">
        <v>2.1491300709104784</v>
      </c>
      <c r="BM54" s="1780">
        <v>3.0300000000000002</v>
      </c>
      <c r="BN54" s="4501">
        <v>2.235314175301673</v>
      </c>
      <c r="BO54" s="4458"/>
      <c r="BP54" s="2598"/>
      <c r="BQ54" s="2486"/>
      <c r="BR54" s="1780"/>
      <c r="BS54" s="1780"/>
      <c r="BU54" s="4911"/>
    </row>
    <row r="55" spans="1:73" ht="15" customHeight="1" x14ac:dyDescent="0.25"/>
    <row r="56" spans="1:73" ht="15" customHeight="1" x14ac:dyDescent="0.25"/>
    <row r="57" spans="1:73" ht="23.25" x14ac:dyDescent="0.35">
      <c r="B57" s="4505"/>
    </row>
    <row r="58" spans="1:73" ht="15" customHeight="1" x14ac:dyDescent="0.25"/>
    <row r="59" spans="1:73" ht="15" customHeight="1" x14ac:dyDescent="0.25"/>
    <row r="60" spans="1:73" ht="15" customHeight="1" x14ac:dyDescent="0.25"/>
    <row r="61" spans="1:73" ht="15" customHeight="1" x14ac:dyDescent="0.25"/>
    <row r="62" spans="1:73" ht="15" customHeight="1" x14ac:dyDescent="0.25"/>
    <row r="63" spans="1:73" ht="15" customHeight="1" x14ac:dyDescent="0.25"/>
    <row r="64" spans="1:7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</sheetData>
  <mergeCells count="39">
    <mergeCell ref="B32:B36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AS3:AT3"/>
    <mergeCell ref="AU3:AV3"/>
    <mergeCell ref="AO3:AP3"/>
    <mergeCell ref="AM3:AN3"/>
    <mergeCell ref="AK3:AL3"/>
    <mergeCell ref="B25:B26"/>
    <mergeCell ref="M3:N3"/>
    <mergeCell ref="O3:P3"/>
    <mergeCell ref="Q3:R3"/>
    <mergeCell ref="B3:B4"/>
    <mergeCell ref="C3:C4"/>
    <mergeCell ref="E3:F3"/>
    <mergeCell ref="G3:H3"/>
    <mergeCell ref="I3:J3"/>
    <mergeCell ref="D3:D4"/>
    <mergeCell ref="AW3:AX3"/>
    <mergeCell ref="AY3:AZ3"/>
    <mergeCell ref="BE3:BF3"/>
    <mergeCell ref="BC3:BD3"/>
    <mergeCell ref="BO3:BP3"/>
    <mergeCell ref="BA3:BB3"/>
    <mergeCell ref="BM3:BN3"/>
    <mergeCell ref="BK3:BL3"/>
    <mergeCell ref="BI3:BJ3"/>
    <mergeCell ref="BG3:BH3"/>
  </mergeCells>
  <printOptions horizontalCentered="1" verticalCentered="1"/>
  <pageMargins left="0" right="0" top="0" bottom="0" header="0" footer="0"/>
  <pageSetup scale="6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C000"/>
    <pageSetUpPr fitToPage="1"/>
  </sheetPr>
  <dimension ref="C3:BJ81"/>
  <sheetViews>
    <sheetView zoomScale="115" zoomScaleNormal="115" workbookViewId="0">
      <pane xSplit="7" topLeftCell="S1" activePane="topRight" state="frozen"/>
      <selection pane="topRight" activeCell="AA10" sqref="AA10"/>
    </sheetView>
  </sheetViews>
  <sheetFormatPr defaultColWidth="9.140625" defaultRowHeight="15" x14ac:dyDescent="0.25"/>
  <cols>
    <col min="1" max="1" width="2.28515625" style="4" customWidth="1"/>
    <col min="2" max="2" width="1.7109375" style="4" customWidth="1"/>
    <col min="3" max="3" width="22.5703125" style="4" hidden="1" customWidth="1"/>
    <col min="4" max="4" width="45.42578125" style="4" bestFit="1" customWidth="1"/>
    <col min="5" max="5" width="14" style="4" bestFit="1" customWidth="1"/>
    <col min="6" max="6" width="15.42578125" style="4" hidden="1" customWidth="1"/>
    <col min="7" max="7" width="15.140625" style="4" customWidth="1"/>
    <col min="8" max="8" width="9.140625" style="4" customWidth="1"/>
    <col min="9" max="9" width="10.5703125" style="4" bestFit="1" customWidth="1"/>
    <col min="10" max="10" width="9.140625" style="4" customWidth="1"/>
    <col min="11" max="11" width="10.5703125" style="4" customWidth="1"/>
    <col min="12" max="12" width="9.5703125" style="4" hidden="1" customWidth="1"/>
    <col min="13" max="13" width="6.140625" style="4" hidden="1" customWidth="1"/>
    <col min="14" max="14" width="9.5703125" style="4" customWidth="1"/>
    <col min="15" max="15" width="8.28515625" style="4" bestFit="1" customWidth="1"/>
    <col min="16" max="16" width="9.5703125" style="4" customWidth="1"/>
    <col min="17" max="17" width="8.28515625" style="4" bestFit="1" customWidth="1"/>
    <col min="18" max="18" width="9.140625" style="1274" customWidth="1"/>
    <col min="19" max="19" width="10.5703125" style="4" customWidth="1"/>
    <col min="20" max="21" width="10.5703125" style="4" hidden="1" customWidth="1"/>
    <col min="22" max="22" width="9.140625" style="4" customWidth="1"/>
    <col min="23" max="23" width="10.5703125" style="4" customWidth="1"/>
    <col min="24" max="24" width="9.140625" style="4" hidden="1" customWidth="1"/>
    <col min="25" max="25" width="8.42578125" style="4" hidden="1" customWidth="1"/>
    <col min="26" max="26" width="12.5703125" style="4" customWidth="1"/>
    <col min="27" max="31" width="9.140625" style="4" customWidth="1"/>
    <col min="32" max="61" width="9.140625" style="4" hidden="1" customWidth="1"/>
    <col min="62" max="62" width="9.140625" style="4" customWidth="1"/>
    <col min="63" max="16384" width="9.140625" style="4"/>
  </cols>
  <sheetData>
    <row r="3" spans="3:61" ht="18" thickBot="1" x14ac:dyDescent="0.3">
      <c r="C3" s="5822" t="s">
        <v>2194</v>
      </c>
      <c r="D3" s="5823"/>
      <c r="E3" s="5823"/>
      <c r="F3" s="5823"/>
      <c r="G3" s="5823"/>
      <c r="H3" s="5823"/>
      <c r="I3" s="5823"/>
      <c r="J3" s="5823"/>
      <c r="K3" s="5823"/>
      <c r="L3" s="5823"/>
      <c r="M3" s="5823"/>
      <c r="N3" s="5823"/>
      <c r="O3" s="5823"/>
      <c r="P3" s="5823"/>
      <c r="Q3" s="5823"/>
      <c r="R3" s="5823"/>
      <c r="S3" s="5823"/>
      <c r="T3" s="5823"/>
      <c r="U3" s="5823"/>
      <c r="V3" s="5823"/>
      <c r="W3" s="5823"/>
      <c r="X3" s="5823"/>
      <c r="Y3" s="5823"/>
      <c r="Z3" s="5823"/>
      <c r="AA3" s="5823"/>
      <c r="AB3" s="5823"/>
      <c r="AC3" s="5823"/>
      <c r="AD3" s="5823"/>
      <c r="AE3" s="5823"/>
      <c r="AF3" s="5823"/>
      <c r="AG3" s="5823"/>
      <c r="AH3" s="5823"/>
      <c r="AI3" s="5823"/>
      <c r="AJ3" s="5823"/>
      <c r="AK3" s="5823"/>
      <c r="AL3" s="5823"/>
      <c r="AM3" s="5823"/>
      <c r="AN3" s="5823"/>
      <c r="AO3" s="5823"/>
      <c r="AP3" s="5823"/>
      <c r="AQ3" s="5823"/>
      <c r="AR3" s="5823"/>
      <c r="AS3" s="5823"/>
      <c r="AT3" s="5823"/>
      <c r="AU3" s="5823"/>
      <c r="AV3" s="5823"/>
      <c r="AW3" s="5823"/>
      <c r="AX3" s="5823"/>
      <c r="AY3" s="5823"/>
      <c r="AZ3" s="5823"/>
      <c r="BA3" s="5823"/>
      <c r="BB3" s="5823"/>
      <c r="BC3" s="5823"/>
      <c r="BD3" s="5823"/>
      <c r="BE3" s="5823"/>
      <c r="BF3" s="5823"/>
      <c r="BG3" s="5823"/>
      <c r="BH3" s="5823"/>
      <c r="BI3" s="5823"/>
    </row>
    <row r="4" spans="3:61" ht="15.75" thickBot="1" x14ac:dyDescent="0.3">
      <c r="C4" s="5829" t="s">
        <v>1069</v>
      </c>
      <c r="D4" s="3764" t="s">
        <v>171</v>
      </c>
      <c r="E4" s="3765" t="s">
        <v>172</v>
      </c>
      <c r="F4" s="3765" t="s">
        <v>1445</v>
      </c>
      <c r="G4" s="3766" t="s">
        <v>2193</v>
      </c>
      <c r="H4" s="5699" t="s">
        <v>2190</v>
      </c>
      <c r="I4" s="5700"/>
      <c r="J4" s="5699" t="s">
        <v>2242</v>
      </c>
      <c r="K4" s="5700"/>
      <c r="L4" s="5824" t="s">
        <v>14</v>
      </c>
      <c r="M4" s="5702"/>
      <c r="N4" s="5760" t="s">
        <v>2273</v>
      </c>
      <c r="O4" s="5771"/>
      <c r="P4" s="5763" t="s">
        <v>637</v>
      </c>
      <c r="Q4" s="5764"/>
      <c r="R4" s="5774" t="s">
        <v>2296</v>
      </c>
      <c r="S4" s="5771"/>
      <c r="T4" s="5758" t="s">
        <v>17</v>
      </c>
      <c r="U4" s="5759"/>
      <c r="V4" s="5774" t="s">
        <v>2299</v>
      </c>
      <c r="W4" s="5771"/>
      <c r="X4" s="5758" t="s">
        <v>18</v>
      </c>
      <c r="Y4" s="5759"/>
      <c r="Z4" s="5760" t="s">
        <v>2344</v>
      </c>
      <c r="AA4" s="5771"/>
      <c r="AB4" s="5763" t="s">
        <v>660</v>
      </c>
      <c r="AC4" s="5764"/>
      <c r="AD4" s="5825" t="s">
        <v>657</v>
      </c>
      <c r="AE4" s="5766"/>
      <c r="AF4" s="5699" t="s">
        <v>1954</v>
      </c>
      <c r="AG4" s="5700"/>
      <c r="AH4" s="5824" t="s">
        <v>24</v>
      </c>
      <c r="AI4" s="5702"/>
      <c r="AJ4" s="5699" t="s">
        <v>1970</v>
      </c>
      <c r="AK4" s="5700"/>
      <c r="AL4" s="5824" t="s">
        <v>27</v>
      </c>
      <c r="AM4" s="5702"/>
      <c r="AN4" s="5760" t="s">
        <v>1985</v>
      </c>
      <c r="AO4" s="5771"/>
      <c r="AP4" s="5763" t="s">
        <v>662</v>
      </c>
      <c r="AQ4" s="5764"/>
      <c r="AR4" s="5824" t="s">
        <v>1666</v>
      </c>
      <c r="AS4" s="5702"/>
      <c r="AT4" s="5699" t="s">
        <v>2085</v>
      </c>
      <c r="AU4" s="5700"/>
      <c r="AV4" s="5824" t="s">
        <v>28</v>
      </c>
      <c r="AW4" s="5702"/>
      <c r="AX4" s="5699" t="s">
        <v>2099</v>
      </c>
      <c r="AY4" s="5700"/>
      <c r="AZ4" s="5824" t="s">
        <v>30</v>
      </c>
      <c r="BA4" s="5702"/>
      <c r="BB4" s="5699" t="s">
        <v>2111</v>
      </c>
      <c r="BC4" s="5700"/>
      <c r="BD4" s="5763" t="s">
        <v>663</v>
      </c>
      <c r="BE4" s="5764"/>
      <c r="BF4" s="5825" t="s">
        <v>671</v>
      </c>
      <c r="BG4" s="5766"/>
      <c r="BH4" s="5824" t="s">
        <v>1745</v>
      </c>
      <c r="BI4" s="5702"/>
    </row>
    <row r="5" spans="3:61" ht="15.75" thickBot="1" x14ac:dyDescent="0.3">
      <c r="C5" s="5830"/>
      <c r="D5" s="3767"/>
      <c r="E5" s="3768"/>
      <c r="F5" s="3768"/>
      <c r="G5" s="3769"/>
      <c r="H5" s="1147" t="s">
        <v>173</v>
      </c>
      <c r="I5" s="1148" t="s">
        <v>174</v>
      </c>
      <c r="J5" s="1147" t="s">
        <v>173</v>
      </c>
      <c r="K5" s="1148" t="s">
        <v>174</v>
      </c>
      <c r="L5" s="1359" t="s">
        <v>173</v>
      </c>
      <c r="M5" s="1360" t="s">
        <v>174</v>
      </c>
      <c r="N5" s="546" t="s">
        <v>173</v>
      </c>
      <c r="O5" s="178" t="s">
        <v>174</v>
      </c>
      <c r="P5" s="703" t="s">
        <v>173</v>
      </c>
      <c r="Q5" s="170" t="s">
        <v>174</v>
      </c>
      <c r="R5" s="1040" t="s">
        <v>173</v>
      </c>
      <c r="S5" s="178" t="s">
        <v>174</v>
      </c>
      <c r="T5" s="547" t="s">
        <v>173</v>
      </c>
      <c r="U5" s="163" t="s">
        <v>174</v>
      </c>
      <c r="V5" s="1040" t="s">
        <v>173</v>
      </c>
      <c r="W5" s="178" t="s">
        <v>174</v>
      </c>
      <c r="X5" s="547" t="s">
        <v>173</v>
      </c>
      <c r="Y5" s="163" t="s">
        <v>174</v>
      </c>
      <c r="Z5" s="546" t="s">
        <v>173</v>
      </c>
      <c r="AA5" s="178" t="s">
        <v>174</v>
      </c>
      <c r="AB5" s="703" t="s">
        <v>173</v>
      </c>
      <c r="AC5" s="170" t="s">
        <v>174</v>
      </c>
      <c r="AD5" s="705" t="s">
        <v>173</v>
      </c>
      <c r="AE5" s="467" t="s">
        <v>174</v>
      </c>
      <c r="AF5" s="1147" t="s">
        <v>173</v>
      </c>
      <c r="AG5" s="1148" t="s">
        <v>174</v>
      </c>
      <c r="AH5" s="1359" t="s">
        <v>173</v>
      </c>
      <c r="AI5" s="1360" t="s">
        <v>174</v>
      </c>
      <c r="AJ5" s="1147" t="s">
        <v>173</v>
      </c>
      <c r="AK5" s="1148" t="s">
        <v>174</v>
      </c>
      <c r="AL5" s="1359" t="s">
        <v>173</v>
      </c>
      <c r="AM5" s="1360" t="s">
        <v>174</v>
      </c>
      <c r="AN5" s="546" t="s">
        <v>173</v>
      </c>
      <c r="AO5" s="178" t="s">
        <v>174</v>
      </c>
      <c r="AP5" s="703" t="s">
        <v>173</v>
      </c>
      <c r="AQ5" s="170" t="s">
        <v>174</v>
      </c>
      <c r="AR5" s="1359" t="s">
        <v>173</v>
      </c>
      <c r="AS5" s="1360" t="s">
        <v>174</v>
      </c>
      <c r="AT5" s="1147" t="s">
        <v>173</v>
      </c>
      <c r="AU5" s="1148" t="s">
        <v>174</v>
      </c>
      <c r="AV5" s="1359" t="s">
        <v>173</v>
      </c>
      <c r="AW5" s="1360" t="s">
        <v>174</v>
      </c>
      <c r="AX5" s="1147" t="s">
        <v>173</v>
      </c>
      <c r="AY5" s="1148" t="s">
        <v>174</v>
      </c>
      <c r="AZ5" s="1359" t="s">
        <v>173</v>
      </c>
      <c r="BA5" s="1360" t="s">
        <v>174</v>
      </c>
      <c r="BB5" s="1147" t="s">
        <v>173</v>
      </c>
      <c r="BC5" s="1148" t="s">
        <v>174</v>
      </c>
      <c r="BD5" s="703" t="s">
        <v>173</v>
      </c>
      <c r="BE5" s="170" t="s">
        <v>174</v>
      </c>
      <c r="BF5" s="705" t="s">
        <v>173</v>
      </c>
      <c r="BG5" s="467" t="s">
        <v>174</v>
      </c>
      <c r="BH5" s="1359" t="s">
        <v>173</v>
      </c>
      <c r="BI5" s="1360" t="s">
        <v>174</v>
      </c>
    </row>
    <row r="6" spans="3:61" x14ac:dyDescent="0.25">
      <c r="C6" s="5832" t="s">
        <v>4</v>
      </c>
      <c r="D6" s="3770" t="s">
        <v>361</v>
      </c>
      <c r="E6" s="3765" t="s">
        <v>49</v>
      </c>
      <c r="F6" s="3771">
        <v>69.459875135267765</v>
      </c>
      <c r="G6" s="3766">
        <v>70</v>
      </c>
      <c r="H6" s="3772">
        <f>+'Maj Techno Summ'!E5</f>
        <v>70</v>
      </c>
      <c r="I6" s="3773">
        <f>+'Maj Techno Summ'!F5</f>
        <v>70</v>
      </c>
      <c r="J6" s="3772">
        <f>+'Maj Techno Summ'!G5</f>
        <v>70</v>
      </c>
      <c r="K6" s="3773">
        <f>+'Maj Techno Summ'!H5</f>
        <v>70</v>
      </c>
      <c r="L6" s="3774">
        <f>+'Maj Techno Summ'!I5</f>
        <v>70</v>
      </c>
      <c r="M6" s="3775">
        <f>+'Maj Techno Summ'!J5</f>
        <v>70</v>
      </c>
      <c r="N6" s="3772">
        <f>+'Maj Techno Summ'!K5</f>
        <v>70</v>
      </c>
      <c r="O6" s="3773">
        <f>+'Maj Techno Summ'!L5</f>
        <v>70</v>
      </c>
      <c r="P6" s="3776">
        <f>+'Maj Techno Summ'!M5</f>
        <v>70</v>
      </c>
      <c r="Q6" s="3777">
        <f>+'Maj Techno Summ'!N5</f>
        <v>70</v>
      </c>
      <c r="R6" s="3772">
        <f>+'Maj Techno Summ'!O5</f>
        <v>70</v>
      </c>
      <c r="S6" s="3773">
        <f>+'Maj Techno Summ'!P5</f>
        <v>69.999999999999986</v>
      </c>
      <c r="T6" s="3774">
        <f>+'Maj Techno Summ'!Q5</f>
        <v>70</v>
      </c>
      <c r="U6" s="3775">
        <f>+'Maj Techno Summ'!R5</f>
        <v>70</v>
      </c>
      <c r="V6" s="3772">
        <f>+'Maj Techno Summ'!S5</f>
        <v>70</v>
      </c>
      <c r="W6" s="3773">
        <f>+'Maj Techno Summ'!T5</f>
        <v>70</v>
      </c>
      <c r="X6" s="3774">
        <f>+'Maj Techno Summ'!U5</f>
        <v>70</v>
      </c>
      <c r="Y6" s="3775">
        <f>+'Maj Techno Summ'!V5</f>
        <v>70</v>
      </c>
      <c r="Z6" s="3772">
        <f>+'Maj Techno Summ'!W5</f>
        <v>70</v>
      </c>
      <c r="AA6" s="3773">
        <f>+'Maj Techno Summ'!X5</f>
        <v>69.49295404013472</v>
      </c>
      <c r="AB6" s="3778">
        <f>+'Maj Techno Summ'!Y5</f>
        <v>70</v>
      </c>
      <c r="AC6" s="3778">
        <f>+'Maj Techno Summ'!Z5</f>
        <v>69.834649220880394</v>
      </c>
      <c r="AD6" s="3779">
        <f>+'Maj Techno Summ'!AA5</f>
        <v>70</v>
      </c>
      <c r="AE6" s="3780">
        <f>+'Maj Techno Summ'!AB5</f>
        <v>69.916418515767404</v>
      </c>
      <c r="AF6" s="3772">
        <f>+'Maj Techno Summ'!AC5</f>
        <v>70</v>
      </c>
      <c r="AG6" s="3773">
        <f>+'Maj Techno Summ'!AD5</f>
        <v>70.453746245081177</v>
      </c>
      <c r="AH6" s="3774">
        <f>+'Maj Techno Summ'!AE5</f>
        <v>70</v>
      </c>
      <c r="AI6" s="3775">
        <f>+'Maj Techno Summ'!AF5</f>
        <v>69.99399443936835</v>
      </c>
      <c r="AJ6" s="3772">
        <f>+'Maj Techno Summ'!AG5</f>
        <v>70</v>
      </c>
      <c r="AK6" s="3773">
        <f>+'Maj Techno Summ'!AH5</f>
        <v>70.490000000000009</v>
      </c>
      <c r="AL6" s="3774">
        <f>+'Maj Techno Summ'!AI5</f>
        <v>70</v>
      </c>
      <c r="AM6" s="3775">
        <f>+'Maj Techno Summ'!AJ5</f>
        <v>70.052695785724794</v>
      </c>
      <c r="AN6" s="3772">
        <f>+'Maj Techno Summ'!AK5</f>
        <v>70</v>
      </c>
      <c r="AO6" s="3773">
        <f>+'Maj Techno Summ'!AL5</f>
        <v>70.010000000000005</v>
      </c>
      <c r="AP6" s="3778">
        <f>+'Maj Techno Summ'!AM5</f>
        <v>70</v>
      </c>
      <c r="AQ6" s="3778">
        <f>+'Maj Techno Summ'!AN5</f>
        <v>70.313108282206528</v>
      </c>
      <c r="AR6" s="3774">
        <f>+'Maj Techno Summ'!AO5</f>
        <v>70</v>
      </c>
      <c r="AS6" s="3775">
        <f>+'Maj Techno Summ'!AP5</f>
        <v>70.047846627069319</v>
      </c>
      <c r="AT6" s="3772">
        <f>+'Maj Techno Summ'!AQ5</f>
        <v>70</v>
      </c>
      <c r="AU6" s="3773">
        <f>+'Maj Techno Summ'!AR5</f>
        <v>70.59499999999997</v>
      </c>
      <c r="AV6" s="3774">
        <f>+'Maj Techno Summ'!AS5</f>
        <v>70</v>
      </c>
      <c r="AW6" s="3775">
        <f>+'Maj Techno Summ'!AT5</f>
        <v>70.103651372427692</v>
      </c>
      <c r="AX6" s="3772">
        <f>+'Maj Techno Summ'!AU5</f>
        <v>70</v>
      </c>
      <c r="AY6" s="3773">
        <f>+'Maj Techno Summ'!AV5</f>
        <v>70.499999999999972</v>
      </c>
      <c r="AZ6" s="3774">
        <f>+'Maj Techno Summ'!AW5</f>
        <v>70</v>
      </c>
      <c r="BA6" s="3775">
        <f>+'Maj Techno Summ'!AX5</f>
        <v>70.137055284109337</v>
      </c>
      <c r="BB6" s="3772">
        <f>+'Maj Techno Summ'!AY5</f>
        <v>70</v>
      </c>
      <c r="BC6" s="3773">
        <f>+'Maj Techno Summ'!AZ5</f>
        <v>70.5</v>
      </c>
      <c r="BD6" s="3778">
        <f>+'Maj Techno Summ'!BA5</f>
        <v>70</v>
      </c>
      <c r="BE6" s="3778">
        <f>+'Maj Techno Summ'!BB5</f>
        <v>70.532713173922829</v>
      </c>
      <c r="BF6" s="3779">
        <f>+'Maj Techno Summ'!BC5</f>
        <v>70</v>
      </c>
      <c r="BG6" s="3780">
        <f>+'Maj Techno Summ'!BD5</f>
        <v>70.422663592242358</v>
      </c>
      <c r="BH6" s="3774">
        <f>+'Maj Techno Summ'!BE5</f>
        <v>70</v>
      </c>
      <c r="BI6" s="3775">
        <f>+'Maj Techno Summ'!BF5</f>
        <v>70.168103622185086</v>
      </c>
    </row>
    <row r="7" spans="3:61" x14ac:dyDescent="0.25">
      <c r="C7" s="5833"/>
      <c r="D7" s="3781" t="s">
        <v>359</v>
      </c>
      <c r="E7" s="3782"/>
      <c r="F7" s="3782"/>
      <c r="G7" s="3783"/>
      <c r="H7" s="3784"/>
      <c r="I7" s="3311"/>
      <c r="J7" s="3784"/>
      <c r="K7" s="3311"/>
      <c r="L7" s="3785"/>
      <c r="M7" s="3291"/>
      <c r="N7" s="3784"/>
      <c r="O7" s="3311"/>
      <c r="P7" s="3784"/>
      <c r="Q7" s="3311"/>
      <c r="R7" s="3784"/>
      <c r="S7" s="3311"/>
      <c r="T7" s="3784"/>
      <c r="U7" s="3311"/>
      <c r="V7" s="3784"/>
      <c r="W7" s="3311"/>
      <c r="X7" s="3784"/>
      <c r="Y7" s="3311"/>
      <c r="Z7" s="3784"/>
      <c r="AA7" s="3311"/>
      <c r="AB7" s="3786"/>
      <c r="AC7" s="3786"/>
      <c r="AD7" s="3784"/>
      <c r="AE7" s="3786"/>
      <c r="AF7" s="3784"/>
      <c r="AG7" s="3311"/>
      <c r="AH7" s="3784"/>
      <c r="AI7" s="3311"/>
      <c r="AJ7" s="3784"/>
      <c r="AK7" s="3311"/>
      <c r="AL7" s="3784"/>
      <c r="AM7" s="3311"/>
      <c r="AN7" s="3784"/>
      <c r="AO7" s="3311"/>
      <c r="AP7" s="3786"/>
      <c r="AQ7" s="3786"/>
      <c r="AR7" s="3784"/>
      <c r="AS7" s="3311"/>
      <c r="AT7" s="3784"/>
      <c r="AU7" s="3311"/>
      <c r="AV7" s="3784"/>
      <c r="AW7" s="3311"/>
      <c r="AX7" s="3784"/>
      <c r="AY7" s="3311"/>
      <c r="AZ7" s="3784"/>
      <c r="BA7" s="3311"/>
      <c r="BB7" s="3784"/>
      <c r="BC7" s="3311"/>
      <c r="BD7" s="3786"/>
      <c r="BE7" s="3786"/>
      <c r="BF7" s="3784"/>
      <c r="BG7" s="3786"/>
      <c r="BH7" s="3784"/>
      <c r="BI7" s="3311"/>
    </row>
    <row r="8" spans="3:61" x14ac:dyDescent="0.25">
      <c r="C8" s="5833"/>
      <c r="D8" s="3787" t="s">
        <v>349</v>
      </c>
      <c r="E8" s="3788" t="s">
        <v>49</v>
      </c>
      <c r="F8" s="3789">
        <v>89.651305773130588</v>
      </c>
      <c r="G8" s="3790">
        <v>92</v>
      </c>
      <c r="H8" s="3791">
        <f>+'Maj Techno Summ'!E7</f>
        <v>92</v>
      </c>
      <c r="I8" s="3792">
        <f>+'Maj Techno Summ'!F7</f>
        <v>89.466617312982208</v>
      </c>
      <c r="J8" s="3791">
        <f>+'Maj Techno Summ'!G7</f>
        <v>92</v>
      </c>
      <c r="K8" s="3792">
        <f>+'Maj Techno Summ'!H7</f>
        <v>91.22579404282105</v>
      </c>
      <c r="L8" s="3785">
        <f>+'Maj Techno Summ'!I7</f>
        <v>92</v>
      </c>
      <c r="M8" s="3291">
        <f>+'Maj Techno Summ'!J7</f>
        <v>90.362489637492544</v>
      </c>
      <c r="N8" s="3791">
        <f>+'Maj Techno Summ'!K7</f>
        <v>92</v>
      </c>
      <c r="O8" s="3792">
        <f>+'Maj Techno Summ'!L7</f>
        <v>90.499999999999986</v>
      </c>
      <c r="P8" s="3793">
        <f>+'Maj Techno Summ'!M7</f>
        <v>92</v>
      </c>
      <c r="Q8" s="3794">
        <f>+'Maj Techno Summ'!N7</f>
        <v>90.407401766585494</v>
      </c>
      <c r="R8" s="3791">
        <f>+'Maj Techno Summ'!O7</f>
        <v>92</v>
      </c>
      <c r="S8" s="3792">
        <f>+'Maj Techno Summ'!P7</f>
        <v>91.999999679999988</v>
      </c>
      <c r="T8" s="3785">
        <f>+'Maj Techno Summ'!Q7</f>
        <v>92</v>
      </c>
      <c r="U8" s="3291">
        <f>+'Maj Techno Summ'!R7</f>
        <v>90.807240704898419</v>
      </c>
      <c r="V8" s="3791">
        <f>+'Maj Techno Summ'!S7</f>
        <v>92</v>
      </c>
      <c r="W8" s="3792">
        <f>+'Maj Techno Summ'!T7</f>
        <v>90</v>
      </c>
      <c r="X8" s="3785">
        <f>+'Maj Techno Summ'!U7</f>
        <v>92</v>
      </c>
      <c r="Y8" s="3291">
        <f>+'Maj Techno Summ'!V7</f>
        <v>90.64176186512033</v>
      </c>
      <c r="Z8" s="3791">
        <f>+'Maj Techno Summ'!W7</f>
        <v>92</v>
      </c>
      <c r="AA8" s="3792">
        <f>+'Maj Techno Summ'!X7</f>
        <v>89.999962999863101</v>
      </c>
      <c r="AB8" s="3795">
        <f>+'Maj Techno Summ'!Y7</f>
        <v>92</v>
      </c>
      <c r="AC8" s="3795">
        <f>+'Maj Techno Summ'!Z7</f>
        <v>90.662029690766587</v>
      </c>
      <c r="AD8" s="3796">
        <f>+'Maj Techno Summ'!AA7</f>
        <v>92</v>
      </c>
      <c r="AE8" s="3797">
        <f>+'Maj Techno Summ'!AB7</f>
        <v>90.535518493018969</v>
      </c>
      <c r="AF8" s="3791">
        <f>+'Maj Techno Summ'!AC7</f>
        <v>92</v>
      </c>
      <c r="AG8" s="3792">
        <f>+'Maj Techno Summ'!AD7</f>
        <v>92.000347584289187</v>
      </c>
      <c r="AH8" s="3785">
        <f>+'Maj Techno Summ'!AE7</f>
        <v>92</v>
      </c>
      <c r="AI8" s="3291">
        <f>+'Maj Techno Summ'!AF7</f>
        <v>90.749876152213602</v>
      </c>
      <c r="AJ8" s="3791">
        <f>+'Maj Techno Summ'!AG7</f>
        <v>92</v>
      </c>
      <c r="AK8" s="3792">
        <f>+'Maj Techno Summ'!AH7</f>
        <v>90.270086275741988</v>
      </c>
      <c r="AL8" s="3785">
        <f>+'Maj Techno Summ'!AI7</f>
        <v>92</v>
      </c>
      <c r="AM8" s="3291">
        <f>+'Maj Techno Summ'!AJ7</f>
        <v>90.692443733024831</v>
      </c>
      <c r="AN8" s="3791">
        <f>+'Maj Techno Summ'!AK7</f>
        <v>92</v>
      </c>
      <c r="AO8" s="3792">
        <f>+'Maj Techno Summ'!AL7</f>
        <v>91.999923369245295</v>
      </c>
      <c r="AP8" s="3795">
        <f>+'Maj Techno Summ'!AM7</f>
        <v>92</v>
      </c>
      <c r="AQ8" s="3795">
        <f>+'Maj Techno Summ'!AN7</f>
        <v>91.450919482289862</v>
      </c>
      <c r="AR8" s="3785">
        <f>+'Maj Techno Summ'!AO7</f>
        <v>92</v>
      </c>
      <c r="AS8" s="3291">
        <f>+'Maj Techno Summ'!AP7</f>
        <v>90.841371699516941</v>
      </c>
      <c r="AT8" s="3791">
        <f>+'Maj Techno Summ'!AQ7</f>
        <v>92</v>
      </c>
      <c r="AU8" s="3792">
        <f>+'Maj Techno Summ'!AR7</f>
        <v>91.99992336924528</v>
      </c>
      <c r="AV8" s="3785">
        <f>+'Maj Techno Summ'!AS7</f>
        <v>92</v>
      </c>
      <c r="AW8" s="3291">
        <f>+'Maj Techno Summ'!AT7</f>
        <v>90.959841792592087</v>
      </c>
      <c r="AX8" s="3791">
        <f>+'Maj Techno Summ'!AU7</f>
        <v>92</v>
      </c>
      <c r="AY8" s="3792">
        <f>+'Maj Techno Summ'!AV7</f>
        <v>89.850746268656707</v>
      </c>
      <c r="AZ8" s="3785">
        <f>+'Maj Techno Summ'!AW7</f>
        <v>92</v>
      </c>
      <c r="BA8" s="3291">
        <f>+'Maj Techno Summ'!AX7</f>
        <v>90.870029738899689</v>
      </c>
      <c r="BB8" s="3791">
        <f>+'Maj Techno Summ'!AY7</f>
        <v>92</v>
      </c>
      <c r="BC8" s="3792">
        <f>+'Maj Techno Summ'!AZ7</f>
        <v>88.356131710039108</v>
      </c>
      <c r="BD8" s="3795">
        <f>+'Maj Techno Summ'!BA7</f>
        <v>92</v>
      </c>
      <c r="BE8" s="3795">
        <f>+'Maj Techno Summ'!BB7</f>
        <v>90.11517120193794</v>
      </c>
      <c r="BF8" s="3796">
        <f>+'Maj Techno Summ'!BC7</f>
        <v>92</v>
      </c>
      <c r="BG8" s="3797">
        <f>+'Maj Techno Summ'!BD7</f>
        <v>90.798145662127496</v>
      </c>
      <c r="BH8" s="3785">
        <f>+'Maj Techno Summ'!BE7</f>
        <v>92</v>
      </c>
      <c r="BI8" s="3291">
        <f>+'Maj Techno Summ'!BF7</f>
        <v>90.665596281544822</v>
      </c>
    </row>
    <row r="9" spans="3:61" x14ac:dyDescent="0.25">
      <c r="C9" s="5833"/>
      <c r="D9" s="3787" t="s">
        <v>360</v>
      </c>
      <c r="E9" s="3788" t="s">
        <v>49</v>
      </c>
      <c r="F9" s="3789">
        <v>92.198587038217795</v>
      </c>
      <c r="G9" s="3790">
        <v>97</v>
      </c>
      <c r="H9" s="3791">
        <f>+'Maj Techno Summ'!E8</f>
        <v>97</v>
      </c>
      <c r="I9" s="3792">
        <f>+'Maj Techno Summ'!F8</f>
        <v>94.592173017507719</v>
      </c>
      <c r="J9" s="3791">
        <f>+'Maj Techno Summ'!G8</f>
        <v>97</v>
      </c>
      <c r="K9" s="3792">
        <f>+'Maj Techno Summ'!H8</f>
        <v>94.99999761388338</v>
      </c>
      <c r="L9" s="3785">
        <f>+'Maj Techno Summ'!I8</f>
        <v>97</v>
      </c>
      <c r="M9" s="3291">
        <f>+'Maj Techno Summ'!J8</f>
        <v>94.799830302761691</v>
      </c>
      <c r="N9" s="3791">
        <f>+'Maj Techno Summ'!K8</f>
        <v>97</v>
      </c>
      <c r="O9" s="3792">
        <f>+'Maj Techno Summ'!L8</f>
        <v>94.999999511791174</v>
      </c>
      <c r="P9" s="3793">
        <f>+'Maj Techno Summ'!M8</f>
        <v>97</v>
      </c>
      <c r="Q9" s="3794">
        <f>+'Maj Techno Summ'!N8</f>
        <v>94.866350705825596</v>
      </c>
      <c r="R9" s="3791">
        <f>+'Maj Techno Summ'!O8</f>
        <v>97</v>
      </c>
      <c r="S9" s="3792">
        <f>+'Maj Techno Summ'!P8</f>
        <v>95.000001409744897</v>
      </c>
      <c r="T9" s="3785">
        <f>+'Maj Techno Summ'!Q8</f>
        <v>97</v>
      </c>
      <c r="U9" s="3291">
        <f>+'Maj Techno Summ'!R8</f>
        <v>94.900651925974543</v>
      </c>
      <c r="V9" s="3791">
        <f>+'Maj Techno Summ'!S8</f>
        <v>97</v>
      </c>
      <c r="W9" s="3792">
        <f>+'Maj Techno Summ'!T8</f>
        <v>95</v>
      </c>
      <c r="X9" s="3785">
        <f>+'Maj Techno Summ'!U8</f>
        <v>97</v>
      </c>
      <c r="Y9" s="3291">
        <f>+'Maj Techno Summ'!V8</f>
        <v>94.920863024190282</v>
      </c>
      <c r="Z9" s="3791">
        <f>+'Maj Techno Summ'!W8</f>
        <v>97</v>
      </c>
      <c r="AA9" s="3792">
        <f>+'Maj Techno Summ'!X8</f>
        <v>94.999999513274034</v>
      </c>
      <c r="AB9" s="3795">
        <f>+'Maj Techno Summ'!Y8</f>
        <v>97</v>
      </c>
      <c r="AC9" s="3795">
        <f>+'Maj Techno Summ'!Z8</f>
        <v>95.000000317448595</v>
      </c>
      <c r="AD9" s="3796">
        <f>+'Maj Techno Summ'!AA8</f>
        <v>97</v>
      </c>
      <c r="AE9" s="3797">
        <f>+'Maj Techno Summ'!AB8</f>
        <v>94.933907887034792</v>
      </c>
      <c r="AF9" s="3791">
        <f>+'Maj Techno Summ'!AC8</f>
        <v>97</v>
      </c>
      <c r="AG9" s="3792">
        <f>+'Maj Techno Summ'!AD8</f>
        <v>97.142520527088507</v>
      </c>
      <c r="AH9" s="3785">
        <f>+'Maj Techno Summ'!AE8</f>
        <v>97</v>
      </c>
      <c r="AI9" s="3291">
        <f>+'Maj Techno Summ'!AF8</f>
        <v>95.266138313976356</v>
      </c>
      <c r="AJ9" s="3791">
        <f>+'Maj Techno Summ'!AG8</f>
        <v>97</v>
      </c>
      <c r="AK9" s="3792">
        <f>+'Maj Techno Summ'!AH8</f>
        <v>95.492103729734282</v>
      </c>
      <c r="AL9" s="3785">
        <f>+'Maj Techno Summ'!AI8</f>
        <v>97</v>
      </c>
      <c r="AM9" s="3291">
        <f>+'Maj Techno Summ'!AJ8</f>
        <v>95.293880137761619</v>
      </c>
      <c r="AN9" s="3791">
        <f>+'Maj Techno Summ'!AK8</f>
        <v>97</v>
      </c>
      <c r="AO9" s="3792">
        <f>+'Maj Techno Summ'!AL8</f>
        <v>97.075494453039653</v>
      </c>
      <c r="AP9" s="3795">
        <f>+'Maj Techno Summ'!AM8</f>
        <v>97</v>
      </c>
      <c r="AQ9" s="3795">
        <f>+'Maj Techno Summ'!AN8</f>
        <v>96.593022111402348</v>
      </c>
      <c r="AR9" s="3785">
        <f>+'Maj Techno Summ'!AO8</f>
        <v>97</v>
      </c>
      <c r="AS9" s="3291">
        <f>+'Maj Techno Summ'!AP8</f>
        <v>95.498637222262019</v>
      </c>
      <c r="AT9" s="3791">
        <f>+'Maj Techno Summ'!AQ8</f>
        <v>97</v>
      </c>
      <c r="AU9" s="3792">
        <f>+'Maj Techno Summ'!AR8</f>
        <v>96.999995843116182</v>
      </c>
      <c r="AV9" s="3785">
        <f>+'Maj Techno Summ'!AS8</f>
        <v>97</v>
      </c>
      <c r="AW9" s="3291">
        <f>+'Maj Techno Summ'!AT8</f>
        <v>95.649896355952933</v>
      </c>
      <c r="AX9" s="3791">
        <f>+'Maj Techno Summ'!AU8</f>
        <v>97</v>
      </c>
      <c r="AY9" s="3792">
        <f>+'Maj Techno Summ'!AV8</f>
        <v>97.000002931422728</v>
      </c>
      <c r="AZ9" s="3785">
        <f>+'Maj Techno Summ'!AW8</f>
        <v>97</v>
      </c>
      <c r="BA9" s="3291">
        <f>+'Maj Techno Summ'!AX8</f>
        <v>95.762411089730207</v>
      </c>
      <c r="BB9" s="3791">
        <f>+'Maj Techno Summ'!AY8</f>
        <v>97</v>
      </c>
      <c r="BC9" s="3792">
        <f>+'Maj Techno Summ'!AZ8</f>
        <v>95.119450318074115</v>
      </c>
      <c r="BD9" s="3795">
        <f>+'Maj Techno Summ'!BA8</f>
        <v>97</v>
      </c>
      <c r="BE9" s="3795">
        <f>+'Maj Techno Summ'!BB8</f>
        <v>96.375123705516785</v>
      </c>
      <c r="BF9" s="3796">
        <f>+'Maj Techno Summ'!BC8</f>
        <v>97</v>
      </c>
      <c r="BG9" s="3797">
        <f>+'Maj Techno Summ'!BD8</f>
        <v>96.487571330453349</v>
      </c>
      <c r="BH9" s="3785">
        <f>+'Maj Techno Summ'!BE8</f>
        <v>97</v>
      </c>
      <c r="BI9" s="3291">
        <f>+'Maj Techno Summ'!BF8</f>
        <v>95.710716378884698</v>
      </c>
    </row>
    <row r="10" spans="3:61" x14ac:dyDescent="0.25">
      <c r="C10" s="5833"/>
      <c r="D10" s="3798" t="s">
        <v>358</v>
      </c>
      <c r="E10" s="3788" t="s">
        <v>49</v>
      </c>
      <c r="F10" s="3789">
        <v>91.262623548364061</v>
      </c>
      <c r="G10" s="3790">
        <v>95.322290299597682</v>
      </c>
      <c r="H10" s="3791">
        <f>+'Maj Techno Summ'!E9</f>
        <v>95.322290299597682</v>
      </c>
      <c r="I10" s="3792">
        <f>+'Maj Techno Summ'!F9</f>
        <v>92.782623883203556</v>
      </c>
      <c r="J10" s="3791">
        <f>+'Maj Techno Summ'!G9</f>
        <v>95.322290299597682</v>
      </c>
      <c r="K10" s="3792">
        <f>+'Maj Techno Summ'!H9</f>
        <v>93.667281514284795</v>
      </c>
      <c r="L10" s="3785">
        <f>+'Maj Techno Summ'!I9</f>
        <v>95.322290299597682</v>
      </c>
      <c r="M10" s="3291">
        <f>+'Maj Techno Summ'!J9</f>
        <v>93.233099399768022</v>
      </c>
      <c r="N10" s="3791">
        <f>+'Maj Techno Summ'!K9</f>
        <v>95.322290299597682</v>
      </c>
      <c r="O10" s="3792">
        <f>+'Maj Techno Summ'!L9</f>
        <v>93.437618856972875</v>
      </c>
      <c r="P10" s="3793">
        <f>+'Maj Techno Summ'!M9</f>
        <v>95.322290299597682</v>
      </c>
      <c r="Q10" s="3794">
        <f>+'Maj Techno Summ'!N9</f>
        <v>93.300655293176519</v>
      </c>
      <c r="R10" s="3791">
        <f>+'Maj Techno Summ'!O9</f>
        <v>95.322290299597682</v>
      </c>
      <c r="S10" s="3792">
        <f>+'Maj Techno Summ'!P9</f>
        <v>93.966668191590372</v>
      </c>
      <c r="T10" s="3785">
        <f>+'Maj Techno Summ'!Q9</f>
        <v>95.322290299597682</v>
      </c>
      <c r="U10" s="3291">
        <f>+'Maj Techno Summ'!R9</f>
        <v>93.470286002129185</v>
      </c>
      <c r="V10" s="3791">
        <f>+'Maj Techno Summ'!S9</f>
        <v>95.322290299597682</v>
      </c>
      <c r="W10" s="3792">
        <f>+'Maj Techno Summ'!T9</f>
        <v>93.241945303495299</v>
      </c>
      <c r="X10" s="3785">
        <f>+'Maj Techno Summ'!U9</f>
        <v>95.322290299597682</v>
      </c>
      <c r="Y10" s="3291">
        <f>+'Maj Techno Summ'!V9</f>
        <v>93.423708694745685</v>
      </c>
      <c r="Z10" s="3791">
        <f>+'Maj Techno Summ'!W9</f>
        <v>95.322290299597682</v>
      </c>
      <c r="AA10" s="3792">
        <f>+'Maj Techno Summ'!X9</f>
        <v>93.2448303447526</v>
      </c>
      <c r="AB10" s="3795">
        <f>+'Maj Techno Summ'!Y9</f>
        <v>95.322290299597682</v>
      </c>
      <c r="AC10" s="3795">
        <f>+'Maj Techno Summ'!Z9</f>
        <v>93.485972730981359</v>
      </c>
      <c r="AD10" s="3796">
        <f>+'Maj Techno Summ'!AA9</f>
        <v>95.322290299597682</v>
      </c>
      <c r="AE10" s="3797">
        <f>+'Maj Techno Summ'!AB9</f>
        <v>93.394178549317672</v>
      </c>
      <c r="AF10" s="3791">
        <f>+'Maj Techno Summ'!AC9</f>
        <v>95.322290299597682</v>
      </c>
      <c r="AG10" s="3792">
        <f>+'Maj Techno Summ'!AD9</f>
        <v>95.3800883954206</v>
      </c>
      <c r="AH10" s="3785">
        <f>+'Maj Techno Summ'!AE9</f>
        <v>95.322290299597682</v>
      </c>
      <c r="AI10" s="3291">
        <f>+'Maj Techno Summ'!AF9</f>
        <v>93.690075353100966</v>
      </c>
      <c r="AJ10" s="3791">
        <f>+'Maj Techno Summ'!AG9</f>
        <v>95.322290299597682</v>
      </c>
      <c r="AK10" s="3792">
        <f>+'Maj Techno Summ'!AH9</f>
        <v>93.703754279502533</v>
      </c>
      <c r="AL10" s="3785">
        <f>+'Maj Techno Summ'!AI9</f>
        <v>95.322290299597682</v>
      </c>
      <c r="AM10" s="3291">
        <f>+'Maj Techno Summ'!AJ9</f>
        <v>93.691740110765394</v>
      </c>
      <c r="AN10" s="3791">
        <f>+'Maj Techno Summ'!AK9</f>
        <v>95.322290299597682</v>
      </c>
      <c r="AO10" s="3792">
        <f>+'Maj Techno Summ'!AL9</f>
        <v>95.31988359709247</v>
      </c>
      <c r="AP10" s="3795">
        <f>+'Maj Techno Summ'!AM9</f>
        <v>95.322290299597682</v>
      </c>
      <c r="AQ10" s="3795">
        <f>+'Maj Techno Summ'!AN9</f>
        <v>94.825575231487974</v>
      </c>
      <c r="AR10" s="3785">
        <f>+'Maj Techno Summ'!AO9</f>
        <v>95.322290299597682</v>
      </c>
      <c r="AS10" s="3291">
        <f>+'Maj Techno Summ'!AP9</f>
        <v>93.87827950492786</v>
      </c>
      <c r="AT10" s="3791">
        <f>+'Maj Techno Summ'!AQ9</f>
        <v>95.322290299597682</v>
      </c>
      <c r="AU10" s="3792">
        <f>+'Maj Techno Summ'!AR9</f>
        <v>95.241553208149213</v>
      </c>
      <c r="AV10" s="3785">
        <f>+'Maj Techno Summ'!AS9</f>
        <v>95.322290299597682</v>
      </c>
      <c r="AW10" s="3291">
        <f>+'Maj Techno Summ'!AT9</f>
        <v>94.016343304713217</v>
      </c>
      <c r="AX10" s="3791">
        <f>+'Maj Techno Summ'!AU9</f>
        <v>95.322290299597682</v>
      </c>
      <c r="AY10" s="3792">
        <f>+'Maj Techno Summ'!AV9</f>
        <v>94.560451266203287</v>
      </c>
      <c r="AZ10" s="3785">
        <f>+'Maj Techno Summ'!AW9</f>
        <v>95.322290299597682</v>
      </c>
      <c r="BA10" s="3291">
        <f>+'Maj Techno Summ'!AX9</f>
        <v>94.061241504840723</v>
      </c>
      <c r="BB10" s="3791">
        <f>+'Maj Techno Summ'!AY9</f>
        <v>95.322290299597682</v>
      </c>
      <c r="BC10" s="3792">
        <f>+'Maj Techno Summ'!AZ9</f>
        <v>92.748692203997848</v>
      </c>
      <c r="BD10" s="3795">
        <f>+'Maj Techno Summ'!BA9</f>
        <v>95.322290299597682</v>
      </c>
      <c r="BE10" s="3795">
        <f>+'Maj Techno Summ'!BB9</f>
        <v>94.19651634154765</v>
      </c>
      <c r="BF10" s="3796">
        <f>+'Maj Techno Summ'!BC9</f>
        <v>95.322290299597682</v>
      </c>
      <c r="BG10" s="3797">
        <f>+'Maj Techno Summ'!BD9</f>
        <v>94.520112104957136</v>
      </c>
      <c r="BH10" s="3785">
        <f>+'Maj Techno Summ'!BE9</f>
        <v>95.322290299597682</v>
      </c>
      <c r="BI10" s="3291">
        <f>+'Maj Techno Summ'!BF9</f>
        <v>93.955290902483881</v>
      </c>
    </row>
    <row r="11" spans="3:61" x14ac:dyDescent="0.25">
      <c r="C11" s="5833"/>
      <c r="D11" s="3798" t="s">
        <v>1446</v>
      </c>
      <c r="E11" s="3788" t="s">
        <v>49</v>
      </c>
      <c r="F11" s="3789">
        <v>23.372863219313984</v>
      </c>
      <c r="G11" s="3790">
        <v>25</v>
      </c>
      <c r="H11" s="3791">
        <f>+$G$11</f>
        <v>25</v>
      </c>
      <c r="I11" s="3792">
        <f>+'COKE OVENS'!F214</f>
        <v>24.618124940785474</v>
      </c>
      <c r="J11" s="3791">
        <f>+$G$11</f>
        <v>25</v>
      </c>
      <c r="K11" s="3792">
        <f>+'COKE OVENS'!H214</f>
        <v>24.706229924196233</v>
      </c>
      <c r="L11" s="3785">
        <f>+$G$11</f>
        <v>25</v>
      </c>
      <c r="M11" s="3291">
        <f>+'COKE OVENS'!J214</f>
        <v>24.662988780218317</v>
      </c>
      <c r="N11" s="3791">
        <f>+$G$11</f>
        <v>25</v>
      </c>
      <c r="O11" s="3792">
        <f>+'COKE OVENS'!L214</f>
        <v>24.694394282078864</v>
      </c>
      <c r="P11" s="3793">
        <f>+$G$11</f>
        <v>25</v>
      </c>
      <c r="Q11" s="3794">
        <f>+'COKE OVENS'!N214</f>
        <v>24.673362496074631</v>
      </c>
      <c r="R11" s="3791">
        <f>+$G$11</f>
        <v>25</v>
      </c>
      <c r="S11" s="3792">
        <f>+'COKE OVENS'!P214</f>
        <v>24.688884191570757</v>
      </c>
      <c r="T11" s="3785">
        <f>+$G$11</f>
        <v>25</v>
      </c>
      <c r="U11" s="3291">
        <f>+'COKE OVENS'!R214</f>
        <v>24.677315807215336</v>
      </c>
      <c r="V11" s="3791">
        <f>+$G$11</f>
        <v>25</v>
      </c>
      <c r="W11" s="3792">
        <f>+'COKE OVENS'!T214</f>
        <v>24.351610816827247</v>
      </c>
      <c r="X11" s="3785">
        <f>+$G$11</f>
        <v>25</v>
      </c>
      <c r="Y11" s="3291">
        <f>+'COKE OVENS'!V214</f>
        <v>24.610877973117386</v>
      </c>
      <c r="Z11" s="3791">
        <f>+$G$11</f>
        <v>25</v>
      </c>
      <c r="AA11" s="3792">
        <f>+'COKE OVENS'!X214</f>
        <v>24.350933606000623</v>
      </c>
      <c r="AB11" s="3795">
        <f>+$G$11</f>
        <v>25</v>
      </c>
      <c r="AC11" s="3795">
        <f>+'COKE OVENS'!Z214</f>
        <v>24.464516187443401</v>
      </c>
      <c r="AD11" s="3796">
        <f>+$G$11</f>
        <v>25</v>
      </c>
      <c r="AE11" s="3797">
        <f>+'COKE OVENS'!AB214</f>
        <v>24.567965038352245</v>
      </c>
      <c r="AF11" s="3791">
        <f>+$G$11</f>
        <v>25</v>
      </c>
      <c r="AG11" s="3792">
        <f>+'COKE OVENS'!AD214</f>
        <v>24.56010769469032</v>
      </c>
      <c r="AH11" s="3785">
        <f>+$G$11</f>
        <v>25</v>
      </c>
      <c r="AI11" s="3785">
        <f>+'COKE OVENS'!AF214</f>
        <v>24.566794309036229</v>
      </c>
      <c r="AJ11" s="3791">
        <f>+$G$11</f>
        <v>25</v>
      </c>
      <c r="AK11" s="3792">
        <f>+'COKE OVENS'!AH214</f>
        <v>23.967065220092543</v>
      </c>
      <c r="AL11" s="3785">
        <f>+$G$11</f>
        <v>25</v>
      </c>
      <c r="AM11" s="3785">
        <f>+'COKE OVENS'!AJ214</f>
        <v>24.493805861837519</v>
      </c>
      <c r="AN11" s="3791">
        <f>+$G$11</f>
        <v>25</v>
      </c>
      <c r="AO11" s="3792">
        <f>+'COKE OVENS'!AL214</f>
        <v>24.934341586641718</v>
      </c>
      <c r="AP11" s="3795">
        <f>+$G$11</f>
        <v>25</v>
      </c>
      <c r="AQ11" s="3795">
        <f>+'COKE OVENS'!AN214</f>
        <v>24.497929375823006</v>
      </c>
      <c r="AR11" s="3785">
        <f>+$G$11</f>
        <v>25</v>
      </c>
      <c r="AS11" s="3785">
        <f>+'COKE OVENS'!AP214</f>
        <v>24.544278850184064</v>
      </c>
      <c r="AT11" s="3791">
        <f>+$G$11</f>
        <v>25</v>
      </c>
      <c r="AU11" s="3792">
        <f>+'COKE OVENS'!AR214</f>
        <v>22.433432851471505</v>
      </c>
      <c r="AV11" s="3785">
        <f>+$G$11</f>
        <v>25</v>
      </c>
      <c r="AW11" s="3785">
        <f>+'COKE OVENS'!AT214</f>
        <v>24.330505622801077</v>
      </c>
      <c r="AX11" s="3791">
        <f>+$G$11</f>
        <v>25</v>
      </c>
      <c r="AY11" s="3792">
        <f>+'COKE OVENS'!AV214</f>
        <v>22.181134580994343</v>
      </c>
      <c r="AZ11" s="3785">
        <f>+$G$11</f>
        <v>25</v>
      </c>
      <c r="BA11" s="3785">
        <f>+'COKE OVENS'!AX214</f>
        <v>24.153145800829225</v>
      </c>
      <c r="BB11" s="3791">
        <f>+$G$11</f>
        <v>25</v>
      </c>
      <c r="BC11" s="3792">
        <f>+'COKE OVENS'!AZ214</f>
        <v>26.158140507970508</v>
      </c>
      <c r="BD11" s="3795">
        <f>+'COKE OVENS'!BA214</f>
        <v>25.350686327831198</v>
      </c>
      <c r="BE11" s="3795">
        <f>+'COKE OVENS'!BB214</f>
        <v>23.596786681081198</v>
      </c>
      <c r="BF11" s="3796">
        <f>+'COKE OVENS'!BC214</f>
        <v>25.350686435171081</v>
      </c>
      <c r="BG11" s="3797">
        <f>+'COKE OVENS'!BD214</f>
        <v>24.060345757837151</v>
      </c>
      <c r="BH11" s="3785">
        <f>+'COKE OVENS'!BE214</f>
        <v>25.18178162661707</v>
      </c>
      <c r="BI11" s="3291">
        <f>+'COKE OVENS'!BF214</f>
        <v>24.314991452499218</v>
      </c>
    </row>
    <row r="12" spans="3:61" ht="14.45" hidden="1" thickBot="1" x14ac:dyDescent="0.3">
      <c r="C12" s="5833"/>
      <c r="D12" s="3798" t="s">
        <v>1447</v>
      </c>
      <c r="E12" s="3788" t="s">
        <v>221</v>
      </c>
      <c r="F12" s="3789"/>
      <c r="G12" s="3799">
        <v>18.469687305965394</v>
      </c>
      <c r="H12" s="3800">
        <f>+'COKE OVENS'!E62</f>
        <v>0</v>
      </c>
      <c r="I12" s="3800">
        <f>+'COKE OVENS'!F62</f>
        <v>0</v>
      </c>
      <c r="J12" s="3800">
        <f>+'COKE OVENS'!G62</f>
        <v>0</v>
      </c>
      <c r="K12" s="3800">
        <f>+'COKE OVENS'!H62</f>
        <v>0</v>
      </c>
      <c r="L12" s="3801">
        <f>+'COKE OVENS'!I62</f>
        <v>0</v>
      </c>
      <c r="M12" s="3801">
        <f>+'COKE OVENS'!J62</f>
        <v>0</v>
      </c>
      <c r="N12" s="3800">
        <f>+'COKE OVENS'!K62</f>
        <v>0</v>
      </c>
      <c r="O12" s="3800">
        <f>+'COKE OVENS'!L62</f>
        <v>0</v>
      </c>
      <c r="P12" s="3802">
        <f>+'COKE OVENS'!M62</f>
        <v>0</v>
      </c>
      <c r="Q12" s="3802">
        <f>+'COKE OVENS'!N62</f>
        <v>0</v>
      </c>
      <c r="R12" s="3800">
        <f>+'COKE OVENS'!O62</f>
        <v>0</v>
      </c>
      <c r="S12" s="3800">
        <f>+'COKE OVENS'!P62</f>
        <v>0</v>
      </c>
      <c r="T12" s="3801">
        <f>+'COKE OVENS'!Q62</f>
        <v>0</v>
      </c>
      <c r="U12" s="3801">
        <f>+'COKE OVENS'!R62</f>
        <v>0</v>
      </c>
      <c r="V12" s="3800">
        <f>+'COKE OVENS'!S62</f>
        <v>0</v>
      </c>
      <c r="W12" s="3800">
        <f>+'COKE OVENS'!T62</f>
        <v>0</v>
      </c>
      <c r="X12" s="3801">
        <f>+'COKE OVENS'!U62</f>
        <v>0</v>
      </c>
      <c r="Y12" s="3801">
        <f>+'COKE OVENS'!V62</f>
        <v>0</v>
      </c>
      <c r="Z12" s="3800">
        <f>+'COKE OVENS'!W62</f>
        <v>0</v>
      </c>
      <c r="AA12" s="3800">
        <f>+'COKE OVENS'!X62</f>
        <v>0</v>
      </c>
      <c r="AB12" s="3803">
        <f>+'COKE OVENS'!Y62</f>
        <v>0</v>
      </c>
      <c r="AC12" s="3803">
        <f>+'COKE OVENS'!Z62</f>
        <v>0</v>
      </c>
      <c r="AD12" s="3796">
        <f>+'COKE OVENS'!AA62</f>
        <v>0</v>
      </c>
      <c r="AE12" s="3797">
        <f>+'COKE OVENS'!AB62</f>
        <v>0</v>
      </c>
      <c r="AF12" s="3800">
        <f>+'COKE OVENS'!AC62</f>
        <v>0</v>
      </c>
      <c r="AG12" s="3800">
        <f>+'COKE OVENS'!AD62</f>
        <v>0</v>
      </c>
      <c r="AH12" s="3801">
        <f>+'COKE OVENS'!AE62</f>
        <v>0</v>
      </c>
      <c r="AI12" s="3801">
        <f>+'COKE OVENS'!AF62</f>
        <v>0</v>
      </c>
      <c r="AJ12" s="3800">
        <f>+'COKE OVENS'!AG62</f>
        <v>0</v>
      </c>
      <c r="AK12" s="3800">
        <f>+'COKE OVENS'!AH62</f>
        <v>0</v>
      </c>
      <c r="AL12" s="3801">
        <f>+'COKE OVENS'!AI62</f>
        <v>0</v>
      </c>
      <c r="AM12" s="3801">
        <f>+'COKE OVENS'!AJ62</f>
        <v>0</v>
      </c>
      <c r="AN12" s="3800">
        <f>+'COKE OVENS'!AK62</f>
        <v>0</v>
      </c>
      <c r="AO12" s="3800">
        <f>+'COKE OVENS'!AL62</f>
        <v>0</v>
      </c>
      <c r="AP12" s="3803">
        <f>+'COKE OVENS'!AM62</f>
        <v>0</v>
      </c>
      <c r="AQ12" s="3803">
        <f>+'COKE OVENS'!AN62</f>
        <v>0</v>
      </c>
      <c r="AR12" s="3801">
        <f>+'COKE OVENS'!AO62</f>
        <v>0</v>
      </c>
      <c r="AS12" s="3801">
        <f>+'COKE OVENS'!AP62</f>
        <v>0</v>
      </c>
      <c r="AT12" s="3800">
        <f>+'COKE OVENS'!AQ62</f>
        <v>0</v>
      </c>
      <c r="AU12" s="3800">
        <f>+'COKE OVENS'!AR62</f>
        <v>0</v>
      </c>
      <c r="AV12" s="3801">
        <f>+'COKE OVENS'!AS62</f>
        <v>0</v>
      </c>
      <c r="AW12" s="3801">
        <f>+'COKE OVENS'!AT62</f>
        <v>0</v>
      </c>
      <c r="AX12" s="3800">
        <f>+'COKE OVENS'!AU62</f>
        <v>0</v>
      </c>
      <c r="AY12" s="3800">
        <f>+'COKE OVENS'!AV62</f>
        <v>0</v>
      </c>
      <c r="AZ12" s="3801">
        <f>+'COKE OVENS'!AW62</f>
        <v>0</v>
      </c>
      <c r="BA12" s="3801">
        <f>+'COKE OVENS'!AX62</f>
        <v>0</v>
      </c>
      <c r="BB12" s="3800">
        <f>+'COKE OVENS'!AY62</f>
        <v>0</v>
      </c>
      <c r="BC12" s="3800">
        <f>+'COKE OVENS'!AZ62</f>
        <v>0</v>
      </c>
      <c r="BD12" s="3804">
        <f>+'COKE OVENS'!BA62</f>
        <v>0</v>
      </c>
      <c r="BE12" s="3804">
        <f>+'COKE OVENS'!BB62</f>
        <v>0</v>
      </c>
      <c r="BF12" s="3805">
        <f>+'COKE OVENS'!BC62</f>
        <v>0</v>
      </c>
      <c r="BG12" s="3806">
        <f>+'COKE OVENS'!BD62</f>
        <v>0</v>
      </c>
      <c r="BH12" s="3801">
        <f>+'COKE OVENS'!BE62</f>
        <v>0</v>
      </c>
      <c r="BI12" s="3292">
        <f>+'COKE OVENS'!BF62</f>
        <v>0</v>
      </c>
    </row>
    <row r="13" spans="3:61" x14ac:dyDescent="0.25">
      <c r="C13" s="5833"/>
      <c r="D13" s="3807"/>
      <c r="L13" s="3808"/>
      <c r="M13" s="3808"/>
      <c r="R13" s="4"/>
      <c r="AE13" s="3809"/>
      <c r="BG13" s="3809"/>
      <c r="BI13" s="3809"/>
    </row>
    <row r="14" spans="3:61" x14ac:dyDescent="0.25">
      <c r="C14" s="5833"/>
      <c r="D14" s="3810" t="s">
        <v>1051</v>
      </c>
      <c r="L14" s="3808"/>
      <c r="M14" s="3808"/>
      <c r="R14" s="4"/>
      <c r="AE14" s="3809"/>
      <c r="BG14" s="3809"/>
      <c r="BI14" s="3809"/>
    </row>
    <row r="15" spans="3:61" x14ac:dyDescent="0.25">
      <c r="C15" s="5833"/>
      <c r="D15" s="3811" t="s">
        <v>1446</v>
      </c>
      <c r="E15" s="3788" t="s">
        <v>49</v>
      </c>
      <c r="F15" s="3812">
        <v>23.078854449800236</v>
      </c>
      <c r="G15" s="3813">
        <v>25</v>
      </c>
      <c r="H15" s="3784">
        <f>+$G$15</f>
        <v>25</v>
      </c>
      <c r="I15" s="3311">
        <f>+'COKE OVENS'!F148</f>
        <v>25.999956452631356</v>
      </c>
      <c r="J15" s="3784">
        <f>+$G$15</f>
        <v>25</v>
      </c>
      <c r="K15" s="3311">
        <f>+'COKE OVENS'!H148</f>
        <v>26.000017485115794</v>
      </c>
      <c r="L15" s="3785">
        <f>+$G$15</f>
        <v>25</v>
      </c>
      <c r="M15" s="3291">
        <f>+'COKE OVENS'!J148</f>
        <v>25.999987533825632</v>
      </c>
      <c r="N15" s="3784">
        <f>+$G$15</f>
        <v>25</v>
      </c>
      <c r="O15" s="3311">
        <f>+'COKE OVENS'!L148</f>
        <v>26</v>
      </c>
      <c r="P15" s="3793">
        <f>+$G$15</f>
        <v>25</v>
      </c>
      <c r="Q15" s="3794">
        <f>+'COKE OVENS'!N148</f>
        <v>25.99999160539102</v>
      </c>
      <c r="R15" s="3784">
        <f>+$G$15</f>
        <v>25</v>
      </c>
      <c r="S15" s="3311">
        <f>+'COKE OVENS'!P148</f>
        <v>25.999997039999883</v>
      </c>
      <c r="T15" s="3785">
        <f>+$G$15</f>
        <v>25</v>
      </c>
      <c r="U15" s="3291">
        <f>+'COKE OVENS'!R148</f>
        <v>25.999992969808378</v>
      </c>
      <c r="V15" s="3784">
        <f>+$G$15</f>
        <v>25</v>
      </c>
      <c r="W15" s="3311">
        <f>+'COKE OVENS'!T148</f>
        <v>24.999999999999996</v>
      </c>
      <c r="X15" s="3785">
        <f>+$G$15</f>
        <v>25</v>
      </c>
      <c r="Y15" s="3291">
        <f>+'COKE OVENS'!V148</f>
        <v>25.795001230137661</v>
      </c>
      <c r="Z15" s="3784">
        <f>+$G$15</f>
        <v>25</v>
      </c>
      <c r="AA15" s="3311">
        <f>+'COKE OVENS'!X148</f>
        <v>24.999722498973249</v>
      </c>
      <c r="AB15" s="3793">
        <f>+$G$15</f>
        <v>25</v>
      </c>
      <c r="AC15" s="3793">
        <f>+'COKE OVENS'!Z148</f>
        <v>25.330928705796545</v>
      </c>
      <c r="AD15" s="3796">
        <f>+$G$15</f>
        <v>25</v>
      </c>
      <c r="AE15" s="3797">
        <f>+'COKE OVENS'!AB148</f>
        <v>25.663350803916462</v>
      </c>
      <c r="AF15" s="3784">
        <f>+$G$15</f>
        <v>25</v>
      </c>
      <c r="AG15" s="3311">
        <f>+'COKE OVENS'!AD148</f>
        <v>25.999304831421622</v>
      </c>
      <c r="AH15" s="3785">
        <f>+$G$15</f>
        <v>25</v>
      </c>
      <c r="AI15" s="3785">
        <f>+'COKE OVENS'!AF148</f>
        <v>25.712513070942826</v>
      </c>
      <c r="AJ15" s="3784">
        <f>+$G$15</f>
        <v>25</v>
      </c>
      <c r="AK15" s="3311">
        <f>+'COKE OVENS'!AH148</f>
        <v>24.269985280943214</v>
      </c>
      <c r="AL15" s="3785">
        <f>+$G$15</f>
        <v>25</v>
      </c>
      <c r="AM15" s="3785">
        <f>+'COKE OVENS'!AJ148</f>
        <v>25.539837771213712</v>
      </c>
      <c r="AN15" s="3784">
        <f>+$G$15</f>
        <v>25</v>
      </c>
      <c r="AO15" s="3311">
        <f>+'COKE OVENS'!AL148</f>
        <v>25.999944268542031</v>
      </c>
      <c r="AP15" s="3793">
        <f>+$G$15</f>
        <v>25</v>
      </c>
      <c r="AQ15" s="3793">
        <f>+'COKE OVENS'!AN148</f>
        <v>25.450538306665877</v>
      </c>
      <c r="AR15" s="3785">
        <f>+$G$15</f>
        <v>25</v>
      </c>
      <c r="AS15" s="3785">
        <f>+'COKE OVENS'!AP148</f>
        <v>25.592246025322357</v>
      </c>
      <c r="AT15" s="3784">
        <f>+$G$15</f>
        <v>25</v>
      </c>
      <c r="AU15" s="3311">
        <f>+'COKE OVENS'!AR148</f>
        <v>21.032181433761423</v>
      </c>
      <c r="AV15" s="3785">
        <f>+$G$15</f>
        <v>25</v>
      </c>
      <c r="AW15" s="3785">
        <f>+'COKE OVENS'!AT148</f>
        <v>25.125947205246842</v>
      </c>
      <c r="AX15" s="3784">
        <f>+$G$15</f>
        <v>25</v>
      </c>
      <c r="AY15" s="3311">
        <f>+'COKE OVENS'!AV148</f>
        <v>23.35820895522388</v>
      </c>
      <c r="AZ15" s="3785">
        <f>+$G$15</f>
        <v>25</v>
      </c>
      <c r="BA15" s="3785">
        <f>+'COKE OVENS'!AX148</f>
        <v>24.982799749325434</v>
      </c>
      <c r="BB15" s="3784">
        <f>+$G$15</f>
        <v>25</v>
      </c>
      <c r="BC15" s="3311">
        <f>+'COKE OVENS'!AZ148</f>
        <v>25.616428883375686</v>
      </c>
      <c r="BD15" s="3795">
        <f>+'COKE OVENS'!BA148</f>
        <v>26.014421037749187</v>
      </c>
      <c r="BE15" s="3795">
        <f>+'COKE OVENS'!BB148</f>
        <v>23.287254437095708</v>
      </c>
      <c r="BF15" s="3796">
        <f>+'COKE OVENS'!BC148</f>
        <v>26.014421356377937</v>
      </c>
      <c r="BG15" s="3797">
        <f>+'COKE OVENS'!BD148</f>
        <v>24.393351787014954</v>
      </c>
      <c r="BH15" s="3785">
        <f>+'COKE OVENS'!BE148</f>
        <v>25.516784424781353</v>
      </c>
      <c r="BI15" s="3291">
        <f>+'COKE OVENS'!BF148</f>
        <v>25.034327294622639</v>
      </c>
    </row>
    <row r="16" spans="3:61" x14ac:dyDescent="0.25">
      <c r="C16" s="5833"/>
      <c r="D16" s="3811" t="s">
        <v>1447</v>
      </c>
      <c r="E16" s="3788" t="s">
        <v>221</v>
      </c>
      <c r="F16" s="3446"/>
      <c r="G16" s="3799">
        <v>18.960953126358817</v>
      </c>
      <c r="H16" s="3800">
        <f>+'COKE OVENS'!E60</f>
        <v>19.102040816326529</v>
      </c>
      <c r="I16" s="3800">
        <f>+'COKE OVENS'!F60</f>
        <v>19.066666666666666</v>
      </c>
      <c r="J16" s="3800">
        <f>+'COKE OVENS'!G60</f>
        <v>19.102040816326529</v>
      </c>
      <c r="K16" s="3800">
        <f>+'COKE OVENS'!H60</f>
        <v>19.016666666666666</v>
      </c>
      <c r="L16" s="3801">
        <f>+'COKE OVENS'!I60</f>
        <v>19.102040816326532</v>
      </c>
      <c r="M16" s="3801">
        <f>+'COKE OVENS'!J60</f>
        <v>19.04120385953102</v>
      </c>
      <c r="N16" s="3800">
        <f>+'COKE OVENS'!K60</f>
        <v>18.893617021276597</v>
      </c>
      <c r="O16" s="3800">
        <f>+'COKE OVENS'!L60</f>
        <v>18.866666666666667</v>
      </c>
      <c r="P16" s="3802">
        <f>+'COKE OVENS'!M60</f>
        <v>19.035235280745624</v>
      </c>
      <c r="Q16" s="3802">
        <f>+'COKE OVENS'!N60</f>
        <v>18.984198398307644</v>
      </c>
      <c r="R16" s="3800">
        <f>+'COKE OVENS'!O60</f>
        <v>18.893617021276597</v>
      </c>
      <c r="S16" s="3800">
        <f>+'COKE OVENS'!P60</f>
        <v>18.616666666666667</v>
      </c>
      <c r="T16" s="3801">
        <f>+'COKE OVENS'!Q60</f>
        <v>19</v>
      </c>
      <c r="U16" s="3801">
        <f>+'COKE OVENS'!R60</f>
        <v>18.891925536128557</v>
      </c>
      <c r="V16" s="3800">
        <f>+'COKE OVENS'!S60</f>
        <v>18.893617021276597</v>
      </c>
      <c r="W16" s="3800">
        <f>+'COKE OVENS'!T60</f>
        <v>18.883333333333333</v>
      </c>
      <c r="X16" s="3801">
        <f>+'COKE OVENS'!U60</f>
        <v>18.978804868043209</v>
      </c>
      <c r="Y16" s="3801">
        <f>+'COKE OVENS'!V60</f>
        <v>18.890164192532609</v>
      </c>
      <c r="Z16" s="3800">
        <f>+'COKE OVENS'!W60</f>
        <v>19.283387622149839</v>
      </c>
      <c r="AA16" s="3800">
        <f>+'COKE OVENS'!X60</f>
        <v>19</v>
      </c>
      <c r="AB16" s="3793">
        <f>+'COKE OVENS'!Y60</f>
        <v>19.018973344197416</v>
      </c>
      <c r="AC16" s="3793">
        <f>+'COKE OVENS'!Z60</f>
        <v>18.833445240226801</v>
      </c>
      <c r="AD16" s="3796">
        <f>+'COKE OVENS'!AA60</f>
        <v>19.0272011041463</v>
      </c>
      <c r="AE16" s="3797">
        <f>+'COKE OVENS'!AB60</f>
        <v>18.908346471471475</v>
      </c>
      <c r="AF16" s="3800">
        <f>+'COKE OVENS'!AC60</f>
        <v>19</v>
      </c>
      <c r="AG16" s="3800">
        <f>+'COKE OVENS'!AD60</f>
        <v>18.933333333333334</v>
      </c>
      <c r="AH16" s="3801">
        <f>+'COKE OVENS'!AE60</f>
        <v>19.023226123250677</v>
      </c>
      <c r="AI16" s="3801">
        <f>+'COKE OVENS'!AF60</f>
        <v>18.911996345802486</v>
      </c>
      <c r="AJ16" s="3800">
        <f>+'COKE OVENS'!AG60</f>
        <v>19</v>
      </c>
      <c r="AK16" s="3800">
        <f>+'COKE OVENS'!AH60</f>
        <v>19.666666666666668</v>
      </c>
      <c r="AL16" s="3801">
        <f>+'COKE OVENS'!AI60</f>
        <v>19.020348462034846</v>
      </c>
      <c r="AM16" s="3801">
        <f>+'COKE OVENS'!AJ60</f>
        <v>19.002357472383292</v>
      </c>
      <c r="AN16" s="3800">
        <f>+'COKE OVENS'!AK60</f>
        <v>19</v>
      </c>
      <c r="AO16" s="3800">
        <f>+'COKE OVENS'!AL60</f>
        <v>19</v>
      </c>
      <c r="AP16" s="3793">
        <f>+'COKE OVENS'!AM60</f>
        <v>19</v>
      </c>
      <c r="AQ16" s="3793">
        <f>+'COKE OVENS'!AN60</f>
        <v>19.189047351675089</v>
      </c>
      <c r="AR16" s="3801">
        <f>+'COKE OVENS'!AO60</f>
        <v>19.018038976392969</v>
      </c>
      <c r="AS16" s="3801">
        <f>+'COKE OVENS'!AP60</f>
        <v>19.002088880555036</v>
      </c>
      <c r="AT16" s="3800">
        <f>+'COKE OVENS'!AQ60</f>
        <v>19</v>
      </c>
      <c r="AU16" s="3800">
        <f>+'COKE OVENS'!AR60</f>
        <v>18.933333333333334</v>
      </c>
      <c r="AV16" s="3801">
        <f>+'COKE OVENS'!AS60</f>
        <v>19.01620029455081</v>
      </c>
      <c r="AW16" s="3801">
        <f>+'COKE OVENS'!AT60</f>
        <v>18.995056616054498</v>
      </c>
      <c r="AX16" s="3800">
        <f>+'COKE OVENS'!AU60</f>
        <v>19</v>
      </c>
      <c r="AY16" s="3800">
        <f>+'COKE OVENS'!AV60</f>
        <v>19.033333333333335</v>
      </c>
      <c r="AZ16" s="3801">
        <f>+'COKE OVENS'!AW60</f>
        <v>19.014834561706131</v>
      </c>
      <c r="BA16" s="3801">
        <f>+'COKE OVENS'!AX60</f>
        <v>18.9982839057073</v>
      </c>
      <c r="BB16" s="3800">
        <f>+'COKE OVENS'!AY60</f>
        <v>19</v>
      </c>
      <c r="BC16" s="3800">
        <f>+'COKE OVENS'!AZ60</f>
        <v>18.966666666666665</v>
      </c>
      <c r="BD16" s="3804">
        <f>+'COKE OVENS'!BA60</f>
        <v>19</v>
      </c>
      <c r="BE16" s="3804">
        <f>+'COKE OVENS'!BB60</f>
        <v>18.975867287103242</v>
      </c>
      <c r="BF16" s="3805">
        <f>+'COKE OVENS'!BC60</f>
        <v>19</v>
      </c>
      <c r="BG16" s="3806">
        <f>+'COKE OVENS'!BD60</f>
        <v>19.083022879506288</v>
      </c>
      <c r="BH16" s="3801">
        <f>+'COKE OVENS'!BE60</f>
        <v>19.013568170735201</v>
      </c>
      <c r="BI16" s="3292">
        <f>+'COKE OVENS'!BF60</f>
        <v>18.995576352087795</v>
      </c>
    </row>
    <row r="17" spans="3:61" x14ac:dyDescent="0.25">
      <c r="C17" s="5833"/>
      <c r="D17" s="3811" t="s">
        <v>1052</v>
      </c>
      <c r="E17" s="3788" t="s">
        <v>49</v>
      </c>
      <c r="F17" s="3789">
        <v>84.340172124348669</v>
      </c>
      <c r="G17" s="3799" t="str">
        <f>+[1]CO!O159</f>
        <v>85.0-86.5</v>
      </c>
      <c r="H17" s="3791" t="s">
        <v>2204</v>
      </c>
      <c r="I17" s="3792">
        <f>+'COKE OVENS'!F158</f>
        <v>86.12</v>
      </c>
      <c r="J17" s="3791" t="s">
        <v>2204</v>
      </c>
      <c r="K17" s="3792">
        <f>+'COKE OVENS'!H158</f>
        <v>86.48</v>
      </c>
      <c r="L17" s="3785" t="s">
        <v>2204</v>
      </c>
      <c r="M17" s="3291">
        <f>+'COKE OVENS'!J158</f>
        <v>86.303332211376642</v>
      </c>
      <c r="N17" s="3791" t="s">
        <v>2204</v>
      </c>
      <c r="O17" s="3792">
        <f>+'COKE OVENS'!L158</f>
        <v>86.8</v>
      </c>
      <c r="P17" s="3793" t="str">
        <f>+'COKE OVENS'!M158</f>
        <v>85.0-86.5</v>
      </c>
      <c r="Q17" s="3794">
        <f>+'COKE OVENS'!N158</f>
        <v>86.465548504079777</v>
      </c>
      <c r="R17" s="3791" t="s">
        <v>2204</v>
      </c>
      <c r="S17" s="3792">
        <f>+'COKE OVENS'!P158</f>
        <v>86.6</v>
      </c>
      <c r="T17" s="3785" t="str">
        <f>+'COKE OVENS'!Q158</f>
        <v>85.0-86.5</v>
      </c>
      <c r="U17" s="3291">
        <f>+'COKE OVENS'!R158</f>
        <v>86.499304023086054</v>
      </c>
      <c r="V17" s="3791" t="s">
        <v>2204</v>
      </c>
      <c r="W17" s="3792">
        <f>+'COKE OVENS'!T158</f>
        <v>86.4</v>
      </c>
      <c r="X17" s="3785" t="str">
        <f>+'COKE OVENS'!U158</f>
        <v>85.0-86.5</v>
      </c>
      <c r="Y17" s="3291">
        <f>+'COKE OVENS'!V158</f>
        <v>86.478947368421046</v>
      </c>
      <c r="Z17" s="3791" t="s">
        <v>2204</v>
      </c>
      <c r="AA17" s="3792">
        <f>+'COKE OVENS'!X158</f>
        <v>86.2</v>
      </c>
      <c r="AB17" s="3793" t="str">
        <f>+'COKE OVENS'!Y158</f>
        <v>85.0-86.5</v>
      </c>
      <c r="AC17" s="3793">
        <f>+'COKE OVENS'!Z158</f>
        <v>86.400402864816485</v>
      </c>
      <c r="AD17" s="3796" t="str">
        <f>+'COKE OVENS'!AA158</f>
        <v>85.0-86.5</v>
      </c>
      <c r="AE17" s="3797">
        <f>+'COKE OVENS'!AB158</f>
        <v>86.432770270270268</v>
      </c>
      <c r="AF17" s="3791" t="s">
        <v>1733</v>
      </c>
      <c r="AG17" s="3792">
        <f>+'COKE OVENS'!AD158</f>
        <v>86.86</v>
      </c>
      <c r="AH17" s="3785" t="str">
        <f>+'COKE OVENS'!AE158</f>
        <v>85.0-86.5</v>
      </c>
      <c r="AI17" s="3291">
        <f>+'COKE OVENS'!AF158</f>
        <v>86.49555701653253</v>
      </c>
      <c r="AJ17" s="3791" t="s">
        <v>1733</v>
      </c>
      <c r="AK17" s="3792">
        <f>+'COKE OVENS'!AH158</f>
        <v>86.55</v>
      </c>
      <c r="AL17" s="3785" t="str">
        <f>+'COKE OVENS'!AI158</f>
        <v>85.0-86.5</v>
      </c>
      <c r="AM17" s="3291">
        <f>+'COKE OVENS'!AJ158</f>
        <v>86.502109911713433</v>
      </c>
      <c r="AN17" s="3791" t="s">
        <v>1733</v>
      </c>
      <c r="AO17" s="3792">
        <f>+'COKE OVENS'!AL158</f>
        <v>86.5</v>
      </c>
      <c r="AP17" s="3793" t="str">
        <f>+'COKE OVENS'!AM158</f>
        <v>85.0-86.5</v>
      </c>
      <c r="AQ17" s="3793">
        <f>+'COKE OVENS'!AN158</f>
        <v>86.639034849664029</v>
      </c>
      <c r="AR17" s="3785" t="str">
        <f>+'COKE OVENS'!AO158</f>
        <v>85.0-86.5</v>
      </c>
      <c r="AS17" s="3291">
        <f>+'COKE OVENS'!AP158</f>
        <v>86.501869868339654</v>
      </c>
      <c r="AT17" s="3791" t="s">
        <v>1733</v>
      </c>
      <c r="AU17" s="3792">
        <f>+'COKE OVENS'!AR158</f>
        <v>86.4</v>
      </c>
      <c r="AV17" s="3785" t="str">
        <f>+'COKE OVENS'!AS158</f>
        <v>85.0-86.5</v>
      </c>
      <c r="AW17" s="3291">
        <f>+'COKE OVENS'!AT158</f>
        <v>86.491386056000735</v>
      </c>
      <c r="AX17" s="3791" t="s">
        <v>1733</v>
      </c>
      <c r="AY17" s="3792">
        <f>+'COKE OVENS'!AV158</f>
        <v>86.45</v>
      </c>
      <c r="AZ17" s="3785" t="str">
        <f>+'COKE OVENS'!AW158</f>
        <v>85.0-86.5</v>
      </c>
      <c r="BA17" s="3291">
        <f>+'COKE OVENS'!AX158</f>
        <v>86.487881112998394</v>
      </c>
      <c r="BB17" s="3791" t="s">
        <v>1733</v>
      </c>
      <c r="BC17" s="3792">
        <f>+'COKE OVENS'!AZ158</f>
        <v>86.43</v>
      </c>
      <c r="BD17" s="3795" t="str">
        <f>+'COKE OVENS'!BA158</f>
        <v>85.0-86.5</v>
      </c>
      <c r="BE17" s="3795">
        <f>+'COKE OVENS'!BB158</f>
        <v>86.425852249134721</v>
      </c>
      <c r="BF17" s="3796" t="str">
        <f>+'COKE OVENS'!BC158</f>
        <v>85.0-86.5</v>
      </c>
      <c r="BG17" s="3797">
        <f>+'COKE OVENS'!BD158</f>
        <v>86.532855538033445</v>
      </c>
      <c r="BH17" s="3785" t="str">
        <f>+'COKE OVENS'!BE158</f>
        <v>85.0-86.5</v>
      </c>
      <c r="BI17" s="3291">
        <f>+'COKE OVENS'!BF158</f>
        <v>86.482904331344912</v>
      </c>
    </row>
    <row r="18" spans="3:61" x14ac:dyDescent="0.25">
      <c r="C18" s="5833"/>
      <c r="D18" s="3811" t="s">
        <v>205</v>
      </c>
      <c r="E18" s="3788" t="s">
        <v>49</v>
      </c>
      <c r="F18" s="3789">
        <v>7.9983421553617724</v>
      </c>
      <c r="G18" s="3790" t="s">
        <v>2205</v>
      </c>
      <c r="H18" s="3791" t="s">
        <v>2205</v>
      </c>
      <c r="I18" s="3792">
        <f>+'COKE OVENS'!F159</f>
        <v>7.74</v>
      </c>
      <c r="J18" s="3791" t="s">
        <v>2205</v>
      </c>
      <c r="K18" s="3792">
        <f>+'COKE OVENS'!H159</f>
        <v>7.64</v>
      </c>
      <c r="L18" s="3785" t="s">
        <v>2205</v>
      </c>
      <c r="M18" s="3291">
        <f>+'COKE OVENS'!J159</f>
        <v>7.68907438572871</v>
      </c>
      <c r="N18" s="3791" t="s">
        <v>2205</v>
      </c>
      <c r="O18" s="3792">
        <f>+'COKE OVENS'!L159</f>
        <v>7.7</v>
      </c>
      <c r="P18" s="3793" t="str">
        <f>+'COKE OVENS'!M159</f>
        <v>7.5-8.0</v>
      </c>
      <c r="Q18" s="3794">
        <f>+'COKE OVENS'!N159</f>
        <v>7.6926427923844054</v>
      </c>
      <c r="R18" s="3791" t="s">
        <v>2205</v>
      </c>
      <c r="S18" s="3792">
        <f>+'COKE OVENS'!P159</f>
        <v>7.8</v>
      </c>
      <c r="T18" s="3785" t="str">
        <f>+'COKE OVENS'!Q159</f>
        <v>7.5-8.0</v>
      </c>
      <c r="U18" s="3291">
        <f>+'COKE OVENS'!R159</f>
        <v>7.7195959938889835</v>
      </c>
      <c r="V18" s="3791" t="s">
        <v>2205</v>
      </c>
      <c r="W18" s="3792">
        <f>+'COKE OVENS'!T159</f>
        <v>7.9</v>
      </c>
      <c r="X18" s="3785" t="str">
        <f>+'COKE OVENS'!U159</f>
        <v>7.5-8.0</v>
      </c>
      <c r="Y18" s="3291">
        <f>+'COKE OVENS'!V159</f>
        <v>7.7565775978407565</v>
      </c>
      <c r="Z18" s="3791" t="s">
        <v>2205</v>
      </c>
      <c r="AA18" s="3792">
        <f>+'COKE OVENS'!X159</f>
        <v>7.9</v>
      </c>
      <c r="AB18" s="3793" t="str">
        <f>+'COKE OVENS'!Y159</f>
        <v>7.5-8.0</v>
      </c>
      <c r="AC18" s="3793">
        <f>+'COKE OVENS'!Z159</f>
        <v>7.8668979409131605</v>
      </c>
      <c r="AD18" s="3796" t="str">
        <f>+'COKE OVENS'!AA159</f>
        <v>7.5-8.0</v>
      </c>
      <c r="AE18" s="3797">
        <f>+'COKE OVENS'!AB159</f>
        <v>7.7803198198198196</v>
      </c>
      <c r="AF18" s="3791" t="s">
        <v>1734</v>
      </c>
      <c r="AG18" s="3792">
        <f>+'COKE OVENS'!AD159</f>
        <v>7.73</v>
      </c>
      <c r="AH18" s="3785" t="str">
        <f>+'COKE OVENS'!AE159</f>
        <v>7.5-8.0</v>
      </c>
      <c r="AI18" s="3291">
        <f>+'COKE OVENS'!AF159</f>
        <v>7.7729246936403085</v>
      </c>
      <c r="AJ18" s="3791" t="s">
        <v>1734</v>
      </c>
      <c r="AK18" s="3792">
        <f>+'COKE OVENS'!AH159</f>
        <v>7.85</v>
      </c>
      <c r="AL18" s="3785" t="str">
        <f>+'COKE OVENS'!AI159</f>
        <v>7.5-8.0</v>
      </c>
      <c r="AM18" s="3291">
        <f>+'COKE OVENS'!AJ159</f>
        <v>7.7822016724435148</v>
      </c>
      <c r="AN18" s="3791" t="s">
        <v>1734</v>
      </c>
      <c r="AO18" s="3792">
        <f>+'COKE OVENS'!AL159</f>
        <v>7.73</v>
      </c>
      <c r="AP18" s="3793" t="str">
        <f>+'COKE OVENS'!AM159</f>
        <v>7.5-8.0</v>
      </c>
      <c r="AQ18" s="3793">
        <f>+'COKE OVENS'!AN159</f>
        <v>7.7682092426953133</v>
      </c>
      <c r="AR18" s="3785" t="str">
        <f>+'COKE OVENS'!AO159</f>
        <v>7.5-8.0</v>
      </c>
      <c r="AS18" s="3291">
        <f>+'COKE OVENS'!AP159</f>
        <v>7.7762627198846221</v>
      </c>
      <c r="AT18" s="3791" t="s">
        <v>1734</v>
      </c>
      <c r="AU18" s="3792">
        <f>+'COKE OVENS'!AR159</f>
        <v>7.73</v>
      </c>
      <c r="AV18" s="3785" t="str">
        <f>+'COKE OVENS'!AS159</f>
        <v>7.5-8.0</v>
      </c>
      <c r="AW18" s="3291">
        <f>+'COKE OVENS'!AT159</f>
        <v>7.7715016489078561</v>
      </c>
      <c r="AX18" s="3791" t="s">
        <v>1734</v>
      </c>
      <c r="AY18" s="3792">
        <f>+'COKE OVENS'!AV159</f>
        <v>7.76</v>
      </c>
      <c r="AZ18" s="3785" t="str">
        <f>+'COKE OVENS'!AW159</f>
        <v>7.5-8.0</v>
      </c>
      <c r="BA18" s="3291">
        <f>+'COKE OVENS'!AX159</f>
        <v>7.770527585956458</v>
      </c>
      <c r="BB18" s="3791" t="s">
        <v>1734</v>
      </c>
      <c r="BC18" s="3792">
        <f>+'COKE OVENS'!AZ159</f>
        <v>7.81</v>
      </c>
      <c r="BD18" s="3795" t="str">
        <f>+'COKE OVENS'!BA159</f>
        <v>7.5-8.0</v>
      </c>
      <c r="BE18" s="3795">
        <f>+'COKE OVENS'!BB159</f>
        <v>7.7668787909570511</v>
      </c>
      <c r="BF18" s="3796" t="str">
        <f>+'COKE OVENS'!BC159</f>
        <v>7.5-8.0</v>
      </c>
      <c r="BG18" s="3797">
        <f>+'COKE OVENS'!BD159</f>
        <v>7.7675465880069119</v>
      </c>
      <c r="BH18" s="3785" t="str">
        <f>+'COKE OVENS'!BE159</f>
        <v>7.5-8.0</v>
      </c>
      <c r="BI18" s="3291">
        <f>+'COKE OVENS'!BF159</f>
        <v>7.7739215356553188</v>
      </c>
    </row>
    <row r="19" spans="3:61" x14ac:dyDescent="0.25">
      <c r="C19" s="5833"/>
      <c r="D19" s="3811" t="s">
        <v>1053</v>
      </c>
      <c r="E19" s="3788" t="s">
        <v>49</v>
      </c>
      <c r="F19" s="3789">
        <v>64.448248492385474</v>
      </c>
      <c r="G19" s="3790" t="s">
        <v>2206</v>
      </c>
      <c r="H19" s="3791" t="s">
        <v>2206</v>
      </c>
      <c r="I19" s="3792">
        <f>+'COKE OVENS'!F160</f>
        <v>65.14</v>
      </c>
      <c r="J19" s="3791" t="s">
        <v>2206</v>
      </c>
      <c r="K19" s="3792">
        <f>+'COKE OVENS'!H160</f>
        <v>65.19</v>
      </c>
      <c r="L19" s="3785" t="s">
        <v>2206</v>
      </c>
      <c r="M19" s="3291">
        <f>+'COKE OVENS'!J160</f>
        <v>65.165462807135626</v>
      </c>
      <c r="N19" s="3791" t="s">
        <v>2206</v>
      </c>
      <c r="O19" s="3792">
        <f>+'COKE OVENS'!L160</f>
        <v>65.099999999999994</v>
      </c>
      <c r="P19" s="3793" t="str">
        <f>+'COKE OVENS'!M160</f>
        <v>64.0-65.5</v>
      </c>
      <c r="Q19" s="3794">
        <f>+'COKE OVENS'!N160</f>
        <v>65.144082048957372</v>
      </c>
      <c r="R19" s="3791" t="s">
        <v>2206</v>
      </c>
      <c r="S19" s="3792">
        <f>+'COKE OVENS'!P160</f>
        <v>65.7</v>
      </c>
      <c r="T19" s="3785" t="str">
        <f>+'COKE OVENS'!Q160</f>
        <v>64.0-65.5</v>
      </c>
      <c r="U19" s="3291">
        <f>+'COKE OVENS'!R160</f>
        <v>65.283651332541154</v>
      </c>
      <c r="V19" s="3791" t="s">
        <v>2206</v>
      </c>
      <c r="W19" s="3792">
        <f>+'COKE OVENS'!T160</f>
        <v>65.5</v>
      </c>
      <c r="X19" s="3785" t="str">
        <f>+'COKE OVENS'!U160</f>
        <v>64.0-65.5</v>
      </c>
      <c r="Y19" s="3291">
        <f>+'COKE OVENS'!V160</f>
        <v>65.328001349527653</v>
      </c>
      <c r="Z19" s="3791" t="s">
        <v>2206</v>
      </c>
      <c r="AA19" s="3792">
        <f>+'COKE OVENS'!X160</f>
        <v>65.7</v>
      </c>
      <c r="AB19" s="3793" t="str">
        <f>+'COKE OVENS'!Y160</f>
        <v>64.0-65.5</v>
      </c>
      <c r="AC19" s="3793">
        <f>+'COKE OVENS'!Z160</f>
        <v>65.63200537153088</v>
      </c>
      <c r="AD19" s="3796" t="str">
        <f>+'COKE OVENS'!AA160</f>
        <v>64.0-65.5</v>
      </c>
      <c r="AE19" s="3797">
        <f>+'COKE OVENS'!AB160</f>
        <v>65.389582207207198</v>
      </c>
      <c r="AF19" s="3791" t="s">
        <v>1735</v>
      </c>
      <c r="AG19" s="3792">
        <f>+'COKE OVENS'!AD160</f>
        <v>64.73</v>
      </c>
      <c r="AH19" s="3785" t="str">
        <f>+'COKE OVENS'!AE160</f>
        <v>64.0-65.5</v>
      </c>
      <c r="AI19" s="3291">
        <f>+'COKE OVENS'!AF160</f>
        <v>65.292648361547108</v>
      </c>
      <c r="AJ19" s="3791" t="s">
        <v>1735</v>
      </c>
      <c r="AK19" s="3792">
        <f>+'COKE OVENS'!AH160</f>
        <v>64.39</v>
      </c>
      <c r="AL19" s="3785" t="str">
        <f>+'COKE OVENS'!AI160</f>
        <v>64.0-65.5</v>
      </c>
      <c r="AM19" s="3291">
        <f>+'COKE OVENS'!AJ160</f>
        <v>65.184003321879771</v>
      </c>
      <c r="AN19" s="3791" t="s">
        <v>1735</v>
      </c>
      <c r="AO19" s="3792">
        <f>+'COKE OVENS'!AL160</f>
        <v>64.7</v>
      </c>
      <c r="AP19" s="3793" t="str">
        <f>+'COKE OVENS'!AM160</f>
        <v>64.0-65.5</v>
      </c>
      <c r="AQ19" s="3793">
        <f>+'COKE OVENS'!AN160</f>
        <v>64.611552317359966</v>
      </c>
      <c r="AR19" s="3785" t="str">
        <f>+'COKE OVENS'!AO160</f>
        <v>64.0-65.5</v>
      </c>
      <c r="AS19" s="3291">
        <f>+'COKE OVENS'!AP160</f>
        <v>65.12893855800462</v>
      </c>
      <c r="AT19" s="3791" t="s">
        <v>1735</v>
      </c>
      <c r="AU19" s="3792">
        <f>+'COKE OVENS'!AR160</f>
        <v>64.650000000000006</v>
      </c>
      <c r="AV19" s="3785" t="str">
        <f>+'COKE OVENS'!AS160</f>
        <v>64.0-65.5</v>
      </c>
      <c r="AW19" s="3291">
        <f>+'COKE OVENS'!AT160</f>
        <v>65.079649184749954</v>
      </c>
      <c r="AX19" s="3791" t="s">
        <v>1735</v>
      </c>
      <c r="AY19" s="3792">
        <f>+'COKE OVENS'!AV160</f>
        <v>65</v>
      </c>
      <c r="AZ19" s="3785" t="str">
        <f>+'COKE OVENS'!AW160</f>
        <v>64.0-65.5</v>
      </c>
      <c r="BA19" s="3291">
        <f>+'COKE OVENS'!AX160</f>
        <v>65.072903776278906</v>
      </c>
      <c r="BB19" s="3791" t="s">
        <v>1735</v>
      </c>
      <c r="BC19" s="3792">
        <f>+'COKE OVENS'!AZ160</f>
        <v>64.98</v>
      </c>
      <c r="BD19" s="3795" t="str">
        <f>+'COKE OVENS'!BA160</f>
        <v>64.0-65.5</v>
      </c>
      <c r="BE19" s="3795">
        <f>+'COKE OVENS'!BB160</f>
        <v>64.872322082284043</v>
      </c>
      <c r="BF19" s="3796" t="str">
        <f>+'COKE OVENS'!BC160</f>
        <v>64.0-65.5</v>
      </c>
      <c r="BG19" s="3797">
        <f>+'COKE OVENS'!BD160</f>
        <v>64.741433246033111</v>
      </c>
      <c r="BH19" s="3785" t="str">
        <f>+'COKE OVENS'!BE160</f>
        <v>64.0-65.5</v>
      </c>
      <c r="BI19" s="3291">
        <f>+'COKE OVENS'!BF160</f>
        <v>65.064915647071075</v>
      </c>
    </row>
    <row r="20" spans="3:61" x14ac:dyDescent="0.25">
      <c r="C20" s="5833"/>
      <c r="D20" s="3811" t="s">
        <v>1054</v>
      </c>
      <c r="E20" s="3788" t="s">
        <v>49</v>
      </c>
      <c r="F20" s="3789">
        <v>22.958247683476721</v>
      </c>
      <c r="G20" s="3790" t="s">
        <v>2207</v>
      </c>
      <c r="H20" s="3791" t="s">
        <v>2207</v>
      </c>
      <c r="I20" s="3792">
        <f>+'COKE OVENS'!F161</f>
        <v>23.41</v>
      </c>
      <c r="J20" s="3791" t="s">
        <v>2207</v>
      </c>
      <c r="K20" s="3792">
        <f>+'COKE OVENS'!H161</f>
        <v>23.19</v>
      </c>
      <c r="L20" s="3785" t="s">
        <v>2207</v>
      </c>
      <c r="M20" s="3291">
        <f>+'COKE OVENS'!J161</f>
        <v>23.297963648603162</v>
      </c>
      <c r="N20" s="3791" t="s">
        <v>2207</v>
      </c>
      <c r="O20" s="3792">
        <f>+'COKE OVENS'!L161</f>
        <v>23.8</v>
      </c>
      <c r="P20" s="3793" t="str">
        <f>+'COKE OVENS'!M161</f>
        <v>22.5-24.0</v>
      </c>
      <c r="Q20" s="3794">
        <f>+'COKE OVENS'!N161</f>
        <v>23.461933363553943</v>
      </c>
      <c r="R20" s="3791" t="s">
        <v>2207</v>
      </c>
      <c r="S20" s="3792">
        <f>+'COKE OVENS'!P161</f>
        <v>23.2</v>
      </c>
      <c r="T20" s="3785" t="str">
        <f>+'COKE OVENS'!Q161</f>
        <v>22.5-24.0</v>
      </c>
      <c r="U20" s="3291">
        <f>+'COKE OVENS'!R161</f>
        <v>23.396172126973347</v>
      </c>
      <c r="V20" s="3791" t="s">
        <v>2207</v>
      </c>
      <c r="W20" s="3792">
        <f>+'COKE OVENS'!T161</f>
        <v>22.8</v>
      </c>
      <c r="X20" s="3785" t="str">
        <f>+'COKE OVENS'!U161</f>
        <v>22.5-24.0</v>
      </c>
      <c r="Y20" s="3291">
        <f>+'COKE OVENS'!V161</f>
        <v>23.273960863697706</v>
      </c>
      <c r="Z20" s="3791" t="s">
        <v>2207</v>
      </c>
      <c r="AA20" s="3792">
        <f>+'COKE OVENS'!X161</f>
        <v>23.5</v>
      </c>
      <c r="AB20" s="3793" t="str">
        <f>+'COKE OVENS'!Y161</f>
        <v>22.5-24.0</v>
      </c>
      <c r="AC20" s="3793">
        <f>+'COKE OVENS'!Z161</f>
        <v>23.16271262309758</v>
      </c>
      <c r="AD20" s="3796" t="str">
        <f>+'COKE OVENS'!AA161</f>
        <v>22.5-24.0</v>
      </c>
      <c r="AE20" s="3797">
        <f>+'COKE OVENS'!AB161</f>
        <v>23.311379504504501</v>
      </c>
      <c r="AF20" s="3791" t="s">
        <v>1736</v>
      </c>
      <c r="AG20" s="3792">
        <f>+'COKE OVENS'!AD161</f>
        <v>23.4</v>
      </c>
      <c r="AH20" s="3785" t="str">
        <f>+'COKE OVENS'!AE161</f>
        <v>22.5-24.0</v>
      </c>
      <c r="AI20" s="3291">
        <f>+'COKE OVENS'!AF161</f>
        <v>23.324403393473631</v>
      </c>
      <c r="AJ20" s="3791" t="s">
        <v>1736</v>
      </c>
      <c r="AK20" s="3792">
        <f>+'COKE OVENS'!AH161</f>
        <v>23.59</v>
      </c>
      <c r="AL20" s="3785" t="str">
        <f>+'COKE OVENS'!AI161</f>
        <v>22.5-24.0</v>
      </c>
      <c r="AM20" s="3291">
        <f>+'COKE OVENS'!AJ161</f>
        <v>23.356371272750682</v>
      </c>
      <c r="AN20" s="3791" t="s">
        <v>1736</v>
      </c>
      <c r="AO20" s="3792">
        <f>+'COKE OVENS'!AL161</f>
        <v>23.35</v>
      </c>
      <c r="AP20" s="3793" t="str">
        <f>+'COKE OVENS'!AM161</f>
        <v>22.5-24.0</v>
      </c>
      <c r="AQ20" s="3793">
        <f>+'COKE OVENS'!AN161</f>
        <v>23.443517698150945</v>
      </c>
      <c r="AR20" s="3785" t="str">
        <f>+'COKE OVENS'!AO161</f>
        <v>22.5-24.0</v>
      </c>
      <c r="AS20" s="3291">
        <f>+'COKE OVENS'!AP161</f>
        <v>23.355646416920692</v>
      </c>
      <c r="AT20" s="3791" t="s">
        <v>1736</v>
      </c>
      <c r="AU20" s="3792">
        <f>+'COKE OVENS'!AR161</f>
        <v>23.62</v>
      </c>
      <c r="AV20" s="3785" t="str">
        <f>+'COKE OVENS'!AS161</f>
        <v>22.5-24.0</v>
      </c>
      <c r="AW20" s="3291">
        <f>+'COKE OVENS'!AT161</f>
        <v>23.382852041128299</v>
      </c>
      <c r="AX20" s="3791" t="s">
        <v>1736</v>
      </c>
      <c r="AY20" s="3792">
        <f>+'COKE OVENS'!AV161</f>
        <v>23.38</v>
      </c>
      <c r="AZ20" s="3785" t="str">
        <f>+'COKE OVENS'!AW161</f>
        <v>22.5-24.0</v>
      </c>
      <c r="BA20" s="3291">
        <f>+'COKE OVENS'!AX161</f>
        <v>23.382610504665031</v>
      </c>
      <c r="BB20" s="3791" t="s">
        <v>1736</v>
      </c>
      <c r="BC20" s="3792">
        <f>+'COKE OVENS'!AZ161</f>
        <v>23.48</v>
      </c>
      <c r="BD20" s="3795" t="str">
        <f>+'COKE OVENS'!BA161</f>
        <v>22.5-24.0</v>
      </c>
      <c r="BE20" s="3795">
        <f>+'COKE OVENS'!BB161</f>
        <v>23.497287748764769</v>
      </c>
      <c r="BF20" s="3796" t="str">
        <f>+'COKE OVENS'!BC161</f>
        <v>22.5-24.0</v>
      </c>
      <c r="BG20" s="3797">
        <f>+'COKE OVENS'!BD161</f>
        <v>23.470298809490902</v>
      </c>
      <c r="BH20" s="3785" t="str">
        <f>+'COKE OVENS'!BE161</f>
        <v>22.5-24.0</v>
      </c>
      <c r="BI20" s="3291">
        <f>+'COKE OVENS'!BF161</f>
        <v>23.390984328672847</v>
      </c>
    </row>
    <row r="21" spans="3:61" x14ac:dyDescent="0.25">
      <c r="C21" s="5833"/>
      <c r="D21" s="3810" t="s">
        <v>1055</v>
      </c>
      <c r="E21" s="3782"/>
      <c r="F21" s="3812"/>
      <c r="G21" s="3814"/>
      <c r="H21" s="3784"/>
      <c r="I21" s="3311"/>
      <c r="J21" s="3784"/>
      <c r="K21" s="3311"/>
      <c r="L21" s="3785"/>
      <c r="M21" s="3291"/>
      <c r="N21" s="3784"/>
      <c r="O21" s="3311"/>
      <c r="P21" s="3784"/>
      <c r="Q21" s="3311"/>
      <c r="R21" s="3784"/>
      <c r="S21" s="3311"/>
      <c r="T21" s="3784"/>
      <c r="U21" s="3311"/>
      <c r="V21" s="3784"/>
      <c r="W21" s="3311"/>
      <c r="X21" s="3784"/>
      <c r="Y21" s="3311"/>
      <c r="Z21" s="3784"/>
      <c r="AA21" s="3311"/>
      <c r="AB21" s="3784"/>
      <c r="AC21" s="3784"/>
      <c r="AD21" s="3784"/>
      <c r="AE21" s="3786"/>
      <c r="AF21" s="3784"/>
      <c r="AG21" s="3311"/>
      <c r="AH21" s="3784"/>
      <c r="AI21" s="3311"/>
      <c r="AJ21" s="3784"/>
      <c r="AK21" s="3311"/>
      <c r="AL21" s="3784"/>
      <c r="AM21" s="3311"/>
      <c r="AN21" s="3784"/>
      <c r="AO21" s="3311"/>
      <c r="AP21" s="3784"/>
      <c r="AQ21" s="3784"/>
      <c r="AR21" s="3784"/>
      <c r="AS21" s="3311"/>
      <c r="AT21" s="3784"/>
      <c r="AU21" s="3311"/>
      <c r="AV21" s="3784"/>
      <c r="AW21" s="3311"/>
      <c r="AX21" s="3784"/>
      <c r="AY21" s="3311"/>
      <c r="AZ21" s="3784"/>
      <c r="BA21" s="3311"/>
      <c r="BB21" s="3784"/>
      <c r="BC21" s="3311"/>
      <c r="BD21" s="3784"/>
      <c r="BE21" s="3784"/>
      <c r="BF21" s="3784"/>
      <c r="BG21" s="3786"/>
      <c r="BH21" s="3784"/>
      <c r="BI21" s="3311"/>
    </row>
    <row r="22" spans="3:61" x14ac:dyDescent="0.25">
      <c r="C22" s="5833"/>
      <c r="D22" s="3811" t="s">
        <v>1446</v>
      </c>
      <c r="E22" s="3788" t="s">
        <v>49</v>
      </c>
      <c r="F22" s="3812">
        <v>23.543643606765379</v>
      </c>
      <c r="G22" s="3814">
        <v>25</v>
      </c>
      <c r="H22" s="3784">
        <f>+$G$22</f>
        <v>25</v>
      </c>
      <c r="I22" s="3311">
        <f>+'COKE OVENS'!F173</f>
        <v>23.864057672502575</v>
      </c>
      <c r="J22" s="3784">
        <f>+$G$22</f>
        <v>25</v>
      </c>
      <c r="K22" s="3311">
        <f>+'COKE OVENS'!H173</f>
        <v>23.999999999999996</v>
      </c>
      <c r="L22" s="3785">
        <f>+$G$22</f>
        <v>25</v>
      </c>
      <c r="M22" s="3291">
        <f>+'COKE OVENS'!J173</f>
        <v>23.933277172577107</v>
      </c>
      <c r="N22" s="3784">
        <f>+$G$22</f>
        <v>25</v>
      </c>
      <c r="O22" s="3311">
        <f>+'COKE OVENS'!L173</f>
        <v>24.000004296237698</v>
      </c>
      <c r="P22" s="3793">
        <f>+$G$22</f>
        <v>25</v>
      </c>
      <c r="Q22" s="3794">
        <f>+'COKE OVENS'!N173</f>
        <v>23.955451987488544</v>
      </c>
      <c r="R22" s="3784">
        <f>+$G$22</f>
        <v>25</v>
      </c>
      <c r="S22" s="3311">
        <f>+'COKE OVENS'!P173</f>
        <v>23.999995112884385</v>
      </c>
      <c r="T22" s="3785">
        <f>+$G$22</f>
        <v>25</v>
      </c>
      <c r="U22" s="3291">
        <f>+'COKE OVENS'!R173</f>
        <v>23.966883902963129</v>
      </c>
      <c r="V22" s="3784">
        <f>+$G$22</f>
        <v>25</v>
      </c>
      <c r="W22" s="3311">
        <f>+'COKE OVENS'!T173</f>
        <v>23.999999811110804</v>
      </c>
      <c r="X22" s="3785">
        <f>+$G$22</f>
        <v>25</v>
      </c>
      <c r="Y22" s="3291">
        <f>+'COKE OVENS'!V173</f>
        <v>23.973620911995685</v>
      </c>
      <c r="Z22" s="3784">
        <f>+$G$22</f>
        <v>25</v>
      </c>
      <c r="AA22" s="3311">
        <f>+'COKE OVENS'!X173</f>
        <v>23.999999610619231</v>
      </c>
      <c r="AB22" s="3793">
        <f>+$G$22</f>
        <v>25</v>
      </c>
      <c r="AC22" s="3793">
        <f>+'COKE OVENS'!Z173</f>
        <v>23.999998158798082</v>
      </c>
      <c r="AD22" s="3796">
        <f>+$G$22</f>
        <v>25</v>
      </c>
      <c r="AE22" s="3797">
        <f>+'COKE OVENS'!AB173</f>
        <v>23.977969178004763</v>
      </c>
      <c r="AF22" s="3784">
        <f>+$G$22</f>
        <v>25</v>
      </c>
      <c r="AG22" s="3311">
        <f>+'COKE OVENS'!AD173</f>
        <v>23.809610121259357</v>
      </c>
      <c r="AH22" s="3785">
        <f>+$G$22</f>
        <v>25</v>
      </c>
      <c r="AI22" s="3785">
        <f>+'COKE OVENS'!AF173</f>
        <v>23.952643776760723</v>
      </c>
      <c r="AJ22" s="3784">
        <f>+$G$22</f>
        <v>25</v>
      </c>
      <c r="AK22" s="3311">
        <f>+'COKE OVENS'!AH173</f>
        <v>23.809296057875006</v>
      </c>
      <c r="AL22" s="3785">
        <f>+$G$22</f>
        <v>25</v>
      </c>
      <c r="AM22" s="3785">
        <f>+'COKE OVENS'!AJ173</f>
        <v>23.935044945789151</v>
      </c>
      <c r="AN22" s="3784">
        <f>+$G$22</f>
        <v>25</v>
      </c>
      <c r="AO22" s="3311">
        <f>+'COKE OVENS'!AL173</f>
        <v>24.370845789078004</v>
      </c>
      <c r="AP22" s="3793">
        <f>+$G$22</f>
        <v>25</v>
      </c>
      <c r="AQ22" s="3793">
        <f>+'COKE OVENS'!AN173</f>
        <v>23.999008653910288</v>
      </c>
      <c r="AR22" s="3785">
        <f>+$G$22</f>
        <v>25</v>
      </c>
      <c r="AS22" s="3785">
        <f>+'COKE OVENS'!AP173</f>
        <v>23.985130595264138</v>
      </c>
      <c r="AT22" s="3784">
        <f>+$G$22</f>
        <v>25</v>
      </c>
      <c r="AU22" s="3311">
        <f>+'COKE OVENS'!AR173</f>
        <v>23.193550556965743</v>
      </c>
      <c r="AV22" s="3785">
        <f>+$G$22</f>
        <v>25</v>
      </c>
      <c r="AW22" s="3785">
        <f>+'COKE OVENS'!AT173</f>
        <v>23.905380354930532</v>
      </c>
      <c r="AX22" s="3784">
        <f>+$G$22</f>
        <v>25</v>
      </c>
      <c r="AY22" s="3311">
        <f>+'COKE OVENS'!AV173</f>
        <v>21.571428930378296</v>
      </c>
      <c r="AZ22" s="3785">
        <f>+$G$22</f>
        <v>25</v>
      </c>
      <c r="BA22" s="3785">
        <f>+'COKE OVENS'!AX173</f>
        <v>23.710874285592137</v>
      </c>
      <c r="BB22" s="3784">
        <f>+$G$22</f>
        <v>25</v>
      </c>
      <c r="BC22" s="3311">
        <f>+'COKE OVENS'!AZ173</f>
        <v>26.450513767545168</v>
      </c>
      <c r="BD22" s="3795">
        <f>+'COKE OVENS'!BA173</f>
        <v>25</v>
      </c>
      <c r="BE22" s="3795">
        <f>+'COKE OVENS'!BB173</f>
        <v>23.762013880219069</v>
      </c>
      <c r="BF22" s="3796">
        <f>+'COKE OVENS'!BC173</f>
        <v>25</v>
      </c>
      <c r="BG22" s="3797">
        <f>+'COKE OVENS'!BD173</f>
        <v>23.884316286772485</v>
      </c>
      <c r="BH22" s="3785">
        <f>+'COKE OVENS'!BE173</f>
        <v>25.004118675096059</v>
      </c>
      <c r="BI22" s="3291">
        <f>+'COKE OVENS'!BF173</f>
        <v>23.931144132655522</v>
      </c>
    </row>
    <row r="23" spans="3:61" x14ac:dyDescent="0.25">
      <c r="C23" s="5833"/>
      <c r="D23" s="3811" t="s">
        <v>1447</v>
      </c>
      <c r="E23" s="3788" t="s">
        <v>221</v>
      </c>
      <c r="F23" s="3812"/>
      <c r="G23" s="3799">
        <v>18.019026238248909</v>
      </c>
      <c r="H23" s="3800">
        <f>+'COKE OVENS'!E61</f>
        <v>17.951020408163266</v>
      </c>
      <c r="I23" s="3800">
        <f>+'COKE OVENS'!F61</f>
        <v>17.95</v>
      </c>
      <c r="J23" s="3800">
        <f>+'COKE OVENS'!G61</f>
        <v>17.951020408163266</v>
      </c>
      <c r="K23" s="3800">
        <f>+'COKE OVENS'!H61</f>
        <v>17.916666666666668</v>
      </c>
      <c r="L23" s="3801">
        <f>+'COKE OVENS'!I61</f>
        <v>17.951020408163266</v>
      </c>
      <c r="M23" s="3801">
        <f>+'COKE OVENS'!J61</f>
        <v>17.933024795242904</v>
      </c>
      <c r="N23" s="3800">
        <f>+'COKE OVENS'!K61</f>
        <v>17.951020408163266</v>
      </c>
      <c r="O23" s="3800">
        <f>+'COKE OVENS'!L61</f>
        <v>17.7</v>
      </c>
      <c r="P23" s="3802">
        <f>+'COKE OVENS'!M61</f>
        <v>17.951020408163266</v>
      </c>
      <c r="Q23" s="3802">
        <f>+'COKE OVENS'!N61</f>
        <v>17.856916742218193</v>
      </c>
      <c r="R23" s="3800">
        <f>+'COKE OVENS'!O61</f>
        <v>17.951020408163266</v>
      </c>
      <c r="S23" s="3800">
        <f>+'COKE OVENS'!P61</f>
        <v>17.566666666666666</v>
      </c>
      <c r="T23" s="3801">
        <f>+'COKE OVENS'!Q61</f>
        <v>17.951020408163266</v>
      </c>
      <c r="U23" s="3801">
        <f>+'COKE OVENS'!R61</f>
        <v>17.78404628529395</v>
      </c>
      <c r="V23" s="3800">
        <f>+'COKE OVENS'!S61</f>
        <v>17.951020408163266</v>
      </c>
      <c r="W23" s="3800">
        <f>+'COKE OVENS'!T61</f>
        <v>17.683333333333334</v>
      </c>
      <c r="X23" s="3801">
        <f>+'COKE OVENS'!U61</f>
        <v>17.951020408163266</v>
      </c>
      <c r="Y23" s="3801">
        <f>+'COKE OVENS'!V61</f>
        <v>17.763400809716597</v>
      </c>
      <c r="Z23" s="3800">
        <f>+'COKE OVENS'!W61</f>
        <v>18.814973262032083</v>
      </c>
      <c r="AA23" s="3800">
        <f>+'COKE OVENS'!X61</f>
        <v>17.633333333333333</v>
      </c>
      <c r="AB23" s="3793">
        <f>+'COKE OVENS'!Y61</f>
        <v>18.228881161886878</v>
      </c>
      <c r="AC23" s="3793">
        <f>+'COKE OVENS'!Z61</f>
        <v>17.628263951059388</v>
      </c>
      <c r="AD23" s="3796">
        <f>+'COKE OVENS'!AA61</f>
        <v>18.088296947080948</v>
      </c>
      <c r="AE23" s="3797">
        <f>+'COKE OVENS'!AB61</f>
        <v>17.741869369369372</v>
      </c>
      <c r="AF23" s="3800">
        <f>+'COKE OVENS'!AC61</f>
        <v>17.81818181818182</v>
      </c>
      <c r="AG23" s="3800">
        <f>+'COKE OVENS'!AD61</f>
        <v>17.75</v>
      </c>
      <c r="AH23" s="3801">
        <f>+'COKE OVENS'!AE61</f>
        <v>18.048824193650859</v>
      </c>
      <c r="AI23" s="3801">
        <f>+'COKE OVENS'!AF61</f>
        <v>17.743057024713917</v>
      </c>
      <c r="AJ23" s="3800">
        <f>+'COKE OVENS'!AG61</f>
        <v>17.81818181818182</v>
      </c>
      <c r="AK23" s="3800">
        <f>+'COKE OVENS'!AH61</f>
        <v>18.533333333333335</v>
      </c>
      <c r="AL23" s="3801">
        <f>+'COKE OVENS'!AI61</f>
        <v>18.02024815401434</v>
      </c>
      <c r="AM23" s="3801">
        <f>+'COKE OVENS'!AJ61</f>
        <v>17.837681466119271</v>
      </c>
      <c r="AN23" s="3800">
        <f>+'COKE OVENS'!AK61</f>
        <v>17.81818181818182</v>
      </c>
      <c r="AO23" s="3800">
        <f>+'COKE OVENS'!AL61</f>
        <v>17.716666666666665</v>
      </c>
      <c r="AP23" s="3793">
        <f>+'COKE OVENS'!AM61</f>
        <v>17.81818181818182</v>
      </c>
      <c r="AQ23" s="3793">
        <f>+'COKE OVENS'!AN61</f>
        <v>17.98748268762867</v>
      </c>
      <c r="AR23" s="3801">
        <f>+'COKE OVENS'!AO61</f>
        <v>17.997314268371628</v>
      </c>
      <c r="AS23" s="3801">
        <f>+'COKE OVENS'!AP61</f>
        <v>17.823893993374586</v>
      </c>
      <c r="AT23" s="3800">
        <f>+'COKE OVENS'!AQ61</f>
        <v>17.81818181818182</v>
      </c>
      <c r="AU23" s="3800">
        <f>+'COKE OVENS'!AR61</f>
        <v>17.683333333333334</v>
      </c>
      <c r="AV23" s="3801">
        <f>+'COKE OVENS'!AS61</f>
        <v>17.979055605777358</v>
      </c>
      <c r="AW23" s="3801">
        <f>+'COKE OVENS'!AT61</f>
        <v>17.80951755714911</v>
      </c>
      <c r="AX23" s="3800">
        <f>+'COKE OVENS'!AU61</f>
        <v>17.81818181818182</v>
      </c>
      <c r="AY23" s="3800">
        <f>+'COKE OVENS'!AV61</f>
        <v>17.649999999999999</v>
      </c>
      <c r="AZ23" s="3801">
        <f>+'COKE OVENS'!AW61</f>
        <v>17.965493468689171</v>
      </c>
      <c r="BA23" s="3801">
        <f>+'COKE OVENS'!AX61</f>
        <v>17.796067883346691</v>
      </c>
      <c r="BB23" s="3800">
        <f>+'COKE OVENS'!AY61</f>
        <v>17.81818181818182</v>
      </c>
      <c r="BC23" s="3800">
        <f>+'COKE OVENS'!AZ61</f>
        <v>17.683333333333334</v>
      </c>
      <c r="BD23" s="3804">
        <f>+'COKE OVENS'!BA61</f>
        <v>17.81818181818182</v>
      </c>
      <c r="BE23" s="3804">
        <f>+'COKE OVENS'!BB61</f>
        <v>17.672986418492034</v>
      </c>
      <c r="BF23" s="3805">
        <f>+'COKE OVENS'!BC61</f>
        <v>17.818181818181817</v>
      </c>
      <c r="BG23" s="3806">
        <f>+'COKE OVENS'!BD61</f>
        <v>17.831068901934223</v>
      </c>
      <c r="BH23" s="3801">
        <f>+'COKE OVENS'!BE61</f>
        <v>17.952917826225963</v>
      </c>
      <c r="BI23" s="3292">
        <f>+'COKE OVENS'!BF61</f>
        <v>17.786413819671512</v>
      </c>
    </row>
    <row r="24" spans="3:61" x14ac:dyDescent="0.25">
      <c r="C24" s="5833"/>
      <c r="D24" s="3811" t="s">
        <v>1056</v>
      </c>
      <c r="E24" s="3788" t="s">
        <v>49</v>
      </c>
      <c r="F24" s="3789">
        <v>88.599749618194579</v>
      </c>
      <c r="G24" s="3790" t="s">
        <v>2211</v>
      </c>
      <c r="H24" s="3791" t="s">
        <v>2211</v>
      </c>
      <c r="I24" s="3792">
        <f>+'COKE OVENS'!F183</f>
        <v>89.6</v>
      </c>
      <c r="J24" s="3791" t="s">
        <v>2211</v>
      </c>
      <c r="K24" s="3792">
        <f>+'COKE OVENS'!H183</f>
        <v>89.66</v>
      </c>
      <c r="L24" s="3785" t="s">
        <v>2211</v>
      </c>
      <c r="M24" s="3291">
        <f>+'COKE OVENS'!J183</f>
        <v>89.630550968828985</v>
      </c>
      <c r="N24" s="3791" t="s">
        <v>2211</v>
      </c>
      <c r="O24" s="3792">
        <f>+'COKE OVENS'!L183</f>
        <v>89.6</v>
      </c>
      <c r="P24" s="3793" t="str">
        <f>+'COKE OVENS'!M183</f>
        <v>89.0-90.5</v>
      </c>
      <c r="Q24" s="3794">
        <f>+'COKE OVENS'!N183</f>
        <v>89.620398245021931</v>
      </c>
      <c r="R24" s="3791" t="s">
        <v>2211</v>
      </c>
      <c r="S24" s="3792">
        <f>+'COKE OVENS'!P183</f>
        <v>89.5</v>
      </c>
      <c r="T24" s="3785" t="str">
        <f>+'COKE OVENS'!Q183</f>
        <v>89.0-90.5</v>
      </c>
      <c r="U24" s="3291">
        <f>+'COKE OVENS'!R183</f>
        <v>89.589498243853484</v>
      </c>
      <c r="V24" s="3791" t="s">
        <v>2211</v>
      </c>
      <c r="W24" s="3792">
        <f>+'COKE OVENS'!T183</f>
        <v>89.3</v>
      </c>
      <c r="X24" s="3785" t="str">
        <f>+'COKE OVENS'!U183</f>
        <v>89.0-90.5</v>
      </c>
      <c r="Y24" s="3291">
        <f>+'COKE OVENS'!V183</f>
        <v>89.530603517186236</v>
      </c>
      <c r="Z24" s="3791" t="s">
        <v>2211</v>
      </c>
      <c r="AA24" s="3792">
        <f>+'COKE OVENS'!X183</f>
        <v>89.5</v>
      </c>
      <c r="AB24" s="3793" t="str">
        <f>+'COKE OVENS'!Y183</f>
        <v>89.0-90.5</v>
      </c>
      <c r="AC24" s="3793">
        <f>+'COKE OVENS'!Z183</f>
        <v>89.432616528742074</v>
      </c>
      <c r="AD24" s="3796" t="str">
        <f>+'COKE OVENS'!AA183</f>
        <v>89.0-90.5</v>
      </c>
      <c r="AE24" s="3797">
        <f>+'COKE OVENS'!AB183</f>
        <v>89.52558938598014</v>
      </c>
      <c r="AF24" s="3791" t="s">
        <v>1737</v>
      </c>
      <c r="AG24" s="3792">
        <f>+'COKE OVENS'!AD183</f>
        <v>89.73</v>
      </c>
      <c r="AH24" s="3785" t="str">
        <f>+'COKE OVENS'!AE183</f>
        <v>89.0-90.5</v>
      </c>
      <c r="AI24" s="3291">
        <f>+'COKE OVENS'!AF183</f>
        <v>89.555294721120873</v>
      </c>
      <c r="AJ24" s="3791" t="s">
        <v>1737</v>
      </c>
      <c r="AK24" s="3792">
        <f>+'COKE OVENS'!AH183</f>
        <v>89.42</v>
      </c>
      <c r="AL24" s="3785" t="str">
        <f>+'COKE OVENS'!AI183</f>
        <v>89.0-90.5</v>
      </c>
      <c r="AM24" s="3291">
        <f>+'COKE OVENS'!AJ183</f>
        <v>89.539182885341205</v>
      </c>
      <c r="AN24" s="3791" t="s">
        <v>1737</v>
      </c>
      <c r="AO24" s="3792">
        <f>+'COKE OVENS'!AL183</f>
        <v>89.7</v>
      </c>
      <c r="AP24" s="3793" t="str">
        <f>+'COKE OVENS'!AM183</f>
        <v>89.0-90.5</v>
      </c>
      <c r="AQ24" s="3793">
        <f>+'COKE OVENS'!AN183</f>
        <v>89.621354765549114</v>
      </c>
      <c r="AR24" s="3785" t="str">
        <f>+'COKE OVENS'!AO183</f>
        <v>89.0-90.5</v>
      </c>
      <c r="AS24" s="3291">
        <f>+'COKE OVENS'!AP183</f>
        <v>89.557437763471583</v>
      </c>
      <c r="AT24" s="3791" t="s">
        <v>1737</v>
      </c>
      <c r="AU24" s="3792">
        <f>+'COKE OVENS'!AR183</f>
        <v>89.69</v>
      </c>
      <c r="AV24" s="3785" t="str">
        <f>+'COKE OVENS'!AS183</f>
        <v>89.0-90.5</v>
      </c>
      <c r="AW24" s="3291">
        <f>+'COKE OVENS'!AT183</f>
        <v>89.57105268605747</v>
      </c>
      <c r="AX24" s="3791" t="s">
        <v>1737</v>
      </c>
      <c r="AY24" s="3792">
        <f>+'COKE OVENS'!AV183</f>
        <v>89.77</v>
      </c>
      <c r="AZ24" s="3785" t="str">
        <f>+'COKE OVENS'!AW183</f>
        <v>89.0-90.5</v>
      </c>
      <c r="BA24" s="3291">
        <f>+'COKE OVENS'!AX183</f>
        <v>89.587906555951577</v>
      </c>
      <c r="BB24" s="3791" t="s">
        <v>1737</v>
      </c>
      <c r="BC24" s="3792">
        <f>+'COKE OVENS'!AZ183</f>
        <v>89.71</v>
      </c>
      <c r="BD24" s="3795" t="str">
        <f>+'COKE OVENS'!BA183</f>
        <v>89.0-90.5</v>
      </c>
      <c r="BE24" s="3795">
        <f>+'COKE OVENS'!BB183</f>
        <v>89.72174254591323</v>
      </c>
      <c r="BF24" s="3796" t="str">
        <f>+'COKE OVENS'!BC183</f>
        <v>89.0-90.5</v>
      </c>
      <c r="BG24" s="3797">
        <f>+'COKE OVENS'!BD183</f>
        <v>89.671513944272021</v>
      </c>
      <c r="BH24" s="3785" t="str">
        <f>+'COKE OVENS'!BE183</f>
        <v>89.0-90.5</v>
      </c>
      <c r="BI24" s="3291">
        <f>+'COKE OVENS'!BF183</f>
        <v>89.598400520749323</v>
      </c>
    </row>
    <row r="25" spans="3:61" x14ac:dyDescent="0.25">
      <c r="C25" s="5833"/>
      <c r="D25" s="3811" t="s">
        <v>205</v>
      </c>
      <c r="E25" s="3788" t="s">
        <v>49</v>
      </c>
      <c r="F25" s="3789">
        <v>5.948071105661457</v>
      </c>
      <c r="G25" s="3790" t="s">
        <v>2212</v>
      </c>
      <c r="H25" s="3791" t="s">
        <v>2212</v>
      </c>
      <c r="I25" s="3792">
        <f>+'COKE OVENS'!F184</f>
        <v>5.7</v>
      </c>
      <c r="J25" s="3791" t="s">
        <v>2212</v>
      </c>
      <c r="K25" s="3792">
        <f>+'COKE OVENS'!H184</f>
        <v>5.62</v>
      </c>
      <c r="L25" s="3785" t="s">
        <v>2212</v>
      </c>
      <c r="M25" s="3291">
        <f>+'COKE OVENS'!J184</f>
        <v>5.6592653748946926</v>
      </c>
      <c r="N25" s="3791" t="s">
        <v>2212</v>
      </c>
      <c r="O25" s="3792">
        <f>+'COKE OVENS'!L184</f>
        <v>5.7</v>
      </c>
      <c r="P25" s="3793" t="str">
        <f>+'COKE OVENS'!M184</f>
        <v>5.5-5.9</v>
      </c>
      <c r="Q25" s="3794">
        <f>+'COKE OVENS'!N184</f>
        <v>5.672802339970751</v>
      </c>
      <c r="R25" s="3791" t="s">
        <v>2212</v>
      </c>
      <c r="S25" s="3792">
        <f>+'COKE OVENS'!P184</f>
        <v>5.7</v>
      </c>
      <c r="T25" s="3785" t="str">
        <f>+'COKE OVENS'!Q184</f>
        <v>5.5-5.9</v>
      </c>
      <c r="U25" s="3291">
        <f>+'COKE OVENS'!R184</f>
        <v>5.679782572336511</v>
      </c>
      <c r="V25" s="3791" t="s">
        <v>2212</v>
      </c>
      <c r="W25" s="3792">
        <f>+'COKE OVENS'!T184</f>
        <v>5.8</v>
      </c>
      <c r="X25" s="3785" t="str">
        <f>+'COKE OVENS'!U184</f>
        <v>5.5-5.9</v>
      </c>
      <c r="Y25" s="3291">
        <f>+'COKE OVENS'!V184</f>
        <v>5.7042392752464686</v>
      </c>
      <c r="Z25" s="3791" t="s">
        <v>2212</v>
      </c>
      <c r="AA25" s="3792">
        <f>+'COKE OVENS'!X184</f>
        <v>5.7</v>
      </c>
      <c r="AB25" s="3793" t="str">
        <f>+'COKE OVENS'!Y184</f>
        <v>5.5-5.9</v>
      </c>
      <c r="AC25" s="3793">
        <f>+'COKE OVENS'!Z184</f>
        <v>5.7336917356289616</v>
      </c>
      <c r="AD25" s="3796" t="str">
        <f>+'COKE OVENS'!AA184</f>
        <v>5.5-5.9</v>
      </c>
      <c r="AE25" s="3797">
        <f>+'COKE OVENS'!AB184</f>
        <v>5.703544705332324</v>
      </c>
      <c r="AF25" s="3791" t="s">
        <v>1738</v>
      </c>
      <c r="AG25" s="3792">
        <f>+'COKE OVENS'!AD184</f>
        <v>5.72</v>
      </c>
      <c r="AH25" s="3785" t="str">
        <f>+'COKE OVENS'!AE184</f>
        <v>5.5-5.9</v>
      </c>
      <c r="AI25" s="3291">
        <f>+'COKE OVENS'!AF184</f>
        <v>5.7059360197231479</v>
      </c>
      <c r="AJ25" s="3791" t="s">
        <v>1738</v>
      </c>
      <c r="AK25" s="3792">
        <f>+'COKE OVENS'!AH184</f>
        <v>5.82</v>
      </c>
      <c r="AL25" s="3785" t="str">
        <f>+'COKE OVENS'!AI184</f>
        <v>5.5-5.9</v>
      </c>
      <c r="AM25" s="3291">
        <f>+'COKE OVENS'!AJ184</f>
        <v>5.7195195513152912</v>
      </c>
      <c r="AN25" s="3791" t="s">
        <v>1738</v>
      </c>
      <c r="AO25" s="3792">
        <f>+'COKE OVENS'!AL184</f>
        <v>5.69</v>
      </c>
      <c r="AP25" s="3793" t="str">
        <f>+'COKE OVENS'!AM184</f>
        <v>5.5-5.9</v>
      </c>
      <c r="AQ25" s="3793">
        <f>+'COKE OVENS'!AN184</f>
        <v>5.7415039610434278</v>
      </c>
      <c r="AR25" s="3785" t="str">
        <f>+'COKE OVENS'!AO184</f>
        <v>5.5-5.9</v>
      </c>
      <c r="AS25" s="3291">
        <f>+'COKE OVENS'!AP184</f>
        <v>5.7161686902277307</v>
      </c>
      <c r="AT25" s="3791" t="s">
        <v>1738</v>
      </c>
      <c r="AU25" s="3792">
        <f>+'COKE OVENS'!AR184</f>
        <v>5.65</v>
      </c>
      <c r="AV25" s="3785" t="str">
        <f>+'COKE OVENS'!AS184</f>
        <v>5.5-5.9</v>
      </c>
      <c r="AW25" s="3291">
        <f>+'COKE OVENS'!AT184</f>
        <v>5.7093727759564175</v>
      </c>
      <c r="AX25" s="3791" t="s">
        <v>1738</v>
      </c>
      <c r="AY25" s="3792">
        <f>+'COKE OVENS'!AV184</f>
        <v>5.6</v>
      </c>
      <c r="AZ25" s="3785" t="str">
        <f>+'COKE OVENS'!AW184</f>
        <v>5.5-5.9</v>
      </c>
      <c r="BA25" s="3291">
        <f>+'COKE OVENS'!AX184</f>
        <v>5.7001072347465485</v>
      </c>
      <c r="BB25" s="3791" t="s">
        <v>1738</v>
      </c>
      <c r="BC25" s="3792">
        <f>+'COKE OVENS'!AZ184</f>
        <v>5.64</v>
      </c>
      <c r="BD25" s="3795" t="str">
        <f>+'COKE OVENS'!BA184</f>
        <v>5.5-5.9</v>
      </c>
      <c r="BE25" s="3795">
        <f>+'COKE OVENS'!BB184</f>
        <v>5.6310227917546083</v>
      </c>
      <c r="BF25" s="3796" t="str">
        <f>+'COKE OVENS'!BC184</f>
        <v>5.5-5.9</v>
      </c>
      <c r="BG25" s="3797">
        <f>+'COKE OVENS'!BD184</f>
        <v>5.6863015778870905</v>
      </c>
      <c r="BH25" s="3785" t="str">
        <f>+'COKE OVENS'!BE184</f>
        <v>5.5-5.9</v>
      </c>
      <c r="BI25" s="3291">
        <f>+'COKE OVENS'!BF184</f>
        <v>5.6949410015352822</v>
      </c>
    </row>
    <row r="26" spans="3:61" x14ac:dyDescent="0.25">
      <c r="C26" s="5833"/>
      <c r="D26" s="3811" t="s">
        <v>1053</v>
      </c>
      <c r="E26" s="3788" t="s">
        <v>49</v>
      </c>
      <c r="F26" s="3789">
        <v>66.654886908615453</v>
      </c>
      <c r="G26" s="3790" t="s">
        <v>2213</v>
      </c>
      <c r="H26" s="3791" t="s">
        <v>2213</v>
      </c>
      <c r="I26" s="3792">
        <f>+'COKE OVENS'!F185</f>
        <v>67.97</v>
      </c>
      <c r="J26" s="3791" t="s">
        <v>2213</v>
      </c>
      <c r="K26" s="3792">
        <f>+'COKE OVENS'!H185</f>
        <v>68.13</v>
      </c>
      <c r="L26" s="3785" t="s">
        <v>2213</v>
      </c>
      <c r="M26" s="3291">
        <f>+'COKE OVENS'!J185</f>
        <v>68.051469250210616</v>
      </c>
      <c r="N26" s="3791" t="s">
        <v>2213</v>
      </c>
      <c r="O26" s="3792">
        <f>+'COKE OVENS'!L185</f>
        <v>68.3</v>
      </c>
      <c r="P26" s="3793" t="str">
        <f>+'COKE OVENS'!M185</f>
        <v>67.0-68.4</v>
      </c>
      <c r="Q26" s="3794">
        <f>+'COKE OVENS'!N185</f>
        <v>68.134061199235006</v>
      </c>
      <c r="R26" s="3791" t="s">
        <v>2213</v>
      </c>
      <c r="S26" s="3792">
        <f>+'COKE OVENS'!P185</f>
        <v>68.5</v>
      </c>
      <c r="T26" s="3785" t="str">
        <f>+'COKE OVENS'!Q185</f>
        <v>67.0-68.4</v>
      </c>
      <c r="U26" s="3291">
        <f>+'COKE OVENS'!R185</f>
        <v>68.227978758989792</v>
      </c>
      <c r="V26" s="3791" t="s">
        <v>2213</v>
      </c>
      <c r="W26" s="3792">
        <f>+'COKE OVENS'!T185</f>
        <v>68.599999999999994</v>
      </c>
      <c r="X26" s="3785" t="str">
        <f>+'COKE OVENS'!U185</f>
        <v>67.0-68.4</v>
      </c>
      <c r="Y26" s="3291">
        <f>+'COKE OVENS'!V185</f>
        <v>68.303661737276826</v>
      </c>
      <c r="Z26" s="3791" t="s">
        <v>2213</v>
      </c>
      <c r="AA26" s="3792">
        <f>+'COKE OVENS'!X185</f>
        <v>68.5</v>
      </c>
      <c r="AB26" s="3793" t="str">
        <f>+'COKE OVENS'!Y185</f>
        <v>67.0-68.4</v>
      </c>
      <c r="AC26" s="3793">
        <f>+'COKE OVENS'!Z185</f>
        <v>68.533691735628963</v>
      </c>
      <c r="AD26" s="3796" t="str">
        <f>+'COKE OVENS'!AA185</f>
        <v>67.0-68.4</v>
      </c>
      <c r="AE26" s="3797">
        <f>+'COKE OVENS'!AB185</f>
        <v>68.335830125115422</v>
      </c>
      <c r="AF26" s="3791" t="s">
        <v>1739</v>
      </c>
      <c r="AG26" s="3792">
        <f>+'COKE OVENS'!AD185</f>
        <v>67.5</v>
      </c>
      <c r="AH26" s="3785" t="str">
        <f>+'COKE OVENS'!AE185</f>
        <v>67.0-68.4</v>
      </c>
      <c r="AI26" s="3291">
        <f>+'COKE OVENS'!AF185</f>
        <v>68.214365718258051</v>
      </c>
      <c r="AJ26" s="3791" t="s">
        <v>1739</v>
      </c>
      <c r="AK26" s="3792">
        <f>+'COKE OVENS'!AH185</f>
        <v>66.989999999999995</v>
      </c>
      <c r="AL26" s="3785" t="str">
        <f>+'COKE OVENS'!AI185</f>
        <v>67.0-68.4</v>
      </c>
      <c r="AM26" s="3291">
        <f>+'COKE OVENS'!AJ185</f>
        <v>68.06855973836916</v>
      </c>
      <c r="AN26" s="3791" t="s">
        <v>1739</v>
      </c>
      <c r="AO26" s="3792">
        <f>+'COKE OVENS'!AL185</f>
        <v>67.739999999999995</v>
      </c>
      <c r="AP26" s="3793" t="str">
        <f>+'COKE OVENS'!AM185</f>
        <v>67.0-68.4</v>
      </c>
      <c r="AQ26" s="3793">
        <f>+'COKE OVENS'!AN185</f>
        <v>67.420025059685145</v>
      </c>
      <c r="AR26" s="3785" t="str">
        <f>+'COKE OVENS'!AO185</f>
        <v>67.0-68.4</v>
      </c>
      <c r="AS26" s="3291">
        <f>+'COKE OVENS'!AP185</f>
        <v>68.031263844861783</v>
      </c>
      <c r="AT26" s="3791" t="s">
        <v>1739</v>
      </c>
      <c r="AU26" s="3792">
        <f>+'COKE OVENS'!AR185</f>
        <v>67.819999999999993</v>
      </c>
      <c r="AV26" s="3785" t="str">
        <f>+'COKE OVENS'!AS185</f>
        <v>67.0-68.4</v>
      </c>
      <c r="AW26" s="3291">
        <f>+'COKE OVENS'!AT185</f>
        <v>68.00956580348651</v>
      </c>
      <c r="AX26" s="3791" t="s">
        <v>1739</v>
      </c>
      <c r="AY26" s="3792">
        <f>+'COKE OVENS'!AV185</f>
        <v>67.97</v>
      </c>
      <c r="AZ26" s="3785" t="str">
        <f>+'COKE OVENS'!AW185</f>
        <v>67.0-68.4</v>
      </c>
      <c r="BA26" s="3291">
        <f>+'COKE OVENS'!AX185</f>
        <v>68.006213976859627</v>
      </c>
      <c r="BB26" s="3791" t="s">
        <v>1739</v>
      </c>
      <c r="BC26" s="3792">
        <f>+'COKE OVENS'!AZ185</f>
        <v>67.73</v>
      </c>
      <c r="BD26" s="3795" t="str">
        <f>+'COKE OVENS'!BA185</f>
        <v>67.0-68.4</v>
      </c>
      <c r="BE26" s="3795">
        <f>+'COKE OVENS'!BB185</f>
        <v>67.835561243118335</v>
      </c>
      <c r="BF26" s="3796" t="str">
        <f>+'COKE OVENS'!BC185</f>
        <v>67.0-68.4</v>
      </c>
      <c r="BG26" s="3797">
        <f>+'COKE OVENS'!BD185</f>
        <v>67.627649469897833</v>
      </c>
      <c r="BH26" s="3785" t="str">
        <f>+'COKE OVENS'!BE185</f>
        <v>67.0-68.4</v>
      </c>
      <c r="BI26" s="3291">
        <f>+'COKE OVENS'!BF185</f>
        <v>67.982473310254591</v>
      </c>
    </row>
    <row r="27" spans="3:61" ht="15.75" thickBot="1" x14ac:dyDescent="0.3">
      <c r="C27" s="5834"/>
      <c r="D27" s="3815" t="s">
        <v>1054</v>
      </c>
      <c r="E27" s="3768" t="s">
        <v>49</v>
      </c>
      <c r="F27" s="3816">
        <v>20.559439644635848</v>
      </c>
      <c r="G27" s="3817" t="s">
        <v>2214</v>
      </c>
      <c r="H27" s="3818" t="s">
        <v>2214</v>
      </c>
      <c r="I27" s="3819">
        <f>+'COKE OVENS'!F186</f>
        <v>21.56</v>
      </c>
      <c r="J27" s="3818" t="s">
        <v>2214</v>
      </c>
      <c r="K27" s="3819">
        <f>+'COKE OVENS'!H186</f>
        <v>22.14</v>
      </c>
      <c r="L27" s="3820" t="s">
        <v>2214</v>
      </c>
      <c r="M27" s="3308">
        <f>+'COKE OVENS'!J186</f>
        <v>21.855326032013476</v>
      </c>
      <c r="N27" s="3818" t="s">
        <v>2214</v>
      </c>
      <c r="O27" s="3819">
        <f>+'COKE OVENS'!L186</f>
        <v>21.5</v>
      </c>
      <c r="P27" s="3821" t="str">
        <f>+'COKE OVENS'!M186</f>
        <v>21.0-22.5</v>
      </c>
      <c r="Q27" s="3822">
        <f>+'COKE OVENS'!N186</f>
        <v>21.737243784452691</v>
      </c>
      <c r="R27" s="3818" t="s">
        <v>2214</v>
      </c>
      <c r="S27" s="3819">
        <f>+'COKE OVENS'!P186</f>
        <v>21.3</v>
      </c>
      <c r="T27" s="3820" t="str">
        <f>+'COKE OVENS'!Q186</f>
        <v>21.0-22.5</v>
      </c>
      <c r="U27" s="3308">
        <f>+'COKE OVENS'!R186</f>
        <v>21.625025924067568</v>
      </c>
      <c r="V27" s="3818" t="s">
        <v>2214</v>
      </c>
      <c r="W27" s="3819">
        <f>+'COKE OVENS'!T186</f>
        <v>21.2</v>
      </c>
      <c r="X27" s="3820" t="str">
        <f>+'COKE OVENS'!U186</f>
        <v>21.0-22.5</v>
      </c>
      <c r="Y27" s="3308">
        <f>+'COKE OVENS'!V186</f>
        <v>21.538559818811613</v>
      </c>
      <c r="Z27" s="3818" t="s">
        <v>2214</v>
      </c>
      <c r="AA27" s="3819">
        <f>+'COKE OVENS'!X186</f>
        <v>21.4</v>
      </c>
      <c r="AB27" s="3821" t="str">
        <f>+'COKE OVENS'!Y186</f>
        <v>21.0-22.5</v>
      </c>
      <c r="AC27" s="3821">
        <f>+'COKE OVENS'!Z186</f>
        <v>21.298759313075639</v>
      </c>
      <c r="AD27" s="3823" t="str">
        <f>+'COKE OVENS'!AA186</f>
        <v>21.0-22.5</v>
      </c>
      <c r="AE27" s="3824">
        <f>+'COKE OVENS'!AB186</f>
        <v>21.51585794741602</v>
      </c>
      <c r="AF27" s="3818" t="s">
        <v>1740</v>
      </c>
      <c r="AG27" s="3819">
        <f>+'COKE OVENS'!AD186</f>
        <v>21.54</v>
      </c>
      <c r="AH27" s="3820" t="str">
        <f>+'COKE OVENS'!AE186</f>
        <v>21.0-22.5</v>
      </c>
      <c r="AI27" s="3308">
        <f>+'COKE OVENS'!AF186</f>
        <v>21.519366315934121</v>
      </c>
      <c r="AJ27" s="3818" t="s">
        <v>1740</v>
      </c>
      <c r="AK27" s="3819">
        <f>+'COKE OVENS'!AH186</f>
        <v>21.62</v>
      </c>
      <c r="AL27" s="3820" t="str">
        <f>+'COKE OVENS'!AI186</f>
        <v>21.0-22.5</v>
      </c>
      <c r="AM27" s="3308">
        <f>+'COKE OVENS'!AJ186</f>
        <v>21.531350474503942</v>
      </c>
      <c r="AN27" s="3818" t="s">
        <v>1740</v>
      </c>
      <c r="AO27" s="3819">
        <f>+'COKE OVENS'!AL186</f>
        <v>20.92</v>
      </c>
      <c r="AP27" s="3821" t="str">
        <f>+'COKE OVENS'!AM186</f>
        <v>21.0-22.5</v>
      </c>
      <c r="AQ27" s="3821">
        <f>+'COKE OVENS'!AN186</f>
        <v>21.353773564697384</v>
      </c>
      <c r="AR27" s="3820" t="str">
        <f>+'COKE OVENS'!AO186</f>
        <v>21.0-22.5</v>
      </c>
      <c r="AS27" s="3308">
        <f>+'COKE OVENS'!AP186</f>
        <v>21.461954077045281</v>
      </c>
      <c r="AT27" s="3818" t="s">
        <v>1740</v>
      </c>
      <c r="AU27" s="3819">
        <f>+'COKE OVENS'!AR186</f>
        <v>20.71</v>
      </c>
      <c r="AV27" s="3820" t="str">
        <f>+'COKE OVENS'!AS186</f>
        <v>21.0-22.5</v>
      </c>
      <c r="AW27" s="3308">
        <f>+'COKE OVENS'!AT186</f>
        <v>21.384723963739784</v>
      </c>
      <c r="AX27" s="3818" t="s">
        <v>1740</v>
      </c>
      <c r="AY27" s="3819">
        <f>+'COKE OVENS'!AV186</f>
        <v>20.6</v>
      </c>
      <c r="AZ27" s="3820" t="str">
        <f>+'COKE OVENS'!AW186</f>
        <v>21.0-22.5</v>
      </c>
      <c r="BA27" s="3308">
        <f>+'COKE OVENS'!AX186</f>
        <v>21.318245883058172</v>
      </c>
      <c r="BB27" s="3818" t="s">
        <v>1740</v>
      </c>
      <c r="BC27" s="3819">
        <f>+'COKE OVENS'!AZ186</f>
        <v>21.57</v>
      </c>
      <c r="BD27" s="3803" t="str">
        <f>+'COKE OVENS'!BA186</f>
        <v>21.0-22.5</v>
      </c>
      <c r="BE27" s="3803">
        <f>+'COKE OVENS'!BB186</f>
        <v>20.972322446751168</v>
      </c>
      <c r="BF27" s="3823" t="str">
        <f>+'COKE OVENS'!BC186</f>
        <v>21.0-22.5</v>
      </c>
      <c r="BG27" s="3824">
        <f>+'COKE OVENS'!BD186</f>
        <v>21.163179901507291</v>
      </c>
      <c r="BH27" s="3820" t="str">
        <f>+'COKE OVENS'!BE186</f>
        <v>21.0-22.5</v>
      </c>
      <c r="BI27" s="3308">
        <f>+'COKE OVENS'!BF186</f>
        <v>21.339884218035685</v>
      </c>
    </row>
    <row r="28" spans="3:61" x14ac:dyDescent="0.25">
      <c r="C28" s="5832" t="s">
        <v>111</v>
      </c>
      <c r="D28" s="3825" t="s">
        <v>1049</v>
      </c>
      <c r="E28" s="3765" t="s">
        <v>228</v>
      </c>
      <c r="F28" s="3826">
        <v>1.3306230266546284</v>
      </c>
      <c r="G28" s="3827">
        <v>1.3471054974217826</v>
      </c>
      <c r="H28" s="3829">
        <f>+SINTER!E81</f>
        <v>1.3490593273127522</v>
      </c>
      <c r="I28" s="3829">
        <f>+SINTER!F81</f>
        <v>1.3518869877422415</v>
      </c>
      <c r="J28" s="3829">
        <f>+SINTER!G81</f>
        <v>1.3428765020223761</v>
      </c>
      <c r="K28" s="3829">
        <f>+SINTER!H81</f>
        <v>1.3467485876245864</v>
      </c>
      <c r="L28" s="3831">
        <f>+SINTER!I81</f>
        <v>1.3459150700069626</v>
      </c>
      <c r="M28" s="3831">
        <f>+SINTER!J81</f>
        <v>1.3491858929880494</v>
      </c>
      <c r="N28" s="3829">
        <f>+SINTER!K81</f>
        <v>1.3490593273127522</v>
      </c>
      <c r="O28" s="3829">
        <f>+SINTER!L81</f>
        <v>1.3513666877843524</v>
      </c>
      <c r="P28" s="3832">
        <f>+SINTER!M81</f>
        <v>1.34695114333122</v>
      </c>
      <c r="Q28" s="3833">
        <f>+SINTER!N81</f>
        <v>1.3499640559783539</v>
      </c>
      <c r="R28" s="3829">
        <f>+SINTER!O81</f>
        <v>1.3183991853222903</v>
      </c>
      <c r="S28" s="3829">
        <f>+SINTER!P81</f>
        <v>1.366822898549291</v>
      </c>
      <c r="T28" s="3830">
        <f>+SINTER!Q81</f>
        <v>1.3396911369144195</v>
      </c>
      <c r="U28" s="3831">
        <f>+SINTER!R81</f>
        <v>1.3545451613235597</v>
      </c>
      <c r="V28" s="3829">
        <f>+SINTER!S81</f>
        <v>1.3183991853222903</v>
      </c>
      <c r="W28" s="3829">
        <f>+SINTER!T81</f>
        <v>1.3502080533753245</v>
      </c>
      <c r="X28" s="3830">
        <f>+SINTER!U81</f>
        <v>1.335374710612097</v>
      </c>
      <c r="Y28" s="3831">
        <f>+SINTER!V81</f>
        <v>1.353636976729429</v>
      </c>
      <c r="Z28" s="3829">
        <f>+SINTER!W81</f>
        <v>1.3316987699231551</v>
      </c>
      <c r="AA28" s="3829">
        <f>+SINTER!X81</f>
        <v>1.3402221116050741</v>
      </c>
      <c r="AB28" s="3832">
        <f>+SINTER!Y81</f>
        <v>1.321252231523796</v>
      </c>
      <c r="AC28" s="3832">
        <f>+SINTER!Z81</f>
        <v>1.3526010378370645</v>
      </c>
      <c r="AD28" s="3834">
        <f>+SINTER!AA81</f>
        <v>1.3350082441323712</v>
      </c>
      <c r="AE28" s="3835">
        <f>+SINTER!AB81</f>
        <v>1.3513424410728567</v>
      </c>
      <c r="AF28" s="3829">
        <f>+SINTER!AC81</f>
        <v>1.4012354451431732</v>
      </c>
      <c r="AG28" s="3829">
        <f>+SINTER!AD81</f>
        <v>1.370852628222776</v>
      </c>
      <c r="AH28" s="3830">
        <f>+SINTER!AE81</f>
        <v>1.3452952336873631</v>
      </c>
      <c r="AI28" s="3831">
        <f>+SINTER!AF81</f>
        <v>1.3541252514176996</v>
      </c>
      <c r="AJ28" s="3829">
        <f>+SINTER!AG81</f>
        <v>1.4040708451798729</v>
      </c>
      <c r="AK28" s="3829">
        <f>+SINTER!AH81</f>
        <v>1.0403665814151748</v>
      </c>
      <c r="AL28" s="3830">
        <f>+SINTER!AI81</f>
        <v>1.3530025735866635</v>
      </c>
      <c r="AM28" s="3831">
        <f>+SINTER!AJ81</f>
        <v>1.350312100347876</v>
      </c>
      <c r="AN28" s="3829">
        <f>+SINTER!AK81</f>
        <v>1.4012354451431732</v>
      </c>
      <c r="AO28" s="3829">
        <f>+SINTER!AL81</f>
        <v>1.2510718411754189</v>
      </c>
      <c r="AP28" s="3832">
        <f>+SINTER!AM81</f>
        <v>1.4021625329833352</v>
      </c>
      <c r="AQ28" s="3832">
        <f>+SINTER!AN81</f>
        <v>1.2983544062624213</v>
      </c>
      <c r="AR28" s="3830">
        <f>+SINTER!AO81</f>
        <v>1.3587380350402121</v>
      </c>
      <c r="AS28" s="3831">
        <f>+SINTER!AP81</f>
        <v>1.3373879215951572</v>
      </c>
      <c r="AT28" s="3829">
        <f>+SINTER!AQ81</f>
        <v>1.4012354451431732</v>
      </c>
      <c r="AU28" s="3829">
        <f>+SINTER!AR81</f>
        <v>1.3570210966891405</v>
      </c>
      <c r="AV28" s="3830">
        <f>+SINTER!AS81</f>
        <v>1.3632544290795785</v>
      </c>
      <c r="AW28" s="3831">
        <f>+SINTER!AT81</f>
        <v>1.3395321086727563</v>
      </c>
      <c r="AX28" s="3829">
        <f>+SINTER!AU81</f>
        <v>1.3999166172521602</v>
      </c>
      <c r="AY28" s="3829">
        <f>+SINTER!AV81</f>
        <v>1.3225856427869946</v>
      </c>
      <c r="AZ28" s="3830">
        <f>+SINTER!AW81</f>
        <v>1.3664802435731076</v>
      </c>
      <c r="BA28" s="3831">
        <f>+SINTER!AX81</f>
        <v>1.3379365666347709</v>
      </c>
      <c r="BB28" s="3829">
        <f>+SINTER!AY81</f>
        <v>1.4012354451431732</v>
      </c>
      <c r="BC28" s="3829">
        <f>+SINTER!AZ81</f>
        <v>1.4164213959015601</v>
      </c>
      <c r="BD28" s="3836">
        <f>+SINTER!BA81</f>
        <v>1.4008237135089054</v>
      </c>
      <c r="BE28" s="3836">
        <f>+SINTER!BB81</f>
        <v>1.3671089504554215</v>
      </c>
      <c r="BF28" s="3834">
        <f>+SINTER!BC81</f>
        <v>1.401500390661844</v>
      </c>
      <c r="BG28" s="3835">
        <f>+SINTER!BD81</f>
        <v>1.3385073603502946</v>
      </c>
      <c r="BH28" s="3830">
        <f>+SINTER!BE81</f>
        <v>1.3695511990983893</v>
      </c>
      <c r="BI28" s="3831">
        <f>+SINTER!BF81</f>
        <v>1.3454102187820172</v>
      </c>
    </row>
    <row r="29" spans="3:61" x14ac:dyDescent="0.25">
      <c r="C29" s="5833"/>
      <c r="D29" s="3807" t="s">
        <v>786</v>
      </c>
      <c r="E29" s="3788" t="s">
        <v>219</v>
      </c>
      <c r="F29" s="3837">
        <v>783.62841572321815</v>
      </c>
      <c r="G29" s="3813">
        <v>783.91225705888951</v>
      </c>
      <c r="H29" s="3838">
        <f>+SINTER!E87</f>
        <v>783.9122570588894</v>
      </c>
      <c r="I29" s="3838">
        <f>+SINTER!F87</f>
        <v>785.44262498834792</v>
      </c>
      <c r="J29" s="3838">
        <f>+SINTER!G87</f>
        <v>783.91225705888951</v>
      </c>
      <c r="K29" s="3838">
        <f>+SINTER!H87</f>
        <v>786.06609514052673</v>
      </c>
      <c r="L29" s="3305">
        <f>+SINTER!I87</f>
        <v>783.9122570588894</v>
      </c>
      <c r="M29" s="3305">
        <f>+SINTER!J87</f>
        <v>785.76977150823473</v>
      </c>
      <c r="N29" s="3838">
        <f>+SINTER!K87</f>
        <v>783.9122570588894</v>
      </c>
      <c r="O29" s="3838">
        <f>+SINTER!L87</f>
        <v>783.21117058313894</v>
      </c>
      <c r="P29" s="3840">
        <f>+SINTER!M87</f>
        <v>783.91225705888928</v>
      </c>
      <c r="Q29" s="3841">
        <f>+SINTER!N87</f>
        <v>784.85584909959084</v>
      </c>
      <c r="R29" s="3838">
        <f>+SINTER!O87</f>
        <v>783.9122570588894</v>
      </c>
      <c r="S29" s="3838">
        <f>+SINTER!P87</f>
        <v>783.52095688008853</v>
      </c>
      <c r="T29" s="3839">
        <f>+SINTER!Q87</f>
        <v>783.91225705888928</v>
      </c>
      <c r="U29" s="3305">
        <f>+SINTER!R87</f>
        <v>784.48982685324893</v>
      </c>
      <c r="V29" s="3838">
        <f>+SINTER!S87</f>
        <v>783.9122570588894</v>
      </c>
      <c r="W29" s="3838">
        <f>+SINTER!T87</f>
        <v>782.91607838634161</v>
      </c>
      <c r="X29" s="3839">
        <f>+SINTER!U87</f>
        <v>783.91225705888928</v>
      </c>
      <c r="Y29" s="3305">
        <f>+SINTER!V87</f>
        <v>784.16112079862671</v>
      </c>
      <c r="Z29" s="3838">
        <f>+SINTER!W87</f>
        <v>783.9122570588894</v>
      </c>
      <c r="AA29" s="3838">
        <f>+SINTER!X87</f>
        <v>782.30127219945359</v>
      </c>
      <c r="AB29" s="3840">
        <f>+SINTER!Y87</f>
        <v>783.91225705888928</v>
      </c>
      <c r="AC29" s="3840">
        <f>+SINTER!Z87</f>
        <v>782.92498721800678</v>
      </c>
      <c r="AD29" s="3842">
        <f>+SINTER!AA87</f>
        <v>783.91225705888928</v>
      </c>
      <c r="AE29" s="3843">
        <f>+SINTER!AB87</f>
        <v>783.84562218551935</v>
      </c>
      <c r="AF29" s="3838">
        <f>+SINTER!AC87</f>
        <v>779.40144546743261</v>
      </c>
      <c r="AG29" s="3838">
        <f>+SINTER!AD87</f>
        <v>786.35240856414123</v>
      </c>
      <c r="AH29" s="3839">
        <f>+SINTER!AE87</f>
        <v>783.91225705888928</v>
      </c>
      <c r="AI29" s="3305">
        <f>+SINTER!AF87</f>
        <v>784.20759123069945</v>
      </c>
      <c r="AJ29" s="3838">
        <f>+SINTER!AG87</f>
        <v>779.40144546743261</v>
      </c>
      <c r="AK29" s="3838">
        <f>+SINTER!AH87</f>
        <v>786.00401524152903</v>
      </c>
      <c r="AL29" s="3839">
        <f>+SINTER!AI87</f>
        <v>783.91225705888928</v>
      </c>
      <c r="AM29" s="3305">
        <f>+SINTER!AJ87</f>
        <v>784.22441213582306</v>
      </c>
      <c r="AN29" s="3838">
        <f>+SINTER!AK87</f>
        <v>779.40144546743261</v>
      </c>
      <c r="AO29" s="3838">
        <f>+SINTER!AL87</f>
        <v>785</v>
      </c>
      <c r="AP29" s="3840">
        <f>+SINTER!AM87</f>
        <v>783.91225705888928</v>
      </c>
      <c r="AQ29" s="3840">
        <f>+SINTER!AN87</f>
        <v>785.69677466963947</v>
      </c>
      <c r="AR29" s="3839">
        <f>+SINTER!AO87</f>
        <v>783.91225705888928</v>
      </c>
      <c r="AS29" s="3305">
        <f>+SINTER!AP87</f>
        <v>784.31889888858609</v>
      </c>
      <c r="AT29" s="3838">
        <f>+SINTER!AQ87</f>
        <v>779.40144546743261</v>
      </c>
      <c r="AU29" s="3838">
        <f>+SINTER!AR87</f>
        <v>787.86188219363578</v>
      </c>
      <c r="AV29" s="3839">
        <f>+SINTER!AS87</f>
        <v>783.91225705888928</v>
      </c>
      <c r="AW29" s="3305">
        <f>+SINTER!AT87</f>
        <v>784.710888639264</v>
      </c>
      <c r="AX29" s="3838">
        <f>+SINTER!AU87</f>
        <v>779.40144546743272</v>
      </c>
      <c r="AY29" s="3838">
        <f>+SINTER!AV87</f>
        <v>789.55267022677435</v>
      </c>
      <c r="AZ29" s="3839">
        <f>+SINTER!AW87</f>
        <v>783.91225705888928</v>
      </c>
      <c r="BA29" s="3305">
        <f>+SINTER!AX87</f>
        <v>785.16152121632092</v>
      </c>
      <c r="BB29" s="3838">
        <f>+SINTER!AY87</f>
        <v>779.40144546743261</v>
      </c>
      <c r="BC29" s="3838">
        <f>+SINTER!AZ87</f>
        <v>786.37139651724306</v>
      </c>
      <c r="BD29" s="3844">
        <f>+SINTER!BA87</f>
        <v>783.91225705888928</v>
      </c>
      <c r="BE29" s="3844">
        <f>+SINTER!BB87</f>
        <v>787.83332397311744</v>
      </c>
      <c r="BF29" s="3842">
        <f>+SINTER!BC87</f>
        <v>783.91225705888928</v>
      </c>
      <c r="BG29" s="3843">
        <f>+SINTER!BD87</f>
        <v>786.97119114427733</v>
      </c>
      <c r="BH29" s="3839">
        <f>+SINTER!BE87</f>
        <v>783.91225705888928</v>
      </c>
      <c r="BI29" s="3305">
        <f>+SINTER!BF87</f>
        <v>785.28281136536464</v>
      </c>
    </row>
    <row r="30" spans="3:61" x14ac:dyDescent="0.25">
      <c r="C30" s="5833"/>
      <c r="D30" s="3807" t="s">
        <v>788</v>
      </c>
      <c r="E30" s="3788" t="s">
        <v>219</v>
      </c>
      <c r="F30" s="3837">
        <v>102.61678267110892</v>
      </c>
      <c r="G30" s="3813">
        <v>64.938026921102136</v>
      </c>
      <c r="H30" s="3838">
        <f>+SINTER!E88</f>
        <v>64.938026921102121</v>
      </c>
      <c r="I30" s="3838">
        <f>+SINTER!F88</f>
        <v>64.409781561694061</v>
      </c>
      <c r="J30" s="3838">
        <f>+SINTER!G88</f>
        <v>64.938026921102107</v>
      </c>
      <c r="K30" s="3838">
        <f>+SINTER!H88</f>
        <v>59.441720657686616</v>
      </c>
      <c r="L30" s="3305">
        <f>+SINTER!I88</f>
        <v>64.938026921102107</v>
      </c>
      <c r="M30" s="3305">
        <f>+SINTER!J88</f>
        <v>61.802946527728551</v>
      </c>
      <c r="N30" s="3838">
        <f>+SINTER!K88</f>
        <v>64.938026921102121</v>
      </c>
      <c r="O30" s="3838">
        <f>+SINTER!L88</f>
        <v>52.001998543614491</v>
      </c>
      <c r="P30" s="3840">
        <f>+SINTER!M88</f>
        <v>64.938026921102121</v>
      </c>
      <c r="Q30" s="3841">
        <f>+SINTER!N88</f>
        <v>58.302085607693115</v>
      </c>
      <c r="R30" s="3838">
        <f>+SINTER!O88</f>
        <v>64.938026921102107</v>
      </c>
      <c r="S30" s="3838">
        <f>+SINTER!P88</f>
        <v>75.698562669615029</v>
      </c>
      <c r="T30" s="3839">
        <f>+SINTER!Q88</f>
        <v>64.938026921102121</v>
      </c>
      <c r="U30" s="3305">
        <f>+SINTER!R88</f>
        <v>63.072131847840311</v>
      </c>
      <c r="V30" s="3838">
        <f>+SINTER!S88</f>
        <v>64.938026921102107</v>
      </c>
      <c r="W30" s="3838">
        <f>+SINTER!T88</f>
        <v>62.727863478948478</v>
      </c>
      <c r="X30" s="3839">
        <f>+SINTER!U88</f>
        <v>64.938026921102121</v>
      </c>
      <c r="Y30" s="3305">
        <f>+SINTER!V88</f>
        <v>63.000225123449958</v>
      </c>
      <c r="Z30" s="3838">
        <f>+SINTER!W88</f>
        <v>64.938026921102121</v>
      </c>
      <c r="AA30" s="3838">
        <f>+SINTER!X88</f>
        <v>73.207500853825138</v>
      </c>
      <c r="AB30" s="3840">
        <f>+SINTER!Y88</f>
        <v>64.938026921102121</v>
      </c>
      <c r="AC30" s="3840">
        <f>+SINTER!Z88</f>
        <v>70.591207199787533</v>
      </c>
      <c r="AD30" s="3842">
        <f>+SINTER!AA88</f>
        <v>64.938026921102121</v>
      </c>
      <c r="AE30" s="3843">
        <f>+SINTER!AB88</f>
        <v>64.731753882280302</v>
      </c>
      <c r="AF30" s="3838">
        <f>+SINTER!AC88</f>
        <v>84.940005073175669</v>
      </c>
      <c r="AG30" s="3838">
        <f>+SINTER!AD88</f>
        <v>68.047535650396796</v>
      </c>
      <c r="AH30" s="3839">
        <f>+SINTER!AE88</f>
        <v>64.938026921102121</v>
      </c>
      <c r="AI30" s="3305">
        <f>+SINTER!AF88</f>
        <v>65.210538341485332</v>
      </c>
      <c r="AJ30" s="3838">
        <f>+SINTER!AG88</f>
        <v>84.940005073175683</v>
      </c>
      <c r="AK30" s="3838">
        <f>+SINTER!AH88</f>
        <v>72.274347523251521</v>
      </c>
      <c r="AL30" s="3839">
        <f>+SINTER!AI88</f>
        <v>64.938026921102121</v>
      </c>
      <c r="AM30" s="3305">
        <f>+SINTER!AJ88</f>
        <v>65.276680668319656</v>
      </c>
      <c r="AN30" s="3838">
        <f>+SINTER!AK88</f>
        <v>84.940005073175669</v>
      </c>
      <c r="AO30" s="3838">
        <f>+SINTER!AL88</f>
        <v>82.96921494231259</v>
      </c>
      <c r="AP30" s="3840">
        <f>+SINTER!AM88</f>
        <v>64.938026921102121</v>
      </c>
      <c r="AQ30" s="3840">
        <f>+SINTER!AN88</f>
        <v>75.293726972279771</v>
      </c>
      <c r="AR30" s="3839">
        <f>+SINTER!AO88</f>
        <v>64.938026921102121</v>
      </c>
      <c r="AS30" s="3305">
        <f>+SINTER!AP88</f>
        <v>67.43209102079004</v>
      </c>
      <c r="AT30" s="3838">
        <f>+SINTER!AQ88</f>
        <v>84.940005073175669</v>
      </c>
      <c r="AU30" s="3838">
        <f>+SINTER!AR88</f>
        <v>78.20176032498307</v>
      </c>
      <c r="AV30" s="3839">
        <f>+SINTER!AS88</f>
        <v>64.938026921102121</v>
      </c>
      <c r="AW30" s="3305">
        <f>+SINTER!AT88</f>
        <v>68.623629230811176</v>
      </c>
      <c r="AX30" s="3838">
        <f>+SINTER!AU88</f>
        <v>84.940005073175683</v>
      </c>
      <c r="AY30" s="3838">
        <f>+SINTER!AV88</f>
        <v>56.706734910174923</v>
      </c>
      <c r="AZ30" s="3839">
        <f>+SINTER!AW88</f>
        <v>64.938026921102121</v>
      </c>
      <c r="BA30" s="3305">
        <f>+SINTER!AX88</f>
        <v>67.514504273155893</v>
      </c>
      <c r="BB30" s="3838">
        <f>+SINTER!AY88</f>
        <v>84.940005073175669</v>
      </c>
      <c r="BC30" s="3838">
        <f>+SINTER!AZ88</f>
        <v>69.886834788546906</v>
      </c>
      <c r="BD30" s="3844">
        <f>+SINTER!BA88</f>
        <v>64.938026921102121</v>
      </c>
      <c r="BE30" s="3844">
        <f>+SINTER!BB88</f>
        <v>68.599684961877188</v>
      </c>
      <c r="BF30" s="3842">
        <f>+SINTER!BC88</f>
        <v>64.938026921102121</v>
      </c>
      <c r="BG30" s="3843">
        <f>+SINTER!BD88</f>
        <v>71.300841151163141</v>
      </c>
      <c r="BH30" s="3839">
        <f>+SINTER!BE88</f>
        <v>64.938026921102121</v>
      </c>
      <c r="BI30" s="3305">
        <f>+SINTER!BF88</f>
        <v>67.752330701692188</v>
      </c>
    </row>
    <row r="31" spans="3:61" x14ac:dyDescent="0.25">
      <c r="C31" s="5833"/>
      <c r="D31" s="3807" t="s">
        <v>787</v>
      </c>
      <c r="E31" s="3788" t="s">
        <v>219</v>
      </c>
      <c r="F31" s="3837">
        <v>101.93133462172391</v>
      </c>
      <c r="G31" s="3813">
        <v>99.857531963581579</v>
      </c>
      <c r="H31" s="3838">
        <f>+SINTER!E89</f>
        <v>99.85753196358155</v>
      </c>
      <c r="I31" s="3838">
        <f>+SINTER!F89</f>
        <v>99.453127427523839</v>
      </c>
      <c r="J31" s="3838">
        <f>+SINTER!G89</f>
        <v>99.85753196358155</v>
      </c>
      <c r="K31" s="3838">
        <f>+SINTER!H89</f>
        <v>96.927718642522223</v>
      </c>
      <c r="L31" s="3305">
        <f>+SINTER!I89</f>
        <v>99.85753196358155</v>
      </c>
      <c r="M31" s="3305">
        <f>+SINTER!J89</f>
        <v>98.127997920654053</v>
      </c>
      <c r="N31" s="3838">
        <f>+SINTER!K89</f>
        <v>99.85753196358155</v>
      </c>
      <c r="O31" s="3838">
        <f>+SINTER!L89</f>
        <v>90.357027060067935</v>
      </c>
      <c r="P31" s="3840">
        <f>+SINTER!M89</f>
        <v>99.857531963581536</v>
      </c>
      <c r="Q31" s="3841">
        <f>+SINTER!N89</f>
        <v>95.35223702072318</v>
      </c>
      <c r="R31" s="3838">
        <f>+SINTER!O89</f>
        <v>99.857531963581565</v>
      </c>
      <c r="S31" s="3838">
        <f>+SINTER!P89</f>
        <v>94.408985827721381</v>
      </c>
      <c r="T31" s="3839">
        <f>+SINTER!Q89</f>
        <v>99.857531963581536</v>
      </c>
      <c r="U31" s="3305">
        <f>+SINTER!R89</f>
        <v>95.093601218159392</v>
      </c>
      <c r="V31" s="3838">
        <f>+SINTER!S89</f>
        <v>99.857531963581565</v>
      </c>
      <c r="W31" s="3838">
        <f>+SINTER!T89</f>
        <v>98.653631853520153</v>
      </c>
      <c r="X31" s="3839">
        <f>+SINTER!U89</f>
        <v>99.857531963581536</v>
      </c>
      <c r="Y31" s="3305">
        <f>+SINTER!V89</f>
        <v>95.837178510903783</v>
      </c>
      <c r="Z31" s="3838">
        <f>+SINTER!W89</f>
        <v>99.857531963581565</v>
      </c>
      <c r="AA31" s="3838">
        <f>+SINTER!X89</f>
        <v>96.111360143442624</v>
      </c>
      <c r="AB31" s="3840">
        <f>+SINTER!Y89</f>
        <v>99.857531963581536</v>
      </c>
      <c r="AC31" s="3840">
        <f>+SINTER!Z89</f>
        <v>96.368010671991129</v>
      </c>
      <c r="AD31" s="3842">
        <f>+SINTER!AA89</f>
        <v>99.857531963581536</v>
      </c>
      <c r="AE31" s="3843">
        <f>+SINTER!AB89</f>
        <v>95.883689783296589</v>
      </c>
      <c r="AF31" s="3838">
        <f>+SINTER!AC89</f>
        <v>89.796141662046978</v>
      </c>
      <c r="AG31" s="3838">
        <f>+SINTER!AD89</f>
        <v>101.97475171446426</v>
      </c>
      <c r="AH31" s="3839">
        <f>+SINTER!AE89</f>
        <v>99.857531963581536</v>
      </c>
      <c r="AI31" s="3305">
        <f>+SINTER!AF89</f>
        <v>96.763212621844247</v>
      </c>
      <c r="AJ31" s="3838">
        <f>+SINTER!AG89</f>
        <v>89.796141662047006</v>
      </c>
      <c r="AK31" s="3838">
        <f>+SINTER!AH89</f>
        <v>98.947023394927669</v>
      </c>
      <c r="AL31" s="3839">
        <f>+SINTER!AI89</f>
        <v>99.857531963581536</v>
      </c>
      <c r="AM31" s="3305">
        <f>+SINTER!AJ89</f>
        <v>96.783660842086434</v>
      </c>
      <c r="AN31" s="3838">
        <f>+SINTER!AK89</f>
        <v>89.796141662046978</v>
      </c>
      <c r="AO31" s="3838">
        <f>+SINTER!AL89</f>
        <v>101.49777104235572</v>
      </c>
      <c r="AP31" s="3840">
        <f>+SINTER!AM89</f>
        <v>99.857531963581536</v>
      </c>
      <c r="AQ31" s="3840">
        <f>+SINTER!AN89</f>
        <v>101.65008934360127</v>
      </c>
      <c r="AR31" s="3839">
        <f>+SINTER!AO89</f>
        <v>99.857531963581536</v>
      </c>
      <c r="AS31" s="3305">
        <f>+SINTER!AP89</f>
        <v>97.357961943951906</v>
      </c>
      <c r="AT31" s="3838">
        <f>+SINTER!AQ89</f>
        <v>89.796141662046978</v>
      </c>
      <c r="AU31" s="3838">
        <f>+SINTER!AR89</f>
        <v>99.591062965470556</v>
      </c>
      <c r="AV31" s="3839">
        <f>+SINTER!AS89</f>
        <v>99.857531963581536</v>
      </c>
      <c r="AW31" s="3305">
        <f>+SINTER!AT89</f>
        <v>97.605028508283709</v>
      </c>
      <c r="AX31" s="3838">
        <f>+SINTER!AU89</f>
        <v>89.796141662047006</v>
      </c>
      <c r="AY31" s="3838">
        <f>+SINTER!AV89</f>
        <v>94.044070201664809</v>
      </c>
      <c r="AZ31" s="3839">
        <f>+SINTER!AW89</f>
        <v>99.857531963581536</v>
      </c>
      <c r="BA31" s="3305">
        <f>+SINTER!AX89</f>
        <v>97.273604260927456</v>
      </c>
      <c r="BB31" s="3838">
        <f>+SINTER!AY89</f>
        <v>89.796141662046978</v>
      </c>
      <c r="BC31" s="3838">
        <f>+SINTER!AZ89</f>
        <v>98.392761328715679</v>
      </c>
      <c r="BD31" s="3844">
        <f>+SINTER!BA89</f>
        <v>99.857531963581536</v>
      </c>
      <c r="BE31" s="3844">
        <f>+SINTER!BB89</f>
        <v>97.459459122154385</v>
      </c>
      <c r="BF31" s="3842">
        <f>+SINTER!BC89</f>
        <v>99.857531963581536</v>
      </c>
      <c r="BG31" s="3843">
        <f>+SINTER!BD89</f>
        <v>99.150447428185231</v>
      </c>
      <c r="BH31" s="3839">
        <f>+SINTER!BE89</f>
        <v>99.857531963581536</v>
      </c>
      <c r="BI31" s="3305">
        <f>+SINTER!BF89</f>
        <v>97.385799895842752</v>
      </c>
    </row>
    <row r="32" spans="3:61" x14ac:dyDescent="0.25">
      <c r="C32" s="5833"/>
      <c r="D32" s="3807" t="s">
        <v>26</v>
      </c>
      <c r="E32" s="3788" t="s">
        <v>219</v>
      </c>
      <c r="F32" s="3789">
        <v>74.095728405144612</v>
      </c>
      <c r="G32" s="3814">
        <v>63.500000000000007</v>
      </c>
      <c r="H32" s="3792">
        <f>+SINTER!E100</f>
        <v>63.5</v>
      </c>
      <c r="I32" s="3792">
        <f>+SINTER!F100</f>
        <v>61.153403971040611</v>
      </c>
      <c r="J32" s="3792">
        <f>+SINTER!G100</f>
        <v>63.499999999999993</v>
      </c>
      <c r="K32" s="3792">
        <f>+SINTER!H100</f>
        <v>63.978655018491104</v>
      </c>
      <c r="L32" s="3291">
        <f>+SINTER!I100</f>
        <v>63.499999999999986</v>
      </c>
      <c r="M32" s="3291">
        <f>+SINTER!J100</f>
        <v>62.635866354764772</v>
      </c>
      <c r="N32" s="3792">
        <f>+SINTER!K100</f>
        <v>63.5</v>
      </c>
      <c r="O32" s="3792">
        <f>+SINTER!L100</f>
        <v>63.679658971919395</v>
      </c>
      <c r="P32" s="3793">
        <f>+SINTER!M100</f>
        <v>63.5</v>
      </c>
      <c r="Q32" s="3794">
        <f>+SINTER!N100</f>
        <v>63.008705062606211</v>
      </c>
      <c r="R32" s="3792">
        <f>+SINTER!O100</f>
        <v>63.5</v>
      </c>
      <c r="S32" s="3792">
        <f>+SINTER!P100</f>
        <v>64.591918785807621</v>
      </c>
      <c r="T32" s="3785">
        <f>+SINTER!Q100</f>
        <v>63.5</v>
      </c>
      <c r="U32" s="3291">
        <f>+SINTER!R100</f>
        <v>63.442816097893711</v>
      </c>
      <c r="V32" s="3792">
        <f>+SINTER!S100</f>
        <v>63.5</v>
      </c>
      <c r="W32" s="3792">
        <f>+SINTER!T100</f>
        <v>63.218495794393739</v>
      </c>
      <c r="X32" s="3785">
        <f>+SINTER!U100</f>
        <v>63.5</v>
      </c>
      <c r="Y32" s="3291">
        <f>+SINTER!V100</f>
        <v>63.395962713451652</v>
      </c>
      <c r="Z32" s="3792">
        <f>+SINTER!W100</f>
        <v>63.5</v>
      </c>
      <c r="AA32" s="3792">
        <f>+SINTER!X100</f>
        <v>64.253009733606561</v>
      </c>
      <c r="AB32" s="3840">
        <f>+SINTER!Y100</f>
        <v>63.5</v>
      </c>
      <c r="AC32" s="3840">
        <f>+SINTER!Z100</f>
        <v>64.026756107456976</v>
      </c>
      <c r="AD32" s="3842">
        <f>+SINTER!AA100</f>
        <v>63.5</v>
      </c>
      <c r="AE32" s="3843">
        <f>+SINTER!AB100</f>
        <v>63.541349357475767</v>
      </c>
      <c r="AF32" s="3792">
        <f>+SINTER!AC100</f>
        <v>67.816371315908725</v>
      </c>
      <c r="AG32" s="3792">
        <f>+SINTER!AD100</f>
        <v>62.573587192945283</v>
      </c>
      <c r="AH32" s="3785">
        <f>+SINTER!AE100</f>
        <v>63.5</v>
      </c>
      <c r="AI32" s="3291">
        <f>+SINTER!AF100</f>
        <v>63.401608711984792</v>
      </c>
      <c r="AJ32" s="3792">
        <f>+SINTER!AG100</f>
        <v>67.816371315908725</v>
      </c>
      <c r="AK32" s="3792">
        <f>+SINTER!AH100</f>
        <v>73.913221616749297</v>
      </c>
      <c r="AL32" s="3785">
        <f>+SINTER!AI100</f>
        <v>63.5</v>
      </c>
      <c r="AM32" s="3291">
        <f>+SINTER!AJ100</f>
        <v>63.500034719598005</v>
      </c>
      <c r="AN32" s="3792">
        <f>+SINTER!AK100</f>
        <v>67.816371315908725</v>
      </c>
      <c r="AO32" s="3792">
        <f>+SINTER!AL100</f>
        <v>63.699516598267721</v>
      </c>
      <c r="AP32" s="3840">
        <f>+SINTER!AM100</f>
        <v>63.5</v>
      </c>
      <c r="AQ32" s="3840">
        <f>+SINTER!AN100</f>
        <v>63.474807212848603</v>
      </c>
      <c r="AR32" s="3785">
        <f>+SINTER!AO100</f>
        <v>63.5</v>
      </c>
      <c r="AS32" s="3291">
        <f>+SINTER!AP100</f>
        <v>63.524336795250726</v>
      </c>
      <c r="AT32" s="3792">
        <f>+SINTER!AQ100</f>
        <v>67.816371315908725</v>
      </c>
      <c r="AU32" s="3792">
        <f>+SINTER!AR100</f>
        <v>65.042654028436033</v>
      </c>
      <c r="AV32" s="3785">
        <f>+SINTER!AS100</f>
        <v>63.5</v>
      </c>
      <c r="AW32" s="3291">
        <f>+SINTER!AT100</f>
        <v>63.692320876021853</v>
      </c>
      <c r="AX32" s="3792">
        <f>+SINTER!AU100</f>
        <v>67.816371315908725</v>
      </c>
      <c r="AY32" s="3792">
        <f>+SINTER!AV100</f>
        <v>65.78705339285662</v>
      </c>
      <c r="AZ32" s="3785">
        <f>+SINTER!AW100</f>
        <v>63.5</v>
      </c>
      <c r="BA32" s="3291">
        <f>+SINTER!AX100</f>
        <v>63.887281077188547</v>
      </c>
      <c r="BB32" s="3792">
        <f>+SINTER!AY100</f>
        <v>67.816371315908725</v>
      </c>
      <c r="BC32" s="3792">
        <f>+SINTER!AZ100</f>
        <v>62.79449782937418</v>
      </c>
      <c r="BD32" s="3795">
        <f>+SINTER!BA100</f>
        <v>63.5</v>
      </c>
      <c r="BE32" s="3795">
        <f>+SINTER!BB100</f>
        <v>64.448206359776393</v>
      </c>
      <c r="BF32" s="3796">
        <f>+SINTER!BC100</f>
        <v>63.5</v>
      </c>
      <c r="BG32" s="3797">
        <f>+SINTER!BD100</f>
        <v>64.055423773965956</v>
      </c>
      <c r="BH32" s="3785">
        <f>+SINTER!BE100</f>
        <v>63.5</v>
      </c>
      <c r="BI32" s="3291">
        <f>+SINTER!BF100</f>
        <v>63.777729420998199</v>
      </c>
    </row>
    <row r="33" spans="3:61" x14ac:dyDescent="0.25">
      <c r="C33" s="5835"/>
      <c r="D33" s="3846" t="s">
        <v>41</v>
      </c>
      <c r="E33" s="3847" t="s">
        <v>219</v>
      </c>
      <c r="F33" s="3848">
        <v>6.4308813342236046</v>
      </c>
      <c r="G33" s="3849">
        <v>10.414589223195625</v>
      </c>
      <c r="H33" s="3792">
        <f>+SINTER!E93</f>
        <v>10.414589223195621</v>
      </c>
      <c r="I33" s="3792">
        <f>+SINTER!F93</f>
        <v>0</v>
      </c>
      <c r="J33" s="3792">
        <f>+SINTER!G93</f>
        <v>10.414589223195623</v>
      </c>
      <c r="K33" s="3792">
        <f>+SINTER!H93</f>
        <v>0</v>
      </c>
      <c r="L33" s="3291">
        <f>+SINTER!I93</f>
        <v>10.414589223195621</v>
      </c>
      <c r="M33" s="3291">
        <f>+SINTER!J93</f>
        <v>0</v>
      </c>
      <c r="N33" s="3792">
        <f>+SINTER!K93</f>
        <v>10.414589223195621</v>
      </c>
      <c r="O33" s="3792">
        <f>+SINTER!L93</f>
        <v>4.6668119508655925</v>
      </c>
      <c r="P33" s="3793">
        <f>+SINTER!M93</f>
        <v>10.41458922319562</v>
      </c>
      <c r="Q33" s="3794">
        <f>+SINTER!N93</f>
        <v>1.6669672776981421</v>
      </c>
      <c r="R33" s="3792">
        <f>+SINTER!O93</f>
        <v>10.414589223195621</v>
      </c>
      <c r="S33" s="3792">
        <f>+SINTER!P93</f>
        <v>5.9227057995778472</v>
      </c>
      <c r="T33" s="3785">
        <f>+SINTER!Q93</f>
        <v>10.41458922319562</v>
      </c>
      <c r="U33" s="3291">
        <f>+SINTER!R93</f>
        <v>2.8338742016164038</v>
      </c>
      <c r="V33" s="3792">
        <f>+SINTER!S93</f>
        <v>10.414589223195621</v>
      </c>
      <c r="W33" s="3792">
        <f>+SINTER!T93</f>
        <v>9.9196459096140455</v>
      </c>
      <c r="X33" s="3785">
        <f>+SINTER!U93</f>
        <v>10.41458922319562</v>
      </c>
      <c r="Y33" s="3291">
        <f>+SINTER!V93</f>
        <v>4.3138667868778642</v>
      </c>
      <c r="Z33" s="3792">
        <f>+SINTER!W93</f>
        <v>10.414589223195623</v>
      </c>
      <c r="AA33" s="3792">
        <f>+SINTER!X93</f>
        <v>8.7010117827868854</v>
      </c>
      <c r="AB33" s="3840">
        <f>+SINTER!Y93</f>
        <v>10.41458922319562</v>
      </c>
      <c r="AC33" s="3793">
        <f>+SINTER!Z93</f>
        <v>8.1484666366185294</v>
      </c>
      <c r="AD33" s="3842">
        <f>+SINTER!AA93</f>
        <v>10.41458922319562</v>
      </c>
      <c r="AE33" s="3797">
        <f>+SINTER!AB93</f>
        <v>5.0580876671828099</v>
      </c>
      <c r="AF33" s="3792">
        <f>+SINTER!AC93</f>
        <v>7.2999999999999989</v>
      </c>
      <c r="AG33" s="3792">
        <f>+SINTER!AD93</f>
        <v>7.2655200251034575</v>
      </c>
      <c r="AH33" s="3785">
        <f>+SINTER!AE93</f>
        <v>10.41458922319562</v>
      </c>
      <c r="AI33" s="3291">
        <f>+SINTER!AF93</f>
        <v>5.3768312943664096</v>
      </c>
      <c r="AJ33" s="3792">
        <f>+SINTER!AG93</f>
        <v>7.3</v>
      </c>
      <c r="AK33" s="3792">
        <f>+SINTER!AH93</f>
        <v>6.3096652599664029</v>
      </c>
      <c r="AL33" s="3785">
        <f>+SINTER!AI93</f>
        <v>10.41458922319562</v>
      </c>
      <c r="AM33" s="3291">
        <f>+SINTER!AJ93</f>
        <v>5.3855659313656856</v>
      </c>
      <c r="AN33" s="3792">
        <f>+SINTER!AK93</f>
        <v>7.2999999999999989</v>
      </c>
      <c r="AO33" s="3792">
        <f>+SINTER!AL93</f>
        <v>4.753819094921516</v>
      </c>
      <c r="AP33" s="3840">
        <f>+SINTER!AM93</f>
        <v>10.41458922319562</v>
      </c>
      <c r="AQ33" s="3793">
        <f>+SINTER!AN93</f>
        <v>6.0379407222336434</v>
      </c>
      <c r="AR33" s="3785">
        <f>+SINTER!AO93</f>
        <v>10.41458922319562</v>
      </c>
      <c r="AS33" s="3291">
        <f>+SINTER!AP93</f>
        <v>5.3086027529806774</v>
      </c>
      <c r="AT33" s="3792">
        <f>+SINTER!AQ93</f>
        <v>7.2999999999999989</v>
      </c>
      <c r="AU33" s="3792">
        <f>+SINTER!AR93</f>
        <v>0.35748138117806366</v>
      </c>
      <c r="AV33" s="3785">
        <f>+SINTER!AS93</f>
        <v>10.41458922319562</v>
      </c>
      <c r="AW33" s="3291">
        <f>+SINTER!AT93</f>
        <v>4.7608189603382938</v>
      </c>
      <c r="AX33" s="3792">
        <f>+SINTER!AU93</f>
        <v>7.3</v>
      </c>
      <c r="AY33" s="3792">
        <f>+SINTER!AV93</f>
        <v>1.4598582769584728E-2</v>
      </c>
      <c r="AZ33" s="3785">
        <f>+SINTER!AW93</f>
        <v>10.41458922319562</v>
      </c>
      <c r="BA33" s="3291">
        <f>+SINTER!AX93</f>
        <v>4.3190804222883461</v>
      </c>
      <c r="BB33" s="3792">
        <f>+SINTER!AY93</f>
        <v>7.2999999999999989</v>
      </c>
      <c r="BC33" s="3792">
        <f>+SINTER!AZ93</f>
        <v>0</v>
      </c>
      <c r="BD33" s="3795">
        <f>+SINTER!BA93</f>
        <v>10.41458922319562</v>
      </c>
      <c r="BE33" s="3795">
        <f>+SINTER!BB93</f>
        <v>0.12212853091857591</v>
      </c>
      <c r="BF33" s="3796">
        <f>+SINTER!BC93</f>
        <v>10.41458922319562</v>
      </c>
      <c r="BG33" s="3797">
        <f>+SINTER!BD93</f>
        <v>2.5092561722437661</v>
      </c>
      <c r="BH33" s="3785">
        <f>+SINTER!BE93</f>
        <v>10.41458922319562</v>
      </c>
      <c r="BI33" s="3291">
        <f>+SINTER!BF93</f>
        <v>3.8860920740249929</v>
      </c>
    </row>
    <row r="34" spans="3:61" x14ac:dyDescent="0.25">
      <c r="C34" s="5835"/>
      <c r="D34" s="3846" t="s">
        <v>1548</v>
      </c>
      <c r="E34" s="3847" t="s">
        <v>219</v>
      </c>
      <c r="F34" s="3848"/>
      <c r="G34" s="3849">
        <v>0</v>
      </c>
      <c r="H34" s="3792">
        <f>+SINTER!E94</f>
        <v>0</v>
      </c>
      <c r="I34" s="3792">
        <f>+SINTER!F94</f>
        <v>2.0725227604635985</v>
      </c>
      <c r="J34" s="3792">
        <f>+SINTER!G94</f>
        <v>0</v>
      </c>
      <c r="K34" s="3792">
        <f>+SINTER!H94</f>
        <v>1.9645038361299836</v>
      </c>
      <c r="L34" s="3291">
        <f>+SINTER!I94</f>
        <v>0</v>
      </c>
      <c r="M34" s="3291">
        <f>+SINTER!J94</f>
        <v>2.0158431984121359</v>
      </c>
      <c r="N34" s="3792">
        <f>+SINTER!K94</f>
        <v>0</v>
      </c>
      <c r="O34" s="3792">
        <f>+SINTER!L94</f>
        <v>0</v>
      </c>
      <c r="P34" s="3793">
        <f>+SINTER!M94</f>
        <v>0</v>
      </c>
      <c r="Q34" s="3794">
        <f>+SINTER!N94</f>
        <v>1.295791761992007</v>
      </c>
      <c r="R34" s="3792">
        <f>+SINTER!O94</f>
        <v>0</v>
      </c>
      <c r="S34" s="3792">
        <f>+SINTER!P94</f>
        <v>2.6258920494522062</v>
      </c>
      <c r="T34" s="3785">
        <f>+SINTER!Q94</f>
        <v>0</v>
      </c>
      <c r="U34" s="3291">
        <f>+SINTER!R94</f>
        <v>1.6605000792354809</v>
      </c>
      <c r="V34" s="3792">
        <f>+SINTER!S94</f>
        <v>0</v>
      </c>
      <c r="W34" s="3792">
        <f>+SINTER!T94</f>
        <v>1.6023842642733552</v>
      </c>
      <c r="X34" s="3785">
        <f>+SINTER!U94</f>
        <v>0</v>
      </c>
      <c r="Y34" s="3291">
        <f>+SINTER!V94</f>
        <v>1.6483615319078424</v>
      </c>
      <c r="Z34" s="3792">
        <f>+SINTER!W94</f>
        <v>0</v>
      </c>
      <c r="AA34" s="3792">
        <f>+SINTER!X94</f>
        <v>1.4995303961748634</v>
      </c>
      <c r="AB34" s="3840">
        <f>+SINTER!Y94</f>
        <v>0</v>
      </c>
      <c r="AC34" s="3793">
        <f>+SINTER!Z94</f>
        <v>1.9214082598927438</v>
      </c>
      <c r="AD34" s="3842">
        <f>+SINTER!AA94</f>
        <v>0</v>
      </c>
      <c r="AE34" s="3797">
        <f>+SINTER!AB94</f>
        <v>1.6231143064445241</v>
      </c>
      <c r="AF34" s="3792">
        <f>+SINTER!AC94</f>
        <v>0</v>
      </c>
      <c r="AG34" s="3792">
        <f>+SINTER!AD94</f>
        <v>3.7252887836355493</v>
      </c>
      <c r="AH34" s="3785">
        <f>+SINTER!AE94</f>
        <v>0</v>
      </c>
      <c r="AI34" s="3291">
        <f>+SINTER!AF94</f>
        <v>1.926659153664138</v>
      </c>
      <c r="AJ34" s="3792">
        <f>+SINTER!AG94</f>
        <v>0</v>
      </c>
      <c r="AK34" s="3792">
        <f>+SINTER!AH94</f>
        <v>1.1062400131109928</v>
      </c>
      <c r="AL34" s="3785">
        <f>+SINTER!AI94</f>
        <v>0</v>
      </c>
      <c r="AM34" s="3291">
        <f>+SINTER!AJ94</f>
        <v>1.918977118442168</v>
      </c>
      <c r="AN34" s="3792">
        <f>+SINTER!AK94</f>
        <v>0</v>
      </c>
      <c r="AO34" s="3792">
        <f>+SINTER!AL94</f>
        <v>3.9214167984867423</v>
      </c>
      <c r="AP34" s="3840">
        <f>+SINTER!AM94</f>
        <v>0</v>
      </c>
      <c r="AQ34" s="3793">
        <f>+SINTER!AN94</f>
        <v>3.7345098225251294</v>
      </c>
      <c r="AR34" s="3785">
        <f>+SINTER!AO94</f>
        <v>0</v>
      </c>
      <c r="AS34" s="3291">
        <f>+SINTER!AP94</f>
        <v>2.1629262977810466</v>
      </c>
      <c r="AT34" s="3792">
        <f>+SINTER!AQ94</f>
        <v>0</v>
      </c>
      <c r="AU34" s="3792">
        <f>+SINTER!AR94</f>
        <v>5.0941096817874074</v>
      </c>
      <c r="AV34" s="3785">
        <f>+SINTER!AS94</f>
        <v>0</v>
      </c>
      <c r="AW34" s="3291">
        <f>+SINTER!AT94</f>
        <v>2.4872275278348654</v>
      </c>
      <c r="AX34" s="3792">
        <f>+SINTER!AU94</f>
        <v>0</v>
      </c>
      <c r="AY34" s="3792">
        <f>+SINTER!AV94</f>
        <v>0</v>
      </c>
      <c r="AZ34" s="3785">
        <f>+SINTER!AW94</f>
        <v>0</v>
      </c>
      <c r="BA34" s="3291">
        <f>+SINTER!AX94</f>
        <v>2.2557371703419884</v>
      </c>
      <c r="BB34" s="3792">
        <f>+SINTER!AY94</f>
        <v>0</v>
      </c>
      <c r="BC34" s="3792">
        <f>+SINTER!AZ94</f>
        <v>0</v>
      </c>
      <c r="BD34" s="3795">
        <f>+SINTER!BA94</f>
        <v>0</v>
      </c>
      <c r="BE34" s="3795">
        <f>+SINTER!BB94</f>
        <v>1.6768158150207395</v>
      </c>
      <c r="BF34" s="3796">
        <f>+SINTER!BC94</f>
        <v>0</v>
      </c>
      <c r="BG34" s="3797">
        <f>+SINTER!BD94</f>
        <v>2.5071292333395547</v>
      </c>
      <c r="BH34" s="3785">
        <f>+SINTER!BE94</f>
        <v>0</v>
      </c>
      <c r="BI34" s="3291">
        <f>+SINTER!BF94</f>
        <v>2.0295992391142232</v>
      </c>
    </row>
    <row r="35" spans="3:61" x14ac:dyDescent="0.25">
      <c r="C35" s="5835"/>
      <c r="D35" s="3846" t="s">
        <v>42</v>
      </c>
      <c r="E35" s="3847" t="s">
        <v>219</v>
      </c>
      <c r="F35" s="3848">
        <v>12.079400955259329</v>
      </c>
      <c r="G35" s="3849">
        <v>0</v>
      </c>
      <c r="H35" s="3792">
        <f>+SINTER!E95</f>
        <v>0</v>
      </c>
      <c r="I35" s="3792">
        <f>+SINTER!F95</f>
        <v>0</v>
      </c>
      <c r="J35" s="3792">
        <f>+SINTER!G95</f>
        <v>0</v>
      </c>
      <c r="K35" s="3792">
        <f>+SINTER!H95</f>
        <v>0</v>
      </c>
      <c r="L35" s="3291">
        <f>+SINTER!I95</f>
        <v>0</v>
      </c>
      <c r="M35" s="3291">
        <f>+SINTER!J95</f>
        <v>0</v>
      </c>
      <c r="N35" s="3792">
        <f>+SINTER!K95</f>
        <v>0</v>
      </c>
      <c r="O35" s="3792">
        <f>+SINTER!L95</f>
        <v>0</v>
      </c>
      <c r="P35" s="3793">
        <f>+SINTER!M95</f>
        <v>0</v>
      </c>
      <c r="Q35" s="3794">
        <f>+SINTER!N95</f>
        <v>0</v>
      </c>
      <c r="R35" s="3792">
        <f>+SINTER!O95</f>
        <v>0</v>
      </c>
      <c r="S35" s="3792">
        <f>+SINTER!P95</f>
        <v>0</v>
      </c>
      <c r="T35" s="3785">
        <f>+SINTER!Q95</f>
        <v>0</v>
      </c>
      <c r="U35" s="3291">
        <f>+SINTER!R95</f>
        <v>0</v>
      </c>
      <c r="V35" s="3792">
        <f>+SINTER!S95</f>
        <v>0</v>
      </c>
      <c r="W35" s="3792">
        <f>+SINTER!T95</f>
        <v>0</v>
      </c>
      <c r="X35" s="3785">
        <f>+SINTER!U95</f>
        <v>0</v>
      </c>
      <c r="Y35" s="3291">
        <f>+SINTER!V95</f>
        <v>0</v>
      </c>
      <c r="Z35" s="3792">
        <f>+SINTER!W95</f>
        <v>0</v>
      </c>
      <c r="AA35" s="3792">
        <f>+SINTER!X95</f>
        <v>0</v>
      </c>
      <c r="AB35" s="3840">
        <f>+SINTER!Y95</f>
        <v>0</v>
      </c>
      <c r="AC35" s="3793">
        <f>+SINTER!Z95</f>
        <v>0</v>
      </c>
      <c r="AD35" s="3842">
        <f>+SINTER!AA95</f>
        <v>0</v>
      </c>
      <c r="AE35" s="3797">
        <f>+SINTER!AB95</f>
        <v>0</v>
      </c>
      <c r="AF35" s="3792">
        <f>+SINTER!AC95</f>
        <v>21.858669683074151</v>
      </c>
      <c r="AG35" s="3792">
        <f>+SINTER!AD95</f>
        <v>0.42643694499499807</v>
      </c>
      <c r="AH35" s="3785">
        <f>+SINTER!AE95</f>
        <v>0</v>
      </c>
      <c r="AI35" s="3291">
        <f>+SINTER!AF95</f>
        <v>6.1575639282934254E-2</v>
      </c>
      <c r="AJ35" s="3792">
        <f>+SINTER!AG95</f>
        <v>21.858669683074151</v>
      </c>
      <c r="AK35" s="3792">
        <f>+SINTER!AH95</f>
        <v>0</v>
      </c>
      <c r="AL35" s="3785">
        <f>+SINTER!AI95</f>
        <v>0</v>
      </c>
      <c r="AM35" s="3291">
        <f>+SINTER!AJ95</f>
        <v>6.0999072737365996E-2</v>
      </c>
      <c r="AN35" s="3792">
        <f>+SINTER!AK95</f>
        <v>21.858669683074151</v>
      </c>
      <c r="AO35" s="3792">
        <f>+SINTER!AL95</f>
        <v>1.2969989270030198</v>
      </c>
      <c r="AP35" s="3840">
        <f>+SINTER!AM95</f>
        <v>0</v>
      </c>
      <c r="AQ35" s="3793">
        <f>+SINTER!AN95</f>
        <v>0.82754840103944294</v>
      </c>
      <c r="AR35" s="3785">
        <f>+SINTER!AO95</f>
        <v>0</v>
      </c>
      <c r="AS35" s="3291">
        <f>+SINTER!AP95</f>
        <v>0.21157596806954784</v>
      </c>
      <c r="AT35" s="3792">
        <f>+SINTER!AQ95</f>
        <v>21.858669683074151</v>
      </c>
      <c r="AU35" s="3792">
        <f>+SINTER!AR95</f>
        <v>3.9918754231550437</v>
      </c>
      <c r="AV35" s="3785">
        <f>+SINTER!AS95</f>
        <v>0</v>
      </c>
      <c r="AW35" s="3291">
        <f>+SINTER!AT95</f>
        <v>0.6298219809069856</v>
      </c>
      <c r="AX35" s="3792">
        <f>+SINTER!AU95</f>
        <v>21.858669683074151</v>
      </c>
      <c r="AY35" s="3792">
        <f>+SINTER!AV95</f>
        <v>2.6832195130496732</v>
      </c>
      <c r="AZ35" s="3785">
        <f>+SINTER!AW95</f>
        <v>0</v>
      </c>
      <c r="BA35" s="3291">
        <f>+SINTER!AX95</f>
        <v>0.82093506705254138</v>
      </c>
      <c r="BB35" s="3792">
        <f>+SINTER!AY95</f>
        <v>21.858669683074151</v>
      </c>
      <c r="BC35" s="3792">
        <f>+SINTER!AZ95</f>
        <v>0</v>
      </c>
      <c r="BD35" s="3795">
        <f>+SINTER!BA95</f>
        <v>0</v>
      </c>
      <c r="BE35" s="3795">
        <f>+SINTER!BB95</f>
        <v>2.1332377699865126</v>
      </c>
      <c r="BF35" s="3796">
        <f>+SINTER!BC95</f>
        <v>0</v>
      </c>
      <c r="BG35" s="3797">
        <f>+SINTER!BD95</f>
        <v>1.6063706074058948</v>
      </c>
      <c r="BH35" s="3785">
        <f>+SINTER!BE95</f>
        <v>0</v>
      </c>
      <c r="BI35" s="3291">
        <f>+SINTER!BF95</f>
        <v>0.73863622471558465</v>
      </c>
    </row>
    <row r="36" spans="3:61" ht="15.75" thickBot="1" x14ac:dyDescent="0.3">
      <c r="C36" s="5834"/>
      <c r="D36" s="3850" t="s">
        <v>1050</v>
      </c>
      <c r="E36" s="3768" t="s">
        <v>229</v>
      </c>
      <c r="F36" s="3816">
        <v>32.711238390550697</v>
      </c>
      <c r="G36" s="3851">
        <v>30.92429424402145</v>
      </c>
      <c r="H36" s="3819">
        <f>+SINTER!E83</f>
        <v>30.937619988311706</v>
      </c>
      <c r="I36" s="3819">
        <f>+SINTER!F83</f>
        <v>30.090265046763761</v>
      </c>
      <c r="J36" s="3819">
        <f>+SINTER!G83</f>
        <v>30.937619988311706</v>
      </c>
      <c r="K36" s="3819">
        <f>+SINTER!H83</f>
        <v>31.337579438568419</v>
      </c>
      <c r="L36" s="3308">
        <f>+SINTER!I83</f>
        <v>30.937619988311702</v>
      </c>
      <c r="M36" s="3308">
        <f>+SINTER!J83</f>
        <v>30.744754377259472</v>
      </c>
      <c r="N36" s="3819">
        <f>+SINTER!K83</f>
        <v>30.937619988311706</v>
      </c>
      <c r="O36" s="3819">
        <f>+SINTER!L83</f>
        <v>31.192641532500247</v>
      </c>
      <c r="P36" s="3821">
        <f>+SINTER!M83</f>
        <v>30.937619988311702</v>
      </c>
      <c r="Q36" s="3822">
        <f>+SINTER!N83</f>
        <v>30.904737946288691</v>
      </c>
      <c r="R36" s="3819">
        <f>+SINTER!O83</f>
        <v>30.93761998831171</v>
      </c>
      <c r="S36" s="3819">
        <f>+SINTER!P83</f>
        <v>31.291888632023316</v>
      </c>
      <c r="T36" s="3820">
        <f>+SINTER!Q83</f>
        <v>30.937619988311706</v>
      </c>
      <c r="U36" s="3308">
        <f>+SINTER!R83</f>
        <v>31.010893156121437</v>
      </c>
      <c r="V36" s="3819">
        <f>+SINTER!S83</f>
        <v>30.93761998831171</v>
      </c>
      <c r="W36" s="3819">
        <f>+SINTER!T83</f>
        <v>32.42672484661216</v>
      </c>
      <c r="X36" s="3820">
        <f>+SINTER!U83</f>
        <v>30.937619988311706</v>
      </c>
      <c r="Y36" s="3308">
        <f>+SINTER!V83</f>
        <v>31.306615413379511</v>
      </c>
      <c r="Z36" s="3819">
        <f>+SINTER!W83</f>
        <v>30.93761998831171</v>
      </c>
      <c r="AA36" s="3819">
        <f>+SINTER!X83</f>
        <v>32.829122908128404</v>
      </c>
      <c r="AB36" s="3821">
        <f>+SINTER!Y83</f>
        <v>30.937619988311706</v>
      </c>
      <c r="AC36" s="3821">
        <f>+SINTER!Z83</f>
        <v>32.166493788946148</v>
      </c>
      <c r="AD36" s="3823">
        <f>+SINTER!AA83</f>
        <v>30.937619988311699</v>
      </c>
      <c r="AE36" s="3824">
        <f>+SINTER!AB83</f>
        <v>31.564888588546847</v>
      </c>
      <c r="AF36" s="3819">
        <f>+SINTER!AC83</f>
        <v>30.829999999999991</v>
      </c>
      <c r="AG36" s="3819">
        <f>+SINTER!AD83</f>
        <v>30.930429092118331</v>
      </c>
      <c r="AH36" s="3820">
        <f>+SINTER!AE83</f>
        <v>30.920208401609656</v>
      </c>
      <c r="AI36" s="3308">
        <f>+SINTER!AF83</f>
        <v>31.473275398014842</v>
      </c>
      <c r="AJ36" s="3819">
        <f>+SINTER!AG83</f>
        <v>30.829999999999995</v>
      </c>
      <c r="AK36" s="3819">
        <f>+SINTER!AH83</f>
        <v>64.478633179007531</v>
      </c>
      <c r="AL36" s="3820">
        <f>+SINTER!AI83</f>
        <v>30.907932744683301</v>
      </c>
      <c r="AM36" s="3308">
        <f>+SINTER!AJ83</f>
        <v>31.78232269890588</v>
      </c>
      <c r="AN36" s="3819">
        <f>+SINTER!AK83</f>
        <v>30.829999999999991</v>
      </c>
      <c r="AO36" s="3819">
        <f>+SINTER!AL83</f>
        <v>31.699400449109962</v>
      </c>
      <c r="AP36" s="3821">
        <f>+SINTER!AM83</f>
        <v>30.829999999999995</v>
      </c>
      <c r="AQ36" s="3821">
        <f>+SINTER!AN83</f>
        <v>32.37583743154272</v>
      </c>
      <c r="AR36" s="3820">
        <f>+SINTER!AO83</f>
        <v>30.898375766373135</v>
      </c>
      <c r="AS36" s="3308">
        <f>+SINTER!AP83</f>
        <v>31.772220614439497</v>
      </c>
      <c r="AT36" s="3819">
        <f>+SINTER!AQ83</f>
        <v>30.829999999999991</v>
      </c>
      <c r="AU36" s="3819">
        <f>+SINTER!AR83</f>
        <v>30.616357481381286</v>
      </c>
      <c r="AV36" s="3820">
        <f>+SINTER!AS83</f>
        <v>30.890906709507817</v>
      </c>
      <c r="AW36" s="3308">
        <f>+SINTER!AT83</f>
        <v>31.644337849454558</v>
      </c>
      <c r="AX36" s="3819">
        <f>+SINTER!AU83</f>
        <v>30.830000000000005</v>
      </c>
      <c r="AY36" s="3819">
        <f>+SINTER!AV83</f>
        <v>30.78406068338877</v>
      </c>
      <c r="AZ36" s="3820">
        <f>+SINTER!AW83</f>
        <v>30.885416550084738</v>
      </c>
      <c r="BA36" s="3308">
        <f>+SINTER!AX83</f>
        <v>31.564270438457029</v>
      </c>
      <c r="BB36" s="3819">
        <f>+SINTER!AY83</f>
        <v>30.829999999999991</v>
      </c>
      <c r="BC36" s="3819">
        <f>+SINTER!AZ83</f>
        <v>29.247475732891111</v>
      </c>
      <c r="BD36" s="3803">
        <f>+SINTER!BA83</f>
        <v>30.83</v>
      </c>
      <c r="BE36" s="3803">
        <f>+SINTER!BB83</f>
        <v>30.167218027954082</v>
      </c>
      <c r="BF36" s="3823">
        <f>+SINTER!BC83</f>
        <v>30.829999999999995</v>
      </c>
      <c r="BG36" s="3824">
        <f>+SINTER!BD83</f>
        <v>31.058432329045949</v>
      </c>
      <c r="BH36" s="3820">
        <f>+SINTER!BE83</f>
        <v>30.880406684857054</v>
      </c>
      <c r="BI36" s="3308">
        <f>+SINTER!BF83</f>
        <v>31.3320114817468</v>
      </c>
    </row>
    <row r="37" spans="3:61" x14ac:dyDescent="0.25">
      <c r="C37" s="5826" t="s">
        <v>1063</v>
      </c>
      <c r="D37" s="3852" t="s">
        <v>355</v>
      </c>
      <c r="E37" s="3853" t="s">
        <v>363</v>
      </c>
      <c r="F37" s="3854">
        <v>400.04040555458937</v>
      </c>
      <c r="G37" s="3855">
        <f>+'Maj Techno Summ'!D10</f>
        <v>356.24</v>
      </c>
      <c r="H37" s="3856">
        <f>+'Maj Techno Summ'!E10</f>
        <v>356</v>
      </c>
      <c r="I37" s="3856">
        <f>+'Maj Techno Summ'!F10</f>
        <v>347.96952445897341</v>
      </c>
      <c r="J37" s="3856">
        <f>+'Maj Techno Summ'!G10</f>
        <v>356</v>
      </c>
      <c r="K37" s="3856">
        <f>+'Maj Techno Summ'!H10</f>
        <v>345.97012054468189</v>
      </c>
      <c r="L37" s="3857">
        <f>+'Maj Techno Summ'!I10</f>
        <v>356</v>
      </c>
      <c r="M37" s="3857">
        <f>+'Maj Techno Summ'!J10</f>
        <v>346.90840073756402</v>
      </c>
      <c r="N37" s="3856">
        <f>+'Maj Techno Summ'!K10</f>
        <v>356</v>
      </c>
      <c r="O37" s="3856">
        <f>+'Maj Techno Summ'!L10</f>
        <v>348.40698971547278</v>
      </c>
      <c r="P37" s="3858">
        <f>+'Maj Techno Summ'!M10</f>
        <v>356</v>
      </c>
      <c r="Q37" s="3859">
        <f>+'Maj Techno Summ'!N10</f>
        <v>347.43556530306734</v>
      </c>
      <c r="R37" s="3856">
        <f>+'Maj Techno Summ'!O10</f>
        <v>356</v>
      </c>
      <c r="S37" s="3856">
        <f>+'Maj Techno Summ'!P10</f>
        <v>362.56961546164109</v>
      </c>
      <c r="T37" s="3860">
        <f>+'Maj Techno Summ'!Q10</f>
        <v>356</v>
      </c>
      <c r="U37" s="3857">
        <f>+'Maj Techno Summ'!R10</f>
        <v>351.44755181150322</v>
      </c>
      <c r="V37" s="3856">
        <f>+'Maj Techno Summ'!S10</f>
        <v>356</v>
      </c>
      <c r="W37" s="3856">
        <f>+'Maj Techno Summ'!T10</f>
        <v>365.93798366603016</v>
      </c>
      <c r="X37" s="3860">
        <f>+'Maj Techno Summ'!U10</f>
        <v>356</v>
      </c>
      <c r="Y37" s="3857">
        <f>+'Maj Techno Summ'!V10</f>
        <v>354.34922586817993</v>
      </c>
      <c r="Z37" s="3856">
        <f>+'Maj Techno Summ'!W10</f>
        <v>383</v>
      </c>
      <c r="AA37" s="3856">
        <f>+'Maj Techno Summ'!X10</f>
        <v>390.38903144875366</v>
      </c>
      <c r="AB37" s="3858">
        <f>+'Maj Techno Summ'!Y10</f>
        <v>361.81538461538457</v>
      </c>
      <c r="AC37" s="3858">
        <f>+'Maj Techno Summ'!Z10</f>
        <v>372.53619548915242</v>
      </c>
      <c r="AD37" s="3861">
        <f>+'Maj Techno Summ'!AA10</f>
        <v>358.67326732673268</v>
      </c>
      <c r="AE37" s="3862">
        <f>+'Maj Techno Summ'!AB10</f>
        <v>360.16361712747266</v>
      </c>
      <c r="AF37" s="3856">
        <f>+'Maj Techno Summ'!AC10</f>
        <v>362.4</v>
      </c>
      <c r="AG37" s="3856">
        <f>+'Maj Techno Summ'!AD10</f>
        <v>380.55652082528508</v>
      </c>
      <c r="AH37" s="3860">
        <f>+'Maj Techno Summ'!AE10</f>
        <v>359.23317307692309</v>
      </c>
      <c r="AI37" s="3857">
        <f>+'Maj Techno Summ'!AF10</f>
        <v>362.94217969043541</v>
      </c>
      <c r="AJ37" s="3856">
        <f>+'Maj Techno Summ'!AG10</f>
        <v>355.3</v>
      </c>
      <c r="AK37" s="3856">
        <f>+'Maj Techno Summ'!AH10</f>
        <v>624.51898381131389</v>
      </c>
      <c r="AL37" s="3860">
        <f>+'Maj Techno Summ'!AI10</f>
        <v>358.73378803777547</v>
      </c>
      <c r="AM37" s="3857">
        <f>+'Maj Techno Summ'!AJ10</f>
        <v>364.17186537888733</v>
      </c>
      <c r="AN37" s="3856">
        <f>+'Maj Techno Summ'!AK10</f>
        <v>355.3</v>
      </c>
      <c r="AO37" s="3856">
        <f>+'Maj Techno Summ'!AL10</f>
        <v>366.34425469381154</v>
      </c>
      <c r="AP37" s="3858">
        <f>+'Maj Techno Summ'!AM10</f>
        <v>357.69218328840969</v>
      </c>
      <c r="AQ37" s="3858">
        <f>+'Maj Techno Summ'!AN10</f>
        <v>377.28919294026088</v>
      </c>
      <c r="AR37" s="3860">
        <f>+'Maj Techno Summ'!AO10</f>
        <v>358.33562152133578</v>
      </c>
      <c r="AS37" s="3857">
        <f>+'Maj Techno Summ'!AP10</f>
        <v>364.44973930055454</v>
      </c>
      <c r="AT37" s="3856">
        <f>+'Maj Techno Summ'!AQ10</f>
        <v>355.3</v>
      </c>
      <c r="AU37" s="3856">
        <f>+'Maj Techno Summ'!AR10</f>
        <v>348.01919033139393</v>
      </c>
      <c r="AV37" s="3860">
        <f>+'Maj Techno Summ'!AS10</f>
        <v>358.02019950124685</v>
      </c>
      <c r="AW37" s="3857">
        <f>+'Maj Techno Summ'!AT10</f>
        <v>362.55723585271016</v>
      </c>
      <c r="AX37" s="3856">
        <f>+'Maj Techno Summ'!AU10</f>
        <v>355.3</v>
      </c>
      <c r="AY37" s="3856">
        <f>+'Maj Techno Summ'!AV10</f>
        <v>342.2419244316095</v>
      </c>
      <c r="AZ37" s="3860">
        <f>+'Maj Techno Summ'!AW10</f>
        <v>357.78757126567842</v>
      </c>
      <c r="BA37" s="3857">
        <f>+'Maj Techno Summ'!AX10</f>
        <v>360.62005042056671</v>
      </c>
      <c r="BB37" s="3856">
        <f>+'Maj Techno Summ'!AY10</f>
        <v>355.3</v>
      </c>
      <c r="BC37" s="3856">
        <f>+'Maj Techno Summ'!AZ10</f>
        <v>339.29313876359765</v>
      </c>
      <c r="BD37" s="3863">
        <f>+'Maj Techno Summ'!BA10</f>
        <v>355.3</v>
      </c>
      <c r="BE37" s="3863">
        <f>+'Maj Techno Summ'!BB10</f>
        <v>343.20203543867916</v>
      </c>
      <c r="BF37" s="3861">
        <f>+'Maj Techno Summ'!BC10</f>
        <v>356.50995228357192</v>
      </c>
      <c r="BG37" s="3862">
        <f>+'Maj Techno Summ'!BD10</f>
        <v>356.72766837775703</v>
      </c>
      <c r="BH37" s="3860">
        <f>+'Maj Techno Summ'!BE10</f>
        <v>357.57171121138492</v>
      </c>
      <c r="BI37" s="3857">
        <f>+'Maj Techno Summ'!BF10</f>
        <v>358.59371283095254</v>
      </c>
    </row>
    <row r="38" spans="3:61" x14ac:dyDescent="0.25">
      <c r="C38" s="5827"/>
      <c r="D38" s="3864" t="s">
        <v>356</v>
      </c>
      <c r="E38" s="548" t="s">
        <v>363</v>
      </c>
      <c r="F38" s="3865">
        <v>36.610035455154154</v>
      </c>
      <c r="G38" s="3866">
        <f>+'Maj Techno Summ'!D11</f>
        <v>28.952542372881357</v>
      </c>
      <c r="H38" s="3838">
        <f>+'Maj Techno Summ'!E11</f>
        <v>29</v>
      </c>
      <c r="I38" s="3838">
        <f>+'Maj Techno Summ'!F11</f>
        <v>28.720758728777291</v>
      </c>
      <c r="J38" s="3838">
        <f>+'Maj Techno Summ'!G11</f>
        <v>29</v>
      </c>
      <c r="K38" s="3838">
        <f>+'Maj Techno Summ'!H11</f>
        <v>29.24639142160763</v>
      </c>
      <c r="L38" s="3305">
        <f>+'Maj Techno Summ'!I11</f>
        <v>29</v>
      </c>
      <c r="M38" s="3305">
        <f>+'Maj Techno Summ'!J11</f>
        <v>28.999722531500559</v>
      </c>
      <c r="N38" s="3838">
        <f>+'Maj Techno Summ'!K11</f>
        <v>29</v>
      </c>
      <c r="O38" s="3838">
        <f>+'Maj Techno Summ'!L11</f>
        <v>31.876010889904354</v>
      </c>
      <c r="P38" s="3840">
        <f>+'Maj Techno Summ'!M11</f>
        <v>29</v>
      </c>
      <c r="Q38" s="3841">
        <f>+'Maj Techno Summ'!N11</f>
        <v>30.01152585120477</v>
      </c>
      <c r="R38" s="3838">
        <f>+'Maj Techno Summ'!O11</f>
        <v>29</v>
      </c>
      <c r="S38" s="3838">
        <f>+'Maj Techno Summ'!P11</f>
        <v>40.769372829277593</v>
      </c>
      <c r="T38" s="3839">
        <f>+'Maj Techno Summ'!Q11</f>
        <v>29</v>
      </c>
      <c r="U38" s="3305">
        <f>+'Maj Techno Summ'!R11</f>
        <v>32.863395409162749</v>
      </c>
      <c r="V38" s="3838">
        <f>+'Maj Techno Summ'!S11</f>
        <v>29</v>
      </c>
      <c r="W38" s="3838">
        <f>+'Maj Techno Summ'!T11</f>
        <v>37.253344065234799</v>
      </c>
      <c r="X38" s="3839">
        <f>+'Maj Techno Summ'!U11</f>
        <v>29</v>
      </c>
      <c r="Y38" s="3305">
        <f>+'Maj Techno Summ'!V11</f>
        <v>33.7424720476887</v>
      </c>
      <c r="Z38" s="3838">
        <f>+'Maj Techno Summ'!W11</f>
        <v>28</v>
      </c>
      <c r="AA38" s="3838">
        <f>+'Maj Techno Summ'!X11</f>
        <v>36.733820007940906</v>
      </c>
      <c r="AB38" s="3840">
        <f>+'Maj Techno Summ'!Y11</f>
        <v>28.784615384615385</v>
      </c>
      <c r="AC38" s="3840">
        <f>+'Maj Techno Summ'!Z11</f>
        <v>38.320943992264716</v>
      </c>
      <c r="AD38" s="3842">
        <f>+'Maj Techno Summ'!AA11</f>
        <v>28.900990099009903</v>
      </c>
      <c r="AE38" s="3843">
        <f>+'Maj Techno Summ'!AB11</f>
        <v>34.225073636498855</v>
      </c>
      <c r="AF38" s="3838">
        <f>+'Maj Techno Summ'!AC11</f>
        <v>39</v>
      </c>
      <c r="AG38" s="3838">
        <f>+'Maj Techno Summ'!AD11</f>
        <v>39.767759135351639</v>
      </c>
      <c r="AH38" s="3839">
        <f>+'Maj Techno Summ'!AE11</f>
        <v>30.41826923076923</v>
      </c>
      <c r="AI38" s="3305">
        <f>+'Maj Techno Summ'!AF11</f>
        <v>34.980272535763049</v>
      </c>
      <c r="AJ38" s="3838">
        <f>+'Maj Techno Summ'!AG11</f>
        <v>39</v>
      </c>
      <c r="AK38" s="3838">
        <f>+'Maj Techno Summ'!AH11</f>
        <v>14.079451888680046</v>
      </c>
      <c r="AL38" s="3839">
        <f>+'Maj Techno Summ'!AI11</f>
        <v>31.507869884575026</v>
      </c>
      <c r="AM38" s="3305">
        <f>+'Maj Techno Summ'!AJ11</f>
        <v>34.882016728590102</v>
      </c>
      <c r="AN38" s="3838">
        <f>+'Maj Techno Summ'!AK11</f>
        <v>39</v>
      </c>
      <c r="AO38" s="3838">
        <f>+'Maj Techno Summ'!AL11</f>
        <v>33.19678231915703</v>
      </c>
      <c r="AP38" s="3840">
        <f>+'Maj Techno Summ'!AM11</f>
        <v>39</v>
      </c>
      <c r="AQ38" s="3840">
        <f>+'Maj Techno Summ'!AN11</f>
        <v>35.988653851616441</v>
      </c>
      <c r="AR38" s="3839">
        <f>+'Maj Techno Summ'!AO11</f>
        <v>32.376623376623378</v>
      </c>
      <c r="AS38" s="3305">
        <f>+'Maj Techno Summ'!AP11</f>
        <v>34.66645559916428</v>
      </c>
      <c r="AT38" s="3838">
        <f>+'Maj Techno Summ'!AQ11</f>
        <v>39</v>
      </c>
      <c r="AU38" s="3838">
        <f>+'Maj Techno Summ'!AR11</f>
        <v>30.413521108257008</v>
      </c>
      <c r="AV38" s="3839">
        <f>+'Maj Techno Summ'!AS11</f>
        <v>33.064837905236907</v>
      </c>
      <c r="AW38" s="3305">
        <f>+'Maj Techno Summ'!AT11</f>
        <v>34.176594109897835</v>
      </c>
      <c r="AX38" s="3838">
        <f>+'Maj Techno Summ'!AU11</f>
        <v>39</v>
      </c>
      <c r="AY38" s="3838">
        <f>+'Maj Techno Summ'!AV11</f>
        <v>29.174869378693284</v>
      </c>
      <c r="AZ38" s="3839">
        <f>+'Maj Techno Summ'!AW11</f>
        <v>33.572405929304445</v>
      </c>
      <c r="BA38" s="3305">
        <f>+'Maj Techno Summ'!AX11</f>
        <v>33.699649992033251</v>
      </c>
      <c r="BB38" s="3838">
        <f>+'Maj Techno Summ'!AY11</f>
        <v>39</v>
      </c>
      <c r="BC38" s="3838">
        <f>+'Maj Techno Summ'!AZ11</f>
        <v>28.136015995148384</v>
      </c>
      <c r="BD38" s="3844">
        <f>+'Maj Techno Summ'!BA11</f>
        <v>39</v>
      </c>
      <c r="BE38" s="3844">
        <f>+'Maj Techno Summ'!BB11</f>
        <v>29.240535926200902</v>
      </c>
      <c r="BF38" s="3842">
        <f>+'Maj Techno Summ'!BC11</f>
        <v>39</v>
      </c>
      <c r="BG38" s="3843">
        <f>+'Maj Techno Summ'!BD11</f>
        <v>31.918159194862927</v>
      </c>
      <c r="BH38" s="3839">
        <f>+'Maj Techno Summ'!BE11</f>
        <v>34.043387712599795</v>
      </c>
      <c r="BI38" s="3305">
        <f>+'Maj Techno Summ'!BF11</f>
        <v>33.171031461414493</v>
      </c>
    </row>
    <row r="39" spans="3:61" x14ac:dyDescent="0.25">
      <c r="C39" s="5827"/>
      <c r="D39" s="3864" t="s">
        <v>357</v>
      </c>
      <c r="E39" s="548" t="s">
        <v>363</v>
      </c>
      <c r="F39" s="3865">
        <v>122.58808331992087</v>
      </c>
      <c r="G39" s="3866">
        <f>+'Maj Techno Summ'!D12</f>
        <v>149.6650847457627</v>
      </c>
      <c r="H39" s="3838">
        <f>+'Maj Techno Summ'!E12</f>
        <v>150</v>
      </c>
      <c r="I39" s="3838">
        <f>+'Maj Techno Summ'!F12</f>
        <v>150.9002222658558</v>
      </c>
      <c r="J39" s="3838">
        <f>+'Maj Techno Summ'!G12</f>
        <v>150</v>
      </c>
      <c r="K39" s="3838">
        <f>+'Maj Techno Summ'!H12</f>
        <v>155.9320942443795</v>
      </c>
      <c r="L39" s="3305">
        <f>+'Maj Techno Summ'!I12</f>
        <v>150</v>
      </c>
      <c r="M39" s="3305">
        <f>+'Maj Techno Summ'!J12</f>
        <v>153.57073755360776</v>
      </c>
      <c r="N39" s="3838">
        <f>+'Maj Techno Summ'!K12</f>
        <v>150</v>
      </c>
      <c r="O39" s="3838">
        <f>+'Maj Techno Summ'!L12</f>
        <v>155.24561139837525</v>
      </c>
      <c r="P39" s="3840">
        <f>+'Maj Techno Summ'!M12</f>
        <v>150</v>
      </c>
      <c r="Q39" s="3841">
        <f>+'Maj Techno Summ'!N12</f>
        <v>154.15991454320627</v>
      </c>
      <c r="R39" s="3838">
        <f>+'Maj Techno Summ'!O12</f>
        <v>150</v>
      </c>
      <c r="S39" s="3838">
        <f>+'Maj Techno Summ'!P12</f>
        <v>142.77673720259727</v>
      </c>
      <c r="T39" s="3839">
        <f>+'Maj Techno Summ'!Q12</f>
        <v>150</v>
      </c>
      <c r="U39" s="3305">
        <f>+'Maj Techno Summ'!R12</f>
        <v>151.14227197990448</v>
      </c>
      <c r="V39" s="3838">
        <f>+'Maj Techno Summ'!S12</f>
        <v>150</v>
      </c>
      <c r="W39" s="3838">
        <f>+'Maj Techno Summ'!T12</f>
        <v>141.84996849132682</v>
      </c>
      <c r="X39" s="3839">
        <f>+'Maj Techno Summ'!U12</f>
        <v>150</v>
      </c>
      <c r="Y39" s="3305">
        <f>+'Maj Techno Summ'!V12</f>
        <v>149.28151060092952</v>
      </c>
      <c r="Z39" s="3838">
        <f>+'Maj Techno Summ'!W12</f>
        <v>121</v>
      </c>
      <c r="AA39" s="3838">
        <f>+'Maj Techno Summ'!X12</f>
        <v>128.55199052682025</v>
      </c>
      <c r="AB39" s="3840">
        <f>+'Maj Techno Summ'!Y12</f>
        <v>143.75384615384615</v>
      </c>
      <c r="AC39" s="3840">
        <f>+'Maj Techno Summ'!Z12</f>
        <v>137.94406463264903</v>
      </c>
      <c r="AD39" s="3842">
        <f>+'Maj Techno Summ'!AA12</f>
        <v>147.12871287128712</v>
      </c>
      <c r="AE39" s="3843">
        <f>+'Maj Techno Summ'!AB12</f>
        <v>145.93716569155515</v>
      </c>
      <c r="AF39" s="3838">
        <f>+'Maj Techno Summ'!AC12</f>
        <v>146</v>
      </c>
      <c r="AG39" s="3838">
        <f>+'Maj Techno Summ'!AD12</f>
        <v>126.07255945382309</v>
      </c>
      <c r="AH39" s="3839">
        <f>+'Maj Techno Summ'!AE12</f>
        <v>146.95913461538461</v>
      </c>
      <c r="AI39" s="3305">
        <f>+'Maj Techno Summ'!AF12</f>
        <v>143.23058442004745</v>
      </c>
      <c r="AJ39" s="3838">
        <f>+'Maj Techno Summ'!AG12</f>
        <v>146</v>
      </c>
      <c r="AK39" s="3838">
        <f>+'Maj Techno Summ'!AH12</f>
        <v>0</v>
      </c>
      <c r="AL39" s="3839">
        <f>+'Maj Techno Summ'!AI12</f>
        <v>146.83735571878279</v>
      </c>
      <c r="AM39" s="3305">
        <f>+'Maj Techno Summ'!AJ12</f>
        <v>142.55725025189798</v>
      </c>
      <c r="AN39" s="3838">
        <f>+'Maj Techno Summ'!AK12</f>
        <v>146</v>
      </c>
      <c r="AO39" s="3838">
        <f>+'Maj Techno Summ'!AL12</f>
        <v>138.96212419483157</v>
      </c>
      <c r="AP39" s="3840">
        <f>+'Maj Techno Summ'!AM12</f>
        <v>146</v>
      </c>
      <c r="AQ39" s="3840">
        <f>+'Maj Techno Summ'!AN12</f>
        <v>130.5950131072494</v>
      </c>
      <c r="AR39" s="3839">
        <f>+'Maj Techno Summ'!AO12</f>
        <v>146.74025974025972</v>
      </c>
      <c r="AS39" s="3305">
        <f>+'Maj Techno Summ'!AP12</f>
        <v>142.09739171296027</v>
      </c>
      <c r="AT39" s="3838">
        <f>+'Maj Techno Summ'!AQ12</f>
        <v>146</v>
      </c>
      <c r="AU39" s="3838">
        <f>+'Maj Techno Summ'!AR12</f>
        <v>153.61839772629187</v>
      </c>
      <c r="AV39" s="3839">
        <f>+'Maj Techno Summ'!AS12</f>
        <v>146.66334164588528</v>
      </c>
      <c r="AW39" s="3305">
        <f>+'Maj Techno Summ'!AT12</f>
        <v>143.42440419707083</v>
      </c>
      <c r="AX39" s="3838">
        <f>+'Maj Techno Summ'!AU12</f>
        <v>146</v>
      </c>
      <c r="AY39" s="3838">
        <f>+'Maj Techno Summ'!AV12</f>
        <v>156.32760908757055</v>
      </c>
      <c r="AZ39" s="3839">
        <f>+'Maj Techno Summ'!AW12</f>
        <v>146.6066134549601</v>
      </c>
      <c r="BA39" s="3305">
        <f>+'Maj Techno Summ'!AX12</f>
        <v>144.65480131103661</v>
      </c>
      <c r="BB39" s="3838">
        <f>+'Maj Techno Summ'!AY12</f>
        <v>146</v>
      </c>
      <c r="BC39" s="3838">
        <f>+'Maj Techno Summ'!AZ12</f>
        <v>158.53602736610694</v>
      </c>
      <c r="BD39" s="3844">
        <f>+'Maj Techno Summ'!BA12</f>
        <v>146</v>
      </c>
      <c r="BE39" s="3844">
        <f>+'Maj Techno Summ'!BB12</f>
        <v>156.16199084959428</v>
      </c>
      <c r="BF39" s="3842">
        <f>+'Maj Techno Summ'!BC12</f>
        <v>146</v>
      </c>
      <c r="BG39" s="3843">
        <f>+'Maj Techno Summ'!BD12</f>
        <v>146.01712745673188</v>
      </c>
      <c r="BH39" s="3839">
        <f>+'Maj Techno Summ'!BE12</f>
        <v>146.55397431447415</v>
      </c>
      <c r="BI39" s="3305">
        <f>+'Maj Techno Summ'!BF12</f>
        <v>145.97370067151337</v>
      </c>
    </row>
    <row r="40" spans="3:61" x14ac:dyDescent="0.25">
      <c r="C40" s="5827"/>
      <c r="D40" s="3864" t="s">
        <v>239</v>
      </c>
      <c r="E40" s="548" t="s">
        <v>363</v>
      </c>
      <c r="F40" s="3865">
        <v>559.23852432966441</v>
      </c>
      <c r="G40" s="3866">
        <f>+'Maj Techno Summ'!D13</f>
        <v>534.85762711864402</v>
      </c>
      <c r="H40" s="3838">
        <f>+'Maj Techno Summ'!E13</f>
        <v>535</v>
      </c>
      <c r="I40" s="3838">
        <f>+'Maj Techno Summ'!F13</f>
        <v>527.59050545360651</v>
      </c>
      <c r="J40" s="3838">
        <f>+'Maj Techno Summ'!G13</f>
        <v>535</v>
      </c>
      <c r="K40" s="3838">
        <f>+'Maj Techno Summ'!H13</f>
        <v>531.14860621066907</v>
      </c>
      <c r="L40" s="3305">
        <f>+'Maj Techno Summ'!I13</f>
        <v>535</v>
      </c>
      <c r="M40" s="3305">
        <f>+'Maj Techno Summ'!J13</f>
        <v>529.47886082267235</v>
      </c>
      <c r="N40" s="3838">
        <f>+'Maj Techno Summ'!K13</f>
        <v>535</v>
      </c>
      <c r="O40" s="3838">
        <f>+'Maj Techno Summ'!L13</f>
        <v>535.52861200375241</v>
      </c>
      <c r="P40" s="3840">
        <f>+'Maj Techno Summ'!M13</f>
        <v>535</v>
      </c>
      <c r="Q40" s="3841">
        <f>+'Maj Techno Summ'!N13</f>
        <v>531.60700569747837</v>
      </c>
      <c r="R40" s="3838">
        <f>+'Maj Techno Summ'!O13</f>
        <v>535</v>
      </c>
      <c r="S40" s="3838">
        <f>+'Maj Techno Summ'!P13</f>
        <v>546.11572549351592</v>
      </c>
      <c r="T40" s="3839">
        <f>+'Maj Techno Summ'!Q13</f>
        <v>535</v>
      </c>
      <c r="U40" s="3305">
        <f>+'Maj Techno Summ'!R13</f>
        <v>535.4532192005704</v>
      </c>
      <c r="V40" s="3838">
        <f>+'Maj Techno Summ'!S13</f>
        <v>535</v>
      </c>
      <c r="W40" s="3838">
        <f>+'Maj Techno Summ'!T13</f>
        <v>545.04129622259177</v>
      </c>
      <c r="X40" s="3839">
        <f>+'Maj Techno Summ'!U13</f>
        <v>535</v>
      </c>
      <c r="Y40" s="3305">
        <f>+'Maj Techno Summ'!V13</f>
        <v>537.37320851679817</v>
      </c>
      <c r="Z40" s="3838">
        <f>+'Maj Techno Summ'!W13</f>
        <v>532</v>
      </c>
      <c r="AA40" s="3838">
        <f>+'Maj Techno Summ'!X13</f>
        <v>555.67484198351485</v>
      </c>
      <c r="AB40" s="3840">
        <f>+'Maj Techno Summ'!Y13</f>
        <v>534.35384615384612</v>
      </c>
      <c r="AC40" s="3840">
        <f>+'Maj Techno Summ'!Z13</f>
        <v>548.80120411406619</v>
      </c>
      <c r="AD40" s="3842">
        <f>+'Maj Techno Summ'!AA13</f>
        <v>534.70297029702965</v>
      </c>
      <c r="AE40" s="3843">
        <f>+'Maj Techno Summ'!AB13</f>
        <v>540.32585645552672</v>
      </c>
      <c r="AF40" s="3838">
        <f>+'Maj Techno Summ'!AC13</f>
        <v>547.4</v>
      </c>
      <c r="AG40" s="3838">
        <f>+'Maj Techno Summ'!AD13</f>
        <v>546.39683941445981</v>
      </c>
      <c r="AH40" s="3839">
        <f>+'Maj Techno Summ'!AE13</f>
        <v>536.61057692307691</v>
      </c>
      <c r="AI40" s="3305">
        <f>+'Maj Techno Summ'!AF13</f>
        <v>541.15303664624594</v>
      </c>
      <c r="AJ40" s="3838">
        <f>+'Maj Techno Summ'!AG13</f>
        <v>540.29999999999995</v>
      </c>
      <c r="AK40" s="3838">
        <f>+'Maj Techno Summ'!AH13</f>
        <v>638.59843569999396</v>
      </c>
      <c r="AL40" s="3839">
        <f>+'Maj Techno Summ'!AI13</f>
        <v>537.07901364113332</v>
      </c>
      <c r="AM40" s="3305">
        <f>+'Maj Techno Summ'!AJ13</f>
        <v>541.61113235937546</v>
      </c>
      <c r="AN40" s="3838">
        <f>+'Maj Techno Summ'!AK13</f>
        <v>540.29999999999995</v>
      </c>
      <c r="AO40" s="3838">
        <f>+'Maj Techno Summ'!AL13</f>
        <v>538.50316120780008</v>
      </c>
      <c r="AP40" s="3840">
        <f>+'Maj Techno Summ'!AM13</f>
        <v>542.69218328840975</v>
      </c>
      <c r="AQ40" s="3840">
        <f>+'Maj Techno Summ'!AN13</f>
        <v>543.87285989912675</v>
      </c>
      <c r="AR40" s="3839">
        <f>+'Maj Techno Summ'!AO13</f>
        <v>537.4525046382189</v>
      </c>
      <c r="AS40" s="3305">
        <f>+'Maj Techno Summ'!AP13</f>
        <v>541.21358661267914</v>
      </c>
      <c r="AT40" s="3838">
        <f>+'Maj Techno Summ'!AQ13</f>
        <v>540.29999999999995</v>
      </c>
      <c r="AU40" s="3838">
        <f>+'Maj Techno Summ'!AR13</f>
        <v>532.05110916594276</v>
      </c>
      <c r="AV40" s="3839">
        <f>+'Maj Techno Summ'!AS13</f>
        <v>537.74837905236905</v>
      </c>
      <c r="AW40" s="3305">
        <f>+'Maj Techno Summ'!AT13</f>
        <v>540.15823415967884</v>
      </c>
      <c r="AX40" s="3838">
        <f>+'Maj Techno Summ'!AU13</f>
        <v>540.29999999999995</v>
      </c>
      <c r="AY40" s="3838">
        <f>+'Maj Techno Summ'!AV13</f>
        <v>527.74440289787333</v>
      </c>
      <c r="AZ40" s="3839">
        <f>+'Maj Techno Summ'!AW13</f>
        <v>537.96659064994299</v>
      </c>
      <c r="BA40" s="3305">
        <f>+'Maj Techno Summ'!AX13</f>
        <v>538.97450172363654</v>
      </c>
      <c r="BB40" s="3838">
        <f>+'Maj Techno Summ'!AY13</f>
        <v>540.29999999999995</v>
      </c>
      <c r="BC40" s="3838">
        <f>+'Maj Techno Summ'!AZ13</f>
        <v>525.96518212485296</v>
      </c>
      <c r="BD40" s="3844">
        <f>+'Maj Techno Summ'!BA13</f>
        <v>540.29999999999995</v>
      </c>
      <c r="BE40" s="3844">
        <f>+'Maj Techno Summ'!BB13</f>
        <v>528.6045622144743</v>
      </c>
      <c r="BF40" s="3842">
        <f>+'Maj Techno Summ'!BC13</f>
        <v>541.50995228357192</v>
      </c>
      <c r="BG40" s="3843">
        <f>+'Maj Techno Summ'!BD13</f>
        <v>534.66295502935191</v>
      </c>
      <c r="BH40" s="3839">
        <f>+'Maj Techno Summ'!BE13</f>
        <v>538.16907323845885</v>
      </c>
      <c r="BI40" s="3305">
        <f>+'Maj Techno Summ'!BF13</f>
        <v>537.7384449638804</v>
      </c>
    </row>
    <row r="41" spans="3:61" x14ac:dyDescent="0.25">
      <c r="C41" s="5827"/>
      <c r="D41" s="3864" t="s">
        <v>1896</v>
      </c>
      <c r="E41" s="548" t="s">
        <v>370</v>
      </c>
      <c r="F41" s="3867">
        <v>2.086254508453981</v>
      </c>
      <c r="G41" s="3868">
        <f>+'Maj Techno Summ'!D14</f>
        <v>2.4361020820953088</v>
      </c>
      <c r="H41" s="3869">
        <f>+'Maj Techno Summ'!E14</f>
        <v>2.4471008652249489</v>
      </c>
      <c r="I41" s="3869">
        <f>+'Maj Techno Summ'!F14</f>
        <v>2.3879780343565189</v>
      </c>
      <c r="J41" s="3869">
        <f>+'Maj Techno Summ'!G14</f>
        <v>2.4406270534121841</v>
      </c>
      <c r="K41" s="3869">
        <f>+'Maj Techno Summ'!H14</f>
        <v>2.4173399790859662</v>
      </c>
      <c r="L41" s="3870">
        <f>+'Maj Techno Summ'!I14</f>
        <v>2.4438090965065942</v>
      </c>
      <c r="M41" s="3870">
        <f>+'Maj Techno Summ'!J14</f>
        <v>2.40347160666763</v>
      </c>
      <c r="N41" s="3869">
        <f>+'Maj Techno Summ'!K14</f>
        <v>2.4471008652249489</v>
      </c>
      <c r="O41" s="3869">
        <f>+'Maj Techno Summ'!L14</f>
        <v>2.4868497260238507</v>
      </c>
      <c r="P41" s="3871">
        <f>+'Maj Techno Summ'!M14</f>
        <v>2.4448938839251428</v>
      </c>
      <c r="Q41" s="3872">
        <f>+'Maj Techno Summ'!N14</f>
        <v>2.4321568011919901</v>
      </c>
      <c r="R41" s="3869">
        <f>+'Maj Techno Summ'!O14</f>
        <v>2.3936919177696425</v>
      </c>
      <c r="S41" s="3869">
        <f>+'Maj Techno Summ'!P14</f>
        <v>2.4358635913554569</v>
      </c>
      <c r="T41" s="3873">
        <f>+'Maj Techno Summ'!Q14</f>
        <v>2.4318764349025579</v>
      </c>
      <c r="U41" s="3870">
        <f>+'Maj Techno Summ'!R14</f>
        <v>2.4331383595790892</v>
      </c>
      <c r="V41" s="3869">
        <f>+'Maj Techno Summ'!S14</f>
        <v>2.3936919177696425</v>
      </c>
      <c r="W41" s="3869">
        <f>+'Maj Techno Summ'!T14</f>
        <v>2.3754677151130301</v>
      </c>
      <c r="X41" s="3873">
        <f>+'Maj Techno Summ'!U14</f>
        <v>2.4241363300783183</v>
      </c>
      <c r="Y41" s="3870">
        <f>+'Maj Techno Summ'!V14</f>
        <v>2.4213668121745622</v>
      </c>
      <c r="Z41" s="3869">
        <f>+'Maj Techno Summ'!W14</f>
        <v>2.3168490916157101</v>
      </c>
      <c r="AA41" s="3869">
        <f>+'Maj Techno Summ'!X14</f>
        <v>2.3089599228862205</v>
      </c>
      <c r="AB41" s="3871">
        <f>+'Maj Techno Summ'!Y14</f>
        <v>2.018205442123318</v>
      </c>
      <c r="AC41" s="3871">
        <f>+'Maj Techno Summ'!Z14</f>
        <v>2.3743513256456312</v>
      </c>
      <c r="AD41" s="3874">
        <f>+'Maj Techno Summ'!AA14</f>
        <v>2.4130726567331631</v>
      </c>
      <c r="AE41" s="3875">
        <f>+'Maj Techno Summ'!AB14</f>
        <v>2.4024972748460312</v>
      </c>
      <c r="AF41" s="3869">
        <f>+'Maj Techno Summ'!AC14</f>
        <v>2.3467567821271005</v>
      </c>
      <c r="AG41" s="3869">
        <f>+'Maj Techno Summ'!AD14</f>
        <v>2.2356326894354832</v>
      </c>
      <c r="AH41" s="3873">
        <f>+'Maj Techno Summ'!AE14</f>
        <v>2.4028710969194242</v>
      </c>
      <c r="AI41" s="3870">
        <f>+'Maj Techno Summ'!AF14</f>
        <v>2.3783107521954485</v>
      </c>
      <c r="AJ41" s="3869">
        <f>+'Maj Techno Summ'!AG14</f>
        <v>2.3499936880334826</v>
      </c>
      <c r="AK41" s="3869">
        <f>+'Maj Techno Summ'!AH14</f>
        <v>0.80694655877663402</v>
      </c>
      <c r="AL41" s="3873">
        <f>+'Maj Techno Summ'!AI14</f>
        <v>2.3960258764009361</v>
      </c>
      <c r="AM41" s="3870">
        <f>+'Maj Techno Summ'!AJ14</f>
        <v>2.3567363894955582</v>
      </c>
      <c r="AN41" s="3869">
        <f>+'Maj Techno Summ'!AK14</f>
        <v>2.3467567821271005</v>
      </c>
      <c r="AO41" s="3869">
        <f>+'Maj Techno Summ'!AL14</f>
        <v>2.3560233856843715</v>
      </c>
      <c r="AP41" s="3871">
        <f>+'Maj Techno Summ'!AM14</f>
        <v>2.347811504276371</v>
      </c>
      <c r="AQ41" s="3871">
        <f>+'Maj Techno Summ'!AN14</f>
        <v>2.2291988613244564</v>
      </c>
      <c r="AR41" s="3873">
        <f>+'Maj Techno Summ'!AO14</f>
        <v>2.3902070784489053</v>
      </c>
      <c r="AS41" s="3870">
        <f>+'Maj Techno Summ'!AP14</f>
        <v>2.3566451639260722</v>
      </c>
      <c r="AT41" s="3869">
        <f>+'Maj Techno Summ'!AQ14</f>
        <v>2.3467567821271005</v>
      </c>
      <c r="AU41" s="3869">
        <f>+'Maj Techno Summ'!AR14</f>
        <v>2.4887714643263985</v>
      </c>
      <c r="AV41" s="3873">
        <f>+'Maj Techno Summ'!AS14</f>
        <v>2.3856175309996064</v>
      </c>
      <c r="AW41" s="3870">
        <f>+'Maj Techno Summ'!AT14</f>
        <v>2.3711444585556967</v>
      </c>
      <c r="AX41" s="3869">
        <f>+'Maj Techno Summ'!AU14</f>
        <v>2.3467567821271005</v>
      </c>
      <c r="AY41" s="3869">
        <f>+'Maj Techno Summ'!AV14</f>
        <v>2.4820490909149764</v>
      </c>
      <c r="AZ41" s="3873">
        <f>+'Maj Techno Summ'!AW14</f>
        <v>2.3822439512060303</v>
      </c>
      <c r="BA41" s="3870">
        <f>+'Maj Techno Summ'!AX14</f>
        <v>2.3812905651611711</v>
      </c>
      <c r="BB41" s="3869">
        <f>+'Maj Techno Summ'!AY14</f>
        <v>2.3467567821271005</v>
      </c>
      <c r="BC41" s="3869">
        <f>+'Maj Techno Summ'!AZ14</f>
        <v>2.458086816036321</v>
      </c>
      <c r="BD41" s="3876">
        <f>+'Maj Techno Summ'!BA14</f>
        <v>2.3467567821271009</v>
      </c>
      <c r="BE41" s="3876">
        <f>+'Maj Techno Summ'!BB14</f>
        <v>2.4760163164415827</v>
      </c>
      <c r="BF41" s="3874">
        <f>+'Maj Techno Summ'!BC14</f>
        <v>2.3472901359412202</v>
      </c>
      <c r="BG41" s="3875">
        <f>+'Maj Techno Summ'!BD14</f>
        <v>2.371814661419942</v>
      </c>
      <c r="BH41" s="3873">
        <f>+'Maj Techno Summ'!BE14</f>
        <v>2.3791220672937579</v>
      </c>
      <c r="BI41" s="3870">
        <f>+'Maj Techno Summ'!BF14</f>
        <v>2.3883803019635828</v>
      </c>
    </row>
    <row r="42" spans="3:61" x14ac:dyDescent="0.25">
      <c r="C42" s="5827"/>
      <c r="D42" s="3952" t="s">
        <v>1882</v>
      </c>
      <c r="E42" s="3788" t="s">
        <v>49</v>
      </c>
      <c r="F42" s="3953"/>
      <c r="G42" s="3784">
        <f>'B-FCE'!D52</f>
        <v>70</v>
      </c>
      <c r="H42" s="3784">
        <f>'B-FCE'!E52</f>
        <v>70</v>
      </c>
      <c r="I42" s="3792">
        <f>'B-FCE'!F52</f>
        <v>67.728144451358403</v>
      </c>
      <c r="J42" s="3784">
        <f>'B-FCE'!G52</f>
        <v>70</v>
      </c>
      <c r="K42" s="3792">
        <f>'B-FCE'!H52</f>
        <v>68.465990846559237</v>
      </c>
      <c r="L42" s="3785">
        <f>'B-FCE'!I52</f>
        <v>70</v>
      </c>
      <c r="M42" s="3291">
        <f>'B-FCE'!J52</f>
        <v>68.119907620735091</v>
      </c>
      <c r="N42" s="3784">
        <f>'B-FCE'!K52</f>
        <v>70</v>
      </c>
      <c r="O42" s="3792">
        <f>'B-FCE'!L52</f>
        <v>71.047645175615003</v>
      </c>
      <c r="P42" s="3793">
        <f>'B-FCE'!M52</f>
        <v>70</v>
      </c>
      <c r="Q42" s="3794">
        <f>'B-FCE'!N52</f>
        <v>69.148743912047877</v>
      </c>
      <c r="R42" s="3784">
        <f>'B-FCE'!O52</f>
        <v>70</v>
      </c>
      <c r="S42" s="3792">
        <f>'B-FCE'!P52</f>
        <v>71.384631555241967</v>
      </c>
      <c r="T42" s="3785">
        <f>'B-FCE'!Q52</f>
        <v>70</v>
      </c>
      <c r="U42" s="3291">
        <f>'B-FCE'!R52</f>
        <v>69.740462066714827</v>
      </c>
      <c r="V42" s="3784">
        <f>'B-FCE'!S52</f>
        <v>70</v>
      </c>
      <c r="W42" s="3792">
        <f>'B-FCE'!T52</f>
        <v>71.877454944505445</v>
      </c>
      <c r="X42" s="3785">
        <f>'B-FCE'!U52</f>
        <v>70</v>
      </c>
      <c r="Y42" s="3291">
        <f>'B-FCE'!V52</f>
        <v>70.167468902948016</v>
      </c>
      <c r="Z42" s="3784">
        <f>'B-FCE'!W52</f>
        <v>70</v>
      </c>
      <c r="AA42" s="3792">
        <f>'B-FCE'!X52</f>
        <v>72.26190291472065</v>
      </c>
      <c r="AB42" s="3840">
        <f>'B-FCE'!Y52</f>
        <v>70</v>
      </c>
      <c r="AC42" s="3793">
        <f>'B-FCE'!Z52</f>
        <v>71.826910831363094</v>
      </c>
      <c r="AD42" s="3842">
        <f>'B-FCE'!AA52</f>
        <v>70</v>
      </c>
      <c r="AE42" s="3797">
        <f>'B-FCE'!AB52</f>
        <v>70.504967284283907</v>
      </c>
      <c r="AF42" s="3784">
        <f>'B-FCE'!AC52</f>
        <v>70</v>
      </c>
      <c r="AG42" s="3792">
        <f>'B-FCE'!AD52</f>
        <v>75.456460322892482</v>
      </c>
      <c r="AH42" s="3785">
        <f>'B-FCE'!AE52</f>
        <v>70</v>
      </c>
      <c r="AI42" s="3291">
        <f>'B-FCE'!AF52</f>
        <v>71.175054870274892</v>
      </c>
      <c r="AJ42" s="3784">
        <f>'B-FCE'!AG52</f>
        <v>70</v>
      </c>
      <c r="AK42" s="3792">
        <f>'B-FCE'!AH52</f>
        <v>65.313173496372698</v>
      </c>
      <c r="AL42" s="3785">
        <f>'B-FCE'!AI52</f>
        <v>70</v>
      </c>
      <c r="AM42" s="3291">
        <f>'B-FCE'!AJ52</f>
        <v>71.150019027365147</v>
      </c>
      <c r="AN42" s="3784">
        <f>'B-FCE'!AK52</f>
        <v>70</v>
      </c>
      <c r="AO42" s="3792">
        <f>'B-FCE'!AL52</f>
        <v>68.301122234689601</v>
      </c>
      <c r="AP42" s="3840">
        <f>'B-FCE'!AM52</f>
        <v>70</v>
      </c>
      <c r="AQ42" s="3793">
        <f>'B-FCE'!AN52</f>
        <v>71.619620041507233</v>
      </c>
      <c r="AR42" s="3785">
        <f>'B-FCE'!AO52</f>
        <v>70</v>
      </c>
      <c r="AS42" s="3291">
        <f>'B-FCE'!AP52</f>
        <v>70.783422981938074</v>
      </c>
      <c r="AT42" s="3784">
        <f>'B-FCE'!AQ52</f>
        <v>70</v>
      </c>
      <c r="AU42" s="3792">
        <f>'B-FCE'!AR52</f>
        <v>67.761756277843389</v>
      </c>
      <c r="AV42" s="3785">
        <f>'B-FCE'!AS52</f>
        <v>70</v>
      </c>
      <c r="AW42" s="3292">
        <f>'B-FCE'!AT52</f>
        <v>70.436743104555219</v>
      </c>
      <c r="AX42" s="3784">
        <f>'B-FCE'!AU52</f>
        <v>70</v>
      </c>
      <c r="AY42" s="3792">
        <f>'B-FCE'!AV52</f>
        <v>69.713499863473473</v>
      </c>
      <c r="AZ42" s="3785">
        <f>'B-FCE'!AW52</f>
        <v>70</v>
      </c>
      <c r="BA42" s="3291">
        <f>'B-FCE'!AX52</f>
        <v>70.367862201829354</v>
      </c>
      <c r="BB42" s="3784">
        <f>'B-FCE'!AY52</f>
        <v>70</v>
      </c>
      <c r="BC42" s="3792">
        <f>'B-FCE'!AZ52</f>
        <v>71.926187645776693</v>
      </c>
      <c r="BD42" s="3795">
        <f>'B-FCE'!BA52</f>
        <v>70</v>
      </c>
      <c r="BE42" s="3795">
        <f>'B-FCE'!BB52</f>
        <v>69.824227928002742</v>
      </c>
      <c r="BF42" s="3796">
        <f>'B-FCE'!BC52</f>
        <v>70</v>
      </c>
      <c r="BG42" s="3797">
        <f>'B-FCE'!BD52</f>
        <v>70.534181863157983</v>
      </c>
      <c r="BH42" s="3785">
        <f>'B-FCE'!BE52</f>
        <v>70</v>
      </c>
      <c r="BI42" s="3291">
        <f>'B-FCE'!BF52</f>
        <v>70.518322691173125</v>
      </c>
    </row>
    <row r="43" spans="3:61" x14ac:dyDescent="0.25">
      <c r="C43" s="5827"/>
      <c r="D43" s="3952" t="s">
        <v>1883</v>
      </c>
      <c r="E43" s="3788" t="s">
        <v>49</v>
      </c>
      <c r="F43" s="3953"/>
      <c r="G43" s="3784">
        <f>'B-FCE'!D53</f>
        <v>17</v>
      </c>
      <c r="H43" s="3784">
        <f>'B-FCE'!E53</f>
        <v>17</v>
      </c>
      <c r="I43" s="3792">
        <f>'B-FCE'!F53</f>
        <v>17.983612954408294</v>
      </c>
      <c r="J43" s="3784">
        <f>'B-FCE'!G53</f>
        <v>17</v>
      </c>
      <c r="K43" s="3792">
        <f>'B-FCE'!H53</f>
        <v>16.33835323000303</v>
      </c>
      <c r="L43" s="3785">
        <f>'B-FCE'!I53</f>
        <v>17.000000000000004</v>
      </c>
      <c r="M43" s="3291">
        <f>'B-FCE'!J53</f>
        <v>17.110054218778231</v>
      </c>
      <c r="N43" s="3784">
        <f>'B-FCE'!K53</f>
        <v>17</v>
      </c>
      <c r="O43" s="3792">
        <f>'B-FCE'!L53</f>
        <v>14.715926131726953</v>
      </c>
      <c r="P43" s="3793">
        <f>'B-FCE'!M53</f>
        <v>17.000000000000004</v>
      </c>
      <c r="Q43" s="3794">
        <f>'B-FCE'!N53</f>
        <v>16.268733637326505</v>
      </c>
      <c r="R43" s="3784">
        <f>'B-FCE'!O53</f>
        <v>17</v>
      </c>
      <c r="S43" s="3792">
        <f>'B-FCE'!P53</f>
        <v>12.208057847674937</v>
      </c>
      <c r="T43" s="3785">
        <f>'B-FCE'!Q53</f>
        <v>16.999999999999986</v>
      </c>
      <c r="U43" s="3291">
        <f>'B-FCE'!R53</f>
        <v>15.19409306123705</v>
      </c>
      <c r="V43" s="3784">
        <f>'B-FCE'!S53</f>
        <v>17</v>
      </c>
      <c r="W43" s="3792">
        <f>'B-FCE'!T53</f>
        <v>16.410652314272546</v>
      </c>
      <c r="X43" s="3785">
        <f>'B-FCE'!U53</f>
        <v>17</v>
      </c>
      <c r="Y43" s="3291">
        <f>'B-FCE'!V53</f>
        <v>15.437181900291099</v>
      </c>
      <c r="Z43" s="3784">
        <f>'B-FCE'!W53</f>
        <v>17</v>
      </c>
      <c r="AA43" s="3792">
        <f>'B-FCE'!X53</f>
        <v>16.745316190606811</v>
      </c>
      <c r="AB43" s="3840">
        <f>'B-FCE'!Y53</f>
        <v>17.000000000000007</v>
      </c>
      <c r="AC43" s="3793">
        <f>'B-FCE'!Z53</f>
        <v>15.042907535581181</v>
      </c>
      <c r="AD43" s="3842">
        <f>'B-FCE'!AA53</f>
        <v>17.000000000000007</v>
      </c>
      <c r="AE43" s="3797">
        <f>'B-FCE'!AB53</f>
        <v>15.647975462212818</v>
      </c>
      <c r="AF43" s="3784">
        <f>'B-FCE'!AC53</f>
        <v>15</v>
      </c>
      <c r="AG43" s="3792">
        <f>'B-FCE'!AD53</f>
        <v>14.345528439431277</v>
      </c>
      <c r="AH43" s="3785">
        <f>'B-FCE'!AE53</f>
        <v>16.999999999999989</v>
      </c>
      <c r="AI43" s="3291">
        <f>'B-FCE'!AF53</f>
        <v>15.471714771836867</v>
      </c>
      <c r="AJ43" s="3784">
        <f>'B-FCE'!AG53</f>
        <v>15</v>
      </c>
      <c r="AK43" s="3792">
        <f>'B-FCE'!AH53</f>
        <v>30.952460854694991</v>
      </c>
      <c r="AL43" s="3785">
        <f>'B-FCE'!AI53</f>
        <v>16.999999999999993</v>
      </c>
      <c r="AM43" s="3291">
        <f>'B-FCE'!AJ53</f>
        <v>15.537832371688289</v>
      </c>
      <c r="AN43" s="3784">
        <f>'B-FCE'!AK53</f>
        <v>15</v>
      </c>
      <c r="AO43" s="3792">
        <f>'B-FCE'!AL53</f>
        <v>19.89864634827909</v>
      </c>
      <c r="AP43" s="3840">
        <f>'B-FCE'!AM53</f>
        <v>17.000000000000007</v>
      </c>
      <c r="AQ43" s="3793">
        <f>'B-FCE'!AN53</f>
        <v>17.453345580149978</v>
      </c>
      <c r="AR43" s="3785">
        <f>'B-FCE'!AO53</f>
        <v>17.000000000000007</v>
      </c>
      <c r="AS43" s="3291">
        <f>'B-FCE'!AP53</f>
        <v>16.098981923603048</v>
      </c>
      <c r="AT43" s="3784">
        <f>'B-FCE'!AQ53</f>
        <v>15</v>
      </c>
      <c r="AU43" s="3792">
        <f>'B-FCE'!AR53</f>
        <v>16.716073600986931</v>
      </c>
      <c r="AV43" s="3785">
        <f>'B-FCE'!AS53</f>
        <v>17.000000000000004</v>
      </c>
      <c r="AW43" s="3292">
        <f>'B-FCE'!AT53</f>
        <v>16.169781680161094</v>
      </c>
      <c r="AX43" s="3784">
        <f>'B-FCE'!AU53</f>
        <v>15</v>
      </c>
      <c r="AY43" s="3792">
        <f>'B-FCE'!AV53</f>
        <v>13.446591156927752</v>
      </c>
      <c r="AZ43" s="3785">
        <f>'B-FCE'!AW53</f>
        <v>16.999999999999993</v>
      </c>
      <c r="BA43" s="3291">
        <f>'B-FCE'!AX53</f>
        <v>15.910427965006688</v>
      </c>
      <c r="BB43" s="3784">
        <f>'B-FCE'!AY53</f>
        <v>15</v>
      </c>
      <c r="BC43" s="3792">
        <f>'B-FCE'!AZ53</f>
        <v>8.5266573962113057</v>
      </c>
      <c r="BD43" s="3795">
        <f>'B-FCE'!BA53</f>
        <v>17.000000000000004</v>
      </c>
      <c r="BE43" s="3795">
        <f>'B-FCE'!BB53</f>
        <v>12.837227506052255</v>
      </c>
      <c r="BF43" s="3796">
        <f>'B-FCE'!BC53</f>
        <v>16.999999999999989</v>
      </c>
      <c r="BG43" s="3797">
        <f>'B-FCE'!BD53</f>
        <v>14.662584299811334</v>
      </c>
      <c r="BH43" s="3785">
        <f>'B-FCE'!BE53</f>
        <v>16.999999999999993</v>
      </c>
      <c r="BI43" s="3291">
        <f>'B-FCE'!BF53</f>
        <v>15.197505168746011</v>
      </c>
    </row>
    <row r="44" spans="3:61" x14ac:dyDescent="0.25">
      <c r="C44" s="5827"/>
      <c r="D44" s="3952" t="s">
        <v>1884</v>
      </c>
      <c r="E44" s="3788" t="s">
        <v>49</v>
      </c>
      <c r="F44" s="3953"/>
      <c r="G44" s="3784">
        <f>G42+G43</f>
        <v>87</v>
      </c>
      <c r="H44" s="3784">
        <f>H42+H43</f>
        <v>87</v>
      </c>
      <c r="I44" s="3792">
        <f t="shared" ref="I44:BI44" si="0">I42+I43</f>
        <v>85.71175740576669</v>
      </c>
      <c r="J44" s="3784">
        <f>J42+J43</f>
        <v>87</v>
      </c>
      <c r="K44" s="3792">
        <f t="shared" ref="K44" si="1">K42+K43</f>
        <v>84.804344076562273</v>
      </c>
      <c r="L44" s="3785">
        <f t="shared" si="0"/>
        <v>87</v>
      </c>
      <c r="M44" s="3291">
        <f t="shared" si="0"/>
        <v>85.229961839513322</v>
      </c>
      <c r="N44" s="3784">
        <f>N42+N43</f>
        <v>87</v>
      </c>
      <c r="O44" s="3792">
        <f t="shared" ref="O44" si="2">O42+O43</f>
        <v>85.763571307341948</v>
      </c>
      <c r="P44" s="3793">
        <f t="shared" si="0"/>
        <v>87</v>
      </c>
      <c r="Q44" s="3794">
        <f t="shared" si="0"/>
        <v>85.417477549374382</v>
      </c>
      <c r="R44" s="3784">
        <f>R42+R43</f>
        <v>87</v>
      </c>
      <c r="S44" s="3792">
        <f t="shared" ref="S44" si="3">S42+S43</f>
        <v>83.592689402916903</v>
      </c>
      <c r="T44" s="3785">
        <f t="shared" si="0"/>
        <v>86.999999999999986</v>
      </c>
      <c r="U44" s="3291">
        <f t="shared" si="0"/>
        <v>84.934555127951882</v>
      </c>
      <c r="V44" s="3784">
        <f>V42+V43</f>
        <v>87</v>
      </c>
      <c r="W44" s="3792">
        <f t="shared" ref="W44" si="4">W42+W43</f>
        <v>88.288107258777984</v>
      </c>
      <c r="X44" s="3785">
        <f t="shared" ref="X44:Y44" si="5">X42+X43</f>
        <v>87</v>
      </c>
      <c r="Y44" s="3291">
        <f t="shared" si="5"/>
        <v>85.60465080323911</v>
      </c>
      <c r="Z44" s="3784">
        <f>Z42+Z43</f>
        <v>87</v>
      </c>
      <c r="AA44" s="3792">
        <f t="shared" ref="AA44" si="6">AA42+AA43</f>
        <v>89.007219105327465</v>
      </c>
      <c r="AB44" s="3840">
        <f t="shared" si="0"/>
        <v>87</v>
      </c>
      <c r="AC44" s="3793">
        <f t="shared" si="0"/>
        <v>86.869818366944273</v>
      </c>
      <c r="AD44" s="3842">
        <f t="shared" si="0"/>
        <v>87</v>
      </c>
      <c r="AE44" s="3797">
        <f t="shared" si="0"/>
        <v>86.15294274649672</v>
      </c>
      <c r="AF44" s="3784">
        <f t="shared" si="0"/>
        <v>85</v>
      </c>
      <c r="AG44" s="3792">
        <f t="shared" si="0"/>
        <v>89.801988762323759</v>
      </c>
      <c r="AH44" s="3785">
        <f t="shared" si="0"/>
        <v>86.999999999999986</v>
      </c>
      <c r="AI44" s="3291">
        <f t="shared" si="0"/>
        <v>86.646769642111764</v>
      </c>
      <c r="AJ44" s="3784">
        <f t="shared" ref="AJ44:AK44" si="7">AJ42+AJ43</f>
        <v>85</v>
      </c>
      <c r="AK44" s="3792">
        <f t="shared" si="7"/>
        <v>96.265634351067689</v>
      </c>
      <c r="AL44" s="3785">
        <f t="shared" si="0"/>
        <v>87</v>
      </c>
      <c r="AM44" s="3291">
        <f t="shared" si="0"/>
        <v>86.687851399053443</v>
      </c>
      <c r="AN44" s="3784">
        <f t="shared" si="0"/>
        <v>85</v>
      </c>
      <c r="AO44" s="3792">
        <f t="shared" si="0"/>
        <v>88.199768582968687</v>
      </c>
      <c r="AP44" s="3840">
        <f t="shared" si="0"/>
        <v>87</v>
      </c>
      <c r="AQ44" s="3793">
        <f t="shared" si="0"/>
        <v>89.072965621657204</v>
      </c>
      <c r="AR44" s="3785">
        <f t="shared" si="0"/>
        <v>87</v>
      </c>
      <c r="AS44" s="3291">
        <f t="shared" si="0"/>
        <v>86.882404905541122</v>
      </c>
      <c r="AT44" s="3784">
        <f t="shared" ref="AT44:AU44" si="8">AT42+AT43</f>
        <v>85</v>
      </c>
      <c r="AU44" s="3792">
        <f t="shared" si="8"/>
        <v>84.47782987883032</v>
      </c>
      <c r="AV44" s="3785">
        <f t="shared" si="0"/>
        <v>87</v>
      </c>
      <c r="AW44" s="3292">
        <f t="shared" si="0"/>
        <v>86.606524784716314</v>
      </c>
      <c r="AX44" s="3784">
        <f t="shared" si="0"/>
        <v>85</v>
      </c>
      <c r="AY44" s="3792">
        <f t="shared" si="0"/>
        <v>83.160091020401225</v>
      </c>
      <c r="AZ44" s="3785">
        <f t="shared" ref="AZ44:BC44" si="9">AZ42+AZ43</f>
        <v>87</v>
      </c>
      <c r="BA44" s="3291">
        <f t="shared" si="9"/>
        <v>86.278290166836044</v>
      </c>
      <c r="BB44" s="3784">
        <f t="shared" si="9"/>
        <v>85</v>
      </c>
      <c r="BC44" s="3792">
        <f t="shared" si="9"/>
        <v>80.452845041987999</v>
      </c>
      <c r="BD44" s="3795">
        <f t="shared" si="0"/>
        <v>87</v>
      </c>
      <c r="BE44" s="3795">
        <f t="shared" si="0"/>
        <v>82.661455434055</v>
      </c>
      <c r="BF44" s="3796">
        <f t="shared" si="0"/>
        <v>86.999999999999986</v>
      </c>
      <c r="BG44" s="3797">
        <f t="shared" si="0"/>
        <v>85.196766162969311</v>
      </c>
      <c r="BH44" s="3785">
        <f t="shared" si="0"/>
        <v>87</v>
      </c>
      <c r="BI44" s="3291">
        <f t="shared" si="0"/>
        <v>85.715827859919131</v>
      </c>
    </row>
    <row r="45" spans="3:61" x14ac:dyDescent="0.25">
      <c r="C45" s="5827"/>
      <c r="D45" s="3864" t="s">
        <v>1057</v>
      </c>
      <c r="E45" s="548" t="s">
        <v>249</v>
      </c>
      <c r="F45" s="3865">
        <v>1139.2636881143576</v>
      </c>
      <c r="G45" s="3866">
        <f>+'B-FCE'!D81</f>
        <v>1175</v>
      </c>
      <c r="H45" s="3838">
        <f>+'B-FCE'!E81</f>
        <v>1175</v>
      </c>
      <c r="I45" s="3838">
        <f>+'B-FCE'!F81</f>
        <v>1169.6366534085485</v>
      </c>
      <c r="J45" s="3838">
        <f>+'B-FCE'!G81</f>
        <v>1175</v>
      </c>
      <c r="K45" s="3838">
        <f>+'B-FCE'!H81</f>
        <v>1185.0594910509444</v>
      </c>
      <c r="L45" s="3305">
        <f>+'B-FCE'!I81</f>
        <v>1175</v>
      </c>
      <c r="M45" s="3305">
        <f>+'B-FCE'!J81</f>
        <v>1177.4744889317333</v>
      </c>
      <c r="N45" s="3838">
        <f>+'B-FCE'!K81</f>
        <v>1175</v>
      </c>
      <c r="O45" s="3838">
        <f>+'B-FCE'!L81</f>
        <v>1191.5020847841542</v>
      </c>
      <c r="P45" s="3840">
        <f>+'B-FCE'!M81</f>
        <v>1175</v>
      </c>
      <c r="Q45" s="3841">
        <f>+'B-FCE'!N81</f>
        <v>1182.0989710808831</v>
      </c>
      <c r="R45" s="3838">
        <f>+'B-FCE'!O81</f>
        <v>1175</v>
      </c>
      <c r="S45" s="3838">
        <f>+'B-FCE'!P81</f>
        <v>1200.0039557354435</v>
      </c>
      <c r="T45" s="3839">
        <f>+'B-FCE'!Q81</f>
        <v>1175</v>
      </c>
      <c r="U45" s="3305">
        <f>+'B-FCE'!R81</f>
        <v>1186.6485983291732</v>
      </c>
      <c r="V45" s="3838">
        <f>+'B-FCE'!S81</f>
        <v>1175</v>
      </c>
      <c r="W45" s="3838">
        <f>+'B-FCE'!T81</f>
        <v>1194.6853780645938</v>
      </c>
      <c r="X45" s="3839">
        <f>+'B-FCE'!U81</f>
        <v>1175</v>
      </c>
      <c r="Y45" s="3305">
        <f>+'B-FCE'!V81</f>
        <v>1188.2769654651081</v>
      </c>
      <c r="Z45" s="3838">
        <f>+'B-FCE'!W81</f>
        <v>1175</v>
      </c>
      <c r="AA45" s="3838">
        <f>+'B-FCE'!X81</f>
        <v>1192.0538059017479</v>
      </c>
      <c r="AB45" s="3840">
        <f>+'B-FCE'!Y81</f>
        <v>1175</v>
      </c>
      <c r="AC45" s="3840">
        <f>+'B-FCE'!Z81</f>
        <v>1195.619386139713</v>
      </c>
      <c r="AD45" s="3842">
        <f>+'B-FCE'!AA81</f>
        <v>1175</v>
      </c>
      <c r="AE45" s="3843">
        <f>+'B-FCE'!AB81</f>
        <v>1188.896119635049</v>
      </c>
      <c r="AF45" s="3838">
        <f>+'B-FCE'!AC81</f>
        <v>1175</v>
      </c>
      <c r="AG45" s="3838">
        <f>+'B-FCE'!AD81</f>
        <v>1146.546129032258</v>
      </c>
      <c r="AH45" s="3839">
        <f>+'B-FCE'!AE81</f>
        <v>1175</v>
      </c>
      <c r="AI45" s="3305">
        <f>+'B-FCE'!AF81</f>
        <v>1182.7613079122148</v>
      </c>
      <c r="AJ45" s="3838">
        <f>+'B-FCE'!AG81</f>
        <v>1175</v>
      </c>
      <c r="AK45" s="3838">
        <f>+'B-FCE'!AH81</f>
        <v>1008.6666666666666</v>
      </c>
      <c r="AL45" s="3839">
        <f>+'B-FCE'!AI81</f>
        <v>1175</v>
      </c>
      <c r="AM45" s="3305">
        <f>+'B-FCE'!AJ81</f>
        <v>1161.356229070549</v>
      </c>
      <c r="AN45" s="3838">
        <f>+'B-FCE'!AK81</f>
        <v>1175</v>
      </c>
      <c r="AO45" s="3838">
        <f>+'B-FCE'!AL81</f>
        <v>1168.2702832980101</v>
      </c>
      <c r="AP45" s="3840">
        <f>+'B-FCE'!AM81</f>
        <v>1175</v>
      </c>
      <c r="AQ45" s="3840">
        <f>+'B-FCE'!AN81</f>
        <v>1108.9055302417207</v>
      </c>
      <c r="AR45" s="3839">
        <f>+'B-FCE'!AO81</f>
        <v>1175</v>
      </c>
      <c r="AS45" s="3305">
        <f>+'B-FCE'!AP81</f>
        <v>1162.1356315470991</v>
      </c>
      <c r="AT45" s="3838">
        <f>+'B-FCE'!AQ81</f>
        <v>1175</v>
      </c>
      <c r="AU45" s="3838">
        <f>+'B-FCE'!AR81</f>
        <v>1180.3109392030563</v>
      </c>
      <c r="AV45" s="3839">
        <f>+'B-FCE'!AS81</f>
        <v>1175</v>
      </c>
      <c r="AW45" s="3305">
        <f>+'B-FCE'!AT81</f>
        <v>1163.976920884794</v>
      </c>
      <c r="AX45" s="3838">
        <f>+'B-FCE'!AU81</f>
        <v>1175</v>
      </c>
      <c r="AY45" s="3838">
        <f>+'B-FCE'!AV81</f>
        <v>1171.6966869804357</v>
      </c>
      <c r="AZ45" s="3839">
        <f>+'B-FCE'!AW81</f>
        <v>1175</v>
      </c>
      <c r="BA45" s="3305">
        <f>+'B-FCE'!AX81</f>
        <v>1164.6240869047879</v>
      </c>
      <c r="BB45" s="3838">
        <f>+'B-FCE'!AY81</f>
        <v>1175</v>
      </c>
      <c r="BC45" s="3838">
        <f>+'B-FCE'!AZ81</f>
        <v>1179.4645730205052</v>
      </c>
      <c r="BD45" s="3844">
        <f>+'B-FCE'!BA81</f>
        <v>1175</v>
      </c>
      <c r="BE45" s="3844">
        <f>+'B-FCE'!BB81</f>
        <v>1177.33942349314</v>
      </c>
      <c r="BF45" s="3842">
        <f>+'B-FCE'!BC81</f>
        <v>1175</v>
      </c>
      <c r="BG45" s="3843">
        <f>+'B-FCE'!BD81</f>
        <v>1142.7464664649501</v>
      </c>
      <c r="BH45" s="3839">
        <f>+'B-FCE'!BE81</f>
        <v>1175</v>
      </c>
      <c r="BI45" s="3305">
        <f>+'B-FCE'!BF81</f>
        <v>1165.884511752972</v>
      </c>
    </row>
    <row r="46" spans="3:61" x14ac:dyDescent="0.25">
      <c r="C46" s="5831"/>
      <c r="D46" s="3954" t="s">
        <v>19</v>
      </c>
      <c r="E46" s="3788" t="s">
        <v>242</v>
      </c>
      <c r="F46" s="3955"/>
      <c r="G46" s="3838">
        <f>'B-FCE'!D43</f>
        <v>1146.0197591850756</v>
      </c>
      <c r="H46" s="3838">
        <f>'B-FCE'!E43</f>
        <v>1146.0197591850756</v>
      </c>
      <c r="I46" s="3838">
        <f>'B-FCE'!F43</f>
        <v>1115.2616068238185</v>
      </c>
      <c r="J46" s="3838">
        <f>'B-FCE'!G43</f>
        <v>1146.0197591850756</v>
      </c>
      <c r="K46" s="3838">
        <f>'B-FCE'!H43</f>
        <v>1128.4752839801524</v>
      </c>
      <c r="L46" s="3305">
        <f>'B-FCE'!I43</f>
        <v>1146.0197591850756</v>
      </c>
      <c r="M46" s="3305">
        <f>'B-FCE'!J43</f>
        <v>1122.2743700666069</v>
      </c>
      <c r="N46" s="3838">
        <f>'B-FCE'!K43</f>
        <v>1146.0197591850756</v>
      </c>
      <c r="O46" s="3838">
        <f>'B-FCE'!L43</f>
        <v>1168.6416951476904</v>
      </c>
      <c r="P46" s="3840">
        <f>'B-FCE'!M43</f>
        <v>1146.0197591850756</v>
      </c>
      <c r="Q46" s="3841">
        <f>'B-FCE'!N43</f>
        <v>1138.5851872020905</v>
      </c>
      <c r="R46" s="3838">
        <f>'B-FCE'!O43</f>
        <v>1146.0197591850756</v>
      </c>
      <c r="S46" s="3838">
        <f>'B-FCE'!P43</f>
        <v>1172.6817812780748</v>
      </c>
      <c r="T46" s="3839">
        <f>'B-FCE'!Q43</f>
        <v>1146.0197591850754</v>
      </c>
      <c r="U46" s="3305">
        <f>'B-FCE'!R43</f>
        <v>1147.6240812181095</v>
      </c>
      <c r="V46" s="3838">
        <f>'B-FCE'!S43</f>
        <v>1146.0197591850756</v>
      </c>
      <c r="W46" s="3838">
        <f>'B-FCE'!T43</f>
        <v>1179.6089134008994</v>
      </c>
      <c r="X46" s="3839">
        <f>'B-FCE'!U43</f>
        <v>1146.0197591850754</v>
      </c>
      <c r="Y46" s="3305">
        <f>'B-FCE'!V43</f>
        <v>1154.0289667787122</v>
      </c>
      <c r="Z46" s="3838">
        <f>'B-FCE'!W43</f>
        <v>1146.0197591850756</v>
      </c>
      <c r="AA46" s="3838">
        <f>'B-FCE'!X43</f>
        <v>1186.7907343029558</v>
      </c>
      <c r="AB46" s="3840">
        <f>'B-FCE'!Y43</f>
        <v>1146.0197591850756</v>
      </c>
      <c r="AC46" s="3840">
        <f>'B-FCE'!Z43</f>
        <v>1179.4648852698817</v>
      </c>
      <c r="AD46" s="3842">
        <f>'B-FCE'!AA43</f>
        <v>1146.0197591850756</v>
      </c>
      <c r="AE46" s="3843">
        <f>'B-FCE'!AB43</f>
        <v>1159.3145040246354</v>
      </c>
      <c r="AF46" s="3838">
        <f>'B-FCE'!AC43</f>
        <v>1146.0197591850756</v>
      </c>
      <c r="AG46" s="3838">
        <f>'B-FCE'!AD43</f>
        <v>1231.0322200143514</v>
      </c>
      <c r="AH46" s="3839">
        <f>'B-FCE'!AE43</f>
        <v>1146.0197591850756</v>
      </c>
      <c r="AI46" s="3305">
        <f>'B-FCE'!AF43</f>
        <v>1169.0861463421338</v>
      </c>
      <c r="AJ46" s="3838">
        <f>'B-FCE'!AG43</f>
        <v>1146.0197591850756</v>
      </c>
      <c r="AK46" s="3838">
        <f>'B-FCE'!AH43</f>
        <v>974.23149214818409</v>
      </c>
      <c r="AL46" s="3839">
        <f>'B-FCE'!AI43</f>
        <v>1146.0197591850756</v>
      </c>
      <c r="AM46" s="3305">
        <f>'B-FCE'!AJ43</f>
        <v>1168.1701248302272</v>
      </c>
      <c r="AN46" s="3838">
        <f>'B-FCE'!AK43</f>
        <v>1146.0197591850756</v>
      </c>
      <c r="AO46" s="3838">
        <f>'B-FCE'!AL43</f>
        <v>1129.1266033893933</v>
      </c>
      <c r="AP46" s="3840">
        <f>'B-FCE'!AM43</f>
        <v>1146.0197591850756</v>
      </c>
      <c r="AQ46" s="3840">
        <f>'B-FCE'!AN43</f>
        <v>1174.7434616208968</v>
      </c>
      <c r="AR46" s="3839">
        <f>'B-FCE'!AO43</f>
        <v>1146.0197591850756</v>
      </c>
      <c r="AS46" s="3305">
        <f>'B-FCE'!AP43</f>
        <v>1163.1760032223146</v>
      </c>
      <c r="AT46" s="3838">
        <f>'B-FCE'!AQ43</f>
        <v>1146.0197591850756</v>
      </c>
      <c r="AU46" s="3838">
        <f>'B-FCE'!AR43</f>
        <v>1108.5999601291448</v>
      </c>
      <c r="AV46" s="3839">
        <f>'B-FCE'!AS43</f>
        <v>1146.0197591850758</v>
      </c>
      <c r="AW46" s="3305">
        <f>'B-FCE'!AT43</f>
        <v>1156.8898255713189</v>
      </c>
      <c r="AX46" s="3838">
        <f>'B-FCE'!AU43</f>
        <v>1146.0197591850756</v>
      </c>
      <c r="AY46" s="3838">
        <f>'B-FCE'!AV43</f>
        <v>1143.4579174039329</v>
      </c>
      <c r="AZ46" s="3839">
        <f>'B-FCE'!AW43</f>
        <v>1146.0197591850758</v>
      </c>
      <c r="BA46" s="3305">
        <f>'B-FCE'!AX43</f>
        <v>1155.6090134642141</v>
      </c>
      <c r="BB46" s="3838">
        <f>'B-FCE'!AY43</f>
        <v>1146.0197591850756</v>
      </c>
      <c r="BC46" s="3838">
        <f>'B-FCE'!AZ43</f>
        <v>1202.3848690444604</v>
      </c>
      <c r="BD46" s="3844">
        <f>'B-FCE'!BA43</f>
        <v>1146.0197591850756</v>
      </c>
      <c r="BE46" s="3844">
        <f>'B-FCE'!BB43</f>
        <v>1151.8458788808666</v>
      </c>
      <c r="BF46" s="3842">
        <f>'B-FCE'!BC43</f>
        <v>1146.0197591850756</v>
      </c>
      <c r="BG46" s="3843">
        <f>'B-FCE'!BD43</f>
        <v>1160.9315381740898</v>
      </c>
      <c r="BH46" s="3839">
        <f>'B-FCE'!BE43</f>
        <v>1146.0197591850758</v>
      </c>
      <c r="BI46" s="3305">
        <f>'B-FCE'!BF43</f>
        <v>1160.0533360165441</v>
      </c>
    </row>
    <row r="47" spans="3:61" x14ac:dyDescent="0.25">
      <c r="C47" s="5831"/>
      <c r="D47" s="3954" t="s">
        <v>1303</v>
      </c>
      <c r="E47" s="3788" t="s">
        <v>242</v>
      </c>
      <c r="F47" s="3955"/>
      <c r="G47" s="3838">
        <f>'B-FCE'!D46</f>
        <v>278.31908437351831</v>
      </c>
      <c r="H47" s="3838">
        <f>'B-FCE'!E46</f>
        <v>278.31908437351831</v>
      </c>
      <c r="I47" s="3838">
        <f>'B-FCE'!F46</f>
        <v>296.13144199506826</v>
      </c>
      <c r="J47" s="3838">
        <f>'B-FCE'!G46</f>
        <v>278.31908437351831</v>
      </c>
      <c r="K47" s="3838">
        <f>'B-FCE'!H46</f>
        <v>269.29322971920874</v>
      </c>
      <c r="L47" s="3305">
        <f>'B-FCE'!I46</f>
        <v>278.31908437351831</v>
      </c>
      <c r="M47" s="3305">
        <f>'B-FCE'!J46</f>
        <v>281.88786495564551</v>
      </c>
      <c r="N47" s="3838">
        <f>'B-FCE'!K46</f>
        <v>278.31908437351831</v>
      </c>
      <c r="O47" s="3838">
        <f>'B-FCE'!L46</f>
        <v>242.05791504757931</v>
      </c>
      <c r="P47" s="3840">
        <f>'B-FCE'!M46</f>
        <v>278.31908437351825</v>
      </c>
      <c r="Q47" s="3841">
        <f>'B-FCE'!N46</f>
        <v>267.87672611315531</v>
      </c>
      <c r="R47" s="3838">
        <f>'B-FCE'!O46</f>
        <v>278.31908437351831</v>
      </c>
      <c r="S47" s="3838">
        <f>'B-FCE'!P46</f>
        <v>200.54970812139669</v>
      </c>
      <c r="T47" s="3839">
        <f>'B-FCE'!Q46</f>
        <v>278.31908437351825</v>
      </c>
      <c r="U47" s="3305">
        <f>'B-FCE'!R46</f>
        <v>250.02855691813463</v>
      </c>
      <c r="V47" s="3838">
        <f>'B-FCE'!S46</f>
        <v>278.31908437351831</v>
      </c>
      <c r="W47" s="3838">
        <f>'B-FCE'!T46</f>
        <v>269.32160800051804</v>
      </c>
      <c r="X47" s="3839">
        <f>'B-FCE'!U46</f>
        <v>278.31908437351825</v>
      </c>
      <c r="Y47" s="3305">
        <f>'B-FCE'!V46</f>
        <v>253.89194390079385</v>
      </c>
      <c r="Z47" s="3838">
        <f>'B-FCE'!W46</f>
        <v>278.31908437351831</v>
      </c>
      <c r="AA47" s="3838">
        <f>'B-FCE'!X46</f>
        <v>275.0160914173353</v>
      </c>
      <c r="AB47" s="3840">
        <f>'B-FCE'!Y46</f>
        <v>278.31908437351831</v>
      </c>
      <c r="AC47" s="3840">
        <f>'B-FCE'!Z46</f>
        <v>247.0185757011902</v>
      </c>
      <c r="AD47" s="3842">
        <f>'B-FCE'!AA46</f>
        <v>278.31908437351831</v>
      </c>
      <c r="AE47" s="3843">
        <f>'B-FCE'!AB46</f>
        <v>257.2999550346384</v>
      </c>
      <c r="AF47" s="3838">
        <f>'B-FCE'!AC46</f>
        <v>278.31908437351831</v>
      </c>
      <c r="AG47" s="3838">
        <f>'B-FCE'!AD46</f>
        <v>234.03970510281593</v>
      </c>
      <c r="AH47" s="3839">
        <f>'B-FCE'!AE46</f>
        <v>278.31908437351831</v>
      </c>
      <c r="AI47" s="3305">
        <f>'B-FCE'!AF46</f>
        <v>254.13071240870227</v>
      </c>
      <c r="AJ47" s="3838">
        <f>'B-FCE'!AG46</f>
        <v>278.31908437351831</v>
      </c>
      <c r="AK47" s="3838">
        <f>'B-FCE'!AH46</f>
        <v>461.69647729339721</v>
      </c>
      <c r="AL47" s="3839">
        <f>'B-FCE'!AI46</f>
        <v>278.31908437351831</v>
      </c>
      <c r="AM47" s="3305">
        <f>'B-FCE'!AJ46</f>
        <v>255.10648949011861</v>
      </c>
      <c r="AN47" s="3838">
        <f>'B-FCE'!AK46</f>
        <v>278.31908437351831</v>
      </c>
      <c r="AO47" s="3838">
        <f>'B-FCE'!AL46</f>
        <v>328.9563952708782</v>
      </c>
      <c r="AP47" s="3840">
        <f>'B-FCE'!AM46</f>
        <v>278.31908437351831</v>
      </c>
      <c r="AQ47" s="3840">
        <f>'B-FCE'!AN46</f>
        <v>286.27914518128568</v>
      </c>
      <c r="AR47" s="3839">
        <f>'B-FCE'!AO46</f>
        <v>278.31908437351831</v>
      </c>
      <c r="AS47" s="3305">
        <f>'B-FCE'!AP46</f>
        <v>264.55275346917341</v>
      </c>
      <c r="AT47" s="3838">
        <f>'B-FCE'!AQ46</f>
        <v>278.31908437351831</v>
      </c>
      <c r="AU47" s="3838">
        <f>'B-FCE'!AR46</f>
        <v>273.47931260201631</v>
      </c>
      <c r="AV47" s="3839">
        <f>'B-FCE'!AS46</f>
        <v>278.31908437351831</v>
      </c>
      <c r="AW47" s="3305">
        <f>'B-FCE'!AT46</f>
        <v>265.58093237956774</v>
      </c>
      <c r="AX47" s="3838">
        <f>'B-FCE'!AU46</f>
        <v>278.31908437351831</v>
      </c>
      <c r="AY47" s="3838">
        <f>'B-FCE'!AV46</f>
        <v>220.55428504657294</v>
      </c>
      <c r="AZ47" s="3839">
        <f>'B-FCE'!AW46</f>
        <v>278.31908437351831</v>
      </c>
      <c r="BA47" s="3305">
        <f>'B-FCE'!AX46</f>
        <v>261.28737450768881</v>
      </c>
      <c r="BB47" s="3838">
        <f>'B-FCE'!AY46</f>
        <v>278.31908437351831</v>
      </c>
      <c r="BC47" s="3838">
        <f>'B-FCE'!AZ46</f>
        <v>142.539514081037</v>
      </c>
      <c r="BD47" s="3844">
        <f>'B-FCE'!BA46</f>
        <v>278.31908437351831</v>
      </c>
      <c r="BE47" s="3844">
        <f>'B-FCE'!BB46</f>
        <v>211.76757749973402</v>
      </c>
      <c r="BF47" s="3842">
        <f>'B-FCE'!BC46</f>
        <v>278.31908437351831</v>
      </c>
      <c r="BG47" s="3843">
        <f>'B-FCE'!BD46</f>
        <v>241.33343713848981</v>
      </c>
      <c r="BH47" s="3839">
        <f>'B-FCE'!BE46</f>
        <v>278.31908437351831</v>
      </c>
      <c r="BI47" s="3305">
        <f>'B-FCE'!BF46</f>
        <v>250.00476326331056</v>
      </c>
    </row>
    <row r="48" spans="3:61" x14ac:dyDescent="0.25">
      <c r="C48" s="5831"/>
      <c r="D48" s="3954" t="s">
        <v>240</v>
      </c>
      <c r="E48" s="3788" t="s">
        <v>242</v>
      </c>
      <c r="F48" s="3955"/>
      <c r="G48" s="3838">
        <f>'B-FCE'!D44</f>
        <v>212.83224099151397</v>
      </c>
      <c r="H48" s="3838">
        <f>'B-FCE'!E44</f>
        <v>212.83224099151397</v>
      </c>
      <c r="I48" s="3838">
        <f>'B-FCE'!F44</f>
        <v>235.28074662930695</v>
      </c>
      <c r="J48" s="3838">
        <f>'B-FCE'!G44</f>
        <v>212.83224099151397</v>
      </c>
      <c r="K48" s="3838">
        <f>'B-FCE'!H44</f>
        <v>250.45897855910249</v>
      </c>
      <c r="L48" s="3305">
        <f>'B-FCE'!I44</f>
        <v>212.83224099151397</v>
      </c>
      <c r="M48" s="3305">
        <f>'B-FCE'!J44</f>
        <v>243.33613845615858</v>
      </c>
      <c r="N48" s="3838">
        <f>'B-FCE'!K44</f>
        <v>212.83224099151397</v>
      </c>
      <c r="O48" s="3838">
        <f>'B-FCE'!L44</f>
        <v>234.17080353772749</v>
      </c>
      <c r="P48" s="3840">
        <f>'B-FCE'!M44</f>
        <v>212.83224099151397</v>
      </c>
      <c r="Q48" s="3841">
        <f>'B-FCE'!N44</f>
        <v>240.1120123807689</v>
      </c>
      <c r="R48" s="3838">
        <f>'B-FCE'!O44</f>
        <v>212.83224099151397</v>
      </c>
      <c r="S48" s="3838">
        <f>'B-FCE'!P44</f>
        <v>269.53356482733221</v>
      </c>
      <c r="T48" s="3839">
        <f>'B-FCE'!Q44</f>
        <v>212.83224099151397</v>
      </c>
      <c r="U48" s="3305">
        <f>'B-FCE'!R44</f>
        <v>247.91156836453038</v>
      </c>
      <c r="V48" s="3838">
        <f>'B-FCE'!S44</f>
        <v>212.83224099151397</v>
      </c>
      <c r="W48" s="3838">
        <f>'B-FCE'!T44</f>
        <v>192.20843421636584</v>
      </c>
      <c r="X48" s="3839">
        <f>'B-FCE'!U44</f>
        <v>212.83224099151397</v>
      </c>
      <c r="Y48" s="3305">
        <f>'B-FCE'!V44</f>
        <v>236.75714999688071</v>
      </c>
      <c r="Z48" s="3838">
        <f>'B-FCE'!W44</f>
        <v>212.83224099151397</v>
      </c>
      <c r="AA48" s="3838">
        <f>'B-FCE'!X44</f>
        <v>180.53953720837131</v>
      </c>
      <c r="AB48" s="3840">
        <f>'B-FCE'!Y44</f>
        <v>212.83224099151397</v>
      </c>
      <c r="AC48" s="3840">
        <f>'B-FCE'!Z44</f>
        <v>215.60983194397093</v>
      </c>
      <c r="AD48" s="3842">
        <f>'B-FCE'!AA44</f>
        <v>212.83224099151397</v>
      </c>
      <c r="AE48" s="3843">
        <f>'B-FCE'!AB44</f>
        <v>227.68742303386949</v>
      </c>
      <c r="AF48" s="3838">
        <f>'B-FCE'!AC44</f>
        <v>212.83224099151397</v>
      </c>
      <c r="AG48" s="3838">
        <f>'B-FCE'!AD44</f>
        <v>166.37515674505005</v>
      </c>
      <c r="AH48" s="3839">
        <f>'B-FCE'!AE44</f>
        <v>212.83224099151397</v>
      </c>
      <c r="AI48" s="3305">
        <f>'B-FCE'!AF44</f>
        <v>219.3335382568433</v>
      </c>
      <c r="AJ48" s="3838">
        <f>'B-FCE'!AG44</f>
        <v>212.83224099151397</v>
      </c>
      <c r="AK48" s="3838">
        <f>'B-FCE'!AH44</f>
        <v>55.702952767840905</v>
      </c>
      <c r="AL48" s="3839">
        <f>'B-FCE'!AI44</f>
        <v>212.83224099151397</v>
      </c>
      <c r="AM48" s="3305">
        <f>'B-FCE'!AJ44</f>
        <v>218.56430265950092</v>
      </c>
      <c r="AN48" s="3838">
        <f>'B-FCE'!AK44</f>
        <v>212.83224099151397</v>
      </c>
      <c r="AO48" s="3838">
        <f>'B-FCE'!AL44</f>
        <v>195.07666613937766</v>
      </c>
      <c r="AP48" s="3840">
        <f>'B-FCE'!AM44</f>
        <v>212.83224099151397</v>
      </c>
      <c r="AQ48" s="3840">
        <f>'B-FCE'!AN44</f>
        <v>179.23108477014492</v>
      </c>
      <c r="AR48" s="3839">
        <f>'B-FCE'!AO44</f>
        <v>212.83224099151397</v>
      </c>
      <c r="AS48" s="3305">
        <f>'B-FCE'!AP44</f>
        <v>215.55996010188352</v>
      </c>
      <c r="AT48" s="3838">
        <f>'B-FCE'!AQ44</f>
        <v>212.83224099151397</v>
      </c>
      <c r="AU48" s="3838">
        <f>'B-FCE'!AR44</f>
        <v>253.94674109226278</v>
      </c>
      <c r="AV48" s="3839">
        <f>'B-FCE'!AS44</f>
        <v>212.83224099151397</v>
      </c>
      <c r="AW48" s="3305">
        <f>'B-FCE'!AT44</f>
        <v>219.98142620823791</v>
      </c>
      <c r="AX48" s="3838">
        <f>'B-FCE'!AU44</f>
        <v>212.83224099151397</v>
      </c>
      <c r="AY48" s="3838">
        <f>'B-FCE'!AV44</f>
        <v>276.21231596167331</v>
      </c>
      <c r="AZ48" s="3839">
        <f>'B-FCE'!AW44</f>
        <v>212.83224099151394</v>
      </c>
      <c r="BA48" s="3305">
        <f>'B-FCE'!AX44</f>
        <v>225.34337504618088</v>
      </c>
      <c r="BB48" s="3838">
        <f>'B-FCE'!AY44</f>
        <v>212.83224099151397</v>
      </c>
      <c r="BC48" s="3838">
        <f>'B-FCE'!AZ44</f>
        <v>326.76837357389223</v>
      </c>
      <c r="BD48" s="3844">
        <f>'B-FCE'!BA44</f>
        <v>212.83224099151397</v>
      </c>
      <c r="BE48" s="3844">
        <f>'B-FCE'!BB44</f>
        <v>286.02294213219034</v>
      </c>
      <c r="BF48" s="3842">
        <f>'B-FCE'!BC44</f>
        <v>212.83224099151397</v>
      </c>
      <c r="BG48" s="3843">
        <f>'B-FCE'!BD44</f>
        <v>243.64840669331232</v>
      </c>
      <c r="BH48" s="3839">
        <f>'B-FCE'!BE44</f>
        <v>212.83224099151397</v>
      </c>
      <c r="BI48" s="3305">
        <f>'B-FCE'!BF44</f>
        <v>234.98008618133971</v>
      </c>
    </row>
    <row r="49" spans="3:62" x14ac:dyDescent="0.25">
      <c r="C49" s="5831"/>
      <c r="D49" s="3954" t="s">
        <v>1885</v>
      </c>
      <c r="E49" s="3788" t="s">
        <v>242</v>
      </c>
      <c r="F49" s="3955"/>
      <c r="G49" s="3838">
        <f>G46+G47+G48</f>
        <v>1637.1710845501079</v>
      </c>
      <c r="H49" s="3838">
        <f>H46+H47+H48</f>
        <v>1637.1710845501079</v>
      </c>
      <c r="I49" s="3838">
        <f t="shared" ref="I49:BI49" si="10">I46+I47+I48</f>
        <v>1646.6737954481937</v>
      </c>
      <c r="J49" s="3838">
        <f>J46+J47+J48</f>
        <v>1637.1710845501079</v>
      </c>
      <c r="K49" s="3838">
        <f t="shared" ref="K49" si="11">K46+K47+K48</f>
        <v>1648.2274922584636</v>
      </c>
      <c r="L49" s="3305">
        <f t="shared" si="10"/>
        <v>1637.1710845501079</v>
      </c>
      <c r="M49" s="3305">
        <f t="shared" si="10"/>
        <v>1647.4983734784109</v>
      </c>
      <c r="N49" s="3838">
        <f>N46+N47+N48</f>
        <v>1637.1710845501079</v>
      </c>
      <c r="O49" s="3838">
        <f t="shared" ref="O49" si="12">O46+O47+O48</f>
        <v>1644.8704137329973</v>
      </c>
      <c r="P49" s="3840">
        <f t="shared" si="10"/>
        <v>1637.1710845501079</v>
      </c>
      <c r="Q49" s="3841">
        <f t="shared" si="10"/>
        <v>1646.5739256960148</v>
      </c>
      <c r="R49" s="3838">
        <f>R46+R47+R48</f>
        <v>1637.1710845501079</v>
      </c>
      <c r="S49" s="3838">
        <f t="shared" ref="S49" si="13">S46+S47+S48</f>
        <v>1642.7650542268036</v>
      </c>
      <c r="T49" s="3839">
        <f t="shared" si="10"/>
        <v>1637.1710845501077</v>
      </c>
      <c r="U49" s="3305">
        <f t="shared" si="10"/>
        <v>1645.5642065007746</v>
      </c>
      <c r="V49" s="3838">
        <f>V46+V47+V48</f>
        <v>1637.1710845501079</v>
      </c>
      <c r="W49" s="3838">
        <f t="shared" ref="W49" si="14">W46+W47+W48</f>
        <v>1641.1389556177833</v>
      </c>
      <c r="X49" s="3839">
        <f t="shared" ref="X49:Y49" si="15">X46+X47+X48</f>
        <v>1637.1710845501077</v>
      </c>
      <c r="Y49" s="3305">
        <f t="shared" si="15"/>
        <v>1644.6780606763868</v>
      </c>
      <c r="Z49" s="3838">
        <f>Z46+Z47+Z48</f>
        <v>1637.1710845501079</v>
      </c>
      <c r="AA49" s="3838">
        <f t="shared" ref="AA49" si="16">AA46+AA47+AA48</f>
        <v>1642.3463629286623</v>
      </c>
      <c r="AB49" s="3840">
        <f t="shared" si="10"/>
        <v>1637.1710845501079</v>
      </c>
      <c r="AC49" s="3840">
        <f t="shared" si="10"/>
        <v>1642.0932929150429</v>
      </c>
      <c r="AD49" s="3842">
        <f t="shared" si="10"/>
        <v>1637.1710845501079</v>
      </c>
      <c r="AE49" s="3843">
        <f t="shared" si="10"/>
        <v>1644.3018820931434</v>
      </c>
      <c r="AF49" s="3838">
        <f t="shared" si="10"/>
        <v>1637.1710845501079</v>
      </c>
      <c r="AG49" s="3838">
        <f t="shared" si="10"/>
        <v>1631.4470818622176</v>
      </c>
      <c r="AH49" s="3839">
        <f t="shared" si="10"/>
        <v>1637.1710845501079</v>
      </c>
      <c r="AI49" s="3305">
        <f t="shared" si="10"/>
        <v>1642.5503970076793</v>
      </c>
      <c r="AJ49" s="3838">
        <f t="shared" ref="AJ49:AK49" si="17">AJ46+AJ47+AJ48</f>
        <v>1637.1710845501079</v>
      </c>
      <c r="AK49" s="3838">
        <f t="shared" si="17"/>
        <v>1491.6309222094224</v>
      </c>
      <c r="AL49" s="3839">
        <f t="shared" si="10"/>
        <v>1637.1710845501079</v>
      </c>
      <c r="AM49" s="3305">
        <f t="shared" si="10"/>
        <v>1641.8409169798467</v>
      </c>
      <c r="AN49" s="3838">
        <f t="shared" si="10"/>
        <v>1637.1710845501079</v>
      </c>
      <c r="AO49" s="3838">
        <f t="shared" si="10"/>
        <v>1653.1596647996491</v>
      </c>
      <c r="AP49" s="3840">
        <f t="shared" si="10"/>
        <v>1637.1710845501079</v>
      </c>
      <c r="AQ49" s="3840">
        <f t="shared" si="10"/>
        <v>1640.2536915723274</v>
      </c>
      <c r="AR49" s="3839">
        <f t="shared" si="10"/>
        <v>1637.1710845501079</v>
      </c>
      <c r="AS49" s="3305">
        <f t="shared" si="10"/>
        <v>1643.2887167933716</v>
      </c>
      <c r="AT49" s="3838">
        <f t="shared" ref="AT49:AU49" si="18">AT46+AT47+AT48</f>
        <v>1637.1710845501079</v>
      </c>
      <c r="AU49" s="3838">
        <f t="shared" si="18"/>
        <v>1636.0260138234239</v>
      </c>
      <c r="AV49" s="3839">
        <f t="shared" si="10"/>
        <v>1637.1710845501082</v>
      </c>
      <c r="AW49" s="3305">
        <f t="shared" si="10"/>
        <v>1642.4521841591245</v>
      </c>
      <c r="AX49" s="3838">
        <f t="shared" si="10"/>
        <v>1637.1710845501079</v>
      </c>
      <c r="AY49" s="3838">
        <f t="shared" si="10"/>
        <v>1640.2245184121791</v>
      </c>
      <c r="AZ49" s="3839">
        <f t="shared" ref="AZ49:BC49" si="19">AZ46+AZ47+AZ48</f>
        <v>1637.1710845501082</v>
      </c>
      <c r="BA49" s="3305">
        <f t="shared" si="19"/>
        <v>1642.2397630180837</v>
      </c>
      <c r="BB49" s="3838">
        <f t="shared" si="19"/>
        <v>1637.1710845501079</v>
      </c>
      <c r="BC49" s="3838">
        <f t="shared" si="19"/>
        <v>1671.6927566993895</v>
      </c>
      <c r="BD49" s="3844">
        <f t="shared" si="10"/>
        <v>1637.1710845501079</v>
      </c>
      <c r="BE49" s="3844">
        <f t="shared" si="10"/>
        <v>1649.6363985127909</v>
      </c>
      <c r="BF49" s="3842">
        <f t="shared" si="10"/>
        <v>1637.1710845501079</v>
      </c>
      <c r="BG49" s="3843">
        <f t="shared" si="10"/>
        <v>1645.9133820058921</v>
      </c>
      <c r="BH49" s="3839">
        <f t="shared" si="10"/>
        <v>1637.1710845501082</v>
      </c>
      <c r="BI49" s="3305">
        <f t="shared" si="10"/>
        <v>1645.0381854611942</v>
      </c>
    </row>
    <row r="50" spans="3:62" x14ac:dyDescent="0.25">
      <c r="C50" s="5831"/>
      <c r="D50" s="3877" t="s">
        <v>1448</v>
      </c>
      <c r="E50" s="548" t="s">
        <v>49</v>
      </c>
      <c r="F50" s="3878">
        <v>0.7242055547698254</v>
      </c>
      <c r="G50" s="3879">
        <f>+'B-FCE'!D83</f>
        <v>0.5428135593220339</v>
      </c>
      <c r="H50" s="3880">
        <f>+'B-FCE'!E83</f>
        <v>0.53</v>
      </c>
      <c r="I50" s="3880">
        <f>+'B-FCE'!F83</f>
        <v>0.67656430326636097</v>
      </c>
      <c r="J50" s="3880">
        <f>+'B-FCE'!G83</f>
        <v>0.53</v>
      </c>
      <c r="K50" s="3880">
        <f>+'B-FCE'!H83</f>
        <v>0.660483227748908</v>
      </c>
      <c r="L50" s="3292">
        <f>+'B-FCE'!I83</f>
        <v>0.53</v>
      </c>
      <c r="M50" s="3292">
        <f>+'B-FCE'!J83</f>
        <v>0.66802975425634203</v>
      </c>
      <c r="N50" s="3880">
        <f>+'B-FCE'!K83</f>
        <v>0.53</v>
      </c>
      <c r="O50" s="3880">
        <f>+'B-FCE'!L83</f>
        <v>0.61333254599500653</v>
      </c>
      <c r="P50" s="3802">
        <f>+'B-FCE'!M83</f>
        <v>0.53</v>
      </c>
      <c r="Q50" s="3845">
        <f>+'B-FCE'!N83</f>
        <v>0.6487887012041772</v>
      </c>
      <c r="R50" s="3880">
        <f>+'B-FCE'!O83</f>
        <v>0.53</v>
      </c>
      <c r="S50" s="3880">
        <f>+'B-FCE'!P83</f>
        <v>0.64083776122853031</v>
      </c>
      <c r="T50" s="3801">
        <f>+'B-FCE'!Q83</f>
        <v>0.53</v>
      </c>
      <c r="U50" s="3292">
        <f>+'B-FCE'!R83</f>
        <v>0.64668093338409982</v>
      </c>
      <c r="V50" s="3880">
        <f>+'B-FCE'!S83</f>
        <v>0.53</v>
      </c>
      <c r="W50" s="3880">
        <f>+'B-FCE'!T83</f>
        <v>0.6053749134978198</v>
      </c>
      <c r="X50" s="3801">
        <f>+'B-FCE'!U83</f>
        <v>0.53</v>
      </c>
      <c r="Y50" s="3292">
        <f>+'B-FCE'!V83</f>
        <v>0.6384095024500972</v>
      </c>
      <c r="Z50" s="3880">
        <f>+'B-FCE'!W83</f>
        <v>0.8</v>
      </c>
      <c r="AA50" s="3880">
        <f>+'B-FCE'!X83</f>
        <v>0.62674386842722107</v>
      </c>
      <c r="AB50" s="3802">
        <f>+'B-FCE'!Y83</f>
        <v>0.58815384615384614</v>
      </c>
      <c r="AC50" s="3802">
        <f>+'B-FCE'!Z83</f>
        <v>0.62460864863418319</v>
      </c>
      <c r="AD50" s="3805">
        <f>+'B-FCE'!AA83</f>
        <v>0.55673267326732678</v>
      </c>
      <c r="AE50" s="3806">
        <f>+'B-FCE'!AB83</f>
        <v>0.63652745676744016</v>
      </c>
      <c r="AF50" s="3880">
        <f>+'B-FCE'!AC83</f>
        <v>0.55000000000000004</v>
      </c>
      <c r="AG50" s="3880">
        <f>+'B-FCE'!AD83</f>
        <v>0.69457018105619173</v>
      </c>
      <c r="AH50" s="3801">
        <f>+'B-FCE'!AE83</f>
        <v>0.55572115384615395</v>
      </c>
      <c r="AI50" s="3292">
        <f>+'B-FCE'!AF83</f>
        <v>0.6444358617278575</v>
      </c>
      <c r="AJ50" s="3880">
        <f>+'B-FCE'!AG83</f>
        <v>0.55000000000000004</v>
      </c>
      <c r="AK50" s="3880">
        <f>+'B-FCE'!AH83</f>
        <v>1.1329131100865317</v>
      </c>
      <c r="AL50" s="3801">
        <f>+'B-FCE'!AI83</f>
        <v>0.55499475341028337</v>
      </c>
      <c r="AM50" s="3292">
        <f>+'B-FCE'!AJ83</f>
        <v>0.64673221779604873</v>
      </c>
      <c r="AN50" s="3880">
        <f>+'B-FCE'!AK83</f>
        <v>0.55000000000000004</v>
      </c>
      <c r="AO50" s="3880">
        <f>+'B-FCE'!AL83</f>
        <v>0.71038422835618731</v>
      </c>
      <c r="AP50" s="3802">
        <f>+'B-FCE'!AM83</f>
        <v>0.55000000000000004</v>
      </c>
      <c r="AQ50" s="3802">
        <f>+'B-FCE'!AN83</f>
        <v>0.70983288209054329</v>
      </c>
      <c r="AR50" s="3801">
        <f>+'B-FCE'!AO83</f>
        <v>0.55441558441558436</v>
      </c>
      <c r="AS50" s="3292">
        <f>+'B-FCE'!AP83</f>
        <v>0.65487405207724159</v>
      </c>
      <c r="AT50" s="3880">
        <f>+'B-FCE'!AQ83</f>
        <v>0.55000000000000004</v>
      </c>
      <c r="AU50" s="3880">
        <f>+'B-FCE'!AR83</f>
        <v>0.61304458497751468</v>
      </c>
      <c r="AV50" s="3801">
        <f>+'B-FCE'!AS83</f>
        <v>0.55395677472984195</v>
      </c>
      <c r="AW50" s="3292">
        <f>+'B-FCE'!AT83</f>
        <v>0.6500560505085593</v>
      </c>
      <c r="AX50" s="3880">
        <f>+'B-FCE'!AU83</f>
        <v>0.55000000000000004</v>
      </c>
      <c r="AY50" s="3880">
        <f>+'B-FCE'!AV83</f>
        <v>0.65020290632462296</v>
      </c>
      <c r="AZ50" s="3801">
        <f>+'B-FCE'!AW83</f>
        <v>0.55361839604713026</v>
      </c>
      <c r="BA50" s="3292">
        <f>+'B-FCE'!AX83</f>
        <v>0.65007005408160856</v>
      </c>
      <c r="BB50" s="3880">
        <f>+'B-FCE'!AY83</f>
        <v>0.55000000000000004</v>
      </c>
      <c r="BC50" s="3880">
        <f>+'B-FCE'!AZ83</f>
        <v>0.62914752668756546</v>
      </c>
      <c r="BD50" s="3804">
        <f>+'B-FCE'!BA83</f>
        <v>0.55000000000000004</v>
      </c>
      <c r="BE50" s="3804">
        <f>+'B-FCE'!BB83</f>
        <v>0.63023062315530776</v>
      </c>
      <c r="BF50" s="3805">
        <f>+'B-FCE'!BC83</f>
        <v>0.55000000000000004</v>
      </c>
      <c r="BG50" s="3806">
        <f>+'B-FCE'!BD83</f>
        <v>0.66181644650914628</v>
      </c>
      <c r="BH50" s="3801">
        <f>+'B-FCE'!BE83</f>
        <v>0.55330440819160009</v>
      </c>
      <c r="BI50" s="3292">
        <f>+'B-FCE'!BF83</f>
        <v>0.64808213832473771</v>
      </c>
    </row>
    <row r="51" spans="3:62" x14ac:dyDescent="0.25">
      <c r="C51" s="5831"/>
      <c r="D51" s="3877" t="s">
        <v>1449</v>
      </c>
      <c r="E51" s="548" t="s">
        <v>49</v>
      </c>
      <c r="F51" s="3878">
        <v>3.8244802457396719E-2</v>
      </c>
      <c r="G51" s="3879">
        <f>+'B-FCE'!D84</f>
        <v>0.05</v>
      </c>
      <c r="H51" s="3869">
        <f>+'B-FCE'!E84</f>
        <v>0.05</v>
      </c>
      <c r="I51" s="3869">
        <f>+'B-FCE'!F84</f>
        <v>4.139445683669999E-2</v>
      </c>
      <c r="J51" s="3869">
        <f>+'B-FCE'!G84</f>
        <v>0.05</v>
      </c>
      <c r="K51" s="3869">
        <f>+'B-FCE'!H84</f>
        <v>4.23272247596422E-2</v>
      </c>
      <c r="L51" s="3870">
        <f>+'B-FCE'!I84</f>
        <v>0.05</v>
      </c>
      <c r="M51" s="3870">
        <f>+'B-FCE'!J84</f>
        <v>4.1889495464227357E-2</v>
      </c>
      <c r="N51" s="3869">
        <f>+'B-FCE'!K84</f>
        <v>0.05</v>
      </c>
      <c r="O51" s="3869">
        <f>+'B-FCE'!L84</f>
        <v>3.8166186015443859E-2</v>
      </c>
      <c r="P51" s="3871">
        <f>+'B-FCE'!M84</f>
        <v>0.05</v>
      </c>
      <c r="Q51" s="3872">
        <f>+'B-FCE'!N84</f>
        <v>4.0579732189082084E-2</v>
      </c>
      <c r="R51" s="3869">
        <f>+'B-FCE'!O84</f>
        <v>0.05</v>
      </c>
      <c r="S51" s="3869">
        <f>+'B-FCE'!P84</f>
        <v>3.4138594926817221E-2</v>
      </c>
      <c r="T51" s="3873">
        <f>+'B-FCE'!Q84</f>
        <v>0.05</v>
      </c>
      <c r="U51" s="3870">
        <f>+'B-FCE'!R84</f>
        <v>3.887220806140828E-2</v>
      </c>
      <c r="V51" s="3869">
        <f>+'B-FCE'!S84</f>
        <v>0.05</v>
      </c>
      <c r="W51" s="3869">
        <f>+'B-FCE'!T84</f>
        <v>3.4513028989228228E-2</v>
      </c>
      <c r="X51" s="3801">
        <f>+'B-FCE'!U84</f>
        <v>0.05</v>
      </c>
      <c r="Y51" s="3292">
        <f>+'B-FCE'!V84</f>
        <v>3.7999292957901463E-2</v>
      </c>
      <c r="Z51" s="3869">
        <f>+'B-FCE'!W84</f>
        <v>0.05</v>
      </c>
      <c r="AA51" s="3869">
        <f>+'B-FCE'!X84</f>
        <v>3.549951756153763E-2</v>
      </c>
      <c r="AB51" s="3802">
        <f>+'B-FCE'!Y84</f>
        <v>0.05</v>
      </c>
      <c r="AC51" s="3802">
        <f>+'B-FCE'!Z84</f>
        <v>3.46955945595342E-2</v>
      </c>
      <c r="AD51" s="3805">
        <f>+'B-FCE'!AA84</f>
        <v>0.05</v>
      </c>
      <c r="AE51" s="3806">
        <f>+'B-FCE'!AB84</f>
        <v>3.7595997990554381E-2</v>
      </c>
      <c r="AF51" s="3869">
        <f>+'B-FCE'!AC84</f>
        <v>0.05</v>
      </c>
      <c r="AG51" s="3869">
        <f>+'B-FCE'!AD84</f>
        <v>3.9479461045411814E-2</v>
      </c>
      <c r="AH51" s="3801">
        <f>+'B-FCE'!AE84</f>
        <v>0.05</v>
      </c>
      <c r="AI51" s="3292">
        <f>+'B-FCE'!AF84</f>
        <v>3.7852622550278638E-2</v>
      </c>
      <c r="AJ51" s="3869">
        <f>+'B-FCE'!AG84</f>
        <v>0.05</v>
      </c>
      <c r="AK51" s="3869">
        <f>+'B-FCE'!AH84</f>
        <v>6.1084637900644292E-2</v>
      </c>
      <c r="AL51" s="3801">
        <f>+'B-FCE'!AI84</f>
        <v>0.05</v>
      </c>
      <c r="AM51" s="3292">
        <f>+'B-FCE'!AJ84</f>
        <v>3.7961837420787722E-2</v>
      </c>
      <c r="AN51" s="3869">
        <f>+'B-FCE'!AK84</f>
        <v>0.05</v>
      </c>
      <c r="AO51" s="3869">
        <f>+'B-FCE'!AL84</f>
        <v>4.2552820200797807E-2</v>
      </c>
      <c r="AP51" s="3802">
        <f>+'B-FCE'!AM84</f>
        <v>0.05</v>
      </c>
      <c r="AQ51" s="3802">
        <f>+'B-FCE'!AN84</f>
        <v>4.1404111064966269E-2</v>
      </c>
      <c r="AR51" s="3801">
        <f>+'B-FCE'!AO84</f>
        <v>0.05</v>
      </c>
      <c r="AS51" s="3292">
        <f>+'B-FCE'!AP84</f>
        <v>3.8549077645467451E-2</v>
      </c>
      <c r="AT51" s="3869">
        <f>+'B-FCE'!AQ84</f>
        <v>0.05</v>
      </c>
      <c r="AU51" s="3869">
        <f>+'B-FCE'!AR84</f>
        <v>3.94219934940113E-2</v>
      </c>
      <c r="AV51" s="3801">
        <f>+'B-FCE'!AS84</f>
        <v>0.05</v>
      </c>
      <c r="AW51" s="3292">
        <f>+'B-FCE'!AT84</f>
        <v>3.8649621836422239E-2</v>
      </c>
      <c r="AX51" s="3880">
        <f>+'B-FCE'!AU84</f>
        <v>0.05</v>
      </c>
      <c r="AY51" s="3880">
        <f>+'B-FCE'!AV84</f>
        <v>4.0352792104928564E-2</v>
      </c>
      <c r="AZ51" s="3801">
        <f>+'B-FCE'!AW84</f>
        <v>0.05</v>
      </c>
      <c r="BA51" s="3292">
        <f>+'B-FCE'!AX84</f>
        <v>3.8812029222861977E-2</v>
      </c>
      <c r="BB51" s="3880">
        <f>+'B-FCE'!AY84</f>
        <v>0.05</v>
      </c>
      <c r="BC51" s="3880">
        <f>+'B-FCE'!AZ84</f>
        <v>3.8488350930182491E-2</v>
      </c>
      <c r="BD51" s="3804">
        <f>+'B-FCE'!BA84</f>
        <v>0.05</v>
      </c>
      <c r="BE51" s="3804">
        <f>+'B-FCE'!BB84</f>
        <v>3.9391572417929809E-2</v>
      </c>
      <c r="BF51" s="3805">
        <f>+'B-FCE'!BC84</f>
        <v>0.05</v>
      </c>
      <c r="BG51" s="3806">
        <f>+'B-FCE'!BD84</f>
        <v>4.0190138828586387E-2</v>
      </c>
      <c r="BH51" s="3801">
        <f>+'B-FCE'!BE84</f>
        <v>0.05</v>
      </c>
      <c r="BI51" s="3292">
        <f>+'B-FCE'!BF84</f>
        <v>3.8781275520593787E-2</v>
      </c>
    </row>
    <row r="52" spans="3:62" ht="15.75" thickBot="1" x14ac:dyDescent="0.3">
      <c r="C52" s="5828"/>
      <c r="D52" s="3767" t="s">
        <v>1058</v>
      </c>
      <c r="E52" s="3768" t="s">
        <v>242</v>
      </c>
      <c r="F52" s="3881">
        <v>413.76312883093829</v>
      </c>
      <c r="G52" s="3882">
        <f>+'B-FCE'!D82</f>
        <v>374</v>
      </c>
      <c r="H52" s="3883">
        <f>+'B-FCE'!E82</f>
        <v>374</v>
      </c>
      <c r="I52" s="3883">
        <f>+'B-FCE'!F82</f>
        <v>363.92550953983107</v>
      </c>
      <c r="J52" s="3883">
        <f>+'B-FCE'!G82</f>
        <v>374</v>
      </c>
      <c r="K52" s="3883">
        <f>+'B-FCE'!H82</f>
        <v>345.61695203825582</v>
      </c>
      <c r="L52" s="3884">
        <f>+'B-FCE'!I82</f>
        <v>374</v>
      </c>
      <c r="M52" s="3884">
        <f>+'B-FCE'!J82</f>
        <v>354.20879120651068</v>
      </c>
      <c r="N52" s="3883">
        <f>+'B-FCE'!K82</f>
        <v>374</v>
      </c>
      <c r="O52" s="3883">
        <f>+'B-FCE'!L82</f>
        <v>316.9394936477471</v>
      </c>
      <c r="P52" s="3886">
        <f>+'B-FCE'!M82</f>
        <v>374</v>
      </c>
      <c r="Q52" s="3887">
        <f>+'B-FCE'!N82</f>
        <v>341.09842315776342</v>
      </c>
      <c r="R52" s="3883">
        <f>+'B-FCE'!O82</f>
        <v>374</v>
      </c>
      <c r="S52" s="3883">
        <f>+'B-FCE'!P82</f>
        <v>348.25801262986107</v>
      </c>
      <c r="T52" s="3888">
        <f>+'B-FCE'!Q82</f>
        <v>374</v>
      </c>
      <c r="U52" s="3884">
        <f>+'B-FCE'!R82</f>
        <v>342.99640658368207</v>
      </c>
      <c r="V52" s="3883">
        <f>+'B-FCE'!S82</f>
        <v>374</v>
      </c>
      <c r="W52" s="3883">
        <f>+'B-FCE'!T82</f>
        <v>360.36693508265699</v>
      </c>
      <c r="X52" s="3888">
        <f>+'B-FCE'!U82</f>
        <v>374</v>
      </c>
      <c r="Y52" s="3884">
        <f>+'B-FCE'!V82</f>
        <v>346.47481305232651</v>
      </c>
      <c r="Z52" s="3883">
        <f>+'B-FCE'!W82</f>
        <v>374</v>
      </c>
      <c r="AA52" s="3883">
        <f>+'B-FCE'!X82</f>
        <v>352.01502802742641</v>
      </c>
      <c r="AB52" s="3886">
        <f>+'B-FCE'!Y82</f>
        <v>374</v>
      </c>
      <c r="AC52" s="3886">
        <f>+'B-FCE'!Z82</f>
        <v>353.46371969363798</v>
      </c>
      <c r="AD52" s="3889">
        <f>+'B-FCE'!AA82</f>
        <v>374</v>
      </c>
      <c r="AE52" s="3890">
        <f>+'B-FCE'!AB82</f>
        <v>347.36862968110404</v>
      </c>
      <c r="AF52" s="3883">
        <f>+'B-FCE'!AC82</f>
        <v>374</v>
      </c>
      <c r="AG52" s="3883">
        <f>+'B-FCE'!AD82</f>
        <v>375.79212169847528</v>
      </c>
      <c r="AH52" s="3888">
        <f>+'B-FCE'!AE82</f>
        <v>374.90144230769226</v>
      </c>
      <c r="AI52" s="3884">
        <f>+'B-FCE'!AF82</f>
        <v>351.24137149357136</v>
      </c>
      <c r="AJ52" s="3883">
        <f>+'B-FCE'!AG82</f>
        <v>374</v>
      </c>
      <c r="AK52" s="3883">
        <f>+'B-FCE'!AH82</f>
        <v>425.17589280300734</v>
      </c>
      <c r="AL52" s="3888">
        <f>+'B-FCE'!AI82</f>
        <v>375.54879328436522</v>
      </c>
      <c r="AM52" s="3884">
        <f>+'B-FCE'!AJ82</f>
        <v>351.58894139007776</v>
      </c>
      <c r="AN52" s="3883">
        <f>+'B-FCE'!AK82</f>
        <v>374</v>
      </c>
      <c r="AO52" s="3883">
        <f>+'B-FCE'!AL82</f>
        <v>389.56682883071267</v>
      </c>
      <c r="AP52" s="3886">
        <f>+'B-FCE'!AM82</f>
        <v>380</v>
      </c>
      <c r="AQ52" s="3886">
        <f>+'B-FCE'!AN82</f>
        <v>383.64107689010268</v>
      </c>
      <c r="AR52" s="3888">
        <f>+'B-FCE'!AO82</f>
        <v>376.06493506493507</v>
      </c>
      <c r="AS52" s="3884">
        <f>+'B-FCE'!AP82</f>
        <v>356.44675598494126</v>
      </c>
      <c r="AT52" s="3883">
        <f>+'B-FCE'!AQ82</f>
        <v>374</v>
      </c>
      <c r="AU52" s="3883">
        <f>+'B-FCE'!AR82</f>
        <v>405.53335556018931</v>
      </c>
      <c r="AV52" s="3888">
        <f>+'B-FCE'!AS82</f>
        <v>376.47381546134659</v>
      </c>
      <c r="AW52" s="3884">
        <f>+'B-FCE'!AT82</f>
        <v>362.10064856719623</v>
      </c>
      <c r="AX52" s="3883">
        <f>+'B-FCE'!AU82</f>
        <v>374</v>
      </c>
      <c r="AY52" s="3883">
        <f>+'B-FCE'!AV82</f>
        <v>363.15161753413679</v>
      </c>
      <c r="AZ52" s="3888">
        <f>+'B-FCE'!AW82</f>
        <v>376.77537058152791</v>
      </c>
      <c r="BA52" s="3884">
        <f>+'B-FCE'!AX82</f>
        <v>362.20086469138897</v>
      </c>
      <c r="BB52" s="3883">
        <f>+'B-FCE'!AY82</f>
        <v>374</v>
      </c>
      <c r="BC52" s="3883">
        <f>+'B-FCE'!AZ82</f>
        <v>388.34272372360977</v>
      </c>
      <c r="BD52" s="3844">
        <f>+'B-FCE'!BA82</f>
        <v>380</v>
      </c>
      <c r="BE52" s="3844">
        <f>+'B-FCE'!BB82</f>
        <v>386.33683457742154</v>
      </c>
      <c r="BF52" s="3842">
        <f>+'B-FCE'!BC82</f>
        <v>380</v>
      </c>
      <c r="BG52" s="3843">
        <f>+'B-FCE'!BD82</f>
        <v>385.26716988127663</v>
      </c>
      <c r="BH52" s="3839">
        <f>+'B-FCE'!BE82</f>
        <v>377.0551891704269</v>
      </c>
      <c r="BI52" s="3305">
        <f>+'B-FCE'!BF82</f>
        <v>364.68468571861558</v>
      </c>
    </row>
    <row r="53" spans="3:62" ht="15.75" thickBot="1" x14ac:dyDescent="0.3">
      <c r="C53" s="3891"/>
      <c r="D53" s="3892" t="s">
        <v>362</v>
      </c>
      <c r="E53" s="3893" t="s">
        <v>363</v>
      </c>
      <c r="F53" s="3894">
        <v>930.8611107215944</v>
      </c>
      <c r="G53" s="1771">
        <f>+'Maj Techno Summ'!D15</f>
        <v>871.29177755633066</v>
      </c>
      <c r="H53" s="3895">
        <f>+'Maj Techno Summ'!E15</f>
        <v>866.91251568708628</v>
      </c>
      <c r="I53" s="3895">
        <f>+'Maj Techno Summ'!F15</f>
        <v>846.11004846869969</v>
      </c>
      <c r="J53" s="3895">
        <f>+'Maj Techno Summ'!G15</f>
        <v>866.91251568708628</v>
      </c>
      <c r="K53" s="3895">
        <f>+'Maj Techno Summ'!H15</f>
        <v>849.34190363265725</v>
      </c>
      <c r="L53" s="3896">
        <f>+'Maj Techno Summ'!I15</f>
        <v>866.91251568708617</v>
      </c>
      <c r="M53" s="3896">
        <f>+'Maj Techno Summ'!J15</f>
        <v>847.82525876418902</v>
      </c>
      <c r="N53" s="3895">
        <f>+'Maj Techno Summ'!K15</f>
        <v>866.91251568708628</v>
      </c>
      <c r="O53" s="3895">
        <f>+'Maj Techno Summ'!L15</f>
        <v>861.73356013497948</v>
      </c>
      <c r="P53" s="3897">
        <f>+'Maj Techno Summ'!M15</f>
        <v>866.91251568708617</v>
      </c>
      <c r="Q53" s="3898">
        <f>+'Maj Techno Summ'!N15</f>
        <v>852.7178368874138</v>
      </c>
      <c r="R53" s="3895">
        <f>+'Maj Techno Summ'!O15</f>
        <v>866.91251568708628</v>
      </c>
      <c r="S53" s="3895">
        <f>+'Maj Techno Summ'!P15</f>
        <v>901.89702481912377</v>
      </c>
      <c r="T53" s="3899">
        <f>+'Maj Techno Summ'!Q15</f>
        <v>866.91251568708617</v>
      </c>
      <c r="U53" s="3896">
        <f>+'Maj Techno Summ'!R15</f>
        <v>865.75507651662667</v>
      </c>
      <c r="V53" s="3895">
        <f>+'Maj Techno Summ'!S15</f>
        <v>866.91251568708628</v>
      </c>
      <c r="W53" s="3895">
        <f>+'Maj Techno Summ'!T15</f>
        <v>901.57952496561427</v>
      </c>
      <c r="X53" s="3899">
        <f>+'Maj Techno Summ'!U15</f>
        <v>866.91251568708617</v>
      </c>
      <c r="Y53" s="3896">
        <f>+'Maj Techno Summ'!V15</f>
        <v>872.92883598099377</v>
      </c>
      <c r="Z53" s="3895">
        <f>+'Maj Techno Summ'!W15</f>
        <v>973.86831544015627</v>
      </c>
      <c r="AA53" s="3895">
        <f>+'Maj Techno Summ'!X15</f>
        <v>935.33175377395651</v>
      </c>
      <c r="AB53" s="3897">
        <f>+'Maj Techno Summ'!Y15</f>
        <v>889.9491494800551</v>
      </c>
      <c r="AC53" s="3897">
        <f>+'Maj Techno Summ'!Z15</f>
        <v>912.42943846048797</v>
      </c>
      <c r="AD53" s="3900">
        <f>+'Maj Techno Summ'!AA15</f>
        <v>877.50219883095463</v>
      </c>
      <c r="AE53" s="3901">
        <f>+'Maj Techno Summ'!AB15</f>
        <v>882.99645354786935</v>
      </c>
      <c r="AF53" s="3895">
        <f>+'Maj Techno Summ'!AC15</f>
        <v>882.68648653107562</v>
      </c>
      <c r="AG53" s="3895">
        <f>+'Maj Techno Summ'!AD15</f>
        <v>891.4254777158103</v>
      </c>
      <c r="AH53" s="3899">
        <f>+'Maj Techno Summ'!AE15</f>
        <v>878.28108820897751</v>
      </c>
      <c r="AI53" s="3896">
        <f>+'Maj Techno Summ'!AF15</f>
        <v>884.14492025679908</v>
      </c>
      <c r="AJ53" s="3895">
        <f>+'Maj Techno Summ'!AG15</f>
        <v>869.98415961395165</v>
      </c>
      <c r="AK53" s="3895">
        <f>+'Maj Techno Summ'!AH15</f>
        <v>1821.6844408777995</v>
      </c>
      <c r="AL53" s="3899">
        <f>+'Maj Techno Summ'!AI15</f>
        <v>877.22764816700669</v>
      </c>
      <c r="AM53" s="3896">
        <f>+'Maj Techno Summ'!AJ15</f>
        <v>888.55234061175145</v>
      </c>
      <c r="AN53" s="3895">
        <f>+'Maj Techno Summ'!AK15</f>
        <v>869.98415961395165</v>
      </c>
      <c r="AO53" s="3895">
        <f>+'Maj Techno Summ'!AL15</f>
        <v>880.90990660152113</v>
      </c>
      <c r="AP53" s="3897">
        <f>+'Maj Techno Summ'!AM15</f>
        <v>883.49537384954363</v>
      </c>
      <c r="AQ53" s="3897">
        <f>+'Maj Techno Summ'!AN15</f>
        <v>901.28957387120761</v>
      </c>
      <c r="AR53" s="3899">
        <f>+'Maj Techno Summ'!AO15</f>
        <v>879.56478503865083</v>
      </c>
      <c r="AS53" s="3896">
        <f>+'Maj Techno Summ'!AP15</f>
        <v>887.57478419729296</v>
      </c>
      <c r="AT53" s="3895">
        <f>+'Maj Techno Summ'!AQ15</f>
        <v>869.98415961395165</v>
      </c>
      <c r="AU53" s="3895">
        <f>+'Maj Techno Summ'!AR15</f>
        <v>839.50234176485299</v>
      </c>
      <c r="AV53" s="3899">
        <f>+'Maj Techno Summ'!AS15</f>
        <v>878.56929195628391</v>
      </c>
      <c r="AW53" s="3896">
        <f>+'Maj Techno Summ'!AT15</f>
        <v>882.03770426037454</v>
      </c>
      <c r="AX53" s="3895">
        <f>+'Maj Techno Summ'!AU15</f>
        <v>869.98415961395165</v>
      </c>
      <c r="AY53" s="3895">
        <f>+'Maj Techno Summ'!AV15</f>
        <v>833.07785405401853</v>
      </c>
      <c r="AZ53" s="3899">
        <f>+'Maj Techno Summ'!AW15</f>
        <v>877.83510161914035</v>
      </c>
      <c r="BA53" s="3896">
        <f>+'Maj Techno Summ'!AX15</f>
        <v>877.36909216707602</v>
      </c>
      <c r="BB53" s="3895">
        <f>+'Maj Techno Summ'!AY15</f>
        <v>869.98415961395165</v>
      </c>
      <c r="BC53" s="3895">
        <f>+'Maj Techno Summ'!AZ15</f>
        <v>821.7498196679386</v>
      </c>
      <c r="BD53" s="3844">
        <f>+'Maj Techno Summ'!BA15</f>
        <v>879.17042362526865</v>
      </c>
      <c r="BE53" s="3844">
        <f>+'Maj Techno Summ'!BB15</f>
        <v>831.3707407887515</v>
      </c>
      <c r="BF53" s="3842">
        <f>+'Maj Techno Summ'!BC15</f>
        <v>881.35795809453384</v>
      </c>
      <c r="BG53" s="3843">
        <f>+'Maj Techno Summ'!BD15</f>
        <v>859.114223704805</v>
      </c>
      <c r="BH53" s="3839">
        <f>+'Maj Techno Summ'!BE15</f>
        <v>879.46554448859797</v>
      </c>
      <c r="BI53" s="3305">
        <f>+'Maj Techno Summ'!BF15</f>
        <v>872.08452849537503</v>
      </c>
    </row>
    <row r="54" spans="3:62" x14ac:dyDescent="0.25">
      <c r="C54" s="5826" t="s">
        <v>1064</v>
      </c>
      <c r="D54" s="3764" t="s">
        <v>364</v>
      </c>
      <c r="E54" s="3765" t="s">
        <v>271</v>
      </c>
      <c r="F54" s="3902">
        <v>1062.9741019163143</v>
      </c>
      <c r="G54" s="3903">
        <f>+'Maj Techno Summ'!D16</f>
        <v>1059</v>
      </c>
      <c r="H54" s="3904">
        <f>+'Maj Techno Summ'!E16</f>
        <v>1059</v>
      </c>
      <c r="I54" s="3904">
        <f>+'Maj Techno Summ'!F16</f>
        <v>1059.7699014587963</v>
      </c>
      <c r="J54" s="3904">
        <f>+'Maj Techno Summ'!G16</f>
        <v>1059</v>
      </c>
      <c r="K54" s="3904">
        <f>+'Maj Techno Summ'!H16</f>
        <v>1067.8204683947631</v>
      </c>
      <c r="L54" s="3905">
        <f>+'Maj Techno Summ'!I16</f>
        <v>1059</v>
      </c>
      <c r="M54" s="3905">
        <f>+'Maj Techno Summ'!J16</f>
        <v>1064.0639073340274</v>
      </c>
      <c r="N54" s="3904">
        <f>+'Maj Techno Summ'!K16</f>
        <v>1059</v>
      </c>
      <c r="O54" s="3904">
        <f>+'Maj Techno Summ'!L16</f>
        <v>1061.9196518424501</v>
      </c>
      <c r="P54" s="3906">
        <f>+'Maj Techno Summ'!M16</f>
        <v>1059</v>
      </c>
      <c r="Q54" s="3907">
        <f>+'Maj Techno Summ'!N16</f>
        <v>1063.3041677400013</v>
      </c>
      <c r="R54" s="3904">
        <f>+'Maj Techno Summ'!O16</f>
        <v>1059</v>
      </c>
      <c r="S54" s="3904">
        <f>+'Maj Techno Summ'!P16</f>
        <v>1051.7068973673629</v>
      </c>
      <c r="T54" s="3908">
        <f>+'Maj Techno Summ'!Q16</f>
        <v>1059</v>
      </c>
      <c r="U54" s="3905">
        <f>+'Maj Techno Summ'!R16</f>
        <v>1060.1771787668226</v>
      </c>
      <c r="V54" s="3904">
        <f>+'Maj Techno Summ'!S16</f>
        <v>1059</v>
      </c>
      <c r="W54" s="3904">
        <f>+'Maj Techno Summ'!T16</f>
        <v>1060.1658095630878</v>
      </c>
      <c r="X54" s="3908">
        <f>+'Maj Techno Summ'!U16</f>
        <v>1059</v>
      </c>
      <c r="Y54" s="3905">
        <f>+'Maj Techno Summ'!V16</f>
        <v>1060.1748861799313</v>
      </c>
      <c r="Z54" s="3904">
        <f>+'Maj Techno Summ'!W16</f>
        <v>1059</v>
      </c>
      <c r="AA54" s="3904">
        <f>+'Maj Techno Summ'!X16</f>
        <v>1063.8152587426769</v>
      </c>
      <c r="AB54" s="3906">
        <f>+'Maj Techno Summ'!Y16</f>
        <v>1059</v>
      </c>
      <c r="AC54" s="3906">
        <f>+'Maj Techno Summ'!Z16</f>
        <v>1058.3307154265726</v>
      </c>
      <c r="AD54" s="3909">
        <f>+'Maj Techno Summ'!AA16</f>
        <v>1059</v>
      </c>
      <c r="AE54" s="3910">
        <f>+'Maj Techno Summ'!AB16</f>
        <v>1060.7625483724512</v>
      </c>
      <c r="AF54" s="3904">
        <f>+'Maj Techno Summ'!AC16</f>
        <v>1059</v>
      </c>
      <c r="AG54" s="3904">
        <f>+'Maj Techno Summ'!AD16</f>
        <v>1061.2178015467862</v>
      </c>
      <c r="AH54" s="3908">
        <f>+'Maj Techno Summ'!AE16</f>
        <v>1059</v>
      </c>
      <c r="AI54" s="3905">
        <f>+'Maj Techno Summ'!AF16</f>
        <v>1060.824690606988</v>
      </c>
      <c r="AJ54" s="3904">
        <f>+'Maj Techno Summ'!AG16</f>
        <v>1059</v>
      </c>
      <c r="AK54" s="3904">
        <f>+'Maj Techno Summ'!AH16</f>
        <v>1058.374291115312</v>
      </c>
      <c r="AL54" s="3908">
        <f>+'Maj Techno Summ'!AI16</f>
        <v>1059</v>
      </c>
      <c r="AM54" s="3905">
        <f>+'Maj Techno Summ'!AJ16</f>
        <v>1060.8128005919348</v>
      </c>
      <c r="AN54" s="3904">
        <f>+'Maj Techno Summ'!AK16</f>
        <v>1059</v>
      </c>
      <c r="AO54" s="3904">
        <f>+'Maj Techno Summ'!AL16</f>
        <v>1061.5576980377132</v>
      </c>
      <c r="AP54" s="3906">
        <f>+'Maj Techno Summ'!AM16</f>
        <v>1059</v>
      </c>
      <c r="AQ54" s="3906">
        <f>+'Maj Techno Summ'!AN16</f>
        <v>1061.3410021010616</v>
      </c>
      <c r="AR54" s="3908">
        <f>+'Maj Techno Summ'!AO16</f>
        <v>1059</v>
      </c>
      <c r="AS54" s="3905">
        <f>+'Maj Techno Summ'!AP16</f>
        <v>1060.9063705557294</v>
      </c>
      <c r="AT54" s="3904">
        <f>+'Maj Techno Summ'!AQ16</f>
        <v>1059</v>
      </c>
      <c r="AU54" s="3904">
        <f>+'Maj Techno Summ'!AR16</f>
        <v>1062.3569338318973</v>
      </c>
      <c r="AV54" s="3908">
        <f>+'Maj Techno Summ'!AS16</f>
        <v>1059</v>
      </c>
      <c r="AW54" s="3905">
        <f>+'Maj Techno Summ'!AT16</f>
        <v>1061.075013526061</v>
      </c>
      <c r="AX54" s="3904">
        <f>+'Maj Techno Summ'!AU16</f>
        <v>1059</v>
      </c>
      <c r="AY54" s="3904">
        <f>+'Maj Techno Summ'!AV16</f>
        <v>1061.4913748626034</v>
      </c>
      <c r="AZ54" s="3908">
        <f>+'Maj Techno Summ'!AW16</f>
        <v>1059</v>
      </c>
      <c r="BA54" s="3905">
        <f>+'Maj Techno Summ'!AX16</f>
        <v>1061.1146876255782</v>
      </c>
      <c r="BB54" s="3904">
        <f>+'Maj Techno Summ'!AY16</f>
        <v>1059</v>
      </c>
      <c r="BC54" s="3904">
        <f>+'Maj Techno Summ'!AZ16</f>
        <v>1057.0891431809223</v>
      </c>
      <c r="BD54" s="3844">
        <f>+'Maj Techno Summ'!BA16</f>
        <v>1059</v>
      </c>
      <c r="BE54" s="3844">
        <f>+'Maj Techno Summ'!BB16</f>
        <v>1060.2854438045888</v>
      </c>
      <c r="BF54" s="3842">
        <f>+'Maj Techno Summ'!BC16</f>
        <v>1059</v>
      </c>
      <c r="BG54" s="3843">
        <f>+'Maj Techno Summ'!BD16</f>
        <v>1060.7022947116322</v>
      </c>
      <c r="BH54" s="3839">
        <f>+'Maj Techno Summ'!BE16</f>
        <v>1059</v>
      </c>
      <c r="BI54" s="3305">
        <f>+'Maj Techno Summ'!BF16</f>
        <v>1060.7350782040101</v>
      </c>
    </row>
    <row r="55" spans="3:62" x14ac:dyDescent="0.25">
      <c r="C55" s="5827"/>
      <c r="D55" s="3864" t="s">
        <v>365</v>
      </c>
      <c r="E55" s="548" t="s">
        <v>271</v>
      </c>
      <c r="F55" s="3865">
        <v>38.506404738512508</v>
      </c>
      <c r="G55" s="3866">
        <f>+'Maj Techno Summ'!D17</f>
        <v>38</v>
      </c>
      <c r="H55" s="3838">
        <f>+'Maj Techno Summ'!E17</f>
        <v>38</v>
      </c>
      <c r="I55" s="3838">
        <f>+'Maj Techno Summ'!F17</f>
        <v>37.174669114095252</v>
      </c>
      <c r="J55" s="3838">
        <f>+'Maj Techno Summ'!G17</f>
        <v>38</v>
      </c>
      <c r="K55" s="3838">
        <f>+'Maj Techno Summ'!H17</f>
        <v>28.189893423710473</v>
      </c>
      <c r="L55" s="3305">
        <f>+'Maj Techno Summ'!I17</f>
        <v>38</v>
      </c>
      <c r="M55" s="3305">
        <f>+'Maj Techno Summ'!J17</f>
        <v>32.382375613648342</v>
      </c>
      <c r="N55" s="3838">
        <f>+'Maj Techno Summ'!K17</f>
        <v>38</v>
      </c>
      <c r="O55" s="3838">
        <f>+'Maj Techno Summ'!L17</f>
        <v>34.520831536271892</v>
      </c>
      <c r="P55" s="3840">
        <f>+'Maj Techno Summ'!M17</f>
        <v>38</v>
      </c>
      <c r="Q55" s="3841">
        <f>+'Maj Techno Summ'!N17</f>
        <v>33.140060339595784</v>
      </c>
      <c r="R55" s="3838">
        <f>+'Maj Techno Summ'!O17</f>
        <v>38</v>
      </c>
      <c r="S55" s="3838">
        <f>+'Maj Techno Summ'!P17</f>
        <v>44.526180507919989</v>
      </c>
      <c r="T55" s="3839">
        <f>+'Maj Techno Summ'!Q17</f>
        <v>38</v>
      </c>
      <c r="U55" s="3305">
        <f>+'Maj Techno Summ'!R17</f>
        <v>36.210116574348966</v>
      </c>
      <c r="V55" s="3838">
        <f>+'Maj Techno Summ'!S17</f>
        <v>38</v>
      </c>
      <c r="W55" s="3838">
        <f>+'Maj Techno Summ'!T17</f>
        <v>36.183939197549044</v>
      </c>
      <c r="X55" s="3839">
        <f>+'Maj Techno Summ'!U17</f>
        <v>38</v>
      </c>
      <c r="Y55" s="3305">
        <f>+'Maj Techno Summ'!V17</f>
        <v>36.204837936345619</v>
      </c>
      <c r="Z55" s="3838">
        <f>+'Maj Techno Summ'!W17</f>
        <v>38</v>
      </c>
      <c r="AA55" s="3838">
        <f>+'Maj Techno Summ'!X17</f>
        <v>34.040564785957052</v>
      </c>
      <c r="AB55" s="3840">
        <f>+'Maj Techno Summ'!Y17</f>
        <v>38</v>
      </c>
      <c r="AC55" s="3840">
        <f>+'Maj Techno Summ'!Z17</f>
        <v>38.453569056342083</v>
      </c>
      <c r="AD55" s="3842">
        <f>+'Maj Techno Summ'!AA17</f>
        <v>38</v>
      </c>
      <c r="AE55" s="3843">
        <f>+'Maj Techno Summ'!AB17</f>
        <v>35.855461194584279</v>
      </c>
      <c r="AF55" s="3838">
        <f>+'Maj Techno Summ'!AC17</f>
        <v>38</v>
      </c>
      <c r="AG55" s="3838">
        <f>+'Maj Techno Summ'!AD17</f>
        <v>34.008139084713108</v>
      </c>
      <c r="AH55" s="3839">
        <f>+'Maj Techno Summ'!AE17</f>
        <v>38</v>
      </c>
      <c r="AI55" s="3305">
        <f>+'Maj Techno Summ'!AF17</f>
        <v>35.603301011441708</v>
      </c>
      <c r="AJ55" s="3838">
        <f>+'Maj Techno Summ'!AG17</f>
        <v>38</v>
      </c>
      <c r="AK55" s="3838">
        <f>+'Maj Techno Summ'!AH17</f>
        <v>41.109010712035285</v>
      </c>
      <c r="AL55" s="3839">
        <f>+'Maj Techno Summ'!AI17</f>
        <v>38</v>
      </c>
      <c r="AM55" s="3305">
        <f>+'Maj Techno Summ'!AJ17</f>
        <v>35.630016235404184</v>
      </c>
      <c r="AN55" s="3838">
        <f>+'Maj Techno Summ'!AK17</f>
        <v>38</v>
      </c>
      <c r="AO55" s="3838">
        <f>+'Maj Techno Summ'!AL17</f>
        <v>37.65462052526285</v>
      </c>
      <c r="AP55" s="3840">
        <f>+'Maj Techno Summ'!AM17</f>
        <v>38</v>
      </c>
      <c r="AQ55" s="3840">
        <f>+'Maj Techno Summ'!AN17</f>
        <v>35.971595882177105</v>
      </c>
      <c r="AR55" s="3839">
        <f>+'Maj Techno Summ'!AO17</f>
        <v>38</v>
      </c>
      <c r="AS55" s="3305">
        <f>+'Maj Techno Summ'!AP17</f>
        <v>35.884336009453307</v>
      </c>
      <c r="AT55" s="3838">
        <f>+'Maj Techno Summ'!AQ17</f>
        <v>38</v>
      </c>
      <c r="AU55" s="3838">
        <f>+'Maj Techno Summ'!AR17</f>
        <v>37.524386278653878</v>
      </c>
      <c r="AV55" s="3839">
        <f>+'Maj Techno Summ'!AS17</f>
        <v>38</v>
      </c>
      <c r="AW55" s="3305">
        <f>+'Maj Techno Summ'!AT17</f>
        <v>36.075008800799516</v>
      </c>
      <c r="AX55" s="3838">
        <f>+'Maj Techno Summ'!AU17</f>
        <v>38</v>
      </c>
      <c r="AY55" s="3838">
        <f>+'Maj Techno Summ'!AV17</f>
        <v>35.703806725139643</v>
      </c>
      <c r="AZ55" s="3839">
        <f>+'Maj Techno Summ'!AW17</f>
        <v>38</v>
      </c>
      <c r="BA55" s="3305">
        <f>+'Maj Techno Summ'!AX17</f>
        <v>36.039637821800802</v>
      </c>
      <c r="BB55" s="3838">
        <f>+'Maj Techno Summ'!AY17</f>
        <v>38</v>
      </c>
      <c r="BC55" s="3838">
        <f>+'Maj Techno Summ'!AZ17</f>
        <v>38.362238864800943</v>
      </c>
      <c r="BD55" s="3844">
        <f>+'Maj Techno Summ'!BA17</f>
        <v>38</v>
      </c>
      <c r="BE55" s="3844">
        <f>+'Maj Techno Summ'!BB17</f>
        <v>37.241240892816293</v>
      </c>
      <c r="BF55" s="3842">
        <f>+'Maj Techno Summ'!BC17</f>
        <v>38</v>
      </c>
      <c r="BG55" s="3843">
        <f>+'Maj Techno Summ'!BD17</f>
        <v>36.739844924373031</v>
      </c>
      <c r="BH55" s="3839">
        <f>+'Maj Techno Summ'!BE17</f>
        <v>38</v>
      </c>
      <c r="BI55" s="3305">
        <f>+'Maj Techno Summ'!BF17</f>
        <v>36.258659435047846</v>
      </c>
    </row>
    <row r="56" spans="3:62" x14ac:dyDescent="0.25">
      <c r="C56" s="5827"/>
      <c r="D56" s="3864" t="s">
        <v>288</v>
      </c>
      <c r="E56" s="548" t="s">
        <v>271</v>
      </c>
      <c r="F56" s="3865">
        <v>1101.4805066548267</v>
      </c>
      <c r="G56" s="3866">
        <f>+'Maj Techno Summ'!D18</f>
        <v>1097</v>
      </c>
      <c r="H56" s="3838">
        <f>+'Maj Techno Summ'!E18</f>
        <v>1097</v>
      </c>
      <c r="I56" s="3838">
        <f>+'Maj Techno Summ'!F18</f>
        <v>1096.9445705728915</v>
      </c>
      <c r="J56" s="3838">
        <f>+'Maj Techno Summ'!G18</f>
        <v>1097</v>
      </c>
      <c r="K56" s="3838">
        <f>+'Maj Techno Summ'!H18</f>
        <v>1096.0103618184735</v>
      </c>
      <c r="L56" s="3305">
        <f>+'Maj Techno Summ'!I18</f>
        <v>1097</v>
      </c>
      <c r="M56" s="3305">
        <f>+'Maj Techno Summ'!J18</f>
        <v>1096.4462829476756</v>
      </c>
      <c r="N56" s="3838">
        <f>+'Maj Techno Summ'!K18</f>
        <v>1097</v>
      </c>
      <c r="O56" s="3838">
        <f>+'Maj Techno Summ'!L18</f>
        <v>1096.4404833787221</v>
      </c>
      <c r="P56" s="3840">
        <f>+'Maj Techno Summ'!M18</f>
        <v>1097</v>
      </c>
      <c r="Q56" s="3841">
        <f>+'Maj Techno Summ'!N18</f>
        <v>1096.444228079597</v>
      </c>
      <c r="R56" s="3838">
        <f>+'Maj Techno Summ'!O18</f>
        <v>1097</v>
      </c>
      <c r="S56" s="3838">
        <f>+'Maj Techno Summ'!P18</f>
        <v>1096.2330778752828</v>
      </c>
      <c r="T56" s="3839">
        <f>+'Maj Techno Summ'!Q18</f>
        <v>1097</v>
      </c>
      <c r="U56" s="3305">
        <f>+'Maj Techno Summ'!R18</f>
        <v>1096.3872953411717</v>
      </c>
      <c r="V56" s="3838">
        <f>+'Maj Techno Summ'!S18</f>
        <v>1097</v>
      </c>
      <c r="W56" s="3838">
        <f>+'Maj Techno Summ'!T18</f>
        <v>1096.3497487606369</v>
      </c>
      <c r="X56" s="3839">
        <f>+'Maj Techno Summ'!U18</f>
        <v>1097</v>
      </c>
      <c r="Y56" s="3305">
        <f>+'Maj Techno Summ'!V18</f>
        <v>1096.379724116277</v>
      </c>
      <c r="Z56" s="3838">
        <f>+'Maj Techno Summ'!W18</f>
        <v>1097</v>
      </c>
      <c r="AA56" s="3838">
        <f>+'Maj Techno Summ'!X18</f>
        <v>1097.8558235286339</v>
      </c>
      <c r="AB56" s="3840">
        <f>+'Maj Techno Summ'!Y18</f>
        <v>1097</v>
      </c>
      <c r="AC56" s="3840">
        <f>+'Maj Techno Summ'!Z18</f>
        <v>1096.7842844829147</v>
      </c>
      <c r="AD56" s="3842">
        <f>+'Maj Techno Summ'!AA18</f>
        <v>1097</v>
      </c>
      <c r="AE56" s="3843">
        <f>+'Maj Techno Summ'!AB18</f>
        <v>1096.6180095670354</v>
      </c>
      <c r="AF56" s="3838">
        <f>+'Maj Techno Summ'!AC18</f>
        <v>1097</v>
      </c>
      <c r="AG56" s="3838">
        <f>+'Maj Techno Summ'!AD18</f>
        <v>1095.2259406314993</v>
      </c>
      <c r="AH56" s="3839">
        <f>+'Maj Techno Summ'!AE18</f>
        <v>1097</v>
      </c>
      <c r="AI56" s="3305">
        <f>+'Maj Techno Summ'!AF18</f>
        <v>1096.4279916184298</v>
      </c>
      <c r="AJ56" s="3838">
        <f>+'Maj Techno Summ'!AG18</f>
        <v>1097</v>
      </c>
      <c r="AK56" s="3838">
        <f>+'Maj Techno Summ'!AH18</f>
        <v>1099.4833018273473</v>
      </c>
      <c r="AL56" s="3839">
        <f>+'Maj Techno Summ'!AI18</f>
        <v>1097</v>
      </c>
      <c r="AM56" s="3305">
        <f>+'Maj Techno Summ'!AJ18</f>
        <v>1096.4428168273389</v>
      </c>
      <c r="AN56" s="3838">
        <f>+'Maj Techno Summ'!AK18</f>
        <v>1097</v>
      </c>
      <c r="AO56" s="3838">
        <f>+'Maj Techno Summ'!AL18</f>
        <v>1099.212318562976</v>
      </c>
      <c r="AP56" s="3840">
        <f>+'Maj Techno Summ'!AM18</f>
        <v>1097</v>
      </c>
      <c r="AQ56" s="3840">
        <f>+'Maj Techno Summ'!AN18</f>
        <v>1097.3125979832387</v>
      </c>
      <c r="AR56" s="3839">
        <f>+'Maj Techno Summ'!AO18</f>
        <v>1097</v>
      </c>
      <c r="AS56" s="3305">
        <f>+'Maj Techno Summ'!AP18</f>
        <v>1096.7907065651827</v>
      </c>
      <c r="AT56" s="3838">
        <f>+'Maj Techno Summ'!AQ18</f>
        <v>1097</v>
      </c>
      <c r="AU56" s="3838">
        <f>+'Maj Techno Summ'!AR18</f>
        <v>1099.8813201105513</v>
      </c>
      <c r="AV56" s="3839">
        <f>+'Maj Techno Summ'!AS18</f>
        <v>1097</v>
      </c>
      <c r="AW56" s="3305">
        <f>+'Maj Techno Summ'!AT18</f>
        <v>1097.1500223268604</v>
      </c>
      <c r="AX56" s="3838">
        <f>+'Maj Techno Summ'!AU18</f>
        <v>1097</v>
      </c>
      <c r="AY56" s="3838">
        <f>+'Maj Techno Summ'!AV18</f>
        <v>1097.195181587743</v>
      </c>
      <c r="AZ56" s="3839">
        <f>+'Maj Techno Summ'!AW18</f>
        <v>1097</v>
      </c>
      <c r="BA56" s="3305">
        <f>+'Maj Techno Summ'!AX18</f>
        <v>1097.1543254473791</v>
      </c>
      <c r="BB56" s="3838">
        <f>+'Maj Techno Summ'!AY18</f>
        <v>1097</v>
      </c>
      <c r="BC56" s="3838">
        <f>+'Maj Techno Summ'!AZ18</f>
        <v>1095.4513820457232</v>
      </c>
      <c r="BD56" s="3844">
        <f>+'Maj Techno Summ'!BA18</f>
        <v>1097</v>
      </c>
      <c r="BE56" s="3844">
        <f>+'Maj Techno Summ'!BB18</f>
        <v>1097.526684697405</v>
      </c>
      <c r="BF56" s="3842">
        <f>+'Maj Techno Summ'!BC18</f>
        <v>1097</v>
      </c>
      <c r="BG56" s="3843">
        <f>+'Maj Techno Summ'!BD18</f>
        <v>1097.4421396360053</v>
      </c>
      <c r="BH56" s="3839">
        <f>+'Maj Techno Summ'!BE18</f>
        <v>1097</v>
      </c>
      <c r="BI56" s="3305">
        <f>+'Maj Techno Summ'!BF18</f>
        <v>1096.9937376390578</v>
      </c>
    </row>
    <row r="57" spans="3:62" x14ac:dyDescent="0.25">
      <c r="C57" s="5827"/>
      <c r="D57" s="3864" t="str">
        <f>+'Maj Techno Summ'!B19</f>
        <v>Ferro Alloys (FeMn+LCFeMn+SiMn+FeSi)</v>
      </c>
      <c r="E57" s="548" t="s">
        <v>271</v>
      </c>
      <c r="F57" s="3911">
        <v>22.930617482833931</v>
      </c>
      <c r="G57" s="3912">
        <f>+'Maj Techno Summ'!D19</f>
        <v>22.017291674197072</v>
      </c>
      <c r="H57" s="3792">
        <f>+'Maj Techno Summ'!E19</f>
        <v>22.017291674197072</v>
      </c>
      <c r="I57" s="3792">
        <f>+'Maj Techno Summ'!F19</f>
        <v>20.62119601970824</v>
      </c>
      <c r="J57" s="3792">
        <f>+'Maj Techno Summ'!G19</f>
        <v>22.017291674197072</v>
      </c>
      <c r="K57" s="3792">
        <f>+'Maj Techno Summ'!H19</f>
        <v>19.422070842383725</v>
      </c>
      <c r="L57" s="3291">
        <f>+'Maj Techno Summ'!I19</f>
        <v>22.017291674197072</v>
      </c>
      <c r="M57" s="3291">
        <f>+'Maj Techno Summ'!J19</f>
        <v>19.981607454390545</v>
      </c>
      <c r="N57" s="3792">
        <f>+'Maj Techno Summ'!K19</f>
        <v>22.017291674197072</v>
      </c>
      <c r="O57" s="3792">
        <f>+'Maj Techno Summ'!L19</f>
        <v>19.733624149219764</v>
      </c>
      <c r="P57" s="3793">
        <f>+'Maj Techno Summ'!M19</f>
        <v>22.017291674197072</v>
      </c>
      <c r="Q57" s="3794">
        <f>+'Maj Techno Summ'!N19</f>
        <v>19.893743514512209</v>
      </c>
      <c r="R57" s="3792">
        <f>+'Maj Techno Summ'!O19</f>
        <v>22.017291674197072</v>
      </c>
      <c r="S57" s="3792">
        <f>+'Maj Techno Summ'!P19</f>
        <v>20.120845849989355</v>
      </c>
      <c r="T57" s="3785">
        <f>+'Maj Techno Summ'!Q19</f>
        <v>22.017291674197072</v>
      </c>
      <c r="U57" s="3291">
        <f>+'Maj Techno Summ'!R19</f>
        <v>19.95497744939534</v>
      </c>
      <c r="V57" s="3792">
        <f>+'Maj Techno Summ'!S19</f>
        <v>22.017291674197072</v>
      </c>
      <c r="W57" s="3792">
        <f>+'Maj Techno Summ'!T19</f>
        <v>19.080809016000202</v>
      </c>
      <c r="X57" s="3839">
        <f>+'Maj Techno Summ'!U19</f>
        <v>22.017291674197072</v>
      </c>
      <c r="Y57" s="3305">
        <f>+'Maj Techno Summ'!V19</f>
        <v>19.778702387569531</v>
      </c>
      <c r="Z57" s="3792">
        <f>+'Maj Techno Summ'!W19</f>
        <v>22.017291674197072</v>
      </c>
      <c r="AA57" s="3792">
        <f>+'Maj Techno Summ'!X19</f>
        <v>17.254404951354879</v>
      </c>
      <c r="AB57" s="3840">
        <f>+'Maj Techno Summ'!Y19</f>
        <v>22.017291674197072</v>
      </c>
      <c r="AC57" s="3840">
        <f>+'Maj Techno Summ'!Z19</f>
        <v>18.871242154982866</v>
      </c>
      <c r="AD57" s="3842">
        <f>+'Maj Techno Summ'!AA19</f>
        <v>22.017291674197072</v>
      </c>
      <c r="AE57" s="3843">
        <f>+'Maj Techno Summ'!AB19</f>
        <v>19.371207236902968</v>
      </c>
      <c r="AF57" s="3792">
        <f>+'Maj Techno Summ'!AC19</f>
        <v>22.017291674197072</v>
      </c>
      <c r="AG57" s="3792">
        <f>+'Maj Techno Summ'!AD19</f>
        <v>19.519397851785826</v>
      </c>
      <c r="AH57" s="3839">
        <f>+'Maj Techno Summ'!AE19</f>
        <v>22.017291674197072</v>
      </c>
      <c r="AI57" s="3305">
        <f>+'Maj Techno Summ'!AF19</f>
        <v>19.391435313202816</v>
      </c>
      <c r="AJ57" s="3792">
        <f>+'Maj Techno Summ'!AG19</f>
        <v>22.017291674197072</v>
      </c>
      <c r="AK57" s="3792">
        <f>+'Maj Techno Summ'!AH19</f>
        <v>17.643352236925015</v>
      </c>
      <c r="AL57" s="3839">
        <f>+'Maj Techno Summ'!AI19</f>
        <v>22.017291674197072</v>
      </c>
      <c r="AM57" s="3305">
        <f>+'Maj Techno Summ'!AJ19</f>
        <v>19.382953131353897</v>
      </c>
      <c r="AN57" s="3792">
        <f>+'Maj Techno Summ'!AK19</f>
        <v>22.017291674197072</v>
      </c>
      <c r="AO57" s="3792">
        <f>+'Maj Techno Summ'!AL19</f>
        <v>21.325501213127318</v>
      </c>
      <c r="AP57" s="3840">
        <f>+'Maj Techno Summ'!AM19</f>
        <v>22.017291674197072</v>
      </c>
      <c r="AQ57" s="3840">
        <f>+'Maj Techno Summ'!AN19</f>
        <v>20.399868387945887</v>
      </c>
      <c r="AR57" s="3839">
        <f>+'Maj Techno Summ'!AO19</f>
        <v>22.017291674197072</v>
      </c>
      <c r="AS57" s="3305">
        <f>+'Maj Techno Summ'!AP19</f>
        <v>19.62696545105053</v>
      </c>
      <c r="AT57" s="3792">
        <f>+'Maj Techno Summ'!AQ19</f>
        <v>22.017291674197072</v>
      </c>
      <c r="AU57" s="3792">
        <f>+'Maj Techno Summ'!AR19</f>
        <v>20.886847667046009</v>
      </c>
      <c r="AV57" s="3839">
        <f>+'Maj Techno Summ'!AS19</f>
        <v>22.017291674197072</v>
      </c>
      <c r="AW57" s="3305">
        <f>+'Maj Techno Summ'!AT19</f>
        <v>19.773439777723702</v>
      </c>
      <c r="AX57" s="3792">
        <f>+'Maj Techno Summ'!AU19</f>
        <v>22.017291674197072</v>
      </c>
      <c r="AY57" s="3792">
        <f>+'Maj Techno Summ'!AV19</f>
        <v>20.637519908477088</v>
      </c>
      <c r="AZ57" s="3839">
        <f>+'Maj Techno Summ'!AW19</f>
        <v>22.017291674197072</v>
      </c>
      <c r="BA57" s="3305">
        <f>+'Maj Techno Summ'!AX19</f>
        <v>19.855775955676776</v>
      </c>
      <c r="BB57" s="3838">
        <f>+'Maj Techno Summ'!AY19</f>
        <v>22.017291674197072</v>
      </c>
      <c r="BC57" s="3838">
        <f>+'Maj Techno Summ'!AZ19</f>
        <v>20.430955196426229</v>
      </c>
      <c r="BD57" s="3844">
        <f>+'Maj Techno Summ'!BA19</f>
        <v>22.017291674197072</v>
      </c>
      <c r="BE57" s="3844">
        <f>+'Maj Techno Summ'!BB19</f>
        <v>20.653008405767402</v>
      </c>
      <c r="BF57" s="3842">
        <f>+'Maj Techno Summ'!BC19</f>
        <v>22.017291674197072</v>
      </c>
      <c r="BG57" s="3843">
        <f>+'Maj Techno Summ'!BD19</f>
        <v>20.553040790155329</v>
      </c>
      <c r="BH57" s="3839">
        <f>+'Maj Techno Summ'!BE19</f>
        <v>22.017291674197072</v>
      </c>
      <c r="BI57" s="3305">
        <f>+'Maj Techno Summ'!BF19</f>
        <v>19.91001544101362</v>
      </c>
    </row>
    <row r="58" spans="3:62" x14ac:dyDescent="0.25">
      <c r="C58" s="5827"/>
      <c r="D58" s="3864" t="s">
        <v>1059</v>
      </c>
      <c r="E58" s="548" t="s">
        <v>1060</v>
      </c>
      <c r="F58" s="3865">
        <v>150.30561739885829</v>
      </c>
      <c r="G58" s="3866">
        <f>+SMS!D52</f>
        <v>150</v>
      </c>
      <c r="H58" s="3838">
        <f>+SMS!E52</f>
        <v>150</v>
      </c>
      <c r="I58" s="3838">
        <f>+SMS!F52</f>
        <v>156.4773771730915</v>
      </c>
      <c r="J58" s="3838">
        <f>+SMS!G52</f>
        <v>150</v>
      </c>
      <c r="K58" s="3838">
        <f>+SMS!H52</f>
        <v>156.09373350923482</v>
      </c>
      <c r="L58" s="3305">
        <f>+SMS!I52</f>
        <v>150</v>
      </c>
      <c r="M58" s="3305">
        <f>+SMS!J52</f>
        <v>156.27251497005989</v>
      </c>
      <c r="N58" s="3838">
        <f>+SMS!K52</f>
        <v>150</v>
      </c>
      <c r="O58" s="3838">
        <f>+SMS!L52</f>
        <v>156.46098971722364</v>
      </c>
      <c r="P58" s="3840">
        <f>+SMS!M52</f>
        <v>150</v>
      </c>
      <c r="Q58" s="3841">
        <f>+SMS!N52</f>
        <v>156.33924232081912</v>
      </c>
      <c r="R58" s="3838">
        <f>+SMS!O52</f>
        <v>150</v>
      </c>
      <c r="S58" s="3838">
        <f>+SMS!P52</f>
        <v>157.55390683229814</v>
      </c>
      <c r="T58" s="3839">
        <f>+SMS!Q52</f>
        <v>150</v>
      </c>
      <c r="U58" s="3305">
        <f>+SMS!R52</f>
        <v>156.66490591174025</v>
      </c>
      <c r="V58" s="3838">
        <f>+SMS!S52</f>
        <v>150</v>
      </c>
      <c r="W58" s="3838">
        <f>+SMS!T52</f>
        <v>156.84606600660064</v>
      </c>
      <c r="X58" s="3839">
        <f>+SMS!U52</f>
        <v>150</v>
      </c>
      <c r="Y58" s="3305">
        <f>+SMS!V52</f>
        <v>156.70140292553191</v>
      </c>
      <c r="Z58" s="3838">
        <f>+SMS!W52</f>
        <v>150</v>
      </c>
      <c r="AA58" s="3838">
        <f>+SMS!X52</f>
        <v>156.66201657458564</v>
      </c>
      <c r="AB58" s="3840">
        <f>+SMS!Y52</f>
        <v>150</v>
      </c>
      <c r="AC58" s="3840">
        <f>+SMS!Z52</f>
        <v>157.03699540782856</v>
      </c>
      <c r="AD58" s="3842">
        <f>+SMS!AA52</f>
        <v>150</v>
      </c>
      <c r="AE58" s="3843">
        <f>+SMS!AB52</f>
        <v>156.69504348795721</v>
      </c>
      <c r="AF58" s="3838">
        <f>+SMS!AC52</f>
        <v>150</v>
      </c>
      <c r="AG58" s="3838">
        <f>+SMS!AD52</f>
        <v>153.09301171605787</v>
      </c>
      <c r="AH58" s="3839">
        <f>+SMS!AE52</f>
        <v>150</v>
      </c>
      <c r="AI58" s="3305">
        <f>+SMS!AF52</f>
        <v>156.19340723677897</v>
      </c>
      <c r="AJ58" s="3838">
        <f>+SMS!AG52</f>
        <v>150</v>
      </c>
      <c r="AK58" s="3838">
        <f>+SMS!AH52</f>
        <v>152.59615384615384</v>
      </c>
      <c r="AL58" s="3839">
        <f>+SMS!AI52</f>
        <v>150</v>
      </c>
      <c r="AM58" s="3305">
        <f>+SMS!AJ52</f>
        <v>156.17554292808711</v>
      </c>
      <c r="AN58" s="3838">
        <f>+SMS!AK52</f>
        <v>150</v>
      </c>
      <c r="AO58" s="3838">
        <f>+SMS!AL52</f>
        <v>153.44854996734162</v>
      </c>
      <c r="AP58" s="3840">
        <f>+SMS!AM52</f>
        <v>150.00000000000003</v>
      </c>
      <c r="AQ58" s="3840">
        <f>+SMS!AN52</f>
        <v>153.26390573500331</v>
      </c>
      <c r="AR58" s="3839">
        <f>+SMS!AO52</f>
        <v>150</v>
      </c>
      <c r="AS58" s="3305">
        <f>+SMS!AP52</f>
        <v>155.82768205299118</v>
      </c>
      <c r="AT58" s="3838">
        <f>+SMS!AQ52</f>
        <v>150</v>
      </c>
      <c r="AU58" s="3838">
        <f>+SMS!AR52</f>
        <v>153.87123827392119</v>
      </c>
      <c r="AV58" s="3839">
        <f>+SMS!AS52</f>
        <v>150</v>
      </c>
      <c r="AW58" s="3305">
        <f>+SMS!AT52</f>
        <v>155.59767296522315</v>
      </c>
      <c r="AX58" s="3838">
        <f>+SMS!AU52</f>
        <v>150</v>
      </c>
      <c r="AY58" s="3838">
        <f>+SMS!AV52</f>
        <v>154.46695079695081</v>
      </c>
      <c r="AZ58" s="3839">
        <f>+SMS!AW52</f>
        <v>150</v>
      </c>
      <c r="BA58" s="3305">
        <f>+SMS!AX52</f>
        <v>155.48921563413987</v>
      </c>
      <c r="BB58" s="3838">
        <f>+SMS!AY52</f>
        <v>150</v>
      </c>
      <c r="BC58" s="3838">
        <f>+SMS!AZ52</f>
        <v>154.931106870229</v>
      </c>
      <c r="BD58" s="3844">
        <f>+SMS!BA52</f>
        <v>150</v>
      </c>
      <c r="BE58" s="3844">
        <f>+SMS!BB52</f>
        <v>154.41864325964457</v>
      </c>
      <c r="BF58" s="3842">
        <f>+SMS!BC52</f>
        <v>150</v>
      </c>
      <c r="BG58" s="3843">
        <f>+SMS!BD52</f>
        <v>153.96055308577405</v>
      </c>
      <c r="BH58" s="3839">
        <f>+SMS!BE52</f>
        <v>150</v>
      </c>
      <c r="BI58" s="3305">
        <f>+SMS!BF52</f>
        <v>155.43641429947041</v>
      </c>
    </row>
    <row r="59" spans="3:62" x14ac:dyDescent="0.25">
      <c r="C59" s="5827"/>
      <c r="D59" s="3864" t="s">
        <v>1450</v>
      </c>
      <c r="E59" s="548" t="s">
        <v>271</v>
      </c>
      <c r="F59" s="3913">
        <v>10.871440685841032</v>
      </c>
      <c r="G59" s="3879">
        <f>+SMS!D104</f>
        <v>9</v>
      </c>
      <c r="H59" s="3880">
        <f>+SMS!E104</f>
        <v>9</v>
      </c>
      <c r="I59" s="3880">
        <f>+SMS!F104</f>
        <v>7.4</v>
      </c>
      <c r="J59" s="3880">
        <f>+SMS!G104</f>
        <v>9</v>
      </c>
      <c r="K59" s="3880">
        <f>+SMS!H104</f>
        <v>7.5</v>
      </c>
      <c r="L59" s="3292">
        <f>+SMS!I104</f>
        <v>9</v>
      </c>
      <c r="M59" s="3292">
        <f>+SMS!J104</f>
        <v>7.4533379314697354</v>
      </c>
      <c r="N59" s="3880">
        <f>+SMS!K104</f>
        <v>9</v>
      </c>
      <c r="O59" s="3880">
        <f>+SMS!L104</f>
        <v>6.4</v>
      </c>
      <c r="P59" s="3794">
        <f>+SMS!M104</f>
        <v>9</v>
      </c>
      <c r="Q59" s="3793">
        <f>+SMS!N104</f>
        <v>7.0801256274459297</v>
      </c>
      <c r="R59" s="3792">
        <f>+SMS!O104</f>
        <v>9</v>
      </c>
      <c r="S59" s="3792">
        <f>+SMS!P104</f>
        <v>6.46</v>
      </c>
      <c r="T59" s="3305">
        <f>+SMS!Q104</f>
        <v>8.9999999999999982</v>
      </c>
      <c r="U59" s="3291">
        <f>+SMS!R104</f>
        <v>6.9129202474986</v>
      </c>
      <c r="V59" s="3792">
        <f>+SMS!S104</f>
        <v>9</v>
      </c>
      <c r="W59" s="3792">
        <f>+SMS!T104</f>
        <v>7.3</v>
      </c>
      <c r="X59" s="3305">
        <f>+SMS!U104</f>
        <v>8.9999999999999982</v>
      </c>
      <c r="Y59" s="3291">
        <f>+SMS!V104</f>
        <v>6.9909744355670211</v>
      </c>
      <c r="Z59" s="3792">
        <f>+SMS!W104</f>
        <v>9</v>
      </c>
      <c r="AA59" s="3792">
        <f>+SMS!X104</f>
        <v>6.6</v>
      </c>
      <c r="AB59" s="3793">
        <f>+SMS!Y104</f>
        <v>9</v>
      </c>
      <c r="AC59" s="3793">
        <f>+SMS!Z104</f>
        <v>6.7821711080568869</v>
      </c>
      <c r="AD59" s="3796">
        <f>+SMS!AA104</f>
        <v>8.9999999999999982</v>
      </c>
      <c r="AE59" s="3797">
        <f>+SMS!AB104</f>
        <v>6.927859770772578</v>
      </c>
      <c r="AF59" s="3880">
        <f>+SMS!AC104</f>
        <v>9</v>
      </c>
      <c r="AG59" s="3880">
        <f>+SMS!AD104</f>
        <v>7.04</v>
      </c>
      <c r="AH59" s="3801">
        <f>+SMS!AE104</f>
        <v>9</v>
      </c>
      <c r="AI59" s="3292">
        <f>+SMS!AF104</f>
        <v>6.9431669554744433</v>
      </c>
      <c r="AJ59" s="3880">
        <f>+SMS!AG104</f>
        <v>9</v>
      </c>
      <c r="AK59" s="3880">
        <f>+SMS!AH104</f>
        <v>5.23</v>
      </c>
      <c r="AL59" s="3801">
        <f>+SMS!AI104</f>
        <v>9</v>
      </c>
      <c r="AM59" s="3292">
        <f>+SMS!AJ104</f>
        <v>6.9348541962863424</v>
      </c>
      <c r="AN59" s="3880">
        <f>+SMS!AK104</f>
        <v>9</v>
      </c>
      <c r="AO59" s="3880">
        <f>+SMS!AL104</f>
        <v>7.54</v>
      </c>
      <c r="AP59" s="3793">
        <f>+SMS!AM104</f>
        <v>9</v>
      </c>
      <c r="AQ59" s="3793">
        <f>+SMS!AN104</f>
        <v>7.2617246985503323</v>
      </c>
      <c r="AR59" s="3801">
        <f>+SMS!AO104</f>
        <v>9.0000000000000018</v>
      </c>
      <c r="AS59" s="3292">
        <f>+SMS!AP104</f>
        <v>7.0108693192603102</v>
      </c>
      <c r="AT59" s="3880">
        <f>+SMS!AQ104</f>
        <v>9</v>
      </c>
      <c r="AU59" s="3880">
        <f>+SMS!AR104</f>
        <v>6.3</v>
      </c>
      <c r="AV59" s="3801">
        <f>+SMS!AS104</f>
        <v>9.0000000000000018</v>
      </c>
      <c r="AW59" s="3292">
        <f>+SMS!AT104</f>
        <v>6.9282234150882323</v>
      </c>
      <c r="AX59" s="3880">
        <f>+SMS!AU104</f>
        <v>9</v>
      </c>
      <c r="AY59" s="3880">
        <f>+SMS!AV104</f>
        <v>6.2</v>
      </c>
      <c r="AZ59" s="3801">
        <f>+SMS!AW104</f>
        <v>9.0000000000000018</v>
      </c>
      <c r="BA59" s="3292">
        <f>+SMS!AX104</f>
        <v>6.8588327063329881</v>
      </c>
      <c r="BB59" s="3880">
        <f>+SMS!AY104</f>
        <v>9</v>
      </c>
      <c r="BC59" s="3880">
        <f>+SMS!AZ104</f>
        <v>6.03</v>
      </c>
      <c r="BD59" s="3804">
        <f>+SMS!BA104</f>
        <v>9</v>
      </c>
      <c r="BE59" s="3804">
        <f>+SMS!BB104</f>
        <v>6.1764208469768578</v>
      </c>
      <c r="BF59" s="3805">
        <f>+SMS!BC104</f>
        <v>9</v>
      </c>
      <c r="BG59" s="3806">
        <f>+SMS!BD104</f>
        <v>6.6050185818987845</v>
      </c>
      <c r="BH59" s="3801">
        <f>+SMS!BE104</f>
        <v>9.0000000000000018</v>
      </c>
      <c r="BI59" s="3292">
        <f>+SMS!BF104</f>
        <v>6.7806736626177235</v>
      </c>
    </row>
    <row r="60" spans="3:62" x14ac:dyDescent="0.25">
      <c r="C60" s="5827"/>
      <c r="D60" s="3864" t="s">
        <v>1451</v>
      </c>
      <c r="E60" s="548" t="s">
        <v>271</v>
      </c>
      <c r="F60" s="3913">
        <v>0.35658561453086035</v>
      </c>
      <c r="G60" s="3879">
        <v>0.32</v>
      </c>
      <c r="H60" s="3880">
        <v>0.32</v>
      </c>
      <c r="I60" s="3880">
        <f>+SMS!F117*1000/SMS!F5</f>
        <v>0.34403439281228865</v>
      </c>
      <c r="J60" s="3880">
        <v>0.32</v>
      </c>
      <c r="K60" s="3880">
        <f>+SMS!H117*1000/SMS!H5</f>
        <v>0.35483734649549098</v>
      </c>
      <c r="L60" s="3292">
        <v>0.32</v>
      </c>
      <c r="M60" s="3292">
        <f>+SMS!J117*1000/SMS!J5</f>
        <v>0.34979646484454241</v>
      </c>
      <c r="N60" s="3880">
        <v>0.32</v>
      </c>
      <c r="O60" s="3880">
        <f>+SMS!L117*1000/SMS!L5</f>
        <v>0.31315695431972496</v>
      </c>
      <c r="P60" s="3802">
        <f>+$G$60</f>
        <v>0.32</v>
      </c>
      <c r="Q60" s="3845">
        <f>+SMS!N117*1000/SMS!N5</f>
        <v>0.33681457581089513</v>
      </c>
      <c r="R60" s="3880">
        <v>0.32</v>
      </c>
      <c r="S60" s="3880">
        <f>+SMS!P117*1000/SMS!P5</f>
        <v>0.30284788419235043</v>
      </c>
      <c r="T60" s="3292">
        <v>0.32</v>
      </c>
      <c r="U60" s="3292">
        <f>+SMS!R117*1000/SMS!R5</f>
        <v>0.32765608706882532</v>
      </c>
      <c r="V60" s="3880">
        <v>0.32</v>
      </c>
      <c r="W60" s="3880">
        <f>+SMS!T117*1000/SMS!T5</f>
        <v>0.32853439496342929</v>
      </c>
      <c r="X60" s="3292">
        <v>0.32</v>
      </c>
      <c r="Y60" s="3292">
        <f>+SMS!V117*1000/SMS!V5</f>
        <v>0.32783319684825546</v>
      </c>
      <c r="Z60" s="3880">
        <v>0.32</v>
      </c>
      <c r="AA60" s="3880">
        <f>+SMS!X117*1000/SMS!X5</f>
        <v>0.32431109955168019</v>
      </c>
      <c r="AB60" s="3802">
        <v>0.32</v>
      </c>
      <c r="AC60" s="3802">
        <f>+SMS!Z117*1000/SMS!Z5</f>
        <v>0.31812719406347867</v>
      </c>
      <c r="AD60" s="3805">
        <v>0.32</v>
      </c>
      <c r="AE60" s="3806">
        <f>+SMS!AB117*1000/SMS!AB5</f>
        <v>0.32726462772960097</v>
      </c>
      <c r="AF60" s="3880">
        <v>0.32</v>
      </c>
      <c r="AG60" s="3880">
        <f>+SMS!AD117*1000/SMS!AD5</f>
        <v>0.35362702464233947</v>
      </c>
      <c r="AH60" s="3801">
        <f>+$G$60</f>
        <v>0.32</v>
      </c>
      <c r="AI60" s="3801">
        <f>+SMS!AF117*1000/SMS!AF5</f>
        <v>0.33086310511374101</v>
      </c>
      <c r="AJ60" s="3880">
        <v>0.32</v>
      </c>
      <c r="AK60" s="3880">
        <f>+SMS!AH117*1000/SMS!AH5</f>
        <v>0.31505986137366099</v>
      </c>
      <c r="AL60" s="3801">
        <f>+$G$60</f>
        <v>0.32</v>
      </c>
      <c r="AM60" s="3801">
        <f>+SMS!AJ117*1000/SMS!AJ5</f>
        <v>0.33078642341078013</v>
      </c>
      <c r="AN60" s="3880">
        <v>0.32</v>
      </c>
      <c r="AO60" s="3880">
        <f>+SMS!AL117*1000/SMS!AL5</f>
        <v>0.31999318946069044</v>
      </c>
      <c r="AP60" s="3802">
        <v>0.32</v>
      </c>
      <c r="AQ60" s="3802">
        <f>+SMS!AN117*1000/SMS!AN5</f>
        <v>0.3359763270344493</v>
      </c>
      <c r="AR60" s="3801">
        <v>0.32</v>
      </c>
      <c r="AS60" s="3801">
        <f>+SMS!AP117*1000/SMS!AP5</f>
        <v>0.32943063609313217</v>
      </c>
      <c r="AT60" s="3880">
        <v>0.32</v>
      </c>
      <c r="AU60" s="3880">
        <f>+SMS!AR117*1000/SMS!AR5</f>
        <v>0.33417330515363358</v>
      </c>
      <c r="AV60" s="3801">
        <f>+$G$60</f>
        <v>0.32</v>
      </c>
      <c r="AW60" s="3801">
        <f>+SMS!AT117*1000/SMS!AT5</f>
        <v>0.32998202038005275</v>
      </c>
      <c r="AX60" s="3880">
        <v>0.32</v>
      </c>
      <c r="AY60" s="3880">
        <f>+SMS!AV117*1000/SMS!AV5</f>
        <v>0.32437694878754569</v>
      </c>
      <c r="AZ60" s="3801">
        <f>+$G$60</f>
        <v>0.32</v>
      </c>
      <c r="BA60" s="3801">
        <f>+SMS!AX117*1000/SMS!AX5</f>
        <v>0.32944792619635943</v>
      </c>
      <c r="BB60" s="3880">
        <v>0.32</v>
      </c>
      <c r="BC60" s="3880">
        <f>+SMS!AZ117*1000/SMS!AZ5</f>
        <v>0.30043276179214295</v>
      </c>
      <c r="BD60" s="3804">
        <f>+$G$60</f>
        <v>0.32</v>
      </c>
      <c r="BE60" s="3804">
        <f>+SMS!BB117*1000/SMS!BB5</f>
        <v>0.31957495364827709</v>
      </c>
      <c r="BF60" s="3805">
        <f>+$G$60</f>
        <v>0.32</v>
      </c>
      <c r="BG60" s="3806">
        <f>+SMS!BD117*1000/SMS!BD5</f>
        <v>0.32605202591954074</v>
      </c>
      <c r="BH60" s="3801">
        <f>+$G$60</f>
        <v>0.32</v>
      </c>
      <c r="BI60" s="3292">
        <f>+SMS!BF117*1000/SMS!BF5</f>
        <v>0.32671179200939165</v>
      </c>
    </row>
    <row r="61" spans="3:62" x14ac:dyDescent="0.25">
      <c r="C61" s="5827"/>
      <c r="D61" s="3864" t="s">
        <v>2244</v>
      </c>
      <c r="E61" s="548" t="s">
        <v>271</v>
      </c>
      <c r="F61" s="3865">
        <v>64.983071452256169</v>
      </c>
      <c r="G61" s="3912">
        <f>+SMS!D87</f>
        <v>67</v>
      </c>
      <c r="H61" s="3792">
        <f>+SMS!E87</f>
        <v>67</v>
      </c>
      <c r="I61" s="3792">
        <f>+SMS!F87</f>
        <v>67.167229648868457</v>
      </c>
      <c r="J61" s="3792">
        <f>+SMS!G87</f>
        <v>67</v>
      </c>
      <c r="K61" s="3792">
        <f>+SMS!H87</f>
        <v>66.359014038736788</v>
      </c>
      <c r="L61" s="3305">
        <f>+SMS!I87</f>
        <v>66.999999999999829</v>
      </c>
      <c r="M61" s="3305">
        <f>+SMS!J87</f>
        <v>66.736143657789114</v>
      </c>
      <c r="N61" s="3792">
        <f>+SMS!K87</f>
        <v>67</v>
      </c>
      <c r="O61" s="3792">
        <f>+SMS!L87</f>
        <v>65.464649688461819</v>
      </c>
      <c r="P61" s="3793">
        <f>+SMS!M87</f>
        <v>66.999999999999886</v>
      </c>
      <c r="Q61" s="3794">
        <f>+SMS!N87</f>
        <v>66.28563505542634</v>
      </c>
      <c r="R61" s="3792">
        <f>+SMS!O87</f>
        <v>67</v>
      </c>
      <c r="S61" s="3792">
        <f>+SMS!P87</f>
        <v>67.290631356027248</v>
      </c>
      <c r="T61" s="3785">
        <f>+SMS!Q87</f>
        <v>66.999999999999872</v>
      </c>
      <c r="U61" s="3291">
        <f>+SMS!R87</f>
        <v>66.556613522695955</v>
      </c>
      <c r="V61" s="3792">
        <f>+SMS!S87</f>
        <v>67</v>
      </c>
      <c r="W61" s="3792">
        <f>+SMS!T87</f>
        <v>66.414641519197389</v>
      </c>
      <c r="X61" s="3785">
        <f>+SMS!U87</f>
        <v>66.999999999999886</v>
      </c>
      <c r="Y61" s="3291">
        <f>+SMS!V87</f>
        <v>66.527985045416258</v>
      </c>
      <c r="Z61" s="3792">
        <f>+SMS!W87</f>
        <v>67</v>
      </c>
      <c r="AA61" s="3792">
        <f>+SMS!X87</f>
        <v>68.575733557390777</v>
      </c>
      <c r="AB61" s="3793">
        <f>+SMS!Y87</f>
        <v>66.999999999999957</v>
      </c>
      <c r="AC61" s="3793">
        <f>+SMS!Z87</f>
        <v>67.406720046217799</v>
      </c>
      <c r="AD61" s="3796">
        <f>+SMS!AA87</f>
        <v>66.999999999999915</v>
      </c>
      <c r="AE61" s="3797">
        <f>+SMS!AB87</f>
        <v>66.85855093269933</v>
      </c>
      <c r="AF61" s="3792">
        <f>+SMS!AC87</f>
        <v>70</v>
      </c>
      <c r="AG61" s="3792">
        <f>+SMS!AD87</f>
        <v>68.143405116352014</v>
      </c>
      <c r="AH61" s="3785">
        <f>+SMS!AE87</f>
        <v>67.452813159409246</v>
      </c>
      <c r="AI61" s="3291">
        <f>+SMS!AF87</f>
        <v>67.033934090502115</v>
      </c>
      <c r="AJ61" s="3792">
        <f>+SMS!AG87</f>
        <v>70</v>
      </c>
      <c r="AK61" s="3792">
        <f>+SMS!AH87</f>
        <v>79.727662255828619</v>
      </c>
      <c r="AL61" s="3785">
        <f>+SMS!AI87</f>
        <v>67.777518505770558</v>
      </c>
      <c r="AM61" s="3291">
        <f>+SMS!AJ87</f>
        <v>67.095527598670316</v>
      </c>
      <c r="AN61" s="3792">
        <f>+SMS!AK87</f>
        <v>70</v>
      </c>
      <c r="AO61" s="3792">
        <f>+SMS!AL87</f>
        <v>66.182441021832346</v>
      </c>
      <c r="AP61" s="3793">
        <f>+SMS!AM87</f>
        <v>70.000000000000014</v>
      </c>
      <c r="AQ61" s="3793">
        <f>+SMS!AN87</f>
        <v>67.350360919417469</v>
      </c>
      <c r="AR61" s="3785">
        <f>+SMS!AO87</f>
        <v>68.036151073519875</v>
      </c>
      <c r="AS61" s="3291">
        <f>+SMS!AP87</f>
        <v>66.980830692109095</v>
      </c>
      <c r="AT61" s="3792">
        <f>+SMS!AQ87</f>
        <v>70</v>
      </c>
      <c r="AU61" s="3792">
        <f>+SMS!AR87</f>
        <v>66.009704677826718</v>
      </c>
      <c r="AV61" s="3785">
        <f>+SMS!AS87</f>
        <v>68.240863665460211</v>
      </c>
      <c r="AW61" s="3291">
        <f>+SMS!AT87</f>
        <v>66.867927151269072</v>
      </c>
      <c r="AX61" s="3792">
        <f>+SMS!AU87</f>
        <v>70</v>
      </c>
      <c r="AY61" s="3792">
        <f>+SMS!AV87</f>
        <v>67.556904726024229</v>
      </c>
      <c r="AZ61" s="3785">
        <f>+SMS!AW87</f>
        <v>68.39172115455986</v>
      </c>
      <c r="BA61" s="3291">
        <f>+SMS!AX87</f>
        <v>66.933578460853298</v>
      </c>
      <c r="BB61" s="3792">
        <f>+SMS!AY87</f>
        <v>70</v>
      </c>
      <c r="BC61" s="3792">
        <f>+SMS!AZ87</f>
        <v>66.364784150552012</v>
      </c>
      <c r="BD61" s="3795">
        <f>+SMS!BA87</f>
        <v>69.999999999999972</v>
      </c>
      <c r="BE61" s="3795">
        <f>+SMS!BB87</f>
        <v>66.615111150983921</v>
      </c>
      <c r="BF61" s="3796">
        <f>+SMS!BC87</f>
        <v>70</v>
      </c>
      <c r="BG61" s="3797">
        <f>+SMS!BD87</f>
        <v>66.905468631839526</v>
      </c>
      <c r="BH61" s="3785">
        <f>+SMS!BE87</f>
        <v>68.531656080147528</v>
      </c>
      <c r="BI61" s="3291">
        <f>+SMS!BF87</f>
        <v>66.879941130232694</v>
      </c>
      <c r="BJ61" s="5532"/>
    </row>
    <row r="62" spans="3:62" ht="15.75" thickBot="1" x14ac:dyDescent="0.3">
      <c r="C62" s="5828"/>
      <c r="D62" s="3767" t="s">
        <v>548</v>
      </c>
      <c r="E62" s="3768" t="s">
        <v>271</v>
      </c>
      <c r="F62" s="3881">
        <v>18.939404807363346</v>
      </c>
      <c r="G62" s="3882">
        <f>+SMS!D82</f>
        <v>24</v>
      </c>
      <c r="H62" s="3883">
        <f>+SMS!E82</f>
        <v>24</v>
      </c>
      <c r="I62" s="3883">
        <f>+SMS!F82</f>
        <v>24.433965349266252</v>
      </c>
      <c r="J62" s="3883">
        <f>+SMS!G82</f>
        <v>24</v>
      </c>
      <c r="K62" s="3883">
        <f>+SMS!H82</f>
        <v>23.098254254069818</v>
      </c>
      <c r="L62" s="3884">
        <f>+SMS!I82</f>
        <v>23.99999999999994</v>
      </c>
      <c r="M62" s="3884">
        <f>+SMS!J82</f>
        <v>23.721523849683475</v>
      </c>
      <c r="N62" s="3883">
        <f>+SMS!K82</f>
        <v>24</v>
      </c>
      <c r="O62" s="3883">
        <f>+SMS!L82</f>
        <v>22.060477307146794</v>
      </c>
      <c r="P62" s="3886">
        <f>+SMS!M82</f>
        <v>23.999999999999957</v>
      </c>
      <c r="Q62" s="3887">
        <f>+SMS!N82</f>
        <v>23.13299116735103</v>
      </c>
      <c r="R62" s="3883">
        <f>+SMS!O82</f>
        <v>24</v>
      </c>
      <c r="S62" s="3883">
        <f>+SMS!P82</f>
        <v>21.28556689598382</v>
      </c>
      <c r="T62" s="3888">
        <f>+SMS!Q82</f>
        <v>23.999999999999957</v>
      </c>
      <c r="U62" s="3884">
        <f>+SMS!R82</f>
        <v>22.634867744257388</v>
      </c>
      <c r="V62" s="3883">
        <f>+SMS!S82</f>
        <v>24</v>
      </c>
      <c r="W62" s="3883">
        <f>+SMS!T82</f>
        <v>20.490225244073791</v>
      </c>
      <c r="X62" s="3888">
        <f>+SMS!U82</f>
        <v>23.999999999999957</v>
      </c>
      <c r="Y62" s="3884">
        <f>+SMS!V82</f>
        <v>22.202403261284601</v>
      </c>
      <c r="Z62" s="3883">
        <f>+SMS!W82</f>
        <v>24</v>
      </c>
      <c r="AA62" s="3883">
        <f>+SMS!X82</f>
        <v>21.489120842013946</v>
      </c>
      <c r="AB62" s="3886">
        <f>+SMS!Y82</f>
        <v>23.999999999999986</v>
      </c>
      <c r="AC62" s="3886">
        <f>+SMS!Z82</f>
        <v>21.086696286737315</v>
      </c>
      <c r="AD62" s="3889">
        <f>+SMS!AA82</f>
        <v>23.999999999999972</v>
      </c>
      <c r="AE62" s="3890">
        <f>+SMS!AB82</f>
        <v>22.087258830984272</v>
      </c>
      <c r="AF62" s="3883">
        <f>+SMS!AC82</f>
        <v>20</v>
      </c>
      <c r="AG62" s="3883">
        <f>+SMS!AD82</f>
        <v>22.757929351651558</v>
      </c>
      <c r="AH62" s="3888">
        <f>+SMS!AE82</f>
        <v>23.396249120787562</v>
      </c>
      <c r="AI62" s="3884">
        <f>+SMS!AF82</f>
        <v>22.178805650270387</v>
      </c>
      <c r="AJ62" s="3883">
        <f>+SMS!AG82</f>
        <v>20</v>
      </c>
      <c r="AK62" s="3883">
        <f>+SMS!AH82</f>
        <v>22.432262129804663</v>
      </c>
      <c r="AL62" s="3888">
        <f>+SMS!AI82</f>
        <v>22.963308658972487</v>
      </c>
      <c r="AM62" s="3884">
        <f>+SMS!AJ82</f>
        <v>22.180035491774721</v>
      </c>
      <c r="AN62" s="3883">
        <f>+SMS!AK82</f>
        <v>20</v>
      </c>
      <c r="AO62" s="3883">
        <f>+SMS!AL82</f>
        <v>17.177476856590264</v>
      </c>
      <c r="AP62" s="3886">
        <f>+SMS!AM82</f>
        <v>20.000000000000007</v>
      </c>
      <c r="AQ62" s="3886">
        <f>+SMS!AN82</f>
        <v>19.933002968219387</v>
      </c>
      <c r="AR62" s="3888">
        <f>+SMS!AO82</f>
        <v>22.618465235306747</v>
      </c>
      <c r="AS62" s="3884">
        <f>+SMS!AP82</f>
        <v>21.551641629788762</v>
      </c>
      <c r="AT62" s="3883">
        <f>+SMS!AQ82</f>
        <v>20</v>
      </c>
      <c r="AU62" s="3883">
        <f>+SMS!AR82</f>
        <v>24.512629261952455</v>
      </c>
      <c r="AV62" s="3888">
        <f>+SMS!AS82</f>
        <v>22.345515112719642</v>
      </c>
      <c r="AW62" s="3884">
        <f>+SMS!AT82</f>
        <v>21.895887364264134</v>
      </c>
      <c r="AX62" s="3883">
        <f>+SMS!AU82</f>
        <v>20</v>
      </c>
      <c r="AY62" s="3883">
        <f>+SMS!AV82</f>
        <v>25.294252951636906</v>
      </c>
      <c r="AZ62" s="3888">
        <f>+SMS!AW82</f>
        <v>22.144371793920111</v>
      </c>
      <c r="BA62" s="3884">
        <f>+SMS!AX82</f>
        <v>22.219710895583326</v>
      </c>
      <c r="BB62" s="3883">
        <f>+SMS!AY82</f>
        <v>20</v>
      </c>
      <c r="BC62" s="3883">
        <f>+SMS!AZ82</f>
        <v>26.637605075226325</v>
      </c>
      <c r="BD62" s="3844">
        <f>+SMS!BA82</f>
        <v>19.999999999999996</v>
      </c>
      <c r="BE62" s="3844">
        <f>+SMS!BB82</f>
        <v>25.483540331549904</v>
      </c>
      <c r="BF62" s="3842">
        <f>+SMS!BC82</f>
        <v>20.000000000000004</v>
      </c>
      <c r="BG62" s="3843">
        <f>+SMS!BD82</f>
        <v>23.291577660626356</v>
      </c>
      <c r="BH62" s="3839">
        <f>+SMS!BE82</f>
        <v>21.957791893136552</v>
      </c>
      <c r="BI62" s="3305">
        <f>+SMS!BF82</f>
        <v>22.636318527672241</v>
      </c>
    </row>
    <row r="63" spans="3:62" x14ac:dyDescent="0.25">
      <c r="C63" s="5826" t="s">
        <v>1065</v>
      </c>
      <c r="D63" s="3915" t="s">
        <v>34</v>
      </c>
      <c r="E63" s="3916"/>
      <c r="F63" s="3916"/>
      <c r="G63" s="3917"/>
      <c r="H63" s="3918"/>
      <c r="I63" s="3919"/>
      <c r="J63" s="3918"/>
      <c r="K63" s="3919"/>
      <c r="L63" s="3774"/>
      <c r="M63" s="3775"/>
      <c r="N63" s="3918"/>
      <c r="O63" s="3919"/>
      <c r="P63" s="3918"/>
      <c r="Q63" s="3919"/>
      <c r="R63" s="3918"/>
      <c r="S63" s="3919"/>
      <c r="T63" s="3918"/>
      <c r="U63" s="3919"/>
      <c r="V63" s="3918"/>
      <c r="W63" s="3919"/>
      <c r="X63" s="3918"/>
      <c r="Y63" s="3919"/>
      <c r="Z63" s="3918"/>
      <c r="AA63" s="3919"/>
      <c r="AB63" s="3918"/>
      <c r="AC63" s="3919"/>
      <c r="AD63" s="3920"/>
      <c r="AE63" s="3919"/>
      <c r="AF63" s="3918"/>
      <c r="AG63" s="3919"/>
      <c r="AH63" s="3918"/>
      <c r="AI63" s="3919"/>
      <c r="AJ63" s="3918"/>
      <c r="AK63" s="3919"/>
      <c r="AL63" s="3918"/>
      <c r="AM63" s="3919"/>
      <c r="AN63" s="3918"/>
      <c r="AO63" s="3919"/>
      <c r="AP63" s="3918"/>
      <c r="AQ63" s="3919"/>
      <c r="AR63" s="3918"/>
      <c r="AS63" s="3919"/>
      <c r="AT63" s="3918"/>
      <c r="AU63" s="3919"/>
      <c r="AV63" s="3918"/>
      <c r="AW63" s="3919"/>
      <c r="AX63" s="3918"/>
      <c r="AY63" s="3919"/>
      <c r="AZ63" s="3918"/>
      <c r="BA63" s="3919"/>
      <c r="BB63" s="3918"/>
      <c r="BC63" s="3919"/>
      <c r="BD63" s="3919"/>
      <c r="BE63" s="3919"/>
      <c r="BF63" s="3919"/>
      <c r="BG63" s="3919"/>
      <c r="BH63" s="3919"/>
      <c r="BI63" s="3919"/>
    </row>
    <row r="64" spans="3:62" x14ac:dyDescent="0.25">
      <c r="C64" s="5827"/>
      <c r="D64" s="3921" t="s">
        <v>1062</v>
      </c>
      <c r="E64" s="548" t="s">
        <v>49</v>
      </c>
      <c r="F64" s="3913">
        <v>95.450038252944893</v>
      </c>
      <c r="G64" s="3922">
        <v>96</v>
      </c>
      <c r="H64" s="3791">
        <f>++'Maj Techno Summ'!E21</f>
        <v>96</v>
      </c>
      <c r="I64" s="3792">
        <f>++'Maj Techno Summ'!F21</f>
        <v>95.812540022738901</v>
      </c>
      <c r="J64" s="3791">
        <f>++'Maj Techno Summ'!G21</f>
        <v>96</v>
      </c>
      <c r="K64" s="3792">
        <f>++'Maj Techno Summ'!H21</f>
        <v>95.667534001835477</v>
      </c>
      <c r="L64" s="3785">
        <f>++'Maj Techno Summ'!I21</f>
        <v>96</v>
      </c>
      <c r="M64" s="3291">
        <f>++'Maj Techno Summ'!J21</f>
        <v>95.737476932696083</v>
      </c>
      <c r="N64" s="3791">
        <f>++'Maj Techno Summ'!K21</f>
        <v>96</v>
      </c>
      <c r="O64" s="3792">
        <f>++'Maj Techno Summ'!L21</f>
        <v>95.272840169253413</v>
      </c>
      <c r="P64" s="3793">
        <f>++'Maj Techno Summ'!M21</f>
        <v>96</v>
      </c>
      <c r="Q64" s="3794">
        <f>++'Maj Techno Summ'!N21</f>
        <v>95.581449264204409</v>
      </c>
      <c r="R64" s="3791">
        <f>++'Maj Techno Summ'!O21</f>
        <v>96</v>
      </c>
      <c r="S64" s="3792">
        <f>++'Maj Techno Summ'!P21</f>
        <v>95.763065622511988</v>
      </c>
      <c r="T64" s="3785">
        <f>+WRM!Q161</f>
        <v>96</v>
      </c>
      <c r="U64" s="3291">
        <f>+WRM!R161</f>
        <v>95.634315725930975</v>
      </c>
      <c r="V64" s="3791">
        <f>++'Maj Techno Summ'!S21</f>
        <v>96</v>
      </c>
      <c r="W64" s="3792">
        <f>++'Maj Techno Summ'!T21</f>
        <v>95.916693405975138</v>
      </c>
      <c r="X64" s="3785">
        <f>+WRM!U161</f>
        <v>95.999999999999986</v>
      </c>
      <c r="Y64" s="3291">
        <f>+WRM!V161</f>
        <v>95.688814764695167</v>
      </c>
      <c r="Z64" s="3791">
        <f>++'Maj Techno Summ'!W21</f>
        <v>96</v>
      </c>
      <c r="AA64" s="3792">
        <f>++'Maj Techno Summ'!X21</f>
        <v>95.610321120425965</v>
      </c>
      <c r="AB64" s="3793">
        <f>+WRM!Y161</f>
        <v>95.999999999999986</v>
      </c>
      <c r="AC64" s="3793">
        <f>+WRM!Z161</f>
        <v>95.760445512828014</v>
      </c>
      <c r="AD64" s="3796">
        <f>+WRM!AA161</f>
        <v>96</v>
      </c>
      <c r="AE64" s="3797">
        <f>+WRM!AB161</f>
        <v>95.675462547055403</v>
      </c>
      <c r="AF64" s="3791">
        <f>++'Maj Techno Summ'!AC21</f>
        <v>96</v>
      </c>
      <c r="AG64" s="3792">
        <f>++'Maj Techno Summ'!AD21</f>
        <v>95.917021134700391</v>
      </c>
      <c r="AH64" s="3785">
        <f>++'Maj Techno Summ'!AE21</f>
        <v>96</v>
      </c>
      <c r="AI64" s="3291">
        <f>++'Maj Techno Summ'!AF21</f>
        <v>89.211338049120201</v>
      </c>
      <c r="AJ64" s="3791">
        <f>++'Maj Techno Summ'!AG21</f>
        <v>96</v>
      </c>
      <c r="AK64" s="3792">
        <f>++'Maj Techno Summ'!AH21</f>
        <v>95.589763343773882</v>
      </c>
      <c r="AL64" s="3785">
        <f>++'Maj Techno Summ'!AI21</f>
        <v>96</v>
      </c>
      <c r="AM64" s="3291">
        <f>++'Maj Techno Summ'!AJ21</f>
        <v>89.631641243804538</v>
      </c>
      <c r="AN64" s="3791">
        <f>++'Maj Techno Summ'!AK21</f>
        <v>96</v>
      </c>
      <c r="AO64" s="3792">
        <f>++'Maj Techno Summ'!AL21</f>
        <v>95.504190674215039</v>
      </c>
      <c r="AP64" s="3793">
        <f>+WRM!AM161</f>
        <v>96</v>
      </c>
      <c r="AQ64" s="3793">
        <f>+WRM!AN161</f>
        <v>95.69292018289876</v>
      </c>
      <c r="AR64" s="3785">
        <f>+WRM!AO161</f>
        <v>96</v>
      </c>
      <c r="AS64" s="3291">
        <f>+WRM!AP161</f>
        <v>90.30443706906766</v>
      </c>
      <c r="AT64" s="3791">
        <f>++'Maj Techno Summ'!AQ21</f>
        <v>96</v>
      </c>
      <c r="AU64" s="3792">
        <f>++'Maj Techno Summ'!AR21</f>
        <v>96.131407927563089</v>
      </c>
      <c r="AV64" s="3785">
        <f>+WRM!AS161</f>
        <v>96.000000000000014</v>
      </c>
      <c r="AW64" s="3291">
        <f>+WRM!AT161</f>
        <v>90.914797110712897</v>
      </c>
      <c r="AX64" s="3791">
        <f>++'Maj Techno Summ'!AU21</f>
        <v>96</v>
      </c>
      <c r="AY64" s="3792">
        <f>++'Maj Techno Summ'!AV21</f>
        <v>95.760199382221273</v>
      </c>
      <c r="AZ64" s="3785">
        <f>+WRM!AW161</f>
        <v>96.000000000000014</v>
      </c>
      <c r="BA64" s="3291">
        <f>+WRM!AX161</f>
        <v>91.313232397787488</v>
      </c>
      <c r="BB64" s="3791">
        <f>++'Maj Techno Summ'!AY21</f>
        <v>96</v>
      </c>
      <c r="BC64" s="3792">
        <f>++'Maj Techno Summ'!AZ21</f>
        <v>95.419404264602818</v>
      </c>
      <c r="BD64" s="3795">
        <f>+WRM!BA161</f>
        <v>95.999999999999986</v>
      </c>
      <c r="BE64" s="3795">
        <f>+WRM!BB161</f>
        <v>95.761638869331975</v>
      </c>
      <c r="BF64" s="3796">
        <f>+WRM!BC161</f>
        <v>96</v>
      </c>
      <c r="BG64" s="3797">
        <f>+WRM!BD161</f>
        <v>95.729796138600832</v>
      </c>
      <c r="BH64" s="3785">
        <f>+WRM!BE161</f>
        <v>96</v>
      </c>
      <c r="BI64" s="3291">
        <f>+WRM!BF161</f>
        <v>91.698436826246294</v>
      </c>
    </row>
    <row r="65" spans="3:61" x14ac:dyDescent="0.25">
      <c r="C65" s="5827"/>
      <c r="D65" s="3921" t="s">
        <v>1061</v>
      </c>
      <c r="E65" s="548" t="s">
        <v>49</v>
      </c>
      <c r="F65" s="3913">
        <v>83.928534989967247</v>
      </c>
      <c r="G65" s="3922">
        <v>87.500000000000014</v>
      </c>
      <c r="H65" s="3791">
        <f>+WRM!E168</f>
        <v>87.5</v>
      </c>
      <c r="I65" s="3792">
        <f>+WRM!F168</f>
        <v>86.375218739446765</v>
      </c>
      <c r="J65" s="3791">
        <f>+WRM!G168</f>
        <v>87.499999999999986</v>
      </c>
      <c r="K65" s="3792">
        <f>+WRM!H168</f>
        <v>88.984700973574448</v>
      </c>
      <c r="L65" s="3785">
        <f>+WRM!I168</f>
        <v>87.499999999999986</v>
      </c>
      <c r="M65" s="3291">
        <f>+WRM!J168</f>
        <v>87.744261051033973</v>
      </c>
      <c r="N65" s="3791">
        <f>+WRM!K168</f>
        <v>87.5</v>
      </c>
      <c r="O65" s="3792">
        <f>+WRM!L168</f>
        <v>86.854769958474236</v>
      </c>
      <c r="P65" s="3793">
        <f>+WRM!M168</f>
        <v>87.499999999999986</v>
      </c>
      <c r="Q65" s="3794">
        <f>+WRM!N168</f>
        <v>87.435882767957594</v>
      </c>
      <c r="R65" s="3791">
        <f>+WRM!O168</f>
        <v>87.499999999999986</v>
      </c>
      <c r="S65" s="3792">
        <f>+WRM!P168</f>
        <v>90.630082367137078</v>
      </c>
      <c r="T65" s="3785">
        <f>+WRM!Q168</f>
        <v>87.499999999999986</v>
      </c>
      <c r="U65" s="3291">
        <f>+WRM!R168</f>
        <v>88.287368538823003</v>
      </c>
      <c r="V65" s="3791">
        <f>+WRM!S168</f>
        <v>87.499999999999986</v>
      </c>
      <c r="W65" s="3792">
        <f>+WRM!T168</f>
        <v>84.869758490770593</v>
      </c>
      <c r="X65" s="3785">
        <f>+WRM!U168</f>
        <v>87.499999999999986</v>
      </c>
      <c r="Y65" s="3291">
        <f>+WRM!V168</f>
        <v>87.586505911584709</v>
      </c>
      <c r="Z65" s="3791">
        <f>+WRM!W168</f>
        <v>87.5</v>
      </c>
      <c r="AA65" s="3792">
        <f>+WRM!X168</f>
        <v>89.801001759848418</v>
      </c>
      <c r="AB65" s="3793">
        <f>+WRM!Y168</f>
        <v>87.499999999999986</v>
      </c>
      <c r="AC65" s="3793">
        <f>+WRM!Z168</f>
        <v>88.458240285841896</v>
      </c>
      <c r="AD65" s="3796">
        <f>+WRM!AA168</f>
        <v>87.5</v>
      </c>
      <c r="AE65" s="3797">
        <f>+WRM!AB168</f>
        <v>87.96371451235035</v>
      </c>
      <c r="AF65" s="3791">
        <f>+WRM!AC168</f>
        <v>85.833333333333343</v>
      </c>
      <c r="AG65" s="3792">
        <f>+WRM!AD168</f>
        <v>88.890957942060581</v>
      </c>
      <c r="AH65" s="3785">
        <f>+WRM!AE168</f>
        <v>87.235054997608799</v>
      </c>
      <c r="AI65" s="3291">
        <f>+WRM!AF168</f>
        <v>88.100712581604938</v>
      </c>
      <c r="AJ65" s="3791">
        <f>+WRM!AG168</f>
        <v>85.833333333333343</v>
      </c>
      <c r="AK65" s="3792">
        <f>+WRM!AH168</f>
        <v>82.317262830482107</v>
      </c>
      <c r="AL65" s="3785">
        <f>+WRM!AI168</f>
        <v>87.04880982002156</v>
      </c>
      <c r="AM65" s="3291">
        <f>+WRM!AJ168</f>
        <v>87.693128304051257</v>
      </c>
      <c r="AN65" s="3791">
        <f>+WRM!AK168</f>
        <v>85.833333333333343</v>
      </c>
      <c r="AO65" s="3792">
        <f>+WRM!AL168</f>
        <v>83.777627118644034</v>
      </c>
      <c r="AP65" s="3793">
        <f>+WRM!AM168</f>
        <v>85.833333333333329</v>
      </c>
      <c r="AQ65" s="3793">
        <f>+WRM!AN168</f>
        <v>85.527326251119902</v>
      </c>
      <c r="AR65" s="3785">
        <f>+WRM!AO168</f>
        <v>86.901559880457754</v>
      </c>
      <c r="AS65" s="3291">
        <f>+WRM!AP168</f>
        <v>87.228260869565219</v>
      </c>
      <c r="AT65" s="3791">
        <f>+WRM!AQ168</f>
        <v>85.833333333333343</v>
      </c>
      <c r="AU65" s="3792">
        <f>+WRM!AR168</f>
        <v>88.013518380010524</v>
      </c>
      <c r="AV65" s="3785">
        <f>+WRM!AS168</f>
        <v>86.786132241076658</v>
      </c>
      <c r="AW65" s="3291">
        <f>+WRM!AT168</f>
        <v>87.310025353989573</v>
      </c>
      <c r="AX65" s="3791">
        <f>+WRM!AU168</f>
        <v>85.833333333333343</v>
      </c>
      <c r="AY65" s="3792">
        <f>+WRM!AV168</f>
        <v>89.43532600511972</v>
      </c>
      <c r="AZ65" s="3785">
        <f>+WRM!AW168</f>
        <v>86.702395777738246</v>
      </c>
      <c r="BA65" s="3291">
        <f>+WRM!AX168</f>
        <v>87.495788321014174</v>
      </c>
      <c r="BB65" s="3791">
        <f>+WRM!AY168</f>
        <v>85.833333333333343</v>
      </c>
      <c r="BC65" s="3792">
        <f>+WRM!AZ168</f>
        <v>87.499671458984935</v>
      </c>
      <c r="BD65" s="3795">
        <f>+WRM!BA168</f>
        <v>85.833333333333343</v>
      </c>
      <c r="BE65" s="3795">
        <f>+WRM!BB168</f>
        <v>88.271185177594973</v>
      </c>
      <c r="BF65" s="3796">
        <f>+WRM!BC168</f>
        <v>85.833333333333329</v>
      </c>
      <c r="BG65" s="3797">
        <f>+WRM!BD168</f>
        <v>86.991999283963239</v>
      </c>
      <c r="BH65" s="3785">
        <f>+WRM!BE168</f>
        <v>86.624426450742234</v>
      </c>
      <c r="BI65" s="3291">
        <f>+WRM!BF168</f>
        <v>87.496141818381929</v>
      </c>
    </row>
    <row r="66" spans="3:61" x14ac:dyDescent="0.25">
      <c r="C66" s="5827"/>
      <c r="D66" s="3921" t="s">
        <v>312</v>
      </c>
      <c r="E66" s="548" t="s">
        <v>551</v>
      </c>
      <c r="F66" s="3913">
        <v>75.551242533855927</v>
      </c>
      <c r="G66" s="3922">
        <v>79.035763683066577</v>
      </c>
      <c r="H66" s="3791">
        <f>+WRM!E178</f>
        <v>79.365079365079367</v>
      </c>
      <c r="I66" s="3792">
        <f>+WRM!F178</f>
        <v>78.359722765239042</v>
      </c>
      <c r="J66" s="3791">
        <f>+WRM!G178</f>
        <v>79.51567723863738</v>
      </c>
      <c r="K66" s="3792">
        <f>+WRM!H178</f>
        <v>73.849984370115649</v>
      </c>
      <c r="L66" s="3785">
        <f>+WRM!I178</f>
        <v>79.441612710658035</v>
      </c>
      <c r="M66" s="3291">
        <f>+WRM!J178</f>
        <v>75.960279417879377</v>
      </c>
      <c r="N66" s="3791">
        <f>+WRM!K178</f>
        <v>79.365079365079367</v>
      </c>
      <c r="O66" s="3792">
        <f>+WRM!L178</f>
        <v>72.755912991166142</v>
      </c>
      <c r="P66" s="3793">
        <f>+WRM!M178</f>
        <v>79.416381937390341</v>
      </c>
      <c r="Q66" s="3794">
        <f>+WRM!N178</f>
        <v>74.856738779604783</v>
      </c>
      <c r="R66" s="3791">
        <f>+WRM!O178</f>
        <v>79.51567723863738</v>
      </c>
      <c r="S66" s="3792">
        <f>+WRM!P178</f>
        <v>81.742489146165013</v>
      </c>
      <c r="T66" s="3785">
        <f>+WRM!Q178</f>
        <v>79.441612710658035</v>
      </c>
      <c r="U66" s="3291">
        <f>+WRM!R178</f>
        <v>76.7409970061303</v>
      </c>
      <c r="V66" s="3791">
        <f>+WRM!S178</f>
        <v>79.51567723863738</v>
      </c>
      <c r="W66" s="3792">
        <f>+WRM!T178</f>
        <v>74.225831177541451</v>
      </c>
      <c r="X66" s="3785">
        <f>+WRM!U178</f>
        <v>79.456619249006806</v>
      </c>
      <c r="Y66" s="3291">
        <f>+WRM!V178</f>
        <v>76.241200997658154</v>
      </c>
      <c r="Z66" s="3791">
        <f>+WRM!W178</f>
        <v>72.150072150072148</v>
      </c>
      <c r="AA66" s="3792">
        <f>+WRM!X178</f>
        <v>74.178997829233012</v>
      </c>
      <c r="AB66" s="3793">
        <f>+WRM!Y178</f>
        <v>77.759427470410131</v>
      </c>
      <c r="AC66" s="3793">
        <f>+WRM!Z178</f>
        <v>76.832614688626606</v>
      </c>
      <c r="AD66" s="3796">
        <f>+WRM!AA178</f>
        <v>78.63397832691588</v>
      </c>
      <c r="AE66" s="3797">
        <f>+WRM!AB178</f>
        <v>75.882596454804272</v>
      </c>
      <c r="AF66" s="3791">
        <f>+WRM!AC178</f>
        <v>79.737829028074728</v>
      </c>
      <c r="AG66" s="3792">
        <f>+WRM!AD178</f>
        <v>76.106108035313511</v>
      </c>
      <c r="AH66" s="3785">
        <f>+WRM!AE178</f>
        <v>78.80663455924477</v>
      </c>
      <c r="AI66" s="3291">
        <f>+WRM!AF178</f>
        <v>70.760164531210975</v>
      </c>
      <c r="AJ66" s="3791">
        <f>+WRM!AG178</f>
        <v>79.997091014872183</v>
      </c>
      <c r="AK66" s="3792">
        <f>+WRM!AH178</f>
        <v>75.501039108256222</v>
      </c>
      <c r="AL66" s="3785">
        <f>+WRM!AI178</f>
        <v>78.962600549284332</v>
      </c>
      <c r="AM66" s="3291">
        <f>+WRM!AJ178</f>
        <v>71.073792135182543</v>
      </c>
      <c r="AN66" s="3791">
        <f>+WRM!AK178</f>
        <v>79.737829028074728</v>
      </c>
      <c r="AO66" s="3792">
        <f>+WRM!AL178</f>
        <v>76.133946201404896</v>
      </c>
      <c r="AP66" s="3793">
        <f>+WRM!AM178</f>
        <v>79.822144436692184</v>
      </c>
      <c r="AQ66" s="3793">
        <f>+WRM!AN178</f>
        <v>75.997014478656169</v>
      </c>
      <c r="AR66" s="3785">
        <f>+WRM!AO178</f>
        <v>79.055361819825066</v>
      </c>
      <c r="AS66" s="3291">
        <f>+WRM!AP178</f>
        <v>71.65079284227312</v>
      </c>
      <c r="AT66" s="3791">
        <f>+WRM!AQ178</f>
        <v>79.737829028074728</v>
      </c>
      <c r="AU66" s="3792">
        <f>+WRM!AR178</f>
        <v>76.098797683494894</v>
      </c>
      <c r="AV66" s="3785">
        <f>+WRM!AS178</f>
        <v>79.128296466102185</v>
      </c>
      <c r="AW66" s="3291">
        <f>+WRM!AT178</f>
        <v>72.117670534133268</v>
      </c>
      <c r="AX66" s="3791">
        <f>+WRM!AU178</f>
        <v>79.595927833025428</v>
      </c>
      <c r="AY66" s="3792">
        <f>+WRM!AV178</f>
        <v>69.371350641478941</v>
      </c>
      <c r="AZ66" s="3785">
        <f>+WRM!AW178</f>
        <v>79.168982174154664</v>
      </c>
      <c r="BA66" s="3291">
        <f>+WRM!AX178</f>
        <v>71.872305975155925</v>
      </c>
      <c r="BB66" s="3791">
        <f>+WRM!AY178</f>
        <v>79.737829028074728</v>
      </c>
      <c r="BC66" s="3792">
        <f>+WRM!AZ178</f>
        <v>77.629179057402936</v>
      </c>
      <c r="BD66" s="3795">
        <f>+WRM!BA178</f>
        <v>79.694071730724943</v>
      </c>
      <c r="BE66" s="3795">
        <f>+WRM!BB178</f>
        <v>74.528123680878039</v>
      </c>
      <c r="BF66" s="3796">
        <f>+WRM!BC178</f>
        <v>79.758897681155958</v>
      </c>
      <c r="BG66" s="3797">
        <f>+WRM!BD178</f>
        <v>75.201390135298155</v>
      </c>
      <c r="BH66" s="3785">
        <f>+WRM!BE178</f>
        <v>79.219551104789474</v>
      </c>
      <c r="BI66" s="3291">
        <f>+WRM!BF178</f>
        <v>72.396397982957993</v>
      </c>
    </row>
    <row r="67" spans="3:61" x14ac:dyDescent="0.25">
      <c r="C67" s="5827"/>
      <c r="D67" s="3923" t="s">
        <v>91</v>
      </c>
      <c r="E67" s="1552"/>
      <c r="F67" s="3924"/>
      <c r="G67" s="3925"/>
      <c r="H67" s="3784"/>
      <c r="I67" s="3311"/>
      <c r="J67" s="3784"/>
      <c r="K67" s="3311"/>
      <c r="L67" s="3785"/>
      <c r="M67" s="3291"/>
      <c r="N67" s="3784"/>
      <c r="O67" s="3311"/>
      <c r="P67" s="3784"/>
      <c r="Q67" s="3311"/>
      <c r="R67" s="3784"/>
      <c r="S67" s="3311"/>
      <c r="T67" s="3784"/>
      <c r="U67" s="3311"/>
      <c r="V67" s="3784"/>
      <c r="W67" s="3311"/>
      <c r="X67" s="3784"/>
      <c r="Y67" s="3311"/>
      <c r="Z67" s="3784"/>
      <c r="AA67" s="3311"/>
      <c r="AB67" s="3784"/>
      <c r="AC67" s="3784"/>
      <c r="AD67" s="3784"/>
      <c r="AE67" s="3786"/>
      <c r="AF67" s="3784"/>
      <c r="AG67" s="3311"/>
      <c r="AH67" s="3784"/>
      <c r="AI67" s="3311"/>
      <c r="AJ67" s="3784"/>
      <c r="AK67" s="3311"/>
      <c r="AL67" s="3784"/>
      <c r="AM67" s="3311"/>
      <c r="AN67" s="3784"/>
      <c r="AO67" s="3311"/>
      <c r="AP67" s="3784"/>
      <c r="AQ67" s="3784"/>
      <c r="AR67" s="3784"/>
      <c r="AS67" s="3311"/>
      <c r="AT67" s="3784"/>
      <c r="AU67" s="3311"/>
      <c r="AV67" s="3784"/>
      <c r="AW67" s="3311"/>
      <c r="AX67" s="3784"/>
      <c r="AY67" s="3311"/>
      <c r="AZ67" s="3784"/>
      <c r="BA67" s="3311"/>
      <c r="BB67" s="3784"/>
      <c r="BC67" s="3311"/>
      <c r="BD67" s="3311"/>
      <c r="BE67" s="3311"/>
      <c r="BF67" s="3311"/>
      <c r="BG67" s="3311"/>
      <c r="BH67" s="3311"/>
      <c r="BI67" s="3311"/>
    </row>
    <row r="68" spans="3:61" x14ac:dyDescent="0.25">
      <c r="C68" s="5827"/>
      <c r="D68" s="3921" t="s">
        <v>1062</v>
      </c>
      <c r="E68" s="548" t="s">
        <v>49</v>
      </c>
      <c r="F68" s="3913">
        <v>95.450022221864671</v>
      </c>
      <c r="G68" s="3926">
        <v>96.5</v>
      </c>
      <c r="H68" s="3791">
        <f>+'Maj Techno Summ'!E22</f>
        <v>96.5</v>
      </c>
      <c r="I68" s="3792">
        <f>+'Maj Techno Summ'!F22</f>
        <v>96.340554248429044</v>
      </c>
      <c r="J68" s="3791">
        <f>+'Maj Techno Summ'!G22</f>
        <v>96.5</v>
      </c>
      <c r="K68" s="3792">
        <f>+'Maj Techno Summ'!H22</f>
        <v>96.517503903684087</v>
      </c>
      <c r="L68" s="3785">
        <f>+'Maj Techno Summ'!I22</f>
        <v>96.5</v>
      </c>
      <c r="M68" s="3291">
        <f>+'Maj Techno Summ'!J22</f>
        <v>96.434687077655013</v>
      </c>
      <c r="N68" s="3791">
        <f>+'Maj Techno Summ'!K22</f>
        <v>96.5</v>
      </c>
      <c r="O68" s="3792">
        <f>+'Maj Techno Summ'!L22</f>
        <v>96.419419676816304</v>
      </c>
      <c r="P68" s="3793">
        <f>+'Maj Techno Summ'!M22</f>
        <v>96.5</v>
      </c>
      <c r="Q68" s="3794">
        <f>+'Maj Techno Summ'!N22</f>
        <v>96.429498375073877</v>
      </c>
      <c r="R68" s="3791">
        <f>+'Maj Techno Summ'!O22</f>
        <v>96.5</v>
      </c>
      <c r="S68" s="3792">
        <f>+'Maj Techno Summ'!P22</f>
        <v>96.454667703108399</v>
      </c>
      <c r="T68" s="3785">
        <f>+BM!Q58</f>
        <v>96.5</v>
      </c>
      <c r="U68" s="3291">
        <f>+BM!R58</f>
        <v>96.436769103209457</v>
      </c>
      <c r="V68" s="3791">
        <f>+'Maj Techno Summ'!S22</f>
        <v>96.5</v>
      </c>
      <c r="W68" s="3792">
        <f>+'Maj Techno Summ'!T22</f>
        <v>96.329019569725332</v>
      </c>
      <c r="X68" s="3785">
        <f>+BM!U58</f>
        <v>96.500000000000014</v>
      </c>
      <c r="Y68" s="3291">
        <f>+BM!V58</f>
        <v>96.415276787524633</v>
      </c>
      <c r="Z68" s="3791">
        <f>+'Maj Techno Summ'!W22</f>
        <v>96.5</v>
      </c>
      <c r="AA68" s="3792">
        <f>+'Maj Techno Summ'!X22</f>
        <v>96.394637106483472</v>
      </c>
      <c r="AB68" s="3793">
        <f>+BM!Y58</f>
        <v>96.5</v>
      </c>
      <c r="AC68" s="3793">
        <f>+BM!Z58</f>
        <v>96.395894549603327</v>
      </c>
      <c r="AD68" s="3796">
        <f>+BM!AA58</f>
        <v>96.5</v>
      </c>
      <c r="AE68" s="3797">
        <f>+BM!AB58</f>
        <v>96.411828924430893</v>
      </c>
      <c r="AF68" s="3791">
        <f>+'Maj Techno Summ'!AC22</f>
        <v>96.5</v>
      </c>
      <c r="AG68" s="3792">
        <f>+'Maj Techno Summ'!AD22</f>
        <v>96.204059065906378</v>
      </c>
      <c r="AH68" s="3785">
        <f>+'Maj Techno Summ'!AE22</f>
        <v>96.5</v>
      </c>
      <c r="AI68" s="3291">
        <f>+'Maj Techno Summ'!AF22</f>
        <v>95.549715307654239</v>
      </c>
      <c r="AJ68" s="3791">
        <f>+'Maj Techno Summ'!AG22</f>
        <v>96.5</v>
      </c>
      <c r="AK68" s="3792">
        <f>+'Maj Techno Summ'!AH22</f>
        <v>94.958487192653337</v>
      </c>
      <c r="AL68" s="3785">
        <f>+'Maj Techno Summ'!AI22</f>
        <v>96.5</v>
      </c>
      <c r="AM68" s="3291">
        <f>+'Maj Techno Summ'!AJ22</f>
        <v>95.54610522639571</v>
      </c>
      <c r="AN68" s="3791">
        <f>+'Maj Techno Summ'!AK22</f>
        <v>96.5</v>
      </c>
      <c r="AO68" s="3792">
        <f>+'Maj Techno Summ'!AL22</f>
        <v>96.296097647380492</v>
      </c>
      <c r="AP68" s="3793">
        <f>+BM!AM58</f>
        <v>96.5</v>
      </c>
      <c r="AQ68" s="3793">
        <f>+BM!AN58</f>
        <v>96.22181161869544</v>
      </c>
      <c r="AR68" s="3785">
        <f>+BM!AO58</f>
        <v>96.5</v>
      </c>
      <c r="AS68" s="3291">
        <f>+BM!AP58</f>
        <v>95.634828478635356</v>
      </c>
      <c r="AT68" s="3791">
        <f>+'Maj Techno Summ'!AQ22</f>
        <v>96.5</v>
      </c>
      <c r="AU68" s="3792">
        <f>+'Maj Techno Summ'!AR22</f>
        <v>96.148154975014705</v>
      </c>
      <c r="AV68" s="3785">
        <f>+'Maj Techno Summ'!AS22</f>
        <v>96.5</v>
      </c>
      <c r="AW68" s="3291">
        <f>+'Maj Techno Summ'!AT22</f>
        <v>95.688829453316416</v>
      </c>
      <c r="AX68" s="3791">
        <f>+'Maj Techno Summ'!AU22</f>
        <v>96.5</v>
      </c>
      <c r="AY68" s="3792">
        <f>+'Maj Techno Summ'!AV22</f>
        <v>96.184460544082043</v>
      </c>
      <c r="AZ68" s="3785">
        <f>+'Maj Techno Summ'!AW22</f>
        <v>96.5</v>
      </c>
      <c r="BA68" s="3291">
        <f>+'Maj Techno Summ'!AX22</f>
        <v>95.733482556002386</v>
      </c>
      <c r="BB68" s="3791">
        <f>+'Maj Techno Summ'!AY22</f>
        <v>96.5</v>
      </c>
      <c r="BC68" s="3792">
        <f>+'Maj Techno Summ'!AZ22</f>
        <v>96.379797529138472</v>
      </c>
      <c r="BD68" s="3795">
        <f>+'Maj Techno Summ'!BA22</f>
        <v>96.5</v>
      </c>
      <c r="BE68" s="3795">
        <f>+'Maj Techno Summ'!BB22</f>
        <v>96.243641618151642</v>
      </c>
      <c r="BF68" s="3796">
        <f>+'Maj Techno Summ'!BC22</f>
        <v>96.5</v>
      </c>
      <c r="BG68" s="3797">
        <f>+'Maj Techno Summ'!BD22</f>
        <v>96.234988789342083</v>
      </c>
      <c r="BH68" s="3785">
        <f>+'Maj Techno Summ'!BE22</f>
        <v>96.5</v>
      </c>
      <c r="BI68" s="3291">
        <f>+'Maj Techno Summ'!BF22</f>
        <v>95.795578501755813</v>
      </c>
    </row>
    <row r="69" spans="3:61" x14ac:dyDescent="0.25">
      <c r="C69" s="5827"/>
      <c r="D69" s="3921" t="s">
        <v>1061</v>
      </c>
      <c r="E69" s="548" t="s">
        <v>49</v>
      </c>
      <c r="F69" s="3911">
        <v>80.103400582885854</v>
      </c>
      <c r="G69" s="3922">
        <v>85.416666666666671</v>
      </c>
      <c r="H69" s="3791">
        <f>+BM!E69</f>
        <v>85.416666666666657</v>
      </c>
      <c r="I69" s="3792">
        <f>+BM!F69</f>
        <v>89.026578924878208</v>
      </c>
      <c r="J69" s="3791">
        <f>+BM!G69</f>
        <v>85.416666666666657</v>
      </c>
      <c r="K69" s="3792">
        <f>+BM!H69</f>
        <v>89.292985145901909</v>
      </c>
      <c r="L69" s="3785">
        <f>+BM!I69</f>
        <v>85.416666666666657</v>
      </c>
      <c r="M69" s="3291">
        <f>+BM!J69</f>
        <v>89.168113232741348</v>
      </c>
      <c r="N69" s="3791">
        <f>+BM!K69</f>
        <v>85.416666666666657</v>
      </c>
      <c r="O69" s="3792">
        <f>+BM!L69</f>
        <v>89.794951435866395</v>
      </c>
      <c r="P69" s="3793">
        <f>+BM!M69</f>
        <v>85.416666666666657</v>
      </c>
      <c r="Q69" s="3794">
        <f>+BM!N69</f>
        <v>89.379080624728687</v>
      </c>
      <c r="R69" s="3791">
        <f>+BM!O69</f>
        <v>85.416666666666657</v>
      </c>
      <c r="S69" s="3792">
        <f>+BM!P69</f>
        <v>91.998045920859767</v>
      </c>
      <c r="T69" s="3785">
        <f>+BM!Q69</f>
        <v>85.416666666666657</v>
      </c>
      <c r="U69" s="3291">
        <f>+BM!R69</f>
        <v>90.076127446837546</v>
      </c>
      <c r="V69" s="3791">
        <f>+BM!S69</f>
        <v>85.416666666666657</v>
      </c>
      <c r="W69" s="3792">
        <f>+BM!T69</f>
        <v>88.592158073479467</v>
      </c>
      <c r="X69" s="3785">
        <f>+BM!U69</f>
        <v>85.416666666666657</v>
      </c>
      <c r="Y69" s="3291">
        <f>+BM!V69</f>
        <v>89.776790579638671</v>
      </c>
      <c r="Z69" s="3791">
        <f>+BM!W69</f>
        <v>85.416666666666657</v>
      </c>
      <c r="AA69" s="3792">
        <f>+BM!X69</f>
        <v>88.752251093336241</v>
      </c>
      <c r="AB69" s="3793">
        <f>+BM!Y69</f>
        <v>85.416666666666657</v>
      </c>
      <c r="AC69" s="3793">
        <f>+BM!Z69</f>
        <v>89.819511619659863</v>
      </c>
      <c r="AD69" s="3796">
        <f>+BM!AA69</f>
        <v>85.416666666666657</v>
      </c>
      <c r="AE69" s="3797">
        <f>+BM!AB69</f>
        <v>89.60480914150601</v>
      </c>
      <c r="AF69" s="3791">
        <f>+BM!AC69</f>
        <v>83.333333333333343</v>
      </c>
      <c r="AG69" s="3792">
        <f>+BM!AD69</f>
        <v>79.715141296962656</v>
      </c>
      <c r="AH69" s="3785">
        <f>+BM!AE69</f>
        <v>85.090090090090087</v>
      </c>
      <c r="AI69" s="3291">
        <f>+BM!AF69</f>
        <v>88.156197244351119</v>
      </c>
      <c r="AJ69" s="3791">
        <f>+BM!AG69</f>
        <v>83.333333333333343</v>
      </c>
      <c r="AK69" s="3792">
        <f>+BM!AH69</f>
        <v>72.067714631197106</v>
      </c>
      <c r="AL69" s="3785">
        <f>+BM!AI69</f>
        <v>84.859154929577457</v>
      </c>
      <c r="AM69" s="3291">
        <f>+BM!AJ69</f>
        <v>88.01040255095522</v>
      </c>
      <c r="AN69" s="3791">
        <f>+BM!AK69</f>
        <v>83.333333333333343</v>
      </c>
      <c r="AO69" s="3792">
        <f>+BM!AL69</f>
        <v>87.548184215865277</v>
      </c>
      <c r="AP69" s="3793">
        <f>+BM!AM69</f>
        <v>83.333333333333343</v>
      </c>
      <c r="AQ69" s="3793">
        <f>+BM!AN69</f>
        <v>83.265566060843568</v>
      </c>
      <c r="AR69" s="3785">
        <f>+BM!AO69</f>
        <v>84.676308539944898</v>
      </c>
      <c r="AS69" s="3291">
        <f>+BM!AP69</f>
        <v>87.952211129232268</v>
      </c>
      <c r="AT69" s="3791">
        <f>+BM!AQ69</f>
        <v>83.333333333333343</v>
      </c>
      <c r="AU69" s="3792">
        <f>+BM!AR69</f>
        <v>87.271777458534686</v>
      </c>
      <c r="AV69" s="3785">
        <f>+BM!AS69</f>
        <v>84.532595325953267</v>
      </c>
      <c r="AW69" s="3291">
        <f>+BM!AT69</f>
        <v>87.878098186033327</v>
      </c>
      <c r="AX69" s="3791">
        <f>+BM!AU69</f>
        <v>83.333333333333343</v>
      </c>
      <c r="AY69" s="3792">
        <f>+BM!AV69</f>
        <v>84.796459179070823</v>
      </c>
      <c r="AZ69" s="3785">
        <f>+BM!AW69</f>
        <v>84.427609427609426</v>
      </c>
      <c r="BA69" s="3291">
        <f>+BM!AX69</f>
        <v>87.595615141298424</v>
      </c>
      <c r="BB69" s="3791">
        <f>+BM!AY69</f>
        <v>83.333333333333343</v>
      </c>
      <c r="BC69" s="3792">
        <f>+BM!AZ69</f>
        <v>87.801023479831429</v>
      </c>
      <c r="BD69" s="3795">
        <f>+BM!BA69</f>
        <v>83.333333333333343</v>
      </c>
      <c r="BE69" s="3795">
        <f>+BM!BB69</f>
        <v>86.684679768704726</v>
      </c>
      <c r="BF69" s="3796">
        <f>+BM!BC69</f>
        <v>83.333333333333343</v>
      </c>
      <c r="BG69" s="3797">
        <f>+BM!BD69</f>
        <v>85.25500197159873</v>
      </c>
      <c r="BH69" s="3785">
        <f>+BM!BE69</f>
        <v>84.330265848670763</v>
      </c>
      <c r="BI69" s="3291">
        <f>+BM!BF69</f>
        <v>87.614799265279956</v>
      </c>
    </row>
    <row r="70" spans="3:61" x14ac:dyDescent="0.25">
      <c r="C70" s="5827"/>
      <c r="D70" s="3921" t="s">
        <v>312</v>
      </c>
      <c r="E70" s="548" t="s">
        <v>551</v>
      </c>
      <c r="F70" s="3911">
        <v>129.35729675734254</v>
      </c>
      <c r="G70" s="3922">
        <v>137.10942855837052</v>
      </c>
      <c r="H70" s="3791">
        <f>+BM!E79</f>
        <v>137.30803974706413</v>
      </c>
      <c r="I70" s="3792">
        <f>+BM!F79</f>
        <v>128.43516367476246</v>
      </c>
      <c r="J70" s="3791">
        <f>+BM!G79</f>
        <v>137.63066202090593</v>
      </c>
      <c r="K70" s="3792">
        <f>+BM!H79</f>
        <v>128.64970585751695</v>
      </c>
      <c r="L70" s="3785">
        <f>+BM!I79</f>
        <v>137.47228381374723</v>
      </c>
      <c r="M70" s="3291">
        <f>+BM!J79</f>
        <v>128.54930366288306</v>
      </c>
      <c r="N70" s="3791">
        <f>+BM!K79</f>
        <v>137.30803974706413</v>
      </c>
      <c r="O70" s="3792">
        <f>+BM!L79</f>
        <v>129.52573430263243</v>
      </c>
      <c r="P70" s="3793">
        <f>+BM!M79</f>
        <v>137.41820345032718</v>
      </c>
      <c r="Q70" s="3794">
        <f>+BM!N79</f>
        <v>128.87945823256561</v>
      </c>
      <c r="R70" s="3791">
        <f>+BM!O79</f>
        <v>137.63066202090593</v>
      </c>
      <c r="S70" s="3792">
        <f>+BM!P79</f>
        <v>140.27690632965184</v>
      </c>
      <c r="T70" s="3785">
        <f>+BM!Q79</f>
        <v>137.47228381374723</v>
      </c>
      <c r="U70" s="3291">
        <f>+BM!R79</f>
        <v>131.97765307889961</v>
      </c>
      <c r="V70" s="3791">
        <f>+BM!S79</f>
        <v>137.63066202090593</v>
      </c>
      <c r="W70" s="3792">
        <f>+BM!T79</f>
        <v>132.17232096184014</v>
      </c>
      <c r="X70" s="3785">
        <f>+BM!U79</f>
        <v>137.50441852244609</v>
      </c>
      <c r="Y70" s="3291">
        <f>+BM!V79</f>
        <v>132.01640210416801</v>
      </c>
      <c r="Z70" s="3791">
        <f>+BM!W79</f>
        <v>128.72628726287263</v>
      </c>
      <c r="AA70" s="3792">
        <f>+BM!X79</f>
        <v>132.73645138861181</v>
      </c>
      <c r="AB70" s="3793">
        <f>+BM!Y79</f>
        <v>135.46473302570863</v>
      </c>
      <c r="AC70" s="3793">
        <f>+BM!Z79</f>
        <v>135.21851851856002</v>
      </c>
      <c r="AD70" s="3796">
        <f>+BM!AA79</f>
        <v>136.49155722326455</v>
      </c>
      <c r="AE70" s="3797">
        <f>+BM!AB79</f>
        <v>132.13612112509804</v>
      </c>
      <c r="AF70" s="3791">
        <f>+BM!AC79</f>
        <v>137.93103448275863</v>
      </c>
      <c r="AG70" s="3792">
        <f>+BM!AD79</f>
        <v>126.42426920891478</v>
      </c>
      <c r="AH70" s="3785">
        <f>+BM!AE79</f>
        <v>136.71254632080465</v>
      </c>
      <c r="AI70" s="3291">
        <f>+BM!AF79</f>
        <v>130.24062115854375</v>
      </c>
      <c r="AJ70" s="3791">
        <f>+BM!AG79</f>
        <v>138.39285714285714</v>
      </c>
      <c r="AK70" s="3792">
        <f>+BM!AH79</f>
        <v>106.36644295302014</v>
      </c>
      <c r="AL70" s="3785">
        <f>+BM!AI79</f>
        <v>136.92946058091286</v>
      </c>
      <c r="AM70" s="3291">
        <f>+BM!AJ79</f>
        <v>130.06346273564358</v>
      </c>
      <c r="AN70" s="3791">
        <f>+BM!AK79</f>
        <v>137.93103448275863</v>
      </c>
      <c r="AO70" s="3792">
        <f>+BM!AL79</f>
        <v>122.75759805341532</v>
      </c>
      <c r="AP70" s="3793">
        <f>+BM!AM79</f>
        <v>138.08139534883722</v>
      </c>
      <c r="AQ70" s="3793">
        <f>+BM!AN79</f>
        <v>124.03496205212693</v>
      </c>
      <c r="AR70" s="3785">
        <f>+BM!AO79</f>
        <v>137.04758031720212</v>
      </c>
      <c r="AS70" s="3291">
        <f>+BM!AP79</f>
        <v>129.14790907376408</v>
      </c>
      <c r="AT70" s="3791">
        <f>+BM!AQ79</f>
        <v>137.93103448275863</v>
      </c>
      <c r="AU70" s="3792">
        <f>+BM!AR79</f>
        <v>125.85618640009596</v>
      </c>
      <c r="AV70" s="3785">
        <f>+BM!AS79</f>
        <v>137.14077846489633</v>
      </c>
      <c r="AW70" s="3291">
        <f>+BM!AT79</f>
        <v>128.79184785425215</v>
      </c>
      <c r="AX70" s="3791">
        <f>+BM!AU79</f>
        <v>139.42307692307693</v>
      </c>
      <c r="AY70" s="3792">
        <f>+BM!AV79</f>
        <v>131.63336547092669</v>
      </c>
      <c r="AZ70" s="3785">
        <f>+BM!AW79</f>
        <v>137.33798604187439</v>
      </c>
      <c r="BA70" s="3291">
        <f>+BM!AX79</f>
        <v>129.04399631823819</v>
      </c>
      <c r="BB70" s="3791">
        <f>+BM!AY79</f>
        <v>137.93103448275863</v>
      </c>
      <c r="BC70" s="3792">
        <f>+BM!AZ79</f>
        <v>133.72865346704393</v>
      </c>
      <c r="BD70" s="3795">
        <f>+BM!BA79</f>
        <v>138.39285714285714</v>
      </c>
      <c r="BE70" s="3795">
        <f>+BM!BB79</f>
        <v>130.41814055963948</v>
      </c>
      <c r="BF70" s="3796">
        <f>+BM!BC79</f>
        <v>138.23529411764707</v>
      </c>
      <c r="BG70" s="3797">
        <f>+BM!BD79</f>
        <v>127.81134370494965</v>
      </c>
      <c r="BH70" s="3785">
        <f>+BM!BE79</f>
        <v>137.39011821764171</v>
      </c>
      <c r="BI70" s="3291">
        <f>+BM!BF79</f>
        <v>129.48245010269395</v>
      </c>
    </row>
    <row r="71" spans="3:61" x14ac:dyDescent="0.25">
      <c r="C71" s="5827"/>
      <c r="D71" s="3923" t="s">
        <v>109</v>
      </c>
      <c r="E71" s="1552"/>
      <c r="F71" s="3924"/>
      <c r="G71" s="3925"/>
      <c r="H71" s="3784"/>
      <c r="I71" s="3311"/>
      <c r="J71" s="3784"/>
      <c r="K71" s="3311"/>
      <c r="L71" s="3785"/>
      <c r="M71" s="3291"/>
      <c r="N71" s="3784"/>
      <c r="O71" s="3311"/>
      <c r="P71" s="3784"/>
      <c r="Q71" s="3311"/>
      <c r="R71" s="3784"/>
      <c r="S71" s="3311"/>
      <c r="T71" s="3784"/>
      <c r="U71" s="3311"/>
      <c r="V71" s="3784"/>
      <c r="W71" s="3311"/>
      <c r="X71" s="3784"/>
      <c r="Y71" s="3311"/>
      <c r="Z71" s="3784"/>
      <c r="AA71" s="3311"/>
      <c r="AB71" s="3784"/>
      <c r="AC71" s="3784"/>
      <c r="AD71" s="3784"/>
      <c r="AE71" s="3786"/>
      <c r="AF71" s="3784"/>
      <c r="AG71" s="3311"/>
      <c r="AH71" s="3784"/>
      <c r="AI71" s="3311"/>
      <c r="AJ71" s="3784"/>
      <c r="AK71" s="3311"/>
      <c r="AL71" s="3784"/>
      <c r="AM71" s="3311"/>
      <c r="AN71" s="3784"/>
      <c r="AO71" s="3311"/>
      <c r="AP71" s="3784"/>
      <c r="AQ71" s="3784"/>
      <c r="AR71" s="3784"/>
      <c r="AS71" s="3311"/>
      <c r="AT71" s="3784"/>
      <c r="AU71" s="3311"/>
      <c r="AV71" s="3784"/>
      <c r="AW71" s="3311"/>
      <c r="AX71" s="3784"/>
      <c r="AY71" s="3311"/>
      <c r="AZ71" s="3784"/>
      <c r="BA71" s="3311"/>
      <c r="BB71" s="3784"/>
      <c r="BC71" s="3311"/>
      <c r="BD71" s="3311"/>
      <c r="BE71" s="3311"/>
      <c r="BF71" s="3311"/>
      <c r="BG71" s="3311"/>
      <c r="BH71" s="3311"/>
      <c r="BI71" s="3311"/>
    </row>
    <row r="72" spans="3:61" x14ac:dyDescent="0.25">
      <c r="C72" s="5827"/>
      <c r="D72" s="3921" t="s">
        <v>1062</v>
      </c>
      <c r="E72" s="548" t="s">
        <v>49</v>
      </c>
      <c r="F72" s="3911">
        <v>93.371871065542948</v>
      </c>
      <c r="G72" s="3926">
        <v>94.75</v>
      </c>
      <c r="H72" s="3791">
        <f>+'Maj Techno Summ'!E23</f>
        <v>94.75</v>
      </c>
      <c r="I72" s="3792">
        <f>+'Maj Techno Summ'!F23</f>
        <v>93.760477464473936</v>
      </c>
      <c r="J72" s="3791">
        <f>+'Maj Techno Summ'!G23</f>
        <v>94.75</v>
      </c>
      <c r="K72" s="3792">
        <f>+'Maj Techno Summ'!H23</f>
        <v>93.848373432627127</v>
      </c>
      <c r="L72" s="3785">
        <f>+'Maj Techno Summ'!I23</f>
        <v>94.75</v>
      </c>
      <c r="M72" s="3291">
        <f>+'Maj Techno Summ'!J23</f>
        <v>93.80756445928256</v>
      </c>
      <c r="N72" s="3791">
        <f>+'Maj Techno Summ'!K23</f>
        <v>94.75</v>
      </c>
      <c r="O72" s="3792">
        <f>+'Maj Techno Summ'!L23</f>
        <v>94.300657609568276</v>
      </c>
      <c r="P72" s="3793">
        <f>+'Maj Techno Summ'!M23</f>
        <v>94.75</v>
      </c>
      <c r="Q72" s="3794">
        <f>+'Maj Techno Summ'!N23</f>
        <v>93.981855291627923</v>
      </c>
      <c r="R72" s="3791">
        <f>+'Maj Techno Summ'!O23</f>
        <v>94.75</v>
      </c>
      <c r="S72" s="3792">
        <f>+'Maj Techno Summ'!P23</f>
        <v>94.039736544191683</v>
      </c>
      <c r="T72" s="3785">
        <f>+USM!R123</f>
        <v>94.749999999999986</v>
      </c>
      <c r="U72" s="3291">
        <f>+USM!S123</f>
        <v>93.996743918003119</v>
      </c>
      <c r="V72" s="3791">
        <f>+'Maj Techno Summ'!S23</f>
        <v>94.75</v>
      </c>
      <c r="W72" s="3792">
        <f>+'Maj Techno Summ'!T23</f>
        <v>93.446166495534285</v>
      </c>
      <c r="X72" s="3785">
        <f>+USM!V123</f>
        <v>94.749999999999986</v>
      </c>
      <c r="Y72" s="3291">
        <f>+USM!W123</f>
        <v>93.904783814889868</v>
      </c>
      <c r="Z72" s="3791">
        <f>+'Maj Techno Summ'!W23</f>
        <v>94.75</v>
      </c>
      <c r="AA72" s="3792">
        <f>+'Maj Techno Summ'!X23</f>
        <v>93.998143621476331</v>
      </c>
      <c r="AB72" s="3793">
        <f>+USM!Z123</f>
        <v>94.75</v>
      </c>
      <c r="AC72" s="3793">
        <f>+USM!AA123</f>
        <v>93.85159449703977</v>
      </c>
      <c r="AD72" s="3796">
        <f>+USM!AB123</f>
        <v>94.75</v>
      </c>
      <c r="AE72" s="3797">
        <f>+USM!AC123</f>
        <v>93.919491644619058</v>
      </c>
      <c r="AF72" s="3791">
        <f>+'Maj Techno Summ'!AC23</f>
        <v>94.75</v>
      </c>
      <c r="AG72" s="3792">
        <f>+'Maj Techno Summ'!AD23</f>
        <v>94.095025573033311</v>
      </c>
      <c r="AH72" s="3785">
        <f>+'Maj Techno Summ'!AE23</f>
        <v>94.75</v>
      </c>
      <c r="AI72" s="3291">
        <f>+'Maj Techno Summ'!AF23</f>
        <v>88.973341592513563</v>
      </c>
      <c r="AJ72" s="3791">
        <f>+'Maj Techno Summ'!AG23</f>
        <v>94.75</v>
      </c>
      <c r="AK72" s="3792">
        <f>+'Maj Techno Summ'!AH23</f>
        <v>93.69597873790353</v>
      </c>
      <c r="AL72" s="3785">
        <f>+'Maj Techno Summ'!AI23</f>
        <v>94.75</v>
      </c>
      <c r="AM72" s="3291">
        <f>+'Maj Techno Summ'!AJ23</f>
        <v>89.08300183172895</v>
      </c>
      <c r="AN72" s="3791">
        <f>+'Maj Techno Summ'!AK23</f>
        <v>94.75</v>
      </c>
      <c r="AO72" s="3792">
        <f>+'Maj Techno Summ'!AL23</f>
        <v>91.062905975135806</v>
      </c>
      <c r="AP72" s="3793">
        <f>+USM!AN123</f>
        <v>94.75</v>
      </c>
      <c r="AQ72" s="3793">
        <f>+USM!AO123</f>
        <v>92.736311942445084</v>
      </c>
      <c r="AR72" s="3785">
        <f>+USM!AP123</f>
        <v>94.750000000000014</v>
      </c>
      <c r="AS72" s="3291">
        <f>+USM!AQ123</f>
        <v>89.281621462532954</v>
      </c>
      <c r="AT72" s="3791">
        <f>+'Maj Techno Summ'!AQ23</f>
        <v>94.75</v>
      </c>
      <c r="AU72" s="3792">
        <f>+'Maj Techno Summ'!AR23</f>
        <v>93.52941585010818</v>
      </c>
      <c r="AV72" s="3785">
        <f>+USM!AT123</f>
        <v>94.750000000000014</v>
      </c>
      <c r="AW72" s="3291">
        <f>+USM!AU123</f>
        <v>89.75165141243501</v>
      </c>
      <c r="AX72" s="3791">
        <f>+'Maj Techno Summ'!AU23</f>
        <v>94.75</v>
      </c>
      <c r="AY72" s="3792">
        <f>+'Maj Techno Summ'!AV23</f>
        <v>94.085079490713611</v>
      </c>
      <c r="AZ72" s="3785">
        <f>+USM!AX123</f>
        <v>94.750000000000014</v>
      </c>
      <c r="BA72" s="3291">
        <f>+USM!AY123</f>
        <v>90.180862270176036</v>
      </c>
      <c r="BB72" s="3791">
        <f>+'Maj Techno Summ'!AY23</f>
        <v>94.75</v>
      </c>
      <c r="BC72" s="3792">
        <f>+'Maj Techno Summ'!AZ23</f>
        <v>94.09315214316058</v>
      </c>
      <c r="BD72" s="3795">
        <f>+USM!BB123</f>
        <v>94.75</v>
      </c>
      <c r="BE72" s="3795">
        <f>+USM!BC123</f>
        <v>93.914611600919798</v>
      </c>
      <c r="BF72" s="3796">
        <f>+USM!BD123</f>
        <v>94.75</v>
      </c>
      <c r="BG72" s="3797">
        <f>+USM!BE123</f>
        <v>93.483365333354996</v>
      </c>
      <c r="BH72" s="3785">
        <f>+USM!BF123</f>
        <v>94.750000000000014</v>
      </c>
      <c r="BI72" s="3291">
        <f>+USM!BG123</f>
        <v>90.601645818228064</v>
      </c>
    </row>
    <row r="73" spans="3:61" x14ac:dyDescent="0.25">
      <c r="C73" s="5827"/>
      <c r="D73" s="3921" t="s">
        <v>1061</v>
      </c>
      <c r="E73" s="548" t="s">
        <v>49</v>
      </c>
      <c r="F73" s="3911">
        <v>68.17523999238459</v>
      </c>
      <c r="G73" s="3922">
        <v>83.333333333333343</v>
      </c>
      <c r="H73" s="3791">
        <f>+USM!F134</f>
        <v>83.333333333333343</v>
      </c>
      <c r="I73" s="3792">
        <f>+USM!G134</f>
        <v>83.78210116731519</v>
      </c>
      <c r="J73" s="3791">
        <f>+USM!H134</f>
        <v>83.333333333333343</v>
      </c>
      <c r="K73" s="3792">
        <f>+USM!I134</f>
        <v>81.178027796161459</v>
      </c>
      <c r="L73" s="3785">
        <f>+USM!J134</f>
        <v>83.333333333333343</v>
      </c>
      <c r="M73" s="3291">
        <f>+USM!K134</f>
        <v>82.374821173104422</v>
      </c>
      <c r="N73" s="3791">
        <f>+USM!L134</f>
        <v>83.333333333333343</v>
      </c>
      <c r="O73" s="3792">
        <f>+USM!M134</f>
        <v>83.92194585680916</v>
      </c>
      <c r="P73" s="3793">
        <f>+USM!N134</f>
        <v>83.333333333333343</v>
      </c>
      <c r="Q73" s="3794">
        <f>+USM!O134</f>
        <v>82.904455003057834</v>
      </c>
      <c r="R73" s="3791">
        <f>+USM!P134</f>
        <v>83.333333333333343</v>
      </c>
      <c r="S73" s="3792">
        <f>+USM!Q134</f>
        <v>81.618114743671271</v>
      </c>
      <c r="T73" s="3785">
        <f>+USM!R134</f>
        <v>83.333333333333343</v>
      </c>
      <c r="U73" s="3291">
        <f>+USM!S134</f>
        <v>82.557181125077278</v>
      </c>
      <c r="V73" s="3791">
        <f>+USM!T134</f>
        <v>83.333333333333343</v>
      </c>
      <c r="W73" s="3792">
        <f>+USM!U134</f>
        <v>72.268449051971047</v>
      </c>
      <c r="X73" s="3785">
        <f>+USM!V134</f>
        <v>83.333333333333343</v>
      </c>
      <c r="Y73" s="3291">
        <f>+USM!W134</f>
        <v>80.487804878048777</v>
      </c>
      <c r="Z73" s="3791">
        <f>+USM!X134</f>
        <v>83.333333333333343</v>
      </c>
      <c r="AA73" s="3792">
        <f>+USM!Y134</f>
        <v>74.749416449265411</v>
      </c>
      <c r="AB73" s="3793">
        <f>+USM!Z134</f>
        <v>83.333333333333343</v>
      </c>
      <c r="AC73" s="3793">
        <f>+USM!AA134</f>
        <v>76.34260289210232</v>
      </c>
      <c r="AD73" s="3796">
        <f>+USM!AB134</f>
        <v>83.333333333333343</v>
      </c>
      <c r="AE73" s="3797">
        <f>+USM!AC134</f>
        <v>79.532150370438117</v>
      </c>
      <c r="AF73" s="3791">
        <f>+USM!AD134</f>
        <v>81.25</v>
      </c>
      <c r="AG73" s="3792">
        <f>+USM!AE134</f>
        <v>80.337964827493622</v>
      </c>
      <c r="AH73" s="3785">
        <f>+USM!AF134</f>
        <v>83.011049723756898</v>
      </c>
      <c r="AI73" s="3291">
        <f>+USM!AG134</f>
        <v>79.645398545369929</v>
      </c>
      <c r="AJ73" s="3791">
        <f>+USM!AH134</f>
        <v>81.25</v>
      </c>
      <c r="AK73" s="3792">
        <f>+USM!AI134</f>
        <v>87.625594923320989</v>
      </c>
      <c r="AL73" s="3785">
        <f>+USM!AJ134</f>
        <v>82.782451923076934</v>
      </c>
      <c r="AM73" s="3291">
        <f>+USM!AK134</f>
        <v>79.931345032519786</v>
      </c>
      <c r="AN73" s="3791">
        <f>+USM!AL134</f>
        <v>81.25</v>
      </c>
      <c r="AO73" s="3792">
        <f>+USM!AM134</f>
        <v>74.710917555188445</v>
      </c>
      <c r="AP73" s="3793">
        <f>+USM!AN134</f>
        <v>81.25</v>
      </c>
      <c r="AQ73" s="3793">
        <f>+USM!AO134</f>
        <v>78.829173099361554</v>
      </c>
      <c r="AR73" s="3785">
        <f>+USM!AP134</f>
        <v>82.600635593220346</v>
      </c>
      <c r="AS73" s="3291">
        <f>+USM!AQ134</f>
        <v>79.346437604403206</v>
      </c>
      <c r="AT73" s="3791">
        <f>+USM!AR134</f>
        <v>81.25</v>
      </c>
      <c r="AU73" s="3792">
        <f>+USM!AS134</f>
        <v>82.111784866860035</v>
      </c>
      <c r="AV73" s="3785">
        <f>+USM!AT134</f>
        <v>82.45738636363636</v>
      </c>
      <c r="AW73" s="3291">
        <f>+USM!AU134</f>
        <v>79.659452000506136</v>
      </c>
      <c r="AX73" s="3791">
        <f>+USM!AV134</f>
        <v>81.25</v>
      </c>
      <c r="AY73" s="3792">
        <f>+USM!AW134</f>
        <v>88.17551963048497</v>
      </c>
      <c r="AZ73" s="3785">
        <f>+USM!AX134</f>
        <v>82.35294117647058</v>
      </c>
      <c r="BA73" s="3291">
        <f>+USM!AY134</f>
        <v>80.41185057983482</v>
      </c>
      <c r="BB73" s="3791">
        <f>+USM!AZ134</f>
        <v>81.25</v>
      </c>
      <c r="BC73" s="3792">
        <f>+USM!BA134</f>
        <v>84.861464328737796</v>
      </c>
      <c r="BD73" s="3795">
        <f>+USM!BB134</f>
        <v>81.25</v>
      </c>
      <c r="BE73" s="3795">
        <f>+USM!BC134</f>
        <v>84.892353377876788</v>
      </c>
      <c r="BF73" s="3796">
        <f>+USM!BD134</f>
        <v>81.25</v>
      </c>
      <c r="BG73" s="3797">
        <f>+USM!BE134</f>
        <v>82.336904585504968</v>
      </c>
      <c r="BH73" s="3785">
        <f>+USM!BF134</f>
        <v>82.255520504731862</v>
      </c>
      <c r="BI73" s="3291">
        <f>+USM!BG134</f>
        <v>80.822334594142333</v>
      </c>
    </row>
    <row r="74" spans="3:61" ht="15.75" thickBot="1" x14ac:dyDescent="0.3">
      <c r="C74" s="5828"/>
      <c r="D74" s="3927" t="s">
        <v>312</v>
      </c>
      <c r="E74" s="3768" t="s">
        <v>551</v>
      </c>
      <c r="F74" s="3816">
        <v>72.378210767795224</v>
      </c>
      <c r="G74" s="3817">
        <v>118.29652996845427</v>
      </c>
      <c r="H74" s="3818">
        <f>+USM!F144</f>
        <v>114.81481481481481</v>
      </c>
      <c r="I74" s="3819">
        <f>+USM!G144</f>
        <v>110.44497937952814</v>
      </c>
      <c r="J74" s="3818">
        <f>+USM!H144</f>
        <v>116.07142857142857</v>
      </c>
      <c r="K74" s="3819">
        <f>+USM!I144</f>
        <v>111.95658372737651</v>
      </c>
      <c r="L74" s="3820">
        <f>+USM!J144</f>
        <v>115.45454545454545</v>
      </c>
      <c r="M74" s="3308">
        <f>+USM!K144</f>
        <v>111.25000451545674</v>
      </c>
      <c r="N74" s="3818">
        <f>+USM!L144</f>
        <v>115.74074074074075</v>
      </c>
      <c r="O74" s="3819">
        <f>+USM!M144</f>
        <v>115.29320386441785</v>
      </c>
      <c r="P74" s="3821">
        <f>+USM!N144</f>
        <v>115.54878048780488</v>
      </c>
      <c r="Q74" s="3822">
        <f>+USM!O144</f>
        <v>112.65111774385743</v>
      </c>
      <c r="R74" s="3818">
        <f>+USM!P144</f>
        <v>116.07142857142857</v>
      </c>
      <c r="S74" s="3819">
        <f>+USM!Q144</f>
        <v>107.22079862842892</v>
      </c>
      <c r="T74" s="3820">
        <f>+USM!R144</f>
        <v>115.68181818181819</v>
      </c>
      <c r="U74" s="3308">
        <f>+USM!S144</f>
        <v>111.20176762760509</v>
      </c>
      <c r="V74" s="3818">
        <f>+USM!T144</f>
        <v>116.07142857142857</v>
      </c>
      <c r="W74" s="3819">
        <f>+USM!U144</f>
        <v>100.58050509626275</v>
      </c>
      <c r="X74" s="3820">
        <f>+USM!V144</f>
        <v>115.76086956521739</v>
      </c>
      <c r="Y74" s="3308">
        <f>+USM!W144</f>
        <v>109.28366254218223</v>
      </c>
      <c r="Z74" s="3818">
        <f>+USM!X144</f>
        <v>111.66666666666667</v>
      </c>
      <c r="AA74" s="3819">
        <f>+USM!Y144</f>
        <v>110.23597207935339</v>
      </c>
      <c r="AB74" s="3821">
        <f>+USM!Z144</f>
        <v>115.14084507042253</v>
      </c>
      <c r="AC74" s="3821">
        <f>+USM!AA144</f>
        <v>106.12710059447487</v>
      </c>
      <c r="AD74" s="3823">
        <f>+USM!AB144</f>
        <v>115.359477124183</v>
      </c>
      <c r="AE74" s="3824">
        <f>+USM!AC144</f>
        <v>109.43272016330752</v>
      </c>
      <c r="AF74" s="3818">
        <f>+USM!AD144</f>
        <v>98.901098901098905</v>
      </c>
      <c r="AG74" s="3819">
        <f>+USM!AE144</f>
        <v>93.786529503916469</v>
      </c>
      <c r="AH74" s="3820">
        <f>+USM!AF144</f>
        <v>112.86744315030505</v>
      </c>
      <c r="AI74" s="3308">
        <f>+USM!AG144</f>
        <v>101.54488150816756</v>
      </c>
      <c r="AJ74" s="3818">
        <f>+USM!AH144</f>
        <v>98.76543209876543</v>
      </c>
      <c r="AK74" s="3819">
        <f>+USM!AI144</f>
        <v>62.17248521424262</v>
      </c>
      <c r="AL74" s="3820">
        <f>+USM!AJ144</f>
        <v>111.07078039927404</v>
      </c>
      <c r="AM74" s="3308">
        <f>+USM!AK144</f>
        <v>99.998285470450156</v>
      </c>
      <c r="AN74" s="3818">
        <f>+USM!AL144</f>
        <v>98.901098901098905</v>
      </c>
      <c r="AO74" s="3819">
        <f>+USM!AM144</f>
        <v>96.643460502512582</v>
      </c>
      <c r="AP74" s="3821">
        <f>+USM!AN144</f>
        <v>98.85696632684585</v>
      </c>
      <c r="AQ74" s="3821">
        <f>+USM!AO144</f>
        <v>90.702483315827763</v>
      </c>
      <c r="AR74" s="3820">
        <f>+USM!AP144</f>
        <v>109.65052901571016</v>
      </c>
      <c r="AS74" s="3308">
        <f>+USM!AQ144</f>
        <v>99.644363459010137</v>
      </c>
      <c r="AT74" s="3818">
        <f>+USM!AR144</f>
        <v>98.901098901098905</v>
      </c>
      <c r="AU74" s="3819">
        <f>+USM!AS144</f>
        <v>98.325597688232421</v>
      </c>
      <c r="AV74" s="3820">
        <f>+USM!AT144</f>
        <v>108.52713178294573</v>
      </c>
      <c r="AW74" s="3308">
        <f>+USM!AU144</f>
        <v>99.490494689718417</v>
      </c>
      <c r="AX74" s="3818">
        <f>+USM!AV144</f>
        <v>98.461538461538467</v>
      </c>
      <c r="AY74" s="3819">
        <f>+USM!AW144</f>
        <v>106.88209533787324</v>
      </c>
      <c r="AZ74" s="3820">
        <f>+USM!AX144</f>
        <v>107.66806722689076</v>
      </c>
      <c r="BA74" s="3308">
        <f>+USM!AY144</f>
        <v>100.2065974219305</v>
      </c>
      <c r="BB74" s="3818">
        <f>+USM!AZ144</f>
        <v>109.89010989010988</v>
      </c>
      <c r="BC74" s="3819">
        <f>+USM!BA144</f>
        <v>117.48622712933755</v>
      </c>
      <c r="BD74" s="3795">
        <f>+USM!BB144</f>
        <v>102.56410256410257</v>
      </c>
      <c r="BE74" s="3795">
        <f>+USM!BC144</f>
        <v>107.64356077831218</v>
      </c>
      <c r="BF74" s="3796">
        <f>+USM!BD144</f>
        <v>100.68792995622263</v>
      </c>
      <c r="BG74" s="3797">
        <f>+USM!BE144</f>
        <v>100.80759051934925</v>
      </c>
      <c r="BH74" s="3785">
        <f>+USM!BF144</f>
        <v>107.86193672099712</v>
      </c>
      <c r="BI74" s="3291">
        <f>+USM!BG144</f>
        <v>101.8803355027958</v>
      </c>
    </row>
    <row r="75" spans="3:61" x14ac:dyDescent="0.25">
      <c r="C75" s="5826" t="s">
        <v>1066</v>
      </c>
      <c r="D75" s="3764" t="s">
        <v>1400</v>
      </c>
      <c r="E75" s="3765" t="s">
        <v>324</v>
      </c>
      <c r="F75" s="3826">
        <v>6.2012037687729737</v>
      </c>
      <c r="G75" s="3928">
        <f>+'Maj Techno Summ'!D24</f>
        <v>5.9499750782715646</v>
      </c>
      <c r="H75" s="3828">
        <f>+'Maj Techno Summ'!E24</f>
        <v>5.9579646181196697</v>
      </c>
      <c r="I75" s="3829">
        <f>+'Maj Techno Summ'!F24</f>
        <v>6.0846476745556721</v>
      </c>
      <c r="J75" s="3828">
        <f>+'Maj Techno Summ'!G24</f>
        <v>5.8950819349699</v>
      </c>
      <c r="K75" s="3829">
        <f>+'Maj Techno Summ'!H24</f>
        <v>5.9791618358977949</v>
      </c>
      <c r="L75" s="3830">
        <f>+'Maj Techno Summ'!I24</f>
        <v>5.9260302723648577</v>
      </c>
      <c r="M75" s="3831">
        <f>+'Maj Techno Summ'!J24</f>
        <v>6.0300558618251694</v>
      </c>
      <c r="N75" s="3828">
        <f>+'Maj Techno Summ'!K24</f>
        <v>5.8881874827843568</v>
      </c>
      <c r="O75" s="3829">
        <f>+'Maj Techno Summ'!L24</f>
        <v>5.9510024504802947</v>
      </c>
      <c r="P75" s="3832">
        <f>+'Maj Techno Summ'!M24</f>
        <v>5.9135485641504033</v>
      </c>
      <c r="Q75" s="3833">
        <f>+'Maj Techno Summ'!N24</f>
        <v>6.0018291327647386</v>
      </c>
      <c r="R75" s="3828">
        <f>+'Maj Techno Summ'!O24</f>
        <v>5.9044904422712001</v>
      </c>
      <c r="S75" s="3829">
        <f>+'Maj Techno Summ'!P24</f>
        <v>5.9231909835586922</v>
      </c>
      <c r="T75" s="3830">
        <f>+'Maj Techno Summ'!Q24</f>
        <v>5.9112818034949903</v>
      </c>
      <c r="U75" s="3831">
        <f>+'Maj Techno Summ'!R24</f>
        <v>5.9807714639072804</v>
      </c>
      <c r="V75" s="3828">
        <f>+'Maj Techno Summ'!S24</f>
        <v>5.9110636073860041</v>
      </c>
      <c r="W75" s="3829">
        <f>+'Maj Techno Summ'!T24</f>
        <v>6.028154237488426</v>
      </c>
      <c r="X75" s="3830">
        <f>+'Maj Techno Summ'!U24</f>
        <v>5.9112381298980674</v>
      </c>
      <c r="Y75" s="4083">
        <f>+'Maj Techno Summ'!V24</f>
        <v>5.9903261458466117</v>
      </c>
      <c r="Z75" s="3828">
        <f>+'Maj Techno Summ'!W24</f>
        <v>6.4404862064644854</v>
      </c>
      <c r="AA75" s="3829">
        <f>+'Maj Techno Summ'!X24</f>
        <v>6.2161034181344306</v>
      </c>
      <c r="AB75" s="3832">
        <f>+'Maj Techno Summ'!Y24</f>
        <v>6.0185038105368784</v>
      </c>
      <c r="AC75" s="3832">
        <f>+'Maj Techno Summ'!Z24</f>
        <v>6.0504489425821761</v>
      </c>
      <c r="AD75" s="3834">
        <f>+'Maj Techno Summ'!AA24</f>
        <v>5.9615465955288425</v>
      </c>
      <c r="AE75" s="3835">
        <f>+'Maj Techno Summ'!AB24</f>
        <v>6.0267096597919014</v>
      </c>
      <c r="AF75" s="3828">
        <f>+'Maj Techno Summ'!AC24</f>
        <v>5.9185019189583619</v>
      </c>
      <c r="AG75" s="4084">
        <f>+'Maj Techno Summ'!AD24</f>
        <v>6.0970123553483413</v>
      </c>
      <c r="AH75" s="3830">
        <f>+'Maj Techno Summ'!AE24</f>
        <v>6.0094385160929535</v>
      </c>
      <c r="AI75" s="3831">
        <f>+'Maj Techno Summ'!AF24</f>
        <v>6.1913023947145307</v>
      </c>
      <c r="AJ75" s="3828">
        <f>+'Maj Techno Summ'!AG24</f>
        <v>5.8679361229423455</v>
      </c>
      <c r="AK75" s="4084">
        <f>+'Maj Techno Summ'!AH24</f>
        <v>29.436172268975831</v>
      </c>
      <c r="AL75" s="3830">
        <f>+'Maj Techno Summ'!AI24</f>
        <v>5.9889092752809976</v>
      </c>
      <c r="AM75" s="3831">
        <f>+'Maj Techno Summ'!AJ24</f>
        <v>6.3410738789124395</v>
      </c>
      <c r="AN75" s="3828">
        <f>+'Maj Techno Summ'!AK24</f>
        <v>5.8607390227005398</v>
      </c>
      <c r="AO75" s="4084">
        <f>+'Maj Techno Summ'!AL24</f>
        <v>5.9578574346924951</v>
      </c>
      <c r="AP75" s="3832">
        <f>+'Maj Techno Summ'!AM24</f>
        <v>5.8825484570394195</v>
      </c>
      <c r="AQ75" s="3832">
        <f>+'Maj Techno Summ'!AN24</f>
        <v>6.4249770532211636</v>
      </c>
      <c r="AR75" s="3830">
        <f>+'Maj Techno Summ'!AO24</f>
        <v>5.9722026485530275</v>
      </c>
      <c r="AS75" s="3831">
        <f>+'Maj Techno Summ'!AP24</f>
        <v>6.2868475436743649</v>
      </c>
      <c r="AT75" s="3828">
        <f>+'Maj Techno Summ'!AQ24</f>
        <v>5.8608476022205673</v>
      </c>
      <c r="AU75" s="4084">
        <f>+'Maj Techno Summ'!AR24</f>
        <v>5.8560511441313423</v>
      </c>
      <c r="AV75" s="3830">
        <f>+'Maj Techno Summ'!AS24</f>
        <v>5.9593616265608853</v>
      </c>
      <c r="AW75" s="3831">
        <f>+'Maj Techno Summ'!AT24</f>
        <v>6.230431626440768</v>
      </c>
      <c r="AX75" s="3828">
        <f>+'Maj Techno Summ'!AU24</f>
        <v>5.8591772297916185</v>
      </c>
      <c r="AY75" s="4084">
        <f>+'Maj Techno Summ'!AV24</f>
        <v>5.888599128118563</v>
      </c>
      <c r="AZ75" s="3830">
        <f>+'Maj Techno Summ'!AW24</f>
        <v>5.9499431326203212</v>
      </c>
      <c r="BA75" s="4083">
        <f>+'Maj Techno Summ'!AX24</f>
        <v>6.1941702176749738</v>
      </c>
      <c r="BB75" s="3828">
        <f>+'Maj Techno Summ'!AY24</f>
        <v>5.8704881721591375</v>
      </c>
      <c r="BC75" s="3829">
        <f>+'Maj Techno Summ'!AZ24</f>
        <v>5.8758634243320023</v>
      </c>
      <c r="BD75" s="3804">
        <f>+'Maj Techno Summ'!BA24</f>
        <v>5.8636537802288489</v>
      </c>
      <c r="BE75" s="3804">
        <f>+'Maj Techno Summ'!BB24</f>
        <v>5.8730059845119555</v>
      </c>
      <c r="BF75" s="3805">
        <f>+'Maj Techno Summ'!BC24</f>
        <v>5.8732107674085681</v>
      </c>
      <c r="BG75" s="3806">
        <f>+'Maj Techno Summ'!BD24</f>
        <v>6.0909850780609363</v>
      </c>
      <c r="BH75" s="3801">
        <f>+'Maj Techno Summ'!BE24</f>
        <v>5.9500019581826908</v>
      </c>
      <c r="BI75" s="3292">
        <f>+'Maj Techno Summ'!BF24</f>
        <v>6.1600133062678522</v>
      </c>
    </row>
    <row r="76" spans="3:61" ht="15.75" thickBot="1" x14ac:dyDescent="0.3">
      <c r="C76" s="5828"/>
      <c r="D76" s="3767" t="s">
        <v>308</v>
      </c>
      <c r="E76" s="3768" t="s">
        <v>367</v>
      </c>
      <c r="F76" s="3881">
        <v>516.74946439793155</v>
      </c>
      <c r="G76" s="3929">
        <f>+'Maj Techno Summ'!D25</f>
        <v>467.95995482299668</v>
      </c>
      <c r="H76" s="3885">
        <f>+'Maj Techno Summ'!E25</f>
        <v>461.33365080836813</v>
      </c>
      <c r="I76" s="3883">
        <f>+'Maj Techno Summ'!F25</f>
        <v>479.82228799886599</v>
      </c>
      <c r="J76" s="3885">
        <f>+'Maj Techno Summ'!G25</f>
        <v>461.80049178666684</v>
      </c>
      <c r="K76" s="3883">
        <f>+'Maj Techno Summ'!H25</f>
        <v>454.07151976836832</v>
      </c>
      <c r="L76" s="3888">
        <f>+'Maj Techno Summ'!I25</f>
        <v>461.57082871638227</v>
      </c>
      <c r="M76" s="3884">
        <f>+'Maj Techno Summ'!J25</f>
        <v>466.0736787227786</v>
      </c>
      <c r="N76" s="3885">
        <f>+'Maj Techno Summ'!K25</f>
        <v>461.30940171262648</v>
      </c>
      <c r="O76" s="3883">
        <f>+'Maj Techno Summ'!L25</f>
        <v>452.69568410646042</v>
      </c>
      <c r="P76" s="3886">
        <f>+'Maj Techno Summ'!M25</f>
        <v>461.48462651792335</v>
      </c>
      <c r="Q76" s="3887">
        <f>+'Maj Techno Summ'!N25</f>
        <v>461.42918851243252</v>
      </c>
      <c r="R76" s="3885">
        <f>+'Maj Techno Summ'!O25</f>
        <v>467.7439435313612</v>
      </c>
      <c r="S76" s="3883">
        <f>+'Maj Techno Summ'!P25</f>
        <v>442.74265376564608</v>
      </c>
      <c r="T76" s="3888">
        <f>+'Maj Techno Summ'!Q25</f>
        <v>463.0494573265438</v>
      </c>
      <c r="U76" s="3884">
        <f>+'Maj Techno Summ'!R25</f>
        <v>456.38153371500158</v>
      </c>
      <c r="V76" s="3885">
        <f>+'Maj Techno Summ'!S25</f>
        <v>467.7439435313612</v>
      </c>
      <c r="W76" s="3883">
        <f>+'Maj Techno Summ'!T25</f>
        <v>478.60887298753227</v>
      </c>
      <c r="X76" s="3888">
        <f>+'Maj Techno Summ'!U25</f>
        <v>463.98835531403216</v>
      </c>
      <c r="Y76" s="3884">
        <f>+'Maj Techno Summ'!V25</f>
        <v>460.73140549718403</v>
      </c>
      <c r="Z76" s="3885">
        <f>+'Maj Techno Summ'!W25</f>
        <v>583.45256429103893</v>
      </c>
      <c r="AA76" s="3883">
        <f>+'Maj Techno Summ'!X25</f>
        <v>460.50130338661052</v>
      </c>
      <c r="AB76" s="3886">
        <f>+'Maj Techno Summ'!Y25</f>
        <v>491.95795398331109</v>
      </c>
      <c r="AC76" s="3886">
        <f>+'Maj Techno Summ'!Z25</f>
        <v>459.98729965214289</v>
      </c>
      <c r="AD76" s="3889">
        <f>+'Maj Techno Summ'!AA25</f>
        <v>475.42422624698077</v>
      </c>
      <c r="AE76" s="3890">
        <f>+'Maj Techno Summ'!AB25</f>
        <v>460.69319784507042</v>
      </c>
      <c r="AF76" s="3885">
        <f>+'Maj Techno Summ'!AC25</f>
        <v>473.75976042711665</v>
      </c>
      <c r="AG76" s="3883">
        <f>+'Maj Techno Summ'!AD25</f>
        <v>548.7195620509907</v>
      </c>
      <c r="AH76" s="3888">
        <f>+'Maj Techno Summ'!AE25</f>
        <v>475.17376749409539</v>
      </c>
      <c r="AI76" s="3884">
        <f>+'Maj Techno Summ'!AF25</f>
        <v>471.45152961925061</v>
      </c>
      <c r="AJ76" s="3885">
        <f>+'Maj Techno Summ'!AG25</f>
        <v>466.25572957873084</v>
      </c>
      <c r="AK76" s="3883">
        <f>+'Maj Techno Summ'!AH25</f>
        <v>1065.6855882267746</v>
      </c>
      <c r="AL76" s="3888">
        <f>+'Maj Techno Summ'!AI25</f>
        <v>474.02373789110726</v>
      </c>
      <c r="AM76" s="3884">
        <f>+'Maj Techno Summ'!AJ25</f>
        <v>486.8538349799266</v>
      </c>
      <c r="AN76" s="3885">
        <f>+'Maj Techno Summ'!AK25</f>
        <v>477.18948648607778</v>
      </c>
      <c r="AO76" s="3883">
        <f>+'Maj Techno Summ'!AL25</f>
        <v>440.38862841414038</v>
      </c>
      <c r="AP76" s="3886">
        <f>+'Maj Techno Summ'!AM25</f>
        <v>472.42342260403262</v>
      </c>
      <c r="AQ76" s="3886">
        <f>+'Maj Techno Summ'!AN25</f>
        <v>540.56277464225934</v>
      </c>
      <c r="AR76" s="3888">
        <f>+'Maj Techno Summ'!AO25</f>
        <v>474.38826272621498</v>
      </c>
      <c r="AS76" s="3884">
        <f>+'Maj Techno Summ'!AP25</f>
        <v>480.94951625723826</v>
      </c>
      <c r="AT76" s="3885">
        <f>+'Maj Techno Summ'!AQ25</f>
        <v>473.76184815883681</v>
      </c>
      <c r="AU76" s="3883">
        <f>+'Maj Techno Summ'!AR25</f>
        <v>429.41760724586254</v>
      </c>
      <c r="AV76" s="3888">
        <f>+'Maj Techno Summ'!AS25</f>
        <v>474.32326765349546</v>
      </c>
      <c r="AW76" s="3884">
        <f>+'Maj Techno Summ'!AT25</f>
        <v>474.98213995204452</v>
      </c>
      <c r="AX76" s="3885">
        <f>+'Maj Techno Summ'!AU25</f>
        <v>466.39504702757426</v>
      </c>
      <c r="AY76" s="3883">
        <f>+'Maj Techno Summ'!AV25</f>
        <v>447.46905949788925</v>
      </c>
      <c r="AZ76" s="3888">
        <f>+'Maj Techno Summ'!AW25</f>
        <v>473.63450850957184</v>
      </c>
      <c r="BA76" s="3884">
        <f>+'Maj Techno Summ'!AX25</f>
        <v>472.41784785863882</v>
      </c>
      <c r="BB76" s="3885">
        <f>+'Maj Techno Summ'!AY25</f>
        <v>467.6395763391838</v>
      </c>
      <c r="BC76" s="3883">
        <f>+'Maj Techno Summ'!AZ25</f>
        <v>432.53356318568495</v>
      </c>
      <c r="BD76" s="3844">
        <f>+'Maj Techno Summ'!BA25</f>
        <v>469.33851593448247</v>
      </c>
      <c r="BE76" s="3844">
        <f>+'Maj Techno Summ'!BB25</f>
        <v>436.01158173192226</v>
      </c>
      <c r="BF76" s="3842">
        <f>+'Maj Techno Summ'!BC25</f>
        <v>470.89221897235092</v>
      </c>
      <c r="BG76" s="3843">
        <f>+'Maj Techno Summ'!BD25</f>
        <v>477.738633617647</v>
      </c>
      <c r="BH76" s="3839">
        <f>+'Maj Techno Summ'!BE25</f>
        <v>473.10633870286927</v>
      </c>
      <c r="BI76" s="3305">
        <f>+'Maj Techno Summ'!BF25</f>
        <v>468.53180601953625</v>
      </c>
    </row>
    <row r="77" spans="3:61" x14ac:dyDescent="0.25">
      <c r="C77" s="5826" t="s">
        <v>1067</v>
      </c>
      <c r="D77" s="3764" t="s">
        <v>1401</v>
      </c>
      <c r="E77" s="3765" t="s">
        <v>29</v>
      </c>
      <c r="F77" s="3826">
        <v>3.0186531588909742</v>
      </c>
      <c r="G77" s="3928">
        <f>+'Maj Techno Summ'!D27</f>
        <v>2.850000000000001</v>
      </c>
      <c r="H77" s="3828">
        <f>+'Maj Techno Summ'!E27</f>
        <v>2.850000000000001</v>
      </c>
      <c r="I77" s="3829">
        <f>+'Maj Techno Summ'!F27</f>
        <v>2.98</v>
      </c>
      <c r="J77" s="3828">
        <f>+'Maj Techno Summ'!G27</f>
        <v>2.850000000000001</v>
      </c>
      <c r="K77" s="3829">
        <f>+'Maj Techno Summ'!H27</f>
        <v>2.97</v>
      </c>
      <c r="L77" s="3830">
        <f>+'Maj Techno Summ'!I27</f>
        <v>2.850000000000001</v>
      </c>
      <c r="M77" s="3831">
        <f>+'Maj Techno Summ'!J27</f>
        <v>2.9746662068530263</v>
      </c>
      <c r="N77" s="3828">
        <f>+'Maj Techno Summ'!K27</f>
        <v>2.850000000000001</v>
      </c>
      <c r="O77" s="3829">
        <f>+'Maj Techno Summ'!L27</f>
        <v>2.96</v>
      </c>
      <c r="P77" s="3832">
        <f>+'Maj Techno Summ'!M27</f>
        <v>2.850000000000001</v>
      </c>
      <c r="Q77" s="3833">
        <f>+'Maj Techno Summ'!N27</f>
        <v>2.9694697654381894</v>
      </c>
      <c r="R77" s="3828">
        <f>+'Maj Techno Summ'!O27</f>
        <v>2.850000000000001</v>
      </c>
      <c r="S77" s="3829">
        <f>+'Maj Techno Summ'!P27</f>
        <v>2.9</v>
      </c>
      <c r="T77" s="3830">
        <f>+'Maj Techno Summ'!Q27</f>
        <v>2.850000000000001</v>
      </c>
      <c r="U77" s="3831">
        <f>+'Maj Techno Summ'!R27</f>
        <v>2.9507385309739966</v>
      </c>
      <c r="V77" s="3828">
        <f>+'Maj Techno Summ'!S27</f>
        <v>2.850000000000001</v>
      </c>
      <c r="W77" s="3829">
        <f>+'Maj Techno Summ'!T27</f>
        <v>2.9</v>
      </c>
      <c r="X77" s="3830">
        <f>+'Maj Techno Summ'!U27</f>
        <v>2.850000000000001</v>
      </c>
      <c r="Y77" s="3831">
        <f>+'Maj Techno Summ'!V27</f>
        <v>2.9405071644058229</v>
      </c>
      <c r="Z77" s="3828">
        <f>+'Maj Techno Summ'!W27</f>
        <v>2.850000000000001</v>
      </c>
      <c r="AA77" s="3829">
        <f>+'Maj Techno Summ'!X27</f>
        <v>2.9049999999999998</v>
      </c>
      <c r="AB77" s="3832">
        <f>+'Maj Techno Summ'!Y27</f>
        <v>2.850000000000001</v>
      </c>
      <c r="AC77" s="3832">
        <f>+'Maj Techno Summ'!Z27</f>
        <v>2.9015794263163683</v>
      </c>
      <c r="AD77" s="3834">
        <f>+'Maj Techno Summ'!AA27</f>
        <v>2.850000000000001</v>
      </c>
      <c r="AE77" s="3835">
        <f>+'Maj Techno Summ'!AB27</f>
        <v>2.9347752735827703</v>
      </c>
      <c r="AF77" s="3828">
        <f>+'Maj Techno Summ'!AC27</f>
        <v>2.850000000000001</v>
      </c>
      <c r="AG77" s="3829">
        <f>+'Maj Techno Summ'!AD27</f>
        <v>2.99</v>
      </c>
      <c r="AH77" s="3830">
        <f>+'Maj Techno Summ'!AE27</f>
        <v>2.850000000000001</v>
      </c>
      <c r="AI77" s="3831">
        <f>+'Maj Techno Summ'!AF27</f>
        <v>2.9423134701176115</v>
      </c>
      <c r="AJ77" s="3828">
        <f>+'Maj Techno Summ'!AG27</f>
        <v>2.850000000000001</v>
      </c>
      <c r="AK77" s="3829">
        <f>+'Maj Techno Summ'!AH27</f>
        <v>3.19</v>
      </c>
      <c r="AL77" s="3830">
        <f>+'Maj Techno Summ'!AI27</f>
        <v>2.850000000000001</v>
      </c>
      <c r="AM77" s="3831">
        <f>+'Maj Techno Summ'!AJ27</f>
        <v>2.9435153135634415</v>
      </c>
      <c r="AN77" s="3828">
        <f>+'Maj Techno Summ'!AK27</f>
        <v>2.850000000000001</v>
      </c>
      <c r="AO77" s="3829">
        <f>+'Maj Techno Summ'!AL27</f>
        <v>2.87</v>
      </c>
      <c r="AP77" s="3832">
        <f>+'Maj Techno Summ'!AM27</f>
        <v>2.850000000000001</v>
      </c>
      <c r="AQ77" s="3832">
        <f>+'Maj Techno Summ'!AN27</f>
        <v>2.9327861755730611</v>
      </c>
      <c r="AR77" s="3830">
        <f>+'Maj Techno Summ'!AO27</f>
        <v>2.850000000000001</v>
      </c>
      <c r="AS77" s="3831">
        <f>+'Maj Techno Summ'!AP27</f>
        <v>2.9342807199056802</v>
      </c>
      <c r="AT77" s="3828">
        <f>+'Maj Techno Summ'!AQ27</f>
        <v>2.850000000000001</v>
      </c>
      <c r="AU77" s="3829">
        <f>+'Maj Techno Summ'!AR27</f>
        <v>2.87</v>
      </c>
      <c r="AV77" s="3830">
        <f>+'Maj Techno Summ'!AS27</f>
        <v>2.850000000000001</v>
      </c>
      <c r="AW77" s="3831">
        <f>+'Maj Techno Summ'!AT27</f>
        <v>2.9268074219682125</v>
      </c>
      <c r="AX77" s="3828">
        <f>+'Maj Techno Summ'!AU27</f>
        <v>2.850000000000001</v>
      </c>
      <c r="AY77" s="3829">
        <f>+'Maj Techno Summ'!AV27</f>
        <v>2.86</v>
      </c>
      <c r="AZ77" s="3830">
        <f>+'Maj Techno Summ'!AW27</f>
        <v>2.850000000000001</v>
      </c>
      <c r="BA77" s="3831">
        <f>+'Maj Techno Summ'!AX27</f>
        <v>2.920441498730324</v>
      </c>
      <c r="BB77" s="3828">
        <f>+'Maj Techno Summ'!AY27</f>
        <v>2.850000000000001</v>
      </c>
      <c r="BC77" s="3829">
        <f>+'Maj Techno Summ'!AZ27</f>
        <v>2.88</v>
      </c>
      <c r="BD77" s="3804">
        <f>+'Maj Techno Summ'!BA27</f>
        <v>2.850000000000001</v>
      </c>
      <c r="BE77" s="3804">
        <f>+'Maj Techno Summ'!BB27</f>
        <v>2.8702899280969336</v>
      </c>
      <c r="BF77" s="3805">
        <f>+'Maj Techno Summ'!BC27</f>
        <v>2.850000000000001</v>
      </c>
      <c r="BG77" s="3806">
        <f>+'Maj Techno Summ'!BD27</f>
        <v>2.8949703436971861</v>
      </c>
      <c r="BH77" s="3801">
        <f>+'Maj Techno Summ'!BE27</f>
        <v>2.850000000000001</v>
      </c>
      <c r="BI77" s="3292">
        <f>+'Maj Techno Summ'!BF27</f>
        <v>2.9166278595688593</v>
      </c>
    </row>
    <row r="78" spans="3:61" x14ac:dyDescent="0.25">
      <c r="C78" s="5827"/>
      <c r="D78" s="3864" t="s">
        <v>368</v>
      </c>
      <c r="E78" s="548" t="s">
        <v>424</v>
      </c>
      <c r="F78" s="3913">
        <v>2.4470555125122435</v>
      </c>
      <c r="G78" s="3930">
        <f>+'Maj Techno Summ'!D28</f>
        <v>2.2695881506742244</v>
      </c>
      <c r="H78" s="3800">
        <f>+'Maj Techno Summ'!E28</f>
        <v>2.2695881506742244</v>
      </c>
      <c r="I78" s="3880">
        <f>+'Maj Techno Summ'!F28</f>
        <v>2.2999999999999998</v>
      </c>
      <c r="J78" s="3800">
        <f>+'Maj Techno Summ'!G28</f>
        <v>2.2695881506742244</v>
      </c>
      <c r="K78" s="3880">
        <f>+'Maj Techno Summ'!H28</f>
        <v>2.2909999999999999</v>
      </c>
      <c r="L78" s="3801">
        <f>+'Maj Techno Summ'!I28</f>
        <v>2.2695881506742244</v>
      </c>
      <c r="M78" s="3292">
        <f>+'Maj Techno Summ'!J28</f>
        <v>2.2951995861677235</v>
      </c>
      <c r="N78" s="3800">
        <f>+'Maj Techno Summ'!K28</f>
        <v>2.2695881506742244</v>
      </c>
      <c r="O78" s="3880">
        <f>+'Maj Techno Summ'!L28</f>
        <v>2.31</v>
      </c>
      <c r="P78" s="3802">
        <f>+'Maj Techno Summ'!M28</f>
        <v>2.2695881506742244</v>
      </c>
      <c r="Q78" s="3845">
        <f>+'Maj Techno Summ'!N28</f>
        <v>2.3004435789850546</v>
      </c>
      <c r="R78" s="3800">
        <f>+'Maj Techno Summ'!O28</f>
        <v>2.2695881506742244</v>
      </c>
      <c r="S78" s="3880">
        <f>+'Maj Techno Summ'!P28</f>
        <v>2.3199999999999998</v>
      </c>
      <c r="T78" s="3801">
        <f>+'Maj Techno Summ'!Q28</f>
        <v>2.2695881506742244</v>
      </c>
      <c r="U78" s="3292">
        <f>+'Maj Techno Summ'!R28</f>
        <v>2.3057166053872717</v>
      </c>
      <c r="V78" s="3800">
        <f>+'Maj Techno Summ'!S28</f>
        <v>2.2695881506742244</v>
      </c>
      <c r="W78" s="3880">
        <f>+'Maj Techno Summ'!T28</f>
        <v>2.36</v>
      </c>
      <c r="X78" s="3801">
        <f>+'Maj Techno Summ'!U28</f>
        <v>2.2695881506742244</v>
      </c>
      <c r="Y78" s="3292">
        <f>+'Maj Techno Summ'!V28</f>
        <v>2.316662789641843</v>
      </c>
      <c r="Z78" s="3800">
        <f>+'Maj Techno Summ'!W28</f>
        <v>2.2695881506742244</v>
      </c>
      <c r="AA78" s="3880">
        <f>+'Maj Techno Summ'!X28</f>
        <v>2.42</v>
      </c>
      <c r="AB78" s="3802">
        <f>+'Maj Techno Summ'!Y28</f>
        <v>2.2695881506742244</v>
      </c>
      <c r="AC78" s="3802">
        <f>+'Maj Techno Summ'!Z28</f>
        <v>2.3648241059082533</v>
      </c>
      <c r="AD78" s="3805">
        <f>+'Maj Techno Summ'!AA28</f>
        <v>2.2695881506742244</v>
      </c>
      <c r="AE78" s="3806">
        <f>+'Maj Techno Summ'!AB28</f>
        <v>2.343344426084617</v>
      </c>
      <c r="AF78" s="3800">
        <f>+'Maj Techno Summ'!AC28</f>
        <v>2.2695881506742244</v>
      </c>
      <c r="AG78" s="3880">
        <f>+'Maj Techno Summ'!AD28</f>
        <v>2.36</v>
      </c>
      <c r="AH78" s="3801">
        <f>+'Maj Techno Summ'!AE28</f>
        <v>2.2695881506742244</v>
      </c>
      <c r="AI78" s="3292">
        <f>+'Maj Techno Summ'!AF28</f>
        <v>2.3456179183718611</v>
      </c>
      <c r="AJ78" s="3800">
        <f>+'Maj Techno Summ'!AG28</f>
        <v>2.2695881506742244</v>
      </c>
      <c r="AK78" s="3880">
        <f>+'Maj Techno Summ'!AH28</f>
        <v>0</v>
      </c>
      <c r="AL78" s="3801">
        <f>+'Maj Techno Summ'!AI28</f>
        <v>2.2695881506742244</v>
      </c>
      <c r="AM78" s="3292">
        <f>+'Maj Techno Summ'!AJ28</f>
        <v>2.4500000000000002</v>
      </c>
      <c r="AN78" s="3800">
        <f>+'Maj Techno Summ'!AK28</f>
        <v>2.2695881506742244</v>
      </c>
      <c r="AO78" s="3880">
        <f>+'Maj Techno Summ'!AL28</f>
        <v>2.33</v>
      </c>
      <c r="AP78" s="3802">
        <f>+'Maj Techno Summ'!AM28</f>
        <v>2.2695881506742244</v>
      </c>
      <c r="AQ78" s="3802">
        <f>+'Maj Techno Summ'!AN28</f>
        <v>2.3045713253462883</v>
      </c>
      <c r="AR78" s="3801">
        <f>+'Maj Techno Summ'!AO28</f>
        <v>2.2695881506742244</v>
      </c>
      <c r="AS78" s="3292">
        <f>+'Maj Techno Summ'!AP28</f>
        <v>2.4009262529775515</v>
      </c>
      <c r="AT78" s="3800">
        <f>+'Maj Techno Summ'!AQ28</f>
        <v>2.2695881506742244</v>
      </c>
      <c r="AU78" s="3880">
        <f>+'Maj Techno Summ'!AR28</f>
        <v>2.29</v>
      </c>
      <c r="AV78" s="3801">
        <f>+'Maj Techno Summ'!AS28</f>
        <v>2.2695881506742244</v>
      </c>
      <c r="AW78" s="3292">
        <f>+'Maj Techno Summ'!AT28</f>
        <v>2.3780299298062406</v>
      </c>
      <c r="AX78" s="3800">
        <f>+'Maj Techno Summ'!AU28</f>
        <v>2.2695881506742244</v>
      </c>
      <c r="AY78" s="3880">
        <f>+'Maj Techno Summ'!AV28</f>
        <v>2.29</v>
      </c>
      <c r="AZ78" s="3801">
        <f>+'Maj Techno Summ'!AW28</f>
        <v>2.2695881506742244</v>
      </c>
      <c r="BA78" s="3292">
        <f>+'Maj Techno Summ'!AX28</f>
        <v>2.3696417633529698</v>
      </c>
      <c r="BB78" s="3800">
        <f>+'Maj Techno Summ'!AY28</f>
        <v>2.2695881506742244</v>
      </c>
      <c r="BC78" s="3880">
        <f>+'Maj Techno Summ'!AZ28</f>
        <v>2.29</v>
      </c>
      <c r="BD78" s="3876">
        <f>+'Maj Techno Summ'!BA28</f>
        <v>2.2695881506742244</v>
      </c>
      <c r="BE78" s="3804">
        <f>+'Maj Techno Summ'!BB28</f>
        <v>2.29</v>
      </c>
      <c r="BF78" s="3874">
        <f>+'Maj Techno Summ'!BC28</f>
        <v>2.2695881506742244</v>
      </c>
      <c r="BG78" s="3806">
        <f>+'Maj Techno Summ'!BD28</f>
        <v>2.2957543673406993</v>
      </c>
      <c r="BH78" s="3873">
        <f>+'Maj Techno Summ'!BE28</f>
        <v>2.2695881506742244</v>
      </c>
      <c r="BI78" s="3292">
        <f>+'Maj Techno Summ'!BF28</f>
        <v>2.3721315335853661</v>
      </c>
    </row>
    <row r="79" spans="3:61" ht="15.75" thickBot="1" x14ac:dyDescent="0.3">
      <c r="C79" s="5828"/>
      <c r="D79" s="3767" t="s">
        <v>369</v>
      </c>
      <c r="E79" s="3768" t="s">
        <v>425</v>
      </c>
      <c r="F79" s="3931">
        <v>0.52806819520607939</v>
      </c>
      <c r="G79" s="3932">
        <f>+'Maj Techno Summ'!D29</f>
        <v>0.5</v>
      </c>
      <c r="H79" s="3933">
        <f>+'Maj Techno Summ'!E29</f>
        <v>0.5</v>
      </c>
      <c r="I79" s="3914">
        <f>+'Maj Techno Summ'!F29</f>
        <v>0.5</v>
      </c>
      <c r="J79" s="3933">
        <f>+'Maj Techno Summ'!G29</f>
        <v>0.5</v>
      </c>
      <c r="K79" s="3914">
        <f>+'Maj Techno Summ'!H29</f>
        <v>0.49199999999999999</v>
      </c>
      <c r="L79" s="3934">
        <f>+'Maj Techno Summ'!I29</f>
        <v>0.5</v>
      </c>
      <c r="M79" s="3935">
        <f>+'Maj Techno Summ'!J29</f>
        <v>0.49573296548242118</v>
      </c>
      <c r="N79" s="3933">
        <f>+'Maj Techno Summ'!K29</f>
        <v>0.5</v>
      </c>
      <c r="O79" s="3914">
        <f>+'Maj Techno Summ'!L29</f>
        <v>0.5</v>
      </c>
      <c r="P79" s="3936">
        <f>+'Maj Techno Summ'!M29</f>
        <v>0.5</v>
      </c>
      <c r="Q79" s="3937">
        <f>+'Maj Techno Summ'!N29</f>
        <v>0.49724483525951413</v>
      </c>
      <c r="R79" s="3933">
        <f>+'Maj Techno Summ'!O29</f>
        <v>0.5</v>
      </c>
      <c r="S79" s="3914">
        <f>+'Maj Techno Summ'!P29</f>
        <v>0.5</v>
      </c>
      <c r="T79" s="3934">
        <f>+'Maj Techno Summ'!Q29</f>
        <v>0.5</v>
      </c>
      <c r="U79" s="3935">
        <f>+'Maj Techno Summ'!R29</f>
        <v>0.49798771435829897</v>
      </c>
      <c r="V79" s="3933">
        <f>+'Maj Techno Summ'!S29</f>
        <v>0.5</v>
      </c>
      <c r="W79" s="3914">
        <f>+'Maj Techno Summ'!T29</f>
        <v>0.5</v>
      </c>
      <c r="X79" s="3934">
        <f>+'Maj Techno Summ'!U29</f>
        <v>0.5</v>
      </c>
      <c r="Y79" s="3935">
        <f>+'Maj Techno Summ'!V29</f>
        <v>0.49839348944963274</v>
      </c>
      <c r="Z79" s="3933">
        <f>+'Maj Techno Summ'!W29</f>
        <v>0.5</v>
      </c>
      <c r="AA79" s="3914">
        <f>+'Maj Techno Summ'!X29</f>
        <v>0.5</v>
      </c>
      <c r="AB79" s="3936">
        <f>+'Maj Techno Summ'!Y29</f>
        <v>0.5</v>
      </c>
      <c r="AC79" s="3936">
        <f>+'Maj Techno Summ'!Z29</f>
        <v>0.5</v>
      </c>
      <c r="AD79" s="3938">
        <f>+'Maj Techno Summ'!AA29</f>
        <v>0.5</v>
      </c>
      <c r="AE79" s="3939">
        <f>+'Maj Techno Summ'!AB29</f>
        <v>0.49865282705754593</v>
      </c>
      <c r="AF79" s="3933">
        <f>+'Maj Techno Summ'!AC29</f>
        <v>0.5</v>
      </c>
      <c r="AG79" s="3914">
        <f>+'Maj Techno Summ'!AD29</f>
        <v>0.5</v>
      </c>
      <c r="AH79" s="3934">
        <f>+'Maj Techno Summ'!AE29</f>
        <v>0.5</v>
      </c>
      <c r="AI79" s="3935">
        <f>+'Maj Techno Summ'!AF29</f>
        <v>0.49883671668571566</v>
      </c>
      <c r="AJ79" s="3933">
        <f>+'Maj Techno Summ'!AG29</f>
        <v>0.5</v>
      </c>
      <c r="AK79" s="3914">
        <f>+'Maj Techno Summ'!AH29</f>
        <v>0</v>
      </c>
      <c r="AL79" s="3934">
        <f>+'Maj Techno Summ'!AI29</f>
        <v>0.5</v>
      </c>
      <c r="AM79" s="3935">
        <f>+'Maj Techno Summ'!AJ29</f>
        <v>0.54</v>
      </c>
      <c r="AN79" s="3933">
        <f>+'Maj Techno Summ'!AK29</f>
        <v>0.5</v>
      </c>
      <c r="AO79" s="3914">
        <f>+'Maj Techno Summ'!AL29</f>
        <v>0.49</v>
      </c>
      <c r="AP79" s="3936">
        <f>+'Maj Techno Summ'!AM29</f>
        <v>0.5</v>
      </c>
      <c r="AQ79" s="3936">
        <f>+'Maj Techno Summ'!AN29</f>
        <v>0.48641557151244186</v>
      </c>
      <c r="AR79" s="3934">
        <f>+'Maj Techno Summ'!AO29</f>
        <v>0.5</v>
      </c>
      <c r="AS79" s="3935">
        <f>+'Maj Techno Summ'!AP29</f>
        <v>0.52371927207397961</v>
      </c>
      <c r="AT79" s="3933">
        <f>+'Maj Techno Summ'!AQ29</f>
        <v>0.5</v>
      </c>
      <c r="AU79" s="3914">
        <f>+'Maj Techno Summ'!AR29</f>
        <v>0.46</v>
      </c>
      <c r="AV79" s="3934">
        <f>+'Maj Techno Summ'!AS29</f>
        <v>0.5</v>
      </c>
      <c r="AW79" s="3935">
        <f>+'Maj Techno Summ'!AT29</f>
        <v>0.51631124824870001</v>
      </c>
      <c r="AX79" s="3933">
        <f>+'Maj Techno Summ'!AU29</f>
        <v>0.5</v>
      </c>
      <c r="AY79" s="3914">
        <f>+'Maj Techno Summ'!AV29</f>
        <v>0.44</v>
      </c>
      <c r="AZ79" s="3934">
        <f>+'Maj Techno Summ'!AW29</f>
        <v>0.5</v>
      </c>
      <c r="BA79" s="3935">
        <f>+'Maj Techno Summ'!AX29</f>
        <v>0.50903972759685023</v>
      </c>
      <c r="BB79" s="3933">
        <f>+'Maj Techno Summ'!AY29</f>
        <v>0.5</v>
      </c>
      <c r="BC79" s="3914">
        <f>+'Maj Techno Summ'!AZ29</f>
        <v>0.49</v>
      </c>
      <c r="BD79" s="3804">
        <f>+'Maj Techno Summ'!BA29</f>
        <v>0.5</v>
      </c>
      <c r="BE79" s="3804">
        <f>+'Maj Techno Summ'!BB29</f>
        <v>0.46399819224771821</v>
      </c>
      <c r="BF79" s="3805">
        <f>+'Maj Techno Summ'!BC29</f>
        <v>0.5</v>
      </c>
      <c r="BG79" s="3806">
        <f>+'Maj Techno Summ'!BD29</f>
        <v>0.47285104756728297</v>
      </c>
      <c r="BH79" s="3801">
        <f>+'Maj Techno Summ'!BE29</f>
        <v>0.5</v>
      </c>
      <c r="BI79" s="3292">
        <f>+'Maj Techno Summ'!BF29</f>
        <v>0.49724427853915931</v>
      </c>
    </row>
    <row r="80" spans="3:61" ht="16.5" thickBot="1" x14ac:dyDescent="0.3">
      <c r="C80" s="3940" t="s">
        <v>1068</v>
      </c>
      <c r="D80" s="3941" t="s">
        <v>546</v>
      </c>
      <c r="E80" s="3942" t="s">
        <v>547</v>
      </c>
      <c r="F80" s="3943">
        <v>639.11266207165545</v>
      </c>
      <c r="G80" s="3944">
        <f>+'Maj Techno Summ'!D30</f>
        <v>789.97408213376912</v>
      </c>
      <c r="H80" s="3945">
        <f>+'Maj Techno Summ'!E30</f>
        <v>812.64670771500494</v>
      </c>
      <c r="I80" s="3946">
        <f>+'Maj Techno Summ'!F30</f>
        <v>724.01994644622903</v>
      </c>
      <c r="J80" s="3945">
        <f>+'Maj Techno Summ'!G30</f>
        <v>814.8825190968206</v>
      </c>
      <c r="K80" s="3946">
        <f>+'Maj Techno Summ'!H30</f>
        <v>799.42672946489506</v>
      </c>
      <c r="L80" s="3947">
        <f>+'Maj Techno Summ'!I30</f>
        <v>813.75238109297538</v>
      </c>
      <c r="M80" s="3948">
        <f>+'Maj Techno Summ'!J30</f>
        <v>762.26283598469161</v>
      </c>
      <c r="N80" s="3945">
        <f>+'Maj Techno Summ'!K30</f>
        <v>817.70562892885039</v>
      </c>
      <c r="O80" s="3946">
        <f>+'Maj Techno Summ'!L30</f>
        <v>850.75383150272273</v>
      </c>
      <c r="P80" s="3949">
        <f>+'Maj Techno Summ'!M30</f>
        <v>815.06429122951818</v>
      </c>
      <c r="Q80" s="3950">
        <f>+'Maj Techno Summ'!N30</f>
        <v>791.32400474477765</v>
      </c>
      <c r="R80" s="3945">
        <f>+'Maj Techno Summ'!O30</f>
        <v>802.355516552626</v>
      </c>
      <c r="S80" s="3946">
        <f>+'Maj Techno Summ'!P30</f>
        <v>858.73073141775944</v>
      </c>
      <c r="T80" s="3947">
        <f>+'Maj Techno Summ'!Q30</f>
        <v>811.83068756855312</v>
      </c>
      <c r="U80" s="3948">
        <f>+'Maj Techno Summ'!R30</f>
        <v>808.32928989530308</v>
      </c>
      <c r="V80" s="3945">
        <f>+'Maj Techno Summ'!S30</f>
        <v>803.0385660843109</v>
      </c>
      <c r="W80" s="3946">
        <f>+'Maj Techno Summ'!T30</f>
        <v>807.72736148331228</v>
      </c>
      <c r="X80" s="3947">
        <f>+'Maj Techno Summ'!U30</f>
        <v>810.04622105357214</v>
      </c>
      <c r="Y80" s="3948">
        <f>+'Maj Techno Summ'!V30</f>
        <v>808.18827844831412</v>
      </c>
      <c r="Z80" s="3945">
        <f>+'Maj Techno Summ'!W30</f>
        <v>444.87961481035342</v>
      </c>
      <c r="AA80" s="3946">
        <f>+'Maj Techno Summ'!X30</f>
        <v>800.50814464028986</v>
      </c>
      <c r="AB80" s="3949">
        <f>+'Maj Techno Summ'!Y30</f>
        <v>685.40836522048141</v>
      </c>
      <c r="AC80" s="3949">
        <f>+'Maj Techno Summ'!Z30</f>
        <v>822.67304970318651</v>
      </c>
      <c r="AD80" s="3951">
        <f>+'Maj Techno Summ'!AA30</f>
        <v>750.46891161293547</v>
      </c>
      <c r="AE80" s="3951">
        <f>+'Maj Techno Summ'!AB30</f>
        <v>806.9679414653026</v>
      </c>
      <c r="AF80" s="3945">
        <f>+'Maj Techno Summ'!AC30</f>
        <v>795.73412401614883</v>
      </c>
      <c r="AG80" s="3946">
        <f>+'Maj Techno Summ'!AD30</f>
        <v>739.55185266664535</v>
      </c>
      <c r="AH80" s="3947">
        <f>+'Maj Techno Summ'!AE30</f>
        <v>756.93276976701293</v>
      </c>
      <c r="AI80" s="3948">
        <f>+'Maj Techno Summ'!AF30</f>
        <v>797.09664731713747</v>
      </c>
      <c r="AJ80" s="3945">
        <f>+'Maj Techno Summ'!AG30</f>
        <v>797.75562539658404</v>
      </c>
      <c r="AK80" s="3946" t="str">
        <f>+'Maj Techno Summ'!AH30</f>
        <v>30 *</v>
      </c>
      <c r="AL80" s="3947">
        <f>+'Maj Techno Summ'!AI30</f>
        <v>761.91358903596199</v>
      </c>
      <c r="AM80" s="3948" t="str">
        <f>+'Maj Techno Summ'!AJ30</f>
        <v>632*</v>
      </c>
      <c r="AN80" s="3945">
        <f>+'Maj Techno Summ'!AK30</f>
        <v>799.40215800758006</v>
      </c>
      <c r="AO80" s="3946">
        <f>+'Maj Techno Summ'!AL30</f>
        <v>783.42260951459184</v>
      </c>
      <c r="AP80" s="3949">
        <f>+'Maj Techno Summ'!AM30</f>
        <v>797.6264351018807</v>
      </c>
      <c r="AQ80" s="3949">
        <f>+'Maj Techno Summ'!AN30</f>
        <v>523.07889747208162</v>
      </c>
      <c r="AR80" s="3947">
        <f>+'Maj Techno Summ'!AO30</f>
        <v>766.06915723120687</v>
      </c>
      <c r="AS80" s="3948">
        <f>+'Maj Techno Summ'!AP30</f>
        <v>710.78255109002725</v>
      </c>
      <c r="AT80" s="3945">
        <f>+'Maj Techno Summ'!AQ30</f>
        <v>801.24888548781723</v>
      </c>
      <c r="AU80" s="3946">
        <f>+'Maj Techno Summ'!AR30</f>
        <v>812.39513195852544</v>
      </c>
      <c r="AV80" s="3947">
        <f>+'Maj Techno Summ'!AS30</f>
        <v>769.57062663376075</v>
      </c>
      <c r="AW80" s="3948">
        <f>+'Maj Techno Summ'!AT30</f>
        <v>721.25877479144867</v>
      </c>
      <c r="AX80" s="3945">
        <f>+'Maj Techno Summ'!AU30</f>
        <v>800.86058845530192</v>
      </c>
      <c r="AY80" s="3946">
        <f>+'Maj Techno Summ'!AV30</f>
        <v>821.47127169292764</v>
      </c>
      <c r="AZ80" s="3947">
        <f>+'Maj Techno Summ'!AW30</f>
        <v>772.24431479499026</v>
      </c>
      <c r="BA80" s="3948">
        <f>+'Maj Techno Summ'!AX30</f>
        <v>729.68251463830302</v>
      </c>
      <c r="BB80" s="3945">
        <f>+'Maj Techno Summ'!AY30</f>
        <v>804.50127296152823</v>
      </c>
      <c r="BC80" s="3946">
        <f>+'Maj Techno Summ'!AZ30</f>
        <v>821.28851210997527</v>
      </c>
      <c r="BD80" s="3844">
        <f>+'Maj Techno Summ'!BA30</f>
        <v>802.26722065252466</v>
      </c>
      <c r="BE80" s="3844">
        <f>+'Maj Techno Summ'!BB30</f>
        <v>818.29190777807003</v>
      </c>
      <c r="BF80" s="3842">
        <f>+'Maj Techno Summ'!BC30</f>
        <v>799.94403598855672</v>
      </c>
      <c r="BG80" s="3843">
        <f>+'Maj Techno Summ'!BD30</f>
        <v>668.98436156557557</v>
      </c>
      <c r="BH80" s="3839">
        <f>+'Maj Techno Summ'!BE30</f>
        <v>774.92440784547284</v>
      </c>
      <c r="BI80" s="3305">
        <f>+'Maj Techno Summ'!BF30</f>
        <v>737.49727748245709</v>
      </c>
    </row>
    <row r="81" spans="20:21" x14ac:dyDescent="0.25">
      <c r="T81" s="1274"/>
      <c r="U81" s="1274"/>
    </row>
  </sheetData>
  <mergeCells count="36"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  <mergeCell ref="BB4:BC4"/>
    <mergeCell ref="AR4:AS4"/>
    <mergeCell ref="BF4:BG4"/>
    <mergeCell ref="AD4:AE4"/>
    <mergeCell ref="AX4:AY4"/>
    <mergeCell ref="AL4:AM4"/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</mergeCells>
  <printOptions horizontalCentered="1" verticalCentered="1"/>
  <pageMargins left="0" right="0" top="0" bottom="0" header="0" footer="0"/>
  <pageSetup paperSize="9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FF00"/>
    <pageSetUpPr fitToPage="1"/>
  </sheetPr>
  <dimension ref="A1:BQ244"/>
  <sheetViews>
    <sheetView zoomScaleNormal="100" workbookViewId="0">
      <pane xSplit="3" topLeftCell="G1" activePane="topRight" state="frozen"/>
      <selection pane="topRight" activeCell="S10" sqref="S10"/>
    </sheetView>
  </sheetViews>
  <sheetFormatPr defaultRowHeight="15.75" x14ac:dyDescent="0.25"/>
  <cols>
    <col min="2" max="2" width="81.7109375" customWidth="1"/>
    <col min="3" max="3" width="24.7109375" customWidth="1"/>
    <col min="4" max="4" width="5.42578125" hidden="1" customWidth="1"/>
    <col min="5" max="5" width="10.85546875" bestFit="1" customWidth="1"/>
    <col min="6" max="6" width="10" hidden="1" customWidth="1"/>
    <col min="7" max="7" width="10.7109375" customWidth="1"/>
    <col min="8" max="8" width="10" hidden="1" customWidth="1"/>
    <col min="9" max="9" width="10.7109375" hidden="1" customWidth="1"/>
    <col min="10" max="10" width="10" hidden="1" customWidth="1"/>
    <col min="11" max="11" width="10.7109375" customWidth="1"/>
    <col min="12" max="12" width="10" hidden="1" customWidth="1"/>
    <col min="13" max="13" width="10.85546875" style="152" customWidth="1"/>
    <col min="14" max="14" width="10" hidden="1" customWidth="1"/>
    <col min="15" max="15" width="10.7109375" customWidth="1"/>
    <col min="16" max="16" width="10" hidden="1" customWidth="1"/>
    <col min="17" max="17" width="10.7109375" hidden="1" customWidth="1"/>
    <col min="18" max="18" width="10" hidden="1" customWidth="1"/>
    <col min="19" max="19" width="10.7109375" customWidth="1"/>
    <col min="20" max="20" width="10" hidden="1" customWidth="1"/>
    <col min="21" max="21" width="12.28515625" hidden="1" customWidth="1"/>
    <col min="22" max="22" width="10" hidden="1" customWidth="1"/>
    <col min="23" max="23" width="10.7109375" customWidth="1"/>
    <col min="24" max="24" width="9.5703125" hidden="1" customWidth="1"/>
    <col min="25" max="25" width="10.85546875" style="152" customWidth="1"/>
    <col min="26" max="26" width="10" hidden="1" customWidth="1"/>
    <col min="27" max="27" width="12.42578125" customWidth="1"/>
    <col min="28" max="28" width="9.140625" hidden="1" customWidth="1"/>
    <col min="29" max="29" width="10.85546875" hidden="1" customWidth="1"/>
    <col min="30" max="30" width="10" hidden="1" customWidth="1"/>
    <col min="31" max="31" width="12.28515625" hidden="1" customWidth="1"/>
    <col min="32" max="32" width="9.140625" hidden="1" customWidth="1"/>
    <col min="33" max="33" width="10.85546875" hidden="1" customWidth="1"/>
    <col min="34" max="34" width="9.140625" hidden="1" customWidth="1"/>
    <col min="35" max="35" width="12.28515625" hidden="1" customWidth="1"/>
    <col min="36" max="36" width="9.140625" hidden="1" customWidth="1"/>
    <col min="37" max="37" width="10.85546875" hidden="1" customWidth="1"/>
    <col min="38" max="38" width="9.140625" hidden="1" customWidth="1"/>
    <col min="39" max="39" width="10.85546875" hidden="1" customWidth="1"/>
    <col min="40" max="40" width="9.140625" hidden="1" customWidth="1"/>
    <col min="41" max="41" width="12.28515625" hidden="1" customWidth="1"/>
    <col min="42" max="42" width="9.140625" hidden="1" customWidth="1"/>
    <col min="43" max="43" width="9.28515625" hidden="1" customWidth="1"/>
    <col min="44" max="44" width="9.140625" hidden="1" customWidth="1"/>
    <col min="45" max="45" width="12.28515625" hidden="1" customWidth="1"/>
    <col min="46" max="46" width="9.140625" hidden="1" customWidth="1"/>
    <col min="47" max="47" width="9.28515625" hidden="1" customWidth="1"/>
    <col min="48" max="48" width="9.140625" hidden="1" customWidth="1"/>
    <col min="49" max="49" width="12.28515625" style="33" hidden="1" customWidth="1"/>
    <col min="50" max="50" width="9.140625" hidden="1" customWidth="1"/>
    <col min="51" max="51" width="10.5703125" hidden="1" customWidth="1"/>
    <col min="52" max="52" width="9.140625" hidden="1" customWidth="1"/>
    <col min="53" max="53" width="10.85546875" hidden="1" customWidth="1"/>
    <col min="54" max="54" width="9.140625" hidden="1" customWidth="1"/>
    <col min="55" max="55" width="12" hidden="1" customWidth="1"/>
    <col min="56" max="56" width="9.140625" hidden="1" customWidth="1"/>
    <col min="57" max="57" width="12.42578125" hidden="1" customWidth="1"/>
    <col min="58" max="58" width="9.140625" hidden="1" customWidth="1"/>
    <col min="59" max="67" width="9.140625" customWidth="1"/>
  </cols>
  <sheetData>
    <row r="1" spans="1:69" ht="15.6" hidden="1" x14ac:dyDescent="0.3">
      <c r="B1" s="261"/>
      <c r="E1" s="552"/>
      <c r="F1" s="552"/>
      <c r="I1" s="628"/>
      <c r="J1" s="149"/>
      <c r="M1" s="2263"/>
      <c r="N1" s="149"/>
      <c r="Q1" s="628"/>
      <c r="R1" s="149"/>
      <c r="U1" s="628"/>
      <c r="V1" s="149"/>
      <c r="X1" s="26"/>
      <c r="Y1" s="2263"/>
      <c r="AA1" s="453"/>
    </row>
    <row r="2" spans="1:69" ht="43.5" customHeight="1" thickBot="1" x14ac:dyDescent="0.35">
      <c r="A2" s="149"/>
      <c r="B2" s="5845" t="s">
        <v>1110</v>
      </c>
      <c r="C2" s="5845"/>
      <c r="D2" s="5845"/>
      <c r="E2" s="5845"/>
      <c r="F2" s="5845"/>
      <c r="G2" s="5845"/>
      <c r="H2" s="5845"/>
      <c r="I2" s="5845"/>
      <c r="J2" s="5845"/>
      <c r="K2" s="5845"/>
      <c r="L2" s="5845"/>
      <c r="M2" s="5845"/>
      <c r="N2" s="5845"/>
      <c r="O2" s="5845"/>
      <c r="P2" s="5845"/>
      <c r="Q2" s="5845"/>
      <c r="R2" s="5845"/>
      <c r="S2" s="5845"/>
      <c r="T2" s="5845"/>
      <c r="U2" s="5845"/>
      <c r="V2" s="5845"/>
      <c r="W2" s="5845"/>
      <c r="X2" s="5845"/>
      <c r="Y2" s="5845"/>
      <c r="Z2" s="5845"/>
      <c r="AA2" s="5845"/>
    </row>
    <row r="3" spans="1:69" ht="16.5" thickBot="1" x14ac:dyDescent="0.3">
      <c r="B3" s="5846" t="s">
        <v>171</v>
      </c>
      <c r="C3" s="5769" t="s">
        <v>172</v>
      </c>
      <c r="D3" s="5760" t="s">
        <v>2190</v>
      </c>
      <c r="E3" s="5849"/>
      <c r="F3" s="5760" t="s">
        <v>2242</v>
      </c>
      <c r="G3" s="5760"/>
      <c r="H3" s="5850" t="s">
        <v>14</v>
      </c>
      <c r="I3" s="5851"/>
      <c r="J3" s="5774" t="s">
        <v>2273</v>
      </c>
      <c r="K3" s="5771"/>
      <c r="L3" s="5852" t="s">
        <v>637</v>
      </c>
      <c r="M3" s="5853"/>
      <c r="N3" s="5774" t="s">
        <v>2296</v>
      </c>
      <c r="O3" s="5771"/>
      <c r="P3" s="5836" t="s">
        <v>17</v>
      </c>
      <c r="Q3" s="5759"/>
      <c r="R3" s="5774" t="s">
        <v>2299</v>
      </c>
      <c r="S3" s="5771"/>
      <c r="T3" s="5836" t="s">
        <v>18</v>
      </c>
      <c r="U3" s="5759"/>
      <c r="V3" s="5760" t="s">
        <v>2344</v>
      </c>
      <c r="W3" s="5760"/>
      <c r="X3" s="5852" t="s">
        <v>660</v>
      </c>
      <c r="Y3" s="5853"/>
      <c r="Z3" s="5825" t="s">
        <v>657</v>
      </c>
      <c r="AA3" s="5766"/>
      <c r="AB3" s="5774" t="s">
        <v>1954</v>
      </c>
      <c r="AC3" s="5771"/>
      <c r="AD3" s="5836" t="s">
        <v>24</v>
      </c>
      <c r="AE3" s="5759"/>
      <c r="AF3" s="5774" t="s">
        <v>1970</v>
      </c>
      <c r="AG3" s="5771"/>
      <c r="AH3" s="5836" t="s">
        <v>27</v>
      </c>
      <c r="AI3" s="5759"/>
      <c r="AJ3" s="5760" t="s">
        <v>1985</v>
      </c>
      <c r="AK3" s="5760"/>
      <c r="AL3" s="5763" t="s">
        <v>662</v>
      </c>
      <c r="AM3" s="5764"/>
      <c r="AN3" s="5836" t="s">
        <v>1666</v>
      </c>
      <c r="AO3" s="5759"/>
      <c r="AP3" s="5774" t="s">
        <v>2085</v>
      </c>
      <c r="AQ3" s="5771"/>
      <c r="AR3" s="5836" t="s">
        <v>28</v>
      </c>
      <c r="AS3" s="5759"/>
      <c r="AT3" s="5774" t="s">
        <v>2099</v>
      </c>
      <c r="AU3" s="5771"/>
      <c r="AV3" s="5836" t="s">
        <v>30</v>
      </c>
      <c r="AW3" s="5759"/>
      <c r="AX3" s="5774" t="s">
        <v>2111</v>
      </c>
      <c r="AY3" s="5771"/>
      <c r="AZ3" s="5763" t="s">
        <v>663</v>
      </c>
      <c r="BA3" s="5764"/>
      <c r="BB3" s="5825" t="s">
        <v>671</v>
      </c>
      <c r="BC3" s="5766"/>
      <c r="BD3" s="5836" t="s">
        <v>1745</v>
      </c>
      <c r="BE3" s="5759"/>
    </row>
    <row r="4" spans="1:69" ht="16.5" thickBot="1" x14ac:dyDescent="0.3">
      <c r="B4" s="5847"/>
      <c r="C4" s="5848"/>
      <c r="D4" s="546" t="s">
        <v>173</v>
      </c>
      <c r="E4" s="157" t="s">
        <v>174</v>
      </c>
      <c r="F4" s="546" t="s">
        <v>173</v>
      </c>
      <c r="G4" s="178" t="s">
        <v>174</v>
      </c>
      <c r="H4" s="1691" t="s">
        <v>173</v>
      </c>
      <c r="I4" s="1657" t="s">
        <v>174</v>
      </c>
      <c r="J4" s="1040" t="s">
        <v>173</v>
      </c>
      <c r="K4" s="178" t="s">
        <v>174</v>
      </c>
      <c r="L4" s="2256" t="s">
        <v>173</v>
      </c>
      <c r="M4" s="2257" t="s">
        <v>174</v>
      </c>
      <c r="N4" s="1040" t="s">
        <v>173</v>
      </c>
      <c r="O4" s="178" t="s">
        <v>174</v>
      </c>
      <c r="P4" s="146" t="s">
        <v>173</v>
      </c>
      <c r="Q4" s="163" t="s">
        <v>174</v>
      </c>
      <c r="R4" s="1040" t="s">
        <v>173</v>
      </c>
      <c r="S4" s="178" t="s">
        <v>174</v>
      </c>
      <c r="T4" s="146" t="s">
        <v>173</v>
      </c>
      <c r="U4" s="5536" t="s">
        <v>174</v>
      </c>
      <c r="V4" s="1040" t="s">
        <v>173</v>
      </c>
      <c r="W4" s="161" t="s">
        <v>174</v>
      </c>
      <c r="X4" s="2256" t="s">
        <v>173</v>
      </c>
      <c r="Y4" s="2257" t="s">
        <v>174</v>
      </c>
      <c r="Z4" s="467" t="s">
        <v>173</v>
      </c>
      <c r="AA4" s="467" t="s">
        <v>174</v>
      </c>
      <c r="AB4" s="1040" t="s">
        <v>173</v>
      </c>
      <c r="AC4" s="4360" t="s">
        <v>174</v>
      </c>
      <c r="AD4" s="146" t="s">
        <v>173</v>
      </c>
      <c r="AE4" s="163" t="s">
        <v>174</v>
      </c>
      <c r="AF4" s="1040" t="s">
        <v>173</v>
      </c>
      <c r="AG4" s="178" t="s">
        <v>174</v>
      </c>
      <c r="AH4" s="146" t="s">
        <v>173</v>
      </c>
      <c r="AI4" s="163" t="s">
        <v>174</v>
      </c>
      <c r="AJ4" s="1040" t="s">
        <v>173</v>
      </c>
      <c r="AK4" s="161" t="s">
        <v>174</v>
      </c>
      <c r="AL4" s="703" t="s">
        <v>173</v>
      </c>
      <c r="AM4" s="2257" t="s">
        <v>174</v>
      </c>
      <c r="AN4" s="146" t="s">
        <v>173</v>
      </c>
      <c r="AO4" s="163" t="s">
        <v>174</v>
      </c>
      <c r="AP4" s="1040" t="s">
        <v>173</v>
      </c>
      <c r="AQ4" s="178" t="s">
        <v>174</v>
      </c>
      <c r="AR4" s="146" t="s">
        <v>173</v>
      </c>
      <c r="AS4" s="163" t="s">
        <v>174</v>
      </c>
      <c r="AT4" s="1040" t="s">
        <v>173</v>
      </c>
      <c r="AU4" s="178" t="s">
        <v>174</v>
      </c>
      <c r="AV4" s="146" t="s">
        <v>173</v>
      </c>
      <c r="AW4" s="163" t="s">
        <v>174</v>
      </c>
      <c r="AX4" s="1040" t="s">
        <v>173</v>
      </c>
      <c r="AY4" s="178" t="s">
        <v>174</v>
      </c>
      <c r="AZ4" s="703" t="s">
        <v>173</v>
      </c>
      <c r="BA4" s="2257" t="s">
        <v>174</v>
      </c>
      <c r="BB4" s="467" t="s">
        <v>173</v>
      </c>
      <c r="BC4" s="467" t="s">
        <v>174</v>
      </c>
      <c r="BD4" s="146" t="s">
        <v>173</v>
      </c>
      <c r="BE4" s="163" t="s">
        <v>174</v>
      </c>
    </row>
    <row r="5" spans="1:69" ht="24.6" x14ac:dyDescent="0.3">
      <c r="A5" s="149"/>
      <c r="B5" s="3325" t="s">
        <v>1657</v>
      </c>
      <c r="C5" s="204"/>
      <c r="D5" s="235"/>
      <c r="E5" s="2473">
        <f>+E6+E12+E14+E19</f>
        <v>1095.8900000000001</v>
      </c>
      <c r="F5" s="596"/>
      <c r="G5" s="2473">
        <f>+G6+G12+G14+G19</f>
        <v>2704.9500000000007</v>
      </c>
      <c r="H5" s="1658"/>
      <c r="I5" s="1658">
        <f>+E5+G5</f>
        <v>3800.8400000000011</v>
      </c>
      <c r="J5" s="1134"/>
      <c r="K5" s="2473">
        <f>+K6+K12+K14+K19</f>
        <v>6803.8099999999995</v>
      </c>
      <c r="L5" s="801"/>
      <c r="M5" s="801">
        <f>+E5+G5+K5</f>
        <v>10604.650000000001</v>
      </c>
      <c r="N5" s="1134"/>
      <c r="O5" s="2473">
        <f>+O6+O12+O14+O19</f>
        <v>3865.36</v>
      </c>
      <c r="P5" s="587"/>
      <c r="Q5" s="1658">
        <f>+M5+O5</f>
        <v>14470.010000000002</v>
      </c>
      <c r="R5" s="1134"/>
      <c r="S5" s="2473">
        <f>+S6+S12+S14+S19</f>
        <v>6257.93</v>
      </c>
      <c r="T5" s="782"/>
      <c r="U5" s="1658">
        <f>+Q5+S5</f>
        <v>20727.940000000002</v>
      </c>
      <c r="V5" s="1041"/>
      <c r="W5" s="2473">
        <f>+W6+W12+W14+W19</f>
        <v>5182.59</v>
      </c>
      <c r="X5" s="801"/>
      <c r="Y5" s="801">
        <f>+O5+S5+W5</f>
        <v>15305.880000000001</v>
      </c>
      <c r="Z5" s="470"/>
      <c r="AA5" s="522">
        <f>M5+Y5</f>
        <v>25910.530000000002</v>
      </c>
      <c r="AB5" s="1134"/>
      <c r="AC5" s="4361">
        <f>+AC6+AC12+AC14+AC19</f>
        <v>4044.21</v>
      </c>
      <c r="AD5" s="587"/>
      <c r="AE5" s="587">
        <f>AA5+AC5</f>
        <v>29954.74</v>
      </c>
      <c r="AF5" s="1134"/>
      <c r="AG5" s="4361">
        <f>+AG6+AG12+AG14+AG19</f>
        <v>5778.3500000000013</v>
      </c>
      <c r="AH5" s="587"/>
      <c r="AI5" s="587">
        <f t="shared" ref="AI5:AI10" si="0">+AE5+AG5</f>
        <v>35733.090000000004</v>
      </c>
      <c r="AJ5" s="1041"/>
      <c r="AK5" s="4361">
        <f>+AK6+AK12+AK14+AK19</f>
        <v>3912.4900000000002</v>
      </c>
      <c r="AL5" s="595"/>
      <c r="AM5" s="801">
        <f>+AC5+AG5+AK5</f>
        <v>13735.050000000001</v>
      </c>
      <c r="AN5" s="587"/>
      <c r="AO5" s="587">
        <f>AI5+AK5</f>
        <v>39645.58</v>
      </c>
      <c r="AP5" s="1134"/>
      <c r="AQ5" s="4361">
        <f>+AQ6+AQ12+AQ14+AQ19</f>
        <v>3486.44</v>
      </c>
      <c r="AR5" s="587"/>
      <c r="AS5" s="587">
        <f t="shared" ref="AS5:AS19" si="1">+AO5+AQ5</f>
        <v>43132.020000000004</v>
      </c>
      <c r="AT5" s="1134"/>
      <c r="AU5" s="4361">
        <f>+AU6+AU12+AU14+AU19</f>
        <v>1080.44</v>
      </c>
      <c r="AV5" s="587"/>
      <c r="AW5" s="587">
        <f t="shared" ref="AW5:AW19" si="2">+AS5+AU5</f>
        <v>44212.460000000006</v>
      </c>
      <c r="AX5" s="1134"/>
      <c r="AY5" s="4361">
        <f>+AY6+AY12+AY14+AY19</f>
        <v>6965.79</v>
      </c>
      <c r="AZ5" s="595"/>
      <c r="BA5" s="801">
        <f>+AQ5+AU5+AY5</f>
        <v>11532.67</v>
      </c>
      <c r="BB5" s="470"/>
      <c r="BC5" s="522">
        <f>BA5+AM5</f>
        <v>25267.72</v>
      </c>
      <c r="BD5" s="587"/>
      <c r="BE5" s="256">
        <f t="shared" ref="BE5:BE19" si="3">+AW5+AY5</f>
        <v>51178.250000000007</v>
      </c>
      <c r="BF5" s="26"/>
      <c r="BG5" s="26"/>
      <c r="BH5" s="26"/>
      <c r="BP5" s="26"/>
      <c r="BQ5" s="26"/>
    </row>
    <row r="6" spans="1:69" ht="23.45" x14ac:dyDescent="0.3">
      <c r="A6" s="149"/>
      <c r="B6" s="2655" t="s">
        <v>1342</v>
      </c>
      <c r="C6" s="159" t="s">
        <v>354</v>
      </c>
      <c r="D6" s="596"/>
      <c r="E6" s="2470">
        <f>+E7+E8</f>
        <v>1095.8900000000001</v>
      </c>
      <c r="F6" s="2470">
        <f t="shared" ref="F6:AF6" si="4">+F7+F8</f>
        <v>0</v>
      </c>
      <c r="G6" s="2470">
        <f>+G7+G8</f>
        <v>1764.7700000000004</v>
      </c>
      <c r="H6" s="2469"/>
      <c r="I6" s="1658">
        <f t="shared" ref="I6:I19" si="5">+E6+G6</f>
        <v>2860.6600000000008</v>
      </c>
      <c r="J6" s="2470">
        <f t="shared" si="4"/>
        <v>0</v>
      </c>
      <c r="K6" s="2470">
        <f>+K7+K8</f>
        <v>5738.21</v>
      </c>
      <c r="L6" s="1357"/>
      <c r="M6" s="801">
        <f t="shared" ref="M6:M20" si="6">+E6+G6+K6</f>
        <v>8598.8700000000008</v>
      </c>
      <c r="N6" s="2470">
        <f t="shared" si="4"/>
        <v>0</v>
      </c>
      <c r="O6" s="2470">
        <f>+O7+O8</f>
        <v>3402.26</v>
      </c>
      <c r="P6" s="1605"/>
      <c r="Q6" s="1658">
        <f t="shared" ref="Q6:Q69" si="7">+M6+O6</f>
        <v>12001.130000000001</v>
      </c>
      <c r="R6" s="2470">
        <f t="shared" si="4"/>
        <v>0</v>
      </c>
      <c r="S6" s="2470">
        <f>+S7+S8</f>
        <v>3769.97</v>
      </c>
      <c r="T6" s="2469"/>
      <c r="U6" s="1658">
        <f t="shared" ref="U6:U69" si="8">+Q6+S6</f>
        <v>15771.1</v>
      </c>
      <c r="V6" s="2470">
        <f t="shared" si="4"/>
        <v>0</v>
      </c>
      <c r="W6" s="2470">
        <f>+W7+W8</f>
        <v>3271.59</v>
      </c>
      <c r="X6" s="1357"/>
      <c r="Y6" s="801">
        <f t="shared" ref="Y6:Y73" si="9">+O6+S6+W6</f>
        <v>10443.82</v>
      </c>
      <c r="Z6" s="470"/>
      <c r="AA6" s="522">
        <f t="shared" ref="AA6:AA73" si="10">M6+Y6</f>
        <v>19042.690000000002</v>
      </c>
      <c r="AB6" s="2470">
        <f t="shared" si="4"/>
        <v>0</v>
      </c>
      <c r="AC6" s="4362">
        <f>+AC7+AC8</f>
        <v>3411.65</v>
      </c>
      <c r="AD6" s="1605"/>
      <c r="AE6" s="587">
        <f t="shared" ref="AE6:AE10" si="11">AA6+AC6</f>
        <v>22454.340000000004</v>
      </c>
      <c r="AF6" s="2470">
        <f t="shared" si="4"/>
        <v>0</v>
      </c>
      <c r="AG6" s="4362">
        <f>+AG7+AG8</f>
        <v>5141.4700000000012</v>
      </c>
      <c r="AH6" s="1605"/>
      <c r="AI6" s="587">
        <f t="shared" si="0"/>
        <v>27595.810000000005</v>
      </c>
      <c r="AJ6" s="2470">
        <f t="shared" ref="AJ6" si="12">+AJ7+AJ8</f>
        <v>0</v>
      </c>
      <c r="AK6" s="4362">
        <f>+AK7+AK8</f>
        <v>3545.03</v>
      </c>
      <c r="AL6" s="2472"/>
      <c r="AM6" s="801">
        <f t="shared" ref="AM6:AM73" si="13">+AC6+AG6+AK6</f>
        <v>12098.150000000001</v>
      </c>
      <c r="AN6" s="1605"/>
      <c r="AO6" s="587">
        <f t="shared" ref="AO6:AO76" si="14">AI6+AK6</f>
        <v>31140.840000000004</v>
      </c>
      <c r="AP6" s="2470">
        <f t="shared" ref="AP6" si="15">+AP7+AP8</f>
        <v>0</v>
      </c>
      <c r="AQ6" s="4362">
        <f>+AQ7+AQ8</f>
        <v>3486.44</v>
      </c>
      <c r="AR6" s="1605"/>
      <c r="AS6" s="587">
        <f t="shared" si="1"/>
        <v>34627.280000000006</v>
      </c>
      <c r="AT6" s="2470">
        <f t="shared" ref="AT6" si="16">+AT7+AT8</f>
        <v>0</v>
      </c>
      <c r="AU6" s="4362">
        <f>+AU7+AU8</f>
        <v>1080.44</v>
      </c>
      <c r="AV6" s="1605"/>
      <c r="AW6" s="587">
        <f t="shared" si="2"/>
        <v>35707.720000000008</v>
      </c>
      <c r="AX6" s="2470">
        <f t="shared" ref="AX6" si="17">+AX7+AX8</f>
        <v>0</v>
      </c>
      <c r="AY6" s="4362">
        <f>+AY7+AY8</f>
        <v>6449.17</v>
      </c>
      <c r="AZ6" s="2472"/>
      <c r="BA6" s="801">
        <f t="shared" ref="BA6:BA69" si="18">+AQ6+AU6+AY6</f>
        <v>11016.05</v>
      </c>
      <c r="BB6" s="470"/>
      <c r="BC6" s="522">
        <f>BA6+AM6</f>
        <v>23114.2</v>
      </c>
      <c r="BD6" s="1605"/>
      <c r="BE6" s="256">
        <f t="shared" si="3"/>
        <v>42156.890000000007</v>
      </c>
      <c r="BF6" s="26"/>
      <c r="BG6" s="26"/>
      <c r="BH6" s="26"/>
      <c r="BP6" s="26"/>
      <c r="BQ6" s="26"/>
    </row>
    <row r="7" spans="1:69" ht="17.45" x14ac:dyDescent="0.3">
      <c r="A7" s="149"/>
      <c r="B7" s="530" t="s">
        <v>2125</v>
      </c>
      <c r="C7" s="159" t="s">
        <v>354</v>
      </c>
      <c r="D7" s="596"/>
      <c r="E7" s="621">
        <v>1095.8900000000001</v>
      </c>
      <c r="F7" s="621"/>
      <c r="G7" s="621">
        <v>1764.7700000000004</v>
      </c>
      <c r="H7" s="1658"/>
      <c r="I7" s="1658">
        <f t="shared" si="5"/>
        <v>2860.6600000000008</v>
      </c>
      <c r="J7" s="621"/>
      <c r="K7" s="621">
        <v>1754.69</v>
      </c>
      <c r="L7" s="801"/>
      <c r="M7" s="801">
        <f t="shared" si="6"/>
        <v>4615.3500000000004</v>
      </c>
      <c r="N7" s="621"/>
      <c r="O7" s="621">
        <v>1441.38</v>
      </c>
      <c r="P7" s="587"/>
      <c r="Q7" s="1658">
        <f t="shared" si="7"/>
        <v>6056.7300000000005</v>
      </c>
      <c r="R7" s="621"/>
      <c r="S7" s="621">
        <v>3769.97</v>
      </c>
      <c r="T7" s="782"/>
      <c r="U7" s="1658">
        <f t="shared" si="8"/>
        <v>9826.7000000000007</v>
      </c>
      <c r="V7" s="621"/>
      <c r="W7" s="621">
        <v>3271.59</v>
      </c>
      <c r="X7" s="801"/>
      <c r="Y7" s="801">
        <f t="shared" si="9"/>
        <v>8482.94</v>
      </c>
      <c r="Z7" s="470"/>
      <c r="AA7" s="522">
        <f t="shared" si="10"/>
        <v>13098.29</v>
      </c>
      <c r="AB7" s="621"/>
      <c r="AC7" s="4363">
        <v>651.15</v>
      </c>
      <c r="AD7" s="587"/>
      <c r="AE7" s="587">
        <f t="shared" si="11"/>
        <v>13749.44</v>
      </c>
      <c r="AF7" s="621"/>
      <c r="AG7" s="4363">
        <v>710.81</v>
      </c>
      <c r="AH7" s="587"/>
      <c r="AI7" s="587">
        <f t="shared" si="0"/>
        <v>14460.25</v>
      </c>
      <c r="AJ7" s="621"/>
      <c r="AK7" s="4363">
        <v>40.57</v>
      </c>
      <c r="AL7" s="595"/>
      <c r="AM7" s="801">
        <f t="shared" si="13"/>
        <v>1402.53</v>
      </c>
      <c r="AN7" s="587"/>
      <c r="AO7" s="587">
        <f t="shared" si="14"/>
        <v>14500.82</v>
      </c>
      <c r="AP7" s="621"/>
      <c r="AQ7" s="4363"/>
      <c r="AR7" s="587"/>
      <c r="AS7" s="587">
        <f t="shared" si="1"/>
        <v>14500.82</v>
      </c>
      <c r="AT7" s="621"/>
      <c r="AU7" s="4363">
        <v>1080.44</v>
      </c>
      <c r="AV7" s="587"/>
      <c r="AW7" s="587">
        <f t="shared" si="2"/>
        <v>15581.26</v>
      </c>
      <c r="AX7" s="621"/>
      <c r="AY7" s="4363">
        <v>5154.93</v>
      </c>
      <c r="AZ7" s="595"/>
      <c r="BA7" s="801">
        <f t="shared" si="18"/>
        <v>6235.3700000000008</v>
      </c>
      <c r="BB7" s="470"/>
      <c r="BC7" s="522">
        <f t="shared" ref="BC7:BC74" si="19">BA7+AM7</f>
        <v>7637.9000000000005</v>
      </c>
      <c r="BD7" s="587"/>
      <c r="BE7" s="256">
        <f t="shared" si="3"/>
        <v>20736.190000000002</v>
      </c>
      <c r="BF7" s="26"/>
      <c r="BG7" s="26"/>
      <c r="BH7" s="26"/>
      <c r="BP7" s="26"/>
      <c r="BQ7" s="26"/>
    </row>
    <row r="8" spans="1:69" ht="17.45" x14ac:dyDescent="0.3">
      <c r="A8" s="149"/>
      <c r="B8" s="530" t="s">
        <v>1658</v>
      </c>
      <c r="C8" s="159" t="s">
        <v>354</v>
      </c>
      <c r="D8" s="596"/>
      <c r="E8" s="621">
        <f>+E9+E10</f>
        <v>0</v>
      </c>
      <c r="F8" s="621">
        <f t="shared" ref="F8:AF8" si="20">+F9+F10</f>
        <v>0</v>
      </c>
      <c r="G8" s="621">
        <f>+G9+G10</f>
        <v>0</v>
      </c>
      <c r="H8" s="1658"/>
      <c r="I8" s="1658">
        <f t="shared" si="5"/>
        <v>0</v>
      </c>
      <c r="J8" s="621">
        <f t="shared" si="20"/>
        <v>0</v>
      </c>
      <c r="K8" s="621">
        <f>+K9+K10</f>
        <v>3983.52</v>
      </c>
      <c r="L8" s="801"/>
      <c r="M8" s="801">
        <f t="shared" si="6"/>
        <v>3983.52</v>
      </c>
      <c r="N8" s="621">
        <f t="shared" si="20"/>
        <v>0</v>
      </c>
      <c r="O8" s="621">
        <f>+O9+O10</f>
        <v>1960.88</v>
      </c>
      <c r="P8" s="587"/>
      <c r="Q8" s="1658">
        <f t="shared" si="7"/>
        <v>5944.4</v>
      </c>
      <c r="R8" s="621">
        <f t="shared" si="20"/>
        <v>0</v>
      </c>
      <c r="S8" s="621">
        <f>+S9+S10</f>
        <v>0</v>
      </c>
      <c r="T8" s="782"/>
      <c r="U8" s="1658">
        <f t="shared" si="8"/>
        <v>5944.4</v>
      </c>
      <c r="V8" s="621">
        <f t="shared" si="20"/>
        <v>0</v>
      </c>
      <c r="W8" s="621">
        <f>+W9+W10</f>
        <v>0</v>
      </c>
      <c r="X8" s="801"/>
      <c r="Y8" s="801">
        <f t="shared" si="9"/>
        <v>1960.88</v>
      </c>
      <c r="Z8" s="470"/>
      <c r="AA8" s="522">
        <f t="shared" si="10"/>
        <v>5944.4</v>
      </c>
      <c r="AB8" s="621">
        <f t="shared" si="20"/>
        <v>0</v>
      </c>
      <c r="AC8" s="4363">
        <f>+AC9+AC10</f>
        <v>2760.5</v>
      </c>
      <c r="AD8" s="587"/>
      <c r="AE8" s="587">
        <f t="shared" si="11"/>
        <v>8704.9</v>
      </c>
      <c r="AF8" s="621">
        <f t="shared" si="20"/>
        <v>0</v>
      </c>
      <c r="AG8" s="4363">
        <f>+AG9+AG10</f>
        <v>4430.6600000000008</v>
      </c>
      <c r="AH8" s="587"/>
      <c r="AI8" s="587">
        <f t="shared" si="0"/>
        <v>13135.560000000001</v>
      </c>
      <c r="AJ8" s="621">
        <f t="shared" ref="AJ8" si="21">+AJ9+AJ10</f>
        <v>0</v>
      </c>
      <c r="AK8" s="4363">
        <f>+AK9+AK10</f>
        <v>3504.46</v>
      </c>
      <c r="AL8" s="595"/>
      <c r="AM8" s="801">
        <f t="shared" si="13"/>
        <v>10695.62</v>
      </c>
      <c r="AN8" s="587"/>
      <c r="AO8" s="587">
        <f t="shared" si="14"/>
        <v>16640.02</v>
      </c>
      <c r="AP8" s="621">
        <f t="shared" ref="AP8" si="22">+AP9+AP10</f>
        <v>0</v>
      </c>
      <c r="AQ8" s="4363">
        <f>+AQ9+AQ10</f>
        <v>3486.44</v>
      </c>
      <c r="AR8" s="587"/>
      <c r="AS8" s="587">
        <f t="shared" si="1"/>
        <v>20126.46</v>
      </c>
      <c r="AT8" s="621">
        <f t="shared" ref="AT8" si="23">+AT9+AT10</f>
        <v>0</v>
      </c>
      <c r="AU8" s="4363">
        <f>+AU9+AU10</f>
        <v>0</v>
      </c>
      <c r="AV8" s="587"/>
      <c r="AW8" s="587">
        <f t="shared" si="2"/>
        <v>20126.46</v>
      </c>
      <c r="AX8" s="621">
        <f t="shared" ref="AX8" si="24">+AX9+AX10</f>
        <v>0</v>
      </c>
      <c r="AY8" s="4363">
        <f>+AY9+AY10</f>
        <v>1294.24</v>
      </c>
      <c r="AZ8" s="595"/>
      <c r="BA8" s="801">
        <f t="shared" si="18"/>
        <v>4780.68</v>
      </c>
      <c r="BB8" s="470"/>
      <c r="BC8" s="522">
        <f t="shared" si="19"/>
        <v>15476.300000000001</v>
      </c>
      <c r="BD8" s="587"/>
      <c r="BE8" s="256">
        <f t="shared" si="3"/>
        <v>21420.7</v>
      </c>
      <c r="BF8" s="26"/>
      <c r="BG8" s="26"/>
      <c r="BH8" s="26"/>
      <c r="BP8" s="26"/>
      <c r="BQ8" s="26"/>
    </row>
    <row r="9" spans="1:69" ht="18" x14ac:dyDescent="0.3">
      <c r="A9" s="149"/>
      <c r="B9" s="2454" t="s">
        <v>1626</v>
      </c>
      <c r="C9" s="159" t="s">
        <v>354</v>
      </c>
      <c r="D9" s="621"/>
      <c r="E9" s="596"/>
      <c r="F9" s="596"/>
      <c r="G9" s="596"/>
      <c r="H9" s="1658"/>
      <c r="I9" s="1658">
        <f t="shared" si="5"/>
        <v>0</v>
      </c>
      <c r="J9" s="596"/>
      <c r="K9" s="596"/>
      <c r="L9" s="801"/>
      <c r="M9" s="801">
        <f t="shared" si="6"/>
        <v>0</v>
      </c>
      <c r="N9" s="596"/>
      <c r="O9" s="596"/>
      <c r="P9" s="587"/>
      <c r="Q9" s="1658">
        <f t="shared" si="7"/>
        <v>0</v>
      </c>
      <c r="R9" s="596"/>
      <c r="S9" s="596"/>
      <c r="T9" s="782"/>
      <c r="U9" s="1658">
        <f t="shared" si="8"/>
        <v>0</v>
      </c>
      <c r="V9" s="596"/>
      <c r="W9" s="596"/>
      <c r="X9" s="801"/>
      <c r="Y9" s="801">
        <f t="shared" si="9"/>
        <v>0</v>
      </c>
      <c r="Z9" s="470"/>
      <c r="AA9" s="522">
        <f t="shared" si="10"/>
        <v>0</v>
      </c>
      <c r="AB9" s="596"/>
      <c r="AC9" s="1522">
        <v>1273.2</v>
      </c>
      <c r="AD9" s="587"/>
      <c r="AE9" s="587">
        <f t="shared" si="11"/>
        <v>1273.2</v>
      </c>
      <c r="AF9" s="596"/>
      <c r="AG9" s="1522">
        <v>1411.1600000000003</v>
      </c>
      <c r="AH9" s="587"/>
      <c r="AI9" s="587">
        <f t="shared" si="0"/>
        <v>2684.3600000000006</v>
      </c>
      <c r="AJ9" s="596"/>
      <c r="AK9" s="1522">
        <v>2020.64</v>
      </c>
      <c r="AL9" s="595"/>
      <c r="AM9" s="801">
        <f t="shared" si="13"/>
        <v>4705.0000000000009</v>
      </c>
      <c r="AN9" s="587"/>
      <c r="AO9" s="587">
        <f t="shared" si="14"/>
        <v>4705.0000000000009</v>
      </c>
      <c r="AP9" s="596"/>
      <c r="AQ9" s="1522">
        <v>1990.42</v>
      </c>
      <c r="AR9" s="587"/>
      <c r="AS9" s="587">
        <f t="shared" si="1"/>
        <v>6695.420000000001</v>
      </c>
      <c r="AT9" s="596"/>
      <c r="AU9" s="1522"/>
      <c r="AV9" s="587"/>
      <c r="AW9" s="587">
        <f t="shared" si="2"/>
        <v>6695.420000000001</v>
      </c>
      <c r="AX9" s="596"/>
      <c r="AY9" s="1522"/>
      <c r="AZ9" s="595"/>
      <c r="BA9" s="801">
        <f t="shared" si="18"/>
        <v>1990.42</v>
      </c>
      <c r="BB9" s="470"/>
      <c r="BC9" s="522">
        <f t="shared" si="19"/>
        <v>6695.420000000001</v>
      </c>
      <c r="BD9" s="587"/>
      <c r="BE9" s="256">
        <f t="shared" si="3"/>
        <v>6695.420000000001</v>
      </c>
      <c r="BF9" s="26"/>
      <c r="BG9" s="26"/>
      <c r="BH9" s="26"/>
      <c r="BP9" s="26"/>
      <c r="BQ9" s="26"/>
    </row>
    <row r="10" spans="1:69" ht="18" x14ac:dyDescent="0.3">
      <c r="A10" s="149"/>
      <c r="B10" s="2454" t="s">
        <v>1627</v>
      </c>
      <c r="C10" s="159" t="s">
        <v>354</v>
      </c>
      <c r="D10" s="621"/>
      <c r="E10" s="596"/>
      <c r="F10" s="596"/>
      <c r="G10" s="596"/>
      <c r="H10" s="1658"/>
      <c r="I10" s="1658">
        <f t="shared" si="5"/>
        <v>0</v>
      </c>
      <c r="J10" s="596"/>
      <c r="K10" s="596">
        <v>3983.52</v>
      </c>
      <c r="L10" s="801"/>
      <c r="M10" s="801">
        <f t="shared" si="6"/>
        <v>3983.52</v>
      </c>
      <c r="N10" s="596"/>
      <c r="O10" s="596">
        <v>1960.88</v>
      </c>
      <c r="P10" s="587"/>
      <c r="Q10" s="1658">
        <f t="shared" si="7"/>
        <v>5944.4</v>
      </c>
      <c r="R10" s="596"/>
      <c r="S10" s="596"/>
      <c r="T10" s="782"/>
      <c r="U10" s="1658">
        <f t="shared" si="8"/>
        <v>5944.4</v>
      </c>
      <c r="V10" s="596"/>
      <c r="W10" s="596"/>
      <c r="X10" s="801"/>
      <c r="Y10" s="801">
        <f t="shared" si="9"/>
        <v>1960.88</v>
      </c>
      <c r="Z10" s="470"/>
      <c r="AA10" s="522">
        <f t="shared" si="10"/>
        <v>5944.4</v>
      </c>
      <c r="AB10" s="596"/>
      <c r="AC10" s="1522">
        <v>1487.3</v>
      </c>
      <c r="AD10" s="587"/>
      <c r="AE10" s="587">
        <f t="shared" si="11"/>
        <v>7431.7</v>
      </c>
      <c r="AF10" s="596"/>
      <c r="AG10" s="1522">
        <v>3019.5000000000005</v>
      </c>
      <c r="AH10" s="587"/>
      <c r="AI10" s="587">
        <f t="shared" si="0"/>
        <v>10451.200000000001</v>
      </c>
      <c r="AJ10" s="596"/>
      <c r="AK10" s="1522">
        <v>1483.82</v>
      </c>
      <c r="AL10" s="595"/>
      <c r="AM10" s="801">
        <f t="shared" si="13"/>
        <v>5990.62</v>
      </c>
      <c r="AN10" s="587"/>
      <c r="AO10" s="587">
        <f t="shared" si="14"/>
        <v>11935.02</v>
      </c>
      <c r="AP10" s="596"/>
      <c r="AQ10" s="1522">
        <v>1496.02</v>
      </c>
      <c r="AR10" s="587"/>
      <c r="AS10" s="587">
        <f t="shared" si="1"/>
        <v>13431.04</v>
      </c>
      <c r="AT10" s="596"/>
      <c r="AU10" s="1522"/>
      <c r="AV10" s="587"/>
      <c r="AW10" s="587">
        <f t="shared" si="2"/>
        <v>13431.04</v>
      </c>
      <c r="AX10" s="596"/>
      <c r="AY10" s="1522">
        <v>1294.24</v>
      </c>
      <c r="AZ10" s="595"/>
      <c r="BA10" s="801">
        <f t="shared" si="18"/>
        <v>2790.26</v>
      </c>
      <c r="BB10" s="470"/>
      <c r="BC10" s="522">
        <f t="shared" si="19"/>
        <v>8780.880000000001</v>
      </c>
      <c r="BD10" s="587"/>
      <c r="BE10" s="256">
        <f t="shared" si="3"/>
        <v>14725.28</v>
      </c>
      <c r="BF10" s="26"/>
      <c r="BG10" s="26"/>
      <c r="BH10" s="26"/>
      <c r="BP10" s="26"/>
      <c r="BQ10" s="26"/>
    </row>
    <row r="11" spans="1:69" ht="10.5" customHeight="1" x14ac:dyDescent="0.3">
      <c r="A11" s="149"/>
      <c r="B11" s="2471"/>
      <c r="C11" s="270"/>
      <c r="D11" s="621"/>
      <c r="E11" s="596"/>
      <c r="F11" s="596"/>
      <c r="G11" s="596"/>
      <c r="H11" s="1658"/>
      <c r="I11" s="1658"/>
      <c r="J11" s="596"/>
      <c r="K11" s="596"/>
      <c r="L11" s="801"/>
      <c r="M11" s="801"/>
      <c r="N11" s="596"/>
      <c r="O11" s="596"/>
      <c r="P11" s="587"/>
      <c r="Q11" s="1658">
        <f t="shared" si="7"/>
        <v>0</v>
      </c>
      <c r="R11" s="596"/>
      <c r="S11" s="596"/>
      <c r="T11" s="782"/>
      <c r="U11" s="1658">
        <f t="shared" si="8"/>
        <v>0</v>
      </c>
      <c r="V11" s="596"/>
      <c r="W11" s="596"/>
      <c r="X11" s="801"/>
      <c r="Y11" s="801"/>
      <c r="Z11" s="470"/>
      <c r="AA11" s="522"/>
      <c r="AB11" s="596"/>
      <c r="AC11" s="1522"/>
      <c r="AD11" s="587"/>
      <c r="AE11" s="587"/>
      <c r="AF11" s="596"/>
      <c r="AG11" s="1522"/>
      <c r="AH11" s="587"/>
      <c r="AI11" s="587"/>
      <c r="AJ11" s="596"/>
      <c r="AK11" s="1522"/>
      <c r="AL11" s="595"/>
      <c r="AM11" s="801"/>
      <c r="AN11" s="587"/>
      <c r="AO11" s="587"/>
      <c r="AP11" s="596"/>
      <c r="AQ11" s="1522"/>
      <c r="AR11" s="587"/>
      <c r="AS11" s="587"/>
      <c r="AT11" s="596"/>
      <c r="AU11" s="1522"/>
      <c r="AV11" s="587"/>
      <c r="AW11" s="587"/>
      <c r="AX11" s="596"/>
      <c r="AY11" s="1522"/>
      <c r="AZ11" s="595"/>
      <c r="BA11" s="801"/>
      <c r="BB11" s="470"/>
      <c r="BC11" s="522"/>
      <c r="BD11" s="587"/>
      <c r="BE11" s="256"/>
      <c r="BF11" s="26"/>
      <c r="BG11" s="26"/>
      <c r="BH11" s="26"/>
      <c r="BP11" s="26"/>
      <c r="BQ11" s="26"/>
    </row>
    <row r="12" spans="1:69" ht="23.45" x14ac:dyDescent="0.3">
      <c r="A12" s="149"/>
      <c r="B12" s="2655" t="s">
        <v>1659</v>
      </c>
      <c r="C12" s="205"/>
      <c r="D12" s="596"/>
      <c r="E12" s="2470"/>
      <c r="F12" s="2470"/>
      <c r="G12" s="2470">
        <v>299.72000000000003</v>
      </c>
      <c r="H12" s="2469"/>
      <c r="I12" s="1658">
        <f t="shared" si="5"/>
        <v>299.72000000000003</v>
      </c>
      <c r="J12" s="2470"/>
      <c r="K12" s="2470"/>
      <c r="L12" s="1357"/>
      <c r="M12" s="801">
        <f t="shared" si="6"/>
        <v>299.72000000000003</v>
      </c>
      <c r="N12" s="2470"/>
      <c r="O12" s="2470"/>
      <c r="P12" s="1605"/>
      <c r="Q12" s="1658">
        <f t="shared" si="7"/>
        <v>299.72000000000003</v>
      </c>
      <c r="R12" s="2470"/>
      <c r="S12" s="2470">
        <v>239.04</v>
      </c>
      <c r="T12" s="2469"/>
      <c r="U12" s="1658">
        <f t="shared" si="8"/>
        <v>538.76</v>
      </c>
      <c r="V12" s="2470"/>
      <c r="W12" s="2470">
        <v>497.22999999999996</v>
      </c>
      <c r="X12" s="1357"/>
      <c r="Y12" s="801">
        <f t="shared" si="9"/>
        <v>736.27</v>
      </c>
      <c r="Z12" s="470"/>
      <c r="AA12" s="522">
        <f t="shared" si="10"/>
        <v>1035.99</v>
      </c>
      <c r="AB12" s="2470"/>
      <c r="AC12" s="4362"/>
      <c r="AD12" s="1605"/>
      <c r="AE12" s="587">
        <f t="shared" ref="AE12:AE19" si="25">+AC12+W12+S12+K12+E12</f>
        <v>736.27</v>
      </c>
      <c r="AF12" s="2470"/>
      <c r="AG12" s="4362"/>
      <c r="AH12" s="1605"/>
      <c r="AI12" s="587">
        <f t="shared" ref="AI12:AI19" si="26">+AC12+W12+S12+O12+K12+E12+G12+AG12</f>
        <v>1035.99</v>
      </c>
      <c r="AJ12" s="2470"/>
      <c r="AK12" s="4362"/>
      <c r="AL12" s="2472"/>
      <c r="AM12" s="801">
        <f t="shared" si="13"/>
        <v>0</v>
      </c>
      <c r="AN12" s="1605"/>
      <c r="AO12" s="587">
        <f t="shared" si="14"/>
        <v>1035.99</v>
      </c>
      <c r="AP12" s="2470"/>
      <c r="AQ12" s="4362"/>
      <c r="AR12" s="1605"/>
      <c r="AS12" s="587">
        <f t="shared" si="1"/>
        <v>1035.99</v>
      </c>
      <c r="AT12" s="2470"/>
      <c r="AU12" s="4362"/>
      <c r="AV12" s="1605"/>
      <c r="AW12" s="587">
        <f t="shared" si="2"/>
        <v>1035.99</v>
      </c>
      <c r="AX12" s="2470"/>
      <c r="AY12" s="4362">
        <v>516.62</v>
      </c>
      <c r="AZ12" s="2472"/>
      <c r="BA12" s="801">
        <f t="shared" si="18"/>
        <v>516.62</v>
      </c>
      <c r="BB12" s="470"/>
      <c r="BC12" s="522">
        <f t="shared" si="19"/>
        <v>516.62</v>
      </c>
      <c r="BD12" s="1605"/>
      <c r="BE12" s="256">
        <f t="shared" si="3"/>
        <v>1552.6100000000001</v>
      </c>
      <c r="BF12" s="26"/>
      <c r="BG12" s="26"/>
      <c r="BH12" s="26"/>
      <c r="BI12" s="26"/>
      <c r="BP12" s="26"/>
      <c r="BQ12" s="26"/>
    </row>
    <row r="13" spans="1:69" ht="17.45" x14ac:dyDescent="0.3">
      <c r="A13" s="149"/>
      <c r="B13" s="2468"/>
      <c r="C13" s="205"/>
      <c r="D13" s="596"/>
      <c r="E13" s="1134"/>
      <c r="F13" s="1134"/>
      <c r="G13" s="1134"/>
      <c r="H13" s="1658"/>
      <c r="I13" s="1658"/>
      <c r="J13" s="1134"/>
      <c r="K13" s="1134"/>
      <c r="L13" s="801"/>
      <c r="M13" s="801"/>
      <c r="N13" s="1134"/>
      <c r="O13" s="1134"/>
      <c r="P13" s="587"/>
      <c r="Q13" s="1658">
        <f t="shared" si="7"/>
        <v>0</v>
      </c>
      <c r="R13" s="1134"/>
      <c r="S13" s="1134"/>
      <c r="T13" s="782"/>
      <c r="U13" s="1658">
        <f t="shared" si="8"/>
        <v>0</v>
      </c>
      <c r="V13" s="1134"/>
      <c r="W13" s="1134"/>
      <c r="X13" s="801"/>
      <c r="Y13" s="801"/>
      <c r="Z13" s="470"/>
      <c r="AA13" s="522"/>
      <c r="AB13" s="1134"/>
      <c r="AC13" s="151"/>
      <c r="AD13" s="587"/>
      <c r="AE13" s="587"/>
      <c r="AF13" s="1134"/>
      <c r="AG13" s="151"/>
      <c r="AH13" s="587"/>
      <c r="AI13" s="587"/>
      <c r="AJ13" s="1134"/>
      <c r="AK13" s="151"/>
      <c r="AL13" s="595"/>
      <c r="AM13" s="801"/>
      <c r="AN13" s="587"/>
      <c r="AO13" s="587"/>
      <c r="AP13" s="1134"/>
      <c r="AQ13" s="151"/>
      <c r="AR13" s="587"/>
      <c r="AS13" s="587"/>
      <c r="AT13" s="1134"/>
      <c r="AU13" s="151"/>
      <c r="AV13" s="587"/>
      <c r="AW13" s="587"/>
      <c r="AX13" s="1134"/>
      <c r="AY13" s="151"/>
      <c r="AZ13" s="595"/>
      <c r="BA13" s="801"/>
      <c r="BB13" s="470"/>
      <c r="BC13" s="522"/>
      <c r="BD13" s="587"/>
      <c r="BE13" s="256"/>
      <c r="BF13" s="26"/>
      <c r="BG13" s="26"/>
      <c r="BH13" s="26"/>
      <c r="BP13" s="26"/>
      <c r="BQ13" s="26"/>
    </row>
    <row r="14" spans="1:69" ht="15.75" customHeight="1" x14ac:dyDescent="0.3">
      <c r="A14" s="149"/>
      <c r="B14" s="2655" t="s">
        <v>1660</v>
      </c>
      <c r="C14" s="159" t="s">
        <v>354</v>
      </c>
      <c r="D14" s="200"/>
      <c r="E14" s="2470">
        <f>+E15+E17+E18</f>
        <v>0</v>
      </c>
      <c r="F14" s="2470">
        <f>+F15+F17</f>
        <v>0</v>
      </c>
      <c r="G14" s="2470">
        <f>+G15+G17+G18</f>
        <v>640.46</v>
      </c>
      <c r="H14" s="2469"/>
      <c r="I14" s="1662">
        <f t="shared" si="5"/>
        <v>640.46</v>
      </c>
      <c r="J14" s="2470"/>
      <c r="K14" s="2470">
        <f>+K15+K17+K18</f>
        <v>1065.5999999999999</v>
      </c>
      <c r="L14" s="1357"/>
      <c r="M14" s="801">
        <f t="shared" si="6"/>
        <v>1706.06</v>
      </c>
      <c r="N14" s="2470"/>
      <c r="O14" s="2470">
        <f>+O15+O17+O18</f>
        <v>463.1</v>
      </c>
      <c r="P14" s="1605"/>
      <c r="Q14" s="1658">
        <f t="shared" si="7"/>
        <v>2169.16</v>
      </c>
      <c r="R14" s="2470"/>
      <c r="S14" s="2470">
        <f>+S15+S17+S18</f>
        <v>2248.92</v>
      </c>
      <c r="T14" s="2469"/>
      <c r="U14" s="1658">
        <f t="shared" si="8"/>
        <v>4418.08</v>
      </c>
      <c r="V14" s="2470"/>
      <c r="W14" s="2470">
        <f>+W15+W17+W18</f>
        <v>1413.7700000000002</v>
      </c>
      <c r="X14" s="1357"/>
      <c r="Y14" s="801">
        <f t="shared" si="9"/>
        <v>4125.79</v>
      </c>
      <c r="Z14" s="470"/>
      <c r="AA14" s="522">
        <f t="shared" si="10"/>
        <v>5831.85</v>
      </c>
      <c r="AB14" s="2470"/>
      <c r="AC14" s="4362">
        <f>+AC15+AC17+AC18</f>
        <v>632.55999999999995</v>
      </c>
      <c r="AD14" s="1605"/>
      <c r="AE14" s="587">
        <f t="shared" ref="AE14" si="27">AA14+AC14</f>
        <v>6464.41</v>
      </c>
      <c r="AF14" s="2470"/>
      <c r="AG14" s="4362">
        <f>+AG15+AG17+AG18</f>
        <v>636.88</v>
      </c>
      <c r="AH14" s="1605"/>
      <c r="AI14" s="587">
        <f t="shared" si="26"/>
        <v>7101.2900000000009</v>
      </c>
      <c r="AJ14" s="2470"/>
      <c r="AK14" s="4362">
        <f>+AK15+AK17+AK18</f>
        <v>367.46</v>
      </c>
      <c r="AL14" s="2472"/>
      <c r="AM14" s="801">
        <f t="shared" si="13"/>
        <v>1636.9</v>
      </c>
      <c r="AN14" s="1605"/>
      <c r="AO14" s="587">
        <f t="shared" si="14"/>
        <v>7468.7500000000009</v>
      </c>
      <c r="AP14" s="2470"/>
      <c r="AQ14" s="4362">
        <f>+AQ15+AQ17+AQ18</f>
        <v>0</v>
      </c>
      <c r="AR14" s="1605"/>
      <c r="AS14" s="587">
        <f t="shared" si="1"/>
        <v>7468.7500000000009</v>
      </c>
      <c r="AT14" s="2470"/>
      <c r="AU14" s="4362">
        <f>+AU15+AU17+AU18</f>
        <v>0</v>
      </c>
      <c r="AV14" s="1605"/>
      <c r="AW14" s="587">
        <f t="shared" si="2"/>
        <v>7468.7500000000009</v>
      </c>
      <c r="AX14" s="2470"/>
      <c r="AY14" s="4362">
        <f>+AY15+AY17+AY18</f>
        <v>0</v>
      </c>
      <c r="AZ14" s="2472"/>
      <c r="BA14" s="801">
        <f t="shared" si="18"/>
        <v>0</v>
      </c>
      <c r="BB14" s="470"/>
      <c r="BC14" s="522">
        <f t="shared" si="19"/>
        <v>1636.9</v>
      </c>
      <c r="BD14" s="1605"/>
      <c r="BE14" s="256">
        <f>+AW14+AY14</f>
        <v>7468.7500000000009</v>
      </c>
      <c r="BF14" s="26"/>
      <c r="BG14" s="26"/>
      <c r="BH14" s="26"/>
      <c r="BP14" s="26"/>
      <c r="BQ14" s="26"/>
    </row>
    <row r="15" spans="1:69" ht="15.75" customHeight="1" x14ac:dyDescent="0.3">
      <c r="A15" s="149"/>
      <c r="B15" s="530" t="s">
        <v>2125</v>
      </c>
      <c r="C15" s="159" t="s">
        <v>354</v>
      </c>
      <c r="D15" s="200"/>
      <c r="E15" s="621"/>
      <c r="F15" s="621">
        <v>0</v>
      </c>
      <c r="G15" s="621">
        <v>640.46</v>
      </c>
      <c r="H15" s="1658"/>
      <c r="I15" s="1658">
        <f t="shared" si="5"/>
        <v>640.46</v>
      </c>
      <c r="J15" s="621">
        <v>0</v>
      </c>
      <c r="K15" s="621">
        <v>1065.5999999999999</v>
      </c>
      <c r="L15" s="801"/>
      <c r="M15" s="801">
        <f t="shared" si="6"/>
        <v>1706.06</v>
      </c>
      <c r="N15" s="621">
        <v>0</v>
      </c>
      <c r="O15" s="621">
        <v>398.74</v>
      </c>
      <c r="P15" s="587"/>
      <c r="Q15" s="1658">
        <f t="shared" si="7"/>
        <v>2104.8000000000002</v>
      </c>
      <c r="R15" s="621">
        <v>0</v>
      </c>
      <c r="S15" s="621">
        <v>353.2</v>
      </c>
      <c r="T15" s="782"/>
      <c r="U15" s="1658">
        <f t="shared" si="8"/>
        <v>2458</v>
      </c>
      <c r="V15" s="621">
        <v>0</v>
      </c>
      <c r="W15" s="621">
        <v>453.39000000000004</v>
      </c>
      <c r="X15" s="801"/>
      <c r="Y15" s="801">
        <f t="shared" si="9"/>
        <v>1205.3300000000002</v>
      </c>
      <c r="Z15" s="470"/>
      <c r="AA15" s="522">
        <f t="shared" si="10"/>
        <v>2911.3900000000003</v>
      </c>
      <c r="AB15" s="621"/>
      <c r="AC15" s="4363"/>
      <c r="AD15" s="587"/>
      <c r="AE15" s="587">
        <f t="shared" si="25"/>
        <v>1872.19</v>
      </c>
      <c r="AF15" s="621"/>
      <c r="AG15" s="4363"/>
      <c r="AH15" s="587"/>
      <c r="AI15" s="587">
        <f t="shared" si="26"/>
        <v>2911.39</v>
      </c>
      <c r="AJ15" s="621">
        <v>0</v>
      </c>
      <c r="AK15" s="4363"/>
      <c r="AL15" s="595"/>
      <c r="AM15" s="801">
        <f t="shared" si="13"/>
        <v>0</v>
      </c>
      <c r="AN15" s="587"/>
      <c r="AO15" s="587">
        <f t="shared" si="14"/>
        <v>2911.39</v>
      </c>
      <c r="AP15" s="621"/>
      <c r="AQ15" s="4363"/>
      <c r="AR15" s="587"/>
      <c r="AS15" s="587">
        <f t="shared" si="1"/>
        <v>2911.39</v>
      </c>
      <c r="AT15" s="621"/>
      <c r="AU15" s="4363"/>
      <c r="AV15" s="587"/>
      <c r="AW15" s="587">
        <f t="shared" si="2"/>
        <v>2911.39</v>
      </c>
      <c r="AX15" s="621"/>
      <c r="AY15" s="4363"/>
      <c r="AZ15" s="595"/>
      <c r="BA15" s="801">
        <f t="shared" si="18"/>
        <v>0</v>
      </c>
      <c r="BB15" s="470"/>
      <c r="BC15" s="522">
        <f t="shared" si="19"/>
        <v>0</v>
      </c>
      <c r="BD15" s="587"/>
      <c r="BE15" s="256">
        <f t="shared" si="3"/>
        <v>2911.39</v>
      </c>
      <c r="BF15" s="26"/>
      <c r="BG15" s="26"/>
      <c r="BH15" s="26"/>
      <c r="BP15" s="26"/>
      <c r="BQ15" s="26"/>
    </row>
    <row r="16" spans="1:69" ht="15.75" customHeight="1" x14ac:dyDescent="0.3">
      <c r="A16" s="149"/>
      <c r="B16" s="530" t="s">
        <v>1658</v>
      </c>
      <c r="C16" s="159" t="s">
        <v>354</v>
      </c>
      <c r="D16" s="2657"/>
      <c r="E16" s="2658">
        <f>+E18+E17</f>
        <v>0</v>
      </c>
      <c r="F16" s="2658">
        <f t="shared" ref="F16:BE16" si="28">+F18+F17</f>
        <v>0</v>
      </c>
      <c r="G16" s="2658">
        <f>+G18+G17</f>
        <v>0</v>
      </c>
      <c r="H16" s="2658">
        <f t="shared" si="28"/>
        <v>0</v>
      </c>
      <c r="I16" s="2658">
        <f t="shared" si="28"/>
        <v>0</v>
      </c>
      <c r="J16" s="2658">
        <f t="shared" si="28"/>
        <v>0</v>
      </c>
      <c r="K16" s="2658">
        <f>+K18+K17</f>
        <v>0</v>
      </c>
      <c r="L16" s="2658">
        <f t="shared" si="28"/>
        <v>0</v>
      </c>
      <c r="M16" s="2658">
        <f t="shared" si="28"/>
        <v>0</v>
      </c>
      <c r="N16" s="2658">
        <f t="shared" si="28"/>
        <v>0</v>
      </c>
      <c r="O16" s="2658">
        <f>+O18+O17</f>
        <v>64.36</v>
      </c>
      <c r="P16" s="2658">
        <f t="shared" si="28"/>
        <v>0</v>
      </c>
      <c r="Q16" s="1658">
        <f t="shared" si="7"/>
        <v>64.36</v>
      </c>
      <c r="R16" s="2658">
        <f t="shared" si="28"/>
        <v>0</v>
      </c>
      <c r="S16" s="2658">
        <f>+S18+S17</f>
        <v>1895.72</v>
      </c>
      <c r="T16" s="2658">
        <f t="shared" si="28"/>
        <v>0</v>
      </c>
      <c r="U16" s="1658">
        <f t="shared" si="8"/>
        <v>1960.08</v>
      </c>
      <c r="V16" s="2658">
        <f t="shared" si="28"/>
        <v>0</v>
      </c>
      <c r="W16" s="2658">
        <f>+W18+W17</f>
        <v>960.38000000000011</v>
      </c>
      <c r="X16" s="2658">
        <f t="shared" si="28"/>
        <v>0</v>
      </c>
      <c r="Y16" s="2658">
        <f t="shared" si="28"/>
        <v>2920.46</v>
      </c>
      <c r="Z16" s="2658">
        <f t="shared" si="28"/>
        <v>0</v>
      </c>
      <c r="AA16" s="2658">
        <f t="shared" si="28"/>
        <v>2920.46</v>
      </c>
      <c r="AB16" s="2658">
        <f t="shared" si="28"/>
        <v>0</v>
      </c>
      <c r="AC16" s="3014">
        <f>+AC18+AC17</f>
        <v>632.55999999999995</v>
      </c>
      <c r="AD16" s="2658">
        <f t="shared" si="28"/>
        <v>0</v>
      </c>
      <c r="AE16" s="2658">
        <f t="shared" si="28"/>
        <v>3488.66</v>
      </c>
      <c r="AF16" s="2658">
        <f t="shared" si="28"/>
        <v>0</v>
      </c>
      <c r="AG16" s="3014">
        <f>+AG18+AG17</f>
        <v>636.88</v>
      </c>
      <c r="AH16" s="2658">
        <f t="shared" si="28"/>
        <v>0</v>
      </c>
      <c r="AI16" s="2658">
        <f t="shared" si="28"/>
        <v>4189.8999999999996</v>
      </c>
      <c r="AJ16" s="2658">
        <f t="shared" si="28"/>
        <v>0</v>
      </c>
      <c r="AK16" s="3014">
        <f>+AK18+AK17</f>
        <v>367.46</v>
      </c>
      <c r="AL16" s="2658">
        <f t="shared" si="28"/>
        <v>0</v>
      </c>
      <c r="AM16" s="2658">
        <f t="shared" si="28"/>
        <v>1636.9</v>
      </c>
      <c r="AN16" s="2658">
        <f t="shared" si="28"/>
        <v>0</v>
      </c>
      <c r="AO16" s="2658">
        <f t="shared" si="28"/>
        <v>4557.3599999999997</v>
      </c>
      <c r="AP16" s="2658">
        <f t="shared" si="28"/>
        <v>0</v>
      </c>
      <c r="AQ16" s="3014">
        <f>+AQ18+AQ17</f>
        <v>0</v>
      </c>
      <c r="AR16" s="2658">
        <f t="shared" si="28"/>
        <v>0</v>
      </c>
      <c r="AS16" s="2658">
        <f t="shared" si="28"/>
        <v>4557.3599999999997</v>
      </c>
      <c r="AT16" s="2658">
        <f t="shared" si="28"/>
        <v>0</v>
      </c>
      <c r="AU16" s="3014">
        <f>+AU18+AU17</f>
        <v>0</v>
      </c>
      <c r="AV16" s="2658">
        <f t="shared" si="28"/>
        <v>0</v>
      </c>
      <c r="AW16" s="2658">
        <f t="shared" ref="AW16" si="29">+AW18+AW17</f>
        <v>4557.3599999999997</v>
      </c>
      <c r="AX16" s="2658">
        <f t="shared" si="28"/>
        <v>0</v>
      </c>
      <c r="AY16" s="3014">
        <f>+AY18+AY17</f>
        <v>0</v>
      </c>
      <c r="AZ16" s="2658">
        <f t="shared" si="28"/>
        <v>0</v>
      </c>
      <c r="BA16" s="2658">
        <f t="shared" si="28"/>
        <v>0</v>
      </c>
      <c r="BB16" s="2658">
        <f t="shared" si="28"/>
        <v>0</v>
      </c>
      <c r="BC16" s="2658">
        <f t="shared" si="28"/>
        <v>1636.9</v>
      </c>
      <c r="BD16" s="2658">
        <f t="shared" si="28"/>
        <v>0</v>
      </c>
      <c r="BE16" s="256">
        <f t="shared" si="28"/>
        <v>4557.3599999999997</v>
      </c>
      <c r="BF16" s="26"/>
      <c r="BG16" s="26"/>
      <c r="BH16" s="26"/>
      <c r="BP16" s="26"/>
      <c r="BQ16" s="26"/>
    </row>
    <row r="17" spans="1:69" ht="15.75" customHeight="1" x14ac:dyDescent="0.3">
      <c r="A17" s="149"/>
      <c r="B17" s="2454" t="s">
        <v>1627</v>
      </c>
      <c r="C17" s="159" t="s">
        <v>354</v>
      </c>
      <c r="D17" s="200"/>
      <c r="E17" s="621"/>
      <c r="F17" s="621"/>
      <c r="G17" s="621"/>
      <c r="H17" s="1658"/>
      <c r="I17" s="1658">
        <f t="shared" si="5"/>
        <v>0</v>
      </c>
      <c r="J17" s="621"/>
      <c r="K17" s="621"/>
      <c r="L17" s="801"/>
      <c r="M17" s="801">
        <f t="shared" si="6"/>
        <v>0</v>
      </c>
      <c r="N17" s="621"/>
      <c r="O17" s="621">
        <v>64.36</v>
      </c>
      <c r="P17" s="587"/>
      <c r="Q17" s="1658">
        <f t="shared" si="7"/>
        <v>64.36</v>
      </c>
      <c r="R17" s="621"/>
      <c r="S17" s="621"/>
      <c r="T17" s="782"/>
      <c r="U17" s="1658">
        <f t="shared" si="8"/>
        <v>64.36</v>
      </c>
      <c r="V17" s="621"/>
      <c r="W17" s="621">
        <v>960.38000000000011</v>
      </c>
      <c r="X17" s="801"/>
      <c r="Y17" s="801">
        <f t="shared" si="9"/>
        <v>1024.74</v>
      </c>
      <c r="Z17" s="470"/>
      <c r="AA17" s="522">
        <f t="shared" si="10"/>
        <v>1024.74</v>
      </c>
      <c r="AB17" s="621"/>
      <c r="AC17" s="4363"/>
      <c r="AD17" s="587"/>
      <c r="AE17" s="587">
        <f t="shared" si="25"/>
        <v>960.38000000000011</v>
      </c>
      <c r="AF17" s="621"/>
      <c r="AG17" s="4363"/>
      <c r="AH17" s="587"/>
      <c r="AI17" s="587">
        <f t="shared" si="26"/>
        <v>1024.74</v>
      </c>
      <c r="AJ17" s="621"/>
      <c r="AK17" s="4363"/>
      <c r="AL17" s="595"/>
      <c r="AM17" s="801">
        <f t="shared" si="13"/>
        <v>0</v>
      </c>
      <c r="AN17" s="587"/>
      <c r="AO17" s="587">
        <f t="shared" si="14"/>
        <v>1024.74</v>
      </c>
      <c r="AP17" s="621"/>
      <c r="AQ17" s="4363"/>
      <c r="AR17" s="587"/>
      <c r="AS17" s="587">
        <f t="shared" si="1"/>
        <v>1024.74</v>
      </c>
      <c r="AT17" s="621"/>
      <c r="AU17" s="4363"/>
      <c r="AV17" s="587"/>
      <c r="AW17" s="587">
        <f t="shared" si="2"/>
        <v>1024.74</v>
      </c>
      <c r="AX17" s="621"/>
      <c r="AY17" s="4363"/>
      <c r="AZ17" s="595"/>
      <c r="BA17" s="801">
        <f t="shared" si="18"/>
        <v>0</v>
      </c>
      <c r="BB17" s="470"/>
      <c r="BC17" s="522">
        <f t="shared" si="19"/>
        <v>0</v>
      </c>
      <c r="BD17" s="587"/>
      <c r="BE17" s="256">
        <f t="shared" si="3"/>
        <v>1024.74</v>
      </c>
      <c r="BF17" s="26"/>
      <c r="BG17" s="26"/>
      <c r="BH17" s="26"/>
      <c r="BP17" s="26"/>
      <c r="BQ17" s="26"/>
    </row>
    <row r="18" spans="1:69" ht="21" customHeight="1" x14ac:dyDescent="0.3">
      <c r="A18" s="149"/>
      <c r="B18" s="2454" t="s">
        <v>1626</v>
      </c>
      <c r="C18" s="159" t="s">
        <v>354</v>
      </c>
      <c r="D18" s="200"/>
      <c r="E18" s="1134"/>
      <c r="F18" s="1134"/>
      <c r="G18" s="1134"/>
      <c r="H18" s="1658"/>
      <c r="I18" s="1658">
        <f t="shared" si="5"/>
        <v>0</v>
      </c>
      <c r="J18" s="1134"/>
      <c r="K18" s="1134"/>
      <c r="L18" s="801"/>
      <c r="M18" s="801">
        <f t="shared" si="6"/>
        <v>0</v>
      </c>
      <c r="N18" s="1134"/>
      <c r="O18" s="1134"/>
      <c r="P18" s="587"/>
      <c r="Q18" s="1658">
        <f t="shared" si="7"/>
        <v>0</v>
      </c>
      <c r="R18" s="1134"/>
      <c r="S18" s="1134">
        <v>1895.72</v>
      </c>
      <c r="T18" s="782"/>
      <c r="U18" s="1658">
        <f t="shared" si="8"/>
        <v>1895.72</v>
      </c>
      <c r="V18" s="1134"/>
      <c r="W18" s="1134"/>
      <c r="X18" s="801"/>
      <c r="Y18" s="801">
        <f t="shared" si="9"/>
        <v>1895.72</v>
      </c>
      <c r="Z18" s="470"/>
      <c r="AA18" s="522">
        <f t="shared" si="10"/>
        <v>1895.72</v>
      </c>
      <c r="AB18" s="1134"/>
      <c r="AC18" s="1522">
        <v>632.55999999999995</v>
      </c>
      <c r="AD18" s="587"/>
      <c r="AE18" s="587">
        <f t="shared" ref="AE18" si="30">AA18+AC18</f>
        <v>2528.2799999999997</v>
      </c>
      <c r="AF18" s="1134"/>
      <c r="AG18" s="1522">
        <v>636.88</v>
      </c>
      <c r="AH18" s="587"/>
      <c r="AI18" s="587">
        <f t="shared" ref="AI18" si="31">+AE18+AG18</f>
        <v>3165.16</v>
      </c>
      <c r="AJ18" s="1134"/>
      <c r="AK18" s="1522">
        <v>367.46</v>
      </c>
      <c r="AL18" s="595"/>
      <c r="AM18" s="801">
        <f t="shared" si="13"/>
        <v>1636.9</v>
      </c>
      <c r="AN18" s="587"/>
      <c r="AO18" s="587">
        <f t="shared" si="14"/>
        <v>3532.62</v>
      </c>
      <c r="AP18" s="1134"/>
      <c r="AQ18" s="1522"/>
      <c r="AR18" s="587"/>
      <c r="AS18" s="587">
        <f t="shared" si="1"/>
        <v>3532.62</v>
      </c>
      <c r="AT18" s="1134"/>
      <c r="AU18" s="1522"/>
      <c r="AV18" s="587"/>
      <c r="AW18" s="587">
        <f t="shared" si="2"/>
        <v>3532.62</v>
      </c>
      <c r="AX18" s="1134"/>
      <c r="AY18" s="1522"/>
      <c r="AZ18" s="595"/>
      <c r="BA18" s="801">
        <f t="shared" si="18"/>
        <v>0</v>
      </c>
      <c r="BB18" s="470"/>
      <c r="BC18" s="522">
        <f t="shared" ref="BC18" si="32">BA18+AM18</f>
        <v>1636.9</v>
      </c>
      <c r="BD18" s="587"/>
      <c r="BE18" s="256">
        <f t="shared" ref="BE18" si="33">+AW18+AY18</f>
        <v>3532.62</v>
      </c>
      <c r="BF18" s="26"/>
      <c r="BG18" s="26"/>
      <c r="BH18" s="26"/>
      <c r="BP18" s="26"/>
      <c r="BQ18" s="26"/>
    </row>
    <row r="19" spans="1:69" ht="23.45" x14ac:dyDescent="0.3">
      <c r="A19" s="33"/>
      <c r="B19" s="2655" t="s">
        <v>1661</v>
      </c>
      <c r="C19" s="159" t="s">
        <v>354</v>
      </c>
      <c r="D19" s="200"/>
      <c r="E19" s="2470"/>
      <c r="F19" s="2470"/>
      <c r="G19" s="2470"/>
      <c r="H19" s="2469"/>
      <c r="I19" s="1658">
        <f t="shared" si="5"/>
        <v>0</v>
      </c>
      <c r="J19" s="2470"/>
      <c r="K19" s="2470"/>
      <c r="L19" s="1357"/>
      <c r="M19" s="801">
        <f t="shared" si="6"/>
        <v>0</v>
      </c>
      <c r="N19" s="2470"/>
      <c r="O19" s="2470"/>
      <c r="P19" s="1605"/>
      <c r="Q19" s="1658">
        <f t="shared" si="7"/>
        <v>0</v>
      </c>
      <c r="R19" s="2470"/>
      <c r="S19" s="2470"/>
      <c r="T19" s="2469"/>
      <c r="U19" s="1658">
        <f t="shared" si="8"/>
        <v>0</v>
      </c>
      <c r="V19" s="2470"/>
      <c r="W19" s="2470"/>
      <c r="X19" s="1357"/>
      <c r="Y19" s="801">
        <f t="shared" si="9"/>
        <v>0</v>
      </c>
      <c r="Z19" s="470"/>
      <c r="AA19" s="522">
        <f t="shared" si="10"/>
        <v>0</v>
      </c>
      <c r="AB19" s="2470"/>
      <c r="AC19" s="4362"/>
      <c r="AD19" s="1605"/>
      <c r="AE19" s="587">
        <f t="shared" si="25"/>
        <v>0</v>
      </c>
      <c r="AF19" s="2470"/>
      <c r="AG19" s="4362"/>
      <c r="AH19" s="1605"/>
      <c r="AI19" s="587">
        <f t="shared" si="26"/>
        <v>0</v>
      </c>
      <c r="AJ19" s="2470"/>
      <c r="AK19" s="4362"/>
      <c r="AL19" s="2472"/>
      <c r="AM19" s="801">
        <f t="shared" si="13"/>
        <v>0</v>
      </c>
      <c r="AN19" s="1605"/>
      <c r="AO19" s="587">
        <f t="shared" si="14"/>
        <v>0</v>
      </c>
      <c r="AP19" s="2470"/>
      <c r="AQ19" s="4362"/>
      <c r="AR19" s="1605"/>
      <c r="AS19" s="587">
        <f t="shared" si="1"/>
        <v>0</v>
      </c>
      <c r="AT19" s="2470"/>
      <c r="AU19" s="4362"/>
      <c r="AV19" s="1605"/>
      <c r="AW19" s="587">
        <f t="shared" si="2"/>
        <v>0</v>
      </c>
      <c r="AX19" s="2470"/>
      <c r="AY19" s="4362"/>
      <c r="AZ19" s="2472"/>
      <c r="BA19" s="801">
        <f t="shared" si="18"/>
        <v>0</v>
      </c>
      <c r="BB19" s="470"/>
      <c r="BC19" s="522">
        <f t="shared" si="19"/>
        <v>0</v>
      </c>
      <c r="BD19" s="1605"/>
      <c r="BE19" s="256">
        <f t="shared" si="3"/>
        <v>0</v>
      </c>
      <c r="BF19" s="26"/>
      <c r="BG19" s="26"/>
      <c r="BH19" s="26"/>
      <c r="BP19" s="26"/>
      <c r="BQ19" s="26"/>
    </row>
    <row r="20" spans="1:69" ht="16.149999999999999" thickBot="1" x14ac:dyDescent="0.35">
      <c r="A20" s="33"/>
      <c r="B20" s="1656"/>
      <c r="C20" s="159"/>
      <c r="D20" s="200"/>
      <c r="E20" s="1134"/>
      <c r="F20" s="1134"/>
      <c r="G20" s="1134"/>
      <c r="H20" s="1658"/>
      <c r="I20" s="1658"/>
      <c r="J20" s="1134"/>
      <c r="K20" s="1134"/>
      <c r="L20" s="801"/>
      <c r="M20" s="801">
        <f t="shared" si="6"/>
        <v>0</v>
      </c>
      <c r="N20" s="1134"/>
      <c r="O20" s="1134"/>
      <c r="P20" s="587"/>
      <c r="Q20" s="1658">
        <f t="shared" si="7"/>
        <v>0</v>
      </c>
      <c r="R20" s="1134"/>
      <c r="S20" s="1134"/>
      <c r="T20" s="782"/>
      <c r="U20" s="1658">
        <f t="shared" si="8"/>
        <v>0</v>
      </c>
      <c r="V20" s="1134"/>
      <c r="W20" s="1134"/>
      <c r="X20" s="801"/>
      <c r="Y20" s="801"/>
      <c r="Z20" s="470"/>
      <c r="AA20" s="522"/>
      <c r="AB20" s="1134"/>
      <c r="AC20" s="151"/>
      <c r="AD20" s="587"/>
      <c r="AE20" s="587"/>
      <c r="AF20" s="1134"/>
      <c r="AG20" s="151"/>
      <c r="AH20" s="587"/>
      <c r="AI20" s="587"/>
      <c r="AJ20" s="1134"/>
      <c r="AK20" s="151"/>
      <c r="AL20" s="595"/>
      <c r="AM20" s="801"/>
      <c r="AN20" s="587"/>
      <c r="AO20" s="587"/>
      <c r="AP20" s="1134"/>
      <c r="AQ20" s="151"/>
      <c r="AR20" s="587"/>
      <c r="AS20" s="587"/>
      <c r="AT20" s="1134"/>
      <c r="AU20" s="151"/>
      <c r="AV20" s="587"/>
      <c r="AW20" s="587"/>
      <c r="AX20" s="1134"/>
      <c r="AY20" s="151"/>
      <c r="AZ20" s="595"/>
      <c r="BA20" s="801"/>
      <c r="BB20" s="470"/>
      <c r="BC20" s="522"/>
      <c r="BD20" s="587"/>
      <c r="BE20" s="256"/>
      <c r="BF20" s="26"/>
      <c r="BG20" s="26"/>
      <c r="BH20" s="26"/>
      <c r="BP20" s="26"/>
      <c r="BQ20" s="26"/>
    </row>
    <row r="21" spans="1:69" ht="24.6" x14ac:dyDescent="0.3">
      <c r="A21" s="33"/>
      <c r="B21" s="2453" t="s">
        <v>1662</v>
      </c>
      <c r="C21" s="159"/>
      <c r="D21" s="200"/>
      <c r="E21" s="1134"/>
      <c r="F21" s="1134"/>
      <c r="G21" s="1134"/>
      <c r="H21" s="1658"/>
      <c r="I21" s="1658"/>
      <c r="J21" s="1134"/>
      <c r="K21" s="1134"/>
      <c r="L21" s="801"/>
      <c r="M21" s="801"/>
      <c r="N21" s="1134"/>
      <c r="O21" s="1134"/>
      <c r="P21" s="587"/>
      <c r="Q21" s="1658">
        <f t="shared" si="7"/>
        <v>0</v>
      </c>
      <c r="R21" s="1134"/>
      <c r="S21" s="1134"/>
      <c r="T21" s="782"/>
      <c r="U21" s="1658">
        <f t="shared" si="8"/>
        <v>0</v>
      </c>
      <c r="V21" s="1134"/>
      <c r="W21" s="1134"/>
      <c r="X21" s="801"/>
      <c r="Y21" s="801"/>
      <c r="Z21" s="470"/>
      <c r="AA21" s="522"/>
      <c r="AB21" s="1134"/>
      <c r="AC21" s="151"/>
      <c r="AD21" s="1134"/>
      <c r="AE21" s="782"/>
      <c r="AF21" s="1134"/>
      <c r="AG21" s="151"/>
      <c r="AH21" s="587"/>
      <c r="AI21" s="587"/>
      <c r="AJ21" s="1134"/>
      <c r="AK21" s="151"/>
      <c r="AL21" s="595"/>
      <c r="AM21" s="801"/>
      <c r="AN21" s="587"/>
      <c r="AO21" s="587"/>
      <c r="AP21" s="1134"/>
      <c r="AQ21" s="151"/>
      <c r="AR21" s="587"/>
      <c r="AS21" s="587"/>
      <c r="AT21" s="1134"/>
      <c r="AU21" s="151"/>
      <c r="AV21" s="587"/>
      <c r="AW21" s="587"/>
      <c r="AX21" s="1134"/>
      <c r="AY21" s="151"/>
      <c r="AZ21" s="595"/>
      <c r="BA21" s="801"/>
      <c r="BB21" s="470"/>
      <c r="BC21" s="522"/>
      <c r="BD21" s="587"/>
      <c r="BE21" s="256"/>
      <c r="BF21" s="26"/>
      <c r="BG21" s="26"/>
      <c r="BH21" s="26"/>
      <c r="BP21" s="26"/>
      <c r="BQ21" s="26"/>
    </row>
    <row r="22" spans="1:69" ht="20.45" x14ac:dyDescent="0.3">
      <c r="A22" s="33"/>
      <c r="B22" s="742" t="s">
        <v>691</v>
      </c>
      <c r="C22" s="159"/>
      <c r="D22" s="200"/>
      <c r="E22" s="1134"/>
      <c r="F22" s="1134"/>
      <c r="G22" s="1134"/>
      <c r="H22" s="1658"/>
      <c r="I22" s="1658"/>
      <c r="J22" s="1134"/>
      <c r="K22" s="1134"/>
      <c r="L22" s="801"/>
      <c r="M22" s="801"/>
      <c r="N22" s="1134"/>
      <c r="O22" s="1134"/>
      <c r="P22" s="587"/>
      <c r="Q22" s="1658">
        <f t="shared" si="7"/>
        <v>0</v>
      </c>
      <c r="R22" s="1134"/>
      <c r="S22" s="1134"/>
      <c r="T22" s="782"/>
      <c r="U22" s="1658">
        <f t="shared" si="8"/>
        <v>0</v>
      </c>
      <c r="V22" s="1134"/>
      <c r="W22" s="1134"/>
      <c r="X22" s="801"/>
      <c r="Y22" s="801"/>
      <c r="Z22" s="470"/>
      <c r="AA22" s="522"/>
      <c r="AB22" s="1134"/>
      <c r="AC22" s="151"/>
      <c r="AD22" s="1134"/>
      <c r="AE22" s="782">
        <f t="shared" ref="AE22" si="34">+AA22+AC22</f>
        <v>0</v>
      </c>
      <c r="AF22" s="1134"/>
      <c r="AG22" s="151"/>
      <c r="AH22" s="587"/>
      <c r="AI22" s="587"/>
      <c r="AJ22" s="1134"/>
      <c r="AK22" s="151"/>
      <c r="AL22" s="595"/>
      <c r="AM22" s="801"/>
      <c r="AN22" s="587"/>
      <c r="AO22" s="587"/>
      <c r="AP22" s="1134"/>
      <c r="AQ22" s="151"/>
      <c r="AR22" s="587"/>
      <c r="AS22" s="587"/>
      <c r="AT22" s="1134"/>
      <c r="AU22" s="151"/>
      <c r="AV22" s="587"/>
      <c r="AW22" s="587"/>
      <c r="AX22" s="1134"/>
      <c r="AY22" s="151"/>
      <c r="AZ22" s="595"/>
      <c r="BA22" s="801"/>
      <c r="BB22" s="470"/>
      <c r="BC22" s="522"/>
      <c r="BD22" s="587"/>
      <c r="BE22" s="256"/>
      <c r="BF22" s="26"/>
      <c r="BG22" s="26"/>
      <c r="BH22" s="26"/>
      <c r="BP22" s="26"/>
      <c r="BQ22" s="26"/>
    </row>
    <row r="23" spans="1:69" ht="15.6" x14ac:dyDescent="0.3">
      <c r="A23" s="149"/>
      <c r="B23" s="743" t="s">
        <v>692</v>
      </c>
      <c r="C23" s="159" t="s">
        <v>354</v>
      </c>
      <c r="D23" s="1357"/>
      <c r="E23" s="1357">
        <f>+SUM(E24:E32)</f>
        <v>4059.2500000000005</v>
      </c>
      <c r="F23" s="1357"/>
      <c r="G23" s="1357">
        <f>+SUM(G24:G32)</f>
        <v>4257.2500000000009</v>
      </c>
      <c r="H23" s="1659"/>
      <c r="I23" s="1659">
        <f t="shared" ref="I23:I86" si="35">+E23+G23</f>
        <v>8316.5000000000018</v>
      </c>
      <c r="J23" s="1357"/>
      <c r="K23" s="1357">
        <f>+SUM(K24:K32)</f>
        <v>3733.8799999999997</v>
      </c>
      <c r="L23" s="1357"/>
      <c r="M23" s="2258">
        <f t="shared" ref="M23:M108" si="36">+E23+G23+K23</f>
        <v>12050.380000000001</v>
      </c>
      <c r="N23" s="1357"/>
      <c r="O23" s="1357">
        <f>+SUM(O24:O32)</f>
        <v>3296.2</v>
      </c>
      <c r="P23" s="1357"/>
      <c r="Q23" s="1658">
        <f t="shared" si="7"/>
        <v>15346.580000000002</v>
      </c>
      <c r="R23" s="1357"/>
      <c r="S23" s="1357">
        <f>+SUM(S24:S32)</f>
        <v>4139.91</v>
      </c>
      <c r="T23" s="1357"/>
      <c r="U23" s="1658">
        <f t="shared" si="8"/>
        <v>19486.490000000002</v>
      </c>
      <c r="V23" s="1357"/>
      <c r="W23" s="1357">
        <f>+SUM(W24:W32)</f>
        <v>3638.23</v>
      </c>
      <c r="X23" s="1357"/>
      <c r="Y23" s="2258">
        <f t="shared" si="9"/>
        <v>11074.34</v>
      </c>
      <c r="Z23" s="1357"/>
      <c r="AA23" s="522">
        <f t="shared" si="10"/>
        <v>23124.720000000001</v>
      </c>
      <c r="AB23" s="1357"/>
      <c r="AC23" s="4359">
        <f>+SUM(AC24:AC32)</f>
        <v>3713.7899999999986</v>
      </c>
      <c r="AD23" s="1357"/>
      <c r="AE23" s="1357">
        <f t="shared" ref="AE23:AE58" si="37">+AA23+AC23</f>
        <v>26838.51</v>
      </c>
      <c r="AF23" s="1357"/>
      <c r="AG23" s="4359">
        <f>+SUM(AG24:AG32)</f>
        <v>3826.9700000000003</v>
      </c>
      <c r="AH23" s="1357"/>
      <c r="AI23" s="1357">
        <f t="shared" ref="AI23:AI58" si="38">+AE23+AG23</f>
        <v>30665.48</v>
      </c>
      <c r="AJ23" s="1357"/>
      <c r="AK23" s="4359">
        <f>+SUM(AK24:AK32)</f>
        <v>3981.27</v>
      </c>
      <c r="AL23" s="1357"/>
      <c r="AM23" s="2258">
        <f t="shared" si="13"/>
        <v>11522.029999999999</v>
      </c>
      <c r="AN23" s="1357"/>
      <c r="AO23" s="1357">
        <f t="shared" si="14"/>
        <v>34646.75</v>
      </c>
      <c r="AP23" s="1357"/>
      <c r="AQ23" s="4359">
        <f>+SUM(AQ24:AQ32)</f>
        <v>3120.1499999999996</v>
      </c>
      <c r="AR23" s="1357"/>
      <c r="AS23" s="1357">
        <f t="shared" ref="AS23:AS58" si="39">+AO23+AQ23</f>
        <v>37766.9</v>
      </c>
      <c r="AT23" s="1357"/>
      <c r="AU23" s="4359">
        <f>+SUM(AU24:AU32)</f>
        <v>4844.83</v>
      </c>
      <c r="AV23" s="1357"/>
      <c r="AW23" s="1357">
        <f t="shared" ref="AW23:AW58" si="40">+AS23+AU23</f>
        <v>42611.73</v>
      </c>
      <c r="AX23" s="1357"/>
      <c r="AY23" s="4359">
        <f>+SUM(AY24:AY32)</f>
        <v>4199.58</v>
      </c>
      <c r="AZ23" s="1357"/>
      <c r="BA23" s="2258">
        <f t="shared" si="18"/>
        <v>12164.56</v>
      </c>
      <c r="BB23" s="1357"/>
      <c r="BC23" s="522">
        <f t="shared" si="19"/>
        <v>23686.589999999997</v>
      </c>
      <c r="BD23" s="1357"/>
      <c r="BE23" s="1357">
        <f t="shared" ref="BE23:BE58" si="41">+AW23+AY23</f>
        <v>46811.310000000005</v>
      </c>
      <c r="BF23" s="26"/>
      <c r="BG23" s="26"/>
      <c r="BH23" s="26"/>
      <c r="BP23" s="26"/>
      <c r="BQ23" s="26"/>
    </row>
    <row r="24" spans="1:69" ht="15.6" x14ac:dyDescent="0.3">
      <c r="B24" s="8" t="s">
        <v>344</v>
      </c>
      <c r="C24" s="159" t="s">
        <v>354</v>
      </c>
      <c r="D24" s="597"/>
      <c r="E24" s="1201">
        <v>752.26</v>
      </c>
      <c r="F24" s="1201"/>
      <c r="G24" s="1201">
        <v>634.84</v>
      </c>
      <c r="H24" s="1658"/>
      <c r="I24" s="1658">
        <f t="shared" si="35"/>
        <v>1387.1</v>
      </c>
      <c r="J24" s="1201"/>
      <c r="K24" s="1201">
        <v>496.04</v>
      </c>
      <c r="L24" s="200"/>
      <c r="M24" s="2258">
        <f t="shared" si="36"/>
        <v>1883.1399999999999</v>
      </c>
      <c r="N24" s="1201"/>
      <c r="O24" s="1201">
        <v>495.96000000000009</v>
      </c>
      <c r="P24" s="1201"/>
      <c r="Q24" s="1658">
        <f t="shared" si="7"/>
        <v>2379.1</v>
      </c>
      <c r="R24" s="1201"/>
      <c r="S24" s="1201">
        <v>614.64</v>
      </c>
      <c r="T24" s="1201"/>
      <c r="U24" s="1658">
        <f t="shared" si="8"/>
        <v>2993.74</v>
      </c>
      <c r="V24" s="1201"/>
      <c r="W24" s="1201">
        <v>499.5200000000001</v>
      </c>
      <c r="X24" s="200"/>
      <c r="Y24" s="2258">
        <f t="shared" si="9"/>
        <v>1610.1200000000003</v>
      </c>
      <c r="Z24" s="1201"/>
      <c r="AA24" s="544">
        <f t="shared" si="10"/>
        <v>3493.26</v>
      </c>
      <c r="AB24" s="1201"/>
      <c r="AC24" s="1280">
        <v>238.39999999999998</v>
      </c>
      <c r="AD24" s="1201"/>
      <c r="AE24" s="587">
        <f t="shared" ref="AE24:AE32" si="42">AA24+AC24</f>
        <v>3731.6600000000003</v>
      </c>
      <c r="AF24" s="1201"/>
      <c r="AG24" s="1280">
        <v>496.84999999999997</v>
      </c>
      <c r="AH24" s="1201"/>
      <c r="AI24" s="782">
        <f t="shared" si="38"/>
        <v>4228.51</v>
      </c>
      <c r="AJ24" s="1201"/>
      <c r="AK24" s="1280">
        <v>436.56</v>
      </c>
      <c r="AL24" s="1201"/>
      <c r="AM24" s="2258">
        <f t="shared" si="13"/>
        <v>1171.81</v>
      </c>
      <c r="AN24" s="1201"/>
      <c r="AO24" s="782">
        <f t="shared" si="14"/>
        <v>4665.0700000000006</v>
      </c>
      <c r="AP24" s="1201"/>
      <c r="AQ24" s="1280">
        <v>455.26</v>
      </c>
      <c r="AR24" s="1201"/>
      <c r="AS24" s="782">
        <f t="shared" si="39"/>
        <v>5120.3300000000008</v>
      </c>
      <c r="AT24" s="1201"/>
      <c r="AU24" s="1280">
        <v>614.73</v>
      </c>
      <c r="AV24" s="1201"/>
      <c r="AW24" s="782">
        <f t="shared" si="40"/>
        <v>5735.0600000000013</v>
      </c>
      <c r="AX24" s="1201"/>
      <c r="AY24" s="1280">
        <v>455.19</v>
      </c>
      <c r="AZ24" s="1201"/>
      <c r="BA24" s="2258">
        <f t="shared" si="18"/>
        <v>1525.18</v>
      </c>
      <c r="BB24" s="1201"/>
      <c r="BC24" s="544">
        <f t="shared" si="19"/>
        <v>2696.99</v>
      </c>
      <c r="BD24" s="1201"/>
      <c r="BE24" s="376">
        <f t="shared" si="41"/>
        <v>6190.2500000000009</v>
      </c>
      <c r="BF24" s="26"/>
      <c r="BG24" s="26"/>
      <c r="BH24" s="26"/>
      <c r="BP24" s="26"/>
      <c r="BQ24" s="26"/>
    </row>
    <row r="25" spans="1:69" ht="15.6" hidden="1" x14ac:dyDescent="0.3">
      <c r="B25" s="8" t="s">
        <v>717</v>
      </c>
      <c r="C25" s="159" t="s">
        <v>354</v>
      </c>
      <c r="D25" s="597"/>
      <c r="E25" s="1201"/>
      <c r="F25" s="1201"/>
      <c r="G25" s="1201"/>
      <c r="H25" s="1658"/>
      <c r="I25" s="1658">
        <f t="shared" si="35"/>
        <v>0</v>
      </c>
      <c r="J25" s="1201"/>
      <c r="K25" s="1201"/>
      <c r="L25" s="200"/>
      <c r="M25" s="2258">
        <f t="shared" si="36"/>
        <v>0</v>
      </c>
      <c r="N25" s="1201"/>
      <c r="O25" s="1201"/>
      <c r="P25" s="1201"/>
      <c r="Q25" s="1658">
        <f t="shared" si="7"/>
        <v>0</v>
      </c>
      <c r="R25" s="1201"/>
      <c r="S25" s="1201"/>
      <c r="T25" s="1201"/>
      <c r="U25" s="1658">
        <f t="shared" si="8"/>
        <v>0</v>
      </c>
      <c r="V25" s="1201"/>
      <c r="W25" s="1201"/>
      <c r="X25" s="200"/>
      <c r="Y25" s="2258">
        <f t="shared" si="9"/>
        <v>0</v>
      </c>
      <c r="Z25" s="1201"/>
      <c r="AA25" s="544">
        <f t="shared" si="10"/>
        <v>0</v>
      </c>
      <c r="AB25" s="1201"/>
      <c r="AC25" s="1280"/>
      <c r="AD25" s="1201"/>
      <c r="AE25" s="587">
        <f t="shared" si="42"/>
        <v>0</v>
      </c>
      <c r="AF25" s="1201"/>
      <c r="AG25" s="1280"/>
      <c r="AH25" s="1201"/>
      <c r="AI25" s="782">
        <f t="shared" si="38"/>
        <v>0</v>
      </c>
      <c r="AJ25" s="1201"/>
      <c r="AK25" s="1280"/>
      <c r="AL25" s="1201"/>
      <c r="AM25" s="2258">
        <f t="shared" si="13"/>
        <v>0</v>
      </c>
      <c r="AN25" s="1201"/>
      <c r="AO25" s="782">
        <f t="shared" si="14"/>
        <v>0</v>
      </c>
      <c r="AP25" s="1201"/>
      <c r="AQ25" s="1280"/>
      <c r="AR25" s="1201"/>
      <c r="AS25" s="782">
        <f t="shared" si="39"/>
        <v>0</v>
      </c>
      <c r="AT25" s="1201"/>
      <c r="AU25" s="1280"/>
      <c r="AV25" s="1201"/>
      <c r="AW25" s="782">
        <f t="shared" si="40"/>
        <v>0</v>
      </c>
      <c r="AX25" s="1201"/>
      <c r="AY25" s="1280"/>
      <c r="AZ25" s="1201"/>
      <c r="BA25" s="2258">
        <f t="shared" si="18"/>
        <v>0</v>
      </c>
      <c r="BB25" s="1201"/>
      <c r="BC25" s="544">
        <f t="shared" si="19"/>
        <v>0</v>
      </c>
      <c r="BD25" s="1201"/>
      <c r="BE25" s="376">
        <f t="shared" si="41"/>
        <v>0</v>
      </c>
      <c r="BF25" s="26"/>
      <c r="BG25" s="26"/>
      <c r="BH25" s="26"/>
      <c r="BP25" s="26"/>
      <c r="BQ25" s="26"/>
    </row>
    <row r="26" spans="1:69" ht="15.6" hidden="1" x14ac:dyDescent="0.3">
      <c r="B26" s="8" t="s">
        <v>794</v>
      </c>
      <c r="C26" s="159" t="s">
        <v>354</v>
      </c>
      <c r="D26" s="597"/>
      <c r="E26" s="1201"/>
      <c r="F26" s="1201"/>
      <c r="G26" s="1201"/>
      <c r="H26" s="1658"/>
      <c r="I26" s="1658">
        <f t="shared" si="35"/>
        <v>0</v>
      </c>
      <c r="J26" s="1201"/>
      <c r="K26" s="1201"/>
      <c r="L26" s="200"/>
      <c r="M26" s="2258">
        <f t="shared" si="36"/>
        <v>0</v>
      </c>
      <c r="N26" s="1201"/>
      <c r="O26" s="1201"/>
      <c r="P26" s="1201"/>
      <c r="Q26" s="1658">
        <f t="shared" si="7"/>
        <v>0</v>
      </c>
      <c r="R26" s="1201"/>
      <c r="S26" s="1201"/>
      <c r="T26" s="1201"/>
      <c r="U26" s="1658">
        <f t="shared" si="8"/>
        <v>0</v>
      </c>
      <c r="V26" s="1201"/>
      <c r="W26" s="1201"/>
      <c r="X26" s="200"/>
      <c r="Y26" s="2258">
        <f t="shared" si="9"/>
        <v>0</v>
      </c>
      <c r="Z26" s="1201"/>
      <c r="AA26" s="544">
        <f t="shared" si="10"/>
        <v>0</v>
      </c>
      <c r="AB26" s="1201"/>
      <c r="AC26" s="1280"/>
      <c r="AD26" s="1201"/>
      <c r="AE26" s="587">
        <f t="shared" si="42"/>
        <v>0</v>
      </c>
      <c r="AF26" s="1201"/>
      <c r="AG26" s="1280"/>
      <c r="AH26" s="1201"/>
      <c r="AI26" s="782">
        <f t="shared" si="38"/>
        <v>0</v>
      </c>
      <c r="AJ26" s="1201"/>
      <c r="AK26" s="1280"/>
      <c r="AL26" s="1201"/>
      <c r="AM26" s="2258">
        <f t="shared" si="13"/>
        <v>0</v>
      </c>
      <c r="AN26" s="1201"/>
      <c r="AO26" s="782">
        <f t="shared" si="14"/>
        <v>0</v>
      </c>
      <c r="AP26" s="1201"/>
      <c r="AQ26" s="1280"/>
      <c r="AR26" s="1201"/>
      <c r="AS26" s="782">
        <f t="shared" si="39"/>
        <v>0</v>
      </c>
      <c r="AT26" s="1201"/>
      <c r="AU26" s="1280"/>
      <c r="AV26" s="1201"/>
      <c r="AW26" s="782">
        <f t="shared" si="40"/>
        <v>0</v>
      </c>
      <c r="AX26" s="1201"/>
      <c r="AY26" s="1280"/>
      <c r="AZ26" s="1201"/>
      <c r="BA26" s="2258">
        <f t="shared" si="18"/>
        <v>0</v>
      </c>
      <c r="BB26" s="1201"/>
      <c r="BC26" s="544">
        <f t="shared" si="19"/>
        <v>0</v>
      </c>
      <c r="BD26" s="1201"/>
      <c r="BE26" s="376">
        <f t="shared" si="41"/>
        <v>0</v>
      </c>
      <c r="BF26" s="26"/>
      <c r="BG26" s="26"/>
      <c r="BH26" s="26"/>
      <c r="BP26" s="26"/>
      <c r="BQ26" s="26"/>
    </row>
    <row r="27" spans="1:69" ht="15.6" hidden="1" x14ac:dyDescent="0.3">
      <c r="B27" s="8" t="s">
        <v>1673</v>
      </c>
      <c r="C27" s="2508" t="s">
        <v>354</v>
      </c>
      <c r="D27" s="2509"/>
      <c r="E27" s="2492"/>
      <c r="F27" s="2492"/>
      <c r="G27" s="2492"/>
      <c r="H27" s="2510"/>
      <c r="I27" s="1658">
        <f t="shared" si="35"/>
        <v>0</v>
      </c>
      <c r="J27" s="2492"/>
      <c r="K27" s="2492"/>
      <c r="L27" s="2511"/>
      <c r="M27" s="2258">
        <f t="shared" si="36"/>
        <v>0</v>
      </c>
      <c r="N27" s="2492"/>
      <c r="O27" s="2492"/>
      <c r="P27" s="2492"/>
      <c r="Q27" s="1658">
        <f t="shared" si="7"/>
        <v>0</v>
      </c>
      <c r="R27" s="2492"/>
      <c r="S27" s="2492"/>
      <c r="T27" s="2492"/>
      <c r="U27" s="1658">
        <f t="shared" si="8"/>
        <v>0</v>
      </c>
      <c r="V27" s="2492"/>
      <c r="W27" s="2492"/>
      <c r="X27" s="2511"/>
      <c r="Y27" s="2258">
        <f t="shared" si="9"/>
        <v>0</v>
      </c>
      <c r="Z27" s="1201"/>
      <c r="AA27" s="544">
        <f t="shared" si="10"/>
        <v>0</v>
      </c>
      <c r="AB27" s="2492"/>
      <c r="AC27" s="4364"/>
      <c r="AD27" s="2492"/>
      <c r="AE27" s="587">
        <f t="shared" si="42"/>
        <v>0</v>
      </c>
      <c r="AF27" s="2492"/>
      <c r="AG27" s="4364"/>
      <c r="AH27" s="2492"/>
      <c r="AI27" s="2494"/>
      <c r="AJ27" s="2492"/>
      <c r="AK27" s="4364"/>
      <c r="AL27" s="2492"/>
      <c r="AM27" s="2258">
        <f t="shared" si="13"/>
        <v>0</v>
      </c>
      <c r="AN27" s="2492"/>
      <c r="AO27" s="2494"/>
      <c r="AP27" s="2492"/>
      <c r="AQ27" s="4364"/>
      <c r="AR27" s="2492"/>
      <c r="AS27" s="782">
        <f t="shared" si="39"/>
        <v>0</v>
      </c>
      <c r="AT27" s="2492"/>
      <c r="AU27" s="4364"/>
      <c r="AV27" s="2492"/>
      <c r="AW27" s="782">
        <f t="shared" si="40"/>
        <v>0</v>
      </c>
      <c r="AX27" s="2492"/>
      <c r="AY27" s="4364"/>
      <c r="AZ27" s="2492"/>
      <c r="BA27" s="2258">
        <f t="shared" si="18"/>
        <v>0</v>
      </c>
      <c r="BB27" s="1201"/>
      <c r="BC27" s="544">
        <f t="shared" si="19"/>
        <v>0</v>
      </c>
      <c r="BD27" s="2492"/>
      <c r="BE27" s="376">
        <f t="shared" si="41"/>
        <v>0</v>
      </c>
      <c r="BF27" s="26"/>
      <c r="BG27" s="26"/>
      <c r="BH27" s="26"/>
      <c r="BP27" s="26"/>
      <c r="BQ27" s="26"/>
    </row>
    <row r="28" spans="1:69" ht="15.6" x14ac:dyDescent="0.3">
      <c r="B28" s="8" t="s">
        <v>693</v>
      </c>
      <c r="C28" s="159" t="s">
        <v>354</v>
      </c>
      <c r="D28" s="597"/>
      <c r="E28" s="1201">
        <v>3284.26</v>
      </c>
      <c r="F28" s="1201"/>
      <c r="G28" s="1201">
        <v>3622.4100000000012</v>
      </c>
      <c r="H28" s="1658"/>
      <c r="I28" s="1658">
        <f t="shared" si="35"/>
        <v>6906.6700000000019</v>
      </c>
      <c r="J28" s="1201"/>
      <c r="K28" s="1201">
        <v>3227.91</v>
      </c>
      <c r="L28" s="200"/>
      <c r="M28" s="2258">
        <f t="shared" si="36"/>
        <v>10134.580000000002</v>
      </c>
      <c r="N28" s="1201"/>
      <c r="O28" s="1201">
        <v>2790.2599999999998</v>
      </c>
      <c r="P28" s="1201"/>
      <c r="Q28" s="1658">
        <f t="shared" si="7"/>
        <v>12924.840000000002</v>
      </c>
      <c r="R28" s="1201"/>
      <c r="S28" s="1201">
        <v>3515.37</v>
      </c>
      <c r="T28" s="1201"/>
      <c r="U28" s="1658">
        <f t="shared" si="8"/>
        <v>16440.210000000003</v>
      </c>
      <c r="V28" s="1201"/>
      <c r="W28" s="1201">
        <v>3138.71</v>
      </c>
      <c r="X28" s="200"/>
      <c r="Y28" s="2258">
        <f t="shared" si="9"/>
        <v>9444.34</v>
      </c>
      <c r="Z28" s="1201"/>
      <c r="AA28" s="544">
        <f t="shared" si="10"/>
        <v>19578.920000000002</v>
      </c>
      <c r="AB28" s="1201"/>
      <c r="AC28" s="1280">
        <v>3460.8999999999987</v>
      </c>
      <c r="AD28" s="1201"/>
      <c r="AE28" s="587">
        <f t="shared" si="42"/>
        <v>23039.82</v>
      </c>
      <c r="AF28" s="1201"/>
      <c r="AG28" s="1280">
        <v>3330.1200000000003</v>
      </c>
      <c r="AH28" s="1201"/>
      <c r="AI28" s="782">
        <f t="shared" si="38"/>
        <v>26369.94</v>
      </c>
      <c r="AJ28" s="1201"/>
      <c r="AK28" s="1280">
        <v>3544.71</v>
      </c>
      <c r="AL28" s="1201"/>
      <c r="AM28" s="2258">
        <f t="shared" si="13"/>
        <v>10335.73</v>
      </c>
      <c r="AN28" s="1201"/>
      <c r="AO28" s="782">
        <f t="shared" si="14"/>
        <v>29914.649999999998</v>
      </c>
      <c r="AP28" s="1201"/>
      <c r="AQ28" s="1280">
        <v>2649.93</v>
      </c>
      <c r="AR28" s="1201"/>
      <c r="AS28" s="782">
        <f t="shared" si="39"/>
        <v>32564.579999999998</v>
      </c>
      <c r="AT28" s="1201"/>
      <c r="AU28" s="1280">
        <v>4230.1000000000004</v>
      </c>
      <c r="AV28" s="1201"/>
      <c r="AW28" s="782">
        <f t="shared" si="40"/>
        <v>36794.68</v>
      </c>
      <c r="AX28" s="1201"/>
      <c r="AY28" s="1280">
        <v>3744.39</v>
      </c>
      <c r="AZ28" s="1201"/>
      <c r="BA28" s="2258">
        <f t="shared" si="18"/>
        <v>10624.42</v>
      </c>
      <c r="BB28" s="1201"/>
      <c r="BC28" s="544">
        <f t="shared" si="19"/>
        <v>20960.150000000001</v>
      </c>
      <c r="BD28" s="1201"/>
      <c r="BE28" s="376">
        <f t="shared" si="41"/>
        <v>40539.07</v>
      </c>
      <c r="BF28" s="26"/>
      <c r="BG28" s="26"/>
      <c r="BH28" s="26"/>
      <c r="BP28" s="26"/>
      <c r="BQ28" s="26"/>
    </row>
    <row r="29" spans="1:69" ht="15.6" hidden="1" x14ac:dyDescent="0.3">
      <c r="B29" s="8" t="s">
        <v>795</v>
      </c>
      <c r="C29" s="159" t="s">
        <v>354</v>
      </c>
      <c r="D29" s="597"/>
      <c r="E29" s="1201"/>
      <c r="F29" s="1201"/>
      <c r="G29" s="1201"/>
      <c r="H29" s="1658"/>
      <c r="I29" s="1658">
        <f t="shared" si="35"/>
        <v>0</v>
      </c>
      <c r="J29" s="1201"/>
      <c r="K29" s="1201"/>
      <c r="L29" s="200"/>
      <c r="M29" s="2258">
        <f t="shared" si="36"/>
        <v>0</v>
      </c>
      <c r="N29" s="1201"/>
      <c r="O29" s="1201"/>
      <c r="P29" s="1201"/>
      <c r="Q29" s="1658">
        <f t="shared" si="7"/>
        <v>0</v>
      </c>
      <c r="R29" s="1201"/>
      <c r="S29" s="1201"/>
      <c r="T29" s="1201"/>
      <c r="U29" s="1658">
        <f t="shared" si="8"/>
        <v>0</v>
      </c>
      <c r="V29" s="1201"/>
      <c r="W29" s="1201"/>
      <c r="X29" s="200"/>
      <c r="Y29" s="2258">
        <f t="shared" si="9"/>
        <v>0</v>
      </c>
      <c r="Z29" s="1201"/>
      <c r="AA29" s="544">
        <f t="shared" si="10"/>
        <v>0</v>
      </c>
      <c r="AB29" s="1201"/>
      <c r="AC29" s="1280"/>
      <c r="AD29" s="1201"/>
      <c r="AE29" s="587">
        <f t="shared" si="42"/>
        <v>0</v>
      </c>
      <c r="AF29" s="1201"/>
      <c r="AG29" s="1280"/>
      <c r="AH29" s="1201"/>
      <c r="AI29" s="782">
        <f t="shared" si="38"/>
        <v>0</v>
      </c>
      <c r="AJ29" s="1201"/>
      <c r="AK29" s="1280"/>
      <c r="AL29" s="1201"/>
      <c r="AM29" s="2258">
        <f t="shared" si="13"/>
        <v>0</v>
      </c>
      <c r="AN29" s="1201"/>
      <c r="AO29" s="782">
        <f t="shared" si="14"/>
        <v>0</v>
      </c>
      <c r="AP29" s="1201"/>
      <c r="AQ29" s="1280"/>
      <c r="AR29" s="1201"/>
      <c r="AS29" s="782">
        <f t="shared" si="39"/>
        <v>0</v>
      </c>
      <c r="AT29" s="1201"/>
      <c r="AU29" s="1280"/>
      <c r="AV29" s="1201"/>
      <c r="AW29" s="782">
        <f t="shared" si="40"/>
        <v>0</v>
      </c>
      <c r="AX29" s="1201"/>
      <c r="AY29" s="1280"/>
      <c r="AZ29" s="1201"/>
      <c r="BA29" s="2258">
        <f t="shared" si="18"/>
        <v>0</v>
      </c>
      <c r="BB29" s="1201"/>
      <c r="BC29" s="544">
        <f t="shared" si="19"/>
        <v>0</v>
      </c>
      <c r="BD29" s="1201"/>
      <c r="BE29" s="376">
        <f t="shared" si="41"/>
        <v>0</v>
      </c>
      <c r="BF29" s="26"/>
      <c r="BG29" s="26"/>
      <c r="BH29" s="26"/>
      <c r="BP29" s="26"/>
      <c r="BQ29" s="26"/>
    </row>
    <row r="30" spans="1:69" ht="15.6" hidden="1" x14ac:dyDescent="0.3">
      <c r="B30" s="8" t="s">
        <v>1474</v>
      </c>
      <c r="C30" s="159" t="s">
        <v>354</v>
      </c>
      <c r="D30" s="597"/>
      <c r="E30" s="1201"/>
      <c r="F30" s="1201"/>
      <c r="G30" s="1201"/>
      <c r="H30" s="1658"/>
      <c r="I30" s="1658">
        <f t="shared" si="35"/>
        <v>0</v>
      </c>
      <c r="J30" s="1201"/>
      <c r="K30" s="1201"/>
      <c r="L30" s="200"/>
      <c r="M30" s="2258">
        <f t="shared" si="36"/>
        <v>0</v>
      </c>
      <c r="N30" s="1201"/>
      <c r="O30" s="1201"/>
      <c r="P30" s="1201"/>
      <c r="Q30" s="1658">
        <f t="shared" si="7"/>
        <v>0</v>
      </c>
      <c r="R30" s="1201"/>
      <c r="S30" s="1201"/>
      <c r="T30" s="1201"/>
      <c r="U30" s="1658">
        <f t="shared" si="8"/>
        <v>0</v>
      </c>
      <c r="V30" s="1201"/>
      <c r="W30" s="1201"/>
      <c r="X30" s="200"/>
      <c r="Y30" s="2258">
        <f t="shared" si="9"/>
        <v>0</v>
      </c>
      <c r="Z30" s="1201"/>
      <c r="AA30" s="544">
        <f t="shared" si="10"/>
        <v>0</v>
      </c>
      <c r="AB30" s="1201"/>
      <c r="AC30" s="1280"/>
      <c r="AD30" s="1201"/>
      <c r="AE30" s="587">
        <f t="shared" si="42"/>
        <v>0</v>
      </c>
      <c r="AF30" s="1201"/>
      <c r="AG30" s="1280"/>
      <c r="AH30" s="1201"/>
      <c r="AI30" s="782">
        <f t="shared" si="38"/>
        <v>0</v>
      </c>
      <c r="AJ30" s="1201"/>
      <c r="AK30" s="1280"/>
      <c r="AL30" s="1201"/>
      <c r="AM30" s="2258">
        <f t="shared" si="13"/>
        <v>0</v>
      </c>
      <c r="AN30" s="1201"/>
      <c r="AO30" s="782">
        <f t="shared" si="14"/>
        <v>0</v>
      </c>
      <c r="AP30" s="1201"/>
      <c r="AQ30" s="1280"/>
      <c r="AR30" s="1201"/>
      <c r="AS30" s="782">
        <f t="shared" si="39"/>
        <v>0</v>
      </c>
      <c r="AT30" s="1201"/>
      <c r="AU30" s="1280"/>
      <c r="AV30" s="1201"/>
      <c r="AW30" s="782">
        <f t="shared" si="40"/>
        <v>0</v>
      </c>
      <c r="AX30" s="1201"/>
      <c r="AY30" s="1280"/>
      <c r="AZ30" s="1201"/>
      <c r="BA30" s="2258">
        <f t="shared" si="18"/>
        <v>0</v>
      </c>
      <c r="BB30" s="1201"/>
      <c r="BC30" s="544">
        <f t="shared" si="19"/>
        <v>0</v>
      </c>
      <c r="BD30" s="1201"/>
      <c r="BE30" s="376">
        <f t="shared" si="41"/>
        <v>0</v>
      </c>
      <c r="BF30" s="26"/>
      <c r="BG30" s="26"/>
      <c r="BH30" s="26"/>
      <c r="BP30" s="26"/>
      <c r="BQ30" s="26"/>
    </row>
    <row r="31" spans="1:69" ht="15.6" hidden="1" x14ac:dyDescent="0.3">
      <c r="B31" s="8" t="s">
        <v>813</v>
      </c>
      <c r="C31" s="159" t="s">
        <v>354</v>
      </c>
      <c r="D31" s="597"/>
      <c r="E31" s="1201"/>
      <c r="F31" s="1201"/>
      <c r="G31" s="1201"/>
      <c r="H31" s="1658"/>
      <c r="I31" s="1658">
        <f t="shared" si="35"/>
        <v>0</v>
      </c>
      <c r="J31" s="1201"/>
      <c r="K31" s="1201"/>
      <c r="L31" s="200"/>
      <c r="M31" s="2258">
        <f t="shared" si="36"/>
        <v>0</v>
      </c>
      <c r="N31" s="1201"/>
      <c r="O31" s="1201"/>
      <c r="P31" s="1201"/>
      <c r="Q31" s="1658">
        <f t="shared" si="7"/>
        <v>0</v>
      </c>
      <c r="R31" s="1201"/>
      <c r="S31" s="1201"/>
      <c r="T31" s="1201"/>
      <c r="U31" s="1658">
        <f t="shared" si="8"/>
        <v>0</v>
      </c>
      <c r="V31" s="1201"/>
      <c r="W31" s="1201"/>
      <c r="X31" s="200"/>
      <c r="Y31" s="2258">
        <f t="shared" si="9"/>
        <v>0</v>
      </c>
      <c r="Z31" s="1201"/>
      <c r="AA31" s="544">
        <f t="shared" si="10"/>
        <v>0</v>
      </c>
      <c r="AB31" s="1201"/>
      <c r="AC31" s="1280"/>
      <c r="AD31" s="1201"/>
      <c r="AE31" s="587">
        <f t="shared" si="42"/>
        <v>0</v>
      </c>
      <c r="AF31" s="1201"/>
      <c r="AG31" s="1280"/>
      <c r="AH31" s="1201"/>
      <c r="AI31" s="782">
        <f t="shared" si="38"/>
        <v>0</v>
      </c>
      <c r="AJ31" s="1201"/>
      <c r="AK31" s="1280"/>
      <c r="AL31" s="1201"/>
      <c r="AM31" s="2258">
        <f t="shared" si="13"/>
        <v>0</v>
      </c>
      <c r="AN31" s="1201"/>
      <c r="AO31" s="782">
        <f t="shared" si="14"/>
        <v>0</v>
      </c>
      <c r="AP31" s="1201"/>
      <c r="AQ31" s="1280"/>
      <c r="AR31" s="1201"/>
      <c r="AS31" s="782">
        <f t="shared" si="39"/>
        <v>0</v>
      </c>
      <c r="AT31" s="1201"/>
      <c r="AU31" s="1280"/>
      <c r="AV31" s="1201"/>
      <c r="AW31" s="782">
        <f t="shared" si="40"/>
        <v>0</v>
      </c>
      <c r="AX31" s="1201"/>
      <c r="AY31" s="1280"/>
      <c r="AZ31" s="1201"/>
      <c r="BA31" s="2258">
        <f t="shared" si="18"/>
        <v>0</v>
      </c>
      <c r="BB31" s="1201"/>
      <c r="BC31" s="544">
        <f t="shared" si="19"/>
        <v>0</v>
      </c>
      <c r="BD31" s="1201"/>
      <c r="BE31" s="376">
        <f t="shared" si="41"/>
        <v>0</v>
      </c>
      <c r="BF31" s="26"/>
      <c r="BG31" s="26"/>
      <c r="BH31" s="26"/>
      <c r="BP31" s="26"/>
      <c r="BQ31" s="26"/>
    </row>
    <row r="32" spans="1:69" ht="15.6" x14ac:dyDescent="0.3">
      <c r="B32" s="8" t="s">
        <v>814</v>
      </c>
      <c r="C32" s="159" t="s">
        <v>354</v>
      </c>
      <c r="D32" s="597"/>
      <c r="E32" s="1201">
        <v>22.73</v>
      </c>
      <c r="F32" s="1201"/>
      <c r="G32" s="1201"/>
      <c r="H32" s="1658"/>
      <c r="I32" s="1658">
        <f t="shared" si="35"/>
        <v>22.73</v>
      </c>
      <c r="J32" s="1201"/>
      <c r="K32" s="1201">
        <v>9.93</v>
      </c>
      <c r="L32" s="200"/>
      <c r="M32" s="2258">
        <f t="shared" si="36"/>
        <v>32.659999999999997</v>
      </c>
      <c r="N32" s="1201"/>
      <c r="O32" s="1201">
        <v>9.98</v>
      </c>
      <c r="P32" s="1201"/>
      <c r="Q32" s="1658">
        <f t="shared" si="7"/>
        <v>42.64</v>
      </c>
      <c r="R32" s="1201"/>
      <c r="S32" s="1201">
        <v>9.9</v>
      </c>
      <c r="T32" s="1201"/>
      <c r="U32" s="1658">
        <f t="shared" si="8"/>
        <v>52.54</v>
      </c>
      <c r="V32" s="1201"/>
      <c r="W32" s="1201"/>
      <c r="X32" s="200"/>
      <c r="Y32" s="2258">
        <f t="shared" si="9"/>
        <v>19.880000000000003</v>
      </c>
      <c r="Z32" s="1201"/>
      <c r="AA32" s="544">
        <f t="shared" si="10"/>
        <v>52.54</v>
      </c>
      <c r="AB32" s="1201"/>
      <c r="AC32" s="1280">
        <v>14.489999999999998</v>
      </c>
      <c r="AD32" s="1201"/>
      <c r="AE32" s="587">
        <f t="shared" si="42"/>
        <v>67.03</v>
      </c>
      <c r="AF32" s="1201"/>
      <c r="AG32" s="1280"/>
      <c r="AH32" s="1201"/>
      <c r="AI32" s="782">
        <f t="shared" si="38"/>
        <v>67.03</v>
      </c>
      <c r="AJ32" s="1201"/>
      <c r="AK32" s="1280"/>
      <c r="AL32" s="1201"/>
      <c r="AM32" s="2258">
        <f t="shared" si="13"/>
        <v>14.489999999999998</v>
      </c>
      <c r="AN32" s="1201"/>
      <c r="AO32" s="782">
        <f t="shared" si="14"/>
        <v>67.03</v>
      </c>
      <c r="AP32" s="1201"/>
      <c r="AQ32" s="1280">
        <v>14.96</v>
      </c>
      <c r="AR32" s="1201"/>
      <c r="AS32" s="782">
        <f t="shared" si="39"/>
        <v>81.990000000000009</v>
      </c>
      <c r="AT32" s="1201"/>
      <c r="AU32" s="1280"/>
      <c r="AV32" s="1201"/>
      <c r="AW32" s="782">
        <f t="shared" si="40"/>
        <v>81.990000000000009</v>
      </c>
      <c r="AX32" s="1201"/>
      <c r="AY32" s="1280"/>
      <c r="AZ32" s="1201"/>
      <c r="BA32" s="2258">
        <f t="shared" si="18"/>
        <v>14.96</v>
      </c>
      <c r="BB32" s="1201"/>
      <c r="BC32" s="544">
        <f t="shared" si="19"/>
        <v>29.45</v>
      </c>
      <c r="BD32" s="1201"/>
      <c r="BE32" s="376">
        <f t="shared" si="41"/>
        <v>81.990000000000009</v>
      </c>
      <c r="BF32" s="26"/>
      <c r="BG32" s="26"/>
      <c r="BH32" s="26"/>
      <c r="BP32" s="26"/>
      <c r="BQ32" s="26"/>
    </row>
    <row r="33" spans="1:69" ht="15.6" x14ac:dyDescent="0.3">
      <c r="B33" s="743" t="s">
        <v>718</v>
      </c>
      <c r="C33" s="159" t="s">
        <v>354</v>
      </c>
      <c r="D33" s="1137"/>
      <c r="E33" s="1357"/>
      <c r="F33" s="1357"/>
      <c r="G33" s="1357"/>
      <c r="H33" s="1659"/>
      <c r="I33" s="1659">
        <f t="shared" si="35"/>
        <v>0</v>
      </c>
      <c r="J33" s="1357"/>
      <c r="K33" s="1357"/>
      <c r="L33" s="1357"/>
      <c r="M33" s="2258">
        <f t="shared" si="36"/>
        <v>0</v>
      </c>
      <c r="N33" s="1357"/>
      <c r="O33" s="1357"/>
      <c r="P33" s="1357"/>
      <c r="Q33" s="1658">
        <f t="shared" si="7"/>
        <v>0</v>
      </c>
      <c r="R33" s="1357"/>
      <c r="S33" s="1357"/>
      <c r="T33" s="1357"/>
      <c r="U33" s="1658">
        <f t="shared" si="8"/>
        <v>0</v>
      </c>
      <c r="V33" s="1307"/>
      <c r="W33" s="1357"/>
      <c r="X33" s="1357"/>
      <c r="Y33" s="2258">
        <f t="shared" si="9"/>
        <v>0</v>
      </c>
      <c r="Z33" s="1307"/>
      <c r="AA33" s="522">
        <f t="shared" si="10"/>
        <v>0</v>
      </c>
      <c r="AB33" s="1357"/>
      <c r="AC33" s="4359"/>
      <c r="AD33" s="1357"/>
      <c r="AE33" s="1357">
        <f t="shared" si="37"/>
        <v>0</v>
      </c>
      <c r="AF33" s="1357"/>
      <c r="AG33" s="4359"/>
      <c r="AH33" s="1357"/>
      <c r="AI33" s="1357">
        <f t="shared" si="38"/>
        <v>0</v>
      </c>
      <c r="AJ33" s="1307"/>
      <c r="AK33" s="4359"/>
      <c r="AL33" s="1307"/>
      <c r="AM33" s="2258">
        <f t="shared" si="13"/>
        <v>0</v>
      </c>
      <c r="AN33" s="1357"/>
      <c r="AO33" s="1357">
        <f t="shared" si="14"/>
        <v>0</v>
      </c>
      <c r="AP33" s="1357"/>
      <c r="AQ33" s="4359"/>
      <c r="AR33" s="1357"/>
      <c r="AS33" s="1357">
        <f t="shared" si="39"/>
        <v>0</v>
      </c>
      <c r="AT33" s="1357"/>
      <c r="AU33" s="4359"/>
      <c r="AV33" s="1357"/>
      <c r="AW33" s="1357">
        <f t="shared" si="40"/>
        <v>0</v>
      </c>
      <c r="AX33" s="1357"/>
      <c r="AY33" s="4359"/>
      <c r="AZ33" s="1307"/>
      <c r="BA33" s="2258">
        <f t="shared" si="18"/>
        <v>0</v>
      </c>
      <c r="BB33" s="1307"/>
      <c r="BC33" s="522">
        <f t="shared" si="19"/>
        <v>0</v>
      </c>
      <c r="BD33" s="1357"/>
      <c r="BE33" s="1357">
        <f t="shared" si="41"/>
        <v>0</v>
      </c>
      <c r="BF33" s="26"/>
      <c r="BG33" s="26"/>
      <c r="BH33" s="26"/>
      <c r="BP33" s="26"/>
      <c r="BQ33" s="26"/>
    </row>
    <row r="34" spans="1:69" ht="15.6" x14ac:dyDescent="0.3">
      <c r="A34" s="149"/>
      <c r="B34" s="743" t="s">
        <v>665</v>
      </c>
      <c r="C34" s="205"/>
      <c r="D34" s="1357"/>
      <c r="E34" s="1357">
        <f>+SUM(E35:E47)</f>
        <v>0</v>
      </c>
      <c r="F34" s="1357"/>
      <c r="G34" s="1357">
        <f>+SUM(G35:G47)</f>
        <v>0</v>
      </c>
      <c r="H34" s="1659"/>
      <c r="I34" s="1659">
        <f t="shared" si="35"/>
        <v>0</v>
      </c>
      <c r="J34" s="1357"/>
      <c r="K34" s="1357">
        <f>+SUM(K35:K47)</f>
        <v>0</v>
      </c>
      <c r="L34" s="1357"/>
      <c r="M34" s="2258">
        <f t="shared" si="36"/>
        <v>0</v>
      </c>
      <c r="N34" s="1357"/>
      <c r="O34" s="1357">
        <f>+SUM(O35:O47)</f>
        <v>64.239999999999995</v>
      </c>
      <c r="P34" s="1357"/>
      <c r="Q34" s="1658">
        <f t="shared" si="7"/>
        <v>64.239999999999995</v>
      </c>
      <c r="R34" s="1357"/>
      <c r="S34" s="1357">
        <f>+SUM(S35:S47)</f>
        <v>362.28999999999996</v>
      </c>
      <c r="T34" s="1357"/>
      <c r="U34" s="1658">
        <f t="shared" si="8"/>
        <v>426.53</v>
      </c>
      <c r="V34" s="1357"/>
      <c r="W34" s="1357">
        <f>+SUM(W35:W47)</f>
        <v>361.07</v>
      </c>
      <c r="X34" s="1357"/>
      <c r="Y34" s="2258">
        <f t="shared" si="9"/>
        <v>787.59999999999991</v>
      </c>
      <c r="Z34" s="1357"/>
      <c r="AA34" s="522">
        <f t="shared" si="10"/>
        <v>787.59999999999991</v>
      </c>
      <c r="AB34" s="1357"/>
      <c r="AC34" s="4359">
        <f>+SUM(AC35:AC47)</f>
        <v>0</v>
      </c>
      <c r="AD34" s="1357"/>
      <c r="AE34" s="1357">
        <f t="shared" si="37"/>
        <v>787.59999999999991</v>
      </c>
      <c r="AF34" s="1357"/>
      <c r="AG34" s="4359">
        <f>+SUM(AG35:AG47)</f>
        <v>0</v>
      </c>
      <c r="AH34" s="1357"/>
      <c r="AI34" s="1357">
        <f t="shared" si="38"/>
        <v>787.59999999999991</v>
      </c>
      <c r="AJ34" s="1357"/>
      <c r="AK34" s="4359">
        <f>+SUM(AK35:AK47)</f>
        <v>0</v>
      </c>
      <c r="AL34" s="1357"/>
      <c r="AM34" s="2258">
        <f t="shared" si="13"/>
        <v>0</v>
      </c>
      <c r="AN34" s="1357"/>
      <c r="AO34" s="1357">
        <f t="shared" si="14"/>
        <v>787.59999999999991</v>
      </c>
      <c r="AP34" s="1357"/>
      <c r="AQ34" s="4359">
        <f>+SUM(AQ35:AQ47)</f>
        <v>0</v>
      </c>
      <c r="AR34" s="1357"/>
      <c r="AS34" s="1357">
        <f t="shared" si="39"/>
        <v>787.59999999999991</v>
      </c>
      <c r="AT34" s="1357"/>
      <c r="AU34" s="4359">
        <f>+SUM(AU35:AU47)</f>
        <v>63.75</v>
      </c>
      <c r="AV34" s="1357"/>
      <c r="AW34" s="1357">
        <f t="shared" si="40"/>
        <v>851.34999999999991</v>
      </c>
      <c r="AX34" s="1357"/>
      <c r="AY34" s="4359">
        <f>+SUM(AY35:AY47)</f>
        <v>30.16</v>
      </c>
      <c r="AZ34" s="1357"/>
      <c r="BA34" s="2258">
        <f t="shared" si="18"/>
        <v>93.91</v>
      </c>
      <c r="BB34" s="1357"/>
      <c r="BC34" s="522">
        <f t="shared" si="19"/>
        <v>93.91</v>
      </c>
      <c r="BD34" s="1357"/>
      <c r="BE34" s="1357">
        <f t="shared" si="41"/>
        <v>881.50999999999988</v>
      </c>
      <c r="BF34" s="26"/>
      <c r="BG34" s="26"/>
      <c r="BH34" s="26"/>
      <c r="BP34" s="26"/>
      <c r="BQ34" s="26"/>
    </row>
    <row r="35" spans="1:69" ht="15.6" x14ac:dyDescent="0.3">
      <c r="B35" s="8" t="s">
        <v>837</v>
      </c>
      <c r="C35" s="159" t="s">
        <v>354</v>
      </c>
      <c r="D35" s="597"/>
      <c r="E35" s="1201"/>
      <c r="F35" s="1201"/>
      <c r="G35" s="1201"/>
      <c r="H35" s="1658"/>
      <c r="I35" s="1658">
        <f t="shared" si="35"/>
        <v>0</v>
      </c>
      <c r="J35" s="1201"/>
      <c r="K35" s="1201"/>
      <c r="L35" s="200"/>
      <c r="M35" s="2258">
        <f t="shared" si="36"/>
        <v>0</v>
      </c>
      <c r="N35" s="1201"/>
      <c r="O35" s="1201">
        <v>23.4</v>
      </c>
      <c r="P35" s="1201"/>
      <c r="Q35" s="1658">
        <f t="shared" si="7"/>
        <v>23.4</v>
      </c>
      <c r="R35" s="1201"/>
      <c r="S35" s="1201">
        <v>45.92</v>
      </c>
      <c r="T35" s="1201"/>
      <c r="U35" s="1658">
        <f t="shared" si="8"/>
        <v>69.319999999999993</v>
      </c>
      <c r="V35" s="1201"/>
      <c r="W35" s="1201">
        <v>76.56</v>
      </c>
      <c r="X35" s="200"/>
      <c r="Y35" s="2258">
        <f t="shared" si="9"/>
        <v>145.88</v>
      </c>
      <c r="Z35" s="1201"/>
      <c r="AA35" s="544">
        <f t="shared" si="10"/>
        <v>145.88</v>
      </c>
      <c r="AB35" s="1201"/>
      <c r="AC35" s="1280"/>
      <c r="AD35" s="1201"/>
      <c r="AE35" s="587">
        <f t="shared" ref="AE35:AE41" si="43">AA35+AC35</f>
        <v>145.88</v>
      </c>
      <c r="AF35" s="1201"/>
      <c r="AG35" s="1280"/>
      <c r="AH35" s="1201"/>
      <c r="AI35" s="782">
        <f t="shared" si="38"/>
        <v>145.88</v>
      </c>
      <c r="AJ35" s="1201"/>
      <c r="AK35" s="1280"/>
      <c r="AL35" s="1201"/>
      <c r="AM35" s="2258">
        <f t="shared" si="13"/>
        <v>0</v>
      </c>
      <c r="AN35" s="1201"/>
      <c r="AO35" s="782">
        <f t="shared" si="14"/>
        <v>145.88</v>
      </c>
      <c r="AP35" s="1201"/>
      <c r="AQ35" s="1280"/>
      <c r="AR35" s="1201"/>
      <c r="AS35" s="782">
        <f t="shared" si="39"/>
        <v>145.88</v>
      </c>
      <c r="AT35" s="1201"/>
      <c r="AU35" s="1280"/>
      <c r="AV35" s="1201"/>
      <c r="AW35" s="782">
        <f t="shared" si="40"/>
        <v>145.88</v>
      </c>
      <c r="AX35" s="1201"/>
      <c r="AY35" s="1280"/>
      <c r="AZ35" s="1201"/>
      <c r="BA35" s="2258">
        <f t="shared" si="18"/>
        <v>0</v>
      </c>
      <c r="BB35" s="1201"/>
      <c r="BC35" s="544">
        <f t="shared" si="19"/>
        <v>0</v>
      </c>
      <c r="BD35" s="1201"/>
      <c r="BE35" s="376">
        <f t="shared" si="41"/>
        <v>145.88</v>
      </c>
      <c r="BF35" s="26"/>
      <c r="BG35" s="26"/>
      <c r="BH35" s="26"/>
      <c r="BP35" s="26"/>
      <c r="BQ35" s="26"/>
    </row>
    <row r="36" spans="1:69" ht="15.6" x14ac:dyDescent="0.3">
      <c r="B36" s="8" t="s">
        <v>815</v>
      </c>
      <c r="C36" s="159" t="s">
        <v>354</v>
      </c>
      <c r="D36" s="597"/>
      <c r="E36" s="1201"/>
      <c r="F36" s="1201"/>
      <c r="G36" s="1201"/>
      <c r="H36" s="1658"/>
      <c r="I36" s="1658">
        <f t="shared" si="35"/>
        <v>0</v>
      </c>
      <c r="J36" s="1201"/>
      <c r="K36" s="1201"/>
      <c r="L36" s="200"/>
      <c r="M36" s="2258">
        <f t="shared" si="36"/>
        <v>0</v>
      </c>
      <c r="N36" s="1201"/>
      <c r="O36" s="1201">
        <v>25.83</v>
      </c>
      <c r="P36" s="1201"/>
      <c r="Q36" s="1658">
        <f t="shared" si="7"/>
        <v>25.83</v>
      </c>
      <c r="R36" s="1201"/>
      <c r="S36" s="1201">
        <v>25.96</v>
      </c>
      <c r="T36" s="1201"/>
      <c r="U36" s="1658">
        <f t="shared" si="8"/>
        <v>51.79</v>
      </c>
      <c r="V36" s="1201"/>
      <c r="W36" s="1201">
        <v>81.59</v>
      </c>
      <c r="X36" s="200"/>
      <c r="Y36" s="2258">
        <f t="shared" si="9"/>
        <v>133.38</v>
      </c>
      <c r="Z36" s="1201"/>
      <c r="AA36" s="544">
        <f t="shared" si="10"/>
        <v>133.38</v>
      </c>
      <c r="AB36" s="1201"/>
      <c r="AC36" s="1280"/>
      <c r="AD36" s="1201"/>
      <c r="AE36" s="587">
        <f t="shared" si="43"/>
        <v>133.38</v>
      </c>
      <c r="AF36" s="1201"/>
      <c r="AG36" s="1280"/>
      <c r="AH36" s="1201"/>
      <c r="AI36" s="782">
        <f t="shared" si="38"/>
        <v>133.38</v>
      </c>
      <c r="AJ36" s="1201"/>
      <c r="AK36" s="1280"/>
      <c r="AL36" s="1201"/>
      <c r="AM36" s="2258">
        <f t="shared" si="13"/>
        <v>0</v>
      </c>
      <c r="AN36" s="1201"/>
      <c r="AO36" s="782">
        <f t="shared" si="14"/>
        <v>133.38</v>
      </c>
      <c r="AP36" s="1201"/>
      <c r="AQ36" s="1280"/>
      <c r="AR36" s="1201"/>
      <c r="AS36" s="782">
        <f t="shared" si="39"/>
        <v>133.38</v>
      </c>
      <c r="AT36" s="1201"/>
      <c r="AU36" s="1280"/>
      <c r="AV36" s="1201"/>
      <c r="AW36" s="782">
        <f t="shared" si="40"/>
        <v>133.38</v>
      </c>
      <c r="AX36" s="1201"/>
      <c r="AY36" s="1280"/>
      <c r="AZ36" s="1201"/>
      <c r="BA36" s="2258">
        <f t="shared" si="18"/>
        <v>0</v>
      </c>
      <c r="BB36" s="1201"/>
      <c r="BC36" s="544">
        <f t="shared" si="19"/>
        <v>0</v>
      </c>
      <c r="BD36" s="1201"/>
      <c r="BE36" s="376">
        <f t="shared" si="41"/>
        <v>133.38</v>
      </c>
      <c r="BF36" s="26"/>
      <c r="BG36" s="26"/>
      <c r="BH36" s="26"/>
      <c r="BP36" s="26"/>
      <c r="BQ36" s="26"/>
    </row>
    <row r="37" spans="1:69" x14ac:dyDescent="0.25">
      <c r="B37" s="8" t="s">
        <v>2333</v>
      </c>
      <c r="C37" s="159" t="s">
        <v>354</v>
      </c>
      <c r="D37" s="597"/>
      <c r="E37" s="1201"/>
      <c r="F37" s="1201"/>
      <c r="G37" s="1201"/>
      <c r="H37" s="1658"/>
      <c r="I37" s="1658">
        <f t="shared" si="35"/>
        <v>0</v>
      </c>
      <c r="J37" s="1201"/>
      <c r="K37" s="1201"/>
      <c r="L37" s="200"/>
      <c r="M37" s="2258">
        <f t="shared" si="36"/>
        <v>0</v>
      </c>
      <c r="N37" s="1201"/>
      <c r="O37" s="1201"/>
      <c r="P37" s="1201"/>
      <c r="Q37" s="1658">
        <f t="shared" si="7"/>
        <v>0</v>
      </c>
      <c r="R37" s="1201"/>
      <c r="S37" s="1201">
        <v>276.02999999999997</v>
      </c>
      <c r="T37" s="1201"/>
      <c r="U37" s="1658">
        <f t="shared" si="8"/>
        <v>276.02999999999997</v>
      </c>
      <c r="V37" s="1201"/>
      <c r="W37" s="1201">
        <v>194.61</v>
      </c>
      <c r="X37" s="200"/>
      <c r="Y37" s="2258">
        <f t="shared" si="9"/>
        <v>470.64</v>
      </c>
      <c r="Z37" s="1201"/>
      <c r="AA37" s="544">
        <f t="shared" si="10"/>
        <v>470.64</v>
      </c>
      <c r="AB37" s="1201"/>
      <c r="AC37" s="1280"/>
      <c r="AD37" s="1201"/>
      <c r="AE37" s="587">
        <f t="shared" si="43"/>
        <v>470.64</v>
      </c>
      <c r="AF37" s="1201"/>
      <c r="AG37" s="1280"/>
      <c r="AH37" s="1201"/>
      <c r="AI37" s="782">
        <f t="shared" si="38"/>
        <v>470.64</v>
      </c>
      <c r="AJ37" s="1201"/>
      <c r="AK37" s="1280"/>
      <c r="AL37" s="1201"/>
      <c r="AM37" s="2258">
        <f t="shared" si="13"/>
        <v>0</v>
      </c>
      <c r="AN37" s="1201"/>
      <c r="AO37" s="782">
        <f t="shared" si="14"/>
        <v>470.64</v>
      </c>
      <c r="AP37" s="1201"/>
      <c r="AQ37" s="1280"/>
      <c r="AR37" s="1201"/>
      <c r="AS37" s="782">
        <f t="shared" si="39"/>
        <v>470.64</v>
      </c>
      <c r="AT37" s="1201"/>
      <c r="AU37" s="1280"/>
      <c r="AV37" s="1201"/>
      <c r="AW37" s="782">
        <f t="shared" si="40"/>
        <v>470.64</v>
      </c>
      <c r="AX37" s="1201"/>
      <c r="AY37" s="1280"/>
      <c r="AZ37" s="1201"/>
      <c r="BA37" s="2258">
        <f t="shared" si="18"/>
        <v>0</v>
      </c>
      <c r="BB37" s="1201"/>
      <c r="BC37" s="544">
        <f t="shared" si="19"/>
        <v>0</v>
      </c>
      <c r="BD37" s="1201"/>
      <c r="BE37" s="376">
        <f t="shared" si="41"/>
        <v>470.64</v>
      </c>
      <c r="BF37" s="26"/>
      <c r="BG37" s="26"/>
      <c r="BH37" s="26"/>
      <c r="BP37" s="26"/>
      <c r="BQ37" s="26"/>
    </row>
    <row r="38" spans="1:69" x14ac:dyDescent="0.25">
      <c r="B38" s="8" t="s">
        <v>1526</v>
      </c>
      <c r="C38" s="159" t="s">
        <v>354</v>
      </c>
      <c r="D38" s="597"/>
      <c r="E38" s="1201"/>
      <c r="F38" s="1201"/>
      <c r="G38" s="1201"/>
      <c r="H38" s="1658"/>
      <c r="I38" s="1658">
        <f t="shared" si="35"/>
        <v>0</v>
      </c>
      <c r="J38" s="1201"/>
      <c r="K38" s="1201"/>
      <c r="L38" s="200"/>
      <c r="M38" s="2258">
        <f t="shared" si="36"/>
        <v>0</v>
      </c>
      <c r="N38" s="1201"/>
      <c r="O38" s="1201"/>
      <c r="P38" s="1201"/>
      <c r="Q38" s="1658">
        <f t="shared" si="7"/>
        <v>0</v>
      </c>
      <c r="R38" s="1201"/>
      <c r="S38" s="1201"/>
      <c r="T38" s="1201"/>
      <c r="U38" s="1658">
        <f t="shared" si="8"/>
        <v>0</v>
      </c>
      <c r="V38" s="1201"/>
      <c r="W38" s="1201"/>
      <c r="X38" s="200"/>
      <c r="Y38" s="2258">
        <f t="shared" si="9"/>
        <v>0</v>
      </c>
      <c r="Z38" s="1201"/>
      <c r="AA38" s="544">
        <f t="shared" si="10"/>
        <v>0</v>
      </c>
      <c r="AB38" s="1201"/>
      <c r="AC38" s="1280"/>
      <c r="AD38" s="1201"/>
      <c r="AE38" s="587">
        <f t="shared" si="43"/>
        <v>0</v>
      </c>
      <c r="AF38" s="1201"/>
      <c r="AG38" s="1280"/>
      <c r="AH38" s="1201"/>
      <c r="AI38" s="782">
        <f t="shared" si="38"/>
        <v>0</v>
      </c>
      <c r="AJ38" s="1201"/>
      <c r="AK38" s="1280"/>
      <c r="AL38" s="1201"/>
      <c r="AM38" s="2258">
        <f t="shared" si="13"/>
        <v>0</v>
      </c>
      <c r="AN38" s="1201"/>
      <c r="AO38" s="782">
        <f t="shared" si="14"/>
        <v>0</v>
      </c>
      <c r="AP38" s="1201"/>
      <c r="AQ38" s="1280"/>
      <c r="AR38" s="1201"/>
      <c r="AS38" s="782">
        <f t="shared" si="39"/>
        <v>0</v>
      </c>
      <c r="AT38" s="1201"/>
      <c r="AU38" s="1280"/>
      <c r="AV38" s="1201"/>
      <c r="AW38" s="782">
        <f t="shared" si="40"/>
        <v>0</v>
      </c>
      <c r="AX38" s="1201"/>
      <c r="AY38" s="1280"/>
      <c r="AZ38" s="1201"/>
      <c r="BA38" s="2258">
        <f t="shared" si="18"/>
        <v>0</v>
      </c>
      <c r="BB38" s="1201"/>
      <c r="BC38" s="544">
        <f t="shared" si="19"/>
        <v>0</v>
      </c>
      <c r="BD38" s="1201"/>
      <c r="BE38" s="376">
        <f t="shared" si="41"/>
        <v>0</v>
      </c>
      <c r="BF38" s="26"/>
      <c r="BG38" s="26"/>
      <c r="BH38" s="26"/>
      <c r="BP38" s="26"/>
      <c r="BQ38" s="26"/>
    </row>
    <row r="39" spans="1:69" x14ac:dyDescent="0.25">
      <c r="B39" s="8" t="s">
        <v>2305</v>
      </c>
      <c r="C39" s="159" t="s">
        <v>354</v>
      </c>
      <c r="D39" s="597"/>
      <c r="E39" s="1201"/>
      <c r="F39" s="1201"/>
      <c r="G39" s="1201"/>
      <c r="H39" s="1658"/>
      <c r="I39" s="1658">
        <f t="shared" si="35"/>
        <v>0</v>
      </c>
      <c r="J39" s="1201"/>
      <c r="K39" s="1201"/>
      <c r="L39" s="200"/>
      <c r="M39" s="2258">
        <f t="shared" si="36"/>
        <v>0</v>
      </c>
      <c r="N39" s="1201"/>
      <c r="O39" s="1201">
        <v>15.01</v>
      </c>
      <c r="P39" s="1201"/>
      <c r="Q39" s="1658">
        <f t="shared" si="7"/>
        <v>15.01</v>
      </c>
      <c r="R39" s="1201"/>
      <c r="S39" s="1201">
        <v>14.38</v>
      </c>
      <c r="T39" s="1201"/>
      <c r="U39" s="1658">
        <f t="shared" si="8"/>
        <v>29.39</v>
      </c>
      <c r="V39" s="1201"/>
      <c r="W39" s="1201">
        <v>6.81</v>
      </c>
      <c r="X39" s="200"/>
      <c r="Y39" s="2258">
        <f t="shared" si="9"/>
        <v>36.200000000000003</v>
      </c>
      <c r="Z39" s="1201"/>
      <c r="AA39" s="544">
        <f t="shared" si="10"/>
        <v>36.200000000000003</v>
      </c>
      <c r="AB39" s="1201"/>
      <c r="AC39" s="1280"/>
      <c r="AD39" s="1201"/>
      <c r="AE39" s="587">
        <f t="shared" si="43"/>
        <v>36.200000000000003</v>
      </c>
      <c r="AF39" s="1201"/>
      <c r="AG39" s="1280"/>
      <c r="AH39" s="1201"/>
      <c r="AI39" s="782">
        <f t="shared" si="38"/>
        <v>36.200000000000003</v>
      </c>
      <c r="AJ39" s="1201"/>
      <c r="AK39" s="1280"/>
      <c r="AL39" s="1201"/>
      <c r="AM39" s="2258">
        <f t="shared" si="13"/>
        <v>0</v>
      </c>
      <c r="AN39" s="1201"/>
      <c r="AO39" s="782">
        <f t="shared" si="14"/>
        <v>36.200000000000003</v>
      </c>
      <c r="AP39" s="1201"/>
      <c r="AQ39" s="1280"/>
      <c r="AR39" s="1201"/>
      <c r="AS39" s="782">
        <f t="shared" si="39"/>
        <v>36.200000000000003</v>
      </c>
      <c r="AT39" s="1201"/>
      <c r="AU39" s="1280">
        <v>63.75</v>
      </c>
      <c r="AV39" s="1201"/>
      <c r="AW39" s="782">
        <f t="shared" si="40"/>
        <v>99.95</v>
      </c>
      <c r="AX39" s="1201"/>
      <c r="AY39" s="1280">
        <v>30.16</v>
      </c>
      <c r="AZ39" s="1201"/>
      <c r="BA39" s="2258">
        <f t="shared" si="18"/>
        <v>93.91</v>
      </c>
      <c r="BB39" s="1201"/>
      <c r="BC39" s="544">
        <f t="shared" si="19"/>
        <v>93.91</v>
      </c>
      <c r="BD39" s="1201"/>
      <c r="BE39" s="376">
        <f t="shared" si="41"/>
        <v>130.11000000000001</v>
      </c>
      <c r="BF39" s="26"/>
      <c r="BG39" s="26"/>
      <c r="BH39" s="26"/>
      <c r="BP39" s="26"/>
      <c r="BQ39" s="26"/>
    </row>
    <row r="40" spans="1:69" ht="15.6" hidden="1" x14ac:dyDescent="0.3">
      <c r="B40" s="8" t="s">
        <v>1432</v>
      </c>
      <c r="C40" s="159" t="s">
        <v>354</v>
      </c>
      <c r="D40" s="597"/>
      <c r="E40" s="1201"/>
      <c r="F40" s="1201"/>
      <c r="G40" s="1201"/>
      <c r="H40" s="1658"/>
      <c r="I40" s="1658">
        <f t="shared" si="35"/>
        <v>0</v>
      </c>
      <c r="J40" s="1201"/>
      <c r="K40" s="1201"/>
      <c r="L40" s="200"/>
      <c r="M40" s="2258">
        <f t="shared" si="36"/>
        <v>0</v>
      </c>
      <c r="N40" s="1201"/>
      <c r="O40" s="1201"/>
      <c r="P40" s="1201"/>
      <c r="Q40" s="1658">
        <f t="shared" si="7"/>
        <v>0</v>
      </c>
      <c r="R40" s="1201"/>
      <c r="S40" s="1201"/>
      <c r="T40" s="1201"/>
      <c r="U40" s="1658">
        <f t="shared" si="8"/>
        <v>0</v>
      </c>
      <c r="V40" s="1201"/>
      <c r="W40" s="1201"/>
      <c r="X40" s="200"/>
      <c r="Y40" s="2258">
        <f t="shared" si="9"/>
        <v>0</v>
      </c>
      <c r="Z40" s="1201"/>
      <c r="AA40" s="544">
        <f t="shared" si="10"/>
        <v>0</v>
      </c>
      <c r="AB40" s="1201"/>
      <c r="AC40" s="1280"/>
      <c r="AD40" s="1201"/>
      <c r="AE40" s="587">
        <f t="shared" si="43"/>
        <v>0</v>
      </c>
      <c r="AF40" s="1201"/>
      <c r="AG40" s="1280"/>
      <c r="AH40" s="1201"/>
      <c r="AI40" s="782">
        <f t="shared" si="38"/>
        <v>0</v>
      </c>
      <c r="AJ40" s="1201"/>
      <c r="AK40" s="1280"/>
      <c r="AL40" s="1201"/>
      <c r="AM40" s="2258">
        <f t="shared" si="13"/>
        <v>0</v>
      </c>
      <c r="AN40" s="1201"/>
      <c r="AO40" s="782">
        <f t="shared" si="14"/>
        <v>0</v>
      </c>
      <c r="AP40" s="1201"/>
      <c r="AQ40" s="1280"/>
      <c r="AR40" s="1201"/>
      <c r="AS40" s="782">
        <f t="shared" si="39"/>
        <v>0</v>
      </c>
      <c r="AT40" s="1201"/>
      <c r="AU40" s="1280"/>
      <c r="AV40" s="1201"/>
      <c r="AW40" s="782">
        <f t="shared" si="40"/>
        <v>0</v>
      </c>
      <c r="AX40" s="1201"/>
      <c r="AY40" s="1280"/>
      <c r="AZ40" s="1201"/>
      <c r="BA40" s="2258">
        <f t="shared" si="18"/>
        <v>0</v>
      </c>
      <c r="BB40" s="1201"/>
      <c r="BC40" s="544">
        <f t="shared" si="19"/>
        <v>0</v>
      </c>
      <c r="BD40" s="1201"/>
      <c r="BE40" s="376">
        <f t="shared" si="41"/>
        <v>0</v>
      </c>
      <c r="BF40" s="26"/>
      <c r="BG40" s="26"/>
      <c r="BH40" s="26"/>
      <c r="BP40" s="26"/>
      <c r="BQ40" s="26"/>
    </row>
    <row r="41" spans="1:69" ht="15.6" hidden="1" x14ac:dyDescent="0.3">
      <c r="B41" s="8" t="s">
        <v>943</v>
      </c>
      <c r="C41" s="159" t="s">
        <v>354</v>
      </c>
      <c r="D41" s="597"/>
      <c r="E41" s="597"/>
      <c r="F41" s="597"/>
      <c r="G41" s="597"/>
      <c r="H41" s="1660"/>
      <c r="I41" s="1658">
        <f t="shared" si="35"/>
        <v>0</v>
      </c>
      <c r="J41" s="597"/>
      <c r="K41" s="597"/>
      <c r="L41" s="200"/>
      <c r="M41" s="2258">
        <f t="shared" si="36"/>
        <v>0</v>
      </c>
      <c r="N41" s="597"/>
      <c r="O41" s="597"/>
      <c r="P41" s="597"/>
      <c r="Q41" s="1658">
        <f t="shared" si="7"/>
        <v>0</v>
      </c>
      <c r="R41" s="597"/>
      <c r="S41" s="597"/>
      <c r="T41" s="597"/>
      <c r="U41" s="1658">
        <f t="shared" si="8"/>
        <v>0</v>
      </c>
      <c r="V41" s="597"/>
      <c r="W41" s="597"/>
      <c r="X41" s="200"/>
      <c r="Y41" s="2258">
        <f t="shared" si="9"/>
        <v>0</v>
      </c>
      <c r="Z41" s="1201"/>
      <c r="AA41" s="522">
        <f t="shared" si="10"/>
        <v>0</v>
      </c>
      <c r="AB41" s="597"/>
      <c r="AC41" s="4365"/>
      <c r="AD41" s="597"/>
      <c r="AE41" s="587">
        <f t="shared" si="43"/>
        <v>0</v>
      </c>
      <c r="AF41" s="597"/>
      <c r="AG41" s="4365"/>
      <c r="AH41" s="597"/>
      <c r="AI41" s="587">
        <f t="shared" si="38"/>
        <v>0</v>
      </c>
      <c r="AJ41" s="597"/>
      <c r="AK41" s="4365"/>
      <c r="AL41" s="597"/>
      <c r="AM41" s="2258">
        <f t="shared" si="13"/>
        <v>0</v>
      </c>
      <c r="AN41" s="597"/>
      <c r="AO41" s="587">
        <f t="shared" si="14"/>
        <v>0</v>
      </c>
      <c r="AP41" s="597"/>
      <c r="AQ41" s="4365"/>
      <c r="AR41" s="597"/>
      <c r="AS41" s="587">
        <f t="shared" si="39"/>
        <v>0</v>
      </c>
      <c r="AT41" s="597"/>
      <c r="AU41" s="4365"/>
      <c r="AV41" s="597"/>
      <c r="AW41" s="587">
        <f t="shared" si="40"/>
        <v>0</v>
      </c>
      <c r="AX41" s="597"/>
      <c r="AY41" s="4365"/>
      <c r="AZ41" s="597"/>
      <c r="BA41" s="2258">
        <f t="shared" si="18"/>
        <v>0</v>
      </c>
      <c r="BB41" s="1201"/>
      <c r="BC41" s="522">
        <f t="shared" si="19"/>
        <v>0</v>
      </c>
      <c r="BD41" s="597"/>
      <c r="BE41" s="256">
        <f t="shared" si="41"/>
        <v>0</v>
      </c>
      <c r="BF41" s="26"/>
      <c r="BG41" s="26"/>
      <c r="BH41" s="26"/>
      <c r="BP41" s="26"/>
      <c r="BQ41" s="26"/>
    </row>
    <row r="42" spans="1:69" ht="15.6" hidden="1" x14ac:dyDescent="0.3">
      <c r="B42" s="8" t="s">
        <v>1527</v>
      </c>
      <c r="C42" s="159" t="s">
        <v>354</v>
      </c>
      <c r="D42" s="597"/>
      <c r="E42" s="597"/>
      <c r="F42" s="597"/>
      <c r="G42" s="597"/>
      <c r="H42" s="1660"/>
      <c r="I42" s="1658">
        <f t="shared" si="35"/>
        <v>0</v>
      </c>
      <c r="J42" s="597"/>
      <c r="K42" s="597"/>
      <c r="L42" s="200"/>
      <c r="M42" s="2258">
        <f t="shared" si="36"/>
        <v>0</v>
      </c>
      <c r="N42" s="597"/>
      <c r="O42" s="597"/>
      <c r="P42" s="597"/>
      <c r="Q42" s="1658">
        <f t="shared" si="7"/>
        <v>0</v>
      </c>
      <c r="R42" s="597"/>
      <c r="S42" s="597"/>
      <c r="T42" s="597"/>
      <c r="U42" s="1658">
        <f t="shared" si="8"/>
        <v>0</v>
      </c>
      <c r="V42" s="597"/>
      <c r="W42" s="597"/>
      <c r="X42" s="200"/>
      <c r="Y42" s="2258">
        <f t="shared" si="9"/>
        <v>0</v>
      </c>
      <c r="Z42" s="1201"/>
      <c r="AA42" s="522">
        <f t="shared" si="10"/>
        <v>0</v>
      </c>
      <c r="AB42" s="597"/>
      <c r="AC42" s="4365"/>
      <c r="AD42" s="597"/>
      <c r="AE42" s="587">
        <f t="shared" si="37"/>
        <v>0</v>
      </c>
      <c r="AF42" s="597"/>
      <c r="AG42" s="4365"/>
      <c r="AH42" s="597"/>
      <c r="AI42" s="587">
        <f t="shared" si="38"/>
        <v>0</v>
      </c>
      <c r="AJ42" s="597"/>
      <c r="AK42" s="4365"/>
      <c r="AL42" s="597"/>
      <c r="AM42" s="2258">
        <f t="shared" si="13"/>
        <v>0</v>
      </c>
      <c r="AN42" s="597"/>
      <c r="AO42" s="587">
        <f t="shared" si="14"/>
        <v>0</v>
      </c>
      <c r="AP42" s="597"/>
      <c r="AQ42" s="4365"/>
      <c r="AR42" s="597"/>
      <c r="AS42" s="587">
        <f t="shared" si="39"/>
        <v>0</v>
      </c>
      <c r="AT42" s="597"/>
      <c r="AU42" s="4365"/>
      <c r="AV42" s="597"/>
      <c r="AW42" s="587">
        <f t="shared" si="40"/>
        <v>0</v>
      </c>
      <c r="AX42" s="597"/>
      <c r="AY42" s="4365"/>
      <c r="AZ42" s="597"/>
      <c r="BA42" s="2258">
        <f t="shared" si="18"/>
        <v>0</v>
      </c>
      <c r="BB42" s="1201"/>
      <c r="BC42" s="522">
        <f t="shared" si="19"/>
        <v>0</v>
      </c>
      <c r="BD42" s="597"/>
      <c r="BE42" s="256">
        <f t="shared" si="41"/>
        <v>0</v>
      </c>
      <c r="BF42" s="26"/>
      <c r="BG42" s="26"/>
      <c r="BH42" s="26"/>
      <c r="BP42" s="26"/>
      <c r="BQ42" s="26"/>
    </row>
    <row r="43" spans="1:69" ht="15.6" hidden="1" x14ac:dyDescent="0.3">
      <c r="B43" s="8" t="s">
        <v>1561</v>
      </c>
      <c r="C43" s="159" t="s">
        <v>354</v>
      </c>
      <c r="D43" s="597"/>
      <c r="E43" s="597"/>
      <c r="F43" s="597"/>
      <c r="G43" s="597"/>
      <c r="H43" s="1660"/>
      <c r="I43" s="1658">
        <f t="shared" si="35"/>
        <v>0</v>
      </c>
      <c r="J43" s="597"/>
      <c r="K43" s="597"/>
      <c r="L43" s="200"/>
      <c r="M43" s="2258">
        <f t="shared" si="36"/>
        <v>0</v>
      </c>
      <c r="N43" s="597"/>
      <c r="O43" s="597"/>
      <c r="P43" s="597"/>
      <c r="Q43" s="1658">
        <f t="shared" si="7"/>
        <v>0</v>
      </c>
      <c r="R43" s="597"/>
      <c r="S43" s="597"/>
      <c r="T43" s="597"/>
      <c r="U43" s="1658">
        <f t="shared" si="8"/>
        <v>0</v>
      </c>
      <c r="V43" s="597"/>
      <c r="W43" s="597"/>
      <c r="X43" s="200"/>
      <c r="Y43" s="2258">
        <f t="shared" si="9"/>
        <v>0</v>
      </c>
      <c r="Z43" s="1201"/>
      <c r="AA43" s="522">
        <f t="shared" si="10"/>
        <v>0</v>
      </c>
      <c r="AB43" s="597"/>
      <c r="AC43" s="4365"/>
      <c r="AD43" s="597"/>
      <c r="AE43" s="587">
        <f t="shared" si="37"/>
        <v>0</v>
      </c>
      <c r="AF43" s="597"/>
      <c r="AG43" s="4365"/>
      <c r="AH43" s="597"/>
      <c r="AI43" s="587">
        <f t="shared" si="38"/>
        <v>0</v>
      </c>
      <c r="AJ43" s="597"/>
      <c r="AK43" s="4365"/>
      <c r="AL43" s="597"/>
      <c r="AM43" s="2258">
        <f t="shared" si="13"/>
        <v>0</v>
      </c>
      <c r="AN43" s="597"/>
      <c r="AO43" s="587">
        <f t="shared" si="14"/>
        <v>0</v>
      </c>
      <c r="AP43" s="597"/>
      <c r="AQ43" s="4365"/>
      <c r="AR43" s="597"/>
      <c r="AS43" s="587">
        <f t="shared" si="39"/>
        <v>0</v>
      </c>
      <c r="AT43" s="597"/>
      <c r="AU43" s="4365"/>
      <c r="AV43" s="597"/>
      <c r="AW43" s="587">
        <f t="shared" si="40"/>
        <v>0</v>
      </c>
      <c r="AX43" s="597"/>
      <c r="AY43" s="4365"/>
      <c r="AZ43" s="597"/>
      <c r="BA43" s="2258">
        <f t="shared" si="18"/>
        <v>0</v>
      </c>
      <c r="BB43" s="1201"/>
      <c r="BC43" s="522">
        <f t="shared" si="19"/>
        <v>0</v>
      </c>
      <c r="BD43" s="597"/>
      <c r="BE43" s="256">
        <f t="shared" si="41"/>
        <v>0</v>
      </c>
      <c r="BF43" s="26"/>
      <c r="BG43" s="26"/>
      <c r="BH43" s="26"/>
      <c r="BP43" s="26"/>
      <c r="BQ43" s="26"/>
    </row>
    <row r="44" spans="1:69" ht="15.6" hidden="1" x14ac:dyDescent="0.3">
      <c r="B44" s="8" t="s">
        <v>1703</v>
      </c>
      <c r="C44" s="2508" t="s">
        <v>354</v>
      </c>
      <c r="D44" s="2509"/>
      <c r="E44" s="2509"/>
      <c r="F44" s="2509"/>
      <c r="G44" s="2509"/>
      <c r="H44" s="2514"/>
      <c r="I44" s="1658">
        <f t="shared" si="35"/>
        <v>0</v>
      </c>
      <c r="J44" s="2509"/>
      <c r="K44" s="2509"/>
      <c r="L44" s="2511"/>
      <c r="M44" s="2258">
        <f t="shared" si="36"/>
        <v>0</v>
      </c>
      <c r="N44" s="2509"/>
      <c r="O44" s="2509"/>
      <c r="P44" s="2509"/>
      <c r="Q44" s="1658">
        <f t="shared" si="7"/>
        <v>0</v>
      </c>
      <c r="R44" s="2509"/>
      <c r="S44" s="2509"/>
      <c r="T44" s="2509"/>
      <c r="U44" s="1658">
        <f t="shared" si="8"/>
        <v>0</v>
      </c>
      <c r="V44" s="2509"/>
      <c r="W44" s="2509"/>
      <c r="X44" s="2511"/>
      <c r="Y44" s="2512">
        <f t="shared" si="9"/>
        <v>0</v>
      </c>
      <c r="Z44" s="2492"/>
      <c r="AA44" s="522">
        <f t="shared" si="10"/>
        <v>0</v>
      </c>
      <c r="AB44" s="2509"/>
      <c r="AC44" s="4366"/>
      <c r="AD44" s="2509"/>
      <c r="AE44" s="2515"/>
      <c r="AF44" s="2509"/>
      <c r="AG44" s="4366"/>
      <c r="AH44" s="2509"/>
      <c r="AI44" s="2515"/>
      <c r="AJ44" s="2509"/>
      <c r="AK44" s="4366"/>
      <c r="AL44" s="2509"/>
      <c r="AM44" s="2512">
        <f t="shared" si="13"/>
        <v>0</v>
      </c>
      <c r="AN44" s="2509"/>
      <c r="AO44" s="2515"/>
      <c r="AP44" s="2509"/>
      <c r="AQ44" s="4366"/>
      <c r="AR44" s="2509"/>
      <c r="AS44" s="587">
        <f t="shared" si="39"/>
        <v>0</v>
      </c>
      <c r="AT44" s="2509"/>
      <c r="AU44" s="4366"/>
      <c r="AV44" s="2509"/>
      <c r="AW44" s="587">
        <f t="shared" si="40"/>
        <v>0</v>
      </c>
      <c r="AX44" s="2509"/>
      <c r="AY44" s="4366"/>
      <c r="AZ44" s="2509"/>
      <c r="BA44" s="2512">
        <f t="shared" si="18"/>
        <v>0</v>
      </c>
      <c r="BB44" s="2492"/>
      <c r="BC44" s="522">
        <f t="shared" si="19"/>
        <v>0</v>
      </c>
      <c r="BD44" s="2509"/>
      <c r="BE44" s="256">
        <f t="shared" si="41"/>
        <v>0</v>
      </c>
      <c r="BF44" s="26"/>
      <c r="BG44" s="26"/>
      <c r="BH44" s="26"/>
      <c r="BP44" s="26"/>
      <c r="BQ44" s="26"/>
    </row>
    <row r="45" spans="1:69" x14ac:dyDescent="0.25">
      <c r="B45" s="8" t="s">
        <v>1562</v>
      </c>
      <c r="C45" s="159" t="s">
        <v>354</v>
      </c>
      <c r="D45" s="597"/>
      <c r="E45" s="597"/>
      <c r="F45" s="597"/>
      <c r="G45" s="597"/>
      <c r="H45" s="1660"/>
      <c r="I45" s="1658">
        <f t="shared" si="35"/>
        <v>0</v>
      </c>
      <c r="J45" s="597"/>
      <c r="K45" s="597"/>
      <c r="L45" s="200"/>
      <c r="M45" s="2258">
        <f t="shared" si="36"/>
        <v>0</v>
      </c>
      <c r="N45" s="597"/>
      <c r="O45" s="597"/>
      <c r="P45" s="597"/>
      <c r="Q45" s="1658">
        <f t="shared" si="7"/>
        <v>0</v>
      </c>
      <c r="R45" s="597"/>
      <c r="S45" s="597"/>
      <c r="T45" s="597"/>
      <c r="U45" s="1658">
        <f t="shared" si="8"/>
        <v>0</v>
      </c>
      <c r="V45" s="597"/>
      <c r="W45" s="597">
        <v>0.5</v>
      </c>
      <c r="X45" s="200"/>
      <c r="Y45" s="2258">
        <f t="shared" si="9"/>
        <v>0.5</v>
      </c>
      <c r="Z45" s="1201"/>
      <c r="AA45" s="522">
        <f t="shared" si="10"/>
        <v>0.5</v>
      </c>
      <c r="AB45" s="597"/>
      <c r="AC45" s="4365"/>
      <c r="AD45" s="597"/>
      <c r="AE45" s="587">
        <f t="shared" si="37"/>
        <v>0.5</v>
      </c>
      <c r="AF45" s="597"/>
      <c r="AG45" s="4365"/>
      <c r="AH45" s="597"/>
      <c r="AI45" s="587">
        <f t="shared" si="38"/>
        <v>0.5</v>
      </c>
      <c r="AJ45" s="597"/>
      <c r="AK45" s="4365"/>
      <c r="AL45" s="597"/>
      <c r="AM45" s="2258">
        <f t="shared" si="13"/>
        <v>0</v>
      </c>
      <c r="AN45" s="597"/>
      <c r="AO45" s="587">
        <f t="shared" si="14"/>
        <v>0.5</v>
      </c>
      <c r="AP45" s="597"/>
      <c r="AQ45" s="4365"/>
      <c r="AR45" s="597"/>
      <c r="AS45" s="587">
        <f t="shared" si="39"/>
        <v>0.5</v>
      </c>
      <c r="AT45" s="597"/>
      <c r="AU45" s="4365"/>
      <c r="AV45" s="597"/>
      <c r="AW45" s="587">
        <f t="shared" si="40"/>
        <v>0.5</v>
      </c>
      <c r="AX45" s="597"/>
      <c r="AY45" s="4365"/>
      <c r="AZ45" s="597"/>
      <c r="BA45" s="2258">
        <f t="shared" si="18"/>
        <v>0</v>
      </c>
      <c r="BB45" s="1201"/>
      <c r="BC45" s="522">
        <f t="shared" si="19"/>
        <v>0</v>
      </c>
      <c r="BD45" s="597"/>
      <c r="BE45" s="256">
        <f t="shared" si="41"/>
        <v>0.5</v>
      </c>
      <c r="BF45" s="26"/>
      <c r="BG45" s="26"/>
      <c r="BH45" s="26"/>
      <c r="BP45" s="26"/>
      <c r="BQ45" s="26"/>
    </row>
    <row r="46" spans="1:69" x14ac:dyDescent="0.25">
      <c r="B46" s="8" t="s">
        <v>1560</v>
      </c>
      <c r="C46" s="159" t="s">
        <v>354</v>
      </c>
      <c r="D46" s="597"/>
      <c r="E46" s="597"/>
      <c r="F46" s="597"/>
      <c r="G46" s="597"/>
      <c r="H46" s="1660"/>
      <c r="I46" s="1658">
        <f t="shared" si="35"/>
        <v>0</v>
      </c>
      <c r="J46" s="597"/>
      <c r="K46" s="597"/>
      <c r="L46" s="200"/>
      <c r="M46" s="2258">
        <f t="shared" si="36"/>
        <v>0</v>
      </c>
      <c r="N46" s="597"/>
      <c r="O46" s="597"/>
      <c r="P46" s="597"/>
      <c r="Q46" s="1658">
        <f t="shared" si="7"/>
        <v>0</v>
      </c>
      <c r="R46" s="597"/>
      <c r="S46" s="597"/>
      <c r="T46" s="597"/>
      <c r="U46" s="1658">
        <f t="shared" si="8"/>
        <v>0</v>
      </c>
      <c r="V46" s="597"/>
      <c r="W46" s="597">
        <v>1</v>
      </c>
      <c r="X46" s="200"/>
      <c r="Y46" s="2258">
        <f t="shared" si="9"/>
        <v>1</v>
      </c>
      <c r="Z46" s="1201"/>
      <c r="AA46" s="522">
        <f t="shared" si="10"/>
        <v>1</v>
      </c>
      <c r="AB46" s="597"/>
      <c r="AC46" s="4365"/>
      <c r="AD46" s="597"/>
      <c r="AE46" s="587">
        <f t="shared" si="37"/>
        <v>1</v>
      </c>
      <c r="AF46" s="597"/>
      <c r="AG46" s="4365"/>
      <c r="AH46" s="597"/>
      <c r="AI46" s="587">
        <f t="shared" si="38"/>
        <v>1</v>
      </c>
      <c r="AJ46" s="597"/>
      <c r="AK46" s="4365"/>
      <c r="AL46" s="597"/>
      <c r="AM46" s="2258">
        <f t="shared" si="13"/>
        <v>0</v>
      </c>
      <c r="AN46" s="597"/>
      <c r="AO46" s="587">
        <f t="shared" si="14"/>
        <v>1</v>
      </c>
      <c r="AP46" s="597"/>
      <c r="AQ46" s="4365"/>
      <c r="AR46" s="597"/>
      <c r="AS46" s="587">
        <f t="shared" si="39"/>
        <v>1</v>
      </c>
      <c r="AT46" s="597"/>
      <c r="AU46" s="4365"/>
      <c r="AV46" s="597"/>
      <c r="AW46" s="587">
        <f t="shared" si="40"/>
        <v>1</v>
      </c>
      <c r="AX46" s="597"/>
      <c r="AY46" s="4365"/>
      <c r="AZ46" s="597"/>
      <c r="BA46" s="2258">
        <f t="shared" si="18"/>
        <v>0</v>
      </c>
      <c r="BB46" s="1201"/>
      <c r="BC46" s="522">
        <f t="shared" si="19"/>
        <v>0</v>
      </c>
      <c r="BD46" s="597"/>
      <c r="BE46" s="256">
        <f t="shared" si="41"/>
        <v>1</v>
      </c>
      <c r="BF46" s="26"/>
      <c r="BG46" s="26"/>
      <c r="BH46" s="26"/>
      <c r="BP46" s="26"/>
      <c r="BQ46" s="26"/>
    </row>
    <row r="47" spans="1:69" ht="15.75" hidden="1" customHeight="1" x14ac:dyDescent="0.3">
      <c r="A47" s="149"/>
      <c r="B47" s="8" t="s">
        <v>1384</v>
      </c>
      <c r="C47" s="159" t="s">
        <v>354</v>
      </c>
      <c r="D47" s="597"/>
      <c r="E47" s="1201"/>
      <c r="F47" s="1201"/>
      <c r="G47" s="1201"/>
      <c r="H47" s="1658"/>
      <c r="I47" s="1658">
        <f t="shared" si="35"/>
        <v>0</v>
      </c>
      <c r="J47" s="1201"/>
      <c r="K47" s="1201"/>
      <c r="L47" s="200"/>
      <c r="M47" s="2258">
        <f t="shared" si="36"/>
        <v>0</v>
      </c>
      <c r="N47" s="1201"/>
      <c r="O47" s="1201"/>
      <c r="P47" s="1201"/>
      <c r="Q47" s="1658">
        <f t="shared" si="7"/>
        <v>0</v>
      </c>
      <c r="R47" s="1201"/>
      <c r="S47" s="1201"/>
      <c r="T47" s="1201"/>
      <c r="U47" s="1658">
        <f t="shared" si="8"/>
        <v>0</v>
      </c>
      <c r="V47" s="1201"/>
      <c r="W47" s="1201"/>
      <c r="X47" s="200"/>
      <c r="Y47" s="2258">
        <f t="shared" si="9"/>
        <v>0</v>
      </c>
      <c r="Z47" s="1201"/>
      <c r="AA47" s="544">
        <f t="shared" si="10"/>
        <v>0</v>
      </c>
      <c r="AB47" s="1201"/>
      <c r="AC47" s="1280"/>
      <c r="AD47" s="1201"/>
      <c r="AE47" s="782">
        <f t="shared" si="37"/>
        <v>0</v>
      </c>
      <c r="AF47" s="1201"/>
      <c r="AG47" s="1280"/>
      <c r="AH47" s="1201"/>
      <c r="AI47" s="782">
        <f t="shared" si="38"/>
        <v>0</v>
      </c>
      <c r="AJ47" s="1201"/>
      <c r="AK47" s="1280"/>
      <c r="AL47" s="1201"/>
      <c r="AM47" s="2258">
        <f t="shared" si="13"/>
        <v>0</v>
      </c>
      <c r="AN47" s="1201"/>
      <c r="AO47" s="782">
        <f t="shared" si="14"/>
        <v>0</v>
      </c>
      <c r="AP47" s="1201"/>
      <c r="AQ47" s="1280"/>
      <c r="AR47" s="1201"/>
      <c r="AS47" s="782">
        <f t="shared" si="39"/>
        <v>0</v>
      </c>
      <c r="AT47" s="1201"/>
      <c r="AU47" s="1280"/>
      <c r="AV47" s="1201"/>
      <c r="AW47" s="782">
        <f t="shared" si="40"/>
        <v>0</v>
      </c>
      <c r="AX47" s="1201"/>
      <c r="AY47" s="1280"/>
      <c r="AZ47" s="1201"/>
      <c r="BA47" s="2258">
        <f t="shared" si="18"/>
        <v>0</v>
      </c>
      <c r="BB47" s="1201"/>
      <c r="BC47" s="544">
        <f t="shared" si="19"/>
        <v>0</v>
      </c>
      <c r="BD47" s="1201"/>
      <c r="BE47" s="376">
        <f t="shared" si="41"/>
        <v>0</v>
      </c>
      <c r="BF47" s="26"/>
      <c r="BG47" s="26"/>
      <c r="BH47" s="26"/>
      <c r="BP47" s="26"/>
      <c r="BQ47" s="26"/>
    </row>
    <row r="48" spans="1:69" x14ac:dyDescent="0.25">
      <c r="A48" s="149"/>
      <c r="B48" s="743" t="s">
        <v>719</v>
      </c>
      <c r="C48" s="205"/>
      <c r="D48" s="1357"/>
      <c r="E48" s="1357">
        <f>+SUM(E49:E52)</f>
        <v>999.31</v>
      </c>
      <c r="F48" s="1357"/>
      <c r="G48" s="1357">
        <f>+SUM(G49:G52)</f>
        <v>106.08</v>
      </c>
      <c r="H48" s="1659"/>
      <c r="I48" s="1659">
        <f t="shared" si="35"/>
        <v>1105.3899999999999</v>
      </c>
      <c r="J48" s="1357"/>
      <c r="K48" s="1357">
        <f>+SUM(K49:K52)</f>
        <v>10.09</v>
      </c>
      <c r="L48" s="1357"/>
      <c r="M48" s="2258">
        <f t="shared" si="36"/>
        <v>1115.4799999999998</v>
      </c>
      <c r="N48" s="1357"/>
      <c r="O48" s="1357">
        <f>+SUM(O49:O52)</f>
        <v>1010.86</v>
      </c>
      <c r="P48" s="1357"/>
      <c r="Q48" s="1658">
        <f t="shared" si="7"/>
        <v>2126.3399999999997</v>
      </c>
      <c r="R48" s="1357"/>
      <c r="S48" s="1357">
        <f>+SUM(S49:S52)</f>
        <v>496.32</v>
      </c>
      <c r="T48" s="1357"/>
      <c r="U48" s="1658">
        <f t="shared" si="8"/>
        <v>2622.66</v>
      </c>
      <c r="V48" s="1357"/>
      <c r="W48" s="1357">
        <f>+SUM(W49:W52)</f>
        <v>598.43000000000006</v>
      </c>
      <c r="X48" s="1357"/>
      <c r="Y48" s="2258">
        <f t="shared" si="9"/>
        <v>2105.61</v>
      </c>
      <c r="Z48" s="1357"/>
      <c r="AA48" s="522">
        <f t="shared" si="10"/>
        <v>3221.09</v>
      </c>
      <c r="AB48" s="1357"/>
      <c r="AC48" s="4359">
        <f>+SUM(AC49:AC52)</f>
        <v>1002.83</v>
      </c>
      <c r="AD48" s="1357"/>
      <c r="AE48" s="1357">
        <f t="shared" si="37"/>
        <v>4223.92</v>
      </c>
      <c r="AF48" s="1357"/>
      <c r="AG48" s="4359">
        <f>+SUM(AG49:AG52)</f>
        <v>198.57000000000002</v>
      </c>
      <c r="AH48" s="1357"/>
      <c r="AI48" s="1357">
        <f t="shared" si="38"/>
        <v>4422.49</v>
      </c>
      <c r="AJ48" s="1357"/>
      <c r="AK48" s="4359">
        <f>+SUM(AK49:AK52)</f>
        <v>1114.75</v>
      </c>
      <c r="AL48" s="1357"/>
      <c r="AM48" s="2258">
        <f t="shared" si="13"/>
        <v>2316.15</v>
      </c>
      <c r="AN48" s="1357"/>
      <c r="AO48" s="1357">
        <f t="shared" si="14"/>
        <v>5537.24</v>
      </c>
      <c r="AP48" s="1357"/>
      <c r="AQ48" s="4359">
        <f>+SUM(AQ49:AQ52)</f>
        <v>1017.51</v>
      </c>
      <c r="AR48" s="1357"/>
      <c r="AS48" s="1357">
        <f t="shared" si="39"/>
        <v>6554.75</v>
      </c>
      <c r="AT48" s="1357"/>
      <c r="AU48" s="4359">
        <f>+SUM(AU49:AU52)</f>
        <v>664.93</v>
      </c>
      <c r="AV48" s="1357"/>
      <c r="AW48" s="1357">
        <f t="shared" si="40"/>
        <v>7219.68</v>
      </c>
      <c r="AX48" s="1357"/>
      <c r="AY48" s="4359">
        <f>+SUM(AY49:AY52)</f>
        <v>998.41</v>
      </c>
      <c r="AZ48" s="1357"/>
      <c r="BA48" s="2258">
        <f t="shared" si="18"/>
        <v>2680.85</v>
      </c>
      <c r="BB48" s="1357"/>
      <c r="BC48" s="522">
        <f t="shared" si="19"/>
        <v>4997</v>
      </c>
      <c r="BD48" s="1357"/>
      <c r="BE48" s="1357">
        <f t="shared" si="41"/>
        <v>8218.09</v>
      </c>
      <c r="BF48" s="26"/>
      <c r="BG48" s="26"/>
      <c r="BH48" s="26"/>
      <c r="BP48" s="26"/>
      <c r="BQ48" s="26"/>
    </row>
    <row r="49" spans="1:69" x14ac:dyDescent="0.25">
      <c r="B49" s="8" t="s">
        <v>1101</v>
      </c>
      <c r="C49" s="159" t="s">
        <v>354</v>
      </c>
      <c r="D49" s="596"/>
      <c r="E49" s="597"/>
      <c r="F49" s="597"/>
      <c r="G49" s="597"/>
      <c r="H49" s="1660"/>
      <c r="I49" s="1660">
        <f t="shared" si="35"/>
        <v>0</v>
      </c>
      <c r="J49" s="597"/>
      <c r="K49" s="597"/>
      <c r="L49" s="200"/>
      <c r="M49" s="2258">
        <f t="shared" si="36"/>
        <v>0</v>
      </c>
      <c r="N49" s="597"/>
      <c r="O49" s="597"/>
      <c r="P49" s="597"/>
      <c r="Q49" s="1658">
        <f t="shared" si="7"/>
        <v>0</v>
      </c>
      <c r="R49" s="597"/>
      <c r="S49" s="597"/>
      <c r="T49" s="597"/>
      <c r="U49" s="1658">
        <f t="shared" si="8"/>
        <v>0</v>
      </c>
      <c r="V49" s="597"/>
      <c r="W49" s="597">
        <v>239.28</v>
      </c>
      <c r="X49" s="200"/>
      <c r="Y49" s="2258">
        <f t="shared" si="9"/>
        <v>239.28</v>
      </c>
      <c r="Z49" s="597"/>
      <c r="AA49" s="522">
        <f t="shared" si="10"/>
        <v>239.28</v>
      </c>
      <c r="AB49" s="597"/>
      <c r="AC49" s="4365">
        <v>998.58</v>
      </c>
      <c r="AD49" s="597"/>
      <c r="AE49" s="587">
        <f t="shared" si="37"/>
        <v>1237.8600000000001</v>
      </c>
      <c r="AF49" s="597"/>
      <c r="AG49" s="4365"/>
      <c r="AH49" s="597"/>
      <c r="AI49" s="587">
        <f t="shared" si="38"/>
        <v>1237.8600000000001</v>
      </c>
      <c r="AJ49" s="597"/>
      <c r="AK49" s="4365">
        <v>816.04</v>
      </c>
      <c r="AL49" s="597"/>
      <c r="AM49" s="2258">
        <f t="shared" si="13"/>
        <v>1814.62</v>
      </c>
      <c r="AN49" s="597"/>
      <c r="AO49" s="587">
        <f t="shared" si="14"/>
        <v>2053.9</v>
      </c>
      <c r="AP49" s="597"/>
      <c r="AQ49" s="4365">
        <v>518.41999999999996</v>
      </c>
      <c r="AR49" s="597"/>
      <c r="AS49" s="587">
        <f t="shared" si="39"/>
        <v>2572.3200000000002</v>
      </c>
      <c r="AT49" s="597"/>
      <c r="AU49" s="4365">
        <v>664.93</v>
      </c>
      <c r="AV49" s="597"/>
      <c r="AW49" s="587">
        <f t="shared" si="40"/>
        <v>3237.25</v>
      </c>
      <c r="AX49" s="597"/>
      <c r="AY49" s="4365"/>
      <c r="AZ49" s="597"/>
      <c r="BA49" s="2258">
        <f t="shared" si="18"/>
        <v>1183.3499999999999</v>
      </c>
      <c r="BB49" s="597"/>
      <c r="BC49" s="522">
        <f t="shared" si="19"/>
        <v>2997.97</v>
      </c>
      <c r="BD49" s="597"/>
      <c r="BE49" s="256">
        <f t="shared" si="41"/>
        <v>3237.25</v>
      </c>
      <c r="BF49" s="26"/>
      <c r="BG49" s="26"/>
      <c r="BH49" s="26"/>
      <c r="BP49" s="26"/>
      <c r="BQ49" s="26"/>
    </row>
    <row r="50" spans="1:69" x14ac:dyDescent="0.25">
      <c r="B50" s="8" t="s">
        <v>1433</v>
      </c>
      <c r="C50" s="159" t="s">
        <v>354</v>
      </c>
      <c r="D50" s="596"/>
      <c r="E50" s="597"/>
      <c r="F50" s="597"/>
      <c r="G50" s="597">
        <v>19.7</v>
      </c>
      <c r="H50" s="1660"/>
      <c r="I50" s="1660">
        <f t="shared" si="35"/>
        <v>19.7</v>
      </c>
      <c r="J50" s="597"/>
      <c r="K50" s="597"/>
      <c r="L50" s="200"/>
      <c r="M50" s="2258">
        <f t="shared" si="36"/>
        <v>19.7</v>
      </c>
      <c r="N50" s="597"/>
      <c r="O50" s="597">
        <v>14.46</v>
      </c>
      <c r="P50" s="597"/>
      <c r="Q50" s="1658">
        <f t="shared" si="7"/>
        <v>34.159999999999997</v>
      </c>
      <c r="R50" s="597"/>
      <c r="S50" s="597"/>
      <c r="T50" s="597"/>
      <c r="U50" s="1658">
        <f t="shared" si="8"/>
        <v>34.159999999999997</v>
      </c>
      <c r="V50" s="597"/>
      <c r="W50" s="597">
        <v>23.98</v>
      </c>
      <c r="X50" s="200"/>
      <c r="Y50" s="2258">
        <f t="shared" si="9"/>
        <v>38.44</v>
      </c>
      <c r="Z50" s="597"/>
      <c r="AA50" s="522">
        <f t="shared" si="10"/>
        <v>58.14</v>
      </c>
      <c r="AB50" s="597"/>
      <c r="AC50" s="4365"/>
      <c r="AD50" s="597"/>
      <c r="AE50" s="587">
        <f t="shared" si="37"/>
        <v>58.14</v>
      </c>
      <c r="AF50" s="597"/>
      <c r="AG50" s="4365"/>
      <c r="AH50" s="597"/>
      <c r="AI50" s="587">
        <f t="shared" si="38"/>
        <v>58.14</v>
      </c>
      <c r="AJ50" s="597"/>
      <c r="AK50" s="4365"/>
      <c r="AL50" s="597"/>
      <c r="AM50" s="2258">
        <f t="shared" si="13"/>
        <v>0</v>
      </c>
      <c r="AN50" s="597"/>
      <c r="AO50" s="587">
        <f t="shared" si="14"/>
        <v>58.14</v>
      </c>
      <c r="AP50" s="597"/>
      <c r="AQ50" s="4365"/>
      <c r="AR50" s="597"/>
      <c r="AS50" s="587">
        <f t="shared" si="39"/>
        <v>58.14</v>
      </c>
      <c r="AT50" s="597"/>
      <c r="AU50" s="4365"/>
      <c r="AV50" s="597"/>
      <c r="AW50" s="587">
        <f t="shared" si="40"/>
        <v>58.14</v>
      </c>
      <c r="AX50" s="597"/>
      <c r="AY50" s="4365"/>
      <c r="AZ50" s="597"/>
      <c r="BA50" s="2258">
        <f t="shared" si="18"/>
        <v>0</v>
      </c>
      <c r="BB50" s="597"/>
      <c r="BC50" s="522">
        <f t="shared" si="19"/>
        <v>0</v>
      </c>
      <c r="BD50" s="597"/>
      <c r="BE50" s="256">
        <f t="shared" si="41"/>
        <v>58.14</v>
      </c>
      <c r="BF50" s="26"/>
      <c r="BG50" s="26"/>
      <c r="BH50" s="26"/>
      <c r="BP50" s="26"/>
      <c r="BQ50" s="26"/>
    </row>
    <row r="51" spans="1:69" ht="15.75" customHeight="1" x14ac:dyDescent="0.25">
      <c r="B51" s="8" t="s">
        <v>1341</v>
      </c>
      <c r="C51" s="159" t="s">
        <v>354</v>
      </c>
      <c r="D51" s="597"/>
      <c r="E51" s="597"/>
      <c r="F51" s="597"/>
      <c r="G51" s="597">
        <v>86.38</v>
      </c>
      <c r="H51" s="1660"/>
      <c r="I51" s="1660">
        <f t="shared" si="35"/>
        <v>86.38</v>
      </c>
      <c r="J51" s="597"/>
      <c r="K51" s="597">
        <v>10.09</v>
      </c>
      <c r="L51" s="200"/>
      <c r="M51" s="2258">
        <f t="shared" si="36"/>
        <v>96.47</v>
      </c>
      <c r="N51" s="597"/>
      <c r="O51" s="597"/>
      <c r="P51" s="597"/>
      <c r="Q51" s="1658">
        <f t="shared" si="7"/>
        <v>96.47</v>
      </c>
      <c r="R51" s="597"/>
      <c r="S51" s="597"/>
      <c r="T51" s="597"/>
      <c r="U51" s="1658">
        <f t="shared" si="8"/>
        <v>96.47</v>
      </c>
      <c r="V51" s="597"/>
      <c r="W51" s="597"/>
      <c r="X51" s="200"/>
      <c r="Y51" s="2258">
        <f t="shared" si="9"/>
        <v>0</v>
      </c>
      <c r="Z51" s="597"/>
      <c r="AA51" s="522">
        <f t="shared" si="10"/>
        <v>96.47</v>
      </c>
      <c r="AB51" s="597"/>
      <c r="AC51" s="4365">
        <v>4.25</v>
      </c>
      <c r="AD51" s="597"/>
      <c r="AE51" s="587">
        <f t="shared" si="37"/>
        <v>100.72</v>
      </c>
      <c r="AF51" s="597"/>
      <c r="AG51" s="4365"/>
      <c r="AH51" s="597"/>
      <c r="AI51" s="587">
        <f t="shared" si="38"/>
        <v>100.72</v>
      </c>
      <c r="AJ51" s="597"/>
      <c r="AK51" s="4365"/>
      <c r="AL51" s="597"/>
      <c r="AM51" s="2258">
        <f t="shared" si="13"/>
        <v>4.25</v>
      </c>
      <c r="AN51" s="597"/>
      <c r="AO51" s="587">
        <f t="shared" si="14"/>
        <v>100.72</v>
      </c>
      <c r="AP51" s="597"/>
      <c r="AQ51" s="4365"/>
      <c r="AR51" s="597"/>
      <c r="AS51" s="587">
        <f t="shared" si="39"/>
        <v>100.72</v>
      </c>
      <c r="AT51" s="597"/>
      <c r="AU51" s="4365"/>
      <c r="AV51" s="597"/>
      <c r="AW51" s="587">
        <f t="shared" si="40"/>
        <v>100.72</v>
      </c>
      <c r="AX51" s="597"/>
      <c r="AY51" s="4365"/>
      <c r="AZ51" s="597"/>
      <c r="BA51" s="2258">
        <f t="shared" si="18"/>
        <v>0</v>
      </c>
      <c r="BB51" s="597"/>
      <c r="BC51" s="522">
        <f t="shared" si="19"/>
        <v>4.25</v>
      </c>
      <c r="BD51" s="597"/>
      <c r="BE51" s="256">
        <f t="shared" si="41"/>
        <v>100.72</v>
      </c>
      <c r="BF51" s="26"/>
      <c r="BG51" s="26"/>
      <c r="BH51" s="26"/>
      <c r="BP51" s="26"/>
      <c r="BQ51" s="26"/>
    </row>
    <row r="52" spans="1:69" x14ac:dyDescent="0.25">
      <c r="A52" s="149"/>
      <c r="B52" s="8" t="s">
        <v>720</v>
      </c>
      <c r="C52" s="159" t="s">
        <v>354</v>
      </c>
      <c r="D52" s="597"/>
      <c r="E52" s="1201">
        <v>999.31</v>
      </c>
      <c r="F52" s="1201"/>
      <c r="G52" s="1201"/>
      <c r="H52" s="1658"/>
      <c r="I52" s="1658">
        <f t="shared" si="35"/>
        <v>999.31</v>
      </c>
      <c r="J52" s="1201"/>
      <c r="K52" s="1201"/>
      <c r="L52" s="200"/>
      <c r="M52" s="2258">
        <f t="shared" si="36"/>
        <v>999.31</v>
      </c>
      <c r="N52" s="1201"/>
      <c r="O52" s="1201">
        <v>996.4</v>
      </c>
      <c r="P52" s="1201"/>
      <c r="Q52" s="1658">
        <f t="shared" si="7"/>
        <v>1995.71</v>
      </c>
      <c r="R52" s="1201"/>
      <c r="S52" s="1201">
        <v>496.32</v>
      </c>
      <c r="T52" s="1201"/>
      <c r="U52" s="1658">
        <f t="shared" si="8"/>
        <v>2492.0300000000002</v>
      </c>
      <c r="V52" s="1201"/>
      <c r="W52" s="1201">
        <v>335.17</v>
      </c>
      <c r="X52" s="200"/>
      <c r="Y52" s="2258">
        <f t="shared" si="9"/>
        <v>1827.89</v>
      </c>
      <c r="Z52" s="1201"/>
      <c r="AA52" s="544">
        <f t="shared" si="10"/>
        <v>2827.2</v>
      </c>
      <c r="AB52" s="1201"/>
      <c r="AC52" s="1280"/>
      <c r="AD52" s="1201"/>
      <c r="AE52" s="782">
        <f t="shared" si="37"/>
        <v>2827.2</v>
      </c>
      <c r="AF52" s="1201"/>
      <c r="AG52" s="1280">
        <v>198.57000000000002</v>
      </c>
      <c r="AH52" s="1201"/>
      <c r="AI52" s="782">
        <f t="shared" si="38"/>
        <v>3025.77</v>
      </c>
      <c r="AJ52" s="1201"/>
      <c r="AK52" s="1280">
        <v>298.70999999999998</v>
      </c>
      <c r="AL52" s="1201"/>
      <c r="AM52" s="2258">
        <f t="shared" si="13"/>
        <v>497.28</v>
      </c>
      <c r="AN52" s="1201"/>
      <c r="AO52" s="782">
        <f t="shared" si="14"/>
        <v>3324.48</v>
      </c>
      <c r="AP52" s="1201"/>
      <c r="AQ52" s="1280">
        <v>499.09</v>
      </c>
      <c r="AR52" s="1201"/>
      <c r="AS52" s="782">
        <f t="shared" si="39"/>
        <v>3823.57</v>
      </c>
      <c r="AT52" s="1201"/>
      <c r="AU52" s="1280"/>
      <c r="AV52" s="1201"/>
      <c r="AW52" s="782">
        <f t="shared" si="40"/>
        <v>3823.57</v>
      </c>
      <c r="AX52" s="1201"/>
      <c r="AY52" s="1280">
        <v>998.41</v>
      </c>
      <c r="AZ52" s="1201"/>
      <c r="BA52" s="2258">
        <f t="shared" si="18"/>
        <v>1497.5</v>
      </c>
      <c r="BB52" s="1201"/>
      <c r="BC52" s="544">
        <f t="shared" si="19"/>
        <v>1994.78</v>
      </c>
      <c r="BD52" s="1201"/>
      <c r="BE52" s="376">
        <f t="shared" si="41"/>
        <v>4821.9800000000005</v>
      </c>
      <c r="BF52" s="26"/>
      <c r="BG52" s="26"/>
      <c r="BH52" s="26"/>
      <c r="BP52" s="26"/>
      <c r="BQ52" s="26"/>
    </row>
    <row r="53" spans="1:69" x14ac:dyDescent="0.25">
      <c r="B53" s="743" t="s">
        <v>721</v>
      </c>
      <c r="C53" s="205"/>
      <c r="D53" s="1357"/>
      <c r="E53" s="1357">
        <f>+SUM(E54:E57)</f>
        <v>44.989999999999995</v>
      </c>
      <c r="F53" s="1357"/>
      <c r="G53" s="1357">
        <f>+SUM(G54:G57)</f>
        <v>0</v>
      </c>
      <c r="H53" s="1659"/>
      <c r="I53" s="1659">
        <f t="shared" si="35"/>
        <v>44.989999999999995</v>
      </c>
      <c r="J53" s="1357"/>
      <c r="K53" s="1357">
        <f>+SUM(K54:K57)</f>
        <v>44.959999999999994</v>
      </c>
      <c r="L53" s="1357"/>
      <c r="M53" s="2258">
        <f t="shared" si="36"/>
        <v>89.949999999999989</v>
      </c>
      <c r="N53" s="1357"/>
      <c r="O53" s="1357">
        <f>+SUM(O54:O57)</f>
        <v>52.61</v>
      </c>
      <c r="P53" s="1357"/>
      <c r="Q53" s="1658">
        <f t="shared" si="7"/>
        <v>142.56</v>
      </c>
      <c r="R53" s="1357"/>
      <c r="S53" s="1357">
        <f>+SUM(S54:S57)</f>
        <v>0</v>
      </c>
      <c r="T53" s="1357"/>
      <c r="U53" s="1658">
        <f t="shared" si="8"/>
        <v>142.56</v>
      </c>
      <c r="V53" s="1357"/>
      <c r="W53" s="1357">
        <f>+SUM(W54:W57)</f>
        <v>0</v>
      </c>
      <c r="X53" s="1357"/>
      <c r="Y53" s="2258">
        <f t="shared" si="9"/>
        <v>52.61</v>
      </c>
      <c r="Z53" s="1357"/>
      <c r="AA53" s="522">
        <f t="shared" si="10"/>
        <v>142.56</v>
      </c>
      <c r="AB53" s="1357"/>
      <c r="AC53" s="4359">
        <f>+SUM(AC54:AC57)</f>
        <v>62.349999999999994</v>
      </c>
      <c r="AD53" s="1357"/>
      <c r="AE53" s="1357">
        <f t="shared" si="37"/>
        <v>204.91</v>
      </c>
      <c r="AF53" s="1357"/>
      <c r="AG53" s="4359">
        <f>+SUM(AG54:AG57)</f>
        <v>22.6</v>
      </c>
      <c r="AH53" s="1357"/>
      <c r="AI53" s="1357">
        <f t="shared" si="38"/>
        <v>227.51</v>
      </c>
      <c r="AJ53" s="1357"/>
      <c r="AK53" s="4359">
        <f>+SUM(AK54:AK57)</f>
        <v>24.97</v>
      </c>
      <c r="AL53" s="1357"/>
      <c r="AM53" s="2258">
        <f t="shared" si="13"/>
        <v>109.91999999999999</v>
      </c>
      <c r="AN53" s="1357"/>
      <c r="AO53" s="1357">
        <f t="shared" si="14"/>
        <v>252.48</v>
      </c>
      <c r="AP53" s="1357"/>
      <c r="AQ53" s="4359">
        <f>+SUM(AQ54:AQ57)</f>
        <v>49.92</v>
      </c>
      <c r="AR53" s="1357"/>
      <c r="AS53" s="1357">
        <f t="shared" si="39"/>
        <v>302.39999999999998</v>
      </c>
      <c r="AT53" s="1357"/>
      <c r="AU53" s="4359">
        <f>+SUM(AU54:AU57)</f>
        <v>76.09</v>
      </c>
      <c r="AV53" s="1357"/>
      <c r="AW53" s="1357">
        <f t="shared" si="40"/>
        <v>378.49</v>
      </c>
      <c r="AX53" s="1357"/>
      <c r="AY53" s="4359">
        <f>+SUM(AY54:AY57)</f>
        <v>48.89</v>
      </c>
      <c r="AZ53" s="1357"/>
      <c r="BA53" s="2258">
        <f t="shared" si="18"/>
        <v>174.9</v>
      </c>
      <c r="BB53" s="1357"/>
      <c r="BC53" s="522">
        <f t="shared" si="19"/>
        <v>284.82</v>
      </c>
      <c r="BD53" s="1357"/>
      <c r="BE53" s="1357">
        <f t="shared" si="41"/>
        <v>427.38</v>
      </c>
      <c r="BF53" s="26"/>
      <c r="BG53" s="26"/>
      <c r="BH53" s="26"/>
      <c r="BP53" s="26"/>
      <c r="BQ53" s="26"/>
    </row>
    <row r="54" spans="1:69" x14ac:dyDescent="0.25">
      <c r="B54" s="8" t="s">
        <v>913</v>
      </c>
      <c r="C54" s="159" t="s">
        <v>354</v>
      </c>
      <c r="D54" s="597"/>
      <c r="E54" s="1201">
        <v>25</v>
      </c>
      <c r="F54" s="1201"/>
      <c r="G54" s="1201"/>
      <c r="H54" s="1658"/>
      <c r="I54" s="1658">
        <f t="shared" si="35"/>
        <v>25</v>
      </c>
      <c r="J54" s="1201"/>
      <c r="K54" s="1201"/>
      <c r="L54" s="200"/>
      <c r="M54" s="1151">
        <f t="shared" si="36"/>
        <v>25</v>
      </c>
      <c r="N54" s="1201"/>
      <c r="O54" s="1201">
        <v>24.99</v>
      </c>
      <c r="P54" s="1201"/>
      <c r="Q54" s="1658">
        <f t="shared" si="7"/>
        <v>49.989999999999995</v>
      </c>
      <c r="R54" s="1201"/>
      <c r="S54" s="1201"/>
      <c r="T54" s="1201"/>
      <c r="U54" s="1658">
        <f t="shared" si="8"/>
        <v>49.989999999999995</v>
      </c>
      <c r="V54" s="1201"/>
      <c r="W54" s="1201"/>
      <c r="X54" s="200"/>
      <c r="Y54" s="1151">
        <f t="shared" si="9"/>
        <v>24.99</v>
      </c>
      <c r="Z54" s="1201"/>
      <c r="AA54" s="544">
        <f t="shared" si="10"/>
        <v>49.989999999999995</v>
      </c>
      <c r="AB54" s="1201"/>
      <c r="AC54" s="1280">
        <v>24.99</v>
      </c>
      <c r="AD54" s="1201"/>
      <c r="AE54" s="782">
        <f t="shared" si="37"/>
        <v>74.97999999999999</v>
      </c>
      <c r="AF54" s="1201"/>
      <c r="AG54" s="1280"/>
      <c r="AH54" s="1201"/>
      <c r="AI54" s="782">
        <f t="shared" si="38"/>
        <v>74.97999999999999</v>
      </c>
      <c r="AJ54" s="1201"/>
      <c r="AK54" s="1280"/>
      <c r="AL54" s="1201"/>
      <c r="AM54" s="1151">
        <f t="shared" si="13"/>
        <v>24.99</v>
      </c>
      <c r="AN54" s="1201"/>
      <c r="AO54" s="782">
        <f t="shared" si="14"/>
        <v>74.97999999999999</v>
      </c>
      <c r="AP54" s="1201"/>
      <c r="AQ54" s="1280">
        <v>24.95</v>
      </c>
      <c r="AR54" s="1201"/>
      <c r="AS54" s="782">
        <f t="shared" si="39"/>
        <v>99.929999999999993</v>
      </c>
      <c r="AT54" s="1201"/>
      <c r="AU54" s="1280"/>
      <c r="AV54" s="1201"/>
      <c r="AW54" s="782">
        <f t="shared" si="40"/>
        <v>99.929999999999993</v>
      </c>
      <c r="AX54" s="1201"/>
      <c r="AY54" s="1280">
        <v>24.98</v>
      </c>
      <c r="AZ54" s="1201"/>
      <c r="BA54" s="1151">
        <f t="shared" si="18"/>
        <v>49.93</v>
      </c>
      <c r="BB54" s="1201"/>
      <c r="BC54" s="544">
        <f t="shared" si="19"/>
        <v>74.92</v>
      </c>
      <c r="BD54" s="1201"/>
      <c r="BE54" s="376">
        <f t="shared" si="41"/>
        <v>124.91</v>
      </c>
      <c r="BF54" s="26"/>
      <c r="BG54" s="26"/>
      <c r="BH54" s="26"/>
      <c r="BP54" s="26"/>
      <c r="BQ54" s="26"/>
    </row>
    <row r="55" spans="1:69" x14ac:dyDescent="0.25">
      <c r="B55" s="8" t="s">
        <v>1266</v>
      </c>
      <c r="C55" s="159" t="s">
        <v>354</v>
      </c>
      <c r="D55" s="597"/>
      <c r="E55" s="1201">
        <v>19.989999999999998</v>
      </c>
      <c r="F55" s="1201"/>
      <c r="G55" s="1201"/>
      <c r="H55" s="1658"/>
      <c r="I55" s="1658">
        <f t="shared" si="35"/>
        <v>19.989999999999998</v>
      </c>
      <c r="J55" s="1201"/>
      <c r="K55" s="1201"/>
      <c r="L55" s="200"/>
      <c r="M55" s="1151">
        <f t="shared" si="36"/>
        <v>19.989999999999998</v>
      </c>
      <c r="N55" s="1201"/>
      <c r="O55" s="1201"/>
      <c r="P55" s="1201"/>
      <c r="Q55" s="1658">
        <f t="shared" si="7"/>
        <v>19.989999999999998</v>
      </c>
      <c r="R55" s="1201"/>
      <c r="S55" s="1201"/>
      <c r="T55" s="1201"/>
      <c r="U55" s="1658">
        <f t="shared" si="8"/>
        <v>19.989999999999998</v>
      </c>
      <c r="V55" s="1201"/>
      <c r="W55" s="1201"/>
      <c r="X55" s="200"/>
      <c r="Y55" s="1151">
        <f t="shared" si="9"/>
        <v>0</v>
      </c>
      <c r="Z55" s="1201"/>
      <c r="AA55" s="544">
        <f t="shared" si="10"/>
        <v>19.989999999999998</v>
      </c>
      <c r="AB55" s="1201"/>
      <c r="AC55" s="1280"/>
      <c r="AD55" s="1201"/>
      <c r="AE55" s="782">
        <f t="shared" si="37"/>
        <v>19.989999999999998</v>
      </c>
      <c r="AF55" s="1201"/>
      <c r="AG55" s="1280"/>
      <c r="AH55" s="1201"/>
      <c r="AI55" s="782">
        <f t="shared" si="38"/>
        <v>19.989999999999998</v>
      </c>
      <c r="AJ55" s="1201"/>
      <c r="AK55" s="1280">
        <v>24.97</v>
      </c>
      <c r="AL55" s="1201"/>
      <c r="AM55" s="1151">
        <f t="shared" si="13"/>
        <v>24.97</v>
      </c>
      <c r="AN55" s="1201"/>
      <c r="AO55" s="782">
        <f t="shared" si="14"/>
        <v>44.959999999999994</v>
      </c>
      <c r="AP55" s="1201"/>
      <c r="AQ55" s="1280"/>
      <c r="AR55" s="1201"/>
      <c r="AS55" s="782">
        <f t="shared" si="39"/>
        <v>44.959999999999994</v>
      </c>
      <c r="AT55" s="1201"/>
      <c r="AU55" s="1280"/>
      <c r="AV55" s="1201"/>
      <c r="AW55" s="782">
        <f t="shared" si="40"/>
        <v>44.959999999999994</v>
      </c>
      <c r="AX55" s="1201"/>
      <c r="AY55" s="1280"/>
      <c r="AZ55" s="1201"/>
      <c r="BA55" s="1151">
        <f t="shared" si="18"/>
        <v>0</v>
      </c>
      <c r="BB55" s="1201"/>
      <c r="BC55" s="544">
        <f t="shared" si="19"/>
        <v>24.97</v>
      </c>
      <c r="BD55" s="1201"/>
      <c r="BE55" s="376">
        <f t="shared" si="41"/>
        <v>44.959999999999994</v>
      </c>
      <c r="BF55" s="26"/>
      <c r="BG55" s="26"/>
      <c r="BH55" s="26"/>
      <c r="BP55" s="26"/>
      <c r="BQ55" s="26"/>
    </row>
    <row r="56" spans="1:69" x14ac:dyDescent="0.25">
      <c r="B56" s="8" t="s">
        <v>1563</v>
      </c>
      <c r="C56" s="159" t="s">
        <v>354</v>
      </c>
      <c r="D56" s="597"/>
      <c r="E56" s="1201"/>
      <c r="F56" s="1201"/>
      <c r="G56" s="1201"/>
      <c r="H56" s="1658"/>
      <c r="I56" s="1658">
        <f t="shared" si="35"/>
        <v>0</v>
      </c>
      <c r="J56" s="1201"/>
      <c r="K56" s="1201">
        <v>19.989999999999998</v>
      </c>
      <c r="L56" s="200"/>
      <c r="M56" s="1151">
        <f t="shared" si="36"/>
        <v>19.989999999999998</v>
      </c>
      <c r="N56" s="1201"/>
      <c r="O56" s="1201"/>
      <c r="P56" s="1201"/>
      <c r="Q56" s="1658">
        <f t="shared" si="7"/>
        <v>19.989999999999998</v>
      </c>
      <c r="R56" s="1201"/>
      <c r="S56" s="1201"/>
      <c r="T56" s="1201"/>
      <c r="U56" s="1658">
        <f t="shared" si="8"/>
        <v>19.989999999999998</v>
      </c>
      <c r="V56" s="1201"/>
      <c r="W56" s="1201"/>
      <c r="X56" s="200"/>
      <c r="Y56" s="1151">
        <f t="shared" si="9"/>
        <v>0</v>
      </c>
      <c r="Z56" s="1201"/>
      <c r="AA56" s="544">
        <f t="shared" si="10"/>
        <v>19.989999999999998</v>
      </c>
      <c r="AB56" s="1201"/>
      <c r="AC56" s="1280"/>
      <c r="AD56" s="1201"/>
      <c r="AE56" s="782">
        <f t="shared" si="37"/>
        <v>19.989999999999998</v>
      </c>
      <c r="AF56" s="1201"/>
      <c r="AG56" s="1280"/>
      <c r="AH56" s="1201"/>
      <c r="AI56" s="782">
        <f t="shared" si="38"/>
        <v>19.989999999999998</v>
      </c>
      <c r="AJ56" s="1201"/>
      <c r="AK56" s="1280"/>
      <c r="AL56" s="1201"/>
      <c r="AM56" s="1151">
        <f t="shared" si="13"/>
        <v>0</v>
      </c>
      <c r="AN56" s="1201"/>
      <c r="AO56" s="782">
        <f t="shared" si="14"/>
        <v>19.989999999999998</v>
      </c>
      <c r="AP56" s="1201"/>
      <c r="AQ56" s="1280">
        <v>24.97</v>
      </c>
      <c r="AR56" s="1201"/>
      <c r="AS56" s="782">
        <f t="shared" si="39"/>
        <v>44.959999999999994</v>
      </c>
      <c r="AT56" s="1201"/>
      <c r="AU56" s="1280"/>
      <c r="AV56" s="1201"/>
      <c r="AW56" s="782">
        <f t="shared" si="40"/>
        <v>44.959999999999994</v>
      </c>
      <c r="AX56" s="1201"/>
      <c r="AY56" s="1280"/>
      <c r="AZ56" s="1201"/>
      <c r="BA56" s="1151">
        <f t="shared" si="18"/>
        <v>24.97</v>
      </c>
      <c r="BB56" s="1201"/>
      <c r="BC56" s="544">
        <f t="shared" si="19"/>
        <v>24.97</v>
      </c>
      <c r="BD56" s="1201"/>
      <c r="BE56" s="376">
        <f t="shared" si="41"/>
        <v>44.959999999999994</v>
      </c>
      <c r="BF56" s="26"/>
      <c r="BG56" s="26"/>
      <c r="BH56" s="26"/>
      <c r="BP56" s="26"/>
      <c r="BQ56" s="26"/>
    </row>
    <row r="57" spans="1:69" x14ac:dyDescent="0.25">
      <c r="A57" s="149"/>
      <c r="B57" s="8" t="s">
        <v>652</v>
      </c>
      <c r="C57" s="159" t="s">
        <v>354</v>
      </c>
      <c r="D57" s="597"/>
      <c r="E57" s="1201"/>
      <c r="F57" s="1201"/>
      <c r="G57" s="1201"/>
      <c r="H57" s="1658"/>
      <c r="I57" s="1658">
        <f t="shared" si="35"/>
        <v>0</v>
      </c>
      <c r="J57" s="1201"/>
      <c r="K57" s="1201">
        <v>24.97</v>
      </c>
      <c r="L57" s="200"/>
      <c r="M57" s="1151">
        <f t="shared" si="36"/>
        <v>24.97</v>
      </c>
      <c r="N57" s="1201"/>
      <c r="O57" s="1201">
        <v>27.62</v>
      </c>
      <c r="P57" s="1201"/>
      <c r="Q57" s="1658">
        <f t="shared" si="7"/>
        <v>52.59</v>
      </c>
      <c r="R57" s="1201"/>
      <c r="S57" s="1201"/>
      <c r="T57" s="1201"/>
      <c r="U57" s="1658">
        <f t="shared" si="8"/>
        <v>52.59</v>
      </c>
      <c r="V57" s="1201"/>
      <c r="W57" s="1201"/>
      <c r="X57" s="200"/>
      <c r="Y57" s="1151">
        <f t="shared" si="9"/>
        <v>27.62</v>
      </c>
      <c r="Z57" s="1201"/>
      <c r="AA57" s="544">
        <f t="shared" si="10"/>
        <v>52.59</v>
      </c>
      <c r="AB57" s="1201"/>
      <c r="AC57" s="1280">
        <v>37.36</v>
      </c>
      <c r="AD57" s="1201"/>
      <c r="AE57" s="782">
        <f t="shared" si="37"/>
        <v>89.95</v>
      </c>
      <c r="AF57" s="1201"/>
      <c r="AG57" s="1280">
        <v>22.6</v>
      </c>
      <c r="AH57" s="1201"/>
      <c r="AI57" s="782">
        <f t="shared" si="38"/>
        <v>112.55000000000001</v>
      </c>
      <c r="AJ57" s="1201"/>
      <c r="AK57" s="1280"/>
      <c r="AL57" s="1201"/>
      <c r="AM57" s="1151">
        <f t="shared" si="13"/>
        <v>59.96</v>
      </c>
      <c r="AN57" s="1201"/>
      <c r="AO57" s="782">
        <f t="shared" si="14"/>
        <v>112.55000000000001</v>
      </c>
      <c r="AP57" s="1201"/>
      <c r="AQ57" s="1280"/>
      <c r="AR57" s="1201"/>
      <c r="AS57" s="782">
        <f t="shared" si="39"/>
        <v>112.55000000000001</v>
      </c>
      <c r="AT57" s="1201"/>
      <c r="AU57" s="1280">
        <v>76.09</v>
      </c>
      <c r="AV57" s="1201"/>
      <c r="AW57" s="782">
        <f t="shared" si="40"/>
        <v>188.64000000000001</v>
      </c>
      <c r="AX57" s="1201"/>
      <c r="AY57" s="1280">
        <v>23.91</v>
      </c>
      <c r="AZ57" s="1201"/>
      <c r="BA57" s="1151">
        <f t="shared" si="18"/>
        <v>100</v>
      </c>
      <c r="BB57" s="1201"/>
      <c r="BC57" s="544">
        <f t="shared" si="19"/>
        <v>159.96</v>
      </c>
      <c r="BD57" s="1201"/>
      <c r="BE57" s="376">
        <f t="shared" si="41"/>
        <v>212.55</v>
      </c>
      <c r="BF57" s="26"/>
      <c r="BG57" s="26"/>
      <c r="BH57" s="26"/>
      <c r="BP57" s="26"/>
      <c r="BQ57" s="26"/>
    </row>
    <row r="58" spans="1:69" x14ac:dyDescent="0.25">
      <c r="B58" s="743" t="s">
        <v>673</v>
      </c>
      <c r="C58" s="205"/>
      <c r="D58" s="1357"/>
      <c r="E58" s="1357">
        <f>+SUM(E59:E64)</f>
        <v>175.32999999999998</v>
      </c>
      <c r="F58" s="1357">
        <f>+SUM(F59:F64)</f>
        <v>0</v>
      </c>
      <c r="G58" s="1357">
        <f>+SUM(G59:G64)</f>
        <v>21.57</v>
      </c>
      <c r="H58" s="1659">
        <f>+SUM(H59:H64)</f>
        <v>0</v>
      </c>
      <c r="I58" s="1659">
        <f t="shared" si="35"/>
        <v>196.89999999999998</v>
      </c>
      <c r="J58" s="1357"/>
      <c r="K58" s="1357">
        <f>+SUM(K59:K64)</f>
        <v>0</v>
      </c>
      <c r="L58" s="1357"/>
      <c r="M58" s="2258">
        <f t="shared" si="36"/>
        <v>196.89999999999998</v>
      </c>
      <c r="N58" s="1357"/>
      <c r="O58" s="1357">
        <f>+SUM(O59:O64)</f>
        <v>18.39</v>
      </c>
      <c r="P58" s="1357"/>
      <c r="Q58" s="1658">
        <f t="shared" si="7"/>
        <v>215.28999999999996</v>
      </c>
      <c r="R58" s="1357"/>
      <c r="S58" s="1357">
        <f>+SUM(S59:S64)</f>
        <v>138.43</v>
      </c>
      <c r="T58" s="1357"/>
      <c r="U58" s="1658">
        <f t="shared" si="8"/>
        <v>353.71999999999997</v>
      </c>
      <c r="V58" s="1357"/>
      <c r="W58" s="1357">
        <f>+SUM(W59:W64)</f>
        <v>381.20999999999992</v>
      </c>
      <c r="X58" s="1357"/>
      <c r="Y58" s="2258">
        <f t="shared" si="9"/>
        <v>538.03</v>
      </c>
      <c r="Z58" s="1357"/>
      <c r="AA58" s="522">
        <f t="shared" si="10"/>
        <v>734.93</v>
      </c>
      <c r="AB58" s="1357"/>
      <c r="AC58" s="4359">
        <f>+SUM(AC59:AC64)</f>
        <v>0</v>
      </c>
      <c r="AD58" s="1357"/>
      <c r="AE58" s="1357">
        <f t="shared" si="37"/>
        <v>734.93</v>
      </c>
      <c r="AF58" s="1357"/>
      <c r="AG58" s="4359">
        <f>+SUM(AG59:AG64)</f>
        <v>0</v>
      </c>
      <c r="AH58" s="1357"/>
      <c r="AI58" s="1357">
        <f t="shared" si="38"/>
        <v>734.93</v>
      </c>
      <c r="AJ58" s="1357"/>
      <c r="AK58" s="4359">
        <f>+SUM(AK59:AK64)</f>
        <v>0</v>
      </c>
      <c r="AL58" s="1357"/>
      <c r="AM58" s="2258">
        <f t="shared" si="13"/>
        <v>0</v>
      </c>
      <c r="AN58" s="1357"/>
      <c r="AO58" s="1357">
        <f t="shared" si="14"/>
        <v>734.93</v>
      </c>
      <c r="AP58" s="1357"/>
      <c r="AQ58" s="4359">
        <f>+SUM(AQ59:AQ64)</f>
        <v>0</v>
      </c>
      <c r="AR58" s="1357"/>
      <c r="AS58" s="1357">
        <f t="shared" si="39"/>
        <v>734.93</v>
      </c>
      <c r="AT58" s="1357"/>
      <c r="AU58" s="4359">
        <f>+SUM(AU59:AU64)</f>
        <v>0</v>
      </c>
      <c r="AV58" s="1357"/>
      <c r="AW58" s="1357">
        <f t="shared" si="40"/>
        <v>734.93</v>
      </c>
      <c r="AX58" s="1357"/>
      <c r="AY58" s="4359">
        <f>+SUM(AY59:AY64)</f>
        <v>0</v>
      </c>
      <c r="AZ58" s="1357"/>
      <c r="BA58" s="2258">
        <f t="shared" si="18"/>
        <v>0</v>
      </c>
      <c r="BB58" s="1357"/>
      <c r="BC58" s="522">
        <f t="shared" si="19"/>
        <v>0</v>
      </c>
      <c r="BD58" s="1357"/>
      <c r="BE58" s="1357">
        <f t="shared" si="41"/>
        <v>734.93</v>
      </c>
      <c r="BF58" s="26"/>
      <c r="BG58" s="26"/>
      <c r="BH58" s="26"/>
      <c r="BP58" s="26"/>
      <c r="BQ58" s="26"/>
    </row>
    <row r="59" spans="1:69" x14ac:dyDescent="0.25">
      <c r="B59" s="8" t="s">
        <v>1436</v>
      </c>
      <c r="C59" s="205" t="s">
        <v>354</v>
      </c>
      <c r="D59" s="1357"/>
      <c r="E59" s="1137">
        <v>71.11</v>
      </c>
      <c r="F59" s="1137"/>
      <c r="G59" s="1137">
        <v>21.57</v>
      </c>
      <c r="H59" s="1659"/>
      <c r="I59" s="1659">
        <f t="shared" si="35"/>
        <v>92.68</v>
      </c>
      <c r="J59" s="1137"/>
      <c r="K59" s="1137"/>
      <c r="L59" s="1357"/>
      <c r="M59" s="1151">
        <f t="shared" si="36"/>
        <v>92.68</v>
      </c>
      <c r="N59" s="1357"/>
      <c r="O59" s="1137">
        <v>18.39</v>
      </c>
      <c r="P59" s="1357"/>
      <c r="Q59" s="1658">
        <f t="shared" si="7"/>
        <v>111.07000000000001</v>
      </c>
      <c r="R59" s="1357"/>
      <c r="S59" s="1137"/>
      <c r="T59" s="1357"/>
      <c r="U59" s="1658">
        <f t="shared" si="8"/>
        <v>111.07000000000001</v>
      </c>
      <c r="V59" s="1357"/>
      <c r="W59" s="1137"/>
      <c r="X59" s="1357"/>
      <c r="Y59" s="1151">
        <f t="shared" si="9"/>
        <v>18.39</v>
      </c>
      <c r="Z59" s="1357"/>
      <c r="AA59" s="522">
        <f t="shared" si="10"/>
        <v>111.07000000000001</v>
      </c>
      <c r="AB59" s="1357"/>
      <c r="AC59" s="1554"/>
      <c r="AD59" s="1357"/>
      <c r="AE59" s="256">
        <f>AA59+AC59</f>
        <v>111.07000000000001</v>
      </c>
      <c r="AF59" s="1357"/>
      <c r="AG59" s="1554"/>
      <c r="AH59" s="1357"/>
      <c r="AI59" s="256">
        <f>AE59+AG59</f>
        <v>111.07000000000001</v>
      </c>
      <c r="AJ59" s="1357"/>
      <c r="AK59" s="1554"/>
      <c r="AL59" s="1357"/>
      <c r="AM59" s="1151">
        <f t="shared" si="13"/>
        <v>0</v>
      </c>
      <c r="AN59" s="1357"/>
      <c r="AO59" s="256">
        <f t="shared" si="14"/>
        <v>111.07000000000001</v>
      </c>
      <c r="AP59" s="1357"/>
      <c r="AQ59" s="1554"/>
      <c r="AR59" s="1357"/>
      <c r="AS59" s="256">
        <f>AO59+AQ59</f>
        <v>111.07000000000001</v>
      </c>
      <c r="AT59" s="1357"/>
      <c r="AU59" s="1554"/>
      <c r="AV59" s="1357"/>
      <c r="AW59" s="256">
        <f>AS59+AU59</f>
        <v>111.07000000000001</v>
      </c>
      <c r="AX59" s="1357"/>
      <c r="AY59" s="1554"/>
      <c r="AZ59" s="1357"/>
      <c r="BA59" s="1151">
        <f t="shared" si="18"/>
        <v>0</v>
      </c>
      <c r="BB59" s="1357"/>
      <c r="BC59" s="522">
        <f t="shared" si="19"/>
        <v>0</v>
      </c>
      <c r="BD59" s="1357"/>
      <c r="BE59" s="256">
        <f>AW59+AY59</f>
        <v>111.07000000000001</v>
      </c>
      <c r="BF59" s="26"/>
      <c r="BG59" s="26"/>
      <c r="BH59" s="26"/>
      <c r="BP59" s="26"/>
      <c r="BQ59" s="26"/>
    </row>
    <row r="60" spans="1:69" x14ac:dyDescent="0.25">
      <c r="B60" s="8" t="s">
        <v>1478</v>
      </c>
      <c r="C60" s="205" t="s">
        <v>354</v>
      </c>
      <c r="D60" s="1357"/>
      <c r="E60" s="1137">
        <v>104.22</v>
      </c>
      <c r="F60" s="1137"/>
      <c r="G60" s="1137"/>
      <c r="H60" s="1659"/>
      <c r="I60" s="1659">
        <f t="shared" si="35"/>
        <v>104.22</v>
      </c>
      <c r="J60" s="1137"/>
      <c r="K60" s="1137"/>
      <c r="L60" s="1357"/>
      <c r="M60" s="1151">
        <f t="shared" si="36"/>
        <v>104.22</v>
      </c>
      <c r="N60" s="1357"/>
      <c r="O60" s="1137"/>
      <c r="P60" s="1357"/>
      <c r="Q60" s="1658">
        <f t="shared" si="7"/>
        <v>104.22</v>
      </c>
      <c r="R60" s="1357"/>
      <c r="S60" s="1137"/>
      <c r="T60" s="1357"/>
      <c r="U60" s="1658">
        <f t="shared" si="8"/>
        <v>104.22</v>
      </c>
      <c r="V60" s="1357"/>
      <c r="W60" s="1137"/>
      <c r="X60" s="1357"/>
      <c r="Y60" s="1151">
        <f t="shared" si="9"/>
        <v>0</v>
      </c>
      <c r="Z60" s="1357"/>
      <c r="AA60" s="522">
        <f t="shared" si="10"/>
        <v>104.22</v>
      </c>
      <c r="AB60" s="1357"/>
      <c r="AC60" s="1554"/>
      <c r="AD60" s="1357"/>
      <c r="AE60" s="256">
        <f>AA60+AC60</f>
        <v>104.22</v>
      </c>
      <c r="AF60" s="1357"/>
      <c r="AG60" s="1554"/>
      <c r="AH60" s="1357"/>
      <c r="AI60" s="256">
        <f>AE60+AG60</f>
        <v>104.22</v>
      </c>
      <c r="AJ60" s="1357"/>
      <c r="AK60" s="1554"/>
      <c r="AL60" s="1357"/>
      <c r="AM60" s="1151">
        <f t="shared" si="13"/>
        <v>0</v>
      </c>
      <c r="AN60" s="1357"/>
      <c r="AO60" s="256">
        <f t="shared" si="14"/>
        <v>104.22</v>
      </c>
      <c r="AP60" s="1357"/>
      <c r="AQ60" s="1554"/>
      <c r="AR60" s="1357"/>
      <c r="AS60" s="256">
        <f>AO60+AQ60</f>
        <v>104.22</v>
      </c>
      <c r="AT60" s="1357"/>
      <c r="AU60" s="1554"/>
      <c r="AV60" s="1357"/>
      <c r="AW60" s="256">
        <f>AS60+AU60</f>
        <v>104.22</v>
      </c>
      <c r="AX60" s="1357"/>
      <c r="AY60" s="1554"/>
      <c r="AZ60" s="1357"/>
      <c r="BA60" s="1151">
        <f t="shared" si="18"/>
        <v>0</v>
      </c>
      <c r="BB60" s="1357"/>
      <c r="BC60" s="522">
        <f t="shared" si="19"/>
        <v>0</v>
      </c>
      <c r="BD60" s="1357"/>
      <c r="BE60" s="256">
        <f>AW60+AY60</f>
        <v>104.22</v>
      </c>
      <c r="BF60" s="26"/>
      <c r="BG60" s="26"/>
      <c r="BH60" s="26"/>
      <c r="BP60" s="26"/>
      <c r="BQ60" s="26"/>
    </row>
    <row r="61" spans="1:69" x14ac:dyDescent="0.25">
      <c r="B61" s="8" t="s">
        <v>2361</v>
      </c>
      <c r="C61" s="205" t="s">
        <v>354</v>
      </c>
      <c r="D61" s="1357"/>
      <c r="E61" s="1137"/>
      <c r="F61" s="1137"/>
      <c r="G61" s="1137"/>
      <c r="H61" s="1659"/>
      <c r="I61" s="1659">
        <f t="shared" ref="I61:I63" si="44">+E61+G61</f>
        <v>0</v>
      </c>
      <c r="J61" s="1137"/>
      <c r="K61" s="1137"/>
      <c r="L61" s="1357"/>
      <c r="M61" s="1151">
        <f t="shared" si="36"/>
        <v>0</v>
      </c>
      <c r="N61" s="1357"/>
      <c r="O61" s="1137"/>
      <c r="P61" s="1357"/>
      <c r="Q61" s="1658">
        <f t="shared" si="7"/>
        <v>0</v>
      </c>
      <c r="R61" s="1357"/>
      <c r="S61" s="1137"/>
      <c r="T61" s="1357"/>
      <c r="U61" s="1658">
        <f t="shared" si="8"/>
        <v>0</v>
      </c>
      <c r="V61" s="1357"/>
      <c r="W61" s="1137">
        <v>19.89</v>
      </c>
      <c r="X61" s="1357"/>
      <c r="Y61" s="1151">
        <f t="shared" si="9"/>
        <v>19.89</v>
      </c>
      <c r="Z61" s="1357"/>
      <c r="AA61" s="522">
        <f t="shared" si="10"/>
        <v>19.89</v>
      </c>
      <c r="AB61" s="1357"/>
      <c r="AC61" s="1554"/>
      <c r="AD61" s="1357"/>
      <c r="AE61" s="256">
        <f>AA61+AC61</f>
        <v>19.89</v>
      </c>
      <c r="AF61" s="1357"/>
      <c r="AG61" s="1554"/>
      <c r="AH61" s="1357"/>
      <c r="AI61" s="256">
        <f>AE61+AG61</f>
        <v>19.89</v>
      </c>
      <c r="AJ61" s="1357"/>
      <c r="AK61" s="1554"/>
      <c r="AL61" s="1357"/>
      <c r="AM61" s="1151">
        <f t="shared" si="13"/>
        <v>0</v>
      </c>
      <c r="AN61" s="1357"/>
      <c r="AO61" s="256">
        <f t="shared" si="14"/>
        <v>19.89</v>
      </c>
      <c r="AP61" s="1357"/>
      <c r="AQ61" s="1554"/>
      <c r="AR61" s="1357"/>
      <c r="AS61" s="256">
        <f>AO61+AQ61</f>
        <v>19.89</v>
      </c>
      <c r="AT61" s="1357"/>
      <c r="AU61" s="1554"/>
      <c r="AV61" s="1357"/>
      <c r="AW61" s="256">
        <f>AS61+AU61</f>
        <v>19.89</v>
      </c>
      <c r="AX61" s="1357"/>
      <c r="AY61" s="1554"/>
      <c r="AZ61" s="1357"/>
      <c r="BA61" s="1151">
        <f t="shared" si="18"/>
        <v>0</v>
      </c>
      <c r="BB61" s="1357"/>
      <c r="BC61" s="522">
        <f t="shared" si="19"/>
        <v>0</v>
      </c>
      <c r="BD61" s="1357"/>
      <c r="BE61" s="256">
        <f>AW61+AY61</f>
        <v>19.89</v>
      </c>
      <c r="BF61" s="26"/>
      <c r="BG61" s="26"/>
      <c r="BH61" s="26"/>
      <c r="BP61" s="26"/>
      <c r="BQ61" s="26"/>
    </row>
    <row r="62" spans="1:69" x14ac:dyDescent="0.25">
      <c r="B62" s="8" t="s">
        <v>1616</v>
      </c>
      <c r="C62" s="205" t="s">
        <v>354</v>
      </c>
      <c r="D62" s="1357"/>
      <c r="E62" s="1137"/>
      <c r="F62" s="1137"/>
      <c r="G62" s="1137"/>
      <c r="H62" s="1659"/>
      <c r="I62" s="1659">
        <f t="shared" si="44"/>
        <v>0</v>
      </c>
      <c r="J62" s="1137"/>
      <c r="K62" s="1137"/>
      <c r="L62" s="1357"/>
      <c r="M62" s="1151">
        <f t="shared" si="36"/>
        <v>0</v>
      </c>
      <c r="N62" s="1357"/>
      <c r="O62" s="1137"/>
      <c r="P62" s="1357"/>
      <c r="Q62" s="1658">
        <f t="shared" si="7"/>
        <v>0</v>
      </c>
      <c r="R62" s="1357"/>
      <c r="S62" s="1137"/>
      <c r="T62" s="1357"/>
      <c r="U62" s="1658">
        <f t="shared" si="8"/>
        <v>0</v>
      </c>
      <c r="V62" s="1357"/>
      <c r="W62" s="1137"/>
      <c r="X62" s="1357"/>
      <c r="Y62" s="1151">
        <f t="shared" si="9"/>
        <v>0</v>
      </c>
      <c r="Z62" s="1357"/>
      <c r="AA62" s="522">
        <f t="shared" si="10"/>
        <v>0</v>
      </c>
      <c r="AB62" s="1357"/>
      <c r="AC62" s="1554"/>
      <c r="AD62" s="1357"/>
      <c r="AE62" s="256">
        <f>AA62+AC62</f>
        <v>0</v>
      </c>
      <c r="AF62" s="1357"/>
      <c r="AG62" s="1554"/>
      <c r="AH62" s="1357"/>
      <c r="AI62" s="256">
        <f>AE62+AG62</f>
        <v>0</v>
      </c>
      <c r="AJ62" s="1357"/>
      <c r="AK62" s="1554"/>
      <c r="AL62" s="1357"/>
      <c r="AM62" s="1151">
        <f t="shared" si="13"/>
        <v>0</v>
      </c>
      <c r="AN62" s="1357"/>
      <c r="AO62" s="256">
        <f t="shared" si="14"/>
        <v>0</v>
      </c>
      <c r="AP62" s="1357"/>
      <c r="AQ62" s="1554"/>
      <c r="AR62" s="1357"/>
      <c r="AS62" s="256">
        <f>AO62+AQ62</f>
        <v>0</v>
      </c>
      <c r="AT62" s="1357"/>
      <c r="AU62" s="1554"/>
      <c r="AV62" s="1357"/>
      <c r="AW62" s="256">
        <f>AS62+AU62</f>
        <v>0</v>
      </c>
      <c r="AX62" s="1357"/>
      <c r="AY62" s="1554"/>
      <c r="AZ62" s="1357"/>
      <c r="BA62" s="1151">
        <f t="shared" si="18"/>
        <v>0</v>
      </c>
      <c r="BB62" s="1357"/>
      <c r="BC62" s="522">
        <f t="shared" si="19"/>
        <v>0</v>
      </c>
      <c r="BD62" s="1357"/>
      <c r="BE62" s="256">
        <f>AW62+AY62</f>
        <v>0</v>
      </c>
      <c r="BF62" s="26"/>
      <c r="BG62" s="26"/>
      <c r="BH62" s="26"/>
      <c r="BP62" s="26"/>
      <c r="BQ62" s="26"/>
    </row>
    <row r="63" spans="1:69" x14ac:dyDescent="0.25">
      <c r="B63" s="8" t="s">
        <v>1615</v>
      </c>
      <c r="C63" s="205" t="s">
        <v>354</v>
      </c>
      <c r="D63" s="1357"/>
      <c r="E63" s="1137"/>
      <c r="F63" s="1137"/>
      <c r="G63" s="1137"/>
      <c r="H63" s="1659"/>
      <c r="I63" s="1659">
        <f t="shared" si="44"/>
        <v>0</v>
      </c>
      <c r="J63" s="1137"/>
      <c r="K63" s="1137"/>
      <c r="L63" s="1357"/>
      <c r="M63" s="1151">
        <f t="shared" si="36"/>
        <v>0</v>
      </c>
      <c r="N63" s="1357"/>
      <c r="O63" s="1137"/>
      <c r="P63" s="1357"/>
      <c r="Q63" s="1658">
        <f t="shared" si="7"/>
        <v>0</v>
      </c>
      <c r="R63" s="1357"/>
      <c r="S63" s="1137">
        <v>138.43</v>
      </c>
      <c r="T63" s="1357"/>
      <c r="U63" s="1658">
        <f t="shared" si="8"/>
        <v>138.43</v>
      </c>
      <c r="V63" s="1357"/>
      <c r="W63" s="1137">
        <v>361.31999999999994</v>
      </c>
      <c r="X63" s="1357"/>
      <c r="Y63" s="1151">
        <f t="shared" si="9"/>
        <v>499.74999999999994</v>
      </c>
      <c r="Z63" s="1357"/>
      <c r="AA63" s="522">
        <f t="shared" si="10"/>
        <v>499.74999999999994</v>
      </c>
      <c r="AB63" s="1357"/>
      <c r="AC63" s="1554"/>
      <c r="AD63" s="1357"/>
      <c r="AE63" s="256">
        <f>AA63+AC63</f>
        <v>499.74999999999994</v>
      </c>
      <c r="AF63" s="1357"/>
      <c r="AG63" s="1554"/>
      <c r="AH63" s="1357"/>
      <c r="AI63" s="256">
        <f>AE63+AG63</f>
        <v>499.74999999999994</v>
      </c>
      <c r="AJ63" s="1357"/>
      <c r="AK63" s="1554"/>
      <c r="AL63" s="1357"/>
      <c r="AM63" s="1151">
        <f t="shared" si="13"/>
        <v>0</v>
      </c>
      <c r="AN63" s="1357"/>
      <c r="AO63" s="256">
        <f t="shared" si="14"/>
        <v>499.74999999999994</v>
      </c>
      <c r="AP63" s="1357"/>
      <c r="AQ63" s="1554"/>
      <c r="AR63" s="1357"/>
      <c r="AS63" s="256">
        <f>AO63+AQ63</f>
        <v>499.74999999999994</v>
      </c>
      <c r="AT63" s="1357"/>
      <c r="AU63" s="1554"/>
      <c r="AV63" s="1357"/>
      <c r="AW63" s="256">
        <f>AS63+AU63</f>
        <v>499.74999999999994</v>
      </c>
      <c r="AX63" s="1357"/>
      <c r="AY63" s="1554"/>
      <c r="AZ63" s="1357"/>
      <c r="BA63" s="1151">
        <f t="shared" si="18"/>
        <v>0</v>
      </c>
      <c r="BB63" s="1357"/>
      <c r="BC63" s="522">
        <f t="shared" si="19"/>
        <v>0</v>
      </c>
      <c r="BD63" s="1357"/>
      <c r="BE63" s="256">
        <f>AW63+AY63</f>
        <v>499.74999999999994</v>
      </c>
      <c r="BF63" s="26"/>
      <c r="BG63" s="26"/>
      <c r="BH63" s="26"/>
      <c r="BP63" s="26"/>
      <c r="BQ63" s="26"/>
    </row>
    <row r="64" spans="1:69" x14ac:dyDescent="0.25">
      <c r="B64" s="8" t="s">
        <v>667</v>
      </c>
      <c r="C64" s="159" t="s">
        <v>354</v>
      </c>
      <c r="D64" s="597"/>
      <c r="E64" s="596"/>
      <c r="F64" s="596"/>
      <c r="G64" s="596"/>
      <c r="H64" s="1660"/>
      <c r="I64" s="1660">
        <f t="shared" si="35"/>
        <v>0</v>
      </c>
      <c r="J64" s="596"/>
      <c r="K64" s="596"/>
      <c r="L64" s="200"/>
      <c r="M64" s="1151">
        <f t="shared" si="36"/>
        <v>0</v>
      </c>
      <c r="N64" s="597"/>
      <c r="O64" s="596"/>
      <c r="P64" s="597"/>
      <c r="Q64" s="1658">
        <f t="shared" si="7"/>
        <v>0</v>
      </c>
      <c r="R64" s="597"/>
      <c r="S64" s="596"/>
      <c r="T64" s="597"/>
      <c r="U64" s="1658">
        <f t="shared" si="8"/>
        <v>0</v>
      </c>
      <c r="V64" s="597"/>
      <c r="W64" s="596"/>
      <c r="X64" s="200"/>
      <c r="Y64" s="1151">
        <f t="shared" si="9"/>
        <v>0</v>
      </c>
      <c r="Z64" s="597"/>
      <c r="AA64" s="522">
        <f t="shared" si="10"/>
        <v>0</v>
      </c>
      <c r="AB64" s="597"/>
      <c r="AC64" s="1522"/>
      <c r="AD64" s="597"/>
      <c r="AE64" s="587">
        <f t="shared" ref="AE64:AE101" si="45">+AA64+AC64</f>
        <v>0</v>
      </c>
      <c r="AF64" s="597"/>
      <c r="AG64" s="1522"/>
      <c r="AH64" s="597"/>
      <c r="AI64" s="587">
        <f t="shared" ref="AI64:AI97" si="46">+AE64+AG64</f>
        <v>0</v>
      </c>
      <c r="AJ64" s="597"/>
      <c r="AK64" s="1522"/>
      <c r="AL64" s="597"/>
      <c r="AM64" s="1151">
        <f t="shared" si="13"/>
        <v>0</v>
      </c>
      <c r="AN64" s="597"/>
      <c r="AO64" s="587">
        <f t="shared" si="14"/>
        <v>0</v>
      </c>
      <c r="AP64" s="597"/>
      <c r="AQ64" s="1522"/>
      <c r="AR64" s="597"/>
      <c r="AS64" s="587">
        <f t="shared" ref="AS64:AS98" si="47">+AO64+AQ64</f>
        <v>0</v>
      </c>
      <c r="AT64" s="597"/>
      <c r="AU64" s="1522"/>
      <c r="AV64" s="597"/>
      <c r="AW64" s="587">
        <f t="shared" ref="AW64:AW107" si="48">+AS64+AU64</f>
        <v>0</v>
      </c>
      <c r="AX64" s="597"/>
      <c r="AY64" s="1522"/>
      <c r="AZ64" s="597"/>
      <c r="BA64" s="1151">
        <f t="shared" si="18"/>
        <v>0</v>
      </c>
      <c r="BB64" s="597"/>
      <c r="BC64" s="522">
        <f t="shared" si="19"/>
        <v>0</v>
      </c>
      <c r="BD64" s="597"/>
      <c r="BE64" s="256">
        <f t="shared" ref="BE64:BE77" si="49">+AW64+AY64</f>
        <v>0</v>
      </c>
      <c r="BF64" s="26"/>
      <c r="BG64" s="26"/>
      <c r="BH64" s="26"/>
      <c r="BP64" s="26"/>
      <c r="BQ64" s="26"/>
    </row>
    <row r="65" spans="2:69" x14ac:dyDescent="0.25">
      <c r="B65" s="743" t="s">
        <v>694</v>
      </c>
      <c r="C65" s="205"/>
      <c r="D65" s="1357"/>
      <c r="E65" s="1357">
        <f>+SUM(E66:E101)</f>
        <v>8275.2200000000012</v>
      </c>
      <c r="F65" s="1357"/>
      <c r="G65" s="1357">
        <f>+SUM(G66:G101)</f>
        <v>5878.0199999999995</v>
      </c>
      <c r="H65" s="1659"/>
      <c r="I65" s="1659">
        <f t="shared" si="35"/>
        <v>14153.240000000002</v>
      </c>
      <c r="J65" s="1357"/>
      <c r="K65" s="1357">
        <f>+SUM(K66:K101)</f>
        <v>5083.7900000000009</v>
      </c>
      <c r="L65" s="1357"/>
      <c r="M65" s="2258">
        <f t="shared" si="36"/>
        <v>19237.030000000002</v>
      </c>
      <c r="N65" s="1357"/>
      <c r="O65" s="1357">
        <f>+SUM(O66:O101)</f>
        <v>4890.8800000000019</v>
      </c>
      <c r="P65" s="1357"/>
      <c r="Q65" s="1658">
        <f t="shared" si="7"/>
        <v>24127.910000000003</v>
      </c>
      <c r="R65" s="1357"/>
      <c r="S65" s="1357">
        <f>+SUM(S66:S101)</f>
        <v>2666.23</v>
      </c>
      <c r="T65" s="1357"/>
      <c r="U65" s="1658">
        <f t="shared" si="8"/>
        <v>26794.140000000003</v>
      </c>
      <c r="V65" s="1357"/>
      <c r="W65" s="1357">
        <f>+SUM(W66:W101)</f>
        <v>2568.4000000000005</v>
      </c>
      <c r="X65" s="1357"/>
      <c r="Y65" s="2258">
        <f t="shared" si="9"/>
        <v>10125.510000000002</v>
      </c>
      <c r="Z65" s="1357"/>
      <c r="AA65" s="522">
        <f t="shared" si="10"/>
        <v>29362.540000000005</v>
      </c>
      <c r="AB65" s="1357"/>
      <c r="AC65" s="4359">
        <f>+SUM(AC66:AC101)</f>
        <v>4534.22</v>
      </c>
      <c r="AD65" s="1357"/>
      <c r="AE65" s="1357">
        <f t="shared" si="45"/>
        <v>33896.76</v>
      </c>
      <c r="AF65" s="1357"/>
      <c r="AG65" s="4359">
        <f>+SUM(AG66:AG101)</f>
        <v>8049.2300000000005</v>
      </c>
      <c r="AH65" s="1357"/>
      <c r="AI65" s="1357">
        <f t="shared" si="46"/>
        <v>41945.990000000005</v>
      </c>
      <c r="AJ65" s="1357"/>
      <c r="AK65" s="4359">
        <f>+SUM(AK66:AK101)</f>
        <v>3799.6600000000003</v>
      </c>
      <c r="AL65" s="1357"/>
      <c r="AM65" s="2258">
        <f t="shared" si="13"/>
        <v>16383.11</v>
      </c>
      <c r="AN65" s="1357"/>
      <c r="AO65" s="1357">
        <f t="shared" si="14"/>
        <v>45745.650000000009</v>
      </c>
      <c r="AP65" s="1357"/>
      <c r="AQ65" s="4359">
        <f>+SUM(AQ66:AQ101)</f>
        <v>5872.43</v>
      </c>
      <c r="AR65" s="1357"/>
      <c r="AS65" s="1357">
        <f t="shared" si="47"/>
        <v>51618.080000000009</v>
      </c>
      <c r="AT65" s="1357"/>
      <c r="AU65" s="4359">
        <f>+SUM(AU66:AU101)</f>
        <v>5624.8399999999992</v>
      </c>
      <c r="AV65" s="1357"/>
      <c r="AW65" s="1357">
        <f t="shared" si="48"/>
        <v>57242.920000000006</v>
      </c>
      <c r="AX65" s="1357"/>
      <c r="AY65" s="4359">
        <f>+SUM(AY66:AY101)</f>
        <v>8506.61</v>
      </c>
      <c r="AZ65" s="1357"/>
      <c r="BA65" s="2258">
        <f t="shared" si="18"/>
        <v>20003.88</v>
      </c>
      <c r="BB65" s="1357"/>
      <c r="BC65" s="522">
        <f t="shared" si="19"/>
        <v>36386.990000000005</v>
      </c>
      <c r="BD65" s="1357"/>
      <c r="BE65" s="1357">
        <f t="shared" si="49"/>
        <v>65749.53</v>
      </c>
      <c r="BF65" s="26"/>
      <c r="BG65" s="26"/>
      <c r="BH65" s="26"/>
      <c r="BP65" s="26"/>
      <c r="BQ65" s="26"/>
    </row>
    <row r="66" spans="2:69" x14ac:dyDescent="0.25">
      <c r="B66" s="8" t="s">
        <v>672</v>
      </c>
      <c r="C66" s="159" t="s">
        <v>354</v>
      </c>
      <c r="D66" s="597"/>
      <c r="E66" s="351">
        <v>513.9</v>
      </c>
      <c r="F66" s="351"/>
      <c r="G66" s="351">
        <v>546.28</v>
      </c>
      <c r="H66" s="1661"/>
      <c r="I66" s="1661">
        <f t="shared" si="35"/>
        <v>1060.1799999999998</v>
      </c>
      <c r="J66" s="351"/>
      <c r="K66" s="351">
        <v>401.94</v>
      </c>
      <c r="L66" s="2259"/>
      <c r="M66" s="1151">
        <f t="shared" si="36"/>
        <v>1462.12</v>
      </c>
      <c r="N66" s="351"/>
      <c r="O66" s="351">
        <v>276.52999999999997</v>
      </c>
      <c r="P66" s="351"/>
      <c r="Q66" s="1658">
        <f t="shared" si="7"/>
        <v>1738.6499999999999</v>
      </c>
      <c r="R66" s="351"/>
      <c r="S66" s="351">
        <v>258.63</v>
      </c>
      <c r="T66" s="351"/>
      <c r="U66" s="1658">
        <f t="shared" si="8"/>
        <v>1997.2799999999997</v>
      </c>
      <c r="V66" s="351"/>
      <c r="W66" s="351">
        <v>251.28999999999996</v>
      </c>
      <c r="X66" s="2259"/>
      <c r="Y66" s="1151">
        <f t="shared" si="9"/>
        <v>786.44999999999993</v>
      </c>
      <c r="Z66" s="351"/>
      <c r="AA66" s="2631">
        <f t="shared" si="10"/>
        <v>2248.5699999999997</v>
      </c>
      <c r="AB66" s="351"/>
      <c r="AC66" s="351">
        <v>539.11999999999989</v>
      </c>
      <c r="AD66" s="351"/>
      <c r="AE66" s="1715">
        <f t="shared" si="45"/>
        <v>2787.6899999999996</v>
      </c>
      <c r="AF66" s="351"/>
      <c r="AG66" s="351">
        <v>287.66000000000003</v>
      </c>
      <c r="AH66" s="351"/>
      <c r="AI66" s="1715">
        <f t="shared" si="46"/>
        <v>3075.3499999999995</v>
      </c>
      <c r="AJ66" s="351"/>
      <c r="AK66" s="351">
        <v>580.71</v>
      </c>
      <c r="AL66" s="351"/>
      <c r="AM66" s="1151">
        <f t="shared" si="13"/>
        <v>1407.49</v>
      </c>
      <c r="AN66" s="351"/>
      <c r="AO66" s="1715">
        <f t="shared" si="14"/>
        <v>3656.0599999999995</v>
      </c>
      <c r="AP66" s="351"/>
      <c r="AQ66" s="351">
        <v>406.42</v>
      </c>
      <c r="AR66" s="351"/>
      <c r="AS66" s="1715">
        <f t="shared" si="47"/>
        <v>4062.4799999999996</v>
      </c>
      <c r="AT66" s="351"/>
      <c r="AU66" s="351">
        <v>382.41</v>
      </c>
      <c r="AV66" s="351"/>
      <c r="AW66" s="1715">
        <f t="shared" si="48"/>
        <v>4444.8899999999994</v>
      </c>
      <c r="AX66" s="351"/>
      <c r="AY66" s="351">
        <v>744.94</v>
      </c>
      <c r="AZ66" s="351"/>
      <c r="BA66" s="1151">
        <f t="shared" si="18"/>
        <v>1533.77</v>
      </c>
      <c r="BB66" s="351"/>
      <c r="BC66" s="2631">
        <f t="shared" si="19"/>
        <v>2941.26</v>
      </c>
      <c r="BD66" s="351"/>
      <c r="BE66" s="2616">
        <f t="shared" si="49"/>
        <v>5189.83</v>
      </c>
      <c r="BF66" s="26"/>
      <c r="BG66" s="26"/>
      <c r="BH66" s="26"/>
      <c r="BP66" s="26"/>
      <c r="BQ66" s="26"/>
    </row>
    <row r="67" spans="2:69" ht="15.6" customHeight="1" x14ac:dyDescent="0.25">
      <c r="B67" s="8" t="s">
        <v>2254</v>
      </c>
      <c r="C67" s="159" t="s">
        <v>354</v>
      </c>
      <c r="D67" s="597"/>
      <c r="E67" s="1201"/>
      <c r="F67" s="1201"/>
      <c r="G67" s="1201">
        <v>400</v>
      </c>
      <c r="H67" s="1658"/>
      <c r="I67" s="1661">
        <f t="shared" si="35"/>
        <v>400</v>
      </c>
      <c r="J67" s="1201"/>
      <c r="K67" s="1201"/>
      <c r="L67" s="200"/>
      <c r="M67" s="1151">
        <f t="shared" si="36"/>
        <v>400</v>
      </c>
      <c r="N67" s="1201"/>
      <c r="O67" s="1201">
        <v>650</v>
      </c>
      <c r="P67" s="1201"/>
      <c r="Q67" s="1658">
        <f t="shared" si="7"/>
        <v>1050</v>
      </c>
      <c r="R67" s="1201"/>
      <c r="S67" s="1201"/>
      <c r="T67" s="1201"/>
      <c r="U67" s="1658">
        <f t="shared" si="8"/>
        <v>1050</v>
      </c>
      <c r="V67" s="1201"/>
      <c r="W67" s="1201"/>
      <c r="X67" s="200"/>
      <c r="Y67" s="1151">
        <f t="shared" si="9"/>
        <v>650</v>
      </c>
      <c r="Z67" s="1201"/>
      <c r="AA67" s="544">
        <f t="shared" si="10"/>
        <v>1050</v>
      </c>
      <c r="AB67" s="1201"/>
      <c r="AC67" s="1280"/>
      <c r="AD67" s="1201"/>
      <c r="AE67" s="1715">
        <f t="shared" si="45"/>
        <v>1050</v>
      </c>
      <c r="AF67" s="1201"/>
      <c r="AG67" s="1280"/>
      <c r="AH67" s="1201"/>
      <c r="AI67" s="782">
        <f t="shared" si="46"/>
        <v>1050</v>
      </c>
      <c r="AJ67" s="1201"/>
      <c r="AK67" s="1280"/>
      <c r="AL67" s="1201"/>
      <c r="AM67" s="1151">
        <f t="shared" si="13"/>
        <v>0</v>
      </c>
      <c r="AN67" s="1201"/>
      <c r="AO67" s="1715">
        <f t="shared" si="14"/>
        <v>1050</v>
      </c>
      <c r="AP67" s="1201"/>
      <c r="AQ67" s="1280"/>
      <c r="AR67" s="1201"/>
      <c r="AS67" s="1715">
        <f t="shared" si="47"/>
        <v>1050</v>
      </c>
      <c r="AT67" s="1201"/>
      <c r="AU67" s="1280"/>
      <c r="AV67" s="1201"/>
      <c r="AW67" s="1715">
        <f t="shared" si="48"/>
        <v>1050</v>
      </c>
      <c r="AX67" s="1201"/>
      <c r="AY67" s="1280">
        <v>1.77</v>
      </c>
      <c r="AZ67" s="1201"/>
      <c r="BA67" s="1151">
        <f t="shared" si="18"/>
        <v>1.77</v>
      </c>
      <c r="BB67" s="1201"/>
      <c r="BC67" s="544">
        <f t="shared" si="19"/>
        <v>1.77</v>
      </c>
      <c r="BD67" s="1201"/>
      <c r="BE67" s="376">
        <f t="shared" si="49"/>
        <v>1051.77</v>
      </c>
      <c r="BF67" s="26"/>
      <c r="BG67" s="26"/>
      <c r="BH67" s="26"/>
      <c r="BP67" s="26"/>
      <c r="BQ67" s="26"/>
    </row>
    <row r="68" spans="2:69" ht="15.6" customHeight="1" x14ac:dyDescent="0.25">
      <c r="B68" s="8" t="s">
        <v>1387</v>
      </c>
      <c r="C68" s="159" t="s">
        <v>354</v>
      </c>
      <c r="D68" s="597"/>
      <c r="E68" s="1201"/>
      <c r="F68" s="1201"/>
      <c r="G68" s="1201">
        <v>500</v>
      </c>
      <c r="H68" s="1658"/>
      <c r="I68" s="1661">
        <f t="shared" si="35"/>
        <v>500</v>
      </c>
      <c r="J68" s="1201"/>
      <c r="K68" s="1201"/>
      <c r="L68" s="200"/>
      <c r="M68" s="1151">
        <f t="shared" si="36"/>
        <v>500</v>
      </c>
      <c r="N68" s="1201"/>
      <c r="O68" s="1201"/>
      <c r="P68" s="1201"/>
      <c r="Q68" s="1658">
        <f t="shared" si="7"/>
        <v>500</v>
      </c>
      <c r="R68" s="1201"/>
      <c r="S68" s="1201">
        <v>500</v>
      </c>
      <c r="T68" s="1201"/>
      <c r="U68" s="1658">
        <f t="shared" si="8"/>
        <v>1000</v>
      </c>
      <c r="V68" s="1201"/>
      <c r="W68" s="1201"/>
      <c r="X68" s="200"/>
      <c r="Y68" s="1151">
        <f t="shared" si="9"/>
        <v>500</v>
      </c>
      <c r="Z68" s="1201"/>
      <c r="AA68" s="544">
        <f t="shared" si="10"/>
        <v>1000</v>
      </c>
      <c r="AB68" s="1201"/>
      <c r="AC68" s="1280"/>
      <c r="AD68" s="1201"/>
      <c r="AE68" s="1715">
        <f t="shared" si="45"/>
        <v>1000</v>
      </c>
      <c r="AF68" s="1201"/>
      <c r="AG68" s="1280">
        <v>165</v>
      </c>
      <c r="AH68" s="1201"/>
      <c r="AI68" s="782">
        <f t="shared" si="46"/>
        <v>1165</v>
      </c>
      <c r="AJ68" s="1201"/>
      <c r="AK68" s="1280">
        <v>535</v>
      </c>
      <c r="AL68" s="1201"/>
      <c r="AM68" s="1151">
        <f t="shared" si="13"/>
        <v>700</v>
      </c>
      <c r="AN68" s="1201"/>
      <c r="AO68" s="1715">
        <f t="shared" si="14"/>
        <v>1700</v>
      </c>
      <c r="AP68" s="1201"/>
      <c r="AQ68" s="1280">
        <v>320</v>
      </c>
      <c r="AR68" s="1201"/>
      <c r="AS68" s="1715">
        <f t="shared" si="47"/>
        <v>2020</v>
      </c>
      <c r="AT68" s="1201"/>
      <c r="AU68" s="1280"/>
      <c r="AV68" s="1201"/>
      <c r="AW68" s="1715">
        <f t="shared" si="48"/>
        <v>2020</v>
      </c>
      <c r="AX68" s="1201"/>
      <c r="AY68" s="1280">
        <v>500</v>
      </c>
      <c r="AZ68" s="1201"/>
      <c r="BA68" s="1151">
        <f t="shared" si="18"/>
        <v>820</v>
      </c>
      <c r="BB68" s="1201"/>
      <c r="BC68" s="544">
        <f t="shared" si="19"/>
        <v>1520</v>
      </c>
      <c r="BD68" s="1201"/>
      <c r="BE68" s="376">
        <f t="shared" si="49"/>
        <v>2520</v>
      </c>
      <c r="BF68" s="26"/>
      <c r="BG68" s="26"/>
      <c r="BH68" s="26"/>
      <c r="BP68" s="26"/>
      <c r="BQ68" s="26"/>
    </row>
    <row r="69" spans="2:69" ht="15.6" customHeight="1" x14ac:dyDescent="0.25">
      <c r="B69" s="8" t="s">
        <v>1386</v>
      </c>
      <c r="C69" s="159" t="s">
        <v>354</v>
      </c>
      <c r="D69" s="597"/>
      <c r="E69" s="1201">
        <v>75.930000000000007</v>
      </c>
      <c r="F69" s="1201"/>
      <c r="G69" s="1201">
        <v>41.86</v>
      </c>
      <c r="H69" s="1658"/>
      <c r="I69" s="1661">
        <f t="shared" si="35"/>
        <v>117.79</v>
      </c>
      <c r="J69" s="1201"/>
      <c r="K69" s="1201">
        <v>84.42</v>
      </c>
      <c r="L69" s="200"/>
      <c r="M69" s="1151">
        <f t="shared" si="36"/>
        <v>202.21</v>
      </c>
      <c r="N69" s="1201"/>
      <c r="O69" s="1201">
        <v>15.57</v>
      </c>
      <c r="P69" s="1201"/>
      <c r="Q69" s="1658">
        <f t="shared" si="7"/>
        <v>217.78</v>
      </c>
      <c r="R69" s="1201"/>
      <c r="S69" s="1201"/>
      <c r="T69" s="1201"/>
      <c r="U69" s="1658">
        <f t="shared" si="8"/>
        <v>217.78</v>
      </c>
      <c r="V69" s="1201"/>
      <c r="W69" s="1201">
        <v>49.900000000000006</v>
      </c>
      <c r="X69" s="200"/>
      <c r="Y69" s="1151">
        <f t="shared" si="9"/>
        <v>65.47</v>
      </c>
      <c r="Z69" s="1201"/>
      <c r="AA69" s="544">
        <f t="shared" si="10"/>
        <v>267.68</v>
      </c>
      <c r="AB69" s="1201"/>
      <c r="AC69" s="1280">
        <v>62.54</v>
      </c>
      <c r="AD69" s="1201"/>
      <c r="AE69" s="1715">
        <f t="shared" si="45"/>
        <v>330.22</v>
      </c>
      <c r="AF69" s="1201"/>
      <c r="AG69" s="1280">
        <v>37.43</v>
      </c>
      <c r="AH69" s="1201"/>
      <c r="AI69" s="782">
        <f t="shared" si="46"/>
        <v>367.65000000000003</v>
      </c>
      <c r="AJ69" s="1201"/>
      <c r="AK69" s="1280">
        <v>29.78</v>
      </c>
      <c r="AL69" s="1201"/>
      <c r="AM69" s="1151">
        <f t="shared" si="13"/>
        <v>129.75</v>
      </c>
      <c r="AN69" s="1201"/>
      <c r="AO69" s="1715">
        <f t="shared" si="14"/>
        <v>397.43000000000006</v>
      </c>
      <c r="AP69" s="1201"/>
      <c r="AQ69" s="1280">
        <v>70.19</v>
      </c>
      <c r="AR69" s="1201"/>
      <c r="AS69" s="1715">
        <f t="shared" si="47"/>
        <v>467.62000000000006</v>
      </c>
      <c r="AT69" s="1201"/>
      <c r="AU69" s="1280"/>
      <c r="AV69" s="1201"/>
      <c r="AW69" s="1715">
        <f t="shared" si="48"/>
        <v>467.62000000000006</v>
      </c>
      <c r="AX69" s="1201"/>
      <c r="AY69" s="1280">
        <v>81.99</v>
      </c>
      <c r="AZ69" s="1201"/>
      <c r="BA69" s="1151">
        <f t="shared" si="18"/>
        <v>152.18</v>
      </c>
      <c r="BB69" s="1201"/>
      <c r="BC69" s="544">
        <f t="shared" si="19"/>
        <v>281.93</v>
      </c>
      <c r="BD69" s="1201"/>
      <c r="BE69" s="376">
        <f t="shared" si="49"/>
        <v>549.61</v>
      </c>
      <c r="BF69" s="26"/>
      <c r="BG69" s="26"/>
      <c r="BH69" s="26"/>
      <c r="BP69" s="26"/>
      <c r="BQ69" s="26"/>
    </row>
    <row r="70" spans="2:69" ht="15.6" customHeight="1" x14ac:dyDescent="0.25">
      <c r="B70" s="8" t="s">
        <v>1940</v>
      </c>
      <c r="C70" s="2656" t="s">
        <v>354</v>
      </c>
      <c r="D70" s="2675"/>
      <c r="E70" s="2647"/>
      <c r="F70" s="2647"/>
      <c r="G70" s="2647"/>
      <c r="H70" s="3367"/>
      <c r="I70" s="1661">
        <f t="shared" si="35"/>
        <v>0</v>
      </c>
      <c r="J70" s="2647"/>
      <c r="K70" s="2647"/>
      <c r="L70" s="2657"/>
      <c r="M70" s="1151">
        <f t="shared" si="36"/>
        <v>0</v>
      </c>
      <c r="N70" s="2647"/>
      <c r="O70" s="2647">
        <v>16</v>
      </c>
      <c r="P70" s="2647"/>
      <c r="Q70" s="1658">
        <f t="shared" ref="Q70:Q133" si="50">+M70+O70</f>
        <v>16</v>
      </c>
      <c r="R70" s="2647"/>
      <c r="S70" s="2647"/>
      <c r="T70" s="2647"/>
      <c r="U70" s="1658">
        <f t="shared" ref="U70:U117" si="51">+Q70+S70</f>
        <v>16</v>
      </c>
      <c r="V70" s="2647"/>
      <c r="W70" s="2647"/>
      <c r="X70" s="2657"/>
      <c r="Y70" s="1151">
        <f t="shared" si="9"/>
        <v>16</v>
      </c>
      <c r="Z70" s="2647"/>
      <c r="AA70" s="544">
        <f t="shared" si="10"/>
        <v>16</v>
      </c>
      <c r="AB70" s="2647"/>
      <c r="AC70" s="2771"/>
      <c r="AD70" s="2647"/>
      <c r="AE70" s="1715">
        <f t="shared" si="45"/>
        <v>16</v>
      </c>
      <c r="AF70" s="2647"/>
      <c r="AG70" s="2771">
        <v>18</v>
      </c>
      <c r="AH70" s="2647"/>
      <c r="AI70" s="782">
        <f t="shared" si="46"/>
        <v>34</v>
      </c>
      <c r="AJ70" s="2647"/>
      <c r="AK70" s="2771"/>
      <c r="AL70" s="2647"/>
      <c r="AM70" s="1151">
        <f t="shared" si="13"/>
        <v>18</v>
      </c>
      <c r="AN70" s="2647"/>
      <c r="AO70" s="1715">
        <f t="shared" si="14"/>
        <v>34</v>
      </c>
      <c r="AP70" s="2647"/>
      <c r="AQ70" s="2771"/>
      <c r="AR70" s="2647"/>
      <c r="AS70" s="1715">
        <f t="shared" si="47"/>
        <v>34</v>
      </c>
      <c r="AT70" s="2647"/>
      <c r="AU70" s="2771">
        <v>24</v>
      </c>
      <c r="AV70" s="2647"/>
      <c r="AW70" s="1715">
        <f t="shared" si="48"/>
        <v>58</v>
      </c>
      <c r="AX70" s="2647"/>
      <c r="AY70" s="2771"/>
      <c r="AZ70" s="2647"/>
      <c r="BA70" s="1151">
        <f t="shared" ref="BA70:BA73" si="52">+AQ70+AU70+AY70</f>
        <v>24</v>
      </c>
      <c r="BB70" s="1201"/>
      <c r="BC70" s="544">
        <f t="shared" ref="BC70:BC73" si="53">BA70+AM70</f>
        <v>42</v>
      </c>
      <c r="BD70" s="2647"/>
      <c r="BE70" s="376">
        <f t="shared" si="49"/>
        <v>58</v>
      </c>
      <c r="BF70" s="26"/>
      <c r="BG70" s="26"/>
      <c r="BH70" s="26"/>
      <c r="BP70" s="26"/>
      <c r="BQ70" s="26"/>
    </row>
    <row r="71" spans="2:69" ht="15.6" customHeight="1" x14ac:dyDescent="0.25">
      <c r="B71" s="8" t="s">
        <v>1975</v>
      </c>
      <c r="C71" s="2656" t="s">
        <v>354</v>
      </c>
      <c r="D71" s="2675"/>
      <c r="E71" s="2647"/>
      <c r="F71" s="2647"/>
      <c r="G71" s="2647"/>
      <c r="H71" s="3367"/>
      <c r="I71" s="1661">
        <f t="shared" si="35"/>
        <v>0</v>
      </c>
      <c r="J71" s="2647"/>
      <c r="K71" s="2647"/>
      <c r="L71" s="2657"/>
      <c r="M71" s="1151">
        <f t="shared" si="36"/>
        <v>0</v>
      </c>
      <c r="N71" s="2647"/>
      <c r="O71" s="2647">
        <v>7</v>
      </c>
      <c r="P71" s="2647"/>
      <c r="Q71" s="1658">
        <f t="shared" si="50"/>
        <v>7</v>
      </c>
      <c r="R71" s="2647"/>
      <c r="S71" s="2647"/>
      <c r="T71" s="2647"/>
      <c r="U71" s="1658">
        <f t="shared" si="51"/>
        <v>7</v>
      </c>
      <c r="V71" s="2647"/>
      <c r="W71" s="2647"/>
      <c r="X71" s="2657"/>
      <c r="Y71" s="1151">
        <f t="shared" si="9"/>
        <v>7</v>
      </c>
      <c r="Z71" s="2647"/>
      <c r="AA71" s="544">
        <f t="shared" si="10"/>
        <v>7</v>
      </c>
      <c r="AB71" s="2647"/>
      <c r="AC71" s="2771">
        <v>3</v>
      </c>
      <c r="AD71" s="2647"/>
      <c r="AE71" s="1715">
        <f t="shared" si="45"/>
        <v>10</v>
      </c>
      <c r="AF71" s="2647"/>
      <c r="AG71" s="2771">
        <v>27</v>
      </c>
      <c r="AH71" s="2647"/>
      <c r="AI71" s="782">
        <f t="shared" si="46"/>
        <v>37</v>
      </c>
      <c r="AJ71" s="2647"/>
      <c r="AK71" s="2771"/>
      <c r="AL71" s="2647"/>
      <c r="AM71" s="1151">
        <f t="shared" si="13"/>
        <v>30</v>
      </c>
      <c r="AN71" s="2647"/>
      <c r="AO71" s="1715">
        <f t="shared" si="14"/>
        <v>37</v>
      </c>
      <c r="AP71" s="2647"/>
      <c r="AQ71" s="2771"/>
      <c r="AR71" s="2647"/>
      <c r="AS71" s="1715">
        <f t="shared" si="47"/>
        <v>37</v>
      </c>
      <c r="AT71" s="2647"/>
      <c r="AU71" s="2771"/>
      <c r="AV71" s="2647"/>
      <c r="AW71" s="1715">
        <f t="shared" si="48"/>
        <v>37</v>
      </c>
      <c r="AX71" s="2647"/>
      <c r="AY71" s="2771"/>
      <c r="AZ71" s="2647"/>
      <c r="BA71" s="1151">
        <f t="shared" si="52"/>
        <v>0</v>
      </c>
      <c r="BB71" s="1201"/>
      <c r="BC71" s="544">
        <f t="shared" si="53"/>
        <v>30</v>
      </c>
      <c r="BD71" s="2647"/>
      <c r="BE71" s="376">
        <f t="shared" si="49"/>
        <v>37</v>
      </c>
      <c r="BF71" s="26"/>
      <c r="BG71" s="26"/>
      <c r="BH71" s="26"/>
      <c r="BP71" s="26"/>
      <c r="BQ71" s="26"/>
    </row>
    <row r="72" spans="2:69" ht="15.6" customHeight="1" x14ac:dyDescent="0.25">
      <c r="B72" s="8" t="s">
        <v>1939</v>
      </c>
      <c r="C72" s="2656" t="s">
        <v>354</v>
      </c>
      <c r="D72" s="2675"/>
      <c r="E72" s="2647"/>
      <c r="F72" s="2647"/>
      <c r="G72" s="2647"/>
      <c r="H72" s="3367"/>
      <c r="I72" s="1661">
        <f t="shared" si="35"/>
        <v>0</v>
      </c>
      <c r="J72" s="2647"/>
      <c r="K72" s="2647"/>
      <c r="L72" s="2657"/>
      <c r="M72" s="1151">
        <f t="shared" si="36"/>
        <v>0</v>
      </c>
      <c r="N72" s="2647"/>
      <c r="O72" s="2647"/>
      <c r="P72" s="2647"/>
      <c r="Q72" s="1658">
        <f t="shared" si="50"/>
        <v>0</v>
      </c>
      <c r="R72" s="2647"/>
      <c r="S72" s="2647"/>
      <c r="T72" s="2647"/>
      <c r="U72" s="1658">
        <f t="shared" si="51"/>
        <v>0</v>
      </c>
      <c r="V72" s="2647"/>
      <c r="W72" s="2647"/>
      <c r="X72" s="2657"/>
      <c r="Y72" s="1151">
        <f t="shared" si="9"/>
        <v>0</v>
      </c>
      <c r="Z72" s="2647"/>
      <c r="AA72" s="544">
        <f t="shared" si="10"/>
        <v>0</v>
      </c>
      <c r="AB72" s="2647"/>
      <c r="AC72" s="2771"/>
      <c r="AD72" s="2647"/>
      <c r="AE72" s="1715">
        <f t="shared" si="45"/>
        <v>0</v>
      </c>
      <c r="AF72" s="2647"/>
      <c r="AG72" s="2771"/>
      <c r="AH72" s="2647"/>
      <c r="AI72" s="782">
        <f t="shared" si="46"/>
        <v>0</v>
      </c>
      <c r="AJ72" s="2647"/>
      <c r="AK72" s="2771"/>
      <c r="AL72" s="2647"/>
      <c r="AM72" s="1151">
        <f t="shared" si="13"/>
        <v>0</v>
      </c>
      <c r="AN72" s="2647"/>
      <c r="AO72" s="1715">
        <f t="shared" si="14"/>
        <v>0</v>
      </c>
      <c r="AP72" s="2647"/>
      <c r="AQ72" s="2771"/>
      <c r="AR72" s="2647"/>
      <c r="AS72" s="1715">
        <f t="shared" si="47"/>
        <v>0</v>
      </c>
      <c r="AT72" s="2647"/>
      <c r="AU72" s="2771"/>
      <c r="AV72" s="2647"/>
      <c r="AW72" s="1715">
        <f t="shared" si="48"/>
        <v>0</v>
      </c>
      <c r="AX72" s="2647"/>
      <c r="AY72" s="2771"/>
      <c r="AZ72" s="2647"/>
      <c r="BA72" s="1151">
        <f t="shared" si="52"/>
        <v>0</v>
      </c>
      <c r="BB72" s="1201"/>
      <c r="BC72" s="544">
        <f t="shared" si="53"/>
        <v>0</v>
      </c>
      <c r="BD72" s="2647"/>
      <c r="BE72" s="376">
        <f t="shared" si="49"/>
        <v>0</v>
      </c>
      <c r="BF72" s="26"/>
      <c r="BG72" s="26"/>
      <c r="BH72" s="26"/>
      <c r="BP72" s="26"/>
      <c r="BQ72" s="26"/>
    </row>
    <row r="73" spans="2:69" ht="15.6" customHeight="1" x14ac:dyDescent="0.25">
      <c r="B73" s="3327" t="s">
        <v>1850</v>
      </c>
      <c r="C73" s="159" t="s">
        <v>354</v>
      </c>
      <c r="D73" s="597"/>
      <c r="E73" s="1201"/>
      <c r="F73" s="1201"/>
      <c r="G73" s="1201"/>
      <c r="H73" s="1658"/>
      <c r="I73" s="1661">
        <f t="shared" si="35"/>
        <v>0</v>
      </c>
      <c r="J73" s="1201"/>
      <c r="K73" s="1201"/>
      <c r="L73" s="200"/>
      <c r="M73" s="1151">
        <f t="shared" si="36"/>
        <v>0</v>
      </c>
      <c r="N73" s="1201"/>
      <c r="O73" s="1201">
        <v>275</v>
      </c>
      <c r="P73" s="1201"/>
      <c r="Q73" s="1658">
        <f t="shared" si="50"/>
        <v>275</v>
      </c>
      <c r="R73" s="1201"/>
      <c r="S73" s="1201">
        <v>23</v>
      </c>
      <c r="T73" s="1201"/>
      <c r="U73" s="1658">
        <f t="shared" si="51"/>
        <v>298</v>
      </c>
      <c r="V73" s="1201"/>
      <c r="W73" s="1201"/>
      <c r="X73" s="200"/>
      <c r="Y73" s="1151">
        <f t="shared" si="9"/>
        <v>298</v>
      </c>
      <c r="Z73" s="1201"/>
      <c r="AA73" s="544">
        <f t="shared" si="10"/>
        <v>298</v>
      </c>
      <c r="AB73" s="1201"/>
      <c r="AC73" s="1280"/>
      <c r="AD73" s="1201"/>
      <c r="AE73" s="1715">
        <f t="shared" si="45"/>
        <v>298</v>
      </c>
      <c r="AF73" s="1201"/>
      <c r="AG73" s="1280"/>
      <c r="AH73" s="1201"/>
      <c r="AI73" s="782">
        <f t="shared" si="46"/>
        <v>298</v>
      </c>
      <c r="AJ73" s="1201"/>
      <c r="AK73" s="1280"/>
      <c r="AL73" s="1201"/>
      <c r="AM73" s="1151">
        <f t="shared" si="13"/>
        <v>0</v>
      </c>
      <c r="AN73" s="1201"/>
      <c r="AO73" s="1715">
        <f t="shared" si="14"/>
        <v>298</v>
      </c>
      <c r="AP73" s="1201"/>
      <c r="AQ73" s="1280">
        <v>796</v>
      </c>
      <c r="AR73" s="1201"/>
      <c r="AS73" s="1715">
        <f t="shared" si="47"/>
        <v>1094</v>
      </c>
      <c r="AT73" s="1201"/>
      <c r="AU73" s="1280">
        <v>259</v>
      </c>
      <c r="AV73" s="1201"/>
      <c r="AW73" s="1715">
        <f t="shared" si="48"/>
        <v>1353</v>
      </c>
      <c r="AX73" s="1201"/>
      <c r="AY73" s="1280"/>
      <c r="AZ73" s="1201"/>
      <c r="BA73" s="1151">
        <f t="shared" si="52"/>
        <v>1055</v>
      </c>
      <c r="BB73" s="1201"/>
      <c r="BC73" s="544">
        <f t="shared" si="53"/>
        <v>1055</v>
      </c>
      <c r="BD73" s="1201"/>
      <c r="BE73" s="376">
        <f t="shared" si="49"/>
        <v>1353</v>
      </c>
      <c r="BF73" s="26"/>
      <c r="BG73" s="26"/>
      <c r="BH73" s="26"/>
      <c r="BP73" s="26"/>
      <c r="BQ73" s="26"/>
    </row>
    <row r="74" spans="2:69" ht="15.6" customHeight="1" x14ac:dyDescent="0.25">
      <c r="B74" s="8" t="s">
        <v>2088</v>
      </c>
      <c r="C74" s="159" t="s">
        <v>354</v>
      </c>
      <c r="D74" s="597"/>
      <c r="E74" s="1201">
        <v>42.03</v>
      </c>
      <c r="F74" s="1201"/>
      <c r="G74" s="1201">
        <v>23.98</v>
      </c>
      <c r="H74" s="1658"/>
      <c r="I74" s="1661">
        <f t="shared" si="35"/>
        <v>66.010000000000005</v>
      </c>
      <c r="J74" s="1201"/>
      <c r="K74" s="1201">
        <v>28.62</v>
      </c>
      <c r="L74" s="200"/>
      <c r="M74" s="1151">
        <f t="shared" si="36"/>
        <v>94.63000000000001</v>
      </c>
      <c r="N74" s="1201"/>
      <c r="O74" s="1201">
        <v>66.609999999999985</v>
      </c>
      <c r="P74" s="1201"/>
      <c r="Q74" s="1658">
        <f t="shared" si="50"/>
        <v>161.24</v>
      </c>
      <c r="R74" s="1201"/>
      <c r="S74" s="1201">
        <v>39.630000000000003</v>
      </c>
      <c r="T74" s="1201"/>
      <c r="U74" s="1658">
        <f t="shared" si="51"/>
        <v>200.87</v>
      </c>
      <c r="V74" s="1201"/>
      <c r="W74" s="1201">
        <v>20.159999999999997</v>
      </c>
      <c r="X74" s="200"/>
      <c r="Y74" s="1151">
        <f t="shared" ref="Y74" si="54">+O74+S74+W74</f>
        <v>126.39999999999998</v>
      </c>
      <c r="Z74" s="1201"/>
      <c r="AA74" s="544">
        <f t="shared" ref="AA74:AA140" si="55">M74+Y74</f>
        <v>221.02999999999997</v>
      </c>
      <c r="AB74" s="1201"/>
      <c r="AC74" s="1280"/>
      <c r="AD74" s="1201"/>
      <c r="AE74" s="1715">
        <f t="shared" si="45"/>
        <v>221.02999999999997</v>
      </c>
      <c r="AF74" s="1201"/>
      <c r="AG74" s="1280"/>
      <c r="AH74" s="1201"/>
      <c r="AI74" s="782">
        <f t="shared" si="46"/>
        <v>221.02999999999997</v>
      </c>
      <c r="AJ74" s="1201"/>
      <c r="AK74" s="1280"/>
      <c r="AL74" s="1201"/>
      <c r="AM74" s="1151">
        <f t="shared" ref="AM74:AM80" si="56">+AC74+AG74+AK74</f>
        <v>0</v>
      </c>
      <c r="AN74" s="1201"/>
      <c r="AO74" s="1715">
        <f t="shared" si="14"/>
        <v>221.02999999999997</v>
      </c>
      <c r="AP74" s="1201"/>
      <c r="AQ74" s="1280">
        <v>12.37</v>
      </c>
      <c r="AR74" s="1201"/>
      <c r="AS74" s="1715">
        <f t="shared" si="47"/>
        <v>233.39999999999998</v>
      </c>
      <c r="AT74" s="1201"/>
      <c r="AU74" s="1280">
        <v>7.54</v>
      </c>
      <c r="AV74" s="1201"/>
      <c r="AW74" s="1715">
        <f t="shared" si="48"/>
        <v>240.93999999999997</v>
      </c>
      <c r="AX74" s="1201"/>
      <c r="AY74" s="1280">
        <v>27.84</v>
      </c>
      <c r="AZ74" s="1201"/>
      <c r="BA74" s="1151">
        <f t="shared" ref="BA74:BA140" si="57">+AQ74+AU74+AY74</f>
        <v>47.75</v>
      </c>
      <c r="BB74" s="1201"/>
      <c r="BC74" s="544">
        <f t="shared" si="19"/>
        <v>47.75</v>
      </c>
      <c r="BD74" s="1201"/>
      <c r="BE74" s="376">
        <f t="shared" si="49"/>
        <v>268.77999999999997</v>
      </c>
      <c r="BF74" s="26"/>
      <c r="BG74" s="26"/>
      <c r="BH74" s="26"/>
      <c r="BP74" s="26"/>
      <c r="BQ74" s="26"/>
    </row>
    <row r="75" spans="2:69" ht="15.6" customHeight="1" x14ac:dyDescent="0.25">
      <c r="B75" s="8" t="s">
        <v>1641</v>
      </c>
      <c r="C75" s="159" t="s">
        <v>354</v>
      </c>
      <c r="D75" s="597"/>
      <c r="E75" s="1201"/>
      <c r="F75" s="1201"/>
      <c r="G75" s="1201"/>
      <c r="H75" s="1658"/>
      <c r="I75" s="1661">
        <f t="shared" si="35"/>
        <v>0</v>
      </c>
      <c r="J75" s="1201"/>
      <c r="K75" s="1201"/>
      <c r="L75" s="200"/>
      <c r="M75" s="1151">
        <f t="shared" si="36"/>
        <v>0</v>
      </c>
      <c r="N75" s="1201"/>
      <c r="O75" s="1201"/>
      <c r="P75" s="1201"/>
      <c r="Q75" s="1658">
        <f t="shared" si="50"/>
        <v>0</v>
      </c>
      <c r="R75" s="1201"/>
      <c r="S75" s="1201"/>
      <c r="T75" s="1201"/>
      <c r="U75" s="1658">
        <f t="shared" si="51"/>
        <v>0</v>
      </c>
      <c r="V75" s="1201"/>
      <c r="W75" s="1201">
        <v>2.5</v>
      </c>
      <c r="X75" s="200"/>
      <c r="Y75" s="1151">
        <f t="shared" ref="Y75:Y140" si="58">+O75+S75+W75</f>
        <v>2.5</v>
      </c>
      <c r="Z75" s="1201"/>
      <c r="AA75" s="544">
        <f t="shared" si="55"/>
        <v>2.5</v>
      </c>
      <c r="AB75" s="1201"/>
      <c r="AC75" s="1280"/>
      <c r="AD75" s="1201"/>
      <c r="AE75" s="1715">
        <f t="shared" si="45"/>
        <v>2.5</v>
      </c>
      <c r="AF75" s="1201"/>
      <c r="AG75" s="1280"/>
      <c r="AH75" s="1201"/>
      <c r="AI75" s="782">
        <f t="shared" si="46"/>
        <v>2.5</v>
      </c>
      <c r="AJ75" s="1201"/>
      <c r="AK75" s="1280"/>
      <c r="AL75" s="1201"/>
      <c r="AM75" s="1151">
        <f t="shared" si="56"/>
        <v>0</v>
      </c>
      <c r="AN75" s="1201"/>
      <c r="AO75" s="1715">
        <f t="shared" si="14"/>
        <v>2.5</v>
      </c>
      <c r="AP75" s="1201"/>
      <c r="AQ75" s="1280"/>
      <c r="AR75" s="1201"/>
      <c r="AS75" s="1715">
        <f t="shared" si="47"/>
        <v>2.5</v>
      </c>
      <c r="AT75" s="1201"/>
      <c r="AU75" s="1280"/>
      <c r="AV75" s="1201"/>
      <c r="AW75" s="1715">
        <f t="shared" si="48"/>
        <v>2.5</v>
      </c>
      <c r="AX75" s="1201"/>
      <c r="AY75" s="1280"/>
      <c r="AZ75" s="1201"/>
      <c r="BA75" s="1151">
        <f t="shared" si="57"/>
        <v>0</v>
      </c>
      <c r="BB75" s="1201"/>
      <c r="BC75" s="544">
        <f t="shared" ref="BC75:BC141" si="59">BA75+AM75</f>
        <v>0</v>
      </c>
      <c r="BD75" s="1201"/>
      <c r="BE75" s="376">
        <f t="shared" si="49"/>
        <v>2.5</v>
      </c>
      <c r="BF75" s="26"/>
      <c r="BG75" s="26"/>
      <c r="BH75" s="26"/>
      <c r="BP75" s="26"/>
      <c r="BQ75" s="26"/>
    </row>
    <row r="76" spans="2:69" ht="15.6" customHeight="1" x14ac:dyDescent="0.25">
      <c r="B76" s="3327" t="s">
        <v>1385</v>
      </c>
      <c r="C76" s="792" t="s">
        <v>354</v>
      </c>
      <c r="D76" s="3328"/>
      <c r="E76" s="1202"/>
      <c r="F76" s="1202"/>
      <c r="G76" s="1202"/>
      <c r="H76" s="3329"/>
      <c r="I76" s="1661">
        <f t="shared" si="35"/>
        <v>0</v>
      </c>
      <c r="J76" s="1201"/>
      <c r="K76" s="1202">
        <v>499.28</v>
      </c>
      <c r="L76" s="200"/>
      <c r="M76" s="1151">
        <f t="shared" si="36"/>
        <v>499.28</v>
      </c>
      <c r="N76" s="1201"/>
      <c r="O76" s="1202"/>
      <c r="P76" s="1201"/>
      <c r="Q76" s="1658">
        <f t="shared" si="50"/>
        <v>499.28</v>
      </c>
      <c r="R76" s="1201"/>
      <c r="S76" s="1202">
        <v>498.38</v>
      </c>
      <c r="T76" s="1201"/>
      <c r="U76" s="1658">
        <f t="shared" si="51"/>
        <v>997.66</v>
      </c>
      <c r="V76" s="1201"/>
      <c r="W76" s="1202"/>
      <c r="X76" s="200"/>
      <c r="Y76" s="1151">
        <f t="shared" si="58"/>
        <v>498.38</v>
      </c>
      <c r="Z76" s="1201"/>
      <c r="AA76" s="544">
        <f t="shared" si="55"/>
        <v>997.66</v>
      </c>
      <c r="AB76" s="1201"/>
      <c r="AC76" s="4367">
        <v>146.70999999999998</v>
      </c>
      <c r="AD76" s="1201"/>
      <c r="AE76" s="1715">
        <f t="shared" si="45"/>
        <v>1144.3699999999999</v>
      </c>
      <c r="AF76" s="1201"/>
      <c r="AG76" s="4367"/>
      <c r="AH76" s="1201"/>
      <c r="AI76" s="782">
        <f t="shared" si="46"/>
        <v>1144.3699999999999</v>
      </c>
      <c r="AJ76" s="1201"/>
      <c r="AK76" s="4367">
        <v>467.96</v>
      </c>
      <c r="AL76" s="1201"/>
      <c r="AM76" s="1151">
        <f t="shared" si="56"/>
        <v>614.66999999999996</v>
      </c>
      <c r="AN76" s="1201"/>
      <c r="AO76" s="1715">
        <f t="shared" si="14"/>
        <v>1612.33</v>
      </c>
      <c r="AP76" s="1201"/>
      <c r="AQ76" s="4367">
        <v>529.83000000000004</v>
      </c>
      <c r="AR76" s="1201"/>
      <c r="AS76" s="1715">
        <f t="shared" si="47"/>
        <v>2142.16</v>
      </c>
      <c r="AT76" s="1201"/>
      <c r="AU76" s="4367">
        <v>999.38</v>
      </c>
      <c r="AV76" s="1201"/>
      <c r="AW76" s="1715">
        <f t="shared" si="48"/>
        <v>3141.54</v>
      </c>
      <c r="AX76" s="1201"/>
      <c r="AY76" s="4367">
        <v>1999.58</v>
      </c>
      <c r="AZ76" s="1201"/>
      <c r="BA76" s="1151">
        <f t="shared" si="57"/>
        <v>3528.79</v>
      </c>
      <c r="BB76" s="1201"/>
      <c r="BC76" s="544">
        <f t="shared" si="59"/>
        <v>4143.46</v>
      </c>
      <c r="BD76" s="1201"/>
      <c r="BE76" s="376">
        <f t="shared" si="49"/>
        <v>5141.12</v>
      </c>
      <c r="BF76" s="26"/>
      <c r="BG76" s="26"/>
      <c r="BH76" s="26"/>
      <c r="BP76" s="26"/>
      <c r="BQ76" s="26"/>
    </row>
    <row r="77" spans="2:69" ht="15.6" customHeight="1" x14ac:dyDescent="0.25">
      <c r="B77" s="8" t="s">
        <v>1434</v>
      </c>
      <c r="C77" s="159" t="s">
        <v>354</v>
      </c>
      <c r="D77" s="597"/>
      <c r="E77" s="1201">
        <v>4503.93</v>
      </c>
      <c r="F77" s="1201"/>
      <c r="G77" s="1201">
        <v>618.07000000000005</v>
      </c>
      <c r="H77" s="1658"/>
      <c r="I77" s="1661">
        <f t="shared" si="35"/>
        <v>5122</v>
      </c>
      <c r="J77" s="1201"/>
      <c r="K77" s="1201">
        <v>2504.23</v>
      </c>
      <c r="L77" s="200"/>
      <c r="M77" s="1151">
        <f t="shared" si="36"/>
        <v>7626.23</v>
      </c>
      <c r="N77" s="1201"/>
      <c r="O77" s="1201">
        <v>1876.0100000000011</v>
      </c>
      <c r="P77" s="1201"/>
      <c r="Q77" s="1658">
        <f t="shared" si="50"/>
        <v>9502.2400000000016</v>
      </c>
      <c r="R77" s="1201"/>
      <c r="S77" s="1201"/>
      <c r="T77" s="1201"/>
      <c r="U77" s="1658">
        <f t="shared" si="51"/>
        <v>9502.2400000000016</v>
      </c>
      <c r="V77" s="1201"/>
      <c r="W77" s="1201"/>
      <c r="X77" s="200"/>
      <c r="Y77" s="1151">
        <f t="shared" si="58"/>
        <v>1876.0100000000011</v>
      </c>
      <c r="Z77" s="1201"/>
      <c r="AA77" s="544">
        <f t="shared" si="55"/>
        <v>9502.2400000000016</v>
      </c>
      <c r="AB77" s="1201"/>
      <c r="AC77" s="1280">
        <v>2125.13</v>
      </c>
      <c r="AD77" s="1201"/>
      <c r="AE77" s="1715">
        <f t="shared" si="45"/>
        <v>11627.370000000003</v>
      </c>
      <c r="AF77" s="1201"/>
      <c r="AG77" s="1280">
        <v>4123.4000000000005</v>
      </c>
      <c r="AH77" s="1201"/>
      <c r="AI77" s="782">
        <f t="shared" si="46"/>
        <v>15750.770000000004</v>
      </c>
      <c r="AJ77" s="1201"/>
      <c r="AK77" s="1280">
        <v>319.88</v>
      </c>
      <c r="AL77" s="1201"/>
      <c r="AM77" s="1151">
        <f t="shared" si="56"/>
        <v>6568.4100000000008</v>
      </c>
      <c r="AN77" s="1201"/>
      <c r="AO77" s="1715">
        <f t="shared" ref="AO77:AO100" si="60">AI77+AK77</f>
        <v>16070.650000000003</v>
      </c>
      <c r="AP77" s="1201"/>
      <c r="AQ77" s="1280">
        <v>555.46</v>
      </c>
      <c r="AR77" s="1201"/>
      <c r="AS77" s="1715">
        <f t="shared" si="47"/>
        <v>16626.110000000004</v>
      </c>
      <c r="AT77" s="1201"/>
      <c r="AU77" s="1280">
        <v>3331.72</v>
      </c>
      <c r="AV77" s="1201"/>
      <c r="AW77" s="1715">
        <f t="shared" si="48"/>
        <v>19957.830000000005</v>
      </c>
      <c r="AX77" s="1201"/>
      <c r="AY77" s="1280">
        <v>2160.37</v>
      </c>
      <c r="AZ77" s="1201"/>
      <c r="BA77" s="1151">
        <f t="shared" si="57"/>
        <v>6047.5499999999993</v>
      </c>
      <c r="BB77" s="1201"/>
      <c r="BC77" s="544">
        <f t="shared" si="59"/>
        <v>12615.96</v>
      </c>
      <c r="BD77" s="1201"/>
      <c r="BE77" s="376">
        <f t="shared" si="49"/>
        <v>22118.200000000004</v>
      </c>
      <c r="BF77" s="26"/>
      <c r="BG77" s="26"/>
      <c r="BH77" s="26"/>
      <c r="BP77" s="26"/>
      <c r="BQ77" s="26"/>
    </row>
    <row r="78" spans="2:69" ht="15.6" customHeight="1" x14ac:dyDescent="0.25">
      <c r="B78" s="8" t="s">
        <v>2086</v>
      </c>
      <c r="C78" s="159" t="s">
        <v>354</v>
      </c>
      <c r="D78" s="597"/>
      <c r="E78" s="1201">
        <v>38</v>
      </c>
      <c r="F78" s="1201"/>
      <c r="G78" s="1201">
        <v>10</v>
      </c>
      <c r="H78" s="1658"/>
      <c r="I78" s="1661">
        <f t="shared" si="35"/>
        <v>48</v>
      </c>
      <c r="J78" s="1201"/>
      <c r="K78" s="1201"/>
      <c r="L78" s="200"/>
      <c r="M78" s="1151">
        <f t="shared" si="36"/>
        <v>48</v>
      </c>
      <c r="N78" s="1201"/>
      <c r="O78" s="1201"/>
      <c r="P78" s="1201"/>
      <c r="Q78" s="1658">
        <f t="shared" si="50"/>
        <v>48</v>
      </c>
      <c r="R78" s="1201"/>
      <c r="S78" s="1201"/>
      <c r="T78" s="1201"/>
      <c r="U78" s="1658">
        <f t="shared" si="51"/>
        <v>48</v>
      </c>
      <c r="V78" s="1201"/>
      <c r="W78" s="1201"/>
      <c r="X78" s="200"/>
      <c r="Y78" s="1151">
        <f t="shared" si="58"/>
        <v>0</v>
      </c>
      <c r="Z78" s="1201"/>
      <c r="AA78" s="544">
        <f t="shared" si="55"/>
        <v>48</v>
      </c>
      <c r="AB78" s="1201"/>
      <c r="AC78" s="1280"/>
      <c r="AD78" s="1201"/>
      <c r="AE78" s="1715">
        <f t="shared" si="45"/>
        <v>48</v>
      </c>
      <c r="AF78" s="1201"/>
      <c r="AG78" s="1280"/>
      <c r="AH78" s="1201"/>
      <c r="AI78" s="782">
        <f t="shared" si="46"/>
        <v>48</v>
      </c>
      <c r="AJ78" s="1201"/>
      <c r="AK78" s="1280"/>
      <c r="AL78" s="1201"/>
      <c r="AM78" s="1151">
        <f t="shared" si="56"/>
        <v>0</v>
      </c>
      <c r="AN78" s="1201"/>
      <c r="AO78" s="1715">
        <f t="shared" si="60"/>
        <v>48</v>
      </c>
      <c r="AP78" s="1201"/>
      <c r="AQ78" s="1280">
        <v>51</v>
      </c>
      <c r="AR78" s="1201"/>
      <c r="AS78" s="1715">
        <f t="shared" si="47"/>
        <v>99</v>
      </c>
      <c r="AT78" s="1201"/>
      <c r="AU78" s="1280"/>
      <c r="AV78" s="1201"/>
      <c r="AW78" s="1715">
        <f t="shared" si="48"/>
        <v>99</v>
      </c>
      <c r="AX78" s="1201"/>
      <c r="AY78" s="1280">
        <v>21</v>
      </c>
      <c r="AZ78" s="1201"/>
      <c r="BA78" s="1151">
        <f t="shared" si="57"/>
        <v>72</v>
      </c>
      <c r="BB78" s="1201"/>
      <c r="BC78" s="544">
        <f t="shared" si="59"/>
        <v>72</v>
      </c>
      <c r="BD78" s="1201"/>
      <c r="BE78" s="376">
        <f>+AW78+AY78</f>
        <v>120</v>
      </c>
      <c r="BF78" s="26"/>
      <c r="BG78" s="26"/>
      <c r="BH78" s="26"/>
      <c r="BP78" s="26"/>
      <c r="BQ78" s="26"/>
    </row>
    <row r="79" spans="2:69" ht="15.6" customHeight="1" x14ac:dyDescent="0.25">
      <c r="B79" s="8" t="s">
        <v>1287</v>
      </c>
      <c r="C79" s="159" t="s">
        <v>354</v>
      </c>
      <c r="D79" s="597"/>
      <c r="E79" s="1201"/>
      <c r="F79" s="1201"/>
      <c r="G79" s="1201"/>
      <c r="H79" s="1658"/>
      <c r="I79" s="1661">
        <f t="shared" si="35"/>
        <v>0</v>
      </c>
      <c r="J79" s="1201"/>
      <c r="K79" s="1201">
        <v>44</v>
      </c>
      <c r="L79" s="200"/>
      <c r="M79" s="1151">
        <f t="shared" si="36"/>
        <v>44</v>
      </c>
      <c r="N79" s="1201"/>
      <c r="O79" s="1201">
        <v>55</v>
      </c>
      <c r="P79" s="1201"/>
      <c r="Q79" s="1658">
        <f t="shared" si="50"/>
        <v>99</v>
      </c>
      <c r="R79" s="1201"/>
      <c r="S79" s="1201"/>
      <c r="T79" s="1201"/>
      <c r="U79" s="1658">
        <f t="shared" si="51"/>
        <v>99</v>
      </c>
      <c r="V79" s="1201"/>
      <c r="W79" s="1201"/>
      <c r="X79" s="200"/>
      <c r="Y79" s="1151">
        <f t="shared" si="58"/>
        <v>55</v>
      </c>
      <c r="Z79" s="1201"/>
      <c r="AA79" s="544">
        <f t="shared" si="55"/>
        <v>99</v>
      </c>
      <c r="AB79" s="1201"/>
      <c r="AC79" s="1280"/>
      <c r="AD79" s="1201"/>
      <c r="AE79" s="1715">
        <f t="shared" si="45"/>
        <v>99</v>
      </c>
      <c r="AF79" s="1201"/>
      <c r="AG79" s="1280"/>
      <c r="AH79" s="1201"/>
      <c r="AI79" s="782">
        <f t="shared" si="46"/>
        <v>99</v>
      </c>
      <c r="AJ79" s="1201"/>
      <c r="AK79" s="1280"/>
      <c r="AL79" s="1201"/>
      <c r="AM79" s="1151">
        <f t="shared" si="56"/>
        <v>0</v>
      </c>
      <c r="AN79" s="1201"/>
      <c r="AO79" s="1715">
        <f t="shared" si="60"/>
        <v>99</v>
      </c>
      <c r="AP79" s="1201"/>
      <c r="AQ79" s="1280"/>
      <c r="AR79" s="1201"/>
      <c r="AS79" s="1715">
        <f t="shared" si="47"/>
        <v>99</v>
      </c>
      <c r="AT79" s="1201"/>
      <c r="AU79" s="1280"/>
      <c r="AV79" s="1201"/>
      <c r="AW79" s="1715">
        <f t="shared" si="48"/>
        <v>99</v>
      </c>
      <c r="AX79" s="1201"/>
      <c r="AY79" s="1280"/>
      <c r="AZ79" s="1201"/>
      <c r="BA79" s="1151">
        <f t="shared" si="57"/>
        <v>0</v>
      </c>
      <c r="BB79" s="1201"/>
      <c r="BC79" s="544">
        <f t="shared" si="59"/>
        <v>0</v>
      </c>
      <c r="BD79" s="1201"/>
      <c r="BE79" s="376">
        <f t="shared" ref="BE79:BE91" si="61">+AW79+AY79</f>
        <v>99</v>
      </c>
      <c r="BF79" s="26"/>
      <c r="BG79" s="26"/>
      <c r="BH79" s="26"/>
      <c r="BP79" s="26"/>
      <c r="BQ79" s="26"/>
    </row>
    <row r="80" spans="2:69" ht="15.6" customHeight="1" x14ac:dyDescent="0.25">
      <c r="B80" s="8" t="s">
        <v>1477</v>
      </c>
      <c r="C80" s="159" t="s">
        <v>354</v>
      </c>
      <c r="D80" s="597"/>
      <c r="E80" s="1201"/>
      <c r="F80" s="1201"/>
      <c r="G80" s="1201"/>
      <c r="H80" s="1658"/>
      <c r="I80" s="1661">
        <f t="shared" si="35"/>
        <v>0</v>
      </c>
      <c r="J80" s="1201"/>
      <c r="K80" s="1201"/>
      <c r="L80" s="200"/>
      <c r="M80" s="1151">
        <f t="shared" si="36"/>
        <v>0</v>
      </c>
      <c r="N80" s="1201"/>
      <c r="O80" s="1201"/>
      <c r="P80" s="1201"/>
      <c r="Q80" s="1658">
        <f t="shared" si="50"/>
        <v>0</v>
      </c>
      <c r="R80" s="1201"/>
      <c r="S80" s="1201"/>
      <c r="T80" s="1201"/>
      <c r="U80" s="1658">
        <f t="shared" si="51"/>
        <v>0</v>
      </c>
      <c r="V80" s="1201"/>
      <c r="W80" s="1201"/>
      <c r="X80" s="200"/>
      <c r="Y80" s="1151">
        <f t="shared" si="58"/>
        <v>0</v>
      </c>
      <c r="Z80" s="1201"/>
      <c r="AA80" s="544">
        <f t="shared" si="55"/>
        <v>0</v>
      </c>
      <c r="AB80" s="1201"/>
      <c r="AC80" s="1280"/>
      <c r="AD80" s="1201"/>
      <c r="AE80" s="1715">
        <f t="shared" si="45"/>
        <v>0</v>
      </c>
      <c r="AF80" s="1201"/>
      <c r="AG80" s="1280"/>
      <c r="AH80" s="1201"/>
      <c r="AI80" s="782">
        <f t="shared" si="46"/>
        <v>0</v>
      </c>
      <c r="AJ80" s="1201"/>
      <c r="AK80" s="1280">
        <v>395</v>
      </c>
      <c r="AL80" s="1201"/>
      <c r="AM80" s="1151">
        <f t="shared" si="56"/>
        <v>395</v>
      </c>
      <c r="AN80" s="1201"/>
      <c r="AO80" s="1715">
        <f t="shared" si="60"/>
        <v>395</v>
      </c>
      <c r="AP80" s="1201"/>
      <c r="AQ80" s="1280">
        <v>520</v>
      </c>
      <c r="AR80" s="1201"/>
      <c r="AS80" s="1715">
        <f t="shared" si="47"/>
        <v>915</v>
      </c>
      <c r="AT80" s="1201"/>
      <c r="AU80" s="1280"/>
      <c r="AV80" s="1201"/>
      <c r="AW80" s="1715">
        <f t="shared" si="48"/>
        <v>915</v>
      </c>
      <c r="AX80" s="1201"/>
      <c r="AY80" s="1280">
        <v>136</v>
      </c>
      <c r="AZ80" s="1201"/>
      <c r="BA80" s="1151">
        <f t="shared" si="57"/>
        <v>656</v>
      </c>
      <c r="BB80" s="1201"/>
      <c r="BC80" s="544">
        <f t="shared" si="59"/>
        <v>1051</v>
      </c>
      <c r="BD80" s="1201"/>
      <c r="BE80" s="376">
        <f t="shared" si="61"/>
        <v>1051</v>
      </c>
      <c r="BF80" s="26"/>
      <c r="BG80" s="26"/>
      <c r="BH80" s="26"/>
      <c r="BP80" s="26"/>
      <c r="BQ80" s="26"/>
    </row>
    <row r="81" spans="2:69" ht="15.6" customHeight="1" x14ac:dyDescent="0.25">
      <c r="B81" s="8" t="s">
        <v>1476</v>
      </c>
      <c r="C81" s="159" t="s">
        <v>354</v>
      </c>
      <c r="D81" s="597"/>
      <c r="E81" s="1201"/>
      <c r="F81" s="1201"/>
      <c r="G81" s="1201">
        <v>140</v>
      </c>
      <c r="H81" s="1658"/>
      <c r="I81" s="1661">
        <f t="shared" si="35"/>
        <v>140</v>
      </c>
      <c r="J81" s="1201"/>
      <c r="K81" s="1201"/>
      <c r="L81" s="200"/>
      <c r="M81" s="1151">
        <f t="shared" si="36"/>
        <v>140</v>
      </c>
      <c r="N81" s="1201"/>
      <c r="O81" s="1201"/>
      <c r="P81" s="1201"/>
      <c r="Q81" s="1658">
        <f t="shared" si="50"/>
        <v>140</v>
      </c>
      <c r="R81" s="1201"/>
      <c r="S81" s="1201"/>
      <c r="T81" s="1201"/>
      <c r="U81" s="1658">
        <f t="shared" si="51"/>
        <v>140</v>
      </c>
      <c r="V81" s="1201"/>
      <c r="W81" s="1201"/>
      <c r="X81" s="200"/>
      <c r="Y81" s="1151">
        <f t="shared" si="58"/>
        <v>0</v>
      </c>
      <c r="Z81" s="1201"/>
      <c r="AA81" s="544">
        <f t="shared" si="55"/>
        <v>140</v>
      </c>
      <c r="AB81" s="1201"/>
      <c r="AC81" s="1280"/>
      <c r="AD81" s="1201"/>
      <c r="AE81" s="1715">
        <f t="shared" si="45"/>
        <v>140</v>
      </c>
      <c r="AF81" s="1201"/>
      <c r="AG81" s="1280"/>
      <c r="AH81" s="1201"/>
      <c r="AI81" s="782">
        <f t="shared" si="46"/>
        <v>140</v>
      </c>
      <c r="AJ81" s="1201"/>
      <c r="AK81" s="1280">
        <v>200</v>
      </c>
      <c r="AL81" s="1201"/>
      <c r="AM81" s="1151">
        <f t="shared" ref="AM81:AM140" si="62">+AC81+AG81+AK81</f>
        <v>200</v>
      </c>
      <c r="AN81" s="1201"/>
      <c r="AO81" s="1715">
        <f t="shared" si="60"/>
        <v>340</v>
      </c>
      <c r="AP81" s="1201"/>
      <c r="AQ81" s="1280"/>
      <c r="AR81" s="1201"/>
      <c r="AS81" s="1715">
        <f t="shared" si="47"/>
        <v>340</v>
      </c>
      <c r="AT81" s="1201"/>
      <c r="AU81" s="1280"/>
      <c r="AV81" s="1201"/>
      <c r="AW81" s="1715">
        <f t="shared" si="48"/>
        <v>340</v>
      </c>
      <c r="AX81" s="1201"/>
      <c r="AY81" s="1280"/>
      <c r="AZ81" s="1201"/>
      <c r="BA81" s="1151">
        <f t="shared" si="57"/>
        <v>0</v>
      </c>
      <c r="BB81" s="1201"/>
      <c r="BC81" s="544">
        <f t="shared" si="59"/>
        <v>200</v>
      </c>
      <c r="BD81" s="1201"/>
      <c r="BE81" s="376">
        <f t="shared" si="61"/>
        <v>340</v>
      </c>
      <c r="BF81" s="26"/>
      <c r="BG81" s="26"/>
      <c r="BH81" s="26"/>
      <c r="BP81" s="26"/>
      <c r="BQ81" s="26"/>
    </row>
    <row r="82" spans="2:69" ht="15.6" customHeight="1" x14ac:dyDescent="0.25">
      <c r="B82" s="8" t="s">
        <v>1475</v>
      </c>
      <c r="C82" s="159" t="s">
        <v>354</v>
      </c>
      <c r="D82" s="597"/>
      <c r="E82" s="1201"/>
      <c r="F82" s="1201"/>
      <c r="G82" s="1201"/>
      <c r="H82" s="1658"/>
      <c r="I82" s="1661">
        <f t="shared" si="35"/>
        <v>0</v>
      </c>
      <c r="J82" s="1201"/>
      <c r="K82" s="1201"/>
      <c r="L82" s="200"/>
      <c r="M82" s="1151">
        <f t="shared" si="36"/>
        <v>0</v>
      </c>
      <c r="N82" s="1201"/>
      <c r="O82" s="1201"/>
      <c r="P82" s="1201"/>
      <c r="Q82" s="1658">
        <f t="shared" si="50"/>
        <v>0</v>
      </c>
      <c r="R82" s="1201"/>
      <c r="S82" s="1201"/>
      <c r="T82" s="1201"/>
      <c r="U82" s="1658">
        <f t="shared" si="51"/>
        <v>0</v>
      </c>
      <c r="V82" s="1201"/>
      <c r="W82" s="1201"/>
      <c r="X82" s="200"/>
      <c r="Y82" s="1151">
        <f t="shared" si="58"/>
        <v>0</v>
      </c>
      <c r="Z82" s="1201"/>
      <c r="AA82" s="544">
        <f t="shared" si="55"/>
        <v>0</v>
      </c>
      <c r="AB82" s="1201"/>
      <c r="AC82" s="1280"/>
      <c r="AD82" s="1201"/>
      <c r="AE82" s="1715">
        <f t="shared" si="45"/>
        <v>0</v>
      </c>
      <c r="AF82" s="1201"/>
      <c r="AG82" s="1280"/>
      <c r="AH82" s="1201"/>
      <c r="AI82" s="782">
        <f t="shared" si="46"/>
        <v>0</v>
      </c>
      <c r="AJ82" s="1201"/>
      <c r="AK82" s="1280"/>
      <c r="AL82" s="1201"/>
      <c r="AM82" s="1151">
        <f t="shared" si="62"/>
        <v>0</v>
      </c>
      <c r="AN82" s="1201"/>
      <c r="AO82" s="1715">
        <f t="shared" si="60"/>
        <v>0</v>
      </c>
      <c r="AP82" s="1201"/>
      <c r="AQ82" s="1280">
        <v>120</v>
      </c>
      <c r="AR82" s="1201"/>
      <c r="AS82" s="1715">
        <f t="shared" si="47"/>
        <v>120</v>
      </c>
      <c r="AT82" s="1201"/>
      <c r="AU82" s="1280"/>
      <c r="AV82" s="1201"/>
      <c r="AW82" s="1715">
        <f t="shared" si="48"/>
        <v>120</v>
      </c>
      <c r="AX82" s="1201"/>
      <c r="AY82" s="1280"/>
      <c r="AZ82" s="1201"/>
      <c r="BA82" s="1151">
        <f t="shared" si="57"/>
        <v>120</v>
      </c>
      <c r="BB82" s="1201"/>
      <c r="BC82" s="544">
        <f t="shared" si="59"/>
        <v>120</v>
      </c>
      <c r="BD82" s="1201"/>
      <c r="BE82" s="376">
        <f t="shared" si="61"/>
        <v>120</v>
      </c>
      <c r="BF82" s="26"/>
      <c r="BG82" s="26"/>
      <c r="BH82" s="26"/>
      <c r="BP82" s="26"/>
      <c r="BQ82" s="26"/>
    </row>
    <row r="83" spans="2:69" ht="15.6" customHeight="1" x14ac:dyDescent="0.25">
      <c r="B83" s="8" t="s">
        <v>1972</v>
      </c>
      <c r="C83" s="159" t="s">
        <v>354</v>
      </c>
      <c r="D83" s="597"/>
      <c r="E83" s="1201"/>
      <c r="F83" s="1201"/>
      <c r="G83" s="1201"/>
      <c r="H83" s="1658"/>
      <c r="I83" s="1661">
        <f t="shared" si="35"/>
        <v>0</v>
      </c>
      <c r="J83" s="1201"/>
      <c r="K83" s="1201"/>
      <c r="L83" s="200"/>
      <c r="M83" s="1151">
        <f t="shared" si="36"/>
        <v>0</v>
      </c>
      <c r="N83" s="1201"/>
      <c r="O83" s="1201"/>
      <c r="P83" s="1201"/>
      <c r="Q83" s="1658">
        <f t="shared" si="50"/>
        <v>0</v>
      </c>
      <c r="R83" s="1201"/>
      <c r="S83" s="1201"/>
      <c r="T83" s="1201"/>
      <c r="U83" s="1658">
        <f t="shared" si="51"/>
        <v>0</v>
      </c>
      <c r="V83" s="1201"/>
      <c r="W83" s="1201"/>
      <c r="X83" s="200"/>
      <c r="Y83" s="1151">
        <f t="shared" si="58"/>
        <v>0</v>
      </c>
      <c r="Z83" s="1201"/>
      <c r="AA83" s="544">
        <f t="shared" si="55"/>
        <v>0</v>
      </c>
      <c r="AB83" s="1201"/>
      <c r="AC83" s="1280"/>
      <c r="AD83" s="1201"/>
      <c r="AE83" s="1715">
        <f t="shared" si="45"/>
        <v>0</v>
      </c>
      <c r="AF83" s="1201"/>
      <c r="AG83" s="1280">
        <v>1</v>
      </c>
      <c r="AH83" s="1201"/>
      <c r="AI83" s="782">
        <f t="shared" si="46"/>
        <v>1</v>
      </c>
      <c r="AJ83" s="1201"/>
      <c r="AK83" s="1280"/>
      <c r="AL83" s="1201"/>
      <c r="AM83" s="1151">
        <f t="shared" si="62"/>
        <v>1</v>
      </c>
      <c r="AN83" s="1201"/>
      <c r="AO83" s="1715">
        <f t="shared" si="60"/>
        <v>1</v>
      </c>
      <c r="AP83" s="1201"/>
      <c r="AQ83" s="1280"/>
      <c r="AR83" s="1201"/>
      <c r="AS83" s="1715">
        <f t="shared" si="47"/>
        <v>1</v>
      </c>
      <c r="AT83" s="1201"/>
      <c r="AU83" s="1280">
        <v>1</v>
      </c>
      <c r="AV83" s="1201"/>
      <c r="AW83" s="1715">
        <f t="shared" si="48"/>
        <v>2</v>
      </c>
      <c r="AX83" s="1201"/>
      <c r="AY83" s="1280">
        <v>1</v>
      </c>
      <c r="AZ83" s="1201"/>
      <c r="BA83" s="1151">
        <f t="shared" si="57"/>
        <v>2</v>
      </c>
      <c r="BB83" s="1201"/>
      <c r="BC83" s="544">
        <f t="shared" si="59"/>
        <v>3</v>
      </c>
      <c r="BD83" s="1201"/>
      <c r="BE83" s="376">
        <f t="shared" si="61"/>
        <v>3</v>
      </c>
      <c r="BF83" s="26"/>
      <c r="BG83" s="26"/>
      <c r="BH83" s="26"/>
      <c r="BP83" s="26"/>
      <c r="BQ83" s="26"/>
    </row>
    <row r="84" spans="2:69" x14ac:dyDescent="0.25">
      <c r="B84" s="8" t="s">
        <v>1130</v>
      </c>
      <c r="C84" s="159" t="s">
        <v>354</v>
      </c>
      <c r="D84" s="597"/>
      <c r="E84" s="1201">
        <v>339</v>
      </c>
      <c r="F84" s="1201"/>
      <c r="G84" s="1201"/>
      <c r="H84" s="1658"/>
      <c r="I84" s="1661">
        <f t="shared" si="35"/>
        <v>339</v>
      </c>
      <c r="J84" s="1201"/>
      <c r="K84" s="1201">
        <v>292</v>
      </c>
      <c r="L84" s="200"/>
      <c r="M84" s="1151">
        <f t="shared" si="36"/>
        <v>631</v>
      </c>
      <c r="N84" s="1201"/>
      <c r="O84" s="1201"/>
      <c r="P84" s="1201"/>
      <c r="Q84" s="1658">
        <f t="shared" si="50"/>
        <v>631</v>
      </c>
      <c r="R84" s="1201"/>
      <c r="S84" s="1201">
        <v>440</v>
      </c>
      <c r="T84" s="1201"/>
      <c r="U84" s="1658">
        <f t="shared" si="51"/>
        <v>1071</v>
      </c>
      <c r="V84" s="1201"/>
      <c r="W84" s="1201">
        <v>401</v>
      </c>
      <c r="X84" s="200"/>
      <c r="Y84" s="1151">
        <f t="shared" si="58"/>
        <v>841</v>
      </c>
      <c r="Z84" s="1201"/>
      <c r="AA84" s="544">
        <f t="shared" si="55"/>
        <v>1472</v>
      </c>
      <c r="AB84" s="1201"/>
      <c r="AC84" s="1280"/>
      <c r="AD84" s="1201"/>
      <c r="AE84" s="1715">
        <f t="shared" si="45"/>
        <v>1472</v>
      </c>
      <c r="AF84" s="1201"/>
      <c r="AG84" s="1280">
        <v>427</v>
      </c>
      <c r="AH84" s="1201"/>
      <c r="AI84" s="782">
        <f t="shared" si="46"/>
        <v>1899</v>
      </c>
      <c r="AJ84" s="1201"/>
      <c r="AK84" s="1280">
        <v>178</v>
      </c>
      <c r="AL84" s="1201"/>
      <c r="AM84" s="1151">
        <f t="shared" si="62"/>
        <v>605</v>
      </c>
      <c r="AN84" s="1201"/>
      <c r="AO84" s="1715">
        <f t="shared" si="60"/>
        <v>2077</v>
      </c>
      <c r="AP84" s="1201"/>
      <c r="AQ84" s="1280">
        <v>185</v>
      </c>
      <c r="AR84" s="1201"/>
      <c r="AS84" s="1715">
        <f t="shared" si="47"/>
        <v>2262</v>
      </c>
      <c r="AT84" s="1201"/>
      <c r="AU84" s="1280"/>
      <c r="AV84" s="1201"/>
      <c r="AW84" s="1715">
        <f t="shared" si="48"/>
        <v>2262</v>
      </c>
      <c r="AX84" s="1201"/>
      <c r="AY84" s="1280"/>
      <c r="AZ84" s="1201"/>
      <c r="BA84" s="1151">
        <f t="shared" si="57"/>
        <v>185</v>
      </c>
      <c r="BB84" s="1201"/>
      <c r="BC84" s="544">
        <f t="shared" si="59"/>
        <v>790</v>
      </c>
      <c r="BD84" s="1201"/>
      <c r="BE84" s="376">
        <f t="shared" si="61"/>
        <v>2262</v>
      </c>
      <c r="BF84" s="26"/>
      <c r="BG84" s="26"/>
      <c r="BH84" s="26"/>
      <c r="BP84" s="26"/>
      <c r="BQ84" s="26"/>
    </row>
    <row r="85" spans="2:69" x14ac:dyDescent="0.25">
      <c r="B85" s="8" t="s">
        <v>1911</v>
      </c>
      <c r="C85" s="2508" t="s">
        <v>354</v>
      </c>
      <c r="D85" s="2509"/>
      <c r="E85" s="2492">
        <v>1788.99</v>
      </c>
      <c r="F85" s="2492"/>
      <c r="G85" s="2492">
        <v>3476.7399999999993</v>
      </c>
      <c r="H85" s="2510"/>
      <c r="I85" s="1661">
        <f t="shared" si="35"/>
        <v>5265.73</v>
      </c>
      <c r="J85" s="2492"/>
      <c r="K85" s="2492">
        <v>154.28</v>
      </c>
      <c r="L85" s="2511"/>
      <c r="M85" s="1151">
        <f t="shared" si="36"/>
        <v>5420.0099999999993</v>
      </c>
      <c r="N85" s="2492"/>
      <c r="O85" s="2492">
        <v>1365.8100000000002</v>
      </c>
      <c r="P85" s="2492"/>
      <c r="Q85" s="1658">
        <f t="shared" si="50"/>
        <v>6785.82</v>
      </c>
      <c r="R85" s="2492"/>
      <c r="S85" s="2492">
        <v>592.26</v>
      </c>
      <c r="T85" s="2492"/>
      <c r="U85" s="1658">
        <f t="shared" si="51"/>
        <v>7378.08</v>
      </c>
      <c r="V85" s="2492"/>
      <c r="W85" s="2492">
        <v>1501.4700000000005</v>
      </c>
      <c r="X85" s="2511"/>
      <c r="Y85" s="2516">
        <f t="shared" si="58"/>
        <v>3459.5400000000009</v>
      </c>
      <c r="Z85" s="2492"/>
      <c r="AA85" s="544">
        <f t="shared" si="55"/>
        <v>8879.5499999999993</v>
      </c>
      <c r="AB85" s="2492"/>
      <c r="AC85" s="4364">
        <v>1364.84</v>
      </c>
      <c r="AD85" s="2492"/>
      <c r="AE85" s="1715">
        <f t="shared" si="45"/>
        <v>10244.39</v>
      </c>
      <c r="AF85" s="2492"/>
      <c r="AG85" s="4364">
        <v>2002.66</v>
      </c>
      <c r="AH85" s="2492"/>
      <c r="AI85" s="782">
        <f t="shared" si="46"/>
        <v>12247.05</v>
      </c>
      <c r="AJ85" s="2492"/>
      <c r="AK85" s="4364"/>
      <c r="AL85" s="2492"/>
      <c r="AM85" s="2516">
        <f t="shared" si="62"/>
        <v>3367.5</v>
      </c>
      <c r="AN85" s="2492"/>
      <c r="AO85" s="1715">
        <f t="shared" si="60"/>
        <v>12247.05</v>
      </c>
      <c r="AP85" s="2492"/>
      <c r="AQ85" s="4364">
        <v>1339.24</v>
      </c>
      <c r="AR85" s="2492"/>
      <c r="AS85" s="1715">
        <f t="shared" si="47"/>
        <v>13586.289999999999</v>
      </c>
      <c r="AT85" s="1201"/>
      <c r="AU85" s="4364"/>
      <c r="AV85" s="1201"/>
      <c r="AW85" s="1715">
        <f t="shared" si="48"/>
        <v>13586.289999999999</v>
      </c>
      <c r="AX85" s="1201"/>
      <c r="AY85" s="4364">
        <v>1869.27</v>
      </c>
      <c r="AZ85" s="2492"/>
      <c r="BA85" s="2516">
        <f t="shared" si="57"/>
        <v>3208.51</v>
      </c>
      <c r="BB85" s="2492"/>
      <c r="BC85" s="544">
        <f t="shared" si="59"/>
        <v>6576.01</v>
      </c>
      <c r="BD85" s="1201"/>
      <c r="BE85" s="376">
        <f t="shared" si="61"/>
        <v>15455.56</v>
      </c>
      <c r="BF85" s="26"/>
      <c r="BG85" s="26"/>
      <c r="BH85" s="26"/>
      <c r="BP85" s="26"/>
      <c r="BQ85" s="26"/>
    </row>
    <row r="86" spans="2:69" x14ac:dyDescent="0.25">
      <c r="B86" s="8" t="s">
        <v>2228</v>
      </c>
      <c r="C86" s="159" t="s">
        <v>354</v>
      </c>
      <c r="D86" s="597"/>
      <c r="E86" s="1201">
        <v>4.8499999999999996</v>
      </c>
      <c r="F86" s="1201"/>
      <c r="G86" s="1201">
        <v>23.849999999999998</v>
      </c>
      <c r="H86" s="1658"/>
      <c r="I86" s="1661">
        <f t="shared" si="35"/>
        <v>28.699999999999996</v>
      </c>
      <c r="J86" s="1201"/>
      <c r="K86" s="1201">
        <v>6.09</v>
      </c>
      <c r="L86" s="200"/>
      <c r="M86" s="1151">
        <f t="shared" si="36"/>
        <v>34.789999999999992</v>
      </c>
      <c r="N86" s="1201"/>
      <c r="O86" s="1201"/>
      <c r="P86" s="1201"/>
      <c r="Q86" s="1658">
        <f t="shared" si="50"/>
        <v>34.789999999999992</v>
      </c>
      <c r="R86" s="1201"/>
      <c r="S86" s="1201"/>
      <c r="T86" s="1201"/>
      <c r="U86" s="1658">
        <f t="shared" si="51"/>
        <v>34.789999999999992</v>
      </c>
      <c r="V86" s="1201"/>
      <c r="W86" s="1201"/>
      <c r="X86" s="200"/>
      <c r="Y86" s="1151">
        <f t="shared" si="58"/>
        <v>0</v>
      </c>
      <c r="Z86" s="1201"/>
      <c r="AA86" s="544">
        <f t="shared" si="55"/>
        <v>34.789999999999992</v>
      </c>
      <c r="AB86" s="1201"/>
      <c r="AC86" s="1280"/>
      <c r="AD86" s="1201"/>
      <c r="AE86" s="1715">
        <f t="shared" si="45"/>
        <v>34.789999999999992</v>
      </c>
      <c r="AF86" s="1201"/>
      <c r="AG86" s="1280"/>
      <c r="AH86" s="1201"/>
      <c r="AI86" s="782">
        <f t="shared" si="46"/>
        <v>34.789999999999992</v>
      </c>
      <c r="AJ86" s="1201"/>
      <c r="AK86" s="1280">
        <v>78</v>
      </c>
      <c r="AL86" s="1201"/>
      <c r="AM86" s="1151">
        <f t="shared" si="62"/>
        <v>78</v>
      </c>
      <c r="AN86" s="1201"/>
      <c r="AO86" s="1715">
        <f t="shared" si="60"/>
        <v>112.78999999999999</v>
      </c>
      <c r="AP86" s="1201"/>
      <c r="AQ86" s="1280"/>
      <c r="AR86" s="1201"/>
      <c r="AS86" s="1715">
        <f t="shared" si="47"/>
        <v>112.78999999999999</v>
      </c>
      <c r="AT86" s="1201"/>
      <c r="AU86" s="1280"/>
      <c r="AV86" s="1201"/>
      <c r="AW86" s="1715">
        <f t="shared" si="48"/>
        <v>112.78999999999999</v>
      </c>
      <c r="AX86" s="1201"/>
      <c r="AY86" s="1280"/>
      <c r="AZ86" s="1201"/>
      <c r="BA86" s="1151">
        <f t="shared" si="57"/>
        <v>0</v>
      </c>
      <c r="BB86" s="1201"/>
      <c r="BC86" s="544">
        <f t="shared" si="59"/>
        <v>78</v>
      </c>
      <c r="BD86" s="1201"/>
      <c r="BE86" s="376">
        <f t="shared" si="61"/>
        <v>112.78999999999999</v>
      </c>
      <c r="BF86" s="26"/>
      <c r="BG86" s="26"/>
      <c r="BH86" s="26"/>
      <c r="BP86" s="26"/>
      <c r="BQ86" s="26"/>
    </row>
    <row r="87" spans="2:69" x14ac:dyDescent="0.25">
      <c r="B87" s="8" t="s">
        <v>2288</v>
      </c>
      <c r="C87" s="159" t="s">
        <v>354</v>
      </c>
      <c r="D87" s="597"/>
      <c r="E87" s="1201"/>
      <c r="F87" s="1201"/>
      <c r="G87" s="1201"/>
      <c r="H87" s="1658"/>
      <c r="I87" s="1661">
        <f t="shared" ref="I87:I91" si="63">+E87+G87</f>
        <v>0</v>
      </c>
      <c r="J87" s="1201"/>
      <c r="K87" s="1201">
        <v>14.73</v>
      </c>
      <c r="L87" s="200"/>
      <c r="M87" s="1151">
        <f t="shared" si="36"/>
        <v>14.73</v>
      </c>
      <c r="N87" s="1201"/>
      <c r="O87" s="1201">
        <v>159.13000000000002</v>
      </c>
      <c r="P87" s="1201"/>
      <c r="Q87" s="1658">
        <f t="shared" si="50"/>
        <v>173.86</v>
      </c>
      <c r="R87" s="1201"/>
      <c r="S87" s="1201">
        <v>14.78</v>
      </c>
      <c r="T87" s="1201"/>
      <c r="U87" s="1658">
        <f t="shared" si="51"/>
        <v>188.64000000000001</v>
      </c>
      <c r="V87" s="1201"/>
      <c r="W87" s="1201">
        <v>39.56</v>
      </c>
      <c r="X87" s="200"/>
      <c r="Y87" s="1151">
        <f t="shared" si="58"/>
        <v>213.47000000000003</v>
      </c>
      <c r="Z87" s="1201"/>
      <c r="AA87" s="544">
        <f t="shared" si="55"/>
        <v>228.20000000000002</v>
      </c>
      <c r="AB87" s="1201"/>
      <c r="AC87" s="1280"/>
      <c r="AD87" s="1201"/>
      <c r="AE87" s="1715">
        <f t="shared" si="45"/>
        <v>228.20000000000002</v>
      </c>
      <c r="AF87" s="1201"/>
      <c r="AG87" s="1280">
        <v>6.73</v>
      </c>
      <c r="AH87" s="1201"/>
      <c r="AI87" s="782">
        <f t="shared" si="46"/>
        <v>234.93</v>
      </c>
      <c r="AJ87" s="1201"/>
      <c r="AK87" s="1280"/>
      <c r="AL87" s="1201"/>
      <c r="AM87" s="1151">
        <f t="shared" si="62"/>
        <v>6.73</v>
      </c>
      <c r="AN87" s="1201"/>
      <c r="AO87" s="1715">
        <f t="shared" si="60"/>
        <v>234.93</v>
      </c>
      <c r="AP87" s="1201"/>
      <c r="AQ87" s="1280"/>
      <c r="AR87" s="1201"/>
      <c r="AS87" s="1715">
        <f t="shared" si="47"/>
        <v>234.93</v>
      </c>
      <c r="AT87" s="1201"/>
      <c r="AU87" s="1280"/>
      <c r="AV87" s="1201"/>
      <c r="AW87" s="1715">
        <f t="shared" si="48"/>
        <v>234.93</v>
      </c>
      <c r="AX87" s="1201"/>
      <c r="AY87" s="1280"/>
      <c r="AZ87" s="1201"/>
      <c r="BA87" s="1151">
        <f t="shared" si="57"/>
        <v>0</v>
      </c>
      <c r="BB87" s="1201"/>
      <c r="BC87" s="544">
        <f t="shared" si="59"/>
        <v>6.73</v>
      </c>
      <c r="BD87" s="1201"/>
      <c r="BE87" s="376">
        <f t="shared" si="61"/>
        <v>234.93</v>
      </c>
      <c r="BF87" s="26"/>
      <c r="BG87" s="26"/>
      <c r="BH87" s="26"/>
      <c r="BP87" s="26"/>
      <c r="BQ87" s="26"/>
    </row>
    <row r="88" spans="2:69" x14ac:dyDescent="0.25">
      <c r="B88" s="8" t="s">
        <v>1989</v>
      </c>
      <c r="C88" s="159" t="s">
        <v>354</v>
      </c>
      <c r="D88" s="597"/>
      <c r="E88" s="1201"/>
      <c r="F88" s="1201"/>
      <c r="G88" s="1201"/>
      <c r="H88" s="1658"/>
      <c r="I88" s="1661">
        <f t="shared" si="63"/>
        <v>0</v>
      </c>
      <c r="J88" s="1201"/>
      <c r="K88" s="1201"/>
      <c r="L88" s="200"/>
      <c r="M88" s="1151">
        <f t="shared" si="36"/>
        <v>0</v>
      </c>
      <c r="N88" s="1201"/>
      <c r="O88" s="1201"/>
      <c r="P88" s="1201"/>
      <c r="Q88" s="1658">
        <f t="shared" si="50"/>
        <v>0</v>
      </c>
      <c r="R88" s="1201"/>
      <c r="S88" s="1201"/>
      <c r="T88" s="1201"/>
      <c r="U88" s="1658">
        <f t="shared" si="51"/>
        <v>0</v>
      </c>
      <c r="V88" s="1201"/>
      <c r="W88" s="1201"/>
      <c r="X88" s="200"/>
      <c r="Y88" s="1151">
        <f t="shared" si="58"/>
        <v>0</v>
      </c>
      <c r="Z88" s="1201"/>
      <c r="AA88" s="544">
        <f t="shared" si="55"/>
        <v>0</v>
      </c>
      <c r="AB88" s="1201"/>
      <c r="AC88" s="1280"/>
      <c r="AD88" s="1201"/>
      <c r="AE88" s="1715">
        <f t="shared" si="45"/>
        <v>0</v>
      </c>
      <c r="AF88" s="1201"/>
      <c r="AG88" s="1280"/>
      <c r="AH88" s="1201"/>
      <c r="AI88" s="782">
        <f t="shared" si="46"/>
        <v>0</v>
      </c>
      <c r="AJ88" s="1201"/>
      <c r="AK88" s="1280">
        <v>160</v>
      </c>
      <c r="AL88" s="1201"/>
      <c r="AM88" s="1151">
        <f t="shared" si="62"/>
        <v>160</v>
      </c>
      <c r="AN88" s="1201"/>
      <c r="AO88" s="1715">
        <f t="shared" si="60"/>
        <v>160</v>
      </c>
      <c r="AP88" s="1201"/>
      <c r="AQ88" s="1280"/>
      <c r="AR88" s="1201"/>
      <c r="AS88" s="1715">
        <f t="shared" si="47"/>
        <v>160</v>
      </c>
      <c r="AT88" s="1201"/>
      <c r="AU88" s="1280"/>
      <c r="AV88" s="1201"/>
      <c r="AW88" s="1715">
        <f t="shared" si="48"/>
        <v>160</v>
      </c>
      <c r="AX88" s="1201"/>
      <c r="AY88" s="1280"/>
      <c r="AZ88" s="1201"/>
      <c r="BA88" s="1151">
        <f t="shared" si="57"/>
        <v>0</v>
      </c>
      <c r="BB88" s="1201"/>
      <c r="BC88" s="544">
        <f t="shared" si="59"/>
        <v>160</v>
      </c>
      <c r="BD88" s="1201"/>
      <c r="BE88" s="376">
        <f t="shared" si="61"/>
        <v>160</v>
      </c>
      <c r="BF88" s="26"/>
      <c r="BG88" s="26"/>
      <c r="BH88" s="26"/>
      <c r="BP88" s="26"/>
      <c r="BQ88" s="26"/>
    </row>
    <row r="89" spans="2:69" ht="18" customHeight="1" x14ac:dyDescent="0.25">
      <c r="B89" s="8" t="s">
        <v>1973</v>
      </c>
      <c r="C89" s="159" t="s">
        <v>354</v>
      </c>
      <c r="D89" s="597"/>
      <c r="E89" s="1201"/>
      <c r="F89" s="1201"/>
      <c r="G89" s="1201"/>
      <c r="H89" s="1658"/>
      <c r="I89" s="1661">
        <f t="shared" si="63"/>
        <v>0</v>
      </c>
      <c r="J89" s="1201"/>
      <c r="K89" s="1201">
        <v>129.52000000000001</v>
      </c>
      <c r="L89" s="200"/>
      <c r="M89" s="1151">
        <f t="shared" si="36"/>
        <v>129.52000000000001</v>
      </c>
      <c r="N89" s="1201"/>
      <c r="O89" s="1201"/>
      <c r="P89" s="1201"/>
      <c r="Q89" s="1658">
        <f t="shared" si="50"/>
        <v>129.52000000000001</v>
      </c>
      <c r="R89" s="1201"/>
      <c r="S89" s="1201">
        <v>14.98</v>
      </c>
      <c r="T89" s="1201"/>
      <c r="U89" s="1658">
        <f t="shared" si="51"/>
        <v>144.5</v>
      </c>
      <c r="V89" s="1201"/>
      <c r="W89" s="1201"/>
      <c r="X89" s="200"/>
      <c r="Y89" s="1151">
        <f t="shared" si="58"/>
        <v>14.98</v>
      </c>
      <c r="Z89" s="1201"/>
      <c r="AA89" s="544">
        <f t="shared" si="55"/>
        <v>144.5</v>
      </c>
      <c r="AB89" s="1201"/>
      <c r="AC89" s="1280"/>
      <c r="AD89" s="1201"/>
      <c r="AE89" s="1715">
        <f t="shared" si="45"/>
        <v>144.5</v>
      </c>
      <c r="AF89" s="1201"/>
      <c r="AG89" s="1280">
        <v>59.66</v>
      </c>
      <c r="AH89" s="1201"/>
      <c r="AI89" s="782">
        <f t="shared" si="46"/>
        <v>204.16</v>
      </c>
      <c r="AJ89" s="1201"/>
      <c r="AK89" s="1280"/>
      <c r="AL89" s="1201"/>
      <c r="AM89" s="1151">
        <f t="shared" si="62"/>
        <v>59.66</v>
      </c>
      <c r="AN89" s="1201"/>
      <c r="AO89" s="1715">
        <f t="shared" si="60"/>
        <v>204.16</v>
      </c>
      <c r="AP89" s="1201"/>
      <c r="AQ89" s="1280"/>
      <c r="AR89" s="1201"/>
      <c r="AS89" s="1715">
        <f t="shared" si="47"/>
        <v>204.16</v>
      </c>
      <c r="AT89" s="1201"/>
      <c r="AU89" s="1280"/>
      <c r="AV89" s="1201"/>
      <c r="AW89" s="1715">
        <f t="shared" si="48"/>
        <v>204.16</v>
      </c>
      <c r="AX89" s="1201"/>
      <c r="AY89" s="1280"/>
      <c r="AZ89" s="1201"/>
      <c r="BA89" s="1151">
        <f t="shared" si="57"/>
        <v>0</v>
      </c>
      <c r="BB89" s="1201"/>
      <c r="BC89" s="544">
        <f t="shared" si="59"/>
        <v>59.66</v>
      </c>
      <c r="BD89" s="1201"/>
      <c r="BE89" s="376">
        <f t="shared" si="61"/>
        <v>204.16</v>
      </c>
      <c r="BF89" s="26"/>
      <c r="BG89" s="26"/>
      <c r="BH89" s="26"/>
      <c r="BP89" s="26"/>
      <c r="BQ89" s="26"/>
    </row>
    <row r="90" spans="2:69" x14ac:dyDescent="0.25">
      <c r="B90" s="8" t="s">
        <v>1435</v>
      </c>
      <c r="C90" s="159" t="s">
        <v>354</v>
      </c>
      <c r="D90" s="597"/>
      <c r="E90" s="1201">
        <v>18.77</v>
      </c>
      <c r="F90" s="1201"/>
      <c r="G90" s="1201"/>
      <c r="H90" s="1658"/>
      <c r="I90" s="1661">
        <f t="shared" si="63"/>
        <v>18.77</v>
      </c>
      <c r="J90" s="1201"/>
      <c r="K90" s="1201">
        <v>14.13</v>
      </c>
      <c r="L90" s="200"/>
      <c r="M90" s="1151">
        <f t="shared" si="36"/>
        <v>32.9</v>
      </c>
      <c r="N90" s="1201"/>
      <c r="O90" s="1201">
        <v>15.509999999999998</v>
      </c>
      <c r="P90" s="1201"/>
      <c r="Q90" s="1658">
        <f t="shared" si="50"/>
        <v>48.41</v>
      </c>
      <c r="R90" s="1201"/>
      <c r="S90" s="1201"/>
      <c r="T90" s="1201"/>
      <c r="U90" s="1658">
        <f t="shared" si="51"/>
        <v>48.41</v>
      </c>
      <c r="V90" s="1201"/>
      <c r="W90" s="1201"/>
      <c r="X90" s="200"/>
      <c r="Y90" s="1151">
        <f t="shared" si="58"/>
        <v>15.509999999999998</v>
      </c>
      <c r="Z90" s="1201"/>
      <c r="AA90" s="544">
        <f t="shared" si="55"/>
        <v>48.41</v>
      </c>
      <c r="AB90" s="1201"/>
      <c r="AC90" s="1280">
        <v>9.82</v>
      </c>
      <c r="AD90" s="1201"/>
      <c r="AE90" s="1715">
        <f t="shared" si="45"/>
        <v>58.23</v>
      </c>
      <c r="AF90" s="1201"/>
      <c r="AG90" s="1280">
        <v>19.89</v>
      </c>
      <c r="AH90" s="1201"/>
      <c r="AI90" s="782">
        <f t="shared" si="46"/>
        <v>78.12</v>
      </c>
      <c r="AJ90" s="1201"/>
      <c r="AK90" s="1280"/>
      <c r="AL90" s="1201"/>
      <c r="AM90" s="1151">
        <f t="shared" si="62"/>
        <v>29.71</v>
      </c>
      <c r="AN90" s="1201"/>
      <c r="AO90" s="1715">
        <f t="shared" si="60"/>
        <v>78.12</v>
      </c>
      <c r="AP90" s="1201"/>
      <c r="AQ90" s="1280"/>
      <c r="AR90" s="1201"/>
      <c r="AS90" s="1715">
        <f t="shared" si="47"/>
        <v>78.12</v>
      </c>
      <c r="AT90" s="1201"/>
      <c r="AU90" s="1280"/>
      <c r="AV90" s="1201"/>
      <c r="AW90" s="1715">
        <f t="shared" si="48"/>
        <v>78.12</v>
      </c>
      <c r="AX90" s="1201"/>
      <c r="AY90" s="1280"/>
      <c r="AZ90" s="1201"/>
      <c r="BA90" s="1151">
        <f t="shared" si="57"/>
        <v>0</v>
      </c>
      <c r="BB90" s="1201"/>
      <c r="BC90" s="544">
        <f t="shared" si="59"/>
        <v>29.71</v>
      </c>
      <c r="BD90" s="1201"/>
      <c r="BE90" s="376">
        <f t="shared" si="61"/>
        <v>78.12</v>
      </c>
      <c r="BF90" s="26"/>
      <c r="BG90" s="26"/>
      <c r="BH90" s="26"/>
      <c r="BP90" s="26"/>
      <c r="BQ90" s="26"/>
    </row>
    <row r="91" spans="2:69" x14ac:dyDescent="0.25">
      <c r="B91" s="8" t="s">
        <v>1690</v>
      </c>
      <c r="C91" s="159" t="s">
        <v>354</v>
      </c>
      <c r="D91" s="597"/>
      <c r="E91" s="1201"/>
      <c r="F91" s="1201"/>
      <c r="G91" s="1201"/>
      <c r="H91" s="1658"/>
      <c r="I91" s="1661">
        <f t="shared" si="63"/>
        <v>0</v>
      </c>
      <c r="J91" s="1201"/>
      <c r="K91" s="1201"/>
      <c r="L91" s="200"/>
      <c r="M91" s="1151">
        <f t="shared" si="36"/>
        <v>0</v>
      </c>
      <c r="N91" s="1201"/>
      <c r="O91" s="1201"/>
      <c r="P91" s="1201"/>
      <c r="Q91" s="1658">
        <f t="shared" si="50"/>
        <v>0</v>
      </c>
      <c r="R91" s="1201"/>
      <c r="S91" s="1201"/>
      <c r="T91" s="1201"/>
      <c r="U91" s="1658">
        <f t="shared" si="51"/>
        <v>0</v>
      </c>
      <c r="V91" s="1201"/>
      <c r="W91" s="1201"/>
      <c r="X91" s="200"/>
      <c r="Y91" s="1151">
        <f t="shared" si="58"/>
        <v>0</v>
      </c>
      <c r="Z91" s="1201"/>
      <c r="AA91" s="544">
        <f t="shared" si="55"/>
        <v>0</v>
      </c>
      <c r="AB91" s="1201"/>
      <c r="AC91" s="1280">
        <v>13.88</v>
      </c>
      <c r="AD91" s="1201"/>
      <c r="AE91" s="1715">
        <f t="shared" si="45"/>
        <v>13.88</v>
      </c>
      <c r="AF91" s="1201"/>
      <c r="AG91" s="1280">
        <v>6.1</v>
      </c>
      <c r="AH91" s="1201"/>
      <c r="AI91" s="782">
        <f t="shared" si="46"/>
        <v>19.98</v>
      </c>
      <c r="AJ91" s="1201"/>
      <c r="AK91" s="1280"/>
      <c r="AL91" s="1201"/>
      <c r="AM91" s="1151">
        <f t="shared" si="62"/>
        <v>19.98</v>
      </c>
      <c r="AN91" s="1201"/>
      <c r="AO91" s="1715">
        <f t="shared" si="60"/>
        <v>19.98</v>
      </c>
      <c r="AP91" s="1201"/>
      <c r="AQ91" s="1280"/>
      <c r="AR91" s="1201"/>
      <c r="AS91" s="1715">
        <f t="shared" si="47"/>
        <v>19.98</v>
      </c>
      <c r="AT91" s="1201"/>
      <c r="AU91" s="1280"/>
      <c r="AV91" s="1201"/>
      <c r="AW91" s="1715">
        <f t="shared" si="48"/>
        <v>19.98</v>
      </c>
      <c r="AX91" s="1201"/>
      <c r="AY91" s="1280"/>
      <c r="AZ91" s="1201"/>
      <c r="BA91" s="1151">
        <f t="shared" si="57"/>
        <v>0</v>
      </c>
      <c r="BB91" s="1201"/>
      <c r="BC91" s="544">
        <f t="shared" si="59"/>
        <v>19.98</v>
      </c>
      <c r="BD91" s="1201"/>
      <c r="BE91" s="376">
        <f t="shared" si="61"/>
        <v>19.98</v>
      </c>
      <c r="BF91" s="26"/>
      <c r="BG91" s="26"/>
      <c r="BH91" s="26"/>
      <c r="BP91" s="26"/>
      <c r="BQ91" s="26"/>
    </row>
    <row r="92" spans="2:69" x14ac:dyDescent="0.25">
      <c r="B92" s="8" t="s">
        <v>2255</v>
      </c>
      <c r="C92" s="159" t="s">
        <v>354</v>
      </c>
      <c r="D92" s="597"/>
      <c r="E92" s="597"/>
      <c r="F92" s="597"/>
      <c r="G92" s="597">
        <v>60.040000000000006</v>
      </c>
      <c r="H92" s="1660"/>
      <c r="I92" s="1658">
        <f t="shared" ref="I92:I116" si="64">+E92+G92</f>
        <v>60.040000000000006</v>
      </c>
      <c r="J92" s="597"/>
      <c r="K92" s="597"/>
      <c r="L92" s="200"/>
      <c r="M92" s="1151">
        <f t="shared" si="36"/>
        <v>60.040000000000006</v>
      </c>
      <c r="N92" s="597"/>
      <c r="O92" s="597"/>
      <c r="P92" s="597"/>
      <c r="Q92" s="1658">
        <f t="shared" si="50"/>
        <v>60.040000000000006</v>
      </c>
      <c r="R92" s="597"/>
      <c r="S92" s="597">
        <v>8.83</v>
      </c>
      <c r="T92" s="597"/>
      <c r="U92" s="1658">
        <f t="shared" si="51"/>
        <v>68.87</v>
      </c>
      <c r="V92" s="597"/>
      <c r="W92" s="597"/>
      <c r="X92" s="200"/>
      <c r="Y92" s="1151">
        <f t="shared" si="58"/>
        <v>8.83</v>
      </c>
      <c r="Z92" s="597"/>
      <c r="AA92" s="522">
        <f t="shared" si="55"/>
        <v>68.87</v>
      </c>
      <c r="AB92" s="597"/>
      <c r="AC92" s="4365">
        <v>74.52</v>
      </c>
      <c r="AD92" s="597"/>
      <c r="AE92" s="1715">
        <f t="shared" si="45"/>
        <v>143.38999999999999</v>
      </c>
      <c r="AF92" s="597"/>
      <c r="AG92" s="4365"/>
      <c r="AH92" s="597"/>
      <c r="AI92" s="782">
        <f t="shared" si="46"/>
        <v>143.38999999999999</v>
      </c>
      <c r="AJ92" s="597"/>
      <c r="AK92" s="4365">
        <v>6.9</v>
      </c>
      <c r="AL92" s="597"/>
      <c r="AM92" s="1151">
        <f t="shared" si="62"/>
        <v>81.42</v>
      </c>
      <c r="AN92" s="597"/>
      <c r="AO92" s="1715">
        <f t="shared" si="60"/>
        <v>150.29</v>
      </c>
      <c r="AP92" s="597"/>
      <c r="AQ92" s="4365"/>
      <c r="AR92" s="597"/>
      <c r="AS92" s="1715">
        <f t="shared" si="47"/>
        <v>150.29</v>
      </c>
      <c r="AT92" s="597"/>
      <c r="AU92" s="4365"/>
      <c r="AV92" s="597"/>
      <c r="AW92" s="1715">
        <f t="shared" si="48"/>
        <v>150.29</v>
      </c>
      <c r="AX92" s="597"/>
      <c r="AY92" s="4365">
        <v>21.93</v>
      </c>
      <c r="AZ92" s="597"/>
      <c r="BA92" s="1151">
        <f t="shared" si="57"/>
        <v>21.93</v>
      </c>
      <c r="BB92" s="597"/>
      <c r="BC92" s="522">
        <f t="shared" si="59"/>
        <v>103.35</v>
      </c>
      <c r="BD92" s="597"/>
      <c r="BE92" s="256">
        <f>+AW92+AY92</f>
        <v>172.22</v>
      </c>
      <c r="BF92" s="26"/>
      <c r="BG92" s="26"/>
      <c r="BH92" s="26"/>
      <c r="BP92" s="26"/>
      <c r="BQ92" s="26"/>
    </row>
    <row r="93" spans="2:69" x14ac:dyDescent="0.25">
      <c r="B93" s="8" t="s">
        <v>2334</v>
      </c>
      <c r="C93" s="159" t="s">
        <v>354</v>
      </c>
      <c r="D93" s="4350"/>
      <c r="E93" s="4350"/>
      <c r="F93" s="4350"/>
      <c r="G93" s="4350"/>
      <c r="H93" s="4351"/>
      <c r="I93" s="1658">
        <f t="shared" si="64"/>
        <v>0</v>
      </c>
      <c r="J93" s="4350"/>
      <c r="K93" s="4350"/>
      <c r="L93" s="4357"/>
      <c r="M93" s="1151">
        <f t="shared" si="36"/>
        <v>0</v>
      </c>
      <c r="N93" s="4350"/>
      <c r="O93" s="4350"/>
      <c r="P93" s="4350"/>
      <c r="Q93" s="1658">
        <f t="shared" si="50"/>
        <v>0</v>
      </c>
      <c r="R93" s="4350"/>
      <c r="S93" s="4350">
        <v>14.8</v>
      </c>
      <c r="T93" s="4350"/>
      <c r="U93" s="1658">
        <f t="shared" si="51"/>
        <v>14.8</v>
      </c>
      <c r="V93" s="4350"/>
      <c r="W93" s="4350"/>
      <c r="X93" s="4357"/>
      <c r="Y93" s="1151">
        <f t="shared" ref="Y93" si="65">+O93+S93+W93</f>
        <v>14.8</v>
      </c>
      <c r="Z93" s="597"/>
      <c r="AA93" s="522">
        <f t="shared" ref="AA93" si="66">M93+Y93</f>
        <v>14.8</v>
      </c>
      <c r="AB93" s="4350"/>
      <c r="AC93" s="4368">
        <v>96.699999999999989</v>
      </c>
      <c r="AD93" s="4350"/>
      <c r="AE93" s="1715">
        <f t="shared" si="45"/>
        <v>111.49999999999999</v>
      </c>
      <c r="AF93" s="4350"/>
      <c r="AG93" s="4368">
        <v>210.91999999999996</v>
      </c>
      <c r="AH93" s="4350"/>
      <c r="AI93" s="782">
        <f t="shared" si="46"/>
        <v>322.41999999999996</v>
      </c>
      <c r="AJ93" s="4350"/>
      <c r="AK93" s="4368"/>
      <c r="AL93" s="4350"/>
      <c r="AM93" s="1151">
        <f t="shared" si="62"/>
        <v>307.61999999999995</v>
      </c>
      <c r="AN93" s="4350"/>
      <c r="AO93" s="1715">
        <f t="shared" si="60"/>
        <v>322.41999999999996</v>
      </c>
      <c r="AP93" s="4350"/>
      <c r="AQ93" s="4368"/>
      <c r="AR93" s="4350"/>
      <c r="AS93" s="1715">
        <f t="shared" si="47"/>
        <v>322.41999999999996</v>
      </c>
      <c r="AT93" s="4350"/>
      <c r="AU93" s="4368"/>
      <c r="AV93" s="4350"/>
      <c r="AW93" s="1715">
        <f t="shared" si="48"/>
        <v>322.41999999999996</v>
      </c>
      <c r="AX93" s="4350"/>
      <c r="AY93" s="4368"/>
      <c r="AZ93" s="4350"/>
      <c r="BA93" s="1151">
        <f t="shared" ref="BA93:BA94" si="67">+AQ93+AU93+AY93</f>
        <v>0</v>
      </c>
      <c r="BB93" s="597"/>
      <c r="BC93" s="522">
        <f t="shared" ref="BC93:BC94" si="68">BA93+AM93</f>
        <v>307.61999999999995</v>
      </c>
      <c r="BD93" s="4350"/>
      <c r="BE93" s="256">
        <f t="shared" ref="BE93:BE94" si="69">+AW93+AY93</f>
        <v>322.41999999999996</v>
      </c>
      <c r="BF93" s="26"/>
      <c r="BG93" s="26"/>
      <c r="BH93" s="26"/>
      <c r="BP93" s="26"/>
      <c r="BQ93" s="26"/>
    </row>
    <row r="94" spans="2:69" x14ac:dyDescent="0.25">
      <c r="B94" s="8" t="s">
        <v>2335</v>
      </c>
      <c r="C94" s="159" t="s">
        <v>354</v>
      </c>
      <c r="D94" s="597"/>
      <c r="E94" s="597"/>
      <c r="F94" s="597"/>
      <c r="G94" s="597"/>
      <c r="H94" s="1660"/>
      <c r="I94" s="1658">
        <f t="shared" si="64"/>
        <v>0</v>
      </c>
      <c r="J94" s="597"/>
      <c r="K94" s="597"/>
      <c r="L94" s="200"/>
      <c r="M94" s="1151">
        <f t="shared" si="36"/>
        <v>0</v>
      </c>
      <c r="N94" s="597"/>
      <c r="O94" s="597"/>
      <c r="P94" s="597"/>
      <c r="Q94" s="1658">
        <f t="shared" si="50"/>
        <v>0</v>
      </c>
      <c r="R94" s="597"/>
      <c r="S94" s="597">
        <v>49.83</v>
      </c>
      <c r="T94" s="597"/>
      <c r="U94" s="1658">
        <f t="shared" si="51"/>
        <v>49.83</v>
      </c>
      <c r="V94" s="597"/>
      <c r="W94" s="597"/>
      <c r="X94" s="200"/>
      <c r="Y94" s="1151">
        <f t="shared" si="58"/>
        <v>49.83</v>
      </c>
      <c r="Z94" s="597"/>
      <c r="AA94" s="522">
        <f t="shared" si="55"/>
        <v>49.83</v>
      </c>
      <c r="AB94" s="597"/>
      <c r="AC94" s="4365"/>
      <c r="AD94" s="597"/>
      <c r="AE94" s="1715">
        <f t="shared" si="45"/>
        <v>49.83</v>
      </c>
      <c r="AF94" s="597"/>
      <c r="AG94" s="4365"/>
      <c r="AH94" s="597"/>
      <c r="AI94" s="782">
        <f t="shared" si="46"/>
        <v>49.83</v>
      </c>
      <c r="AJ94" s="597"/>
      <c r="AK94" s="4365"/>
      <c r="AL94" s="597"/>
      <c r="AM94" s="1151">
        <f t="shared" si="62"/>
        <v>0</v>
      </c>
      <c r="AN94" s="597"/>
      <c r="AO94" s="1715">
        <f t="shared" si="60"/>
        <v>49.83</v>
      </c>
      <c r="AP94" s="597"/>
      <c r="AQ94" s="4365"/>
      <c r="AR94" s="597"/>
      <c r="AS94" s="1715">
        <f t="shared" si="47"/>
        <v>49.83</v>
      </c>
      <c r="AT94" s="597"/>
      <c r="AU94" s="4365"/>
      <c r="AV94" s="597"/>
      <c r="AW94" s="1715">
        <f t="shared" si="48"/>
        <v>49.83</v>
      </c>
      <c r="AX94" s="597"/>
      <c r="AY94" s="4365"/>
      <c r="AZ94" s="597"/>
      <c r="BA94" s="1151">
        <f t="shared" si="67"/>
        <v>0</v>
      </c>
      <c r="BB94" s="597"/>
      <c r="BC94" s="522">
        <f t="shared" si="68"/>
        <v>0</v>
      </c>
      <c r="BD94" s="597"/>
      <c r="BE94" s="256">
        <f t="shared" si="69"/>
        <v>49.83</v>
      </c>
      <c r="BF94" s="26"/>
      <c r="BG94" s="26"/>
      <c r="BH94" s="26"/>
      <c r="BP94" s="26"/>
      <c r="BQ94" s="26"/>
    </row>
    <row r="95" spans="2:69" x14ac:dyDescent="0.25">
      <c r="B95" s="8" t="s">
        <v>1850</v>
      </c>
      <c r="C95" s="159" t="s">
        <v>354</v>
      </c>
      <c r="D95" s="597"/>
      <c r="E95" s="1201">
        <v>53</v>
      </c>
      <c r="F95" s="1201"/>
      <c r="G95" s="1201">
        <v>3</v>
      </c>
      <c r="H95" s="1658"/>
      <c r="I95" s="1658">
        <f t="shared" si="64"/>
        <v>56</v>
      </c>
      <c r="J95" s="1201"/>
      <c r="K95" s="1201">
        <v>13</v>
      </c>
      <c r="L95" s="200"/>
      <c r="M95" s="1151">
        <f t="shared" si="36"/>
        <v>69</v>
      </c>
      <c r="N95" s="1201"/>
      <c r="O95" s="1201"/>
      <c r="P95" s="1201"/>
      <c r="Q95" s="1658">
        <f t="shared" si="50"/>
        <v>69</v>
      </c>
      <c r="R95" s="1201"/>
      <c r="S95" s="1201"/>
      <c r="T95" s="1201"/>
      <c r="U95" s="1658">
        <f t="shared" si="51"/>
        <v>69</v>
      </c>
      <c r="V95" s="1201"/>
      <c r="W95" s="1201">
        <v>82</v>
      </c>
      <c r="X95" s="200"/>
      <c r="Y95" s="1151">
        <f t="shared" si="58"/>
        <v>82</v>
      </c>
      <c r="Z95" s="1201"/>
      <c r="AA95" s="544">
        <f t="shared" si="55"/>
        <v>151</v>
      </c>
      <c r="AB95" s="1201"/>
      <c r="AC95" s="1280">
        <v>81</v>
      </c>
      <c r="AD95" s="1201"/>
      <c r="AE95" s="1715">
        <f t="shared" si="45"/>
        <v>232</v>
      </c>
      <c r="AF95" s="1201"/>
      <c r="AG95" s="1280">
        <v>147</v>
      </c>
      <c r="AH95" s="1201"/>
      <c r="AI95" s="782">
        <f t="shared" si="46"/>
        <v>379</v>
      </c>
      <c r="AJ95" s="1201"/>
      <c r="AK95" s="1280">
        <v>124</v>
      </c>
      <c r="AL95" s="1201"/>
      <c r="AM95" s="1151">
        <f t="shared" si="62"/>
        <v>352</v>
      </c>
      <c r="AN95" s="1201"/>
      <c r="AO95" s="1715">
        <f t="shared" si="60"/>
        <v>503</v>
      </c>
      <c r="AP95" s="1201"/>
      <c r="AQ95" s="1280"/>
      <c r="AR95" s="1201"/>
      <c r="AS95" s="1715">
        <f t="shared" si="47"/>
        <v>503</v>
      </c>
      <c r="AT95" s="1201"/>
      <c r="AU95" s="1280"/>
      <c r="AV95" s="1201"/>
      <c r="AW95" s="1715">
        <f t="shared" si="48"/>
        <v>503</v>
      </c>
      <c r="AX95" s="1201"/>
      <c r="AY95" s="1280">
        <v>79</v>
      </c>
      <c r="AZ95" s="1201"/>
      <c r="BA95" s="1151">
        <f t="shared" si="57"/>
        <v>79</v>
      </c>
      <c r="BB95" s="1201"/>
      <c r="BC95" s="544">
        <f t="shared" si="59"/>
        <v>431</v>
      </c>
      <c r="BD95" s="1201"/>
      <c r="BE95" s="376">
        <f t="shared" ref="BE95:BE107" si="70">+AW95+AY95</f>
        <v>582</v>
      </c>
      <c r="BF95" s="26"/>
      <c r="BG95" s="26"/>
      <c r="BH95" s="26"/>
      <c r="BP95" s="26"/>
      <c r="BQ95" s="26"/>
    </row>
    <row r="96" spans="2:69" x14ac:dyDescent="0.25">
      <c r="B96" s="8" t="s">
        <v>1119</v>
      </c>
      <c r="C96" s="159" t="s">
        <v>354</v>
      </c>
      <c r="D96" s="597"/>
      <c r="E96" s="597">
        <v>8.83</v>
      </c>
      <c r="F96" s="597"/>
      <c r="G96" s="597">
        <v>34.200000000000003</v>
      </c>
      <c r="H96" s="1660"/>
      <c r="I96" s="1658">
        <f t="shared" si="64"/>
        <v>43.03</v>
      </c>
      <c r="J96" s="597"/>
      <c r="K96" s="597">
        <v>15.6</v>
      </c>
      <c r="L96" s="200"/>
      <c r="M96" s="1151">
        <f t="shared" si="36"/>
        <v>58.63</v>
      </c>
      <c r="N96" s="597"/>
      <c r="O96" s="597">
        <v>37.17</v>
      </c>
      <c r="P96" s="597"/>
      <c r="Q96" s="1658">
        <f t="shared" si="50"/>
        <v>95.800000000000011</v>
      </c>
      <c r="R96" s="597"/>
      <c r="S96" s="597">
        <v>12.67</v>
      </c>
      <c r="T96" s="597"/>
      <c r="U96" s="1658">
        <f t="shared" si="51"/>
        <v>108.47000000000001</v>
      </c>
      <c r="V96" s="597"/>
      <c r="W96" s="597">
        <v>19.990000000000002</v>
      </c>
      <c r="X96" s="200"/>
      <c r="Y96" s="1151">
        <f t="shared" si="58"/>
        <v>69.830000000000013</v>
      </c>
      <c r="Z96" s="597"/>
      <c r="AA96" s="522">
        <f t="shared" si="55"/>
        <v>128.46</v>
      </c>
      <c r="AB96" s="597"/>
      <c r="AC96" s="4365">
        <v>16.959999999999997</v>
      </c>
      <c r="AD96" s="597"/>
      <c r="AE96" s="1715">
        <f t="shared" si="45"/>
        <v>145.42000000000002</v>
      </c>
      <c r="AF96" s="597"/>
      <c r="AG96" s="4365"/>
      <c r="AH96" s="597"/>
      <c r="AI96" s="782">
        <f t="shared" si="46"/>
        <v>145.42000000000002</v>
      </c>
      <c r="AJ96" s="597"/>
      <c r="AK96" s="4365"/>
      <c r="AL96" s="597"/>
      <c r="AM96" s="1151">
        <f t="shared" si="62"/>
        <v>16.959999999999997</v>
      </c>
      <c r="AN96" s="597"/>
      <c r="AO96" s="1715">
        <f t="shared" si="60"/>
        <v>145.42000000000002</v>
      </c>
      <c r="AP96" s="597"/>
      <c r="AQ96" s="4365"/>
      <c r="AR96" s="597"/>
      <c r="AS96" s="1715">
        <f t="shared" si="47"/>
        <v>145.42000000000002</v>
      </c>
      <c r="AT96" s="597"/>
      <c r="AU96" s="4365"/>
      <c r="AV96" s="597"/>
      <c r="AW96" s="1715">
        <f t="shared" si="48"/>
        <v>145.42000000000002</v>
      </c>
      <c r="AX96" s="597"/>
      <c r="AY96" s="4365">
        <v>20.98</v>
      </c>
      <c r="AZ96" s="597"/>
      <c r="BA96" s="1151">
        <f t="shared" si="57"/>
        <v>20.98</v>
      </c>
      <c r="BB96" s="597"/>
      <c r="BC96" s="522">
        <f t="shared" si="59"/>
        <v>37.94</v>
      </c>
      <c r="BD96" s="597"/>
      <c r="BE96" s="256">
        <f t="shared" si="70"/>
        <v>166.4</v>
      </c>
      <c r="BF96" s="26"/>
      <c r="BG96" s="26"/>
      <c r="BH96" s="26"/>
      <c r="BP96" s="26"/>
      <c r="BQ96" s="26"/>
    </row>
    <row r="97" spans="1:69" ht="15.75" customHeight="1" x14ac:dyDescent="0.25">
      <c r="A97" s="149"/>
      <c r="B97" s="8" t="s">
        <v>666</v>
      </c>
      <c r="C97" s="159" t="s">
        <v>354</v>
      </c>
      <c r="D97" s="597"/>
      <c r="E97" s="1201">
        <v>887.99</v>
      </c>
      <c r="F97" s="1201"/>
      <c r="G97" s="1201"/>
      <c r="H97" s="1658"/>
      <c r="I97" s="1658">
        <f t="shared" si="64"/>
        <v>887.99</v>
      </c>
      <c r="J97" s="1201"/>
      <c r="K97" s="1201">
        <v>881.95</v>
      </c>
      <c r="L97" s="200"/>
      <c r="M97" s="1151">
        <f t="shared" si="36"/>
        <v>1769.94</v>
      </c>
      <c r="N97" s="1201"/>
      <c r="O97" s="1201">
        <v>75.539999999999992</v>
      </c>
      <c r="P97" s="1201"/>
      <c r="Q97" s="1658">
        <f t="shared" si="50"/>
        <v>1845.48</v>
      </c>
      <c r="R97" s="1201"/>
      <c r="S97" s="1201"/>
      <c r="T97" s="1201"/>
      <c r="U97" s="1658">
        <f t="shared" si="51"/>
        <v>1845.48</v>
      </c>
      <c r="V97" s="1201"/>
      <c r="W97" s="1201"/>
      <c r="X97" s="200"/>
      <c r="Y97" s="1151">
        <f t="shared" si="58"/>
        <v>75.539999999999992</v>
      </c>
      <c r="Z97" s="1201"/>
      <c r="AA97" s="544">
        <f t="shared" si="55"/>
        <v>1845.48</v>
      </c>
      <c r="AB97" s="1201"/>
      <c r="AC97" s="1280"/>
      <c r="AD97" s="1201"/>
      <c r="AE97" s="1715">
        <f t="shared" si="45"/>
        <v>1845.48</v>
      </c>
      <c r="AF97" s="1201"/>
      <c r="AG97" s="1280">
        <v>151.28</v>
      </c>
      <c r="AH97" s="1201"/>
      <c r="AI97" s="782">
        <f t="shared" si="46"/>
        <v>1996.76</v>
      </c>
      <c r="AJ97" s="1201"/>
      <c r="AK97" s="1280">
        <v>684.88</v>
      </c>
      <c r="AL97" s="1201"/>
      <c r="AM97" s="1151">
        <f t="shared" si="62"/>
        <v>836.16</v>
      </c>
      <c r="AN97" s="1201"/>
      <c r="AO97" s="1715">
        <f t="shared" si="60"/>
        <v>2681.64</v>
      </c>
      <c r="AP97" s="1201"/>
      <c r="AQ97" s="1280">
        <v>856.92</v>
      </c>
      <c r="AR97" s="1201"/>
      <c r="AS97" s="1715">
        <f t="shared" si="47"/>
        <v>3538.56</v>
      </c>
      <c r="AT97" s="1201"/>
      <c r="AU97" s="1280">
        <v>619.79</v>
      </c>
      <c r="AV97" s="1201"/>
      <c r="AW97" s="1715">
        <f t="shared" si="48"/>
        <v>4158.3500000000004</v>
      </c>
      <c r="AX97" s="1201"/>
      <c r="AY97" s="1280">
        <v>840.94</v>
      </c>
      <c r="AZ97" s="1201"/>
      <c r="BA97" s="1151">
        <f t="shared" si="57"/>
        <v>2317.65</v>
      </c>
      <c r="BB97" s="1201"/>
      <c r="BC97" s="544">
        <f t="shared" si="59"/>
        <v>3153.81</v>
      </c>
      <c r="BD97" s="1201"/>
      <c r="BE97" s="376">
        <f t="shared" si="70"/>
        <v>4999.2900000000009</v>
      </c>
      <c r="BF97" s="26"/>
      <c r="BG97" s="26"/>
      <c r="BH97" s="26"/>
      <c r="BP97" s="26"/>
      <c r="BQ97" s="26"/>
    </row>
    <row r="98" spans="1:69" ht="15.75" customHeight="1" x14ac:dyDescent="0.25">
      <c r="A98" s="149"/>
      <c r="B98" s="8" t="s">
        <v>1874</v>
      </c>
      <c r="C98" s="159" t="s">
        <v>354</v>
      </c>
      <c r="D98" s="597"/>
      <c r="E98" s="1201"/>
      <c r="F98" s="1201"/>
      <c r="G98" s="1201"/>
      <c r="H98" s="1658"/>
      <c r="I98" s="1658">
        <f t="shared" ref="I98:I101" si="71">+E98+G98</f>
        <v>0</v>
      </c>
      <c r="J98" s="1201"/>
      <c r="K98" s="1201"/>
      <c r="L98" s="200"/>
      <c r="M98" s="1151">
        <f t="shared" si="36"/>
        <v>0</v>
      </c>
      <c r="N98" s="1201"/>
      <c r="O98" s="1201"/>
      <c r="P98" s="1201"/>
      <c r="Q98" s="1658">
        <f t="shared" si="50"/>
        <v>0</v>
      </c>
      <c r="R98" s="1201"/>
      <c r="S98" s="1201"/>
      <c r="T98" s="1201"/>
      <c r="U98" s="1658">
        <f t="shared" si="51"/>
        <v>0</v>
      </c>
      <c r="V98" s="1201"/>
      <c r="W98" s="1201"/>
      <c r="X98" s="200"/>
      <c r="Y98" s="1151">
        <f t="shared" si="58"/>
        <v>0</v>
      </c>
      <c r="Z98" s="1201"/>
      <c r="AA98" s="544">
        <f t="shared" si="55"/>
        <v>0</v>
      </c>
      <c r="AB98" s="1201"/>
      <c r="AC98" s="1280"/>
      <c r="AD98" s="1201"/>
      <c r="AE98" s="1715">
        <f t="shared" si="45"/>
        <v>0</v>
      </c>
      <c r="AF98" s="1201"/>
      <c r="AG98" s="1280"/>
      <c r="AH98" s="1201"/>
      <c r="AI98" s="782">
        <f t="shared" ref="AI98:AI107" si="72">+AE98+AG98</f>
        <v>0</v>
      </c>
      <c r="AJ98" s="1201"/>
      <c r="AK98" s="1280"/>
      <c r="AL98" s="1201"/>
      <c r="AM98" s="1151">
        <f t="shared" si="62"/>
        <v>0</v>
      </c>
      <c r="AN98" s="1201"/>
      <c r="AO98" s="1715">
        <f t="shared" si="60"/>
        <v>0</v>
      </c>
      <c r="AP98" s="1201"/>
      <c r="AQ98" s="1280"/>
      <c r="AR98" s="1201"/>
      <c r="AS98" s="1715">
        <f t="shared" si="47"/>
        <v>0</v>
      </c>
      <c r="AT98" s="1201"/>
      <c r="AU98" s="1280"/>
      <c r="AV98" s="1201"/>
      <c r="AW98" s="1715">
        <f t="shared" si="48"/>
        <v>0</v>
      </c>
      <c r="AX98" s="1201"/>
      <c r="AY98" s="1280"/>
      <c r="AZ98" s="1201"/>
      <c r="BA98" s="1151">
        <f t="shared" si="57"/>
        <v>0</v>
      </c>
      <c r="BB98" s="1201"/>
      <c r="BC98" s="544">
        <f t="shared" si="59"/>
        <v>0</v>
      </c>
      <c r="BD98" s="1201"/>
      <c r="BE98" s="376">
        <f t="shared" si="70"/>
        <v>0</v>
      </c>
      <c r="BF98" s="26"/>
      <c r="BG98" s="26"/>
      <c r="BH98" s="26"/>
      <c r="BP98" s="26"/>
      <c r="BQ98" s="26"/>
    </row>
    <row r="99" spans="1:69" ht="15.75" customHeight="1" x14ac:dyDescent="0.25">
      <c r="A99" s="149"/>
      <c r="B99" s="8" t="s">
        <v>1849</v>
      </c>
      <c r="C99" s="159" t="s">
        <v>354</v>
      </c>
      <c r="D99" s="597"/>
      <c r="E99" s="1201"/>
      <c r="F99" s="1201"/>
      <c r="G99" s="1201"/>
      <c r="H99" s="1658"/>
      <c r="I99" s="1658">
        <f t="shared" si="71"/>
        <v>0</v>
      </c>
      <c r="J99" s="1201"/>
      <c r="K99" s="1201"/>
      <c r="L99" s="200"/>
      <c r="M99" s="1151">
        <f t="shared" si="36"/>
        <v>0</v>
      </c>
      <c r="N99" s="1201"/>
      <c r="O99" s="1201"/>
      <c r="P99" s="1201"/>
      <c r="Q99" s="1658">
        <f t="shared" si="50"/>
        <v>0</v>
      </c>
      <c r="R99" s="1201"/>
      <c r="S99" s="1201"/>
      <c r="T99" s="1201"/>
      <c r="U99" s="1658">
        <f t="shared" si="51"/>
        <v>0</v>
      </c>
      <c r="V99" s="1201"/>
      <c r="W99" s="1201"/>
      <c r="X99" s="200"/>
      <c r="Y99" s="1151">
        <f t="shared" si="58"/>
        <v>0</v>
      </c>
      <c r="Z99" s="1201"/>
      <c r="AA99" s="544">
        <f t="shared" si="55"/>
        <v>0</v>
      </c>
      <c r="AB99" s="1201"/>
      <c r="AC99" s="1280"/>
      <c r="AD99" s="1201"/>
      <c r="AE99" s="1715">
        <f t="shared" si="45"/>
        <v>0</v>
      </c>
      <c r="AF99" s="1201"/>
      <c r="AG99" s="1280">
        <v>28.54</v>
      </c>
      <c r="AH99" s="1201"/>
      <c r="AI99" s="782">
        <f t="shared" si="72"/>
        <v>28.54</v>
      </c>
      <c r="AJ99" s="1201"/>
      <c r="AK99" s="1280"/>
      <c r="AL99" s="1201"/>
      <c r="AM99" s="1151">
        <f t="shared" si="62"/>
        <v>28.54</v>
      </c>
      <c r="AN99" s="1201"/>
      <c r="AO99" s="1715">
        <f t="shared" si="60"/>
        <v>28.54</v>
      </c>
      <c r="AP99" s="1201"/>
      <c r="AQ99" s="1280"/>
      <c r="AR99" s="1201"/>
      <c r="AS99" s="782">
        <f t="shared" ref="AS99:AS107" si="73">+AO99+AQ99</f>
        <v>28.54</v>
      </c>
      <c r="AT99" s="1201"/>
      <c r="AU99" s="1280"/>
      <c r="AV99" s="1201"/>
      <c r="AW99" s="782">
        <f t="shared" si="48"/>
        <v>28.54</v>
      </c>
      <c r="AX99" s="1201"/>
      <c r="AY99" s="1280"/>
      <c r="AZ99" s="1201"/>
      <c r="BA99" s="1151">
        <f t="shared" si="57"/>
        <v>0</v>
      </c>
      <c r="BB99" s="1201"/>
      <c r="BC99" s="544">
        <f t="shared" si="59"/>
        <v>28.54</v>
      </c>
      <c r="BD99" s="1201"/>
      <c r="BE99" s="376">
        <f t="shared" si="70"/>
        <v>28.54</v>
      </c>
      <c r="BF99" s="26"/>
      <c r="BG99" s="26"/>
      <c r="BH99" s="26"/>
      <c r="BP99" s="26"/>
      <c r="BQ99" s="26"/>
    </row>
    <row r="100" spans="1:69" ht="15.75" customHeight="1" x14ac:dyDescent="0.25">
      <c r="A100" s="149"/>
      <c r="B100" s="8" t="s">
        <v>1974</v>
      </c>
      <c r="C100" s="159" t="s">
        <v>354</v>
      </c>
      <c r="D100" s="597"/>
      <c r="E100" s="1201"/>
      <c r="F100" s="1201"/>
      <c r="G100" s="1201"/>
      <c r="H100" s="1658"/>
      <c r="I100" s="1658">
        <f t="shared" si="71"/>
        <v>0</v>
      </c>
      <c r="J100" s="1201"/>
      <c r="K100" s="1201"/>
      <c r="L100" s="200"/>
      <c r="M100" s="1151">
        <f t="shared" si="36"/>
        <v>0</v>
      </c>
      <c r="N100" s="1201"/>
      <c r="O100" s="1201"/>
      <c r="P100" s="1201"/>
      <c r="Q100" s="1658">
        <f t="shared" si="50"/>
        <v>0</v>
      </c>
      <c r="R100" s="1201"/>
      <c r="S100" s="1201">
        <v>198.44</v>
      </c>
      <c r="T100" s="1201"/>
      <c r="U100" s="1658">
        <f t="shared" si="51"/>
        <v>198.44</v>
      </c>
      <c r="V100" s="1201"/>
      <c r="W100" s="1201">
        <v>200.53</v>
      </c>
      <c r="X100" s="200"/>
      <c r="Y100" s="1151">
        <f t="shared" si="58"/>
        <v>398.97</v>
      </c>
      <c r="Z100" s="1201"/>
      <c r="AA100" s="544">
        <f t="shared" si="55"/>
        <v>398.97</v>
      </c>
      <c r="AB100" s="1201"/>
      <c r="AC100" s="1280"/>
      <c r="AD100" s="1201"/>
      <c r="AE100" s="1715">
        <f t="shared" si="45"/>
        <v>398.97</v>
      </c>
      <c r="AF100" s="1201"/>
      <c r="AG100" s="1280">
        <v>329.96</v>
      </c>
      <c r="AH100" s="1201"/>
      <c r="AI100" s="782">
        <f t="shared" si="72"/>
        <v>728.93000000000006</v>
      </c>
      <c r="AJ100" s="1201"/>
      <c r="AK100" s="1280">
        <v>39.549999999999997</v>
      </c>
      <c r="AL100" s="1201"/>
      <c r="AM100" s="1151">
        <f t="shared" si="62"/>
        <v>369.51</v>
      </c>
      <c r="AN100" s="1201"/>
      <c r="AO100" s="1715">
        <f t="shared" si="60"/>
        <v>768.48</v>
      </c>
      <c r="AP100" s="1201"/>
      <c r="AQ100" s="1280"/>
      <c r="AR100" s="1201"/>
      <c r="AS100" s="782">
        <f t="shared" si="73"/>
        <v>768.48</v>
      </c>
      <c r="AT100" s="1201"/>
      <c r="AU100" s="1280"/>
      <c r="AV100" s="1201"/>
      <c r="AW100" s="782">
        <f t="shared" si="48"/>
        <v>768.48</v>
      </c>
      <c r="AX100" s="1201"/>
      <c r="AY100" s="1280"/>
      <c r="AZ100" s="1201"/>
      <c r="BA100" s="1151">
        <f t="shared" si="57"/>
        <v>0</v>
      </c>
      <c r="BB100" s="1201"/>
      <c r="BC100" s="544">
        <f t="shared" si="59"/>
        <v>369.51</v>
      </c>
      <c r="BD100" s="1201"/>
      <c r="BE100" s="376">
        <f t="shared" si="70"/>
        <v>768.48</v>
      </c>
      <c r="BF100" s="26"/>
      <c r="BG100" s="26"/>
      <c r="BH100" s="26"/>
      <c r="BP100" s="26"/>
      <c r="BQ100" s="26"/>
    </row>
    <row r="101" spans="1:69" ht="15.75" customHeight="1" x14ac:dyDescent="0.25">
      <c r="A101" s="149"/>
      <c r="B101" s="8" t="s">
        <v>2087</v>
      </c>
      <c r="C101" s="159" t="s">
        <v>354</v>
      </c>
      <c r="D101" s="597"/>
      <c r="E101" s="1201"/>
      <c r="F101" s="1201"/>
      <c r="G101" s="1201"/>
      <c r="H101" s="1658"/>
      <c r="I101" s="1658">
        <f t="shared" si="71"/>
        <v>0</v>
      </c>
      <c r="J101" s="1201"/>
      <c r="K101" s="1201"/>
      <c r="L101" s="200"/>
      <c r="M101" s="1151">
        <f t="shared" si="36"/>
        <v>0</v>
      </c>
      <c r="N101" s="1201"/>
      <c r="O101" s="1201"/>
      <c r="P101" s="1201"/>
      <c r="Q101" s="1658">
        <f t="shared" si="50"/>
        <v>0</v>
      </c>
      <c r="R101" s="1201"/>
      <c r="S101" s="1201"/>
      <c r="T101" s="1201"/>
      <c r="U101" s="1658">
        <f t="shared" si="51"/>
        <v>0</v>
      </c>
      <c r="V101" s="1201"/>
      <c r="W101" s="1201"/>
      <c r="X101" s="200"/>
      <c r="Y101" s="1151">
        <f t="shared" si="58"/>
        <v>0</v>
      </c>
      <c r="Z101" s="1201"/>
      <c r="AA101" s="544">
        <f t="shared" si="55"/>
        <v>0</v>
      </c>
      <c r="AB101" s="1201"/>
      <c r="AC101" s="1280"/>
      <c r="AD101" s="1201"/>
      <c r="AE101" s="1715">
        <f t="shared" si="45"/>
        <v>0</v>
      </c>
      <c r="AF101" s="1201"/>
      <c r="AG101" s="1280"/>
      <c r="AH101" s="1201"/>
      <c r="AI101" s="782">
        <f t="shared" si="72"/>
        <v>0</v>
      </c>
      <c r="AJ101" s="1201"/>
      <c r="AK101" s="1280"/>
      <c r="AL101" s="1201"/>
      <c r="AM101" s="1151">
        <f t="shared" si="62"/>
        <v>0</v>
      </c>
      <c r="AN101" s="1201"/>
      <c r="AO101" s="782">
        <f t="shared" ref="AO101:AO144" si="74">AI101+AK101</f>
        <v>0</v>
      </c>
      <c r="AP101" s="1201"/>
      <c r="AQ101" s="1280">
        <v>110</v>
      </c>
      <c r="AR101" s="1201"/>
      <c r="AS101" s="782">
        <f t="shared" si="73"/>
        <v>110</v>
      </c>
      <c r="AT101" s="1201"/>
      <c r="AU101" s="1280"/>
      <c r="AV101" s="1201"/>
      <c r="AW101" s="782">
        <f t="shared" si="48"/>
        <v>110</v>
      </c>
      <c r="AX101" s="1201"/>
      <c r="AY101" s="1280"/>
      <c r="AZ101" s="1201"/>
      <c r="BA101" s="1151">
        <f t="shared" si="57"/>
        <v>110</v>
      </c>
      <c r="BB101" s="1201"/>
      <c r="BC101" s="544">
        <f t="shared" si="59"/>
        <v>110</v>
      </c>
      <c r="BD101" s="1201"/>
      <c r="BE101" s="376">
        <f t="shared" si="70"/>
        <v>110</v>
      </c>
      <c r="BF101" s="26"/>
      <c r="BG101" s="26"/>
      <c r="BH101" s="26"/>
      <c r="BP101" s="26"/>
      <c r="BQ101" s="26"/>
    </row>
    <row r="102" spans="1:69" x14ac:dyDescent="0.25">
      <c r="A102" s="149"/>
      <c r="B102" s="743" t="s">
        <v>993</v>
      </c>
      <c r="C102" s="205" t="s">
        <v>354</v>
      </c>
      <c r="D102" s="1357"/>
      <c r="E102" s="1357">
        <f>+E103+E104</f>
        <v>3593.88</v>
      </c>
      <c r="F102" s="1357"/>
      <c r="G102" s="1357">
        <f>+G103+G104</f>
        <v>2497.5899999999997</v>
      </c>
      <c r="H102" s="1659"/>
      <c r="I102" s="1659">
        <f t="shared" si="64"/>
        <v>6091.4699999999993</v>
      </c>
      <c r="J102" s="1357"/>
      <c r="K102" s="1357">
        <f>+K103+K104</f>
        <v>996.79</v>
      </c>
      <c r="L102" s="1357"/>
      <c r="M102" s="2258">
        <f t="shared" si="36"/>
        <v>7088.2599999999993</v>
      </c>
      <c r="N102" s="1357"/>
      <c r="O102" s="1357">
        <f>+O103+O104</f>
        <v>900.29000000000019</v>
      </c>
      <c r="P102" s="1357"/>
      <c r="Q102" s="1658">
        <f t="shared" si="50"/>
        <v>7988.5499999999993</v>
      </c>
      <c r="R102" s="1357"/>
      <c r="S102" s="1357">
        <f>+S103+S104</f>
        <v>98.82</v>
      </c>
      <c r="T102" s="1357"/>
      <c r="U102" s="1658">
        <f t="shared" si="51"/>
        <v>8087.369999999999</v>
      </c>
      <c r="V102" s="1357"/>
      <c r="W102" s="1357">
        <f>+W103+W104</f>
        <v>199.97</v>
      </c>
      <c r="X102" s="1357"/>
      <c r="Y102" s="2258">
        <f t="shared" si="58"/>
        <v>1199.0800000000002</v>
      </c>
      <c r="Z102" s="1357"/>
      <c r="AA102" s="522">
        <f t="shared" si="55"/>
        <v>8287.34</v>
      </c>
      <c r="AB102" s="1357"/>
      <c r="AC102" s="4359">
        <f>+AC103+AC104</f>
        <v>748.03</v>
      </c>
      <c r="AD102" s="1357"/>
      <c r="AE102" s="1357">
        <f t="shared" ref="AE102:AE104" si="75">+AA102+AC102</f>
        <v>9035.3700000000008</v>
      </c>
      <c r="AF102" s="1357"/>
      <c r="AG102" s="4359">
        <f>+AG103+AG104</f>
        <v>298.96999999999997</v>
      </c>
      <c r="AH102" s="1357"/>
      <c r="AI102" s="1357">
        <f t="shared" si="72"/>
        <v>9334.34</v>
      </c>
      <c r="AJ102" s="1357"/>
      <c r="AK102" s="4359">
        <f>+AK103+AK104</f>
        <v>499.24</v>
      </c>
      <c r="AL102" s="1357"/>
      <c r="AM102" s="2258">
        <f t="shared" si="62"/>
        <v>1546.24</v>
      </c>
      <c r="AN102" s="1357"/>
      <c r="AO102" s="1357">
        <f t="shared" si="74"/>
        <v>9833.58</v>
      </c>
      <c r="AP102" s="1357"/>
      <c r="AQ102" s="4359">
        <f>+AQ103+AQ104</f>
        <v>1595.84</v>
      </c>
      <c r="AR102" s="1357"/>
      <c r="AS102" s="1357">
        <f t="shared" si="73"/>
        <v>11429.42</v>
      </c>
      <c r="AT102" s="1357"/>
      <c r="AU102" s="4359">
        <f>+AU103+AU104</f>
        <v>249.07</v>
      </c>
      <c r="AV102" s="1357"/>
      <c r="AW102" s="1357">
        <f t="shared" si="48"/>
        <v>11678.49</v>
      </c>
      <c r="AX102" s="1357"/>
      <c r="AY102" s="4359">
        <f>+AY103+AY104</f>
        <v>1297.1300000000001</v>
      </c>
      <c r="AZ102" s="1357"/>
      <c r="BA102" s="2258">
        <f t="shared" si="57"/>
        <v>3142.04</v>
      </c>
      <c r="BB102" s="1357"/>
      <c r="BC102" s="522">
        <f t="shared" si="59"/>
        <v>4688.28</v>
      </c>
      <c r="BD102" s="1357"/>
      <c r="BE102" s="1357">
        <f t="shared" si="70"/>
        <v>12975.619999999999</v>
      </c>
      <c r="BF102" s="26"/>
      <c r="BG102" s="26"/>
      <c r="BH102" s="26"/>
      <c r="BP102" s="26"/>
      <c r="BQ102" s="26"/>
    </row>
    <row r="103" spans="1:69" ht="20.45" hidden="1" x14ac:dyDescent="0.3">
      <c r="A103" s="149"/>
      <c r="B103" s="744" t="s">
        <v>22</v>
      </c>
      <c r="C103" s="205" t="s">
        <v>354</v>
      </c>
      <c r="D103" s="596"/>
      <c r="E103" s="1201"/>
      <c r="F103" s="1201"/>
      <c r="G103" s="1201"/>
      <c r="H103" s="1658"/>
      <c r="I103" s="1658">
        <f t="shared" si="64"/>
        <v>0</v>
      </c>
      <c r="J103" s="1201"/>
      <c r="K103" s="1201"/>
      <c r="L103" s="200"/>
      <c r="M103" s="2258">
        <f t="shared" si="36"/>
        <v>0</v>
      </c>
      <c r="N103" s="1201"/>
      <c r="O103" s="1201"/>
      <c r="P103" s="1201"/>
      <c r="Q103" s="1658">
        <f t="shared" si="50"/>
        <v>0</v>
      </c>
      <c r="R103" s="1201"/>
      <c r="S103" s="1201"/>
      <c r="T103" s="1201"/>
      <c r="U103" s="1658">
        <f t="shared" si="51"/>
        <v>0</v>
      </c>
      <c r="V103" s="1201"/>
      <c r="W103" s="1201"/>
      <c r="X103" s="200"/>
      <c r="Y103" s="2258">
        <f t="shared" si="58"/>
        <v>0</v>
      </c>
      <c r="Z103" s="1201"/>
      <c r="AA103" s="544">
        <f t="shared" si="55"/>
        <v>0</v>
      </c>
      <c r="AB103" s="1201"/>
      <c r="AC103" s="1280"/>
      <c r="AD103" s="1201"/>
      <c r="AE103" s="782">
        <f t="shared" si="75"/>
        <v>0</v>
      </c>
      <c r="AF103" s="1201"/>
      <c r="AG103" s="1280"/>
      <c r="AH103" s="1201"/>
      <c r="AI103" s="782">
        <f t="shared" si="72"/>
        <v>0</v>
      </c>
      <c r="AJ103" s="1201"/>
      <c r="AK103" s="1280"/>
      <c r="AL103" s="1201"/>
      <c r="AM103" s="2258">
        <f t="shared" si="62"/>
        <v>0</v>
      </c>
      <c r="AN103" s="1201"/>
      <c r="AO103" s="782">
        <f t="shared" si="74"/>
        <v>0</v>
      </c>
      <c r="AP103" s="1201"/>
      <c r="AQ103" s="1280"/>
      <c r="AR103" s="1201"/>
      <c r="AS103" s="782">
        <f t="shared" si="73"/>
        <v>0</v>
      </c>
      <c r="AT103" s="1201"/>
      <c r="AU103" s="1280"/>
      <c r="AV103" s="1201"/>
      <c r="AW103" s="782">
        <f t="shared" si="48"/>
        <v>0</v>
      </c>
      <c r="AX103" s="1201"/>
      <c r="AY103" s="1280"/>
      <c r="AZ103" s="1201"/>
      <c r="BA103" s="2258">
        <f t="shared" si="57"/>
        <v>0</v>
      </c>
      <c r="BB103" s="1201"/>
      <c r="BC103" s="544">
        <f t="shared" si="59"/>
        <v>0</v>
      </c>
      <c r="BD103" s="1201"/>
      <c r="BE103" s="376">
        <f t="shared" si="70"/>
        <v>0</v>
      </c>
      <c r="BF103" s="26"/>
      <c r="BG103" s="26"/>
      <c r="BH103" s="26"/>
      <c r="BP103" s="26"/>
      <c r="BQ103" s="26"/>
    </row>
    <row r="104" spans="1:69" ht="21" thickBot="1" x14ac:dyDescent="0.3">
      <c r="B104" s="3340" t="s">
        <v>23</v>
      </c>
      <c r="C104" s="3338" t="s">
        <v>354</v>
      </c>
      <c r="D104" s="3070"/>
      <c r="E104" s="2940">
        <v>3593.88</v>
      </c>
      <c r="F104" s="2940"/>
      <c r="G104" s="2940">
        <v>2497.5899999999997</v>
      </c>
      <c r="H104" s="3326"/>
      <c r="I104" s="3326">
        <f t="shared" si="64"/>
        <v>6091.4699999999993</v>
      </c>
      <c r="J104" s="1201"/>
      <c r="K104" s="2940">
        <v>996.79</v>
      </c>
      <c r="L104" s="200"/>
      <c r="M104" s="2258">
        <f t="shared" si="36"/>
        <v>7088.2599999999993</v>
      </c>
      <c r="N104" s="1201"/>
      <c r="O104" s="2940">
        <v>900.29000000000019</v>
      </c>
      <c r="P104" s="1201"/>
      <c r="Q104" s="1658">
        <f t="shared" si="50"/>
        <v>7988.5499999999993</v>
      </c>
      <c r="R104" s="1201"/>
      <c r="S104" s="2940">
        <v>98.82</v>
      </c>
      <c r="T104" s="1201"/>
      <c r="U104" s="1658">
        <f t="shared" si="51"/>
        <v>8087.369999999999</v>
      </c>
      <c r="V104" s="1201"/>
      <c r="W104" s="2940">
        <v>199.97</v>
      </c>
      <c r="X104" s="200"/>
      <c r="Y104" s="2258">
        <f t="shared" si="58"/>
        <v>1199.0800000000002</v>
      </c>
      <c r="Z104" s="1201"/>
      <c r="AA104" s="544">
        <f t="shared" si="55"/>
        <v>8287.34</v>
      </c>
      <c r="AB104" s="1201"/>
      <c r="AC104" s="2980">
        <v>748.03</v>
      </c>
      <c r="AD104" s="1201"/>
      <c r="AE104" s="782">
        <f t="shared" si="75"/>
        <v>9035.3700000000008</v>
      </c>
      <c r="AF104" s="1201"/>
      <c r="AG104" s="2980">
        <v>298.96999999999997</v>
      </c>
      <c r="AH104" s="1201"/>
      <c r="AI104" s="782">
        <f t="shared" si="72"/>
        <v>9334.34</v>
      </c>
      <c r="AJ104" s="1201"/>
      <c r="AK104" s="2980">
        <v>499.24</v>
      </c>
      <c r="AL104" s="1201"/>
      <c r="AM104" s="2258">
        <f t="shared" si="62"/>
        <v>1546.24</v>
      </c>
      <c r="AN104" s="1201"/>
      <c r="AO104" s="782">
        <f t="shared" si="74"/>
        <v>9833.58</v>
      </c>
      <c r="AP104" s="1201"/>
      <c r="AQ104" s="2980">
        <v>1595.84</v>
      </c>
      <c r="AR104" s="1201"/>
      <c r="AS104" s="782">
        <f t="shared" si="73"/>
        <v>11429.42</v>
      </c>
      <c r="AT104" s="1201"/>
      <c r="AU104" s="2980">
        <v>249.07</v>
      </c>
      <c r="AV104" s="1201"/>
      <c r="AW104" s="782">
        <f t="shared" si="48"/>
        <v>11678.49</v>
      </c>
      <c r="AX104" s="1201"/>
      <c r="AY104" s="2980">
        <v>1297.1300000000001</v>
      </c>
      <c r="AZ104" s="1201"/>
      <c r="BA104" s="2258">
        <f t="shared" si="57"/>
        <v>3142.04</v>
      </c>
      <c r="BB104" s="1201"/>
      <c r="BC104" s="544">
        <f t="shared" si="59"/>
        <v>4688.28</v>
      </c>
      <c r="BD104" s="1201"/>
      <c r="BE104" s="376">
        <f t="shared" si="70"/>
        <v>12975.619999999999</v>
      </c>
      <c r="BF104" s="26"/>
      <c r="BG104" s="26"/>
      <c r="BH104" s="26"/>
      <c r="BP104" s="26"/>
      <c r="BQ104" s="26"/>
    </row>
    <row r="105" spans="1:69" ht="20.25" customHeight="1" thickBot="1" x14ac:dyDescent="0.3">
      <c r="A105" s="149"/>
      <c r="B105" s="3341" t="s">
        <v>797</v>
      </c>
      <c r="C105" s="3342"/>
      <c r="D105" s="3343"/>
      <c r="E105" s="3344"/>
      <c r="F105" s="3344"/>
      <c r="G105" s="3344"/>
      <c r="H105" s="3345"/>
      <c r="I105" s="3346"/>
      <c r="J105" s="2260"/>
      <c r="K105" s="3344"/>
      <c r="L105" s="1137"/>
      <c r="M105" s="2258"/>
      <c r="N105" s="1134"/>
      <c r="O105" s="3344"/>
      <c r="P105" s="1134"/>
      <c r="Q105" s="1658">
        <f t="shared" si="50"/>
        <v>0</v>
      </c>
      <c r="R105" s="1134"/>
      <c r="S105" s="3344"/>
      <c r="T105" s="1134"/>
      <c r="U105" s="1658">
        <f t="shared" si="51"/>
        <v>0</v>
      </c>
      <c r="V105" s="1134"/>
      <c r="W105" s="3344"/>
      <c r="X105" s="1137"/>
      <c r="Y105" s="2258"/>
      <c r="Z105" s="1134"/>
      <c r="AA105" s="544"/>
      <c r="AB105" s="1134"/>
      <c r="AC105" s="4369"/>
      <c r="AD105" s="1134"/>
      <c r="AE105" s="782"/>
      <c r="AF105" s="1134"/>
      <c r="AG105" s="4369"/>
      <c r="AH105" s="1134"/>
      <c r="AI105" s="782"/>
      <c r="AJ105" s="1134"/>
      <c r="AK105" s="4369"/>
      <c r="AL105" s="1134"/>
      <c r="AM105" s="2258"/>
      <c r="AN105" s="1134"/>
      <c r="AO105" s="782"/>
      <c r="AP105" s="1134"/>
      <c r="AQ105" s="4369"/>
      <c r="AR105" s="1134"/>
      <c r="AS105" s="782"/>
      <c r="AT105" s="1134"/>
      <c r="AU105" s="4369"/>
      <c r="AV105" s="1134"/>
      <c r="AW105" s="782"/>
      <c r="AX105" s="1134"/>
      <c r="AY105" s="4369"/>
      <c r="AZ105" s="1134"/>
      <c r="BA105" s="2258"/>
      <c r="BB105" s="1134"/>
      <c r="BC105" s="544"/>
      <c r="BD105" s="1134"/>
      <c r="BE105" s="376"/>
      <c r="BF105" s="26"/>
      <c r="BG105" s="26"/>
      <c r="BH105" s="26"/>
      <c r="BP105" s="26"/>
      <c r="BQ105" s="26"/>
    </row>
    <row r="106" spans="1:69" ht="16.5" thickBot="1" x14ac:dyDescent="0.3">
      <c r="B106" s="3339" t="s">
        <v>798</v>
      </c>
      <c r="C106" s="788" t="s">
        <v>354</v>
      </c>
      <c r="D106" s="3330"/>
      <c r="E106" s="3051">
        <v>40.363</v>
      </c>
      <c r="F106" s="3051"/>
      <c r="G106" s="3051">
        <v>40.770000000000003</v>
      </c>
      <c r="H106" s="3331"/>
      <c r="I106" s="3337">
        <f t="shared" si="64"/>
        <v>81.13300000000001</v>
      </c>
      <c r="J106" s="1693"/>
      <c r="K106" s="3051">
        <v>41.716000000000001</v>
      </c>
      <c r="L106" s="200"/>
      <c r="M106" s="2258">
        <f t="shared" si="36"/>
        <v>122.84900000000002</v>
      </c>
      <c r="N106" s="1201"/>
      <c r="O106" s="3051">
        <v>21.33</v>
      </c>
      <c r="P106" s="1201"/>
      <c r="Q106" s="1658">
        <f t="shared" si="50"/>
        <v>144.17900000000003</v>
      </c>
      <c r="R106" s="1201"/>
      <c r="S106" s="3051">
        <v>35.173000000000002</v>
      </c>
      <c r="T106" s="1201"/>
      <c r="U106" s="1658">
        <f t="shared" si="51"/>
        <v>179.35200000000003</v>
      </c>
      <c r="V106" s="1201"/>
      <c r="W106" s="3051">
        <v>50.9</v>
      </c>
      <c r="X106" s="200"/>
      <c r="Y106" s="2258">
        <f t="shared" si="58"/>
        <v>107.40299999999999</v>
      </c>
      <c r="Z106" s="1201"/>
      <c r="AA106" s="544">
        <f t="shared" si="55"/>
        <v>230.25200000000001</v>
      </c>
      <c r="AB106" s="1201"/>
      <c r="AC106" s="4370">
        <v>38.283000000000001</v>
      </c>
      <c r="AD106" s="1201"/>
      <c r="AE106" s="782">
        <f t="shared" ref="AE106:AE107" si="76">+AA106+AC106</f>
        <v>268.53500000000003</v>
      </c>
      <c r="AF106" s="1201"/>
      <c r="AG106" s="4370">
        <v>55.51</v>
      </c>
      <c r="AH106" s="1201"/>
      <c r="AI106" s="782">
        <f t="shared" si="72"/>
        <v>324.04500000000002</v>
      </c>
      <c r="AJ106" s="1201"/>
      <c r="AK106" s="4370">
        <v>50.47</v>
      </c>
      <c r="AL106" s="1201"/>
      <c r="AM106" s="2258">
        <f t="shared" si="62"/>
        <v>144.26300000000001</v>
      </c>
      <c r="AN106" s="1201"/>
      <c r="AO106" s="782">
        <f t="shared" si="74"/>
        <v>374.51499999999999</v>
      </c>
      <c r="AP106" s="1201"/>
      <c r="AQ106" s="4370">
        <v>66.34</v>
      </c>
      <c r="AR106" s="1201"/>
      <c r="AS106" s="782">
        <f t="shared" si="73"/>
        <v>440.85500000000002</v>
      </c>
      <c r="AT106" s="1201"/>
      <c r="AU106" s="4370">
        <v>66.430000000000007</v>
      </c>
      <c r="AV106" s="1201"/>
      <c r="AW106" s="782">
        <f t="shared" si="48"/>
        <v>507.28500000000003</v>
      </c>
      <c r="AX106" s="1201"/>
      <c r="AY106" s="4370">
        <v>48.01</v>
      </c>
      <c r="AZ106" s="1201"/>
      <c r="BA106" s="2258">
        <f t="shared" si="57"/>
        <v>180.78</v>
      </c>
      <c r="BB106" s="1201"/>
      <c r="BC106" s="544">
        <f t="shared" si="59"/>
        <v>325.04300000000001</v>
      </c>
      <c r="BD106" s="1201"/>
      <c r="BE106" s="376">
        <f t="shared" si="70"/>
        <v>555.29500000000007</v>
      </c>
      <c r="BF106" s="26"/>
      <c r="BG106" s="26"/>
      <c r="BH106" s="26"/>
      <c r="BP106" s="26"/>
      <c r="BQ106" s="26"/>
    </row>
    <row r="107" spans="1:69" ht="16.5" thickBot="1" x14ac:dyDescent="0.3">
      <c r="A107" s="149"/>
      <c r="B107" s="3336" t="s">
        <v>1279</v>
      </c>
      <c r="C107" s="788" t="s">
        <v>354</v>
      </c>
      <c r="D107" s="3330"/>
      <c r="E107" s="3051"/>
      <c r="F107" s="3051"/>
      <c r="G107" s="3051"/>
      <c r="H107" s="3331"/>
      <c r="I107" s="3337">
        <f>+E107+G107</f>
        <v>0</v>
      </c>
      <c r="J107" s="1693"/>
      <c r="K107" s="3051"/>
      <c r="L107" s="200"/>
      <c r="M107" s="2258">
        <f t="shared" si="36"/>
        <v>0</v>
      </c>
      <c r="N107" s="1201"/>
      <c r="O107" s="3051">
        <v>3071.800000000002</v>
      </c>
      <c r="P107" s="1201"/>
      <c r="Q107" s="1658">
        <f t="shared" si="50"/>
        <v>3071.800000000002</v>
      </c>
      <c r="R107" s="1201"/>
      <c r="S107" s="3051">
        <v>4523.51</v>
      </c>
      <c r="T107" s="1201"/>
      <c r="U107" s="1658">
        <f t="shared" si="51"/>
        <v>7595.3100000000022</v>
      </c>
      <c r="V107" s="1201"/>
      <c r="W107" s="3051">
        <v>8437.6100000000024</v>
      </c>
      <c r="X107" s="200"/>
      <c r="Y107" s="2258">
        <f t="shared" si="58"/>
        <v>16032.920000000006</v>
      </c>
      <c r="Z107" s="1201"/>
      <c r="AA107" s="544">
        <f t="shared" si="55"/>
        <v>16032.920000000006</v>
      </c>
      <c r="AB107" s="1201"/>
      <c r="AC107" s="4370"/>
      <c r="AD107" s="1201"/>
      <c r="AE107" s="782">
        <f t="shared" si="76"/>
        <v>16032.920000000006</v>
      </c>
      <c r="AF107" s="1201"/>
      <c r="AG107" s="4370"/>
      <c r="AH107" s="1201"/>
      <c r="AI107" s="782">
        <f t="shared" si="72"/>
        <v>16032.920000000006</v>
      </c>
      <c r="AJ107" s="1201"/>
      <c r="AK107" s="4370"/>
      <c r="AL107" s="1201"/>
      <c r="AM107" s="2258">
        <f t="shared" si="62"/>
        <v>0</v>
      </c>
      <c r="AN107" s="1201"/>
      <c r="AO107" s="782">
        <f t="shared" si="74"/>
        <v>16032.920000000006</v>
      </c>
      <c r="AP107" s="1201"/>
      <c r="AQ107" s="4370"/>
      <c r="AR107" s="1201"/>
      <c r="AS107" s="782">
        <f t="shared" si="73"/>
        <v>16032.920000000006</v>
      </c>
      <c r="AT107" s="1201"/>
      <c r="AU107" s="4370"/>
      <c r="AV107" s="1201"/>
      <c r="AW107" s="782">
        <f t="shared" si="48"/>
        <v>16032.920000000006</v>
      </c>
      <c r="AX107" s="1201"/>
      <c r="AY107" s="4370"/>
      <c r="AZ107" s="1201"/>
      <c r="BA107" s="2258">
        <f t="shared" si="57"/>
        <v>0</v>
      </c>
      <c r="BB107" s="1201"/>
      <c r="BC107" s="544">
        <f t="shared" si="59"/>
        <v>0</v>
      </c>
      <c r="BD107" s="1201"/>
      <c r="BE107" s="376">
        <f t="shared" si="70"/>
        <v>16032.920000000006</v>
      </c>
      <c r="BF107" s="26"/>
      <c r="BG107" s="26"/>
      <c r="BH107" s="26"/>
      <c r="BP107" s="26"/>
      <c r="BQ107" s="26"/>
    </row>
    <row r="108" spans="1:69" x14ac:dyDescent="0.25">
      <c r="A108" s="149"/>
      <c r="B108" s="3332" t="s">
        <v>925</v>
      </c>
      <c r="C108" s="235"/>
      <c r="D108" s="3333"/>
      <c r="E108" s="3334">
        <f>+E109+E110+E112+E111</f>
        <v>7712.23</v>
      </c>
      <c r="F108" s="3334"/>
      <c r="G108" s="3334">
        <f>+G109+G110+G112+G111</f>
        <v>9134.2500000000018</v>
      </c>
      <c r="H108" s="3335"/>
      <c r="I108" s="3335">
        <f t="shared" ref="I108" si="77">+I109+I110+I112+I111</f>
        <v>16846.480000000003</v>
      </c>
      <c r="J108" s="1357"/>
      <c r="K108" s="3334">
        <f>+K109+K110+K112+K111</f>
        <v>3441.08</v>
      </c>
      <c r="L108" s="1357"/>
      <c r="M108" s="2258">
        <f t="shared" si="36"/>
        <v>20287.560000000005</v>
      </c>
      <c r="N108" s="1357"/>
      <c r="O108" s="3334">
        <f>+O109+O110+O112+O111</f>
        <v>12321.94</v>
      </c>
      <c r="P108" s="1357"/>
      <c r="Q108" s="1658">
        <f t="shared" si="50"/>
        <v>32609.500000000007</v>
      </c>
      <c r="R108" s="1357"/>
      <c r="S108" s="3334">
        <f>+S109+S110+S112+S111</f>
        <v>175.21</v>
      </c>
      <c r="T108" s="1357">
        <f t="shared" ref="T108" si="78">+T109+T110+T112+T111</f>
        <v>0</v>
      </c>
      <c r="U108" s="1658">
        <f t="shared" si="51"/>
        <v>32784.710000000006</v>
      </c>
      <c r="V108" s="1357">
        <f t="shared" ref="V108" si="79">+V109+V110+V112+V111</f>
        <v>0</v>
      </c>
      <c r="W108" s="3334">
        <f>+W109+W110+W112+W111</f>
        <v>10771.1</v>
      </c>
      <c r="X108" s="1357"/>
      <c r="Y108" s="2258">
        <f t="shared" si="58"/>
        <v>23268.25</v>
      </c>
      <c r="Z108" s="1357"/>
      <c r="AA108" s="522">
        <f t="shared" si="55"/>
        <v>43555.810000000005</v>
      </c>
      <c r="AB108" s="1357"/>
      <c r="AC108" s="4358">
        <f>+AC109+AC110+AC112+AC111</f>
        <v>2499.8999999999996</v>
      </c>
      <c r="AD108" s="1357">
        <f t="shared" ref="AD108:AE108" si="80">+AD109+AD110+AD112+AD111</f>
        <v>0</v>
      </c>
      <c r="AE108" s="1357">
        <f t="shared" si="80"/>
        <v>46055.710000000006</v>
      </c>
      <c r="AF108" s="1357"/>
      <c r="AG108" s="4358">
        <f>+AG109+AG110+AG112+AG111</f>
        <v>5478.9699999999993</v>
      </c>
      <c r="AH108" s="1357">
        <f t="shared" ref="AH108:AJ108" si="81">+AH109+AH110+AH112+AH111</f>
        <v>0</v>
      </c>
      <c r="AI108" s="1357">
        <f t="shared" si="81"/>
        <v>51534.68</v>
      </c>
      <c r="AJ108" s="1357">
        <f t="shared" si="81"/>
        <v>0</v>
      </c>
      <c r="AK108" s="4358">
        <f>+AK109+AK110+AK112+AK111</f>
        <v>7517.2000000000007</v>
      </c>
      <c r="AL108" s="1357"/>
      <c r="AM108" s="2258">
        <f t="shared" si="62"/>
        <v>15496.07</v>
      </c>
      <c r="AN108" s="1357">
        <f t="shared" ref="AN108" si="82">+AN109+AN110+AN112+AN111</f>
        <v>0</v>
      </c>
      <c r="AO108" s="1357">
        <f t="shared" si="74"/>
        <v>59051.880000000005</v>
      </c>
      <c r="AP108" s="1357"/>
      <c r="AQ108" s="4358">
        <f>+AQ109+AQ110+AQ112+AQ111</f>
        <v>10498.07</v>
      </c>
      <c r="AR108" s="1357">
        <f t="shared" ref="AR108:AS108" si="83">+AR109+AR110+AR112+AR111</f>
        <v>0</v>
      </c>
      <c r="AS108" s="1357">
        <f t="shared" si="83"/>
        <v>69549.950000000012</v>
      </c>
      <c r="AT108" s="1357"/>
      <c r="AU108" s="4358">
        <f>+AU109+AU110+AU112+AU111</f>
        <v>7998.24</v>
      </c>
      <c r="AV108" s="1357">
        <f t="shared" ref="AV108:AW108" si="84">+AV109+AV110+AV112+AV111</f>
        <v>0</v>
      </c>
      <c r="AW108" s="1357">
        <f t="shared" si="84"/>
        <v>77548.190000000017</v>
      </c>
      <c r="AX108" s="1357"/>
      <c r="AY108" s="4358">
        <f>+AY109+AY110+AY112+AY111</f>
        <v>7705.11</v>
      </c>
      <c r="AZ108" s="1357"/>
      <c r="BA108" s="2258">
        <f t="shared" si="57"/>
        <v>26201.42</v>
      </c>
      <c r="BB108" s="1357"/>
      <c r="BC108" s="522">
        <f t="shared" si="59"/>
        <v>41697.49</v>
      </c>
      <c r="BD108" s="1357">
        <f t="shared" ref="BD108:BE108" si="85">+BD109+BD110+BD112+BD111</f>
        <v>0</v>
      </c>
      <c r="BE108" s="1357">
        <f t="shared" si="85"/>
        <v>85253.3</v>
      </c>
      <c r="BF108" s="26"/>
      <c r="BG108" s="26"/>
      <c r="BH108" s="26"/>
      <c r="BP108" s="26"/>
      <c r="BQ108" s="26"/>
    </row>
    <row r="109" spans="1:69" x14ac:dyDescent="0.25">
      <c r="B109" s="8" t="s">
        <v>953</v>
      </c>
      <c r="C109" s="159" t="s">
        <v>354</v>
      </c>
      <c r="D109" s="597"/>
      <c r="E109" s="1134">
        <v>6176.57</v>
      </c>
      <c r="F109" s="1134"/>
      <c r="G109" s="1134">
        <v>6134.4500000000007</v>
      </c>
      <c r="H109" s="1658"/>
      <c r="I109" s="1658">
        <f t="shared" si="64"/>
        <v>12311.02</v>
      </c>
      <c r="J109" s="1134"/>
      <c r="K109" s="1134">
        <v>3441.08</v>
      </c>
      <c r="L109" s="1137"/>
      <c r="M109" s="2258">
        <f t="shared" ref="M109:M116" si="86">+E109+G109+K109</f>
        <v>15752.1</v>
      </c>
      <c r="N109" s="1134"/>
      <c r="O109" s="1134">
        <v>7462.4800000000014</v>
      </c>
      <c r="P109" s="1134"/>
      <c r="Q109" s="1658">
        <f t="shared" si="50"/>
        <v>23214.58</v>
      </c>
      <c r="R109" s="1134"/>
      <c r="S109" s="1134">
        <v>36.89</v>
      </c>
      <c r="T109" s="1134"/>
      <c r="U109" s="1658">
        <f t="shared" si="51"/>
        <v>23251.47</v>
      </c>
      <c r="V109" s="1134"/>
      <c r="W109" s="1134">
        <v>7271.5400000000009</v>
      </c>
      <c r="X109" s="1137"/>
      <c r="Y109" s="2258">
        <f t="shared" si="58"/>
        <v>14770.910000000003</v>
      </c>
      <c r="Z109" s="1134"/>
      <c r="AA109" s="544">
        <f t="shared" si="55"/>
        <v>30523.010000000002</v>
      </c>
      <c r="AB109" s="1134"/>
      <c r="AC109" s="151">
        <v>2499.8999999999996</v>
      </c>
      <c r="AD109" s="1134"/>
      <c r="AE109" s="782">
        <f t="shared" ref="AE109:AE112" si="87">+AA109+AC109</f>
        <v>33022.910000000003</v>
      </c>
      <c r="AF109" s="1134"/>
      <c r="AG109" s="151">
        <v>2499.2099999999991</v>
      </c>
      <c r="AH109" s="1134"/>
      <c r="AI109" s="782">
        <f t="shared" ref="AI109:AI112" si="88">+AE109+AG109</f>
        <v>35522.120000000003</v>
      </c>
      <c r="AJ109" s="1134"/>
      <c r="AK109" s="151">
        <v>4997.33</v>
      </c>
      <c r="AL109" s="1134"/>
      <c r="AM109" s="2258">
        <f t="shared" si="62"/>
        <v>9996.4399999999987</v>
      </c>
      <c r="AN109" s="1134"/>
      <c r="AO109" s="782">
        <f t="shared" si="74"/>
        <v>40519.450000000004</v>
      </c>
      <c r="AP109" s="1134"/>
      <c r="AQ109" s="151">
        <v>7499.3</v>
      </c>
      <c r="AR109" s="1134"/>
      <c r="AS109" s="782">
        <f t="shared" ref="AS109:AS112" si="89">+AO109+AQ109</f>
        <v>48018.750000000007</v>
      </c>
      <c r="AT109" s="1134"/>
      <c r="AU109" s="151">
        <v>4999.6899999999996</v>
      </c>
      <c r="AV109" s="1134"/>
      <c r="AW109" s="782">
        <f t="shared" ref="AW109:AW112" si="90">+AS109+AU109</f>
        <v>53018.44000000001</v>
      </c>
      <c r="AX109" s="1134"/>
      <c r="AY109" s="151">
        <v>4242.38</v>
      </c>
      <c r="AZ109" s="1134"/>
      <c r="BA109" s="2258">
        <f t="shared" si="57"/>
        <v>16741.37</v>
      </c>
      <c r="BB109" s="1134"/>
      <c r="BC109" s="544">
        <f t="shared" si="59"/>
        <v>26737.809999999998</v>
      </c>
      <c r="BD109" s="1134"/>
      <c r="BE109" s="376">
        <f t="shared" ref="BE109:BE112" si="91">+AW109+AY109</f>
        <v>57260.820000000007</v>
      </c>
      <c r="BF109" s="26"/>
      <c r="BG109" s="26"/>
      <c r="BH109" s="26"/>
      <c r="BP109" s="26"/>
      <c r="BQ109" s="26"/>
    </row>
    <row r="110" spans="1:69" x14ac:dyDescent="0.25">
      <c r="A110" s="149"/>
      <c r="B110" s="8" t="s">
        <v>1274</v>
      </c>
      <c r="C110" s="159" t="s">
        <v>354</v>
      </c>
      <c r="D110" s="597"/>
      <c r="E110" s="1134"/>
      <c r="F110" s="1134"/>
      <c r="G110" s="1134">
        <v>2999.8000000000011</v>
      </c>
      <c r="H110" s="1658"/>
      <c r="I110" s="1658">
        <f t="shared" si="64"/>
        <v>2999.8000000000011</v>
      </c>
      <c r="J110" s="1134"/>
      <c r="K110" s="1134"/>
      <c r="L110" s="1137"/>
      <c r="M110" s="2258">
        <f t="shared" si="86"/>
        <v>2999.8000000000011</v>
      </c>
      <c r="N110" s="1134"/>
      <c r="O110" s="1134">
        <v>2456.2199999999998</v>
      </c>
      <c r="P110" s="1134"/>
      <c r="Q110" s="1658">
        <f t="shared" si="50"/>
        <v>5456.02</v>
      </c>
      <c r="R110" s="1134"/>
      <c r="S110" s="1134">
        <v>42.35</v>
      </c>
      <c r="T110" s="1134"/>
      <c r="U110" s="1658">
        <f t="shared" si="51"/>
        <v>5498.3700000000008</v>
      </c>
      <c r="V110" s="1134"/>
      <c r="W110" s="1134">
        <v>2499.7500000000009</v>
      </c>
      <c r="X110" s="1137"/>
      <c r="Y110" s="2258">
        <f t="shared" si="58"/>
        <v>4998.3200000000006</v>
      </c>
      <c r="Z110" s="1134"/>
      <c r="AA110" s="544">
        <f t="shared" si="55"/>
        <v>7998.1200000000017</v>
      </c>
      <c r="AB110" s="1134"/>
      <c r="AC110" s="151"/>
      <c r="AD110" s="1134"/>
      <c r="AE110" s="782">
        <f t="shared" si="87"/>
        <v>7998.1200000000017</v>
      </c>
      <c r="AF110" s="1134"/>
      <c r="AG110" s="151">
        <v>2979.7599999999998</v>
      </c>
      <c r="AH110" s="1134"/>
      <c r="AI110" s="782">
        <f t="shared" si="88"/>
        <v>10977.880000000001</v>
      </c>
      <c r="AJ110" s="1134"/>
      <c r="AK110" s="151">
        <v>19.97</v>
      </c>
      <c r="AL110" s="1134"/>
      <c r="AM110" s="2258">
        <f t="shared" si="62"/>
        <v>2999.7299999999996</v>
      </c>
      <c r="AN110" s="1134"/>
      <c r="AO110" s="782">
        <f t="shared" si="74"/>
        <v>10997.85</v>
      </c>
      <c r="AP110" s="1134"/>
      <c r="AQ110" s="151">
        <v>2998.77</v>
      </c>
      <c r="AR110" s="1134"/>
      <c r="AS110" s="782">
        <f t="shared" si="89"/>
        <v>13996.62</v>
      </c>
      <c r="AT110" s="1134"/>
      <c r="AU110" s="151"/>
      <c r="AV110" s="1134"/>
      <c r="AW110" s="782">
        <f t="shared" si="90"/>
        <v>13996.62</v>
      </c>
      <c r="AX110" s="1134"/>
      <c r="AY110" s="151">
        <v>2498.5300000000002</v>
      </c>
      <c r="AZ110" s="1134"/>
      <c r="BA110" s="2258">
        <f t="shared" si="57"/>
        <v>5497.3</v>
      </c>
      <c r="BB110" s="1134"/>
      <c r="BC110" s="544">
        <f t="shared" si="59"/>
        <v>8497.0299999999988</v>
      </c>
      <c r="BD110" s="1134"/>
      <c r="BE110" s="376">
        <f t="shared" si="91"/>
        <v>16495.150000000001</v>
      </c>
      <c r="BF110" s="26"/>
      <c r="BG110" s="26"/>
      <c r="BH110" s="26"/>
      <c r="BP110" s="26"/>
      <c r="BQ110" s="26"/>
    </row>
    <row r="111" spans="1:69" x14ac:dyDescent="0.25">
      <c r="A111" s="149"/>
      <c r="B111" s="8" t="s">
        <v>1369</v>
      </c>
      <c r="C111" s="159" t="s">
        <v>354</v>
      </c>
      <c r="D111" s="597"/>
      <c r="E111" s="1134">
        <v>1535.66</v>
      </c>
      <c r="F111" s="1134"/>
      <c r="G111" s="1134"/>
      <c r="H111" s="1658"/>
      <c r="I111" s="1658">
        <f t="shared" si="64"/>
        <v>1535.66</v>
      </c>
      <c r="J111" s="1134"/>
      <c r="K111" s="1134"/>
      <c r="L111" s="1137"/>
      <c r="M111" s="2258">
        <f t="shared" si="86"/>
        <v>1535.66</v>
      </c>
      <c r="N111" s="1134"/>
      <c r="O111" s="1134">
        <v>2403.2400000000002</v>
      </c>
      <c r="P111" s="1134"/>
      <c r="Q111" s="1658">
        <f t="shared" si="50"/>
        <v>3938.9000000000005</v>
      </c>
      <c r="R111" s="1134"/>
      <c r="S111" s="1134">
        <v>95.97</v>
      </c>
      <c r="T111" s="1134"/>
      <c r="U111" s="1658">
        <f t="shared" si="51"/>
        <v>4034.8700000000003</v>
      </c>
      <c r="V111" s="1134"/>
      <c r="W111" s="1134">
        <v>999.81</v>
      </c>
      <c r="X111" s="1137"/>
      <c r="Y111" s="2258">
        <f t="shared" si="58"/>
        <v>3499.02</v>
      </c>
      <c r="Z111" s="1134"/>
      <c r="AA111" s="544">
        <f t="shared" si="55"/>
        <v>5034.68</v>
      </c>
      <c r="AB111" s="1134"/>
      <c r="AC111" s="151"/>
      <c r="AD111" s="1134"/>
      <c r="AE111" s="782">
        <f t="shared" si="87"/>
        <v>5034.68</v>
      </c>
      <c r="AF111" s="1134"/>
      <c r="AG111" s="151"/>
      <c r="AH111" s="1134"/>
      <c r="AI111" s="782">
        <f t="shared" si="88"/>
        <v>5034.68</v>
      </c>
      <c r="AJ111" s="1134"/>
      <c r="AK111" s="151">
        <v>2499.9</v>
      </c>
      <c r="AL111" s="1134"/>
      <c r="AM111" s="2258">
        <f t="shared" si="62"/>
        <v>2499.9</v>
      </c>
      <c r="AN111" s="1134"/>
      <c r="AO111" s="782">
        <f t="shared" si="74"/>
        <v>7534.58</v>
      </c>
      <c r="AP111" s="1134"/>
      <c r="AQ111" s="151"/>
      <c r="AR111" s="1134"/>
      <c r="AS111" s="782">
        <f t="shared" si="89"/>
        <v>7534.58</v>
      </c>
      <c r="AT111" s="1134"/>
      <c r="AU111" s="151">
        <v>2998.55</v>
      </c>
      <c r="AV111" s="1134"/>
      <c r="AW111" s="782">
        <f t="shared" si="90"/>
        <v>10533.130000000001</v>
      </c>
      <c r="AX111" s="1134"/>
      <c r="AY111" s="151">
        <v>964.2</v>
      </c>
      <c r="AZ111" s="1134"/>
      <c r="BA111" s="2258">
        <f t="shared" si="57"/>
        <v>3962.75</v>
      </c>
      <c r="BB111" s="1134"/>
      <c r="BC111" s="544">
        <f t="shared" si="59"/>
        <v>6462.65</v>
      </c>
      <c r="BD111" s="1134"/>
      <c r="BE111" s="376">
        <f t="shared" si="91"/>
        <v>11497.330000000002</v>
      </c>
      <c r="BF111" s="26"/>
      <c r="BG111" s="26"/>
      <c r="BH111" s="26"/>
      <c r="BP111" s="26"/>
      <c r="BQ111" s="26"/>
    </row>
    <row r="112" spans="1:69" ht="15.6" hidden="1" x14ac:dyDescent="0.3">
      <c r="A112" s="149"/>
      <c r="B112" s="8" t="s">
        <v>1288</v>
      </c>
      <c r="C112" s="159" t="s">
        <v>354</v>
      </c>
      <c r="D112" s="597"/>
      <c r="E112" s="457"/>
      <c r="F112" s="457"/>
      <c r="G112" s="457"/>
      <c r="H112" s="1662"/>
      <c r="I112" s="1662">
        <f t="shared" si="64"/>
        <v>0</v>
      </c>
      <c r="J112" s="457"/>
      <c r="K112" s="457"/>
      <c r="L112" s="1137"/>
      <c r="M112" s="2258">
        <f t="shared" si="86"/>
        <v>0</v>
      </c>
      <c r="N112" s="457"/>
      <c r="O112" s="457"/>
      <c r="P112" s="457"/>
      <c r="Q112" s="1658">
        <f t="shared" si="50"/>
        <v>0</v>
      </c>
      <c r="R112" s="457"/>
      <c r="S112" s="457"/>
      <c r="T112" s="457"/>
      <c r="U112" s="1658">
        <f t="shared" si="51"/>
        <v>0</v>
      </c>
      <c r="V112" s="457"/>
      <c r="W112" s="457"/>
      <c r="X112" s="1137"/>
      <c r="Y112" s="2258">
        <f t="shared" si="58"/>
        <v>0</v>
      </c>
      <c r="Z112" s="457"/>
      <c r="AA112" s="544">
        <f t="shared" si="55"/>
        <v>0</v>
      </c>
      <c r="AB112" s="457"/>
      <c r="AC112" s="4371"/>
      <c r="AD112" s="457"/>
      <c r="AE112" s="376">
        <f t="shared" si="87"/>
        <v>0</v>
      </c>
      <c r="AF112" s="457"/>
      <c r="AG112" s="4371"/>
      <c r="AH112" s="457"/>
      <c r="AI112" s="376">
        <f t="shared" si="88"/>
        <v>0</v>
      </c>
      <c r="AJ112" s="457"/>
      <c r="AK112" s="4371"/>
      <c r="AL112" s="457"/>
      <c r="AM112" s="2258">
        <f t="shared" si="62"/>
        <v>0</v>
      </c>
      <c r="AN112" s="457"/>
      <c r="AO112" s="376">
        <f t="shared" si="74"/>
        <v>0</v>
      </c>
      <c r="AP112" s="457"/>
      <c r="AQ112" s="4371"/>
      <c r="AR112" s="457"/>
      <c r="AS112" s="376">
        <f t="shared" si="89"/>
        <v>0</v>
      </c>
      <c r="AT112" s="457"/>
      <c r="AU112" s="4371"/>
      <c r="AV112" s="457"/>
      <c r="AW112" s="376">
        <f t="shared" si="90"/>
        <v>0</v>
      </c>
      <c r="AX112" s="457"/>
      <c r="AY112" s="4371"/>
      <c r="AZ112" s="457"/>
      <c r="BA112" s="2258">
        <f t="shared" si="57"/>
        <v>0</v>
      </c>
      <c r="BB112" s="457"/>
      <c r="BC112" s="544">
        <f t="shared" si="59"/>
        <v>0</v>
      </c>
      <c r="BD112" s="457"/>
      <c r="BE112" s="376">
        <f t="shared" si="91"/>
        <v>0</v>
      </c>
      <c r="BF112" s="26"/>
      <c r="BG112" s="26"/>
      <c r="BH112" s="26"/>
      <c r="BP112" s="26"/>
      <c r="BQ112" s="26"/>
    </row>
    <row r="113" spans="1:69" x14ac:dyDescent="0.25">
      <c r="A113" s="149"/>
      <c r="B113" s="743" t="s">
        <v>796</v>
      </c>
      <c r="C113" s="159" t="s">
        <v>354</v>
      </c>
      <c r="D113" s="597"/>
      <c r="E113" s="1357">
        <v>11652.96</v>
      </c>
      <c r="F113" s="1201"/>
      <c r="G113" s="1357">
        <v>9682.7800000000043</v>
      </c>
      <c r="H113" s="1658"/>
      <c r="I113" s="1659">
        <f>+E113+G113</f>
        <v>21335.740000000005</v>
      </c>
      <c r="J113" s="1201"/>
      <c r="K113" s="1357">
        <v>10995.34</v>
      </c>
      <c r="L113" s="200"/>
      <c r="M113" s="2258">
        <f t="shared" si="86"/>
        <v>32331.080000000005</v>
      </c>
      <c r="N113" s="1201"/>
      <c r="O113" s="1357">
        <v>7669.560000000004</v>
      </c>
      <c r="P113" s="1201"/>
      <c r="Q113" s="1658">
        <f t="shared" si="50"/>
        <v>40000.640000000007</v>
      </c>
      <c r="R113" s="1201"/>
      <c r="S113" s="1357">
        <v>9528.32</v>
      </c>
      <c r="T113" s="1201"/>
      <c r="U113" s="1658">
        <f t="shared" si="51"/>
        <v>49528.960000000006</v>
      </c>
      <c r="V113" s="1201"/>
      <c r="W113" s="1357">
        <v>1893.0800000000002</v>
      </c>
      <c r="X113" s="200"/>
      <c r="Y113" s="2258">
        <f t="shared" si="58"/>
        <v>19090.960000000006</v>
      </c>
      <c r="Z113" s="1201"/>
      <c r="AA113" s="522">
        <f t="shared" si="55"/>
        <v>51422.040000000008</v>
      </c>
      <c r="AB113" s="1201"/>
      <c r="AC113" s="4359">
        <v>5560.0000000000009</v>
      </c>
      <c r="AD113" s="1201"/>
      <c r="AE113" s="1357">
        <f>+AA113+AC113</f>
        <v>56982.040000000008</v>
      </c>
      <c r="AF113" s="1201"/>
      <c r="AG113" s="4359">
        <v>3077.3100000000004</v>
      </c>
      <c r="AH113" s="1201"/>
      <c r="AI113" s="1357">
        <f>+AE113+AG113</f>
        <v>60059.350000000006</v>
      </c>
      <c r="AJ113" s="1201"/>
      <c r="AK113" s="4359">
        <v>8040.71</v>
      </c>
      <c r="AL113" s="1201"/>
      <c r="AM113" s="2258">
        <f t="shared" si="62"/>
        <v>16678.02</v>
      </c>
      <c r="AN113" s="1201"/>
      <c r="AO113" s="1357">
        <f t="shared" si="74"/>
        <v>68100.060000000012</v>
      </c>
      <c r="AP113" s="1201"/>
      <c r="AQ113" s="4359">
        <v>16569.02</v>
      </c>
      <c r="AR113" s="1201"/>
      <c r="AS113" s="1357">
        <f>+AO113+AQ113</f>
        <v>84669.080000000016</v>
      </c>
      <c r="AT113" s="1201"/>
      <c r="AU113" s="4359">
        <v>9070.67</v>
      </c>
      <c r="AV113" s="1201"/>
      <c r="AW113" s="1357">
        <f>+AS113+AU113</f>
        <v>93739.750000000015</v>
      </c>
      <c r="AX113" s="1201"/>
      <c r="AY113" s="4359">
        <v>5679.02</v>
      </c>
      <c r="AZ113" s="1201"/>
      <c r="BA113" s="2258">
        <f t="shared" si="57"/>
        <v>31318.710000000003</v>
      </c>
      <c r="BB113" s="1201"/>
      <c r="BC113" s="522">
        <f t="shared" si="59"/>
        <v>47996.73</v>
      </c>
      <c r="BD113" s="1201"/>
      <c r="BE113" s="1357">
        <f>+AW113+AY113</f>
        <v>99418.770000000019</v>
      </c>
      <c r="BF113" s="26"/>
      <c r="BG113" s="26"/>
      <c r="BH113" s="26"/>
      <c r="BP113" s="26"/>
      <c r="BQ113" s="26"/>
    </row>
    <row r="114" spans="1:69" x14ac:dyDescent="0.25">
      <c r="A114" s="149"/>
      <c r="B114" s="743" t="s">
        <v>695</v>
      </c>
      <c r="C114" s="449"/>
      <c r="D114" s="1357"/>
      <c r="E114" s="1357">
        <f>+E115+E116</f>
        <v>82850.87</v>
      </c>
      <c r="F114" s="1357"/>
      <c r="G114" s="1357">
        <f>+G115+G116</f>
        <v>83444.700000000012</v>
      </c>
      <c r="H114" s="1659"/>
      <c r="I114" s="1659">
        <f t="shared" si="64"/>
        <v>166295.57</v>
      </c>
      <c r="J114" s="1357"/>
      <c r="K114" s="1357">
        <f>+K115+K116</f>
        <v>77025.87</v>
      </c>
      <c r="L114" s="1357"/>
      <c r="M114" s="2258">
        <f t="shared" si="86"/>
        <v>243321.44</v>
      </c>
      <c r="N114" s="1357"/>
      <c r="O114" s="1357">
        <f>+O115+O116</f>
        <v>101956.98999999999</v>
      </c>
      <c r="P114" s="1357"/>
      <c r="Q114" s="1658">
        <f t="shared" si="50"/>
        <v>345278.43</v>
      </c>
      <c r="R114" s="1357"/>
      <c r="S114" s="1357">
        <f>+S115+S116</f>
        <v>82745.340000000011</v>
      </c>
      <c r="T114" s="1357"/>
      <c r="U114" s="1658">
        <f t="shared" si="51"/>
        <v>428023.77</v>
      </c>
      <c r="V114" s="1357"/>
      <c r="W114" s="1357">
        <f>+W115+W116</f>
        <v>87643.580000000016</v>
      </c>
      <c r="X114" s="1357"/>
      <c r="Y114" s="2258">
        <f t="shared" si="58"/>
        <v>272345.91000000003</v>
      </c>
      <c r="Z114" s="1357"/>
      <c r="AA114" s="522">
        <f t="shared" si="55"/>
        <v>515667.35000000003</v>
      </c>
      <c r="AB114" s="1357"/>
      <c r="AC114" s="4359">
        <f>+AC115+AC116</f>
        <v>69744.739999999991</v>
      </c>
      <c r="AD114" s="1357"/>
      <c r="AE114" s="1357">
        <f t="shared" ref="AE114:AE116" si="92">+AA114+AC114</f>
        <v>585412.09000000008</v>
      </c>
      <c r="AF114" s="1357"/>
      <c r="AG114" s="4359">
        <f>+AG115+AG116</f>
        <v>27303.190000000002</v>
      </c>
      <c r="AH114" s="1357"/>
      <c r="AI114" s="1357">
        <f t="shared" ref="AI114:AI116" si="93">+AE114+AG114</f>
        <v>612715.28</v>
      </c>
      <c r="AJ114" s="1357"/>
      <c r="AK114" s="4359">
        <f>+AK115+AK116</f>
        <v>61000.69</v>
      </c>
      <c r="AL114" s="1357"/>
      <c r="AM114" s="2258">
        <f t="shared" si="62"/>
        <v>158048.62</v>
      </c>
      <c r="AN114" s="1357"/>
      <c r="AO114" s="1357">
        <f t="shared" si="74"/>
        <v>673715.97</v>
      </c>
      <c r="AP114" s="1357"/>
      <c r="AQ114" s="4359">
        <f>+AQ115+AQ116</f>
        <v>97525.18</v>
      </c>
      <c r="AR114" s="1357"/>
      <c r="AS114" s="1357">
        <f t="shared" ref="AS114:AS116" si="94">+AO114+AQ114</f>
        <v>771241.14999999991</v>
      </c>
      <c r="AT114" s="1357"/>
      <c r="AU114" s="4359">
        <f>+AU115+AU116</f>
        <v>85055.29</v>
      </c>
      <c r="AV114" s="1357"/>
      <c r="AW114" s="1357">
        <f t="shared" ref="AW114:AW116" si="95">+AS114+AU114</f>
        <v>856296.44</v>
      </c>
      <c r="AX114" s="1357"/>
      <c r="AY114" s="4359">
        <f>+AY115+AY116</f>
        <v>72764.600000000006</v>
      </c>
      <c r="AZ114" s="1357"/>
      <c r="BA114" s="2258">
        <f t="shared" si="57"/>
        <v>255345.06999999998</v>
      </c>
      <c r="BB114" s="1357"/>
      <c r="BC114" s="522">
        <f t="shared" si="59"/>
        <v>413393.68999999994</v>
      </c>
      <c r="BD114" s="1357"/>
      <c r="BE114" s="1357">
        <f t="shared" ref="BE114:BE116" si="96">+AW114+AY114</f>
        <v>929061.03999999992</v>
      </c>
      <c r="BF114" s="26"/>
      <c r="BG114" s="26"/>
      <c r="BH114" s="26"/>
      <c r="BP114" s="26"/>
      <c r="BQ114" s="26"/>
    </row>
    <row r="115" spans="1:69" ht="20.25" x14ac:dyDescent="0.25">
      <c r="A115" s="149"/>
      <c r="B115" s="744" t="s">
        <v>22</v>
      </c>
      <c r="C115" s="262" t="s">
        <v>354</v>
      </c>
      <c r="D115" s="596"/>
      <c r="E115" s="596">
        <v>78389.59</v>
      </c>
      <c r="F115" s="596"/>
      <c r="G115" s="596">
        <v>57946.42</v>
      </c>
      <c r="H115" s="1660"/>
      <c r="I115" s="1660">
        <f t="shared" si="64"/>
        <v>136336.01</v>
      </c>
      <c r="J115" s="596"/>
      <c r="K115" s="596">
        <v>62604.31</v>
      </c>
      <c r="L115" s="1137"/>
      <c r="M115" s="2258">
        <f t="shared" si="86"/>
        <v>198940.32</v>
      </c>
      <c r="N115" s="596"/>
      <c r="O115" s="596">
        <v>79355.429999999993</v>
      </c>
      <c r="P115" s="596"/>
      <c r="Q115" s="1658">
        <f t="shared" si="50"/>
        <v>278295.75</v>
      </c>
      <c r="R115" s="596"/>
      <c r="S115" s="596">
        <v>80730.63</v>
      </c>
      <c r="T115" s="596"/>
      <c r="U115" s="1658">
        <f t="shared" si="51"/>
        <v>359026.38</v>
      </c>
      <c r="V115" s="596"/>
      <c r="W115" s="596">
        <v>87052.140000000014</v>
      </c>
      <c r="X115" s="1137"/>
      <c r="Y115" s="2258">
        <f t="shared" si="58"/>
        <v>247138.2</v>
      </c>
      <c r="Z115" s="596"/>
      <c r="AA115" s="522">
        <f t="shared" si="55"/>
        <v>446078.52</v>
      </c>
      <c r="AB115" s="596"/>
      <c r="AC115" s="1522">
        <v>69744.739999999991</v>
      </c>
      <c r="AD115" s="596"/>
      <c r="AE115" s="587">
        <f t="shared" si="92"/>
        <v>515823.26</v>
      </c>
      <c r="AF115" s="596"/>
      <c r="AG115" s="1522">
        <v>27303.190000000002</v>
      </c>
      <c r="AH115" s="596"/>
      <c r="AI115" s="587">
        <f t="shared" si="93"/>
        <v>543126.44999999995</v>
      </c>
      <c r="AJ115" s="596"/>
      <c r="AK115" s="1522">
        <v>61000.69</v>
      </c>
      <c r="AL115" s="596"/>
      <c r="AM115" s="2258">
        <f t="shared" si="62"/>
        <v>158048.62</v>
      </c>
      <c r="AN115" s="596"/>
      <c r="AO115" s="587">
        <f t="shared" si="74"/>
        <v>604127.1399999999</v>
      </c>
      <c r="AP115" s="596"/>
      <c r="AQ115" s="1522">
        <v>97525.18</v>
      </c>
      <c r="AR115" s="596"/>
      <c r="AS115" s="587">
        <f t="shared" si="94"/>
        <v>701652.31999999983</v>
      </c>
      <c r="AT115" s="596"/>
      <c r="AU115" s="1522">
        <v>85055.29</v>
      </c>
      <c r="AV115" s="596"/>
      <c r="AW115" s="587">
        <f t="shared" si="95"/>
        <v>786707.60999999987</v>
      </c>
      <c r="AX115" s="596"/>
      <c r="AY115" s="1522">
        <v>72764.600000000006</v>
      </c>
      <c r="AZ115" s="596"/>
      <c r="BA115" s="2258">
        <f t="shared" si="57"/>
        <v>255345.06999999998</v>
      </c>
      <c r="BB115" s="596"/>
      <c r="BC115" s="522">
        <f t="shared" si="59"/>
        <v>413393.68999999994</v>
      </c>
      <c r="BD115" s="596"/>
      <c r="BE115" s="256">
        <f t="shared" si="96"/>
        <v>859472.20999999985</v>
      </c>
      <c r="BF115" s="26"/>
      <c r="BG115" s="26"/>
      <c r="BH115" s="26"/>
      <c r="BP115" s="26"/>
      <c r="BQ115" s="26"/>
    </row>
    <row r="116" spans="1:69" ht="21" thickBot="1" x14ac:dyDescent="0.3">
      <c r="B116" s="744" t="s">
        <v>23</v>
      </c>
      <c r="C116" s="450" t="s">
        <v>354</v>
      </c>
      <c r="D116" s="596"/>
      <c r="E116" s="596">
        <v>4461.28</v>
      </c>
      <c r="F116" s="596"/>
      <c r="G116" s="596">
        <v>25498.280000000006</v>
      </c>
      <c r="H116" s="1660"/>
      <c r="I116" s="1660">
        <f t="shared" si="64"/>
        <v>29959.560000000005</v>
      </c>
      <c r="J116" s="596"/>
      <c r="K116" s="596">
        <v>14421.56</v>
      </c>
      <c r="L116" s="1137"/>
      <c r="M116" s="2258">
        <f t="shared" si="86"/>
        <v>44381.120000000003</v>
      </c>
      <c r="N116" s="596"/>
      <c r="O116" s="596">
        <v>22601.559999999994</v>
      </c>
      <c r="P116" s="596"/>
      <c r="Q116" s="1658">
        <f t="shared" si="50"/>
        <v>66982.679999999993</v>
      </c>
      <c r="R116" s="596"/>
      <c r="S116" s="596">
        <v>2014.71</v>
      </c>
      <c r="T116" s="596"/>
      <c r="U116" s="1658">
        <f t="shared" si="51"/>
        <v>68997.39</v>
      </c>
      <c r="V116" s="596"/>
      <c r="W116" s="596">
        <v>591.43999999999994</v>
      </c>
      <c r="X116" s="1137"/>
      <c r="Y116" s="2258">
        <f t="shared" si="58"/>
        <v>25207.709999999992</v>
      </c>
      <c r="Z116" s="596"/>
      <c r="AA116" s="522">
        <f t="shared" si="55"/>
        <v>69588.829999999987</v>
      </c>
      <c r="AB116" s="596"/>
      <c r="AC116" s="1522"/>
      <c r="AD116" s="596"/>
      <c r="AE116" s="587">
        <f t="shared" si="92"/>
        <v>69588.829999999987</v>
      </c>
      <c r="AF116" s="596"/>
      <c r="AG116" s="1522"/>
      <c r="AH116" s="596"/>
      <c r="AI116" s="587">
        <f t="shared" si="93"/>
        <v>69588.829999999987</v>
      </c>
      <c r="AJ116" s="596"/>
      <c r="AK116" s="1522"/>
      <c r="AL116" s="596"/>
      <c r="AM116" s="2258">
        <f t="shared" si="62"/>
        <v>0</v>
      </c>
      <c r="AN116" s="596"/>
      <c r="AO116" s="587">
        <f t="shared" si="74"/>
        <v>69588.829999999987</v>
      </c>
      <c r="AP116" s="596"/>
      <c r="AQ116" s="1522">
        <v>0</v>
      </c>
      <c r="AR116" s="596"/>
      <c r="AS116" s="587">
        <f t="shared" si="94"/>
        <v>69588.829999999987</v>
      </c>
      <c r="AT116" s="596"/>
      <c r="AU116" s="1522">
        <v>0</v>
      </c>
      <c r="AV116" s="596"/>
      <c r="AW116" s="587">
        <f t="shared" si="95"/>
        <v>69588.829999999987</v>
      </c>
      <c r="AX116" s="596"/>
      <c r="AY116" s="1522">
        <v>0</v>
      </c>
      <c r="AZ116" s="596"/>
      <c r="BA116" s="2258">
        <f t="shared" si="57"/>
        <v>0</v>
      </c>
      <c r="BB116" s="596"/>
      <c r="BC116" s="522">
        <f t="shared" si="59"/>
        <v>0</v>
      </c>
      <c r="BD116" s="596"/>
      <c r="BE116" s="256">
        <f t="shared" si="96"/>
        <v>69588.829999999987</v>
      </c>
      <c r="BF116" s="26"/>
      <c r="BG116" s="26"/>
      <c r="BH116" s="26"/>
      <c r="BP116" s="26"/>
      <c r="BQ116" s="26"/>
    </row>
    <row r="117" spans="1:69" ht="21" thickBot="1" x14ac:dyDescent="0.3">
      <c r="A117" s="149"/>
      <c r="B117" s="5843" t="s">
        <v>1663</v>
      </c>
      <c r="C117" s="5844"/>
      <c r="D117" s="1358"/>
      <c r="E117" s="1358">
        <f t="shared" ref="E117:F117" si="97">+E23+E33+E34+E48+E53+E58+E65+E104+E107+E108+E113+E116</f>
        <v>40974.449999999997</v>
      </c>
      <c r="F117" s="1358">
        <f t="shared" si="97"/>
        <v>0</v>
      </c>
      <c r="G117" s="1358">
        <f t="shared" ref="G117" si="98">+G23+G33+G34+G48+G53+G58+G65+G104+G107+G108+G113+G116</f>
        <v>57075.820000000014</v>
      </c>
      <c r="H117" s="1358">
        <f t="shared" ref="H117:I117" si="99">+H23+H33+H34+H48+H53+H58+H65+H104+H107+H108+H113+H116</f>
        <v>0</v>
      </c>
      <c r="I117" s="1358">
        <f t="shared" si="99"/>
        <v>98050.270000000019</v>
      </c>
      <c r="J117" s="1358">
        <f t="shared" ref="J117:X117" si="100">+J23+J33+J34+J48+J53+J58+J65+J104+J106+J107+J108+J113+J116</f>
        <v>0</v>
      </c>
      <c r="K117" s="1358">
        <f t="shared" ref="K117" si="101">+K23+K33+K34+K48+K53+K58+K65+K104+K107+K108+K113+K116</f>
        <v>38727.49</v>
      </c>
      <c r="L117" s="1358">
        <f t="shared" si="100"/>
        <v>0</v>
      </c>
      <c r="M117" s="1358">
        <f>+M23+M33+M34+M48+M53+M58+M65+M104+M107+M108+M113+M116</f>
        <v>136777.76</v>
      </c>
      <c r="N117" s="1358">
        <f t="shared" si="100"/>
        <v>0</v>
      </c>
      <c r="O117" s="1358">
        <f t="shared" ref="O117" si="102">+O23+O33+O34+O48+O53+O58+O65+O104+O107+O108+O113+O116</f>
        <v>55898.33</v>
      </c>
      <c r="P117" s="1358">
        <f t="shared" si="100"/>
        <v>0</v>
      </c>
      <c r="Q117" s="1658">
        <f t="shared" si="50"/>
        <v>192676.09000000003</v>
      </c>
      <c r="R117" s="1358">
        <f t="shared" si="100"/>
        <v>0</v>
      </c>
      <c r="S117" s="1358">
        <f t="shared" ref="S117" si="103">+S23+S33+S34+S48+S53+S58+S65+S104+S107+S108+S113+S116</f>
        <v>24143.75</v>
      </c>
      <c r="T117" s="1358">
        <f t="shared" si="100"/>
        <v>0</v>
      </c>
      <c r="U117" s="1658">
        <f t="shared" si="51"/>
        <v>216819.84000000003</v>
      </c>
      <c r="V117" s="1358">
        <f t="shared" si="100"/>
        <v>0</v>
      </c>
      <c r="W117" s="1358">
        <f t="shared" ref="W117" si="104">+W23+W33+W34+W48+W53+W58+W65+W104+W107+W108+W113+W116</f>
        <v>29440.540000000005</v>
      </c>
      <c r="X117" s="1358">
        <f t="shared" si="100"/>
        <v>0</v>
      </c>
      <c r="Y117" s="1358">
        <f t="shared" si="58"/>
        <v>109482.62000000001</v>
      </c>
      <c r="Z117" s="1358">
        <f>+Z23+Z33+Z34+Z48+Z53+Z58+Z65+Z104+Z106+Z107+Z108+Z113+Z116</f>
        <v>0</v>
      </c>
      <c r="AA117" s="2632">
        <f t="shared" si="55"/>
        <v>246260.38</v>
      </c>
      <c r="AB117" s="1358">
        <f t="shared" ref="AB117:AL117" si="105">+AB23+AB33+AB34+AB48+AB53+AB58+AB65+AB104+AB106+AB107+AB108+AB113+AB116</f>
        <v>0</v>
      </c>
      <c r="AC117" s="4372">
        <f>+AC23+AC33+AC34+AC48+AC53+AC58+AC65+AC104+AC107+AC108+AC113+AC116</f>
        <v>18121.12</v>
      </c>
      <c r="AD117" s="1358">
        <f t="shared" si="105"/>
        <v>0</v>
      </c>
      <c r="AE117" s="1358">
        <f>+AE23+AE33+AE34+AE48+AE53+AE58+AE65+AE104+AE107+AE108+AE113+AE116</f>
        <v>264381.5</v>
      </c>
      <c r="AF117" s="1358">
        <f t="shared" si="105"/>
        <v>0</v>
      </c>
      <c r="AG117" s="4372">
        <f>+AG23+AG33+AG34+AG48+AG53+AG58+AG65+AG104+AG107+AG108+AG113+AG116</f>
        <v>20952.62</v>
      </c>
      <c r="AH117" s="1358">
        <f t="shared" si="105"/>
        <v>0</v>
      </c>
      <c r="AI117" s="1358">
        <f>+AI23+AI33+AI34+AI48+AI53+AI58+AI65+AI104+AI107+AI108+AI113+AI116</f>
        <v>285334.12</v>
      </c>
      <c r="AJ117" s="1358">
        <f t="shared" si="105"/>
        <v>0</v>
      </c>
      <c r="AK117" s="4372">
        <f>+AK23+AK33+AK34+AK48+AK53+AK58+AK65+AK104+AK107+AK108+AK113+AK116</f>
        <v>24977.800000000003</v>
      </c>
      <c r="AL117" s="1358">
        <f t="shared" si="105"/>
        <v>0</v>
      </c>
      <c r="AM117" s="1358">
        <f>+AM23+AM33+AM34+AM48+AM53+AM58+AM65+AM104+AM107+AM108+AM113+AM116</f>
        <v>64051.540000000008</v>
      </c>
      <c r="AN117" s="1358">
        <f t="shared" ref="AN117:AZ117" si="106">+AN23+AN33+AN34+AN48+AN53+AN58+AN65+AN104+AN106+AN107+AN108+AN113+AN116</f>
        <v>0</v>
      </c>
      <c r="AO117" s="1358">
        <f>+AO23+AO33+AO34+AO48+AO53+AO58+AO65+AO104+AO107+AO108+AO113+AO116</f>
        <v>310311.92000000004</v>
      </c>
      <c r="AP117" s="1358">
        <f t="shared" si="106"/>
        <v>0</v>
      </c>
      <c r="AQ117" s="4372">
        <f>+AQ23+AQ33+AQ34+AQ48+AQ53+AQ58+AQ65+AQ104+AQ107+AQ108+AQ113+AQ116</f>
        <v>38722.94</v>
      </c>
      <c r="AR117" s="1358">
        <f t="shared" si="106"/>
        <v>0</v>
      </c>
      <c r="AS117" s="1358">
        <f>+AS23+AS33+AS34+AS48+AS53+AS58+AS65+AS104+AS107+AS108+AS113+AS116</f>
        <v>349034.86</v>
      </c>
      <c r="AT117" s="1358">
        <f t="shared" si="106"/>
        <v>0</v>
      </c>
      <c r="AU117" s="4372">
        <f>+AU23+AU33+AU34+AU48+AU53+AU58+AU65+AU104+AU107+AU108+AU113+AU116</f>
        <v>28592.42</v>
      </c>
      <c r="AV117" s="1358">
        <f t="shared" si="106"/>
        <v>0</v>
      </c>
      <c r="AW117" s="1358">
        <f>+AW23+AW33+AW34+AW48+AW53+AW58+AW65+AW104+AW107+AW108+AW113+AW116</f>
        <v>377627.28</v>
      </c>
      <c r="AX117" s="1358">
        <f t="shared" si="106"/>
        <v>0</v>
      </c>
      <c r="AY117" s="4372">
        <f>+AY23+AY33+AY34+AY48+AY53+AY58+AY65+AY104+AY107+AY108+AY113+AY116</f>
        <v>28464.910000000003</v>
      </c>
      <c r="AZ117" s="1358">
        <f t="shared" si="106"/>
        <v>0</v>
      </c>
      <c r="BA117" s="1358">
        <f t="shared" ref="BA117:BE117" si="107">+BA23+BA33+BA34+BA48+BA53+BA58+BA65+BA104+BA107+BA108+BA113+BA116</f>
        <v>95780.27</v>
      </c>
      <c r="BB117" s="1358">
        <f t="shared" si="107"/>
        <v>0</v>
      </c>
      <c r="BC117" s="1358">
        <f t="shared" si="107"/>
        <v>159831.81</v>
      </c>
      <c r="BD117" s="1358">
        <f t="shared" si="107"/>
        <v>0</v>
      </c>
      <c r="BE117" s="1358">
        <f t="shared" si="107"/>
        <v>406092.19000000006</v>
      </c>
      <c r="BF117" s="26"/>
      <c r="BG117" s="26"/>
      <c r="BH117" s="26"/>
      <c r="BP117" s="26"/>
      <c r="BQ117" s="26"/>
    </row>
    <row r="118" spans="1:69" ht="21" thickBot="1" x14ac:dyDescent="0.3">
      <c r="A118" s="149"/>
      <c r="B118" s="2661"/>
      <c r="C118" s="2662"/>
      <c r="D118" s="2663"/>
      <c r="E118" s="1745"/>
      <c r="F118" s="1745"/>
      <c r="G118" s="1745"/>
      <c r="H118" s="1745"/>
      <c r="I118" s="1745"/>
      <c r="J118" s="1745"/>
      <c r="K118" s="1745"/>
      <c r="L118" s="1745"/>
      <c r="M118" s="1745"/>
      <c r="N118" s="1745"/>
      <c r="O118" s="1745"/>
      <c r="P118" s="1745"/>
      <c r="Q118" s="1745"/>
      <c r="R118" s="1745"/>
      <c r="S118" s="1745"/>
      <c r="T118" s="1745"/>
      <c r="U118" s="5537"/>
      <c r="V118" s="1745"/>
      <c r="W118" s="1745"/>
      <c r="X118" s="1745"/>
      <c r="Y118" s="1745"/>
      <c r="Z118" s="1745"/>
      <c r="AA118" s="2664"/>
      <c r="AB118" s="1745"/>
      <c r="AC118" s="4373"/>
      <c r="AD118" s="1745"/>
      <c r="AE118" s="1745"/>
      <c r="AF118" s="1745"/>
      <c r="AG118" s="4373"/>
      <c r="AH118" s="1745"/>
      <c r="AI118" s="1745"/>
      <c r="AJ118" s="1745"/>
      <c r="AK118" s="4373"/>
      <c r="AL118" s="1745"/>
      <c r="AM118" s="1745"/>
      <c r="AN118" s="1745"/>
      <c r="AO118" s="1745"/>
      <c r="AP118" s="1745"/>
      <c r="AQ118" s="4373"/>
      <c r="AR118" s="1745"/>
      <c r="AS118" s="1745"/>
      <c r="AT118" s="1745"/>
      <c r="AU118" s="4373"/>
      <c r="AV118" s="1745"/>
      <c r="AW118" s="1745"/>
      <c r="AX118" s="1745"/>
      <c r="AY118" s="4373"/>
      <c r="AZ118" s="1745"/>
      <c r="BA118" s="1745"/>
      <c r="BB118" s="1745"/>
      <c r="BC118" s="1745"/>
      <c r="BD118" s="1745"/>
      <c r="BE118" s="1745"/>
      <c r="BF118" s="26"/>
      <c r="BG118" s="26"/>
      <c r="BH118" s="26"/>
      <c r="BP118" s="26"/>
      <c r="BQ118" s="26"/>
    </row>
    <row r="119" spans="1:69" ht="21.6" hidden="1" thickBot="1" x14ac:dyDescent="0.35">
      <c r="A119" s="149"/>
      <c r="B119" s="2661"/>
      <c r="C119" s="2662"/>
      <c r="D119" s="2663"/>
      <c r="E119" s="1745"/>
      <c r="F119" s="1745"/>
      <c r="G119" s="1745"/>
      <c r="H119" s="1745"/>
      <c r="I119" s="1745"/>
      <c r="J119" s="1745"/>
      <c r="K119" s="1745">
        <f>K114+K113+K108+K106+K102+K65+K58+K53+K48+K15+K7+K23</f>
        <v>104193.806</v>
      </c>
      <c r="L119" s="1745"/>
      <c r="M119" s="1745"/>
      <c r="N119" s="1745"/>
      <c r="O119" s="1745">
        <f>O114+O113+O108+O106+O102+O65+O58+O53+O48+O15+O7+O23+O107+O34</f>
        <v>137115.21</v>
      </c>
      <c r="P119" s="1745"/>
      <c r="Q119" s="1745"/>
      <c r="R119" s="1745"/>
      <c r="S119" s="1745">
        <f>S114+S113+S108+S106+S102+S65+S58+S53+S48+S15+S7+S23+S107+S34</f>
        <v>109032.723</v>
      </c>
      <c r="T119" s="1745"/>
      <c r="U119" s="5537"/>
      <c r="V119" s="1745"/>
      <c r="W119" s="1745">
        <f>W114+W113+W108+W106+W102+W65+W58+W53+W48+W15+W7+W23+W107+W34+W12</f>
        <v>120765.79000000001</v>
      </c>
      <c r="X119" s="1745"/>
      <c r="Y119" s="1745"/>
      <c r="Z119" s="1745"/>
      <c r="AA119" s="2664"/>
      <c r="AB119" s="1745"/>
      <c r="AC119" s="4373"/>
      <c r="AD119" s="1745"/>
      <c r="AE119" s="1745"/>
      <c r="AF119" s="1745"/>
      <c r="AG119" s="4373"/>
      <c r="AH119" s="1745"/>
      <c r="AI119" s="1745"/>
      <c r="AJ119" s="1745"/>
      <c r="AK119" s="4373"/>
      <c r="AL119" s="1745"/>
      <c r="AM119" s="1745"/>
      <c r="AN119" s="1745"/>
      <c r="AO119" s="1745"/>
      <c r="AP119" s="1745"/>
      <c r="AQ119" s="4373"/>
      <c r="AR119" s="1745"/>
      <c r="AS119" s="1745"/>
      <c r="AT119" s="1745"/>
      <c r="AU119" s="4373"/>
      <c r="AV119" s="1745"/>
      <c r="AW119" s="1745"/>
      <c r="AX119" s="1745"/>
      <c r="AY119" s="4373"/>
      <c r="AZ119" s="1745"/>
      <c r="BA119" s="1745"/>
      <c r="BB119" s="1745"/>
      <c r="BC119" s="2664"/>
      <c r="BD119" s="1745"/>
      <c r="BE119" s="1745"/>
      <c r="BF119" s="26"/>
      <c r="BG119" s="26"/>
      <c r="BH119" s="26"/>
      <c r="BP119" s="26"/>
      <c r="BQ119" s="26"/>
    </row>
    <row r="120" spans="1:69" ht="25.5" x14ac:dyDescent="0.25">
      <c r="B120" s="2833" t="s">
        <v>1086</v>
      </c>
      <c r="C120" s="2665"/>
      <c r="D120" s="2666"/>
      <c r="E120" s="2667"/>
      <c r="F120" s="2668"/>
      <c r="G120" s="2667"/>
      <c r="H120" s="2667"/>
      <c r="I120" s="2667"/>
      <c r="J120" s="2667"/>
      <c r="K120" s="2667"/>
      <c r="L120" s="2668"/>
      <c r="M120" s="2669"/>
      <c r="N120" s="2668"/>
      <c r="O120" s="2667"/>
      <c r="P120" s="2667"/>
      <c r="Q120" s="2667"/>
      <c r="R120" s="2667"/>
      <c r="S120" s="2667"/>
      <c r="T120" s="2667"/>
      <c r="U120" s="2667"/>
      <c r="V120" s="2667"/>
      <c r="W120" s="2667"/>
      <c r="X120" s="2668"/>
      <c r="Y120" s="2669"/>
      <c r="Z120" s="2668"/>
      <c r="AA120" s="2670"/>
      <c r="AB120" s="2668"/>
      <c r="AC120" s="1881"/>
      <c r="AD120" s="2667"/>
      <c r="AE120" s="2667"/>
      <c r="AF120" s="2667"/>
      <c r="AG120" s="1881"/>
      <c r="AH120" s="2667"/>
      <c r="AI120" s="2667"/>
      <c r="AJ120" s="2667"/>
      <c r="AK120" s="1881"/>
      <c r="AL120" s="2668"/>
      <c r="AM120" s="2669"/>
      <c r="AN120" s="2668"/>
      <c r="AO120" s="2668"/>
      <c r="AP120" s="2668"/>
      <c r="AQ120" s="1881"/>
      <c r="AR120" s="2667"/>
      <c r="AS120" s="2667"/>
      <c r="AT120" s="2667"/>
      <c r="AU120" s="1881"/>
      <c r="AV120" s="2668"/>
      <c r="AW120" s="2667"/>
      <c r="AX120" s="2667"/>
      <c r="AY120" s="1881"/>
      <c r="AZ120" s="2668"/>
      <c r="BA120" s="2669"/>
      <c r="BB120" s="2668"/>
      <c r="BC120" s="2670"/>
      <c r="BD120" s="2668"/>
      <c r="BE120" s="2671"/>
      <c r="BF120" s="26"/>
      <c r="BG120" s="26"/>
      <c r="BH120" s="26"/>
      <c r="BP120" s="26"/>
      <c r="BQ120" s="26"/>
    </row>
    <row r="121" spans="1:69" ht="15.6" hidden="1" x14ac:dyDescent="0.3">
      <c r="B121" s="743" t="s">
        <v>1082</v>
      </c>
      <c r="C121" s="2656" t="s">
        <v>354</v>
      </c>
      <c r="D121" s="2672"/>
      <c r="E121" s="2672">
        <f>+E122+E123+E124</f>
        <v>0</v>
      </c>
      <c r="F121" s="2672"/>
      <c r="G121" s="2672">
        <f>+G122+G123+G124</f>
        <v>0</v>
      </c>
      <c r="H121" s="2673"/>
      <c r="I121" s="2673">
        <f t="shared" ref="I121:I178" si="108">+E121+G121</f>
        <v>0</v>
      </c>
      <c r="J121" s="2672"/>
      <c r="K121" s="2672">
        <f>+K122+K123+K124</f>
        <v>0</v>
      </c>
      <c r="L121" s="2672"/>
      <c r="M121" s="2674">
        <f t="shared" ref="M121:M135" si="109">+E121+G121+K121</f>
        <v>0</v>
      </c>
      <c r="N121" s="2672"/>
      <c r="O121" s="2672">
        <f>+O122+O123+O124</f>
        <v>0</v>
      </c>
      <c r="P121" s="2672"/>
      <c r="Q121" s="1658">
        <f t="shared" si="50"/>
        <v>0</v>
      </c>
      <c r="R121" s="2672"/>
      <c r="S121" s="2672">
        <f>+S122+S123+S124</f>
        <v>0</v>
      </c>
      <c r="T121" s="2672"/>
      <c r="U121" s="2676">
        <f t="shared" ref="U121:U187" si="110">+Q121+S121</f>
        <v>0</v>
      </c>
      <c r="V121" s="2672"/>
      <c r="W121" s="2672">
        <f>+W122+W123+W124</f>
        <v>0</v>
      </c>
      <c r="X121" s="2672"/>
      <c r="Y121" s="2674">
        <f t="shared" si="58"/>
        <v>0</v>
      </c>
      <c r="Z121" s="2672"/>
      <c r="AA121" s="2660">
        <f t="shared" si="55"/>
        <v>0</v>
      </c>
      <c r="AB121" s="2672"/>
      <c r="AC121" s="4374">
        <f>+AC122+AC123+AC124</f>
        <v>0</v>
      </c>
      <c r="AD121" s="2672"/>
      <c r="AE121" s="2672">
        <f t="shared" ref="AE121:AE135" si="111">+AA121+AC121</f>
        <v>0</v>
      </c>
      <c r="AF121" s="2672"/>
      <c r="AG121" s="4374">
        <f>+AG122+AG123+AG124</f>
        <v>0</v>
      </c>
      <c r="AH121" s="2672"/>
      <c r="AI121" s="2672">
        <f t="shared" ref="AI121:AI135" si="112">+AE121+AG121</f>
        <v>0</v>
      </c>
      <c r="AJ121" s="2672"/>
      <c r="AK121" s="4374">
        <f>+AK122+AK123+AK124</f>
        <v>0</v>
      </c>
      <c r="AL121" s="2672"/>
      <c r="AM121" s="2674">
        <f t="shared" si="62"/>
        <v>0</v>
      </c>
      <c r="AN121" s="2672"/>
      <c r="AO121" s="2672">
        <f t="shared" si="74"/>
        <v>0</v>
      </c>
      <c r="AP121" s="2672"/>
      <c r="AQ121" s="4374">
        <f>+AQ122+AQ123+AQ124</f>
        <v>0</v>
      </c>
      <c r="AR121" s="2672"/>
      <c r="AS121" s="2672">
        <f t="shared" ref="AS121:AS124" si="113">+AO121+AQ121</f>
        <v>0</v>
      </c>
      <c r="AT121" s="2672"/>
      <c r="AU121" s="4374">
        <f>+AU122+AU123+AU124</f>
        <v>9.41</v>
      </c>
      <c r="AV121" s="2672"/>
      <c r="AW121" s="2672">
        <f t="shared" ref="AW121:AW124" si="114">+AS121+AU121</f>
        <v>9.41</v>
      </c>
      <c r="AX121" s="2672"/>
      <c r="AY121" s="4374">
        <f>+AY122+AY123+AY124</f>
        <v>4.21</v>
      </c>
      <c r="AZ121" s="2672"/>
      <c r="BA121" s="2674">
        <f t="shared" si="57"/>
        <v>13.620000000000001</v>
      </c>
      <c r="BB121" s="2672"/>
      <c r="BC121" s="2660">
        <f t="shared" si="59"/>
        <v>13.620000000000001</v>
      </c>
      <c r="BD121" s="2672"/>
      <c r="BE121" s="2466">
        <f t="shared" ref="BE121:BE124" si="115">+AW121+AY121</f>
        <v>13.620000000000001</v>
      </c>
      <c r="BF121" s="26"/>
      <c r="BG121" s="26"/>
      <c r="BH121" s="26"/>
      <c r="BP121" s="26"/>
      <c r="BQ121" s="26"/>
    </row>
    <row r="122" spans="1:69" ht="15.6" hidden="1" x14ac:dyDescent="0.3">
      <c r="B122" s="741" t="s">
        <v>1083</v>
      </c>
      <c r="C122" s="2656" t="s">
        <v>354</v>
      </c>
      <c r="D122" s="2675"/>
      <c r="E122" s="2675"/>
      <c r="F122" s="2675"/>
      <c r="G122" s="2675"/>
      <c r="H122" s="2676"/>
      <c r="I122" s="2676">
        <f t="shared" si="108"/>
        <v>0</v>
      </c>
      <c r="J122" s="2675"/>
      <c r="K122" s="2675"/>
      <c r="L122" s="2675"/>
      <c r="M122" s="2677">
        <f t="shared" si="109"/>
        <v>0</v>
      </c>
      <c r="N122" s="2675"/>
      <c r="O122" s="2675"/>
      <c r="P122" s="2675"/>
      <c r="Q122" s="1658">
        <f t="shared" si="50"/>
        <v>0</v>
      </c>
      <c r="R122" s="2675"/>
      <c r="S122" s="2675"/>
      <c r="T122" s="2675"/>
      <c r="U122" s="2676">
        <f t="shared" si="110"/>
        <v>0</v>
      </c>
      <c r="V122" s="2675"/>
      <c r="W122" s="2675"/>
      <c r="X122" s="2675"/>
      <c r="Y122" s="2677">
        <f t="shared" si="58"/>
        <v>0</v>
      </c>
      <c r="Z122" s="2675"/>
      <c r="AA122" s="2660">
        <f t="shared" si="55"/>
        <v>0</v>
      </c>
      <c r="AB122" s="2675"/>
      <c r="AC122" s="2881"/>
      <c r="AD122" s="2675"/>
      <c r="AE122" s="2659">
        <f t="shared" si="111"/>
        <v>0</v>
      </c>
      <c r="AF122" s="2675"/>
      <c r="AG122" s="2881"/>
      <c r="AH122" s="2675"/>
      <c r="AI122" s="2659">
        <f t="shared" si="112"/>
        <v>0</v>
      </c>
      <c r="AJ122" s="2675"/>
      <c r="AK122" s="2881"/>
      <c r="AL122" s="2675"/>
      <c r="AM122" s="2677">
        <f t="shared" si="62"/>
        <v>0</v>
      </c>
      <c r="AN122" s="2675"/>
      <c r="AO122" s="2659">
        <f t="shared" si="74"/>
        <v>0</v>
      </c>
      <c r="AP122" s="2675"/>
      <c r="AQ122" s="2881"/>
      <c r="AR122" s="2675"/>
      <c r="AS122" s="2659">
        <f t="shared" si="113"/>
        <v>0</v>
      </c>
      <c r="AT122" s="2675"/>
      <c r="AU122" s="2881"/>
      <c r="AV122" s="2675"/>
      <c r="AW122" s="2659">
        <f t="shared" si="114"/>
        <v>0</v>
      </c>
      <c r="AX122" s="2675"/>
      <c r="AY122" s="2881">
        <v>4.21</v>
      </c>
      <c r="AZ122" s="2675"/>
      <c r="BA122" s="2677">
        <f t="shared" si="57"/>
        <v>4.21</v>
      </c>
      <c r="BB122" s="2675"/>
      <c r="BC122" s="2660">
        <f t="shared" si="59"/>
        <v>4.21</v>
      </c>
      <c r="BD122" s="2675"/>
      <c r="BE122" s="182">
        <f t="shared" si="115"/>
        <v>4.21</v>
      </c>
      <c r="BF122" s="26"/>
      <c r="BG122" s="26"/>
      <c r="BH122" s="26"/>
      <c r="BP122" s="26"/>
      <c r="BQ122" s="26"/>
    </row>
    <row r="123" spans="1:69" ht="15.6" hidden="1" x14ac:dyDescent="0.3">
      <c r="B123" s="741" t="s">
        <v>1084</v>
      </c>
      <c r="C123" s="2656" t="s">
        <v>354</v>
      </c>
      <c r="D123" s="2675"/>
      <c r="E123" s="2675"/>
      <c r="F123" s="2675"/>
      <c r="G123" s="2675"/>
      <c r="H123" s="2676"/>
      <c r="I123" s="2676">
        <f t="shared" si="108"/>
        <v>0</v>
      </c>
      <c r="J123" s="2675"/>
      <c r="K123" s="2675"/>
      <c r="L123" s="2675"/>
      <c r="M123" s="2677">
        <f t="shared" si="109"/>
        <v>0</v>
      </c>
      <c r="N123" s="2675"/>
      <c r="O123" s="2675"/>
      <c r="P123" s="2675"/>
      <c r="Q123" s="1658">
        <f t="shared" si="50"/>
        <v>0</v>
      </c>
      <c r="R123" s="2675"/>
      <c r="S123" s="2675"/>
      <c r="T123" s="2675"/>
      <c r="U123" s="2676">
        <f t="shared" si="110"/>
        <v>0</v>
      </c>
      <c r="V123" s="2675"/>
      <c r="W123" s="2675"/>
      <c r="X123" s="2675"/>
      <c r="Y123" s="2677">
        <f t="shared" si="58"/>
        <v>0</v>
      </c>
      <c r="Z123" s="2675"/>
      <c r="AA123" s="2660">
        <f t="shared" si="55"/>
        <v>0</v>
      </c>
      <c r="AB123" s="2675"/>
      <c r="AC123" s="2881"/>
      <c r="AD123" s="2675"/>
      <c r="AE123" s="2659">
        <f t="shared" si="111"/>
        <v>0</v>
      </c>
      <c r="AF123" s="2675"/>
      <c r="AG123" s="2881"/>
      <c r="AH123" s="2675"/>
      <c r="AI123" s="2659">
        <f t="shared" si="112"/>
        <v>0</v>
      </c>
      <c r="AJ123" s="2675"/>
      <c r="AK123" s="2881"/>
      <c r="AL123" s="2675"/>
      <c r="AM123" s="2677">
        <f t="shared" si="62"/>
        <v>0</v>
      </c>
      <c r="AN123" s="2675"/>
      <c r="AO123" s="2659">
        <f t="shared" si="74"/>
        <v>0</v>
      </c>
      <c r="AP123" s="2675"/>
      <c r="AQ123" s="2881"/>
      <c r="AR123" s="2675"/>
      <c r="AS123" s="2659">
        <f t="shared" si="113"/>
        <v>0</v>
      </c>
      <c r="AT123" s="2675"/>
      <c r="AU123" s="2881">
        <v>9.41</v>
      </c>
      <c r="AV123" s="2675"/>
      <c r="AW123" s="2659">
        <f t="shared" si="114"/>
        <v>9.41</v>
      </c>
      <c r="AX123" s="2675"/>
      <c r="AY123" s="2881"/>
      <c r="AZ123" s="2675"/>
      <c r="BA123" s="2677">
        <f t="shared" si="57"/>
        <v>9.41</v>
      </c>
      <c r="BB123" s="2675"/>
      <c r="BC123" s="2660">
        <f t="shared" si="59"/>
        <v>9.41</v>
      </c>
      <c r="BD123" s="2675"/>
      <c r="BE123" s="182">
        <f t="shared" si="115"/>
        <v>9.41</v>
      </c>
      <c r="BF123" s="26"/>
      <c r="BG123" s="26"/>
      <c r="BH123" s="26"/>
      <c r="BP123" s="26"/>
      <c r="BQ123" s="26"/>
    </row>
    <row r="124" spans="1:69" ht="15.6" hidden="1" x14ac:dyDescent="0.3">
      <c r="B124" s="741" t="s">
        <v>1126</v>
      </c>
      <c r="C124" s="2656" t="s">
        <v>354</v>
      </c>
      <c r="D124" s="2675"/>
      <c r="E124" s="2675"/>
      <c r="F124" s="2675"/>
      <c r="G124" s="2675"/>
      <c r="H124" s="2676"/>
      <c r="I124" s="2676">
        <f t="shared" si="108"/>
        <v>0</v>
      </c>
      <c r="J124" s="2675"/>
      <c r="K124" s="2675"/>
      <c r="L124" s="2675"/>
      <c r="M124" s="2677">
        <f t="shared" si="109"/>
        <v>0</v>
      </c>
      <c r="N124" s="2675"/>
      <c r="O124" s="2675"/>
      <c r="P124" s="2675"/>
      <c r="Q124" s="1658">
        <f t="shared" si="50"/>
        <v>0</v>
      </c>
      <c r="R124" s="2675"/>
      <c r="S124" s="2675"/>
      <c r="T124" s="2675"/>
      <c r="U124" s="2676">
        <f t="shared" si="110"/>
        <v>0</v>
      </c>
      <c r="V124" s="2675"/>
      <c r="W124" s="2675"/>
      <c r="X124" s="2675"/>
      <c r="Y124" s="2677">
        <f t="shared" si="58"/>
        <v>0</v>
      </c>
      <c r="Z124" s="2675"/>
      <c r="AA124" s="2660">
        <f t="shared" si="55"/>
        <v>0</v>
      </c>
      <c r="AB124" s="2675"/>
      <c r="AC124" s="2881"/>
      <c r="AD124" s="2675"/>
      <c r="AE124" s="2659">
        <f t="shared" si="111"/>
        <v>0</v>
      </c>
      <c r="AF124" s="2675"/>
      <c r="AG124" s="2881"/>
      <c r="AH124" s="2675"/>
      <c r="AI124" s="2659">
        <f t="shared" si="112"/>
        <v>0</v>
      </c>
      <c r="AJ124" s="2675"/>
      <c r="AK124" s="2881"/>
      <c r="AL124" s="2675"/>
      <c r="AM124" s="2677">
        <f t="shared" si="62"/>
        <v>0</v>
      </c>
      <c r="AN124" s="2675"/>
      <c r="AO124" s="2659">
        <f t="shared" si="74"/>
        <v>0</v>
      </c>
      <c r="AP124" s="2675"/>
      <c r="AQ124" s="2881"/>
      <c r="AR124" s="2675"/>
      <c r="AS124" s="2659">
        <f t="shared" si="113"/>
        <v>0</v>
      </c>
      <c r="AT124" s="2675"/>
      <c r="AU124" s="2881"/>
      <c r="AV124" s="2675"/>
      <c r="AW124" s="2659">
        <f t="shared" si="114"/>
        <v>0</v>
      </c>
      <c r="AX124" s="2675"/>
      <c r="AY124" s="2881"/>
      <c r="AZ124" s="2675"/>
      <c r="BA124" s="2677">
        <f t="shared" si="57"/>
        <v>0</v>
      </c>
      <c r="BB124" s="2675"/>
      <c r="BC124" s="2660">
        <f t="shared" si="59"/>
        <v>0</v>
      </c>
      <c r="BD124" s="2675"/>
      <c r="BE124" s="182">
        <f t="shared" si="115"/>
        <v>0</v>
      </c>
      <c r="BF124" s="26"/>
      <c r="BG124" s="26"/>
      <c r="BH124" s="26"/>
      <c r="BP124" s="26"/>
      <c r="BQ124" s="26"/>
    </row>
    <row r="125" spans="1:69" ht="15.6" hidden="1" x14ac:dyDescent="0.3">
      <c r="B125" s="743" t="s">
        <v>1150</v>
      </c>
      <c r="C125" s="2656"/>
      <c r="D125" s="2675"/>
      <c r="E125" s="2672">
        <f>+E126+E127</f>
        <v>0</v>
      </c>
      <c r="F125" s="2672">
        <f t="shared" ref="F125:AI125" si="116">+F126+F127</f>
        <v>0</v>
      </c>
      <c r="G125" s="2672">
        <f>+G126+G127</f>
        <v>0</v>
      </c>
      <c r="H125" s="2672">
        <f t="shared" si="116"/>
        <v>0</v>
      </c>
      <c r="I125" s="2672">
        <f t="shared" si="116"/>
        <v>0</v>
      </c>
      <c r="J125" s="2672">
        <f t="shared" si="116"/>
        <v>0</v>
      </c>
      <c r="K125" s="2672">
        <f>+K126+K127</f>
        <v>0</v>
      </c>
      <c r="L125" s="2672">
        <f t="shared" si="116"/>
        <v>0</v>
      </c>
      <c r="M125" s="2672">
        <f t="shared" si="116"/>
        <v>0</v>
      </c>
      <c r="N125" s="2672">
        <f t="shared" si="116"/>
        <v>0</v>
      </c>
      <c r="O125" s="2672">
        <f>+O126+O127</f>
        <v>0</v>
      </c>
      <c r="P125" s="2672">
        <f t="shared" si="116"/>
        <v>0</v>
      </c>
      <c r="Q125" s="1658">
        <f t="shared" si="50"/>
        <v>0</v>
      </c>
      <c r="R125" s="2672">
        <f t="shared" si="116"/>
        <v>0</v>
      </c>
      <c r="S125" s="2672">
        <f>+S126+S127</f>
        <v>0</v>
      </c>
      <c r="T125" s="2672">
        <f t="shared" si="116"/>
        <v>0</v>
      </c>
      <c r="U125" s="5538">
        <f t="shared" si="116"/>
        <v>0</v>
      </c>
      <c r="V125" s="2672">
        <f t="shared" si="116"/>
        <v>0</v>
      </c>
      <c r="W125" s="2672">
        <f>+W126+W127</f>
        <v>0</v>
      </c>
      <c r="X125" s="2672">
        <f t="shared" si="116"/>
        <v>0</v>
      </c>
      <c r="Y125" s="2672">
        <f t="shared" si="58"/>
        <v>0</v>
      </c>
      <c r="Z125" s="2672">
        <f t="shared" si="116"/>
        <v>0</v>
      </c>
      <c r="AA125" s="2660">
        <f t="shared" si="55"/>
        <v>0</v>
      </c>
      <c r="AB125" s="2672">
        <f t="shared" si="116"/>
        <v>0</v>
      </c>
      <c r="AC125" s="4374">
        <f>+AC126+AC127</f>
        <v>0</v>
      </c>
      <c r="AD125" s="2672">
        <f t="shared" si="116"/>
        <v>0</v>
      </c>
      <c r="AE125" s="2672">
        <f t="shared" si="116"/>
        <v>0</v>
      </c>
      <c r="AF125" s="2672">
        <f t="shared" si="116"/>
        <v>0</v>
      </c>
      <c r="AG125" s="4374">
        <f>+AG126+AG127</f>
        <v>0</v>
      </c>
      <c r="AH125" s="2672">
        <f t="shared" si="116"/>
        <v>0</v>
      </c>
      <c r="AI125" s="2672">
        <f t="shared" si="116"/>
        <v>0</v>
      </c>
      <c r="AJ125" s="2672">
        <f t="shared" ref="AJ125:AN125" si="117">+AJ126+AJ127</f>
        <v>0</v>
      </c>
      <c r="AK125" s="4374">
        <f>+AK126+AK127</f>
        <v>0</v>
      </c>
      <c r="AL125" s="2672">
        <f t="shared" si="117"/>
        <v>0</v>
      </c>
      <c r="AM125" s="2672">
        <f t="shared" si="62"/>
        <v>0</v>
      </c>
      <c r="AN125" s="2672">
        <f t="shared" si="117"/>
        <v>0</v>
      </c>
      <c r="AO125" s="2672">
        <f t="shared" si="74"/>
        <v>0</v>
      </c>
      <c r="AP125" s="2672">
        <f t="shared" ref="AP125:AS125" si="118">+AP126+AP127</f>
        <v>0</v>
      </c>
      <c r="AQ125" s="4374">
        <f>+AQ126+AQ127</f>
        <v>0</v>
      </c>
      <c r="AR125" s="2672">
        <f t="shared" si="118"/>
        <v>0</v>
      </c>
      <c r="AS125" s="2672">
        <f t="shared" si="118"/>
        <v>0</v>
      </c>
      <c r="AT125" s="2672">
        <f t="shared" ref="AT125:AW125" si="119">+AT126+AT127</f>
        <v>0</v>
      </c>
      <c r="AU125" s="4374">
        <f>+AU126+AU127</f>
        <v>0</v>
      </c>
      <c r="AV125" s="2672">
        <f t="shared" si="119"/>
        <v>0</v>
      </c>
      <c r="AW125" s="2672">
        <f t="shared" si="119"/>
        <v>0</v>
      </c>
      <c r="AX125" s="2672">
        <f t="shared" ref="AX125:BE125" si="120">+AX126+AX127</f>
        <v>0</v>
      </c>
      <c r="AY125" s="4374">
        <f>+AY126+AY127</f>
        <v>0</v>
      </c>
      <c r="AZ125" s="2672">
        <f t="shared" si="120"/>
        <v>0</v>
      </c>
      <c r="BA125" s="2672">
        <f t="shared" si="57"/>
        <v>0</v>
      </c>
      <c r="BB125" s="2672">
        <f t="shared" si="120"/>
        <v>0</v>
      </c>
      <c r="BC125" s="2660">
        <f t="shared" si="59"/>
        <v>0</v>
      </c>
      <c r="BD125" s="2672">
        <f t="shared" si="120"/>
        <v>0</v>
      </c>
      <c r="BE125" s="2466">
        <f t="shared" si="120"/>
        <v>0</v>
      </c>
      <c r="BF125" s="26"/>
      <c r="BG125" s="26"/>
      <c r="BH125" s="26"/>
      <c r="BP125" s="26"/>
      <c r="BQ125" s="26"/>
    </row>
    <row r="126" spans="1:69" ht="15.6" hidden="1" x14ac:dyDescent="0.3">
      <c r="B126" s="741" t="s">
        <v>1388</v>
      </c>
      <c r="C126" s="2656" t="s">
        <v>354</v>
      </c>
      <c r="D126" s="2675"/>
      <c r="E126" s="2675"/>
      <c r="F126" s="2675"/>
      <c r="G126" s="2675"/>
      <c r="H126" s="2676"/>
      <c r="I126" s="2676">
        <f t="shared" si="108"/>
        <v>0</v>
      </c>
      <c r="J126" s="2675"/>
      <c r="K126" s="2675"/>
      <c r="L126" s="2675"/>
      <c r="M126" s="2677">
        <f t="shared" si="109"/>
        <v>0</v>
      </c>
      <c r="N126" s="2675"/>
      <c r="O126" s="2675"/>
      <c r="P126" s="2675"/>
      <c r="Q126" s="1658">
        <f t="shared" si="50"/>
        <v>0</v>
      </c>
      <c r="R126" s="2675"/>
      <c r="S126" s="2675"/>
      <c r="T126" s="2675"/>
      <c r="U126" s="2676">
        <f t="shared" si="110"/>
        <v>0</v>
      </c>
      <c r="V126" s="2675"/>
      <c r="W126" s="2675"/>
      <c r="X126" s="2675"/>
      <c r="Y126" s="2677">
        <f t="shared" si="58"/>
        <v>0</v>
      </c>
      <c r="Z126" s="2675"/>
      <c r="AA126" s="2660">
        <f t="shared" si="55"/>
        <v>0</v>
      </c>
      <c r="AB126" s="2675"/>
      <c r="AC126" s="2881"/>
      <c r="AD126" s="2675"/>
      <c r="AE126" s="2659">
        <f t="shared" si="111"/>
        <v>0</v>
      </c>
      <c r="AF126" s="2675"/>
      <c r="AG126" s="2881"/>
      <c r="AH126" s="2675"/>
      <c r="AI126" s="2659">
        <f t="shared" si="112"/>
        <v>0</v>
      </c>
      <c r="AJ126" s="2675"/>
      <c r="AK126" s="2881"/>
      <c r="AL126" s="2675"/>
      <c r="AM126" s="2677">
        <f t="shared" si="62"/>
        <v>0</v>
      </c>
      <c r="AN126" s="2675"/>
      <c r="AO126" s="2659">
        <f t="shared" si="74"/>
        <v>0</v>
      </c>
      <c r="AP126" s="2675"/>
      <c r="AQ126" s="2881"/>
      <c r="AR126" s="2675"/>
      <c r="AS126" s="2659">
        <f t="shared" ref="AS126:AS127" si="121">+AO126+AQ126</f>
        <v>0</v>
      </c>
      <c r="AT126" s="2675"/>
      <c r="AU126" s="2881"/>
      <c r="AV126" s="2675"/>
      <c r="AW126" s="2659">
        <f t="shared" ref="AW126:AW127" si="122">+AS126+AU126</f>
        <v>0</v>
      </c>
      <c r="AX126" s="2675"/>
      <c r="AY126" s="2881"/>
      <c r="AZ126" s="2675"/>
      <c r="BA126" s="2677">
        <f t="shared" si="57"/>
        <v>0</v>
      </c>
      <c r="BB126" s="2675"/>
      <c r="BC126" s="2660">
        <f t="shared" si="59"/>
        <v>0</v>
      </c>
      <c r="BD126" s="2675"/>
      <c r="BE126" s="182">
        <f t="shared" ref="BE126:BE127" si="123">+AW126+AY126</f>
        <v>0</v>
      </c>
      <c r="BF126" s="26"/>
      <c r="BG126" s="26"/>
      <c r="BH126" s="26"/>
      <c r="BP126" s="26"/>
      <c r="BQ126" s="26"/>
    </row>
    <row r="127" spans="1:69" ht="15.6" hidden="1" x14ac:dyDescent="0.3">
      <c r="B127" s="741" t="s">
        <v>1280</v>
      </c>
      <c r="C127" s="2656" t="s">
        <v>354</v>
      </c>
      <c r="D127" s="2675"/>
      <c r="E127" s="2675"/>
      <c r="F127" s="2675"/>
      <c r="G127" s="2675"/>
      <c r="H127" s="2676"/>
      <c r="I127" s="2676">
        <f t="shared" si="108"/>
        <v>0</v>
      </c>
      <c r="J127" s="2675"/>
      <c r="K127" s="2675"/>
      <c r="L127" s="2675"/>
      <c r="M127" s="2677">
        <f t="shared" si="109"/>
        <v>0</v>
      </c>
      <c r="N127" s="2675"/>
      <c r="O127" s="2675"/>
      <c r="P127" s="2675"/>
      <c r="Q127" s="1658">
        <f t="shared" si="50"/>
        <v>0</v>
      </c>
      <c r="R127" s="2675"/>
      <c r="S127" s="2675"/>
      <c r="T127" s="2675"/>
      <c r="U127" s="2676">
        <f t="shared" si="110"/>
        <v>0</v>
      </c>
      <c r="V127" s="2675"/>
      <c r="W127" s="2675"/>
      <c r="X127" s="2675"/>
      <c r="Y127" s="2677">
        <f t="shared" si="58"/>
        <v>0</v>
      </c>
      <c r="Z127" s="2675"/>
      <c r="AA127" s="2660">
        <f t="shared" si="55"/>
        <v>0</v>
      </c>
      <c r="AB127" s="2675"/>
      <c r="AC127" s="2881"/>
      <c r="AD127" s="2675"/>
      <c r="AE127" s="2659">
        <f t="shared" si="111"/>
        <v>0</v>
      </c>
      <c r="AF127" s="2675"/>
      <c r="AG127" s="2881"/>
      <c r="AH127" s="2675"/>
      <c r="AI127" s="2659">
        <f t="shared" si="112"/>
        <v>0</v>
      </c>
      <c r="AJ127" s="2675"/>
      <c r="AK127" s="2881"/>
      <c r="AL127" s="2675"/>
      <c r="AM127" s="2677">
        <f t="shared" si="62"/>
        <v>0</v>
      </c>
      <c r="AN127" s="2675"/>
      <c r="AO127" s="2659">
        <f t="shared" si="74"/>
        <v>0</v>
      </c>
      <c r="AP127" s="2675"/>
      <c r="AQ127" s="2881"/>
      <c r="AR127" s="2675"/>
      <c r="AS127" s="2659">
        <f t="shared" si="121"/>
        <v>0</v>
      </c>
      <c r="AT127" s="2675"/>
      <c r="AU127" s="2881"/>
      <c r="AV127" s="2675"/>
      <c r="AW127" s="2659">
        <f t="shared" si="122"/>
        <v>0</v>
      </c>
      <c r="AX127" s="2675"/>
      <c r="AY127" s="2881"/>
      <c r="AZ127" s="2675"/>
      <c r="BA127" s="2677">
        <f t="shared" si="57"/>
        <v>0</v>
      </c>
      <c r="BB127" s="2675"/>
      <c r="BC127" s="2660">
        <f t="shared" si="59"/>
        <v>0</v>
      </c>
      <c r="BD127" s="2675"/>
      <c r="BE127" s="182">
        <f t="shared" si="123"/>
        <v>0</v>
      </c>
      <c r="BF127" s="26"/>
      <c r="BG127" s="26"/>
      <c r="BH127" s="26"/>
      <c r="BP127" s="26"/>
      <c r="BQ127" s="26"/>
    </row>
    <row r="128" spans="1:69" x14ac:dyDescent="0.25">
      <c r="B128" s="5511" t="s">
        <v>2289</v>
      </c>
      <c r="C128" s="5406"/>
      <c r="D128" s="5407"/>
      <c r="E128" s="2672"/>
      <c r="F128" s="2672"/>
      <c r="G128" s="2672"/>
      <c r="H128" s="2672"/>
      <c r="I128" s="2672"/>
      <c r="J128" s="2672"/>
      <c r="K128" s="2672">
        <v>2500</v>
      </c>
      <c r="L128" s="2672"/>
      <c r="M128" s="2672">
        <f>I128+K128</f>
        <v>2500</v>
      </c>
      <c r="N128" s="2672"/>
      <c r="O128" s="2672">
        <v>7430</v>
      </c>
      <c r="P128" s="2672"/>
      <c r="Q128" s="1658">
        <f t="shared" si="50"/>
        <v>9930</v>
      </c>
      <c r="R128" s="2672"/>
      <c r="S128" s="2672">
        <v>2070</v>
      </c>
      <c r="T128" s="2672"/>
      <c r="U128" s="1658">
        <f t="shared" si="110"/>
        <v>12000</v>
      </c>
      <c r="V128" s="2672"/>
      <c r="W128" s="2672"/>
      <c r="X128" s="2672"/>
      <c r="Y128" s="2672">
        <f t="shared" ref="Y128" si="124">+O128+S128+W128</f>
        <v>9500</v>
      </c>
      <c r="Z128" s="2672">
        <f t="shared" ref="F128:BE131" si="125">+Z129</f>
        <v>0</v>
      </c>
      <c r="AA128" s="2672">
        <f t="shared" ref="AA128" si="126">M128+Y128</f>
        <v>12000</v>
      </c>
      <c r="AB128" s="2672"/>
      <c r="AC128" s="2672"/>
      <c r="AD128" s="2672"/>
      <c r="AE128" s="2672"/>
      <c r="AF128" s="2672"/>
      <c r="AG128" s="2672"/>
      <c r="AH128" s="2672"/>
      <c r="AI128" s="2672"/>
      <c r="AJ128" s="2672"/>
      <c r="AK128" s="2672"/>
      <c r="AL128" s="2672"/>
      <c r="AM128" s="2672"/>
      <c r="AN128" s="2672"/>
      <c r="AO128" s="2672"/>
      <c r="AP128" s="2672"/>
      <c r="AQ128" s="2672"/>
      <c r="AR128" s="2672"/>
      <c r="AS128" s="2672"/>
      <c r="AT128" s="2672"/>
      <c r="AU128" s="2672"/>
      <c r="AV128" s="2672"/>
      <c r="AW128" s="2672"/>
      <c r="AX128" s="2672"/>
      <c r="AY128" s="2672"/>
      <c r="AZ128" s="2672"/>
      <c r="BA128" s="2672"/>
      <c r="BB128" s="2672"/>
      <c r="BC128" s="2672"/>
      <c r="BD128" s="2672"/>
      <c r="BE128" s="2672"/>
      <c r="BF128" s="26"/>
      <c r="BG128" s="26"/>
      <c r="BH128" s="26"/>
      <c r="BP128" s="26"/>
      <c r="BQ128" s="26"/>
    </row>
    <row r="129" spans="1:69" x14ac:dyDescent="0.25">
      <c r="B129" s="743" t="s">
        <v>954</v>
      </c>
      <c r="C129" s="2656" t="s">
        <v>354</v>
      </c>
      <c r="D129" s="2672"/>
      <c r="E129" s="2672">
        <f>+E130</f>
        <v>10.34</v>
      </c>
      <c r="F129" s="2672">
        <f t="shared" si="125"/>
        <v>0</v>
      </c>
      <c r="G129" s="2672">
        <f>+G130</f>
        <v>0</v>
      </c>
      <c r="H129" s="2672">
        <f t="shared" si="125"/>
        <v>0</v>
      </c>
      <c r="I129" s="2672">
        <f t="shared" si="125"/>
        <v>10.34</v>
      </c>
      <c r="J129" s="2672">
        <f t="shared" si="125"/>
        <v>0</v>
      </c>
      <c r="K129" s="2672">
        <f>+K130</f>
        <v>10.38</v>
      </c>
      <c r="L129" s="2672">
        <f t="shared" si="125"/>
        <v>0</v>
      </c>
      <c r="M129" s="2672">
        <f t="shared" si="125"/>
        <v>20.72</v>
      </c>
      <c r="N129" s="2672">
        <f t="shared" si="125"/>
        <v>0</v>
      </c>
      <c r="O129" s="2672">
        <f>+O130</f>
        <v>10.34</v>
      </c>
      <c r="P129" s="2672">
        <f t="shared" si="125"/>
        <v>0</v>
      </c>
      <c r="Q129" s="1658">
        <f t="shared" si="50"/>
        <v>31.06</v>
      </c>
      <c r="R129" s="2672">
        <f t="shared" si="125"/>
        <v>0</v>
      </c>
      <c r="S129" s="2672">
        <f>+S130</f>
        <v>14.13</v>
      </c>
      <c r="T129" s="2672">
        <f t="shared" si="125"/>
        <v>0</v>
      </c>
      <c r="U129" s="1658">
        <f t="shared" si="110"/>
        <v>45.19</v>
      </c>
      <c r="V129" s="2672">
        <f t="shared" si="125"/>
        <v>0</v>
      </c>
      <c r="W129" s="2672">
        <f>+W130</f>
        <v>0</v>
      </c>
      <c r="X129" s="2672">
        <f t="shared" si="125"/>
        <v>0</v>
      </c>
      <c r="Y129" s="2672">
        <f t="shared" si="58"/>
        <v>24.47</v>
      </c>
      <c r="Z129" s="2672">
        <f t="shared" si="125"/>
        <v>0</v>
      </c>
      <c r="AA129" s="2660">
        <f t="shared" si="55"/>
        <v>45.19</v>
      </c>
      <c r="AB129" s="2672">
        <f t="shared" si="125"/>
        <v>0</v>
      </c>
      <c r="AC129" s="4374">
        <f>+AC130</f>
        <v>0</v>
      </c>
      <c r="AD129" s="2672">
        <f t="shared" si="125"/>
        <v>0</v>
      </c>
      <c r="AE129" s="2672">
        <f t="shared" si="125"/>
        <v>45.19</v>
      </c>
      <c r="AF129" s="2672">
        <f t="shared" si="125"/>
        <v>0</v>
      </c>
      <c r="AG129" s="4374">
        <f>+AG130</f>
        <v>0</v>
      </c>
      <c r="AH129" s="2672">
        <f t="shared" si="125"/>
        <v>0</v>
      </c>
      <c r="AI129" s="2672">
        <f t="shared" si="125"/>
        <v>45.19</v>
      </c>
      <c r="AJ129" s="2672">
        <f t="shared" si="125"/>
        <v>0</v>
      </c>
      <c r="AK129" s="4374">
        <f>+AK130</f>
        <v>0</v>
      </c>
      <c r="AL129" s="2672">
        <f t="shared" si="125"/>
        <v>0</v>
      </c>
      <c r="AM129" s="2672">
        <f t="shared" si="62"/>
        <v>0</v>
      </c>
      <c r="AN129" s="2672">
        <f t="shared" si="125"/>
        <v>0</v>
      </c>
      <c r="AO129" s="2672">
        <f t="shared" si="74"/>
        <v>45.19</v>
      </c>
      <c r="AP129" s="2672">
        <f t="shared" si="125"/>
        <v>0</v>
      </c>
      <c r="AQ129" s="4374">
        <f>+AQ130</f>
        <v>0</v>
      </c>
      <c r="AR129" s="2672">
        <f t="shared" si="125"/>
        <v>0</v>
      </c>
      <c r="AS129" s="2672">
        <f t="shared" si="125"/>
        <v>45.19</v>
      </c>
      <c r="AT129" s="2672">
        <f t="shared" si="125"/>
        <v>0</v>
      </c>
      <c r="AU129" s="4374">
        <f>+AU130</f>
        <v>29.08</v>
      </c>
      <c r="AV129" s="2672">
        <f t="shared" si="125"/>
        <v>0</v>
      </c>
      <c r="AW129" s="2672">
        <f t="shared" si="125"/>
        <v>74.27</v>
      </c>
      <c r="AX129" s="2672">
        <f t="shared" si="125"/>
        <v>0</v>
      </c>
      <c r="AY129" s="4374">
        <f>+AY130</f>
        <v>0</v>
      </c>
      <c r="AZ129" s="2672">
        <f t="shared" si="125"/>
        <v>0</v>
      </c>
      <c r="BA129" s="2672">
        <f t="shared" si="57"/>
        <v>29.08</v>
      </c>
      <c r="BB129" s="2672">
        <f t="shared" si="125"/>
        <v>0</v>
      </c>
      <c r="BC129" s="2660">
        <f t="shared" si="59"/>
        <v>29.08</v>
      </c>
      <c r="BD129" s="2672">
        <f t="shared" si="125"/>
        <v>0</v>
      </c>
      <c r="BE129" s="2466">
        <f t="shared" si="125"/>
        <v>74.27</v>
      </c>
      <c r="BF129" s="26"/>
      <c r="BG129" s="26"/>
      <c r="BH129" s="26"/>
      <c r="BP129" s="26"/>
      <c r="BQ129" s="26"/>
    </row>
    <row r="130" spans="1:69" x14ac:dyDescent="0.25">
      <c r="B130" s="8" t="s">
        <v>881</v>
      </c>
      <c r="C130" s="2656" t="s">
        <v>354</v>
      </c>
      <c r="D130" s="2675"/>
      <c r="E130" s="2675">
        <v>10.34</v>
      </c>
      <c r="F130" s="2675"/>
      <c r="G130" s="2675"/>
      <c r="H130" s="2676"/>
      <c r="I130" s="2676">
        <f t="shared" si="108"/>
        <v>10.34</v>
      </c>
      <c r="J130" s="2675"/>
      <c r="K130" s="2675">
        <v>10.38</v>
      </c>
      <c r="L130" s="2675"/>
      <c r="M130" s="2677">
        <f t="shared" si="109"/>
        <v>20.72</v>
      </c>
      <c r="N130" s="2675"/>
      <c r="O130" s="2675">
        <v>10.34</v>
      </c>
      <c r="P130" s="2675"/>
      <c r="Q130" s="1658">
        <f t="shared" si="50"/>
        <v>31.06</v>
      </c>
      <c r="R130" s="2675"/>
      <c r="S130" s="2675">
        <v>14.13</v>
      </c>
      <c r="T130" s="2675"/>
      <c r="U130" s="1658">
        <f t="shared" si="110"/>
        <v>45.19</v>
      </c>
      <c r="V130" s="2675"/>
      <c r="W130" s="2675"/>
      <c r="X130" s="2675"/>
      <c r="Y130" s="2677">
        <f t="shared" si="58"/>
        <v>24.47</v>
      </c>
      <c r="Z130" s="2675"/>
      <c r="AA130" s="2660">
        <f t="shared" si="55"/>
        <v>45.19</v>
      </c>
      <c r="AB130" s="2675"/>
      <c r="AC130" s="2881"/>
      <c r="AD130" s="2675"/>
      <c r="AE130" s="2659">
        <f t="shared" si="111"/>
        <v>45.19</v>
      </c>
      <c r="AF130" s="2675"/>
      <c r="AG130" s="2881"/>
      <c r="AH130" s="2675"/>
      <c r="AI130" s="2659">
        <f t="shared" si="112"/>
        <v>45.19</v>
      </c>
      <c r="AJ130" s="2675"/>
      <c r="AK130" s="2881"/>
      <c r="AL130" s="2675"/>
      <c r="AM130" s="2677">
        <f t="shared" si="62"/>
        <v>0</v>
      </c>
      <c r="AN130" s="2675"/>
      <c r="AO130" s="2659">
        <f t="shared" si="74"/>
        <v>45.19</v>
      </c>
      <c r="AP130" s="2675"/>
      <c r="AQ130" s="2881"/>
      <c r="AR130" s="2675"/>
      <c r="AS130" s="2659">
        <f t="shared" ref="AS130" si="127">+AO130+AQ130</f>
        <v>45.19</v>
      </c>
      <c r="AT130" s="2675"/>
      <c r="AU130" s="2881">
        <v>29.08</v>
      </c>
      <c r="AV130" s="2675"/>
      <c r="AW130" s="2659">
        <f t="shared" ref="AW130" si="128">+AS130+AU130</f>
        <v>74.27</v>
      </c>
      <c r="AX130" s="2675"/>
      <c r="AY130" s="2881"/>
      <c r="AZ130" s="2675"/>
      <c r="BA130" s="2677">
        <f t="shared" si="57"/>
        <v>29.08</v>
      </c>
      <c r="BB130" s="2675"/>
      <c r="BC130" s="2660">
        <f t="shared" si="59"/>
        <v>29.08</v>
      </c>
      <c r="BD130" s="2675"/>
      <c r="BE130" s="182">
        <f t="shared" ref="BE130" si="129">+AW130+AY130</f>
        <v>74.27</v>
      </c>
      <c r="BF130" s="26"/>
      <c r="BG130" s="26"/>
      <c r="BH130" s="26"/>
      <c r="BP130" s="26"/>
      <c r="BQ130" s="26"/>
    </row>
    <row r="131" spans="1:69" x14ac:dyDescent="0.25">
      <c r="B131" s="743" t="s">
        <v>673</v>
      </c>
      <c r="C131" s="2656" t="s">
        <v>354</v>
      </c>
      <c r="D131" s="2672"/>
      <c r="E131" s="2672">
        <f>+E132</f>
        <v>0</v>
      </c>
      <c r="F131" s="2672">
        <f t="shared" si="125"/>
        <v>0</v>
      </c>
      <c r="G131" s="2672">
        <f>+G132</f>
        <v>21.759999999999998</v>
      </c>
      <c r="H131" s="2672"/>
      <c r="I131" s="2672">
        <f t="shared" si="108"/>
        <v>21.759999999999998</v>
      </c>
      <c r="J131" s="2672"/>
      <c r="K131" s="2672">
        <f>+K132</f>
        <v>10.97</v>
      </c>
      <c r="L131" s="2672"/>
      <c r="M131" s="2672">
        <f>+M132</f>
        <v>32.729999999999997</v>
      </c>
      <c r="N131" s="2672"/>
      <c r="O131" s="2672">
        <f>+O132</f>
        <v>0</v>
      </c>
      <c r="P131" s="2672"/>
      <c r="Q131" s="1658">
        <f t="shared" si="50"/>
        <v>32.729999999999997</v>
      </c>
      <c r="R131" s="2672"/>
      <c r="S131" s="2672">
        <f>+S132</f>
        <v>8.2799999999999994</v>
      </c>
      <c r="T131" s="2672"/>
      <c r="U131" s="1658">
        <f t="shared" si="110"/>
        <v>41.01</v>
      </c>
      <c r="V131" s="2672"/>
      <c r="W131" s="2672">
        <f>+W132</f>
        <v>0</v>
      </c>
      <c r="X131" s="2672"/>
      <c r="Y131" s="2677">
        <f t="shared" ref="Y131:Y132" si="130">+O131+S131+W131</f>
        <v>8.2799999999999994</v>
      </c>
      <c r="Z131" s="2675"/>
      <c r="AA131" s="2660">
        <f t="shared" ref="AA131:AA132" si="131">M131+Y131</f>
        <v>41.01</v>
      </c>
      <c r="AB131" s="2672"/>
      <c r="AC131" s="4374"/>
      <c r="AD131" s="2672"/>
      <c r="AE131" s="2672"/>
      <c r="AF131" s="2672"/>
      <c r="AG131" s="4374"/>
      <c r="AH131" s="2672"/>
      <c r="AI131" s="2672"/>
      <c r="AJ131" s="2672"/>
      <c r="AK131" s="4374"/>
      <c r="AL131" s="2672"/>
      <c r="AM131" s="2672"/>
      <c r="AN131" s="2672"/>
      <c r="AO131" s="2672"/>
      <c r="AP131" s="2672"/>
      <c r="AQ131" s="4374"/>
      <c r="AR131" s="2672"/>
      <c r="AS131" s="2672"/>
      <c r="AT131" s="2672"/>
      <c r="AU131" s="4374"/>
      <c r="AV131" s="2672"/>
      <c r="AW131" s="2672"/>
      <c r="AX131" s="2672"/>
      <c r="AY131" s="4374"/>
      <c r="AZ131" s="2672"/>
      <c r="BA131" s="2672"/>
      <c r="BB131" s="2672"/>
      <c r="BC131" s="2660"/>
      <c r="BD131" s="2672"/>
      <c r="BE131" s="2466"/>
      <c r="BF131" s="26"/>
      <c r="BG131" s="26"/>
      <c r="BH131" s="26"/>
      <c r="BP131" s="26"/>
      <c r="BQ131" s="26"/>
    </row>
    <row r="132" spans="1:69" x14ac:dyDescent="0.25">
      <c r="B132" s="4861" t="s">
        <v>2256</v>
      </c>
      <c r="C132" s="5406" t="s">
        <v>354</v>
      </c>
      <c r="D132" s="5407"/>
      <c r="E132" s="5407"/>
      <c r="F132" s="5407"/>
      <c r="G132" s="5407">
        <v>21.759999999999998</v>
      </c>
      <c r="H132" s="5408"/>
      <c r="I132" s="2676">
        <f t="shared" si="108"/>
        <v>21.759999999999998</v>
      </c>
      <c r="J132" s="5407"/>
      <c r="K132" s="5407">
        <v>10.97</v>
      </c>
      <c r="L132" s="5407"/>
      <c r="M132" s="2677">
        <f t="shared" si="109"/>
        <v>32.729999999999997</v>
      </c>
      <c r="N132" s="5407"/>
      <c r="O132" s="5407"/>
      <c r="P132" s="5407"/>
      <c r="Q132" s="1658">
        <f t="shared" si="50"/>
        <v>32.729999999999997</v>
      </c>
      <c r="R132" s="5407"/>
      <c r="S132" s="5407">
        <v>8.2799999999999994</v>
      </c>
      <c r="T132" s="5407"/>
      <c r="U132" s="1658">
        <f t="shared" si="110"/>
        <v>41.01</v>
      </c>
      <c r="V132" s="5407"/>
      <c r="W132" s="5407"/>
      <c r="X132" s="5407"/>
      <c r="Y132" s="2677">
        <f t="shared" si="130"/>
        <v>8.2799999999999994</v>
      </c>
      <c r="Z132" s="2675"/>
      <c r="AA132" s="2660">
        <f t="shared" si="131"/>
        <v>41.01</v>
      </c>
      <c r="AB132" s="5407"/>
      <c r="AC132" s="5411"/>
      <c r="AD132" s="5407"/>
      <c r="AE132" s="5412"/>
      <c r="AF132" s="5407"/>
      <c r="AG132" s="5411"/>
      <c r="AH132" s="5407"/>
      <c r="AI132" s="5412"/>
      <c r="AJ132" s="5407"/>
      <c r="AK132" s="5411"/>
      <c r="AL132" s="5407"/>
      <c r="AM132" s="5409"/>
      <c r="AN132" s="5407"/>
      <c r="AO132" s="5412"/>
      <c r="AP132" s="5407"/>
      <c r="AQ132" s="5411"/>
      <c r="AR132" s="5407"/>
      <c r="AS132" s="5412"/>
      <c r="AT132" s="5407"/>
      <c r="AU132" s="5411"/>
      <c r="AV132" s="5407"/>
      <c r="AW132" s="5412"/>
      <c r="AX132" s="5407"/>
      <c r="AY132" s="5411"/>
      <c r="AZ132" s="5407"/>
      <c r="BA132" s="5409"/>
      <c r="BB132" s="5407"/>
      <c r="BC132" s="5410"/>
      <c r="BD132" s="5407"/>
      <c r="BE132" s="5413"/>
      <c r="BF132" s="26"/>
      <c r="BG132" s="26"/>
      <c r="BH132" s="26"/>
      <c r="BP132" s="26"/>
      <c r="BQ132" s="26"/>
    </row>
    <row r="133" spans="1:69" x14ac:dyDescent="0.25">
      <c r="B133" s="743" t="s">
        <v>1330</v>
      </c>
      <c r="C133" s="2656" t="s">
        <v>354</v>
      </c>
      <c r="D133" s="2675"/>
      <c r="E133" s="2672">
        <f>+E134</f>
        <v>0</v>
      </c>
      <c r="F133" s="2672">
        <f t="shared" ref="F133:BE133" si="132">+F134</f>
        <v>0</v>
      </c>
      <c r="G133" s="2672">
        <f>+G134</f>
        <v>0</v>
      </c>
      <c r="H133" s="2672">
        <f t="shared" si="132"/>
        <v>0</v>
      </c>
      <c r="I133" s="2672">
        <f t="shared" si="132"/>
        <v>0</v>
      </c>
      <c r="J133" s="2672">
        <f t="shared" si="132"/>
        <v>0</v>
      </c>
      <c r="K133" s="2672">
        <f>+K134</f>
        <v>0</v>
      </c>
      <c r="L133" s="2672">
        <f t="shared" si="132"/>
        <v>0</v>
      </c>
      <c r="M133" s="2672">
        <f t="shared" si="132"/>
        <v>0</v>
      </c>
      <c r="N133" s="2672">
        <f t="shared" si="132"/>
        <v>0</v>
      </c>
      <c r="O133" s="2672">
        <f>+O134</f>
        <v>0</v>
      </c>
      <c r="P133" s="2672">
        <f t="shared" si="132"/>
        <v>0</v>
      </c>
      <c r="Q133" s="1658">
        <f t="shared" si="50"/>
        <v>0</v>
      </c>
      <c r="R133" s="2672">
        <f t="shared" si="132"/>
        <v>0</v>
      </c>
      <c r="S133" s="2672">
        <f>+S134</f>
        <v>0</v>
      </c>
      <c r="T133" s="2672">
        <f t="shared" si="132"/>
        <v>0</v>
      </c>
      <c r="U133" s="1658">
        <f t="shared" si="110"/>
        <v>0</v>
      </c>
      <c r="V133" s="2672">
        <f t="shared" si="132"/>
        <v>0</v>
      </c>
      <c r="W133" s="2672">
        <f>+W134</f>
        <v>0</v>
      </c>
      <c r="X133" s="2672">
        <f t="shared" si="132"/>
        <v>0</v>
      </c>
      <c r="Y133" s="2672">
        <f t="shared" si="58"/>
        <v>0</v>
      </c>
      <c r="Z133" s="2672">
        <f t="shared" si="132"/>
        <v>0</v>
      </c>
      <c r="AA133" s="2660">
        <f t="shared" si="55"/>
        <v>0</v>
      </c>
      <c r="AB133" s="2672">
        <f t="shared" si="132"/>
        <v>0</v>
      </c>
      <c r="AC133" s="4374">
        <f>+AC134</f>
        <v>0</v>
      </c>
      <c r="AD133" s="2672">
        <f t="shared" si="132"/>
        <v>0</v>
      </c>
      <c r="AE133" s="2672">
        <f t="shared" si="132"/>
        <v>0</v>
      </c>
      <c r="AF133" s="2672">
        <f t="shared" si="132"/>
        <v>0</v>
      </c>
      <c r="AG133" s="4374">
        <f>+AG134</f>
        <v>0</v>
      </c>
      <c r="AH133" s="2672">
        <f t="shared" si="132"/>
        <v>0</v>
      </c>
      <c r="AI133" s="2672">
        <f t="shared" si="132"/>
        <v>0</v>
      </c>
      <c r="AJ133" s="2672">
        <f t="shared" si="132"/>
        <v>0</v>
      </c>
      <c r="AK133" s="4374">
        <f>+AK134</f>
        <v>0</v>
      </c>
      <c r="AL133" s="2672">
        <f t="shared" si="132"/>
        <v>0</v>
      </c>
      <c r="AM133" s="2672">
        <f t="shared" si="62"/>
        <v>0</v>
      </c>
      <c r="AN133" s="2672">
        <f t="shared" si="132"/>
        <v>0</v>
      </c>
      <c r="AO133" s="2672">
        <f t="shared" si="74"/>
        <v>0</v>
      </c>
      <c r="AP133" s="2672">
        <f t="shared" si="132"/>
        <v>0</v>
      </c>
      <c r="AQ133" s="4374">
        <f>+AQ134</f>
        <v>0</v>
      </c>
      <c r="AR133" s="2672">
        <f t="shared" si="132"/>
        <v>0</v>
      </c>
      <c r="AS133" s="2672">
        <f t="shared" si="132"/>
        <v>0</v>
      </c>
      <c r="AT133" s="2672">
        <f t="shared" si="132"/>
        <v>0</v>
      </c>
      <c r="AU133" s="4374">
        <f>+AU134</f>
        <v>0</v>
      </c>
      <c r="AV133" s="2672">
        <f t="shared" si="132"/>
        <v>0</v>
      </c>
      <c r="AW133" s="2672">
        <f t="shared" si="132"/>
        <v>0</v>
      </c>
      <c r="AX133" s="2672">
        <f t="shared" si="132"/>
        <v>0</v>
      </c>
      <c r="AY133" s="4374">
        <f>+AY134</f>
        <v>299.3</v>
      </c>
      <c r="AZ133" s="2672">
        <f t="shared" si="132"/>
        <v>0</v>
      </c>
      <c r="BA133" s="2672">
        <f t="shared" si="57"/>
        <v>299.3</v>
      </c>
      <c r="BB133" s="2672">
        <f t="shared" si="132"/>
        <v>0</v>
      </c>
      <c r="BC133" s="2660">
        <f t="shared" si="59"/>
        <v>299.3</v>
      </c>
      <c r="BD133" s="2672">
        <f t="shared" si="132"/>
        <v>0</v>
      </c>
      <c r="BE133" s="2466">
        <f t="shared" si="132"/>
        <v>299.3</v>
      </c>
      <c r="BF133" s="26"/>
      <c r="BG133" s="26"/>
      <c r="BH133" s="26"/>
      <c r="BP133" s="26"/>
      <c r="BQ133" s="26"/>
    </row>
    <row r="134" spans="1:69" x14ac:dyDescent="0.25">
      <c r="B134" s="8" t="s">
        <v>1331</v>
      </c>
      <c r="C134" s="2656" t="s">
        <v>354</v>
      </c>
      <c r="D134" s="2675"/>
      <c r="E134" s="2675"/>
      <c r="F134" s="2675"/>
      <c r="G134" s="2675"/>
      <c r="H134" s="2676"/>
      <c r="I134" s="2676">
        <f t="shared" si="108"/>
        <v>0</v>
      </c>
      <c r="J134" s="2675"/>
      <c r="K134" s="2675"/>
      <c r="L134" s="2675"/>
      <c r="M134" s="2677">
        <f t="shared" si="109"/>
        <v>0</v>
      </c>
      <c r="N134" s="2675"/>
      <c r="O134" s="2675"/>
      <c r="P134" s="2675"/>
      <c r="Q134" s="1658">
        <f t="shared" ref="Q134:Q197" si="133">+M134+O134</f>
        <v>0</v>
      </c>
      <c r="R134" s="2675"/>
      <c r="S134" s="2675"/>
      <c r="T134" s="2675"/>
      <c r="U134" s="1658">
        <f t="shared" si="110"/>
        <v>0</v>
      </c>
      <c r="V134" s="2675"/>
      <c r="W134" s="2675"/>
      <c r="X134" s="2675"/>
      <c r="Y134" s="2677">
        <f t="shared" si="58"/>
        <v>0</v>
      </c>
      <c r="Z134" s="2675"/>
      <c r="AA134" s="2660">
        <f t="shared" si="55"/>
        <v>0</v>
      </c>
      <c r="AB134" s="2675"/>
      <c r="AC134" s="2881"/>
      <c r="AD134" s="2675"/>
      <c r="AE134" s="2659">
        <f t="shared" si="111"/>
        <v>0</v>
      </c>
      <c r="AF134" s="2675"/>
      <c r="AG134" s="2881"/>
      <c r="AH134" s="2675"/>
      <c r="AI134" s="2659">
        <f t="shared" si="112"/>
        <v>0</v>
      </c>
      <c r="AJ134" s="2675"/>
      <c r="AK134" s="2881"/>
      <c r="AL134" s="2675"/>
      <c r="AM134" s="2677">
        <f t="shared" si="62"/>
        <v>0</v>
      </c>
      <c r="AN134" s="2675"/>
      <c r="AO134" s="2659">
        <f t="shared" si="74"/>
        <v>0</v>
      </c>
      <c r="AP134" s="2675"/>
      <c r="AQ134" s="2881"/>
      <c r="AR134" s="2675"/>
      <c r="AS134" s="2659">
        <f t="shared" ref="AS134:AS135" si="134">+AO134+AQ134</f>
        <v>0</v>
      </c>
      <c r="AT134" s="2675"/>
      <c r="AU134" s="2881"/>
      <c r="AV134" s="2675"/>
      <c r="AW134" s="2659">
        <f t="shared" ref="AW134:AW135" si="135">+AS134+AU134</f>
        <v>0</v>
      </c>
      <c r="AX134" s="2675"/>
      <c r="AY134" s="2881">
        <v>299.3</v>
      </c>
      <c r="AZ134" s="2675"/>
      <c r="BA134" s="2677">
        <f t="shared" si="57"/>
        <v>299.3</v>
      </c>
      <c r="BB134" s="2675"/>
      <c r="BC134" s="2660">
        <f t="shared" si="59"/>
        <v>299.3</v>
      </c>
      <c r="BD134" s="2675"/>
      <c r="BE134" s="182">
        <f t="shared" ref="BE134:BE135" si="136">+AW134+AY134</f>
        <v>299.3</v>
      </c>
      <c r="BF134" s="26"/>
      <c r="BG134" s="26"/>
      <c r="BH134" s="26"/>
      <c r="BP134" s="26"/>
      <c r="BQ134" s="26"/>
    </row>
    <row r="135" spans="1:69" ht="16.5" thickBot="1" x14ac:dyDescent="0.3">
      <c r="A135" s="149"/>
      <c r="B135" s="743" t="s">
        <v>1085</v>
      </c>
      <c r="C135" s="2656" t="s">
        <v>354</v>
      </c>
      <c r="D135" s="2675"/>
      <c r="E135" s="2678"/>
      <c r="F135" s="2678"/>
      <c r="G135" s="2678">
        <v>8.7800000000000011</v>
      </c>
      <c r="H135" s="2678"/>
      <c r="I135" s="2678">
        <f t="shared" si="108"/>
        <v>8.7800000000000011</v>
      </c>
      <c r="J135" s="2678"/>
      <c r="K135" s="2678"/>
      <c r="L135" s="2678"/>
      <c r="M135" s="2679">
        <f t="shared" si="109"/>
        <v>8.7800000000000011</v>
      </c>
      <c r="N135" s="2678"/>
      <c r="O135" s="2678"/>
      <c r="P135" s="2678"/>
      <c r="Q135" s="1658">
        <f t="shared" si="133"/>
        <v>8.7800000000000011</v>
      </c>
      <c r="R135" s="2678"/>
      <c r="S135" s="2678">
        <v>7.29</v>
      </c>
      <c r="T135" s="2678"/>
      <c r="U135" s="1658">
        <f t="shared" si="110"/>
        <v>16.07</v>
      </c>
      <c r="V135" s="2678"/>
      <c r="W135" s="2678">
        <v>7.8</v>
      </c>
      <c r="X135" s="2678"/>
      <c r="Y135" s="2679">
        <f t="shared" si="58"/>
        <v>15.09</v>
      </c>
      <c r="Z135" s="2678"/>
      <c r="AA135" s="2680">
        <f t="shared" si="55"/>
        <v>23.87</v>
      </c>
      <c r="AB135" s="2678"/>
      <c r="AC135" s="4375">
        <v>46</v>
      </c>
      <c r="AD135" s="2678"/>
      <c r="AE135" s="2678">
        <f t="shared" si="111"/>
        <v>69.87</v>
      </c>
      <c r="AF135" s="2678"/>
      <c r="AG135" s="4375"/>
      <c r="AH135" s="2678"/>
      <c r="AI135" s="2678">
        <f t="shared" si="112"/>
        <v>69.87</v>
      </c>
      <c r="AJ135" s="2678"/>
      <c r="AK135" s="4375"/>
      <c r="AL135" s="2678"/>
      <c r="AM135" s="2679">
        <f t="shared" si="62"/>
        <v>46</v>
      </c>
      <c r="AN135" s="2678"/>
      <c r="AO135" s="2678">
        <f t="shared" si="74"/>
        <v>69.87</v>
      </c>
      <c r="AP135" s="2678"/>
      <c r="AQ135" s="4375"/>
      <c r="AR135" s="2678"/>
      <c r="AS135" s="2678">
        <f t="shared" si="134"/>
        <v>69.87</v>
      </c>
      <c r="AT135" s="2678"/>
      <c r="AU135" s="4375">
        <v>40.24</v>
      </c>
      <c r="AV135" s="2678"/>
      <c r="AW135" s="2678">
        <f t="shared" si="135"/>
        <v>110.11000000000001</v>
      </c>
      <c r="AX135" s="2678"/>
      <c r="AY135" s="4375"/>
      <c r="AZ135" s="2678"/>
      <c r="BA135" s="2679">
        <f t="shared" si="57"/>
        <v>40.24</v>
      </c>
      <c r="BB135" s="2678"/>
      <c r="BC135" s="2680">
        <f t="shared" si="59"/>
        <v>86.240000000000009</v>
      </c>
      <c r="BD135" s="2678"/>
      <c r="BE135" s="2681">
        <f t="shared" si="136"/>
        <v>110.11000000000001</v>
      </c>
      <c r="BF135" s="26"/>
      <c r="BG135" s="26"/>
      <c r="BH135" s="26"/>
      <c r="BP135" s="26"/>
      <c r="BQ135" s="26"/>
    </row>
    <row r="136" spans="1:69" ht="26.25" thickBot="1" x14ac:dyDescent="0.3">
      <c r="A136" s="149"/>
      <c r="B136" s="5841" t="s">
        <v>1088</v>
      </c>
      <c r="C136" s="5842"/>
      <c r="D136" s="1358"/>
      <c r="E136" s="1358">
        <f>+E121+E125+E129+E133+E135+E131+E128</f>
        <v>10.34</v>
      </c>
      <c r="F136" s="1358">
        <f t="shared" ref="F136:H136" si="137">+F121+F125+F129+F133+F135</f>
        <v>0</v>
      </c>
      <c r="G136" s="1358">
        <f>+G121+G125+G129+G133+G135+G131+G128</f>
        <v>30.54</v>
      </c>
      <c r="H136" s="1358">
        <f t="shared" si="137"/>
        <v>0</v>
      </c>
      <c r="I136" s="1358">
        <f>+I121+I125+I129+I133+I135+I131+I128</f>
        <v>40.879999999999995</v>
      </c>
      <c r="J136" s="1358">
        <f t="shared" ref="J136:BE136" si="138">+J121+J125+J129+J133+J135+J131</f>
        <v>0</v>
      </c>
      <c r="K136" s="1358">
        <f>+K121+K125+K129+K133+K135+K131+K128</f>
        <v>2521.35</v>
      </c>
      <c r="L136" s="1358">
        <f t="shared" si="138"/>
        <v>0</v>
      </c>
      <c r="M136" s="1358">
        <f>+M121+M125+M129+M133+M135+M131+M128</f>
        <v>2562.23</v>
      </c>
      <c r="N136" s="1358">
        <f t="shared" si="138"/>
        <v>0</v>
      </c>
      <c r="O136" s="1358">
        <f>+O121+O125+O129+O133+O135+O131+O128</f>
        <v>7440.34</v>
      </c>
      <c r="P136" s="1358">
        <f t="shared" si="138"/>
        <v>0</v>
      </c>
      <c r="Q136" s="1658">
        <f t="shared" si="133"/>
        <v>10002.57</v>
      </c>
      <c r="R136" s="1358">
        <f t="shared" si="138"/>
        <v>0</v>
      </c>
      <c r="S136" s="1358">
        <f>+S121+S125+S129+S133+S135+S131+S128</f>
        <v>2099.6999999999998</v>
      </c>
      <c r="T136" s="1358">
        <f t="shared" si="138"/>
        <v>0</v>
      </c>
      <c r="U136" s="1658">
        <f t="shared" si="110"/>
        <v>12102.27</v>
      </c>
      <c r="V136" s="1358">
        <f t="shared" si="138"/>
        <v>0</v>
      </c>
      <c r="W136" s="1358">
        <f>+W121+W125+W129+W133+W135+W131+W128</f>
        <v>7.8</v>
      </c>
      <c r="X136" s="1358">
        <f t="shared" si="138"/>
        <v>0</v>
      </c>
      <c r="Y136" s="1358">
        <f t="shared" ref="Y136" si="139">+O136+S136+W136</f>
        <v>9547.84</v>
      </c>
      <c r="Z136" s="1358"/>
      <c r="AA136" s="1358">
        <f t="shared" ref="AA136" si="140">M136+Y136</f>
        <v>12110.07</v>
      </c>
      <c r="AB136" s="1358">
        <f t="shared" si="138"/>
        <v>0</v>
      </c>
      <c r="AC136" s="1358">
        <f t="shared" si="138"/>
        <v>46</v>
      </c>
      <c r="AD136" s="1358">
        <f t="shared" si="138"/>
        <v>0</v>
      </c>
      <c r="AE136" s="1358">
        <f t="shared" si="138"/>
        <v>115.06</v>
      </c>
      <c r="AF136" s="1358">
        <f t="shared" si="138"/>
        <v>0</v>
      </c>
      <c r="AG136" s="1358">
        <f t="shared" si="138"/>
        <v>0</v>
      </c>
      <c r="AH136" s="1358">
        <f t="shared" si="138"/>
        <v>0</v>
      </c>
      <c r="AI136" s="1358">
        <f t="shared" si="138"/>
        <v>115.06</v>
      </c>
      <c r="AJ136" s="1358">
        <f t="shared" si="138"/>
        <v>0</v>
      </c>
      <c r="AK136" s="1358">
        <f t="shared" si="138"/>
        <v>0</v>
      </c>
      <c r="AL136" s="1358">
        <f t="shared" si="138"/>
        <v>0</v>
      </c>
      <c r="AM136" s="1358">
        <f t="shared" si="138"/>
        <v>46</v>
      </c>
      <c r="AN136" s="1358">
        <f t="shared" si="138"/>
        <v>0</v>
      </c>
      <c r="AO136" s="1358">
        <f t="shared" si="138"/>
        <v>115.06</v>
      </c>
      <c r="AP136" s="1358">
        <f t="shared" si="138"/>
        <v>0</v>
      </c>
      <c r="AQ136" s="1358">
        <f t="shared" si="138"/>
        <v>0</v>
      </c>
      <c r="AR136" s="1358">
        <f t="shared" si="138"/>
        <v>0</v>
      </c>
      <c r="AS136" s="1358">
        <f t="shared" si="138"/>
        <v>115.06</v>
      </c>
      <c r="AT136" s="1358">
        <f t="shared" si="138"/>
        <v>0</v>
      </c>
      <c r="AU136" s="1358">
        <f t="shared" si="138"/>
        <v>78.72999999999999</v>
      </c>
      <c r="AV136" s="1358">
        <f t="shared" si="138"/>
        <v>0</v>
      </c>
      <c r="AW136" s="1358">
        <f t="shared" si="138"/>
        <v>193.79000000000002</v>
      </c>
      <c r="AX136" s="1358">
        <f t="shared" si="138"/>
        <v>0</v>
      </c>
      <c r="AY136" s="1358">
        <f t="shared" si="138"/>
        <v>303.51</v>
      </c>
      <c r="AZ136" s="1358">
        <f t="shared" si="138"/>
        <v>0</v>
      </c>
      <c r="BA136" s="1358">
        <f t="shared" si="138"/>
        <v>382.24</v>
      </c>
      <c r="BB136" s="1358">
        <f t="shared" si="138"/>
        <v>0</v>
      </c>
      <c r="BC136" s="1358">
        <f t="shared" si="138"/>
        <v>428.24</v>
      </c>
      <c r="BD136" s="1358">
        <f t="shared" si="138"/>
        <v>0</v>
      </c>
      <c r="BE136" s="1358">
        <f t="shared" si="138"/>
        <v>497.3</v>
      </c>
      <c r="BF136" s="26"/>
      <c r="BG136" s="26"/>
      <c r="BH136" s="26"/>
      <c r="BP136" s="26"/>
      <c r="BQ136" s="26"/>
    </row>
    <row r="137" spans="1:69" ht="21" thickBot="1" x14ac:dyDescent="0.3">
      <c r="A137" s="149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1745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P137" s="26"/>
      <c r="BQ137" s="26"/>
    </row>
    <row r="138" spans="1:69" ht="26.25" thickBot="1" x14ac:dyDescent="0.3">
      <c r="B138" s="5839" t="s">
        <v>1111</v>
      </c>
      <c r="C138" s="5840"/>
      <c r="D138" s="3355"/>
      <c r="E138" s="1117"/>
      <c r="F138" s="3355"/>
      <c r="G138" s="1117"/>
      <c r="H138" s="3356"/>
      <c r="I138" s="3357"/>
      <c r="J138" s="1724"/>
      <c r="K138" s="1117"/>
      <c r="L138" s="596"/>
      <c r="N138" s="596"/>
      <c r="O138" s="1117"/>
      <c r="P138" s="596"/>
      <c r="Q138" s="1745"/>
      <c r="R138" s="596"/>
      <c r="S138" s="1117"/>
      <c r="U138" s="3357"/>
      <c r="V138" s="596"/>
      <c r="W138" s="1117"/>
      <c r="X138" s="596"/>
      <c r="Z138" s="33"/>
      <c r="AA138" s="33"/>
      <c r="AB138" s="596"/>
      <c r="AC138" s="1117"/>
      <c r="AF138" s="596"/>
      <c r="AG138" s="1117"/>
      <c r="AJ138" s="596"/>
      <c r="AK138" s="1117"/>
      <c r="AL138" s="596"/>
      <c r="AM138" s="152"/>
      <c r="AP138" s="596"/>
      <c r="AQ138" s="1117"/>
      <c r="AT138" s="596"/>
      <c r="AU138" s="1117"/>
      <c r="AW138"/>
      <c r="AX138" s="33"/>
      <c r="AY138" s="1117"/>
      <c r="AZ138" s="33"/>
      <c r="BA138" s="152"/>
      <c r="BB138" s="33"/>
      <c r="BC138" s="33"/>
      <c r="BD138" s="33"/>
      <c r="BE138" s="33"/>
      <c r="BF138" s="26"/>
      <c r="BG138" s="26"/>
      <c r="BH138" s="26"/>
      <c r="BP138" s="26"/>
      <c r="BQ138" s="26"/>
    </row>
    <row r="139" spans="1:69" ht="22.5" x14ac:dyDescent="0.25">
      <c r="B139" s="1119" t="s">
        <v>691</v>
      </c>
      <c r="C139" s="370"/>
      <c r="D139" s="3266"/>
      <c r="E139" s="2813"/>
      <c r="F139" s="2813"/>
      <c r="G139" s="2813"/>
      <c r="H139" s="3358"/>
      <c r="I139" s="3359"/>
      <c r="J139" s="3347"/>
      <c r="K139" s="2813"/>
      <c r="L139" s="403"/>
      <c r="M139" s="2264"/>
      <c r="N139" s="403"/>
      <c r="O139" s="2813"/>
      <c r="P139" s="403"/>
      <c r="Q139" s="2667">
        <f t="shared" si="133"/>
        <v>0</v>
      </c>
      <c r="R139" s="403"/>
      <c r="S139" s="2813"/>
      <c r="T139" s="596"/>
      <c r="U139" s="3359"/>
      <c r="V139" s="403"/>
      <c r="W139" s="2813"/>
      <c r="X139" s="403"/>
      <c r="Y139" s="2264"/>
      <c r="Z139" s="403"/>
      <c r="AA139" s="522"/>
      <c r="AB139" s="403"/>
      <c r="AC139" s="4376"/>
      <c r="AD139" s="596"/>
      <c r="AE139" s="596"/>
      <c r="AF139" s="403"/>
      <c r="AG139" s="4376"/>
      <c r="AH139" s="596"/>
      <c r="AI139" s="596"/>
      <c r="AJ139" s="403"/>
      <c r="AK139" s="4376"/>
      <c r="AL139" s="403"/>
      <c r="AM139" s="2264"/>
      <c r="AN139" s="596"/>
      <c r="AO139" s="596"/>
      <c r="AP139" s="403"/>
      <c r="AQ139" s="4376"/>
      <c r="AR139" s="596"/>
      <c r="AS139" s="596"/>
      <c r="AT139" s="403"/>
      <c r="AU139" s="4376"/>
      <c r="AV139" s="596"/>
      <c r="AW139" s="596"/>
      <c r="AX139" s="403"/>
      <c r="AY139" s="4376"/>
      <c r="AZ139" s="403"/>
      <c r="BA139" s="2264">
        <f t="shared" si="57"/>
        <v>0</v>
      </c>
      <c r="BB139" s="403"/>
      <c r="BC139" s="522"/>
      <c r="BD139" s="596"/>
      <c r="BE139" s="1137"/>
      <c r="BF139" s="26"/>
      <c r="BG139" s="26"/>
      <c r="BH139" s="26"/>
      <c r="BP139" s="26"/>
      <c r="BQ139" s="26"/>
    </row>
    <row r="140" spans="1:69" ht="18.75" hidden="1" customHeight="1" x14ac:dyDescent="0.3">
      <c r="B140" s="1750" t="s">
        <v>1308</v>
      </c>
      <c r="C140" s="2656" t="s">
        <v>354</v>
      </c>
      <c r="D140" s="3360"/>
      <c r="E140" s="2675"/>
      <c r="F140" s="2675"/>
      <c r="G140" s="2675"/>
      <c r="H140" s="2676"/>
      <c r="I140" s="3361">
        <f t="shared" si="108"/>
        <v>0</v>
      </c>
      <c r="J140" s="3348"/>
      <c r="K140" s="2675"/>
      <c r="L140" s="597"/>
      <c r="M140" s="1151">
        <f t="shared" ref="M140:M187" si="141">+E140+G140+K140</f>
        <v>0</v>
      </c>
      <c r="N140" s="597"/>
      <c r="O140" s="2675"/>
      <c r="P140" s="597"/>
      <c r="Q140" s="1658">
        <f t="shared" si="133"/>
        <v>0</v>
      </c>
      <c r="R140" s="597"/>
      <c r="S140" s="2675"/>
      <c r="T140" s="403"/>
      <c r="U140" s="3361">
        <f t="shared" si="110"/>
        <v>0</v>
      </c>
      <c r="V140" s="597"/>
      <c r="W140" s="2675"/>
      <c r="X140" s="597"/>
      <c r="Y140" s="1151">
        <f t="shared" si="58"/>
        <v>0</v>
      </c>
      <c r="Z140" s="597"/>
      <c r="AA140" s="522">
        <f t="shared" si="55"/>
        <v>0</v>
      </c>
      <c r="AB140" s="597"/>
      <c r="AC140" s="2881"/>
      <c r="AD140" s="403"/>
      <c r="AE140" s="587">
        <f t="shared" ref="AE140:AE176" si="142">+AA140+AC140</f>
        <v>0</v>
      </c>
      <c r="AF140" s="597"/>
      <c r="AG140" s="2881"/>
      <c r="AH140" s="403"/>
      <c r="AI140" s="587">
        <f t="shared" ref="AI140:AI167" si="143">+AE140+AG140</f>
        <v>0</v>
      </c>
      <c r="AJ140" s="597"/>
      <c r="AK140" s="2881"/>
      <c r="AL140" s="597"/>
      <c r="AM140" s="1151">
        <f t="shared" si="62"/>
        <v>0</v>
      </c>
      <c r="AN140" s="403"/>
      <c r="AO140" s="587">
        <f t="shared" si="74"/>
        <v>0</v>
      </c>
      <c r="AP140" s="597"/>
      <c r="AQ140" s="2881"/>
      <c r="AR140" s="403"/>
      <c r="AS140" s="587">
        <f t="shared" ref="AS140:AS178" si="144">+AO140+AQ140</f>
        <v>0</v>
      </c>
      <c r="AT140" s="597"/>
      <c r="AU140" s="2881"/>
      <c r="AV140" s="403"/>
      <c r="AW140" s="587">
        <f t="shared" ref="AW140:AW187" si="145">+AS140+AU140</f>
        <v>0</v>
      </c>
      <c r="AX140" s="597"/>
      <c r="AY140" s="2881"/>
      <c r="AZ140" s="597"/>
      <c r="BA140" s="1151">
        <f t="shared" si="57"/>
        <v>0</v>
      </c>
      <c r="BB140" s="597"/>
      <c r="BC140" s="522">
        <f t="shared" si="59"/>
        <v>0</v>
      </c>
      <c r="BD140" s="403"/>
      <c r="BE140" s="256">
        <f t="shared" ref="BE140:BE164" si="146">+AW140+AY140</f>
        <v>0</v>
      </c>
      <c r="BF140" s="26"/>
      <c r="BG140" s="26"/>
      <c r="BH140" s="26"/>
      <c r="BP140" s="26"/>
      <c r="BQ140" s="26"/>
    </row>
    <row r="141" spans="1:69" ht="15.75" hidden="1" customHeight="1" x14ac:dyDescent="0.3">
      <c r="B141" s="1750" t="s">
        <v>1389</v>
      </c>
      <c r="C141" s="2656" t="s">
        <v>354</v>
      </c>
      <c r="D141" s="3360"/>
      <c r="E141" s="2675"/>
      <c r="F141" s="2675"/>
      <c r="G141" s="2675"/>
      <c r="H141" s="2676"/>
      <c r="I141" s="3361">
        <f t="shared" si="108"/>
        <v>0</v>
      </c>
      <c r="J141" s="3348"/>
      <c r="K141" s="2675"/>
      <c r="L141" s="597"/>
      <c r="M141" s="1151">
        <f t="shared" si="141"/>
        <v>0</v>
      </c>
      <c r="N141" s="597"/>
      <c r="O141" s="2675"/>
      <c r="P141" s="597"/>
      <c r="Q141" s="1658">
        <f t="shared" si="133"/>
        <v>0</v>
      </c>
      <c r="R141" s="597"/>
      <c r="S141" s="2675"/>
      <c r="T141" s="597"/>
      <c r="U141" s="3361">
        <f t="shared" si="110"/>
        <v>0</v>
      </c>
      <c r="V141" s="597"/>
      <c r="W141" s="2675"/>
      <c r="X141" s="597"/>
      <c r="Y141" s="1151">
        <f t="shared" ref="Y141:Y201" si="147">+O141+S141+W141</f>
        <v>0</v>
      </c>
      <c r="Z141" s="597"/>
      <c r="AA141" s="522">
        <f t="shared" ref="AA141:AA202" si="148">M141+Y141</f>
        <v>0</v>
      </c>
      <c r="AB141" s="597"/>
      <c r="AC141" s="2881"/>
      <c r="AD141" s="597"/>
      <c r="AE141" s="587">
        <f t="shared" si="142"/>
        <v>0</v>
      </c>
      <c r="AF141" s="597"/>
      <c r="AG141" s="2881"/>
      <c r="AH141" s="597"/>
      <c r="AI141" s="587">
        <f t="shared" si="143"/>
        <v>0</v>
      </c>
      <c r="AJ141" s="597"/>
      <c r="AK141" s="2881"/>
      <c r="AL141" s="597"/>
      <c r="AM141" s="1151">
        <f t="shared" ref="AM141:AM201" si="149">+AC141+AG141+AK141</f>
        <v>0</v>
      </c>
      <c r="AN141" s="597"/>
      <c r="AO141" s="587">
        <f t="shared" si="74"/>
        <v>0</v>
      </c>
      <c r="AP141" s="597"/>
      <c r="AQ141" s="2881"/>
      <c r="AR141" s="597"/>
      <c r="AS141" s="587">
        <f t="shared" si="144"/>
        <v>0</v>
      </c>
      <c r="AT141" s="597"/>
      <c r="AU141" s="2881"/>
      <c r="AV141" s="597"/>
      <c r="AW141" s="587">
        <f t="shared" si="145"/>
        <v>0</v>
      </c>
      <c r="AX141" s="597"/>
      <c r="AY141" s="2881"/>
      <c r="AZ141" s="597"/>
      <c r="BA141" s="1151">
        <f t="shared" ref="BA141:BA201" si="150">+AQ141+AU141+AY141</f>
        <v>0</v>
      </c>
      <c r="BB141" s="597"/>
      <c r="BC141" s="522">
        <f t="shared" si="59"/>
        <v>0</v>
      </c>
      <c r="BD141" s="597"/>
      <c r="BE141" s="256">
        <f t="shared" si="146"/>
        <v>0</v>
      </c>
      <c r="BF141" s="26"/>
      <c r="BG141" s="26"/>
      <c r="BH141" s="26"/>
      <c r="BP141" s="26"/>
      <c r="BQ141" s="26"/>
    </row>
    <row r="142" spans="1:69" ht="15.75" hidden="1" customHeight="1" x14ac:dyDescent="0.3">
      <c r="B142" s="1750" t="s">
        <v>1437</v>
      </c>
      <c r="C142" s="2656" t="s">
        <v>354</v>
      </c>
      <c r="D142" s="3360"/>
      <c r="E142" s="2675"/>
      <c r="F142" s="2675"/>
      <c r="G142" s="2675"/>
      <c r="H142" s="2676"/>
      <c r="I142" s="3361">
        <f t="shared" si="108"/>
        <v>0</v>
      </c>
      <c r="J142" s="3348"/>
      <c r="K142" s="2675"/>
      <c r="L142" s="597"/>
      <c r="M142" s="1151">
        <f t="shared" si="141"/>
        <v>0</v>
      </c>
      <c r="N142" s="597"/>
      <c r="O142" s="2675"/>
      <c r="P142" s="597"/>
      <c r="Q142" s="1658">
        <f t="shared" si="133"/>
        <v>0</v>
      </c>
      <c r="R142" s="597"/>
      <c r="S142" s="2675"/>
      <c r="T142" s="597"/>
      <c r="U142" s="3361">
        <f t="shared" si="110"/>
        <v>0</v>
      </c>
      <c r="V142" s="597"/>
      <c r="W142" s="2675"/>
      <c r="X142" s="597"/>
      <c r="Y142" s="1151">
        <f t="shared" si="147"/>
        <v>0</v>
      </c>
      <c r="Z142" s="597"/>
      <c r="AA142" s="522">
        <f t="shared" si="148"/>
        <v>0</v>
      </c>
      <c r="AB142" s="597"/>
      <c r="AC142" s="2881"/>
      <c r="AD142" s="597"/>
      <c r="AE142" s="587">
        <f t="shared" si="142"/>
        <v>0</v>
      </c>
      <c r="AF142" s="597"/>
      <c r="AG142" s="2881"/>
      <c r="AH142" s="597"/>
      <c r="AI142" s="587">
        <f t="shared" si="143"/>
        <v>0</v>
      </c>
      <c r="AJ142" s="597"/>
      <c r="AK142" s="2881"/>
      <c r="AL142" s="597"/>
      <c r="AM142" s="1151">
        <f t="shared" si="149"/>
        <v>0</v>
      </c>
      <c r="AN142" s="597"/>
      <c r="AO142" s="587">
        <f t="shared" si="74"/>
        <v>0</v>
      </c>
      <c r="AP142" s="597"/>
      <c r="AQ142" s="2881"/>
      <c r="AR142" s="597"/>
      <c r="AS142" s="587">
        <f t="shared" si="144"/>
        <v>0</v>
      </c>
      <c r="AT142" s="597"/>
      <c r="AU142" s="2881"/>
      <c r="AV142" s="597"/>
      <c r="AW142" s="587">
        <f t="shared" si="145"/>
        <v>0</v>
      </c>
      <c r="AX142" s="597"/>
      <c r="AY142" s="2881"/>
      <c r="AZ142" s="597"/>
      <c r="BA142" s="1151">
        <f t="shared" si="150"/>
        <v>0</v>
      </c>
      <c r="BB142" s="597"/>
      <c r="BC142" s="522">
        <f t="shared" ref="BC142:BC201" si="151">BA142+AM142</f>
        <v>0</v>
      </c>
      <c r="BD142" s="597"/>
      <c r="BE142" s="256">
        <f t="shared" si="146"/>
        <v>0</v>
      </c>
      <c r="BF142" s="26"/>
      <c r="BG142" s="26"/>
      <c r="BH142" s="26"/>
      <c r="BP142" s="26"/>
      <c r="BQ142" s="26"/>
    </row>
    <row r="143" spans="1:69" ht="15.6" hidden="1" x14ac:dyDescent="0.3">
      <c r="B143" s="1750" t="s">
        <v>1438</v>
      </c>
      <c r="C143" s="2656" t="s">
        <v>354</v>
      </c>
      <c r="D143" s="3360"/>
      <c r="E143" s="2675"/>
      <c r="F143" s="2675"/>
      <c r="G143" s="2675"/>
      <c r="H143" s="2676"/>
      <c r="I143" s="3361">
        <f t="shared" si="108"/>
        <v>0</v>
      </c>
      <c r="J143" s="3348"/>
      <c r="K143" s="2675"/>
      <c r="L143" s="597"/>
      <c r="M143" s="1151">
        <f t="shared" si="141"/>
        <v>0</v>
      </c>
      <c r="N143" s="597"/>
      <c r="O143" s="2675"/>
      <c r="P143" s="597"/>
      <c r="Q143" s="1658">
        <f t="shared" si="133"/>
        <v>0</v>
      </c>
      <c r="R143" s="597"/>
      <c r="S143" s="2675"/>
      <c r="T143" s="597"/>
      <c r="U143" s="3361">
        <f t="shared" si="110"/>
        <v>0</v>
      </c>
      <c r="V143" s="597"/>
      <c r="W143" s="2675"/>
      <c r="X143" s="597"/>
      <c r="Y143" s="1151">
        <f t="shared" si="147"/>
        <v>0</v>
      </c>
      <c r="Z143" s="597"/>
      <c r="AA143" s="522">
        <f t="shared" si="148"/>
        <v>0</v>
      </c>
      <c r="AB143" s="597"/>
      <c r="AC143" s="2881"/>
      <c r="AD143" s="597"/>
      <c r="AE143" s="587">
        <f t="shared" si="142"/>
        <v>0</v>
      </c>
      <c r="AF143" s="597"/>
      <c r="AG143" s="2881">
        <v>49.54</v>
      </c>
      <c r="AH143" s="597"/>
      <c r="AI143" s="587">
        <f t="shared" si="143"/>
        <v>49.54</v>
      </c>
      <c r="AJ143" s="597"/>
      <c r="AK143" s="2881">
        <v>48.63</v>
      </c>
      <c r="AL143" s="597"/>
      <c r="AM143" s="1151">
        <f t="shared" si="149"/>
        <v>98.17</v>
      </c>
      <c r="AN143" s="597"/>
      <c r="AO143" s="587">
        <f t="shared" si="74"/>
        <v>98.17</v>
      </c>
      <c r="AP143" s="597"/>
      <c r="AQ143" s="2881"/>
      <c r="AR143" s="597"/>
      <c r="AS143" s="587">
        <f t="shared" si="144"/>
        <v>98.17</v>
      </c>
      <c r="AT143" s="597"/>
      <c r="AU143" s="2881"/>
      <c r="AV143" s="597"/>
      <c r="AW143" s="587">
        <f t="shared" si="145"/>
        <v>98.17</v>
      </c>
      <c r="AX143" s="597"/>
      <c r="AY143" s="2881"/>
      <c r="AZ143" s="597"/>
      <c r="BA143" s="1151">
        <f t="shared" si="150"/>
        <v>0</v>
      </c>
      <c r="BB143" s="597"/>
      <c r="BC143" s="522">
        <f t="shared" si="151"/>
        <v>98.17</v>
      </c>
      <c r="BD143" s="597"/>
      <c r="BE143" s="256">
        <f t="shared" si="146"/>
        <v>98.17</v>
      </c>
      <c r="BF143" s="26"/>
      <c r="BG143" s="26"/>
      <c r="BH143" s="26"/>
      <c r="BP143" s="26"/>
      <c r="BQ143" s="26"/>
    </row>
    <row r="144" spans="1:69" ht="15.75" hidden="1" customHeight="1" x14ac:dyDescent="0.3">
      <c r="B144" s="1750" t="s">
        <v>1439</v>
      </c>
      <c r="C144" s="2656" t="s">
        <v>354</v>
      </c>
      <c r="D144" s="3360"/>
      <c r="E144" s="2675"/>
      <c r="F144" s="2675"/>
      <c r="G144" s="2675"/>
      <c r="H144" s="2676"/>
      <c r="I144" s="3361">
        <f t="shared" si="108"/>
        <v>0</v>
      </c>
      <c r="J144" s="3348"/>
      <c r="K144" s="2675"/>
      <c r="L144" s="597"/>
      <c r="M144" s="1151">
        <f t="shared" si="141"/>
        <v>0</v>
      </c>
      <c r="N144" s="597"/>
      <c r="O144" s="2675"/>
      <c r="P144" s="597"/>
      <c r="Q144" s="1658">
        <f t="shared" si="133"/>
        <v>0</v>
      </c>
      <c r="R144" s="597"/>
      <c r="S144" s="2675"/>
      <c r="T144" s="597"/>
      <c r="U144" s="3361">
        <f t="shared" si="110"/>
        <v>0</v>
      </c>
      <c r="V144" s="597"/>
      <c r="W144" s="2675"/>
      <c r="X144" s="597"/>
      <c r="Y144" s="1151">
        <f t="shared" ref="Y144:Y154" si="152">+O144+S144+W144</f>
        <v>0</v>
      </c>
      <c r="Z144" s="597"/>
      <c r="AA144" s="522">
        <f t="shared" ref="AA144:AA154" si="153">M144+Y144</f>
        <v>0</v>
      </c>
      <c r="AB144" s="597"/>
      <c r="AC144" s="2881"/>
      <c r="AD144" s="597"/>
      <c r="AE144" s="587">
        <f t="shared" si="142"/>
        <v>0</v>
      </c>
      <c r="AF144" s="597"/>
      <c r="AG144" s="2881"/>
      <c r="AH144" s="597"/>
      <c r="AI144" s="587">
        <f t="shared" si="143"/>
        <v>0</v>
      </c>
      <c r="AJ144" s="597"/>
      <c r="AK144" s="2881"/>
      <c r="AL144" s="597"/>
      <c r="AM144" s="1151">
        <f t="shared" si="149"/>
        <v>0</v>
      </c>
      <c r="AN144" s="597"/>
      <c r="AO144" s="587">
        <f t="shared" si="74"/>
        <v>0</v>
      </c>
      <c r="AP144" s="597"/>
      <c r="AQ144" s="2881"/>
      <c r="AR144" s="597"/>
      <c r="AS144" s="587">
        <f t="shared" si="144"/>
        <v>0</v>
      </c>
      <c r="AT144" s="597"/>
      <c r="AU144" s="2881"/>
      <c r="AV144" s="597"/>
      <c r="AW144" s="587">
        <f t="shared" si="145"/>
        <v>0</v>
      </c>
      <c r="AX144" s="597"/>
      <c r="AY144" s="2881"/>
      <c r="AZ144" s="597"/>
      <c r="BA144" s="1151">
        <f t="shared" si="150"/>
        <v>0</v>
      </c>
      <c r="BB144" s="597"/>
      <c r="BC144" s="522">
        <f t="shared" si="151"/>
        <v>0</v>
      </c>
      <c r="BD144" s="597"/>
      <c r="BE144" s="256">
        <f t="shared" si="146"/>
        <v>0</v>
      </c>
      <c r="BF144" s="26"/>
      <c r="BG144" s="26"/>
      <c r="BH144" s="26"/>
      <c r="BP144" s="26"/>
      <c r="BQ144" s="26"/>
    </row>
    <row r="145" spans="2:69" ht="15.75" hidden="1" customHeight="1" x14ac:dyDescent="0.3">
      <c r="B145" s="1750" t="s">
        <v>1479</v>
      </c>
      <c r="C145" s="2656" t="s">
        <v>354</v>
      </c>
      <c r="D145" s="3360"/>
      <c r="E145" s="2675"/>
      <c r="F145" s="2675"/>
      <c r="G145" s="2675"/>
      <c r="H145" s="2676"/>
      <c r="I145" s="3361">
        <f t="shared" si="108"/>
        <v>0</v>
      </c>
      <c r="J145" s="3348"/>
      <c r="K145" s="2675"/>
      <c r="L145" s="597"/>
      <c r="M145" s="1151">
        <f t="shared" si="141"/>
        <v>0</v>
      </c>
      <c r="N145" s="597"/>
      <c r="O145" s="2675"/>
      <c r="P145" s="597"/>
      <c r="Q145" s="1658">
        <f t="shared" si="133"/>
        <v>0</v>
      </c>
      <c r="R145" s="597"/>
      <c r="S145" s="2675"/>
      <c r="T145" s="597"/>
      <c r="U145" s="3361">
        <f t="shared" si="110"/>
        <v>0</v>
      </c>
      <c r="V145" s="597"/>
      <c r="W145" s="2675"/>
      <c r="X145" s="597"/>
      <c r="Y145" s="1151">
        <f t="shared" si="152"/>
        <v>0</v>
      </c>
      <c r="Z145" s="597"/>
      <c r="AA145" s="522">
        <f t="shared" si="153"/>
        <v>0</v>
      </c>
      <c r="AB145" s="597"/>
      <c r="AC145" s="2881"/>
      <c r="AD145" s="597"/>
      <c r="AE145" s="587">
        <f t="shared" si="142"/>
        <v>0</v>
      </c>
      <c r="AF145" s="597"/>
      <c r="AG145" s="2881"/>
      <c r="AH145" s="597"/>
      <c r="AI145" s="587">
        <f t="shared" si="143"/>
        <v>0</v>
      </c>
      <c r="AJ145" s="597"/>
      <c r="AK145" s="2881"/>
      <c r="AL145" s="597"/>
      <c r="AM145" s="1151">
        <f t="shared" ref="AM145:AM177" si="154">+AC145+AG145+AK145</f>
        <v>0</v>
      </c>
      <c r="AN145" s="597"/>
      <c r="AO145" s="587">
        <f t="shared" ref="AO145:AO177" si="155">AI145+AK145</f>
        <v>0</v>
      </c>
      <c r="AP145" s="597"/>
      <c r="AQ145" s="2881"/>
      <c r="AR145" s="597"/>
      <c r="AS145" s="587">
        <f t="shared" si="144"/>
        <v>0</v>
      </c>
      <c r="AT145" s="597"/>
      <c r="AU145" s="2881"/>
      <c r="AV145" s="597"/>
      <c r="AW145" s="587">
        <f t="shared" si="145"/>
        <v>0</v>
      </c>
      <c r="AX145" s="597"/>
      <c r="AY145" s="2881"/>
      <c r="AZ145" s="597"/>
      <c r="BA145" s="1151">
        <f t="shared" si="150"/>
        <v>0</v>
      </c>
      <c r="BB145" s="597"/>
      <c r="BC145" s="522">
        <f t="shared" si="151"/>
        <v>0</v>
      </c>
      <c r="BD145" s="597"/>
      <c r="BE145" s="256">
        <f t="shared" si="146"/>
        <v>0</v>
      </c>
      <c r="BF145" s="26"/>
      <c r="BG145" s="26"/>
      <c r="BH145" s="26"/>
      <c r="BP145" s="26"/>
      <c r="BQ145" s="26"/>
    </row>
    <row r="146" spans="2:69" ht="15.75" hidden="1" customHeight="1" x14ac:dyDescent="0.3">
      <c r="B146" s="1750" t="s">
        <v>1481</v>
      </c>
      <c r="C146" s="2656" t="s">
        <v>354</v>
      </c>
      <c r="D146" s="3360"/>
      <c r="E146" s="2675"/>
      <c r="F146" s="2675"/>
      <c r="G146" s="2675"/>
      <c r="H146" s="2676"/>
      <c r="I146" s="3361">
        <f t="shared" si="108"/>
        <v>0</v>
      </c>
      <c r="J146" s="3348"/>
      <c r="K146" s="2675"/>
      <c r="L146" s="597"/>
      <c r="M146" s="1151">
        <f t="shared" si="141"/>
        <v>0</v>
      </c>
      <c r="N146" s="597"/>
      <c r="O146" s="2675"/>
      <c r="P146" s="597"/>
      <c r="Q146" s="1658">
        <f t="shared" si="133"/>
        <v>0</v>
      </c>
      <c r="R146" s="597"/>
      <c r="S146" s="2675"/>
      <c r="T146" s="597"/>
      <c r="U146" s="3361">
        <f t="shared" si="110"/>
        <v>0</v>
      </c>
      <c r="V146" s="597"/>
      <c r="W146" s="2675"/>
      <c r="X146" s="597"/>
      <c r="Y146" s="1151">
        <f t="shared" si="152"/>
        <v>0</v>
      </c>
      <c r="Z146" s="597"/>
      <c r="AA146" s="522">
        <f t="shared" si="153"/>
        <v>0</v>
      </c>
      <c r="AB146" s="597"/>
      <c r="AC146" s="2881"/>
      <c r="AD146" s="597"/>
      <c r="AE146" s="587">
        <f t="shared" si="142"/>
        <v>0</v>
      </c>
      <c r="AF146" s="597"/>
      <c r="AG146" s="2881"/>
      <c r="AH146" s="597"/>
      <c r="AI146" s="587">
        <f t="shared" si="143"/>
        <v>0</v>
      </c>
      <c r="AJ146" s="597"/>
      <c r="AK146" s="2881"/>
      <c r="AL146" s="597"/>
      <c r="AM146" s="1151">
        <f t="shared" si="154"/>
        <v>0</v>
      </c>
      <c r="AN146" s="597"/>
      <c r="AO146" s="587">
        <f t="shared" si="155"/>
        <v>0</v>
      </c>
      <c r="AP146" s="597"/>
      <c r="AQ146" s="2881"/>
      <c r="AR146" s="597"/>
      <c r="AS146" s="587">
        <f t="shared" si="144"/>
        <v>0</v>
      </c>
      <c r="AT146" s="597"/>
      <c r="AU146" s="2881"/>
      <c r="AV146" s="597"/>
      <c r="AW146" s="587">
        <f t="shared" si="145"/>
        <v>0</v>
      </c>
      <c r="AX146" s="597"/>
      <c r="AY146" s="2881"/>
      <c r="AZ146" s="597"/>
      <c r="BA146" s="1151">
        <f t="shared" si="150"/>
        <v>0</v>
      </c>
      <c r="BB146" s="597"/>
      <c r="BC146" s="522">
        <f t="shared" si="151"/>
        <v>0</v>
      </c>
      <c r="BD146" s="597"/>
      <c r="BE146" s="256">
        <f t="shared" si="146"/>
        <v>0</v>
      </c>
      <c r="BF146" s="26"/>
      <c r="BG146" s="26"/>
      <c r="BH146" s="26"/>
      <c r="BP146" s="26"/>
      <c r="BQ146" s="26"/>
    </row>
    <row r="147" spans="2:69" ht="15.75" hidden="1" customHeight="1" x14ac:dyDescent="0.3">
      <c r="B147" s="1750" t="s">
        <v>1528</v>
      </c>
      <c r="C147" s="2656" t="s">
        <v>354</v>
      </c>
      <c r="D147" s="3360"/>
      <c r="E147" s="2675"/>
      <c r="F147" s="2675"/>
      <c r="G147" s="2675"/>
      <c r="H147" s="2676"/>
      <c r="I147" s="3361">
        <f t="shared" si="108"/>
        <v>0</v>
      </c>
      <c r="J147" s="3348"/>
      <c r="K147" s="2675"/>
      <c r="L147" s="597"/>
      <c r="M147" s="1151">
        <f t="shared" si="141"/>
        <v>0</v>
      </c>
      <c r="N147" s="597"/>
      <c r="O147" s="2675"/>
      <c r="P147" s="597"/>
      <c r="Q147" s="1658">
        <f t="shared" si="133"/>
        <v>0</v>
      </c>
      <c r="R147" s="597"/>
      <c r="S147" s="2675"/>
      <c r="T147" s="597"/>
      <c r="U147" s="3361">
        <f t="shared" si="110"/>
        <v>0</v>
      </c>
      <c r="V147" s="597"/>
      <c r="W147" s="2675"/>
      <c r="X147" s="597"/>
      <c r="Y147" s="1151">
        <f t="shared" si="152"/>
        <v>0</v>
      </c>
      <c r="Z147" s="597"/>
      <c r="AA147" s="522">
        <f t="shared" si="153"/>
        <v>0</v>
      </c>
      <c r="AB147" s="597"/>
      <c r="AC147" s="2881"/>
      <c r="AD147" s="597"/>
      <c r="AE147" s="587">
        <f t="shared" si="142"/>
        <v>0</v>
      </c>
      <c r="AF147" s="597"/>
      <c r="AG147" s="2881"/>
      <c r="AH147" s="597"/>
      <c r="AI147" s="587">
        <f t="shared" si="143"/>
        <v>0</v>
      </c>
      <c r="AJ147" s="597"/>
      <c r="AK147" s="2881"/>
      <c r="AL147" s="597"/>
      <c r="AM147" s="1151">
        <f t="shared" si="154"/>
        <v>0</v>
      </c>
      <c r="AN147" s="597"/>
      <c r="AO147" s="587">
        <f t="shared" si="155"/>
        <v>0</v>
      </c>
      <c r="AP147" s="597"/>
      <c r="AQ147" s="2881"/>
      <c r="AR147" s="597"/>
      <c r="AS147" s="587">
        <f t="shared" si="144"/>
        <v>0</v>
      </c>
      <c r="AT147" s="597"/>
      <c r="AU147" s="2881"/>
      <c r="AV147" s="597"/>
      <c r="AW147" s="587">
        <f t="shared" si="145"/>
        <v>0</v>
      </c>
      <c r="AX147" s="597"/>
      <c r="AY147" s="2881"/>
      <c r="AZ147" s="597"/>
      <c r="BA147" s="1151">
        <f t="shared" si="150"/>
        <v>0</v>
      </c>
      <c r="BB147" s="597"/>
      <c r="BC147" s="522">
        <f t="shared" si="151"/>
        <v>0</v>
      </c>
      <c r="BD147" s="597"/>
      <c r="BE147" s="256">
        <f t="shared" si="146"/>
        <v>0</v>
      </c>
      <c r="BF147" s="26"/>
      <c r="BG147" s="26"/>
      <c r="BH147" s="26"/>
      <c r="BP147" s="26"/>
      <c r="BQ147" s="26"/>
    </row>
    <row r="148" spans="2:69" ht="15.75" hidden="1" customHeight="1" x14ac:dyDescent="0.3">
      <c r="B148" s="1750" t="s">
        <v>1675</v>
      </c>
      <c r="C148" s="2656" t="s">
        <v>354</v>
      </c>
      <c r="D148" s="3360"/>
      <c r="E148" s="2675"/>
      <c r="F148" s="2675"/>
      <c r="G148" s="2675"/>
      <c r="H148" s="2676"/>
      <c r="I148" s="3361">
        <f t="shared" si="108"/>
        <v>0</v>
      </c>
      <c r="J148" s="3348"/>
      <c r="K148" s="2675"/>
      <c r="L148" s="597"/>
      <c r="M148" s="1151">
        <f t="shared" si="141"/>
        <v>0</v>
      </c>
      <c r="N148" s="597"/>
      <c r="O148" s="2675"/>
      <c r="P148" s="597"/>
      <c r="Q148" s="1658">
        <f t="shared" si="133"/>
        <v>0</v>
      </c>
      <c r="R148" s="597"/>
      <c r="S148" s="2675"/>
      <c r="T148" s="597"/>
      <c r="U148" s="3361">
        <f t="shared" si="110"/>
        <v>0</v>
      </c>
      <c r="V148" s="597"/>
      <c r="W148" s="2675"/>
      <c r="X148" s="597"/>
      <c r="Y148" s="1151">
        <f t="shared" si="152"/>
        <v>0</v>
      </c>
      <c r="Z148" s="597"/>
      <c r="AA148" s="522">
        <f t="shared" si="153"/>
        <v>0</v>
      </c>
      <c r="AB148" s="597"/>
      <c r="AC148" s="2881"/>
      <c r="AD148" s="597"/>
      <c r="AE148" s="587"/>
      <c r="AF148" s="597"/>
      <c r="AG148" s="2881"/>
      <c r="AH148" s="597"/>
      <c r="AI148" s="587">
        <f t="shared" si="143"/>
        <v>0</v>
      </c>
      <c r="AJ148" s="597"/>
      <c r="AK148" s="2881"/>
      <c r="AL148" s="597"/>
      <c r="AM148" s="1151">
        <f t="shared" si="154"/>
        <v>0</v>
      </c>
      <c r="AN148" s="597"/>
      <c r="AO148" s="587">
        <f t="shared" si="155"/>
        <v>0</v>
      </c>
      <c r="AP148" s="597"/>
      <c r="AQ148" s="2881"/>
      <c r="AR148" s="597"/>
      <c r="AS148" s="587">
        <f t="shared" si="144"/>
        <v>0</v>
      </c>
      <c r="AT148" s="597"/>
      <c r="AU148" s="2881"/>
      <c r="AV148" s="597"/>
      <c r="AW148" s="587">
        <f t="shared" si="145"/>
        <v>0</v>
      </c>
      <c r="AX148" s="597"/>
      <c r="AY148" s="2881"/>
      <c r="AZ148" s="597"/>
      <c r="BA148" s="1151">
        <f t="shared" si="150"/>
        <v>0</v>
      </c>
      <c r="BB148" s="597"/>
      <c r="BC148" s="522">
        <f t="shared" si="151"/>
        <v>0</v>
      </c>
      <c r="BD148" s="597"/>
      <c r="BE148" s="256">
        <f t="shared" si="146"/>
        <v>0</v>
      </c>
      <c r="BF148" s="26"/>
      <c r="BG148" s="26"/>
      <c r="BH148" s="26"/>
      <c r="BP148" s="26"/>
      <c r="BQ148" s="26"/>
    </row>
    <row r="149" spans="2:69" ht="15.75" hidden="1" customHeight="1" x14ac:dyDescent="0.3">
      <c r="B149" s="1750" t="s">
        <v>1441</v>
      </c>
      <c r="C149" s="2656" t="s">
        <v>354</v>
      </c>
      <c r="D149" s="3360"/>
      <c r="E149" s="2675"/>
      <c r="F149" s="2675"/>
      <c r="G149" s="2675"/>
      <c r="H149" s="2676"/>
      <c r="I149" s="3361">
        <f t="shared" si="108"/>
        <v>0</v>
      </c>
      <c r="J149" s="3348"/>
      <c r="K149" s="2675"/>
      <c r="L149" s="597"/>
      <c r="M149" s="1151">
        <f t="shared" si="141"/>
        <v>0</v>
      </c>
      <c r="N149" s="597"/>
      <c r="O149" s="2675"/>
      <c r="P149" s="597"/>
      <c r="Q149" s="1658">
        <f t="shared" si="133"/>
        <v>0</v>
      </c>
      <c r="R149" s="597"/>
      <c r="S149" s="2675"/>
      <c r="T149" s="597"/>
      <c r="U149" s="3361">
        <f t="shared" si="110"/>
        <v>0</v>
      </c>
      <c r="V149" s="597"/>
      <c r="W149" s="2675"/>
      <c r="X149" s="597"/>
      <c r="Y149" s="1151">
        <f t="shared" si="152"/>
        <v>0</v>
      </c>
      <c r="Z149" s="597"/>
      <c r="AA149" s="522">
        <f t="shared" si="153"/>
        <v>0</v>
      </c>
      <c r="AB149" s="597"/>
      <c r="AC149" s="2881"/>
      <c r="AD149" s="597"/>
      <c r="AE149" s="587">
        <f t="shared" si="142"/>
        <v>0</v>
      </c>
      <c r="AF149" s="597"/>
      <c r="AG149" s="2881"/>
      <c r="AH149" s="597"/>
      <c r="AI149" s="587">
        <f t="shared" si="143"/>
        <v>0</v>
      </c>
      <c r="AJ149" s="597"/>
      <c r="AK149" s="2881"/>
      <c r="AL149" s="597"/>
      <c r="AM149" s="1151">
        <f t="shared" si="154"/>
        <v>0</v>
      </c>
      <c r="AN149" s="597"/>
      <c r="AO149" s="587">
        <f t="shared" si="155"/>
        <v>0</v>
      </c>
      <c r="AP149" s="597"/>
      <c r="AQ149" s="2881"/>
      <c r="AR149" s="597"/>
      <c r="AS149" s="587">
        <f t="shared" si="144"/>
        <v>0</v>
      </c>
      <c r="AT149" s="597"/>
      <c r="AU149" s="2881"/>
      <c r="AV149" s="597"/>
      <c r="AW149" s="587">
        <f t="shared" si="145"/>
        <v>0</v>
      </c>
      <c r="AX149" s="597"/>
      <c r="AY149" s="2881"/>
      <c r="AZ149" s="597"/>
      <c r="BA149" s="1151">
        <f t="shared" si="150"/>
        <v>0</v>
      </c>
      <c r="BB149" s="597"/>
      <c r="BC149" s="522">
        <f t="shared" si="151"/>
        <v>0</v>
      </c>
      <c r="BD149" s="597"/>
      <c r="BE149" s="256">
        <f t="shared" si="146"/>
        <v>0</v>
      </c>
      <c r="BF149" s="26"/>
      <c r="BG149" s="26"/>
      <c r="BH149" s="26"/>
      <c r="BP149" s="26"/>
      <c r="BQ149" s="26"/>
    </row>
    <row r="150" spans="2:69" ht="15.6" hidden="1" x14ac:dyDescent="0.3">
      <c r="B150" s="1750" t="s">
        <v>1914</v>
      </c>
      <c r="C150" s="2656" t="s">
        <v>354</v>
      </c>
      <c r="D150" s="3360"/>
      <c r="E150" s="2675"/>
      <c r="F150" s="2675"/>
      <c r="G150" s="2675"/>
      <c r="H150" s="2676"/>
      <c r="I150" s="3361">
        <f t="shared" si="108"/>
        <v>0</v>
      </c>
      <c r="J150" s="3348"/>
      <c r="K150" s="2675"/>
      <c r="L150" s="597"/>
      <c r="M150" s="1151">
        <f t="shared" si="141"/>
        <v>0</v>
      </c>
      <c r="N150" s="597"/>
      <c r="O150" s="2675"/>
      <c r="P150" s="597"/>
      <c r="Q150" s="1658">
        <f t="shared" si="133"/>
        <v>0</v>
      </c>
      <c r="R150" s="597"/>
      <c r="S150" s="2675"/>
      <c r="T150" s="597"/>
      <c r="U150" s="3361">
        <f t="shared" si="110"/>
        <v>0</v>
      </c>
      <c r="V150" s="597"/>
      <c r="W150" s="2675"/>
      <c r="X150" s="597"/>
      <c r="Y150" s="1151">
        <f t="shared" si="152"/>
        <v>0</v>
      </c>
      <c r="Z150" s="597"/>
      <c r="AA150" s="522">
        <f t="shared" si="153"/>
        <v>0</v>
      </c>
      <c r="AB150" s="597"/>
      <c r="AC150" s="2881"/>
      <c r="AD150" s="597"/>
      <c r="AE150" s="587">
        <f t="shared" si="142"/>
        <v>0</v>
      </c>
      <c r="AF150" s="597"/>
      <c r="AG150" s="2881"/>
      <c r="AH150" s="597"/>
      <c r="AI150" s="587">
        <f t="shared" si="143"/>
        <v>0</v>
      </c>
      <c r="AJ150" s="597"/>
      <c r="AK150" s="2881"/>
      <c r="AL150" s="597"/>
      <c r="AM150" s="1151">
        <f t="shared" si="154"/>
        <v>0</v>
      </c>
      <c r="AN150" s="597"/>
      <c r="AO150" s="587">
        <f t="shared" si="155"/>
        <v>0</v>
      </c>
      <c r="AP150" s="597"/>
      <c r="AQ150" s="2881"/>
      <c r="AR150" s="597"/>
      <c r="AS150" s="587">
        <f t="shared" si="144"/>
        <v>0</v>
      </c>
      <c r="AT150" s="597"/>
      <c r="AU150" s="2881"/>
      <c r="AV150" s="597"/>
      <c r="AW150" s="587">
        <f t="shared" si="145"/>
        <v>0</v>
      </c>
      <c r="AX150" s="597"/>
      <c r="AY150" s="2881"/>
      <c r="AZ150" s="597"/>
      <c r="BA150" s="1151">
        <f t="shared" si="150"/>
        <v>0</v>
      </c>
      <c r="BB150" s="597"/>
      <c r="BC150" s="522">
        <f t="shared" si="151"/>
        <v>0</v>
      </c>
      <c r="BD150" s="597"/>
      <c r="BE150" s="256">
        <f t="shared" si="146"/>
        <v>0</v>
      </c>
      <c r="BF150" s="26"/>
      <c r="BG150" s="26"/>
      <c r="BH150" s="26"/>
      <c r="BP150" s="26"/>
      <c r="BQ150" s="26"/>
    </row>
    <row r="151" spans="2:69" ht="15.6" hidden="1" x14ac:dyDescent="0.3">
      <c r="B151" s="1750" t="s">
        <v>1913</v>
      </c>
      <c r="C151" s="2656" t="s">
        <v>354</v>
      </c>
      <c r="D151" s="3360"/>
      <c r="E151" s="2675"/>
      <c r="F151" s="2675"/>
      <c r="G151" s="2675"/>
      <c r="H151" s="2676"/>
      <c r="I151" s="3361">
        <f t="shared" si="108"/>
        <v>0</v>
      </c>
      <c r="J151" s="3348"/>
      <c r="K151" s="2675"/>
      <c r="L151" s="597"/>
      <c r="M151" s="1151">
        <f t="shared" si="141"/>
        <v>0</v>
      </c>
      <c r="N151" s="597"/>
      <c r="O151" s="2675"/>
      <c r="P151" s="597"/>
      <c r="Q151" s="1658">
        <f t="shared" si="133"/>
        <v>0</v>
      </c>
      <c r="R151" s="597"/>
      <c r="S151" s="2675"/>
      <c r="T151" s="597"/>
      <c r="U151" s="3361">
        <f t="shared" si="110"/>
        <v>0</v>
      </c>
      <c r="V151" s="597"/>
      <c r="W151" s="2675"/>
      <c r="X151" s="597"/>
      <c r="Y151" s="1151">
        <f t="shared" si="152"/>
        <v>0</v>
      </c>
      <c r="Z151" s="597"/>
      <c r="AA151" s="522">
        <f t="shared" si="153"/>
        <v>0</v>
      </c>
      <c r="AB151" s="597"/>
      <c r="AC151" s="2881"/>
      <c r="AD151" s="597"/>
      <c r="AE151" s="587">
        <f t="shared" si="142"/>
        <v>0</v>
      </c>
      <c r="AF151" s="597"/>
      <c r="AG151" s="2881"/>
      <c r="AH151" s="597"/>
      <c r="AI151" s="587">
        <f t="shared" si="143"/>
        <v>0</v>
      </c>
      <c r="AJ151" s="597"/>
      <c r="AK151" s="2881"/>
      <c r="AL151" s="597"/>
      <c r="AM151" s="1151">
        <f t="shared" si="154"/>
        <v>0</v>
      </c>
      <c r="AN151" s="597"/>
      <c r="AO151" s="587">
        <f t="shared" si="155"/>
        <v>0</v>
      </c>
      <c r="AP151" s="597"/>
      <c r="AQ151" s="2881"/>
      <c r="AR151" s="597"/>
      <c r="AS151" s="587">
        <f t="shared" si="144"/>
        <v>0</v>
      </c>
      <c r="AT151" s="597"/>
      <c r="AU151" s="2881"/>
      <c r="AV151" s="597"/>
      <c r="AW151" s="587">
        <f t="shared" si="145"/>
        <v>0</v>
      </c>
      <c r="AX151" s="597"/>
      <c r="AY151" s="2881"/>
      <c r="AZ151" s="597"/>
      <c r="BA151" s="1151">
        <f t="shared" si="150"/>
        <v>0</v>
      </c>
      <c r="BB151" s="597"/>
      <c r="BC151" s="522">
        <f t="shared" si="151"/>
        <v>0</v>
      </c>
      <c r="BD151" s="597"/>
      <c r="BE151" s="256">
        <f t="shared" si="146"/>
        <v>0</v>
      </c>
      <c r="BF151" s="26"/>
      <c r="BG151" s="26"/>
      <c r="BH151" s="26"/>
      <c r="BP151" s="26"/>
      <c r="BQ151" s="26"/>
    </row>
    <row r="152" spans="2:69" x14ac:dyDescent="0.25">
      <c r="B152" s="1750" t="s">
        <v>2364</v>
      </c>
      <c r="C152" s="2656" t="s">
        <v>354</v>
      </c>
      <c r="D152" s="3360"/>
      <c r="E152" s="2675"/>
      <c r="F152" s="2675"/>
      <c r="G152" s="2675"/>
      <c r="H152" s="2676"/>
      <c r="I152" s="3361">
        <f t="shared" si="108"/>
        <v>0</v>
      </c>
      <c r="J152" s="3348"/>
      <c r="K152" s="2675"/>
      <c r="L152" s="597"/>
      <c r="M152" s="1151">
        <f t="shared" si="141"/>
        <v>0</v>
      </c>
      <c r="N152" s="597"/>
      <c r="O152" s="2675"/>
      <c r="P152" s="597"/>
      <c r="Q152" s="1658">
        <f t="shared" si="133"/>
        <v>0</v>
      </c>
      <c r="R152" s="597"/>
      <c r="S152" s="2675"/>
      <c r="T152" s="597"/>
      <c r="U152" s="3361">
        <f t="shared" si="110"/>
        <v>0</v>
      </c>
      <c r="V152" s="597"/>
      <c r="W152" s="2675">
        <v>9.89</v>
      </c>
      <c r="X152" s="597"/>
      <c r="Y152" s="1151">
        <f t="shared" si="152"/>
        <v>9.89</v>
      </c>
      <c r="Z152" s="597"/>
      <c r="AA152" s="522">
        <f t="shared" si="153"/>
        <v>9.89</v>
      </c>
      <c r="AB152" s="597"/>
      <c r="AC152" s="2881">
        <v>1.81</v>
      </c>
      <c r="AD152" s="597"/>
      <c r="AE152" s="587">
        <f t="shared" si="142"/>
        <v>11.700000000000001</v>
      </c>
      <c r="AF152" s="597"/>
      <c r="AG152" s="2881"/>
      <c r="AH152" s="597"/>
      <c r="AI152" s="587">
        <f t="shared" si="143"/>
        <v>11.700000000000001</v>
      </c>
      <c r="AJ152" s="597"/>
      <c r="AK152" s="2881"/>
      <c r="AL152" s="597"/>
      <c r="AM152" s="1151">
        <f t="shared" si="154"/>
        <v>1.81</v>
      </c>
      <c r="AN152" s="597"/>
      <c r="AO152" s="587">
        <f t="shared" si="155"/>
        <v>11.700000000000001</v>
      </c>
      <c r="AP152" s="597"/>
      <c r="AQ152" s="2881"/>
      <c r="AR152" s="597"/>
      <c r="AS152" s="587">
        <f t="shared" si="144"/>
        <v>11.700000000000001</v>
      </c>
      <c r="AT152" s="597"/>
      <c r="AU152" s="2881"/>
      <c r="AV152" s="597"/>
      <c r="AW152" s="587">
        <f t="shared" si="145"/>
        <v>11.700000000000001</v>
      </c>
      <c r="AX152" s="597"/>
      <c r="AY152" s="2881"/>
      <c r="AZ152" s="597"/>
      <c r="BA152" s="1151">
        <f t="shared" si="150"/>
        <v>0</v>
      </c>
      <c r="BB152" s="597"/>
      <c r="BC152" s="522">
        <f t="shared" si="151"/>
        <v>1.81</v>
      </c>
      <c r="BD152" s="597"/>
      <c r="BE152" s="256">
        <f t="shared" si="146"/>
        <v>11.700000000000001</v>
      </c>
      <c r="BF152" s="26"/>
      <c r="BG152" s="26"/>
      <c r="BH152" s="26"/>
      <c r="BP152" s="26"/>
      <c r="BQ152" s="26"/>
    </row>
    <row r="153" spans="2:69" ht="15.75" hidden="1" customHeight="1" x14ac:dyDescent="0.3">
      <c r="B153" s="1750" t="s">
        <v>1442</v>
      </c>
      <c r="C153" s="2656" t="s">
        <v>354</v>
      </c>
      <c r="D153" s="3360"/>
      <c r="E153" s="2675"/>
      <c r="F153" s="2675"/>
      <c r="G153" s="2675"/>
      <c r="H153" s="2676"/>
      <c r="I153" s="3361">
        <f t="shared" si="108"/>
        <v>0</v>
      </c>
      <c r="J153" s="3348"/>
      <c r="K153" s="2675"/>
      <c r="L153" s="597"/>
      <c r="M153" s="1151">
        <f t="shared" si="141"/>
        <v>0</v>
      </c>
      <c r="N153" s="597"/>
      <c r="O153" s="2675"/>
      <c r="P153" s="597"/>
      <c r="Q153" s="1658">
        <f t="shared" si="133"/>
        <v>0</v>
      </c>
      <c r="R153" s="597"/>
      <c r="S153" s="2675"/>
      <c r="T153" s="597"/>
      <c r="U153" s="3361">
        <f t="shared" si="110"/>
        <v>0</v>
      </c>
      <c r="V153" s="597"/>
      <c r="W153" s="2675"/>
      <c r="X153" s="597"/>
      <c r="Y153" s="1151">
        <f t="shared" si="152"/>
        <v>0</v>
      </c>
      <c r="Z153" s="597"/>
      <c r="AA153" s="522">
        <f t="shared" si="153"/>
        <v>0</v>
      </c>
      <c r="AB153" s="597"/>
      <c r="AC153" s="2881"/>
      <c r="AD153" s="597"/>
      <c r="AE153" s="587">
        <f t="shared" si="142"/>
        <v>0</v>
      </c>
      <c r="AF153" s="597"/>
      <c r="AG153" s="2881"/>
      <c r="AH153" s="597"/>
      <c r="AI153" s="587">
        <f t="shared" si="143"/>
        <v>0</v>
      </c>
      <c r="AJ153" s="597"/>
      <c r="AK153" s="2881"/>
      <c r="AL153" s="597"/>
      <c r="AM153" s="1151">
        <f t="shared" si="154"/>
        <v>0</v>
      </c>
      <c r="AN153" s="597"/>
      <c r="AO153" s="587">
        <f t="shared" si="155"/>
        <v>0</v>
      </c>
      <c r="AP153" s="597"/>
      <c r="AQ153" s="2881"/>
      <c r="AR153" s="597"/>
      <c r="AS153" s="587">
        <f t="shared" si="144"/>
        <v>0</v>
      </c>
      <c r="AT153" s="597"/>
      <c r="AU153" s="2881"/>
      <c r="AV153" s="597"/>
      <c r="AW153" s="587">
        <f t="shared" si="145"/>
        <v>0</v>
      </c>
      <c r="AX153" s="597"/>
      <c r="AY153" s="2881"/>
      <c r="AZ153" s="597"/>
      <c r="BA153" s="1151">
        <f t="shared" ref="BA153:BA162" si="156">+AQ153+AU153+AY153</f>
        <v>0</v>
      </c>
      <c r="BB153" s="597"/>
      <c r="BC153" s="522">
        <f t="shared" ref="BC153:BC162" si="157">BA153+AM153</f>
        <v>0</v>
      </c>
      <c r="BD153" s="597"/>
      <c r="BE153" s="256">
        <f t="shared" si="146"/>
        <v>0</v>
      </c>
      <c r="BF153" s="26"/>
      <c r="BG153" s="26"/>
      <c r="BH153" s="26"/>
      <c r="BP153" s="26"/>
      <c r="BQ153" s="26"/>
    </row>
    <row r="154" spans="2:69" ht="15.6" hidden="1" x14ac:dyDescent="0.3">
      <c r="B154" s="1750" t="s">
        <v>1967</v>
      </c>
      <c r="C154" s="2656" t="s">
        <v>354</v>
      </c>
      <c r="D154" s="4349"/>
      <c r="E154" s="4350"/>
      <c r="F154" s="4350"/>
      <c r="G154" s="4350"/>
      <c r="H154" s="4351"/>
      <c r="I154" s="3361"/>
      <c r="J154" s="4352"/>
      <c r="K154" s="4350"/>
      <c r="L154" s="4350"/>
      <c r="M154" s="1151">
        <f t="shared" si="141"/>
        <v>0</v>
      </c>
      <c r="N154" s="4350"/>
      <c r="O154" s="4350"/>
      <c r="P154" s="4350"/>
      <c r="Q154" s="1658">
        <f t="shared" si="133"/>
        <v>0</v>
      </c>
      <c r="R154" s="4350"/>
      <c r="S154" s="4350"/>
      <c r="T154" s="4350"/>
      <c r="U154" s="3361"/>
      <c r="V154" s="4350"/>
      <c r="W154" s="4350"/>
      <c r="X154" s="4350"/>
      <c r="Y154" s="1151">
        <f t="shared" si="152"/>
        <v>0</v>
      </c>
      <c r="Z154" s="597"/>
      <c r="AA154" s="522">
        <f t="shared" si="153"/>
        <v>0</v>
      </c>
      <c r="AB154" s="4350"/>
      <c r="AC154" s="4368">
        <v>49.39</v>
      </c>
      <c r="AD154" s="4350"/>
      <c r="AE154" s="587">
        <f t="shared" si="142"/>
        <v>49.39</v>
      </c>
      <c r="AF154" s="4350"/>
      <c r="AG154" s="4368"/>
      <c r="AH154" s="4350"/>
      <c r="AI154" s="587">
        <f t="shared" si="143"/>
        <v>49.39</v>
      </c>
      <c r="AJ154" s="4350"/>
      <c r="AK154" s="4368"/>
      <c r="AL154" s="4350"/>
      <c r="AM154" s="1151">
        <f t="shared" si="154"/>
        <v>49.39</v>
      </c>
      <c r="AN154" s="597"/>
      <c r="AO154" s="587">
        <f t="shared" si="155"/>
        <v>49.39</v>
      </c>
      <c r="AP154" s="4350"/>
      <c r="AQ154" s="4368"/>
      <c r="AR154" s="4350"/>
      <c r="AS154" s="587">
        <f t="shared" si="144"/>
        <v>49.39</v>
      </c>
      <c r="AT154" s="4350"/>
      <c r="AU154" s="4368"/>
      <c r="AV154" s="4350"/>
      <c r="AW154" s="587">
        <f t="shared" si="145"/>
        <v>49.39</v>
      </c>
      <c r="AX154" s="4350"/>
      <c r="AY154" s="4368"/>
      <c r="AZ154" s="4350"/>
      <c r="BA154" s="1151">
        <f t="shared" si="156"/>
        <v>0</v>
      </c>
      <c r="BB154" s="597"/>
      <c r="BC154" s="522">
        <f t="shared" si="157"/>
        <v>49.39</v>
      </c>
      <c r="BD154" s="4350"/>
      <c r="BE154" s="256">
        <f t="shared" si="146"/>
        <v>49.39</v>
      </c>
      <c r="BF154" s="26"/>
      <c r="BG154" s="26"/>
      <c r="BH154" s="26"/>
      <c r="BP154" s="26"/>
      <c r="BQ154" s="26"/>
    </row>
    <row r="155" spans="2:69" ht="15.6" hidden="1" x14ac:dyDescent="0.3">
      <c r="B155" s="1750" t="s">
        <v>1932</v>
      </c>
      <c r="C155" s="2656" t="s">
        <v>354</v>
      </c>
      <c r="D155" s="3360"/>
      <c r="E155" s="2675"/>
      <c r="F155" s="2675"/>
      <c r="G155" s="2675"/>
      <c r="H155" s="2676"/>
      <c r="I155" s="3361"/>
      <c r="J155" s="3348"/>
      <c r="K155" s="2675"/>
      <c r="L155" s="2675"/>
      <c r="M155" s="1151">
        <f t="shared" si="141"/>
        <v>0</v>
      </c>
      <c r="N155" s="2675"/>
      <c r="O155" s="2675"/>
      <c r="P155" s="2675"/>
      <c r="Q155" s="1658">
        <f t="shared" si="133"/>
        <v>0</v>
      </c>
      <c r="R155" s="2675"/>
      <c r="S155" s="2675"/>
      <c r="T155" s="2675"/>
      <c r="U155" s="3361">
        <f t="shared" si="110"/>
        <v>0</v>
      </c>
      <c r="V155" s="2675"/>
      <c r="W155" s="2675"/>
      <c r="X155" s="2675"/>
      <c r="Y155" s="1151">
        <f t="shared" si="147"/>
        <v>0</v>
      </c>
      <c r="Z155" s="2675"/>
      <c r="AA155" s="522">
        <f t="shared" si="148"/>
        <v>0</v>
      </c>
      <c r="AB155" s="2675"/>
      <c r="AC155" s="2881"/>
      <c r="AD155" s="2675"/>
      <c r="AE155" s="587">
        <f t="shared" si="142"/>
        <v>0</v>
      </c>
      <c r="AF155" s="2675"/>
      <c r="AG155" s="2881"/>
      <c r="AH155" s="2675"/>
      <c r="AI155" s="587">
        <f t="shared" si="143"/>
        <v>0</v>
      </c>
      <c r="AJ155" s="2675"/>
      <c r="AK155" s="2881"/>
      <c r="AL155" s="2675"/>
      <c r="AM155" s="1151">
        <f t="shared" si="154"/>
        <v>0</v>
      </c>
      <c r="AN155" s="597"/>
      <c r="AO155" s="587">
        <f t="shared" si="155"/>
        <v>0</v>
      </c>
      <c r="AP155" s="2675"/>
      <c r="AQ155" s="2881"/>
      <c r="AR155" s="2675"/>
      <c r="AS155" s="587">
        <f t="shared" si="144"/>
        <v>0</v>
      </c>
      <c r="AT155" s="2675"/>
      <c r="AU155" s="2881"/>
      <c r="AV155" s="2675"/>
      <c r="AW155" s="587">
        <f t="shared" si="145"/>
        <v>0</v>
      </c>
      <c r="AX155" s="2675"/>
      <c r="AY155" s="2881"/>
      <c r="AZ155" s="2675"/>
      <c r="BA155" s="1151">
        <f t="shared" si="156"/>
        <v>0</v>
      </c>
      <c r="BB155" s="597"/>
      <c r="BC155" s="522">
        <f t="shared" si="157"/>
        <v>0</v>
      </c>
      <c r="BD155" s="2675"/>
      <c r="BE155" s="256">
        <f t="shared" si="146"/>
        <v>0</v>
      </c>
      <c r="BF155" s="26"/>
      <c r="BG155" s="26"/>
      <c r="BH155" s="26"/>
      <c r="BP155" s="26"/>
      <c r="BQ155" s="26"/>
    </row>
    <row r="156" spans="2:69" ht="15.6" hidden="1" x14ac:dyDescent="0.3">
      <c r="B156" s="1750" t="s">
        <v>1933</v>
      </c>
      <c r="C156" s="2656" t="s">
        <v>354</v>
      </c>
      <c r="D156" s="3360"/>
      <c r="E156" s="2675"/>
      <c r="F156" s="2675"/>
      <c r="G156" s="2675"/>
      <c r="H156" s="2676"/>
      <c r="I156" s="3361"/>
      <c r="J156" s="3348"/>
      <c r="K156" s="2675"/>
      <c r="L156" s="2675"/>
      <c r="M156" s="1151">
        <f t="shared" si="141"/>
        <v>0</v>
      </c>
      <c r="N156" s="2675"/>
      <c r="O156" s="2675"/>
      <c r="P156" s="2675"/>
      <c r="Q156" s="1658">
        <f t="shared" si="133"/>
        <v>0</v>
      </c>
      <c r="R156" s="2675"/>
      <c r="S156" s="2675"/>
      <c r="T156" s="2675"/>
      <c r="U156" s="3361">
        <f t="shared" si="110"/>
        <v>0</v>
      </c>
      <c r="V156" s="2675"/>
      <c r="W156" s="2675"/>
      <c r="X156" s="2675"/>
      <c r="Y156" s="1151">
        <f t="shared" si="147"/>
        <v>0</v>
      </c>
      <c r="Z156" s="2675"/>
      <c r="AA156" s="522">
        <f t="shared" si="148"/>
        <v>0</v>
      </c>
      <c r="AB156" s="2675"/>
      <c r="AC156" s="2881"/>
      <c r="AD156" s="2675"/>
      <c r="AE156" s="587">
        <f t="shared" si="142"/>
        <v>0</v>
      </c>
      <c r="AF156" s="2675"/>
      <c r="AG156" s="2881"/>
      <c r="AH156" s="2675"/>
      <c r="AI156" s="587">
        <f t="shared" si="143"/>
        <v>0</v>
      </c>
      <c r="AJ156" s="2675"/>
      <c r="AK156" s="2881"/>
      <c r="AL156" s="2675"/>
      <c r="AM156" s="1151">
        <f t="shared" si="154"/>
        <v>0</v>
      </c>
      <c r="AN156" s="597"/>
      <c r="AO156" s="587">
        <f t="shared" si="155"/>
        <v>0</v>
      </c>
      <c r="AP156" s="2675"/>
      <c r="AQ156" s="2881"/>
      <c r="AR156" s="2675"/>
      <c r="AS156" s="587">
        <f t="shared" si="144"/>
        <v>0</v>
      </c>
      <c r="AT156" s="2675"/>
      <c r="AU156" s="2881"/>
      <c r="AV156" s="2675"/>
      <c r="AW156" s="587">
        <f t="shared" si="145"/>
        <v>0</v>
      </c>
      <c r="AX156" s="2675"/>
      <c r="AY156" s="2881"/>
      <c r="AZ156" s="2675"/>
      <c r="BA156" s="1151">
        <f t="shared" si="156"/>
        <v>0</v>
      </c>
      <c r="BB156" s="597"/>
      <c r="BC156" s="522">
        <f t="shared" si="157"/>
        <v>0</v>
      </c>
      <c r="BD156" s="2675"/>
      <c r="BE156" s="256">
        <f t="shared" si="146"/>
        <v>0</v>
      </c>
      <c r="BF156" s="26"/>
      <c r="BG156" s="26"/>
      <c r="BH156" s="26"/>
      <c r="BP156" s="26"/>
      <c r="BQ156" s="26"/>
    </row>
    <row r="157" spans="2:69" ht="15.6" hidden="1" x14ac:dyDescent="0.3">
      <c r="B157" s="1750" t="s">
        <v>1934</v>
      </c>
      <c r="C157" s="2656" t="s">
        <v>354</v>
      </c>
      <c r="D157" s="3360"/>
      <c r="E157" s="2675"/>
      <c r="F157" s="2675"/>
      <c r="G157" s="2675"/>
      <c r="H157" s="2676"/>
      <c r="I157" s="3361"/>
      <c r="J157" s="3348"/>
      <c r="K157" s="2675"/>
      <c r="L157" s="2675"/>
      <c r="M157" s="1151">
        <f t="shared" si="141"/>
        <v>0</v>
      </c>
      <c r="N157" s="2675"/>
      <c r="O157" s="2675"/>
      <c r="P157" s="2675"/>
      <c r="Q157" s="1658">
        <f t="shared" si="133"/>
        <v>0</v>
      </c>
      <c r="R157" s="2675"/>
      <c r="S157" s="2675"/>
      <c r="T157" s="2675"/>
      <c r="U157" s="3361">
        <f t="shared" si="110"/>
        <v>0</v>
      </c>
      <c r="V157" s="2675"/>
      <c r="W157" s="2675"/>
      <c r="X157" s="2675"/>
      <c r="Y157" s="1151">
        <f t="shared" si="147"/>
        <v>0</v>
      </c>
      <c r="Z157" s="2675"/>
      <c r="AA157" s="522">
        <f t="shared" si="148"/>
        <v>0</v>
      </c>
      <c r="AB157" s="2675"/>
      <c r="AC157" s="2881"/>
      <c r="AD157" s="2675"/>
      <c r="AE157" s="587">
        <f t="shared" si="142"/>
        <v>0</v>
      </c>
      <c r="AF157" s="2675"/>
      <c r="AG157" s="2881"/>
      <c r="AH157" s="2675"/>
      <c r="AI157" s="587">
        <f t="shared" si="143"/>
        <v>0</v>
      </c>
      <c r="AJ157" s="2675"/>
      <c r="AK157" s="2881"/>
      <c r="AL157" s="2675"/>
      <c r="AM157" s="1151">
        <f t="shared" si="154"/>
        <v>0</v>
      </c>
      <c r="AN157" s="597"/>
      <c r="AO157" s="587">
        <f t="shared" si="155"/>
        <v>0</v>
      </c>
      <c r="AP157" s="2675"/>
      <c r="AQ157" s="2881"/>
      <c r="AR157" s="2675"/>
      <c r="AS157" s="587">
        <f t="shared" si="144"/>
        <v>0</v>
      </c>
      <c r="AT157" s="2675"/>
      <c r="AU157" s="2881"/>
      <c r="AV157" s="2675"/>
      <c r="AW157" s="587">
        <f t="shared" si="145"/>
        <v>0</v>
      </c>
      <c r="AX157" s="2675"/>
      <c r="AY157" s="2881"/>
      <c r="AZ157" s="2675"/>
      <c r="BA157" s="1151">
        <f t="shared" si="156"/>
        <v>0</v>
      </c>
      <c r="BB157" s="597"/>
      <c r="BC157" s="522">
        <f t="shared" si="157"/>
        <v>0</v>
      </c>
      <c r="BD157" s="2675"/>
      <c r="BE157" s="256">
        <f t="shared" si="146"/>
        <v>0</v>
      </c>
      <c r="BF157" s="26"/>
      <c r="BG157" s="26"/>
      <c r="BH157" s="26"/>
      <c r="BP157" s="26"/>
      <c r="BQ157" s="26"/>
    </row>
    <row r="158" spans="2:69" ht="15.6" hidden="1" x14ac:dyDescent="0.3">
      <c r="B158" s="1750" t="s">
        <v>1935</v>
      </c>
      <c r="C158" s="2656" t="s">
        <v>354</v>
      </c>
      <c r="D158" s="3360"/>
      <c r="E158" s="2675"/>
      <c r="F158" s="2675"/>
      <c r="G158" s="2675"/>
      <c r="H158" s="2676"/>
      <c r="I158" s="3361"/>
      <c r="J158" s="3348"/>
      <c r="K158" s="2675"/>
      <c r="L158" s="2675"/>
      <c r="M158" s="1151">
        <f t="shared" si="141"/>
        <v>0</v>
      </c>
      <c r="N158" s="2675"/>
      <c r="O158" s="2675"/>
      <c r="P158" s="2675"/>
      <c r="Q158" s="1658">
        <f t="shared" si="133"/>
        <v>0</v>
      </c>
      <c r="R158" s="2675"/>
      <c r="S158" s="2675"/>
      <c r="T158" s="2675"/>
      <c r="U158" s="3361">
        <f t="shared" si="110"/>
        <v>0</v>
      </c>
      <c r="V158" s="2675"/>
      <c r="W158" s="2675"/>
      <c r="X158" s="2675"/>
      <c r="Y158" s="1151">
        <f t="shared" si="147"/>
        <v>0</v>
      </c>
      <c r="Z158" s="2675"/>
      <c r="AA158" s="522">
        <f t="shared" si="148"/>
        <v>0</v>
      </c>
      <c r="AB158" s="2675"/>
      <c r="AC158" s="2881"/>
      <c r="AD158" s="2675"/>
      <c r="AE158" s="587">
        <f t="shared" si="142"/>
        <v>0</v>
      </c>
      <c r="AF158" s="2675"/>
      <c r="AG158" s="2881"/>
      <c r="AH158" s="2675"/>
      <c r="AI158" s="587">
        <f t="shared" si="143"/>
        <v>0</v>
      </c>
      <c r="AJ158" s="2675"/>
      <c r="AK158" s="2881"/>
      <c r="AL158" s="2675"/>
      <c r="AM158" s="1151">
        <f t="shared" si="154"/>
        <v>0</v>
      </c>
      <c r="AN158" s="597"/>
      <c r="AO158" s="587">
        <f t="shared" si="155"/>
        <v>0</v>
      </c>
      <c r="AP158" s="2675"/>
      <c r="AQ158" s="2881"/>
      <c r="AR158" s="2675"/>
      <c r="AS158" s="587">
        <f t="shared" si="144"/>
        <v>0</v>
      </c>
      <c r="AT158" s="2675"/>
      <c r="AU158" s="2881"/>
      <c r="AV158" s="2675"/>
      <c r="AW158" s="587">
        <f t="shared" si="145"/>
        <v>0</v>
      </c>
      <c r="AX158" s="2675"/>
      <c r="AY158" s="2881"/>
      <c r="AZ158" s="2675"/>
      <c r="BA158" s="1151">
        <f t="shared" si="156"/>
        <v>0</v>
      </c>
      <c r="BB158" s="597"/>
      <c r="BC158" s="522">
        <f t="shared" si="157"/>
        <v>0</v>
      </c>
      <c r="BD158" s="2675"/>
      <c r="BE158" s="256">
        <f t="shared" si="146"/>
        <v>0</v>
      </c>
      <c r="BF158" s="26"/>
      <c r="BG158" s="26"/>
      <c r="BH158" s="26"/>
      <c r="BP158" s="26"/>
      <c r="BQ158" s="26"/>
    </row>
    <row r="159" spans="2:69" ht="15.6" hidden="1" x14ac:dyDescent="0.3">
      <c r="B159" s="1750" t="s">
        <v>1528</v>
      </c>
      <c r="C159" s="2656" t="s">
        <v>354</v>
      </c>
      <c r="D159" s="3360"/>
      <c r="E159" s="2675"/>
      <c r="F159" s="2675"/>
      <c r="G159" s="2675"/>
      <c r="H159" s="2676"/>
      <c r="I159" s="3361"/>
      <c r="J159" s="3348"/>
      <c r="K159" s="2675"/>
      <c r="L159" s="2675"/>
      <c r="M159" s="1151">
        <f t="shared" si="141"/>
        <v>0</v>
      </c>
      <c r="N159" s="2675"/>
      <c r="O159" s="2675"/>
      <c r="P159" s="2675"/>
      <c r="Q159" s="1658">
        <f t="shared" si="133"/>
        <v>0</v>
      </c>
      <c r="R159" s="2675"/>
      <c r="S159" s="2675"/>
      <c r="T159" s="2675"/>
      <c r="U159" s="3361">
        <f t="shared" si="110"/>
        <v>0</v>
      </c>
      <c r="V159" s="2675"/>
      <c r="W159" s="2675"/>
      <c r="X159" s="2675"/>
      <c r="Y159" s="1151">
        <f t="shared" si="147"/>
        <v>0</v>
      </c>
      <c r="Z159" s="2675"/>
      <c r="AA159" s="522">
        <f t="shared" si="148"/>
        <v>0</v>
      </c>
      <c r="AB159" s="2675"/>
      <c r="AC159" s="2881"/>
      <c r="AD159" s="2675"/>
      <c r="AE159" s="587">
        <f t="shared" si="142"/>
        <v>0</v>
      </c>
      <c r="AF159" s="2675"/>
      <c r="AG159" s="2881"/>
      <c r="AH159" s="2675"/>
      <c r="AI159" s="587">
        <f t="shared" si="143"/>
        <v>0</v>
      </c>
      <c r="AJ159" s="2675"/>
      <c r="AK159" s="2881"/>
      <c r="AL159" s="2675"/>
      <c r="AM159" s="1151">
        <f t="shared" si="154"/>
        <v>0</v>
      </c>
      <c r="AN159" s="597"/>
      <c r="AO159" s="587">
        <f t="shared" si="155"/>
        <v>0</v>
      </c>
      <c r="AP159" s="2675"/>
      <c r="AQ159" s="2881"/>
      <c r="AR159" s="2675"/>
      <c r="AS159" s="587">
        <f t="shared" si="144"/>
        <v>0</v>
      </c>
      <c r="AT159" s="2675"/>
      <c r="AU159" s="2881"/>
      <c r="AV159" s="2675"/>
      <c r="AW159" s="587">
        <f t="shared" si="145"/>
        <v>0</v>
      </c>
      <c r="AX159" s="2675"/>
      <c r="AY159" s="2881"/>
      <c r="AZ159" s="2675"/>
      <c r="BA159" s="1151">
        <f t="shared" si="156"/>
        <v>0</v>
      </c>
      <c r="BB159" s="597"/>
      <c r="BC159" s="522">
        <f t="shared" si="157"/>
        <v>0</v>
      </c>
      <c r="BD159" s="2675"/>
      <c r="BE159" s="256">
        <f t="shared" si="146"/>
        <v>0</v>
      </c>
      <c r="BF159" s="26"/>
      <c r="BG159" s="26"/>
      <c r="BH159" s="26"/>
      <c r="BP159" s="26"/>
      <c r="BQ159" s="26"/>
    </row>
    <row r="160" spans="2:69" ht="15.6" hidden="1" x14ac:dyDescent="0.3">
      <c r="B160" s="1750" t="s">
        <v>1937</v>
      </c>
      <c r="C160" s="2656" t="s">
        <v>354</v>
      </c>
      <c r="D160" s="3360"/>
      <c r="E160" s="2675"/>
      <c r="F160" s="2675"/>
      <c r="G160" s="2675"/>
      <c r="H160" s="2676"/>
      <c r="I160" s="3361"/>
      <c r="J160" s="3348"/>
      <c r="K160" s="2675"/>
      <c r="L160" s="2675"/>
      <c r="M160" s="1151">
        <f t="shared" si="141"/>
        <v>0</v>
      </c>
      <c r="N160" s="2675"/>
      <c r="O160" s="2675"/>
      <c r="P160" s="2675"/>
      <c r="Q160" s="1658">
        <f t="shared" si="133"/>
        <v>0</v>
      </c>
      <c r="R160" s="2675"/>
      <c r="S160" s="2675"/>
      <c r="T160" s="2675"/>
      <c r="U160" s="3361">
        <f t="shared" si="110"/>
        <v>0</v>
      </c>
      <c r="V160" s="2675"/>
      <c r="W160" s="2675"/>
      <c r="X160" s="2675"/>
      <c r="Y160" s="1151">
        <f t="shared" si="147"/>
        <v>0</v>
      </c>
      <c r="Z160" s="2675"/>
      <c r="AA160" s="522">
        <f t="shared" si="148"/>
        <v>0</v>
      </c>
      <c r="AB160" s="2675"/>
      <c r="AC160" s="2881"/>
      <c r="AD160" s="2675"/>
      <c r="AE160" s="587">
        <f t="shared" si="142"/>
        <v>0</v>
      </c>
      <c r="AF160" s="2675"/>
      <c r="AG160" s="2881"/>
      <c r="AH160" s="2675"/>
      <c r="AI160" s="587">
        <f t="shared" si="143"/>
        <v>0</v>
      </c>
      <c r="AJ160" s="2675"/>
      <c r="AK160" s="2881"/>
      <c r="AL160" s="2675"/>
      <c r="AM160" s="1151">
        <f t="shared" si="154"/>
        <v>0</v>
      </c>
      <c r="AN160" s="597"/>
      <c r="AO160" s="587">
        <f t="shared" si="155"/>
        <v>0</v>
      </c>
      <c r="AP160" s="2675"/>
      <c r="AQ160" s="2881"/>
      <c r="AR160" s="2675"/>
      <c r="AS160" s="587">
        <f t="shared" si="144"/>
        <v>0</v>
      </c>
      <c r="AT160" s="2675"/>
      <c r="AU160" s="2881"/>
      <c r="AV160" s="2675"/>
      <c r="AW160" s="587">
        <f t="shared" si="145"/>
        <v>0</v>
      </c>
      <c r="AX160" s="2675"/>
      <c r="AY160" s="2881"/>
      <c r="AZ160" s="2675"/>
      <c r="BA160" s="1151">
        <f t="shared" si="156"/>
        <v>0</v>
      </c>
      <c r="BB160" s="597"/>
      <c r="BC160" s="522">
        <f t="shared" si="157"/>
        <v>0</v>
      </c>
      <c r="BD160" s="2675"/>
      <c r="BE160" s="256">
        <f t="shared" si="146"/>
        <v>0</v>
      </c>
      <c r="BF160" s="26"/>
      <c r="BG160" s="26"/>
      <c r="BH160" s="26"/>
      <c r="BP160" s="26"/>
      <c r="BQ160" s="26"/>
    </row>
    <row r="161" spans="2:69" ht="15.6" hidden="1" x14ac:dyDescent="0.3">
      <c r="B161" s="1750" t="s">
        <v>1936</v>
      </c>
      <c r="C161" s="2656" t="s">
        <v>354</v>
      </c>
      <c r="D161" s="3360"/>
      <c r="E161" s="2675"/>
      <c r="F161" s="2675"/>
      <c r="G161" s="2675"/>
      <c r="H161" s="2676"/>
      <c r="I161" s="3361"/>
      <c r="J161" s="3348"/>
      <c r="K161" s="2675"/>
      <c r="L161" s="2675"/>
      <c r="M161" s="1151">
        <f t="shared" si="141"/>
        <v>0</v>
      </c>
      <c r="N161" s="2675"/>
      <c r="O161" s="2675"/>
      <c r="P161" s="2675"/>
      <c r="Q161" s="1658">
        <f t="shared" si="133"/>
        <v>0</v>
      </c>
      <c r="R161" s="2675"/>
      <c r="S161" s="2675"/>
      <c r="T161" s="2675"/>
      <c r="U161" s="3361">
        <f t="shared" si="110"/>
        <v>0</v>
      </c>
      <c r="V161" s="2675"/>
      <c r="W161" s="2675"/>
      <c r="X161" s="2675"/>
      <c r="Y161" s="1151">
        <f t="shared" si="147"/>
        <v>0</v>
      </c>
      <c r="Z161" s="2675"/>
      <c r="AA161" s="522">
        <f t="shared" si="148"/>
        <v>0</v>
      </c>
      <c r="AB161" s="2675"/>
      <c r="AC161" s="2881"/>
      <c r="AD161" s="2675"/>
      <c r="AE161" s="587">
        <f t="shared" si="142"/>
        <v>0</v>
      </c>
      <c r="AF161" s="2675"/>
      <c r="AG161" s="2881"/>
      <c r="AH161" s="2675"/>
      <c r="AI161" s="587">
        <f t="shared" si="143"/>
        <v>0</v>
      </c>
      <c r="AJ161" s="2675"/>
      <c r="AK161" s="2881"/>
      <c r="AL161" s="2675"/>
      <c r="AM161" s="1151">
        <f t="shared" si="154"/>
        <v>0</v>
      </c>
      <c r="AN161" s="597"/>
      <c r="AO161" s="587">
        <f t="shared" si="155"/>
        <v>0</v>
      </c>
      <c r="AP161" s="2675"/>
      <c r="AQ161" s="2881"/>
      <c r="AR161" s="2675"/>
      <c r="AS161" s="587">
        <f t="shared" si="144"/>
        <v>0</v>
      </c>
      <c r="AT161" s="2675"/>
      <c r="AU161" s="2881"/>
      <c r="AV161" s="2675"/>
      <c r="AW161" s="587">
        <f t="shared" si="145"/>
        <v>0</v>
      </c>
      <c r="AX161" s="2675"/>
      <c r="AY161" s="2881"/>
      <c r="AZ161" s="2675"/>
      <c r="BA161" s="1151">
        <f t="shared" si="156"/>
        <v>0</v>
      </c>
      <c r="BB161" s="597"/>
      <c r="BC161" s="522">
        <f t="shared" si="157"/>
        <v>0</v>
      </c>
      <c r="BD161" s="2675"/>
      <c r="BE161" s="256">
        <f t="shared" si="146"/>
        <v>0</v>
      </c>
      <c r="BF161" s="26"/>
      <c r="BG161" s="26"/>
      <c r="BH161" s="26"/>
      <c r="BP161" s="26"/>
      <c r="BQ161" s="26"/>
    </row>
    <row r="162" spans="2:69" ht="15.6" hidden="1" x14ac:dyDescent="0.3">
      <c r="B162" s="1750" t="s">
        <v>1938</v>
      </c>
      <c r="C162" s="2656" t="s">
        <v>354</v>
      </c>
      <c r="D162" s="3360"/>
      <c r="E162" s="2675"/>
      <c r="F162" s="2675"/>
      <c r="G162" s="2675"/>
      <c r="H162" s="2676"/>
      <c r="I162" s="3361"/>
      <c r="J162" s="3348"/>
      <c r="K162" s="2675"/>
      <c r="L162" s="2675"/>
      <c r="M162" s="1151">
        <f t="shared" si="141"/>
        <v>0</v>
      </c>
      <c r="N162" s="2675"/>
      <c r="O162" s="2675"/>
      <c r="P162" s="2675"/>
      <c r="Q162" s="1658">
        <f t="shared" si="133"/>
        <v>0</v>
      </c>
      <c r="R162" s="2675"/>
      <c r="S162" s="2675"/>
      <c r="T162" s="2675"/>
      <c r="U162" s="3361">
        <f t="shared" si="110"/>
        <v>0</v>
      </c>
      <c r="V162" s="2675"/>
      <c r="W162" s="2675"/>
      <c r="X162" s="2675"/>
      <c r="Y162" s="1151">
        <f t="shared" si="147"/>
        <v>0</v>
      </c>
      <c r="Z162" s="2675"/>
      <c r="AA162" s="522">
        <f t="shared" si="148"/>
        <v>0</v>
      </c>
      <c r="AB162" s="2675"/>
      <c r="AC162" s="2881"/>
      <c r="AD162" s="2675"/>
      <c r="AE162" s="587">
        <f t="shared" si="142"/>
        <v>0</v>
      </c>
      <c r="AF162" s="2675"/>
      <c r="AG162" s="2881"/>
      <c r="AH162" s="2675"/>
      <c r="AI162" s="587">
        <f t="shared" si="143"/>
        <v>0</v>
      </c>
      <c r="AJ162" s="2675"/>
      <c r="AK162" s="2881"/>
      <c r="AL162" s="2675"/>
      <c r="AM162" s="1151">
        <f t="shared" si="154"/>
        <v>0</v>
      </c>
      <c r="AN162" s="597"/>
      <c r="AO162" s="587">
        <f t="shared" si="155"/>
        <v>0</v>
      </c>
      <c r="AP162" s="2675"/>
      <c r="AQ162" s="2881"/>
      <c r="AR162" s="2675"/>
      <c r="AS162" s="587">
        <f t="shared" si="144"/>
        <v>0</v>
      </c>
      <c r="AT162" s="2675"/>
      <c r="AU162" s="2881"/>
      <c r="AV162" s="2675"/>
      <c r="AW162" s="587">
        <f t="shared" si="145"/>
        <v>0</v>
      </c>
      <c r="AX162" s="2675"/>
      <c r="AY162" s="2881"/>
      <c r="AZ162" s="2675"/>
      <c r="BA162" s="1151">
        <f t="shared" si="156"/>
        <v>0</v>
      </c>
      <c r="BB162" s="597"/>
      <c r="BC162" s="522">
        <f t="shared" si="157"/>
        <v>0</v>
      </c>
      <c r="BD162" s="2675"/>
      <c r="BE162" s="256">
        <f t="shared" si="146"/>
        <v>0</v>
      </c>
      <c r="BF162" s="26"/>
      <c r="BG162" s="26"/>
      <c r="BH162" s="26"/>
      <c r="BP162" s="26"/>
      <c r="BQ162" s="26"/>
    </row>
    <row r="163" spans="2:69" ht="15.6" hidden="1" x14ac:dyDescent="0.3">
      <c r="B163" s="1750" t="s">
        <v>1748</v>
      </c>
      <c r="C163" s="2656" t="s">
        <v>354</v>
      </c>
      <c r="D163" s="3360"/>
      <c r="E163" s="2675"/>
      <c r="F163" s="2675"/>
      <c r="G163" s="2675"/>
      <c r="H163" s="2676"/>
      <c r="I163" s="3361">
        <f t="shared" si="108"/>
        <v>0</v>
      </c>
      <c r="J163" s="3348"/>
      <c r="K163" s="2675"/>
      <c r="L163" s="597"/>
      <c r="M163" s="1151">
        <f t="shared" si="141"/>
        <v>0</v>
      </c>
      <c r="N163" s="597"/>
      <c r="O163" s="2675"/>
      <c r="P163" s="597"/>
      <c r="Q163" s="1658">
        <f t="shared" si="133"/>
        <v>0</v>
      </c>
      <c r="R163" s="597"/>
      <c r="S163" s="2675"/>
      <c r="T163" s="597"/>
      <c r="U163" s="3361">
        <f t="shared" si="110"/>
        <v>0</v>
      </c>
      <c r="V163" s="597"/>
      <c r="W163" s="2675"/>
      <c r="X163" s="597"/>
      <c r="Y163" s="1151">
        <f t="shared" si="147"/>
        <v>0</v>
      </c>
      <c r="Z163" s="597"/>
      <c r="AA163" s="522">
        <f t="shared" si="148"/>
        <v>0</v>
      </c>
      <c r="AB163" s="597"/>
      <c r="AC163" s="2881"/>
      <c r="AD163" s="597"/>
      <c r="AE163" s="587">
        <f t="shared" si="142"/>
        <v>0</v>
      </c>
      <c r="AF163" s="597"/>
      <c r="AG163" s="2881"/>
      <c r="AH163" s="597"/>
      <c r="AI163" s="587">
        <f t="shared" si="143"/>
        <v>0</v>
      </c>
      <c r="AJ163" s="597"/>
      <c r="AK163" s="2881"/>
      <c r="AL163" s="597"/>
      <c r="AM163" s="1151">
        <f t="shared" si="154"/>
        <v>0</v>
      </c>
      <c r="AN163" s="597"/>
      <c r="AO163" s="587">
        <f t="shared" si="155"/>
        <v>0</v>
      </c>
      <c r="AP163" s="597"/>
      <c r="AQ163" s="2881"/>
      <c r="AR163" s="597"/>
      <c r="AS163" s="587">
        <f t="shared" si="144"/>
        <v>0</v>
      </c>
      <c r="AT163" s="597"/>
      <c r="AU163" s="2881"/>
      <c r="AV163" s="597"/>
      <c r="AW163" s="587">
        <f t="shared" si="145"/>
        <v>0</v>
      </c>
      <c r="AX163" s="597"/>
      <c r="AY163" s="2881"/>
      <c r="AZ163" s="597"/>
      <c r="BA163" s="1151">
        <f t="shared" si="150"/>
        <v>0</v>
      </c>
      <c r="BB163" s="597"/>
      <c r="BC163" s="522">
        <f t="shared" ref="BC163:BC164" si="158">BA163+AM163</f>
        <v>0</v>
      </c>
      <c r="BD163" s="597"/>
      <c r="BE163" s="256">
        <f t="shared" si="146"/>
        <v>0</v>
      </c>
      <c r="BF163" s="26"/>
      <c r="BG163" s="26"/>
      <c r="BH163" s="26"/>
      <c r="BP163" s="26"/>
      <c r="BQ163" s="26"/>
    </row>
    <row r="164" spans="2:69" ht="15.6" hidden="1" x14ac:dyDescent="0.3">
      <c r="B164" s="1750" t="s">
        <v>1749</v>
      </c>
      <c r="C164" s="2656" t="s">
        <v>354</v>
      </c>
      <c r="D164" s="3360"/>
      <c r="E164" s="2675"/>
      <c r="F164" s="2675"/>
      <c r="G164" s="2675"/>
      <c r="H164" s="2676"/>
      <c r="I164" s="3361">
        <f t="shared" si="108"/>
        <v>0</v>
      </c>
      <c r="J164" s="3348"/>
      <c r="K164" s="2675"/>
      <c r="L164" s="2509"/>
      <c r="M164" s="1151">
        <f t="shared" si="141"/>
        <v>0</v>
      </c>
      <c r="N164" s="2509"/>
      <c r="O164" s="2675"/>
      <c r="P164" s="2509"/>
      <c r="Q164" s="1658">
        <f t="shared" si="133"/>
        <v>0</v>
      </c>
      <c r="R164" s="2509"/>
      <c r="S164" s="2675"/>
      <c r="T164" s="2509"/>
      <c r="U164" s="3361">
        <f t="shared" si="110"/>
        <v>0</v>
      </c>
      <c r="V164" s="2509"/>
      <c r="W164" s="2675"/>
      <c r="X164" s="2509"/>
      <c r="Y164" s="2516">
        <f t="shared" si="147"/>
        <v>0</v>
      </c>
      <c r="Z164" s="597"/>
      <c r="AA164" s="522">
        <f t="shared" si="148"/>
        <v>0</v>
      </c>
      <c r="AB164" s="2509"/>
      <c r="AC164" s="2881"/>
      <c r="AD164" s="2509"/>
      <c r="AE164" s="587">
        <f t="shared" si="142"/>
        <v>0</v>
      </c>
      <c r="AF164" s="2509"/>
      <c r="AG164" s="2881"/>
      <c r="AH164" s="2509"/>
      <c r="AI164" s="587">
        <f t="shared" si="143"/>
        <v>0</v>
      </c>
      <c r="AJ164" s="2509"/>
      <c r="AK164" s="2881"/>
      <c r="AL164" s="2509"/>
      <c r="AM164" s="1151">
        <f t="shared" si="154"/>
        <v>0</v>
      </c>
      <c r="AN164" s="597"/>
      <c r="AO164" s="587">
        <f t="shared" si="155"/>
        <v>0</v>
      </c>
      <c r="AP164" s="2509"/>
      <c r="AQ164" s="2881"/>
      <c r="AR164" s="2509"/>
      <c r="AS164" s="587">
        <f t="shared" si="144"/>
        <v>0</v>
      </c>
      <c r="AT164" s="2509"/>
      <c r="AU164" s="2881"/>
      <c r="AV164" s="2509"/>
      <c r="AW164" s="587">
        <f t="shared" si="145"/>
        <v>0</v>
      </c>
      <c r="AX164" s="2509"/>
      <c r="AY164" s="2881"/>
      <c r="AZ164" s="2509"/>
      <c r="BA164" s="2516">
        <f t="shared" si="150"/>
        <v>0</v>
      </c>
      <c r="BB164" s="597"/>
      <c r="BC164" s="522">
        <f t="shared" si="158"/>
        <v>0</v>
      </c>
      <c r="BD164" s="597"/>
      <c r="BE164" s="256">
        <f t="shared" si="146"/>
        <v>0</v>
      </c>
      <c r="BF164" s="26"/>
      <c r="BG164" s="26"/>
      <c r="BH164" s="26"/>
      <c r="BP164" s="26"/>
      <c r="BQ164" s="26"/>
    </row>
    <row r="165" spans="2:69" ht="15.6" hidden="1" x14ac:dyDescent="0.3">
      <c r="B165" s="1750" t="s">
        <v>1750</v>
      </c>
      <c r="C165" s="2656" t="s">
        <v>354</v>
      </c>
      <c r="D165" s="3360"/>
      <c r="E165" s="2675"/>
      <c r="F165" s="2675"/>
      <c r="G165" s="2675"/>
      <c r="H165" s="2676"/>
      <c r="I165" s="3361">
        <f t="shared" si="108"/>
        <v>0</v>
      </c>
      <c r="J165" s="3348"/>
      <c r="K165" s="2675"/>
      <c r="L165" s="597"/>
      <c r="M165" s="1151">
        <f t="shared" si="141"/>
        <v>0</v>
      </c>
      <c r="N165" s="597"/>
      <c r="O165" s="2675"/>
      <c r="P165" s="597"/>
      <c r="Q165" s="1658">
        <f t="shared" si="133"/>
        <v>0</v>
      </c>
      <c r="R165" s="597"/>
      <c r="S165" s="2675"/>
      <c r="T165" s="597"/>
      <c r="U165" s="3361">
        <f t="shared" si="110"/>
        <v>0</v>
      </c>
      <c r="V165" s="597"/>
      <c r="W165" s="2675"/>
      <c r="X165" s="597"/>
      <c r="Y165" s="1151">
        <f t="shared" si="147"/>
        <v>0</v>
      </c>
      <c r="Z165" s="597"/>
      <c r="AA165" s="522">
        <f t="shared" si="148"/>
        <v>0</v>
      </c>
      <c r="AB165" s="597"/>
      <c r="AC165" s="2881"/>
      <c r="AD165" s="597"/>
      <c r="AE165" s="587">
        <f t="shared" si="142"/>
        <v>0</v>
      </c>
      <c r="AF165" s="597"/>
      <c r="AG165" s="2881"/>
      <c r="AH165" s="597"/>
      <c r="AI165" s="587">
        <f t="shared" si="143"/>
        <v>0</v>
      </c>
      <c r="AJ165" s="597"/>
      <c r="AK165" s="2881"/>
      <c r="AL165" s="597"/>
      <c r="AM165" s="1151">
        <f t="shared" si="154"/>
        <v>0</v>
      </c>
      <c r="AN165" s="597"/>
      <c r="AO165" s="587">
        <f t="shared" si="155"/>
        <v>0</v>
      </c>
      <c r="AP165" s="597"/>
      <c r="AQ165" s="2881"/>
      <c r="AR165" s="597"/>
      <c r="AS165" s="587">
        <f t="shared" si="144"/>
        <v>0</v>
      </c>
      <c r="AT165" s="597"/>
      <c r="AU165" s="2881"/>
      <c r="AV165" s="597"/>
      <c r="AW165" s="587">
        <f t="shared" si="145"/>
        <v>0</v>
      </c>
      <c r="AX165" s="597"/>
      <c r="AY165" s="2881"/>
      <c r="AZ165" s="597"/>
      <c r="BA165" s="1151">
        <f t="shared" si="150"/>
        <v>0</v>
      </c>
      <c r="BB165" s="597"/>
      <c r="BC165" s="522">
        <f t="shared" ref="BC165" si="159">BA165+AM165</f>
        <v>0</v>
      </c>
      <c r="BD165" s="597"/>
      <c r="BE165" s="256">
        <f t="shared" ref="BE165" si="160">+AW165+AY165</f>
        <v>0</v>
      </c>
      <c r="BF165" s="26"/>
      <c r="BG165" s="26"/>
      <c r="BH165" s="26"/>
      <c r="BP165" s="26"/>
      <c r="BQ165" s="26"/>
    </row>
    <row r="166" spans="2:69" x14ac:dyDescent="0.25">
      <c r="B166" s="1750" t="s">
        <v>881</v>
      </c>
      <c r="C166" s="2656" t="s">
        <v>354</v>
      </c>
      <c r="D166" s="3360"/>
      <c r="E166" s="2675"/>
      <c r="F166" s="2675"/>
      <c r="G166" s="2675"/>
      <c r="H166" s="2676"/>
      <c r="I166" s="3361">
        <f t="shared" si="108"/>
        <v>0</v>
      </c>
      <c r="J166" s="3348"/>
      <c r="K166" s="2675"/>
      <c r="L166" s="597"/>
      <c r="M166" s="1151">
        <f t="shared" si="141"/>
        <v>0</v>
      </c>
      <c r="N166" s="597"/>
      <c r="O166" s="2675"/>
      <c r="P166" s="597"/>
      <c r="Q166" s="1658">
        <f t="shared" si="133"/>
        <v>0</v>
      </c>
      <c r="R166" s="597"/>
      <c r="S166" s="2675"/>
      <c r="T166" s="597"/>
      <c r="U166" s="3361">
        <f t="shared" si="110"/>
        <v>0</v>
      </c>
      <c r="V166" s="597"/>
      <c r="W166" s="2675">
        <v>27.2</v>
      </c>
      <c r="X166" s="597"/>
      <c r="Y166" s="1151">
        <f t="shared" si="147"/>
        <v>27.2</v>
      </c>
      <c r="Z166" s="597"/>
      <c r="AA166" s="817">
        <f t="shared" si="148"/>
        <v>27.2</v>
      </c>
      <c r="AB166" s="597"/>
      <c r="AC166" s="2880"/>
      <c r="AD166" s="597"/>
      <c r="AE166" s="587">
        <f t="shared" si="142"/>
        <v>27.2</v>
      </c>
      <c r="AF166" s="597"/>
      <c r="AG166" s="2880"/>
      <c r="AH166" s="597"/>
      <c r="AI166" s="587">
        <f t="shared" si="143"/>
        <v>27.2</v>
      </c>
      <c r="AJ166" s="597"/>
      <c r="AK166" s="2880">
        <v>38.53</v>
      </c>
      <c r="AL166" s="597"/>
      <c r="AM166" s="1151">
        <f t="shared" si="154"/>
        <v>38.53</v>
      </c>
      <c r="AN166" s="597"/>
      <c r="AO166" s="587">
        <f t="shared" si="155"/>
        <v>65.73</v>
      </c>
      <c r="AP166" s="597"/>
      <c r="AQ166" s="2880"/>
      <c r="AR166" s="597"/>
      <c r="AS166" s="587">
        <f t="shared" si="144"/>
        <v>65.73</v>
      </c>
      <c r="AT166" s="597"/>
      <c r="AU166" s="2880"/>
      <c r="AV166" s="597"/>
      <c r="AW166" s="587">
        <f t="shared" si="145"/>
        <v>65.73</v>
      </c>
      <c r="AX166" s="597"/>
      <c r="AY166" s="2880"/>
      <c r="AZ166" s="597"/>
      <c r="BA166" s="1151">
        <f t="shared" si="150"/>
        <v>0</v>
      </c>
      <c r="BB166" s="597"/>
      <c r="BC166" s="522">
        <f t="shared" si="151"/>
        <v>38.53</v>
      </c>
      <c r="BD166" s="597"/>
      <c r="BE166" s="256">
        <f>+AW166+AY166</f>
        <v>65.73</v>
      </c>
      <c r="BF166" s="26"/>
      <c r="BG166" s="26"/>
      <c r="BH166" s="26"/>
      <c r="BP166" s="26"/>
      <c r="BQ166" s="26"/>
    </row>
    <row r="167" spans="2:69" ht="15.6" hidden="1" x14ac:dyDescent="0.3">
      <c r="B167" s="1750" t="s">
        <v>1443</v>
      </c>
      <c r="C167" s="2656" t="s">
        <v>354</v>
      </c>
      <c r="D167" s="3360"/>
      <c r="E167" s="2675"/>
      <c r="F167" s="2675"/>
      <c r="G167" s="2675"/>
      <c r="H167" s="2676"/>
      <c r="I167" s="3361">
        <f t="shared" si="108"/>
        <v>0</v>
      </c>
      <c r="J167" s="3348"/>
      <c r="K167" s="2675"/>
      <c r="L167" s="597"/>
      <c r="M167" s="1151">
        <f t="shared" si="141"/>
        <v>0</v>
      </c>
      <c r="N167" s="597"/>
      <c r="O167" s="2675"/>
      <c r="P167" s="597"/>
      <c r="Q167" s="1658">
        <f t="shared" si="133"/>
        <v>0</v>
      </c>
      <c r="R167" s="597"/>
      <c r="S167" s="2675"/>
      <c r="T167" s="597"/>
      <c r="U167" s="3361">
        <f t="shared" si="110"/>
        <v>0</v>
      </c>
      <c r="V167" s="597"/>
      <c r="W167" s="2675"/>
      <c r="X167" s="597"/>
      <c r="Y167" s="1151">
        <f t="shared" si="147"/>
        <v>0</v>
      </c>
      <c r="Z167" s="597"/>
      <c r="AA167" s="522">
        <f t="shared" si="148"/>
        <v>0</v>
      </c>
      <c r="AB167" s="597"/>
      <c r="AC167" s="2881"/>
      <c r="AD167" s="597"/>
      <c r="AE167" s="587">
        <f t="shared" si="142"/>
        <v>0</v>
      </c>
      <c r="AF167" s="597"/>
      <c r="AG167" s="2881"/>
      <c r="AH167" s="597"/>
      <c r="AI167" s="587">
        <f t="shared" si="143"/>
        <v>0</v>
      </c>
      <c r="AJ167" s="597"/>
      <c r="AK167" s="2881"/>
      <c r="AL167" s="597"/>
      <c r="AM167" s="1151">
        <f t="shared" si="154"/>
        <v>0</v>
      </c>
      <c r="AN167" s="597"/>
      <c r="AO167" s="587">
        <f t="shared" si="155"/>
        <v>0</v>
      </c>
      <c r="AP167" s="597"/>
      <c r="AQ167" s="2881"/>
      <c r="AR167" s="597"/>
      <c r="AS167" s="587">
        <f t="shared" si="144"/>
        <v>0</v>
      </c>
      <c r="AT167" s="597"/>
      <c r="AU167" s="2881"/>
      <c r="AV167" s="597"/>
      <c r="AW167" s="587">
        <f t="shared" si="145"/>
        <v>0</v>
      </c>
      <c r="AX167" s="597"/>
      <c r="AY167" s="2881"/>
      <c r="AZ167" s="597"/>
      <c r="BA167" s="1151">
        <f t="shared" si="150"/>
        <v>0</v>
      </c>
      <c r="BB167" s="597"/>
      <c r="BC167" s="522">
        <f t="shared" si="151"/>
        <v>0</v>
      </c>
      <c r="BD167" s="597"/>
      <c r="BE167" s="256">
        <f t="shared" ref="BE167:BE187" si="161">+AW167+AY167</f>
        <v>0</v>
      </c>
      <c r="BF167" s="26"/>
      <c r="BG167" s="26"/>
      <c r="BH167" s="26"/>
      <c r="BP167" s="26"/>
      <c r="BQ167" s="26"/>
    </row>
    <row r="168" spans="2:69" ht="15.6" hidden="1" x14ac:dyDescent="0.3">
      <c r="B168" s="1750" t="s">
        <v>1912</v>
      </c>
      <c r="C168" s="2656" t="s">
        <v>354</v>
      </c>
      <c r="D168" s="3360"/>
      <c r="E168" s="2675"/>
      <c r="F168" s="2675"/>
      <c r="G168" s="2675"/>
      <c r="H168" s="2676"/>
      <c r="I168" s="3361">
        <f t="shared" si="108"/>
        <v>0</v>
      </c>
      <c r="J168" s="3348"/>
      <c r="K168" s="2675"/>
      <c r="L168" s="597"/>
      <c r="M168" s="1151">
        <f t="shared" si="141"/>
        <v>0</v>
      </c>
      <c r="N168" s="597"/>
      <c r="O168" s="2675"/>
      <c r="P168" s="597"/>
      <c r="Q168" s="1658">
        <f t="shared" si="133"/>
        <v>0</v>
      </c>
      <c r="R168" s="597"/>
      <c r="S168" s="2675"/>
      <c r="T168" s="597"/>
      <c r="U168" s="3361">
        <f t="shared" si="110"/>
        <v>0</v>
      </c>
      <c r="V168" s="597"/>
      <c r="W168" s="2675"/>
      <c r="X168" s="597"/>
      <c r="Y168" s="1151">
        <f t="shared" si="147"/>
        <v>0</v>
      </c>
      <c r="Z168" s="597"/>
      <c r="AA168" s="522">
        <f t="shared" si="148"/>
        <v>0</v>
      </c>
      <c r="AB168" s="597"/>
      <c r="AC168" s="2881"/>
      <c r="AD168" s="597"/>
      <c r="AE168" s="587">
        <f t="shared" si="142"/>
        <v>0</v>
      </c>
      <c r="AF168" s="597"/>
      <c r="AG168" s="2881"/>
      <c r="AH168" s="597"/>
      <c r="AI168" s="587">
        <f t="shared" ref="AI168:AI187" si="162">+AE168+AG168</f>
        <v>0</v>
      </c>
      <c r="AJ168" s="597"/>
      <c r="AK168" s="2881"/>
      <c r="AL168" s="597"/>
      <c r="AM168" s="1151">
        <f t="shared" si="154"/>
        <v>0</v>
      </c>
      <c r="AN168" s="597"/>
      <c r="AO168" s="587">
        <f t="shared" si="155"/>
        <v>0</v>
      </c>
      <c r="AP168" s="597"/>
      <c r="AQ168" s="2881"/>
      <c r="AR168" s="597"/>
      <c r="AS168" s="587">
        <f t="shared" si="144"/>
        <v>0</v>
      </c>
      <c r="AT168" s="597"/>
      <c r="AU168" s="2881"/>
      <c r="AV168" s="597"/>
      <c r="AW168" s="587">
        <f t="shared" si="145"/>
        <v>0</v>
      </c>
      <c r="AX168" s="597"/>
      <c r="AY168" s="2881"/>
      <c r="AZ168" s="597"/>
      <c r="BA168" s="1151">
        <f t="shared" si="150"/>
        <v>0</v>
      </c>
      <c r="BB168" s="597"/>
      <c r="BC168" s="522">
        <f t="shared" si="151"/>
        <v>0</v>
      </c>
      <c r="BD168" s="597"/>
      <c r="BE168" s="256">
        <f t="shared" si="161"/>
        <v>0</v>
      </c>
      <c r="BF168" s="26"/>
      <c r="BG168" s="26"/>
      <c r="BH168" s="26"/>
      <c r="BP168" s="26"/>
      <c r="BQ168" s="26"/>
    </row>
    <row r="169" spans="2:69" ht="15.6" hidden="1" x14ac:dyDescent="0.3">
      <c r="B169" s="1750" t="s">
        <v>1480</v>
      </c>
      <c r="C169" s="2656" t="s">
        <v>354</v>
      </c>
      <c r="D169" s="3360"/>
      <c r="E169" s="2675"/>
      <c r="F169" s="2675"/>
      <c r="G169" s="2675"/>
      <c r="H169" s="2676"/>
      <c r="I169" s="3361">
        <f t="shared" si="108"/>
        <v>0</v>
      </c>
      <c r="J169" s="3348"/>
      <c r="K169" s="2675"/>
      <c r="L169" s="597"/>
      <c r="M169" s="1151">
        <f t="shared" si="141"/>
        <v>0</v>
      </c>
      <c r="N169" s="597"/>
      <c r="O169" s="2675"/>
      <c r="P169" s="597"/>
      <c r="Q169" s="1658">
        <f t="shared" si="133"/>
        <v>0</v>
      </c>
      <c r="R169" s="597"/>
      <c r="S169" s="2675"/>
      <c r="T169" s="597"/>
      <c r="U169" s="3361">
        <f t="shared" si="110"/>
        <v>0</v>
      </c>
      <c r="V169" s="597"/>
      <c r="W169" s="2675"/>
      <c r="X169" s="597"/>
      <c r="Y169" s="1151">
        <f t="shared" si="147"/>
        <v>0</v>
      </c>
      <c r="Z169" s="597"/>
      <c r="AA169" s="522">
        <f t="shared" si="148"/>
        <v>0</v>
      </c>
      <c r="AB169" s="597"/>
      <c r="AC169" s="2881"/>
      <c r="AD169" s="597"/>
      <c r="AE169" s="587">
        <f t="shared" si="142"/>
        <v>0</v>
      </c>
      <c r="AF169" s="597"/>
      <c r="AG169" s="2881"/>
      <c r="AH169" s="597"/>
      <c r="AI169" s="587">
        <f t="shared" si="162"/>
        <v>0</v>
      </c>
      <c r="AJ169" s="597"/>
      <c r="AK169" s="2881"/>
      <c r="AL169" s="597"/>
      <c r="AM169" s="1151">
        <f t="shared" si="154"/>
        <v>0</v>
      </c>
      <c r="AN169" s="597"/>
      <c r="AO169" s="587">
        <f t="shared" si="155"/>
        <v>0</v>
      </c>
      <c r="AP169" s="597"/>
      <c r="AQ169" s="2881"/>
      <c r="AR169" s="597"/>
      <c r="AS169" s="587">
        <f t="shared" si="144"/>
        <v>0</v>
      </c>
      <c r="AT169" s="597"/>
      <c r="AU169" s="2881"/>
      <c r="AV169" s="597"/>
      <c r="AW169" s="587">
        <f t="shared" si="145"/>
        <v>0</v>
      </c>
      <c r="AX169" s="597"/>
      <c r="AY169" s="2881"/>
      <c r="AZ169" s="597"/>
      <c r="BA169" s="1151">
        <f t="shared" si="150"/>
        <v>0</v>
      </c>
      <c r="BB169" s="597"/>
      <c r="BC169" s="522">
        <f t="shared" si="151"/>
        <v>0</v>
      </c>
      <c r="BD169" s="597"/>
      <c r="BE169" s="256">
        <f t="shared" si="161"/>
        <v>0</v>
      </c>
      <c r="BF169" s="26"/>
      <c r="BG169" s="26"/>
      <c r="BH169" s="26"/>
      <c r="BP169" s="26"/>
      <c r="BQ169" s="26"/>
    </row>
    <row r="170" spans="2:69" ht="15.6" hidden="1" x14ac:dyDescent="0.3">
      <c r="B170" s="1750" t="s">
        <v>2106</v>
      </c>
      <c r="C170" s="2656" t="s">
        <v>354</v>
      </c>
      <c r="D170" s="3360"/>
      <c r="E170" s="2675"/>
      <c r="F170" s="2675"/>
      <c r="G170" s="2675"/>
      <c r="H170" s="2676"/>
      <c r="I170" s="3361">
        <f t="shared" si="108"/>
        <v>0</v>
      </c>
      <c r="J170" s="3348"/>
      <c r="K170" s="2675"/>
      <c r="L170" s="597"/>
      <c r="M170" s="1151">
        <f t="shared" si="141"/>
        <v>0</v>
      </c>
      <c r="N170" s="597"/>
      <c r="O170" s="2675"/>
      <c r="P170" s="597"/>
      <c r="Q170" s="1658">
        <f t="shared" si="133"/>
        <v>0</v>
      </c>
      <c r="R170" s="597"/>
      <c r="S170" s="2675"/>
      <c r="T170" s="597"/>
      <c r="U170" s="3361">
        <f t="shared" si="110"/>
        <v>0</v>
      </c>
      <c r="V170" s="597"/>
      <c r="W170" s="2675"/>
      <c r="X170" s="597"/>
      <c r="Y170" s="1151">
        <f t="shared" si="147"/>
        <v>0</v>
      </c>
      <c r="Z170" s="597"/>
      <c r="AA170" s="522">
        <f t="shared" si="148"/>
        <v>0</v>
      </c>
      <c r="AB170" s="597"/>
      <c r="AC170" s="2881"/>
      <c r="AD170" s="597"/>
      <c r="AE170" s="587">
        <f t="shared" si="142"/>
        <v>0</v>
      </c>
      <c r="AF170" s="597"/>
      <c r="AG170" s="2881"/>
      <c r="AH170" s="597"/>
      <c r="AI170" s="587">
        <f t="shared" si="162"/>
        <v>0</v>
      </c>
      <c r="AJ170" s="597"/>
      <c r="AK170" s="2881"/>
      <c r="AL170" s="597"/>
      <c r="AM170" s="1151">
        <f t="shared" si="154"/>
        <v>0</v>
      </c>
      <c r="AN170" s="597"/>
      <c r="AO170" s="587">
        <f t="shared" si="155"/>
        <v>0</v>
      </c>
      <c r="AP170" s="597"/>
      <c r="AQ170" s="2881"/>
      <c r="AR170" s="597"/>
      <c r="AS170" s="587">
        <f t="shared" si="144"/>
        <v>0</v>
      </c>
      <c r="AT170" s="597"/>
      <c r="AU170" s="2881">
        <v>1</v>
      </c>
      <c r="AV170" s="597"/>
      <c r="AW170" s="587">
        <f t="shared" si="145"/>
        <v>1</v>
      </c>
      <c r="AX170" s="597"/>
      <c r="AY170" s="2881"/>
      <c r="AZ170" s="597"/>
      <c r="BA170" s="1151">
        <f t="shared" si="150"/>
        <v>1</v>
      </c>
      <c r="BB170" s="597"/>
      <c r="BC170" s="522">
        <f t="shared" si="151"/>
        <v>1</v>
      </c>
      <c r="BD170" s="597"/>
      <c r="BE170" s="256">
        <f t="shared" si="161"/>
        <v>1</v>
      </c>
      <c r="BF170" s="26"/>
      <c r="BG170" s="26"/>
      <c r="BH170" s="26"/>
      <c r="BP170" s="26"/>
      <c r="BQ170" s="26"/>
    </row>
    <row r="171" spans="2:69" ht="15.6" hidden="1" x14ac:dyDescent="0.3">
      <c r="B171" s="1750" t="s">
        <v>2105</v>
      </c>
      <c r="C171" s="2656" t="s">
        <v>354</v>
      </c>
      <c r="D171" s="3360"/>
      <c r="E171" s="2675"/>
      <c r="F171" s="2675"/>
      <c r="G171" s="2675"/>
      <c r="H171" s="2676"/>
      <c r="I171" s="3361">
        <f t="shared" si="108"/>
        <v>0</v>
      </c>
      <c r="J171" s="3348"/>
      <c r="K171" s="2675"/>
      <c r="L171" s="597"/>
      <c r="M171" s="1151">
        <f t="shared" si="141"/>
        <v>0</v>
      </c>
      <c r="N171" s="597"/>
      <c r="O171" s="2675"/>
      <c r="P171" s="597"/>
      <c r="Q171" s="1658">
        <f t="shared" si="133"/>
        <v>0</v>
      </c>
      <c r="R171" s="597"/>
      <c r="S171" s="2675"/>
      <c r="T171" s="597"/>
      <c r="U171" s="3361">
        <f t="shared" si="110"/>
        <v>0</v>
      </c>
      <c r="V171" s="597"/>
      <c r="W171" s="2675"/>
      <c r="X171" s="597"/>
      <c r="Y171" s="1151">
        <f t="shared" si="147"/>
        <v>0</v>
      </c>
      <c r="Z171" s="597"/>
      <c r="AA171" s="522">
        <f t="shared" si="148"/>
        <v>0</v>
      </c>
      <c r="AB171" s="597"/>
      <c r="AC171" s="2881"/>
      <c r="AD171" s="597"/>
      <c r="AE171" s="587">
        <f t="shared" si="142"/>
        <v>0</v>
      </c>
      <c r="AF171" s="597"/>
      <c r="AG171" s="2881"/>
      <c r="AH171" s="597"/>
      <c r="AI171" s="587">
        <f t="shared" si="162"/>
        <v>0</v>
      </c>
      <c r="AJ171" s="597"/>
      <c r="AK171" s="2881"/>
      <c r="AL171" s="597"/>
      <c r="AM171" s="1151">
        <f t="shared" si="154"/>
        <v>0</v>
      </c>
      <c r="AN171" s="597"/>
      <c r="AO171" s="587">
        <f t="shared" si="155"/>
        <v>0</v>
      </c>
      <c r="AP171" s="597"/>
      <c r="AQ171" s="2881"/>
      <c r="AR171" s="597"/>
      <c r="AS171" s="587">
        <f t="shared" si="144"/>
        <v>0</v>
      </c>
      <c r="AT171" s="597"/>
      <c r="AU171" s="2881">
        <v>1</v>
      </c>
      <c r="AV171" s="597"/>
      <c r="AW171" s="587">
        <f t="shared" si="145"/>
        <v>1</v>
      </c>
      <c r="AX171" s="597"/>
      <c r="AY171" s="2881"/>
      <c r="AZ171" s="597"/>
      <c r="BA171" s="1151">
        <f t="shared" si="150"/>
        <v>1</v>
      </c>
      <c r="BB171" s="597"/>
      <c r="BC171" s="522">
        <f t="shared" si="151"/>
        <v>1</v>
      </c>
      <c r="BD171" s="597"/>
      <c r="BE171" s="256">
        <f t="shared" si="161"/>
        <v>1</v>
      </c>
      <c r="BF171" s="26"/>
      <c r="BG171" s="26"/>
      <c r="BH171" s="26"/>
      <c r="BP171" s="26"/>
      <c r="BQ171" s="26"/>
    </row>
    <row r="172" spans="2:69" x14ac:dyDescent="0.25">
      <c r="B172" s="1750" t="s">
        <v>2089</v>
      </c>
      <c r="C172" s="2656" t="s">
        <v>354</v>
      </c>
      <c r="D172" s="3360"/>
      <c r="E172" s="2675">
        <v>0.41</v>
      </c>
      <c r="F172" s="2675"/>
      <c r="G172" s="2675">
        <v>0.41</v>
      </c>
      <c r="H172" s="2676"/>
      <c r="I172" s="3361">
        <f t="shared" si="108"/>
        <v>0.82</v>
      </c>
      <c r="J172" s="3348"/>
      <c r="K172" s="2675">
        <v>0.41</v>
      </c>
      <c r="L172" s="597"/>
      <c r="M172" s="1151">
        <f t="shared" si="141"/>
        <v>1.23</v>
      </c>
      <c r="N172" s="597"/>
      <c r="O172" s="2675">
        <v>0.41</v>
      </c>
      <c r="P172" s="597"/>
      <c r="Q172" s="1658">
        <f t="shared" si="133"/>
        <v>1.64</v>
      </c>
      <c r="R172" s="597"/>
      <c r="S172" s="2675">
        <v>0.41</v>
      </c>
      <c r="T172" s="597"/>
      <c r="U172" s="3361">
        <f t="shared" si="110"/>
        <v>2.0499999999999998</v>
      </c>
      <c r="V172" s="597"/>
      <c r="W172" s="2675">
        <v>0.41</v>
      </c>
      <c r="X172" s="597"/>
      <c r="Y172" s="1151">
        <f t="shared" si="147"/>
        <v>1.23</v>
      </c>
      <c r="Z172" s="597"/>
      <c r="AA172" s="522">
        <f t="shared" si="148"/>
        <v>2.46</v>
      </c>
      <c r="AB172" s="597"/>
      <c r="AC172" s="2881"/>
      <c r="AD172" s="597"/>
      <c r="AE172" s="587">
        <f t="shared" si="142"/>
        <v>2.46</v>
      </c>
      <c r="AF172" s="597"/>
      <c r="AG172" s="2881"/>
      <c r="AH172" s="597"/>
      <c r="AI172" s="587">
        <f t="shared" si="162"/>
        <v>2.46</v>
      </c>
      <c r="AJ172" s="597"/>
      <c r="AK172" s="2881"/>
      <c r="AL172" s="597"/>
      <c r="AM172" s="1151">
        <f t="shared" si="154"/>
        <v>0</v>
      </c>
      <c r="AN172" s="597"/>
      <c r="AO172" s="587">
        <f t="shared" si="155"/>
        <v>2.46</v>
      </c>
      <c r="AP172" s="597"/>
      <c r="AQ172" s="2881">
        <v>0.6</v>
      </c>
      <c r="AR172" s="597"/>
      <c r="AS172" s="587">
        <f t="shared" si="144"/>
        <v>3.06</v>
      </c>
      <c r="AT172" s="597"/>
      <c r="AU172" s="2880">
        <v>0.39</v>
      </c>
      <c r="AV172" s="597"/>
      <c r="AW172" s="587">
        <f t="shared" si="145"/>
        <v>3.45</v>
      </c>
      <c r="AX172" s="597"/>
      <c r="AY172" s="2880"/>
      <c r="AZ172" s="597"/>
      <c r="BA172" s="1151">
        <f t="shared" si="150"/>
        <v>0.99</v>
      </c>
      <c r="BB172" s="597"/>
      <c r="BC172" s="522">
        <f t="shared" si="151"/>
        <v>0.99</v>
      </c>
      <c r="BD172" s="597"/>
      <c r="BE172" s="256">
        <f t="shared" si="161"/>
        <v>3.45</v>
      </c>
      <c r="BF172" s="26"/>
      <c r="BG172" s="26"/>
      <c r="BH172" s="26"/>
      <c r="BP172" s="26"/>
      <c r="BQ172" s="26"/>
    </row>
    <row r="173" spans="2:69" ht="15.6" hidden="1" x14ac:dyDescent="0.3">
      <c r="B173" s="1750" t="s">
        <v>1440</v>
      </c>
      <c r="C173" s="2656" t="s">
        <v>354</v>
      </c>
      <c r="D173" s="3360"/>
      <c r="E173" s="2675"/>
      <c r="F173" s="2675"/>
      <c r="G173" s="2675"/>
      <c r="H173" s="2676"/>
      <c r="I173" s="3361">
        <f t="shared" si="108"/>
        <v>0</v>
      </c>
      <c r="J173" s="3348"/>
      <c r="K173" s="2675"/>
      <c r="L173" s="597"/>
      <c r="M173" s="1151">
        <f t="shared" si="141"/>
        <v>0</v>
      </c>
      <c r="N173" s="597"/>
      <c r="O173" s="2675"/>
      <c r="P173" s="597"/>
      <c r="Q173" s="1658">
        <f t="shared" si="133"/>
        <v>0</v>
      </c>
      <c r="R173" s="597"/>
      <c r="S173" s="2675"/>
      <c r="T173" s="597"/>
      <c r="U173" s="3361">
        <f t="shared" si="110"/>
        <v>0</v>
      </c>
      <c r="V173" s="597"/>
      <c r="W173" s="2675"/>
      <c r="X173" s="597"/>
      <c r="Y173" s="1151">
        <f t="shared" si="147"/>
        <v>0</v>
      </c>
      <c r="Z173" s="597"/>
      <c r="AA173" s="522">
        <f t="shared" si="148"/>
        <v>0</v>
      </c>
      <c r="AB173" s="597"/>
      <c r="AC173" s="2881"/>
      <c r="AD173" s="597"/>
      <c r="AE173" s="587">
        <f t="shared" si="142"/>
        <v>0</v>
      </c>
      <c r="AF173" s="597"/>
      <c r="AG173" s="2881">
        <v>9.4</v>
      </c>
      <c r="AH173" s="597"/>
      <c r="AI173" s="587">
        <f t="shared" si="162"/>
        <v>9.4</v>
      </c>
      <c r="AJ173" s="597"/>
      <c r="AK173" s="2881"/>
      <c r="AL173" s="597"/>
      <c r="AM173" s="1151">
        <f t="shared" si="154"/>
        <v>9.4</v>
      </c>
      <c r="AN173" s="597"/>
      <c r="AO173" s="587">
        <f t="shared" si="155"/>
        <v>9.4</v>
      </c>
      <c r="AP173" s="597"/>
      <c r="AQ173" s="2881"/>
      <c r="AR173" s="597"/>
      <c r="AS173" s="587">
        <f t="shared" si="144"/>
        <v>9.4</v>
      </c>
      <c r="AT173" s="597"/>
      <c r="AU173" s="2881"/>
      <c r="AV173" s="597"/>
      <c r="AW173" s="587">
        <f t="shared" si="145"/>
        <v>9.4</v>
      </c>
      <c r="AX173" s="597"/>
      <c r="AY173" s="2881"/>
      <c r="AZ173" s="597"/>
      <c r="BA173" s="1151">
        <f t="shared" si="150"/>
        <v>0</v>
      </c>
      <c r="BB173" s="597"/>
      <c r="BC173" s="522">
        <f t="shared" si="151"/>
        <v>9.4</v>
      </c>
      <c r="BD173" s="597"/>
      <c r="BE173" s="256">
        <f t="shared" si="161"/>
        <v>9.4</v>
      </c>
      <c r="BF173" s="26"/>
      <c r="BG173" s="26"/>
      <c r="BH173" s="26"/>
      <c r="BP173" s="26"/>
      <c r="BQ173" s="26"/>
    </row>
    <row r="174" spans="2:69" ht="15.6" hidden="1" x14ac:dyDescent="0.3">
      <c r="B174" s="1750" t="s">
        <v>1482</v>
      </c>
      <c r="C174" s="2656" t="s">
        <v>354</v>
      </c>
      <c r="D174" s="3360"/>
      <c r="E174" s="2675"/>
      <c r="F174" s="2675"/>
      <c r="G174" s="2675"/>
      <c r="H174" s="2676"/>
      <c r="I174" s="3361">
        <f t="shared" si="108"/>
        <v>0</v>
      </c>
      <c r="J174" s="3348"/>
      <c r="K174" s="2675"/>
      <c r="L174" s="597"/>
      <c r="M174" s="1151">
        <f t="shared" si="141"/>
        <v>0</v>
      </c>
      <c r="N174" s="597"/>
      <c r="O174" s="2675"/>
      <c r="P174" s="597"/>
      <c r="Q174" s="1658">
        <f t="shared" si="133"/>
        <v>0</v>
      </c>
      <c r="R174" s="597"/>
      <c r="S174" s="2675"/>
      <c r="T174" s="597"/>
      <c r="U174" s="3361">
        <f t="shared" si="110"/>
        <v>0</v>
      </c>
      <c r="V174" s="597"/>
      <c r="W174" s="2675"/>
      <c r="X174" s="597"/>
      <c r="Y174" s="1151">
        <f t="shared" si="147"/>
        <v>0</v>
      </c>
      <c r="Z174" s="597"/>
      <c r="AA174" s="522">
        <f t="shared" si="148"/>
        <v>0</v>
      </c>
      <c r="AB174" s="597"/>
      <c r="AC174" s="2881"/>
      <c r="AD174" s="597"/>
      <c r="AE174" s="587">
        <f t="shared" si="142"/>
        <v>0</v>
      </c>
      <c r="AF174" s="597"/>
      <c r="AG174" s="2881">
        <v>3.48</v>
      </c>
      <c r="AH174" s="597"/>
      <c r="AI174" s="587">
        <f t="shared" si="162"/>
        <v>3.48</v>
      </c>
      <c r="AJ174" s="597"/>
      <c r="AK174" s="2881"/>
      <c r="AL174" s="597"/>
      <c r="AM174" s="1151">
        <f t="shared" si="154"/>
        <v>3.48</v>
      </c>
      <c r="AN174" s="597"/>
      <c r="AO174" s="587">
        <f t="shared" si="155"/>
        <v>3.48</v>
      </c>
      <c r="AP174" s="597"/>
      <c r="AQ174" s="2881"/>
      <c r="AR174" s="597"/>
      <c r="AS174" s="587">
        <f t="shared" si="144"/>
        <v>3.48</v>
      </c>
      <c r="AT174" s="597"/>
      <c r="AU174" s="2881"/>
      <c r="AV174" s="597"/>
      <c r="AW174" s="587">
        <f t="shared" si="145"/>
        <v>3.48</v>
      </c>
      <c r="AX174" s="597"/>
      <c r="AY174" s="2881"/>
      <c r="AZ174" s="597"/>
      <c r="BA174" s="1151">
        <f t="shared" si="150"/>
        <v>0</v>
      </c>
      <c r="BB174" s="597"/>
      <c r="BC174" s="522">
        <f t="shared" si="151"/>
        <v>3.48</v>
      </c>
      <c r="BD174" s="597"/>
      <c r="BE174" s="256">
        <f t="shared" si="161"/>
        <v>3.48</v>
      </c>
      <c r="BF174" s="26"/>
      <c r="BG174" s="26"/>
      <c r="BH174" s="26"/>
      <c r="BP174" s="26"/>
      <c r="BQ174" s="26"/>
    </row>
    <row r="175" spans="2:69" ht="15.6" hidden="1" x14ac:dyDescent="0.3">
      <c r="B175" s="1750" t="s">
        <v>1747</v>
      </c>
      <c r="C175" s="2656" t="s">
        <v>354</v>
      </c>
      <c r="D175" s="3360"/>
      <c r="E175" s="2675"/>
      <c r="F175" s="2675"/>
      <c r="G175" s="2675"/>
      <c r="H175" s="2676"/>
      <c r="I175" s="3361">
        <f t="shared" si="108"/>
        <v>0</v>
      </c>
      <c r="J175" s="3348"/>
      <c r="K175" s="2675"/>
      <c r="L175" s="597"/>
      <c r="M175" s="1151">
        <f t="shared" si="141"/>
        <v>0</v>
      </c>
      <c r="N175" s="597"/>
      <c r="O175" s="2675"/>
      <c r="P175" s="597"/>
      <c r="Q175" s="1658">
        <f t="shared" si="133"/>
        <v>0</v>
      </c>
      <c r="R175" s="597"/>
      <c r="S175" s="2675"/>
      <c r="T175" s="597"/>
      <c r="U175" s="3361">
        <f t="shared" si="110"/>
        <v>0</v>
      </c>
      <c r="V175" s="597"/>
      <c r="W175" s="2675"/>
      <c r="X175" s="597"/>
      <c r="Y175" s="1151">
        <f t="shared" si="147"/>
        <v>0</v>
      </c>
      <c r="Z175" s="597"/>
      <c r="AA175" s="522">
        <f t="shared" si="148"/>
        <v>0</v>
      </c>
      <c r="AB175" s="597"/>
      <c r="AC175" s="2881"/>
      <c r="AD175" s="597"/>
      <c r="AE175" s="587">
        <f t="shared" si="142"/>
        <v>0</v>
      </c>
      <c r="AF175" s="597"/>
      <c r="AG175" s="2881"/>
      <c r="AH175" s="597"/>
      <c r="AI175" s="587">
        <f t="shared" si="162"/>
        <v>0</v>
      </c>
      <c r="AJ175" s="597"/>
      <c r="AK175" s="2881"/>
      <c r="AL175" s="597"/>
      <c r="AM175" s="1151">
        <f t="shared" si="154"/>
        <v>0</v>
      </c>
      <c r="AN175" s="597"/>
      <c r="AO175" s="587">
        <f t="shared" si="155"/>
        <v>0</v>
      </c>
      <c r="AP175" s="597"/>
      <c r="AQ175" s="2881"/>
      <c r="AR175" s="597"/>
      <c r="AS175" s="587">
        <f t="shared" si="144"/>
        <v>0</v>
      </c>
      <c r="AT175" s="597"/>
      <c r="AU175" s="2881"/>
      <c r="AV175" s="597"/>
      <c r="AW175" s="587">
        <f t="shared" si="145"/>
        <v>0</v>
      </c>
      <c r="AX175" s="597"/>
      <c r="AY175" s="2881"/>
      <c r="AZ175" s="597"/>
      <c r="BA175" s="1151">
        <f t="shared" si="150"/>
        <v>0</v>
      </c>
      <c r="BB175" s="597"/>
      <c r="BC175" s="522">
        <f t="shared" si="151"/>
        <v>0</v>
      </c>
      <c r="BD175" s="597"/>
      <c r="BE175" s="256">
        <f t="shared" si="161"/>
        <v>0</v>
      </c>
      <c r="BF175" s="26"/>
      <c r="BG175" s="26"/>
      <c r="BH175" s="26"/>
      <c r="BP175" s="26"/>
      <c r="BQ175" s="26"/>
    </row>
    <row r="176" spans="2:69" x14ac:dyDescent="0.25">
      <c r="B176" s="1750" t="s">
        <v>2365</v>
      </c>
      <c r="C176" s="2656" t="s">
        <v>354</v>
      </c>
      <c r="D176" s="3360"/>
      <c r="E176" s="2675"/>
      <c r="F176" s="2675"/>
      <c r="G176" s="2675"/>
      <c r="H176" s="2676"/>
      <c r="I176" s="3361">
        <f t="shared" si="108"/>
        <v>0</v>
      </c>
      <c r="J176" s="3348"/>
      <c r="K176" s="2675"/>
      <c r="L176" s="597"/>
      <c r="M176" s="1151">
        <f t="shared" si="141"/>
        <v>0</v>
      </c>
      <c r="N176" s="597"/>
      <c r="O176" s="2675"/>
      <c r="P176" s="597"/>
      <c r="Q176" s="1658">
        <f t="shared" si="133"/>
        <v>0</v>
      </c>
      <c r="R176" s="597"/>
      <c r="S176" s="2675"/>
      <c r="T176" s="597"/>
      <c r="U176" s="3361">
        <f t="shared" si="110"/>
        <v>0</v>
      </c>
      <c r="V176" s="597"/>
      <c r="W176" s="2675">
        <v>24.3</v>
      </c>
      <c r="X176" s="597"/>
      <c r="Y176" s="1151">
        <f t="shared" si="147"/>
        <v>24.3</v>
      </c>
      <c r="Z176" s="597"/>
      <c r="AA176" s="522">
        <f t="shared" si="148"/>
        <v>24.3</v>
      </c>
      <c r="AB176" s="597"/>
      <c r="AC176" s="2881"/>
      <c r="AD176" s="597"/>
      <c r="AE176" s="587">
        <f t="shared" si="142"/>
        <v>24.3</v>
      </c>
      <c r="AF176" s="597"/>
      <c r="AG176" s="2881"/>
      <c r="AH176" s="597"/>
      <c r="AI176" s="587">
        <f t="shared" si="162"/>
        <v>24.3</v>
      </c>
      <c r="AJ176" s="597"/>
      <c r="AK176" s="2881"/>
      <c r="AL176" s="597"/>
      <c r="AM176" s="1151">
        <f t="shared" si="154"/>
        <v>0</v>
      </c>
      <c r="AN176" s="597"/>
      <c r="AO176" s="587">
        <f t="shared" si="155"/>
        <v>24.3</v>
      </c>
      <c r="AP176" s="597"/>
      <c r="AQ176" s="2881"/>
      <c r="AR176" s="597"/>
      <c r="AS176" s="587">
        <f t="shared" si="144"/>
        <v>24.3</v>
      </c>
      <c r="AT176" s="597"/>
      <c r="AU176" s="2881"/>
      <c r="AV176" s="597"/>
      <c r="AW176" s="587">
        <f t="shared" si="145"/>
        <v>24.3</v>
      </c>
      <c r="AX176" s="597"/>
      <c r="AY176" s="2881"/>
      <c r="AZ176" s="597"/>
      <c r="BA176" s="1151">
        <f t="shared" si="150"/>
        <v>0</v>
      </c>
      <c r="BB176" s="597"/>
      <c r="BC176" s="522">
        <f t="shared" si="151"/>
        <v>0</v>
      </c>
      <c r="BD176" s="597"/>
      <c r="BE176" s="256">
        <f t="shared" si="161"/>
        <v>24.3</v>
      </c>
      <c r="BF176" s="26"/>
      <c r="BG176" s="26"/>
      <c r="BH176" s="26"/>
      <c r="BP176" s="26"/>
      <c r="BQ176" s="26"/>
    </row>
    <row r="177" spans="1:69" x14ac:dyDescent="0.25">
      <c r="B177" s="1750" t="s">
        <v>2363</v>
      </c>
      <c r="C177" s="2656" t="s">
        <v>354</v>
      </c>
      <c r="D177" s="3360"/>
      <c r="E177" s="2675"/>
      <c r="F177" s="2675"/>
      <c r="G177" s="2675"/>
      <c r="H177" s="2676"/>
      <c r="I177" s="3361">
        <f t="shared" si="108"/>
        <v>0</v>
      </c>
      <c r="J177" s="3348"/>
      <c r="K177" s="2675"/>
      <c r="L177" s="597"/>
      <c r="M177" s="1151">
        <f t="shared" si="141"/>
        <v>0</v>
      </c>
      <c r="N177" s="597"/>
      <c r="O177" s="2675"/>
      <c r="P177" s="597"/>
      <c r="Q177" s="1658">
        <f t="shared" si="133"/>
        <v>0</v>
      </c>
      <c r="R177" s="597"/>
      <c r="S177" s="2675"/>
      <c r="T177" s="597"/>
      <c r="U177" s="3361">
        <f t="shared" si="110"/>
        <v>0</v>
      </c>
      <c r="V177" s="597"/>
      <c r="W177" s="2675">
        <v>19.77</v>
      </c>
      <c r="X177" s="597"/>
      <c r="Y177" s="1151">
        <f t="shared" si="147"/>
        <v>19.77</v>
      </c>
      <c r="Z177" s="597"/>
      <c r="AA177" s="522">
        <f t="shared" si="148"/>
        <v>19.77</v>
      </c>
      <c r="AB177" s="597"/>
      <c r="AC177" s="2881"/>
      <c r="AD177" s="597"/>
      <c r="AE177" s="587">
        <f t="shared" ref="AE177" si="163">+AA177+AC177</f>
        <v>19.77</v>
      </c>
      <c r="AF177" s="597"/>
      <c r="AG177" s="2881"/>
      <c r="AH177" s="597"/>
      <c r="AI177" s="587">
        <f t="shared" si="162"/>
        <v>19.77</v>
      </c>
      <c r="AJ177" s="597"/>
      <c r="AK177" s="2881"/>
      <c r="AL177" s="597"/>
      <c r="AM177" s="1151">
        <f t="shared" si="154"/>
        <v>0</v>
      </c>
      <c r="AN177" s="597"/>
      <c r="AO177" s="587">
        <f t="shared" si="155"/>
        <v>19.77</v>
      </c>
      <c r="AP177" s="597"/>
      <c r="AQ177" s="2881"/>
      <c r="AR177" s="597"/>
      <c r="AS177" s="587">
        <f t="shared" si="144"/>
        <v>19.77</v>
      </c>
      <c r="AT177" s="597"/>
      <c r="AU177" s="2881"/>
      <c r="AV177" s="597"/>
      <c r="AW177" s="587">
        <f t="shared" si="145"/>
        <v>19.77</v>
      </c>
      <c r="AX177" s="597"/>
      <c r="AY177" s="2881"/>
      <c r="AZ177" s="597"/>
      <c r="BA177" s="1151">
        <f t="shared" si="150"/>
        <v>0</v>
      </c>
      <c r="BB177" s="597"/>
      <c r="BC177" s="522">
        <f t="shared" si="151"/>
        <v>0</v>
      </c>
      <c r="BD177" s="597"/>
      <c r="BE177" s="256">
        <f t="shared" si="161"/>
        <v>19.77</v>
      </c>
      <c r="BF177" s="26"/>
      <c r="BG177" s="26"/>
      <c r="BH177" s="26"/>
      <c r="BP177" s="26"/>
      <c r="BQ177" s="26"/>
    </row>
    <row r="178" spans="1:69" x14ac:dyDescent="0.25">
      <c r="B178" s="1750" t="s">
        <v>1273</v>
      </c>
      <c r="C178" s="2656" t="s">
        <v>354</v>
      </c>
      <c r="D178" s="3360"/>
      <c r="E178" s="2675"/>
      <c r="F178" s="2675"/>
      <c r="G178" s="2675"/>
      <c r="H178" s="2676"/>
      <c r="I178" s="3361">
        <f t="shared" si="108"/>
        <v>0</v>
      </c>
      <c r="J178" s="3348"/>
      <c r="K178" s="2675"/>
      <c r="L178" s="597"/>
      <c r="M178" s="1151">
        <f t="shared" si="141"/>
        <v>0</v>
      </c>
      <c r="N178" s="597"/>
      <c r="O178" s="2675"/>
      <c r="P178" s="597"/>
      <c r="Q178" s="1658">
        <f t="shared" si="133"/>
        <v>0</v>
      </c>
      <c r="R178" s="1357"/>
      <c r="S178" s="2675">
        <v>990.53</v>
      </c>
      <c r="T178" s="597"/>
      <c r="U178" s="3361">
        <f t="shared" si="110"/>
        <v>990.53</v>
      </c>
      <c r="V178" s="1357"/>
      <c r="W178" s="2675">
        <v>881.71</v>
      </c>
      <c r="X178" s="597"/>
      <c r="Y178" s="1151">
        <f t="shared" si="147"/>
        <v>1872.24</v>
      </c>
      <c r="Z178" s="597"/>
      <c r="AA178" s="522">
        <f t="shared" si="148"/>
        <v>1872.24</v>
      </c>
      <c r="AB178" s="1357"/>
      <c r="AC178" s="2881"/>
      <c r="AD178" s="597"/>
      <c r="AE178" s="587">
        <f t="shared" ref="AE178:AE187" si="164">+AA178+AC178</f>
        <v>1872.24</v>
      </c>
      <c r="AF178" s="1357"/>
      <c r="AG178" s="2881">
        <v>1.86</v>
      </c>
      <c r="AH178" s="597"/>
      <c r="AI178" s="587">
        <f t="shared" si="162"/>
        <v>1874.1</v>
      </c>
      <c r="AJ178" s="1357"/>
      <c r="AK178" s="2881"/>
      <c r="AL178" s="1357"/>
      <c r="AM178" s="1151">
        <f t="shared" si="149"/>
        <v>1.86</v>
      </c>
      <c r="AN178" s="597"/>
      <c r="AO178" s="587">
        <f t="shared" ref="AO178:AO201" si="165">AI178+AK178</f>
        <v>1874.1</v>
      </c>
      <c r="AP178" s="1357"/>
      <c r="AQ178" s="2881"/>
      <c r="AR178" s="597"/>
      <c r="AS178" s="587">
        <f t="shared" si="144"/>
        <v>1874.1</v>
      </c>
      <c r="AT178" s="1357"/>
      <c r="AU178" s="2881"/>
      <c r="AV178" s="597"/>
      <c r="AW178" s="587">
        <f t="shared" si="145"/>
        <v>1874.1</v>
      </c>
      <c r="AX178" s="1357"/>
      <c r="AY178" s="2881"/>
      <c r="AZ178" s="1357"/>
      <c r="BA178" s="1151">
        <f t="shared" si="150"/>
        <v>0</v>
      </c>
      <c r="BB178" s="597"/>
      <c r="BC178" s="522">
        <f t="shared" si="151"/>
        <v>1.86</v>
      </c>
      <c r="BD178" s="597"/>
      <c r="BE178" s="256">
        <f t="shared" si="161"/>
        <v>1874.1</v>
      </c>
      <c r="BF178" s="26"/>
      <c r="BG178" s="26"/>
      <c r="BH178" s="26"/>
      <c r="BP178" s="26"/>
      <c r="BQ178" s="26"/>
    </row>
    <row r="179" spans="1:69" x14ac:dyDescent="0.25">
      <c r="B179" s="3362" t="s">
        <v>1087</v>
      </c>
      <c r="C179" s="3025" t="s">
        <v>354</v>
      </c>
      <c r="D179" s="2672"/>
      <c r="E179" s="2672">
        <f>+E180+E181</f>
        <v>1998.23</v>
      </c>
      <c r="F179" s="2672"/>
      <c r="G179" s="2672">
        <f>+G180+G181</f>
        <v>2363.3899999999994</v>
      </c>
      <c r="H179" s="2673"/>
      <c r="I179" s="3363">
        <f t="shared" ref="I179:I187" si="166">+E179+G179</f>
        <v>4361.619999999999</v>
      </c>
      <c r="J179" s="3349"/>
      <c r="K179" s="2672">
        <f>+K180+K181</f>
        <v>1740.03</v>
      </c>
      <c r="L179" s="1357"/>
      <c r="M179" s="2258">
        <f t="shared" si="141"/>
        <v>6101.6499999999987</v>
      </c>
      <c r="N179" s="1357"/>
      <c r="O179" s="2672">
        <f>+O180+O181</f>
        <v>1795.7100000000003</v>
      </c>
      <c r="P179" s="1357"/>
      <c r="Q179" s="1658">
        <f t="shared" si="133"/>
        <v>7897.3599999999988</v>
      </c>
      <c r="R179" s="597"/>
      <c r="S179" s="2672">
        <f>+S180+S181</f>
        <v>2242.7199999999998</v>
      </c>
      <c r="T179" s="1357"/>
      <c r="U179" s="3361">
        <f t="shared" si="110"/>
        <v>10140.079999999998</v>
      </c>
      <c r="V179" s="597"/>
      <c r="W179" s="2672">
        <f>+W180+W181</f>
        <v>2195.0300000000002</v>
      </c>
      <c r="X179" s="1357"/>
      <c r="Y179" s="2258">
        <f t="shared" si="147"/>
        <v>6233.4600000000009</v>
      </c>
      <c r="Z179" s="200"/>
      <c r="AA179" s="522">
        <f t="shared" si="148"/>
        <v>12335.11</v>
      </c>
      <c r="AB179" s="597"/>
      <c r="AC179" s="4374">
        <f>+AC180+AC181</f>
        <v>1994.6800000000003</v>
      </c>
      <c r="AD179" s="1357"/>
      <c r="AE179" s="1357">
        <f t="shared" si="164"/>
        <v>14329.79</v>
      </c>
      <c r="AF179" s="597"/>
      <c r="AG179" s="4374">
        <f>+AG180+AG181</f>
        <v>1207.0099999999998</v>
      </c>
      <c r="AH179" s="1357"/>
      <c r="AI179" s="1357">
        <f t="shared" si="162"/>
        <v>15536.800000000001</v>
      </c>
      <c r="AJ179" s="597"/>
      <c r="AK179" s="4374">
        <f>+AK180+AK181</f>
        <v>1496.83</v>
      </c>
      <c r="AL179" s="597"/>
      <c r="AM179" s="2258">
        <f t="shared" si="149"/>
        <v>4698.5200000000004</v>
      </c>
      <c r="AN179" s="1357"/>
      <c r="AO179" s="1357">
        <f t="shared" si="165"/>
        <v>17033.63</v>
      </c>
      <c r="AP179" s="597"/>
      <c r="AQ179" s="4374">
        <f>+AQ180+AQ181</f>
        <v>1495.11</v>
      </c>
      <c r="AR179" s="1357"/>
      <c r="AS179" s="1357">
        <f t="shared" ref="AS179:AS187" si="167">+AO179+AQ179</f>
        <v>18528.740000000002</v>
      </c>
      <c r="AT179" s="597"/>
      <c r="AU179" s="4374">
        <f>+AU180+AU181</f>
        <v>1848.39</v>
      </c>
      <c r="AV179" s="1357"/>
      <c r="AW179" s="1357">
        <f t="shared" si="145"/>
        <v>20377.13</v>
      </c>
      <c r="AX179" s="597"/>
      <c r="AY179" s="4374">
        <f>+AY180+AY181</f>
        <v>1994.25</v>
      </c>
      <c r="AZ179" s="597"/>
      <c r="BA179" s="2258">
        <f t="shared" si="150"/>
        <v>5337.75</v>
      </c>
      <c r="BB179" s="200"/>
      <c r="BC179" s="522">
        <f t="shared" si="151"/>
        <v>10036.27</v>
      </c>
      <c r="BD179" s="1357"/>
      <c r="BE179" s="1357">
        <f t="shared" si="161"/>
        <v>22371.38</v>
      </c>
      <c r="BF179" s="26"/>
      <c r="BG179" s="26"/>
      <c r="BH179" s="26"/>
      <c r="BP179" s="26"/>
      <c r="BQ179" s="26"/>
    </row>
    <row r="180" spans="1:69" x14ac:dyDescent="0.25">
      <c r="B180" s="1849" t="s">
        <v>1112</v>
      </c>
      <c r="C180" s="2656" t="s">
        <v>354</v>
      </c>
      <c r="D180" s="1308"/>
      <c r="E180" s="2675">
        <v>1998.23</v>
      </c>
      <c r="F180" s="2675"/>
      <c r="G180" s="2675">
        <v>2316.2999999999993</v>
      </c>
      <c r="H180" s="2676"/>
      <c r="I180" s="3361">
        <f t="shared" si="166"/>
        <v>4314.5299999999988</v>
      </c>
      <c r="J180" s="3348"/>
      <c r="K180" s="2675">
        <v>1493.97</v>
      </c>
      <c r="L180" s="597"/>
      <c r="M180" s="1151">
        <f t="shared" si="141"/>
        <v>5808.4999999999991</v>
      </c>
      <c r="N180" s="597"/>
      <c r="O180" s="2675">
        <v>1795.7100000000003</v>
      </c>
      <c r="P180" s="597"/>
      <c r="Q180" s="1658">
        <f t="shared" si="133"/>
        <v>7604.2099999999991</v>
      </c>
      <c r="R180" s="1137"/>
      <c r="S180" s="2675">
        <v>1943.35</v>
      </c>
      <c r="T180" s="597"/>
      <c r="U180" s="3361">
        <f t="shared" si="110"/>
        <v>9547.56</v>
      </c>
      <c r="V180" s="1137"/>
      <c r="W180" s="2675">
        <v>2195.0300000000002</v>
      </c>
      <c r="X180" s="597"/>
      <c r="Y180" s="1151">
        <f t="shared" si="147"/>
        <v>5934.09</v>
      </c>
      <c r="Z180" s="597"/>
      <c r="AA180" s="522">
        <f t="shared" si="148"/>
        <v>11742.59</v>
      </c>
      <c r="AB180" s="1137"/>
      <c r="AC180" s="2881">
        <v>1994.6800000000003</v>
      </c>
      <c r="AD180" s="597"/>
      <c r="AE180" s="587">
        <f t="shared" si="164"/>
        <v>13737.27</v>
      </c>
      <c r="AF180" s="1137"/>
      <c r="AG180" s="2881">
        <v>909.7399999999999</v>
      </c>
      <c r="AH180" s="597"/>
      <c r="AI180" s="587">
        <f t="shared" si="162"/>
        <v>14647.01</v>
      </c>
      <c r="AJ180" s="1137"/>
      <c r="AK180" s="2881">
        <v>1496.83</v>
      </c>
      <c r="AL180" s="1137"/>
      <c r="AM180" s="1151">
        <f t="shared" si="149"/>
        <v>4401.25</v>
      </c>
      <c r="AN180" s="597"/>
      <c r="AO180" s="587">
        <f t="shared" si="165"/>
        <v>16143.84</v>
      </c>
      <c r="AP180" s="1137"/>
      <c r="AQ180" s="2881">
        <v>1495.11</v>
      </c>
      <c r="AR180" s="597"/>
      <c r="AS180" s="587">
        <f t="shared" si="167"/>
        <v>17638.95</v>
      </c>
      <c r="AT180" s="1137"/>
      <c r="AU180" s="2881">
        <v>1848.39</v>
      </c>
      <c r="AV180" s="597"/>
      <c r="AW180" s="587">
        <f t="shared" si="145"/>
        <v>19487.34</v>
      </c>
      <c r="AX180" s="1137"/>
      <c r="AY180" s="2881">
        <v>1994.25</v>
      </c>
      <c r="AZ180" s="1137"/>
      <c r="BA180" s="1151">
        <f t="shared" si="150"/>
        <v>5337.75</v>
      </c>
      <c r="BB180" s="597"/>
      <c r="BC180" s="522">
        <f t="shared" si="151"/>
        <v>9739</v>
      </c>
      <c r="BD180" s="597"/>
      <c r="BE180" s="256">
        <f t="shared" si="161"/>
        <v>21481.59</v>
      </c>
      <c r="BF180" s="26"/>
      <c r="BG180" s="26"/>
      <c r="BH180" s="26"/>
      <c r="BP180" s="26"/>
      <c r="BQ180" s="26"/>
    </row>
    <row r="181" spans="1:69" x14ac:dyDescent="0.25">
      <c r="B181" s="1849" t="s">
        <v>1113</v>
      </c>
      <c r="C181" s="2656" t="s">
        <v>354</v>
      </c>
      <c r="D181" s="1308"/>
      <c r="E181" s="3030"/>
      <c r="F181" s="3030"/>
      <c r="G181" s="3030">
        <v>47.09</v>
      </c>
      <c r="H181" s="2673"/>
      <c r="I181" s="3363">
        <f t="shared" si="166"/>
        <v>47.09</v>
      </c>
      <c r="J181" s="1953"/>
      <c r="K181" s="3030">
        <v>246.06</v>
      </c>
      <c r="L181" s="1137"/>
      <c r="M181" s="1151">
        <f t="shared" si="141"/>
        <v>293.14999999999998</v>
      </c>
      <c r="N181" s="1137"/>
      <c r="O181" s="3030"/>
      <c r="P181" s="1137"/>
      <c r="Q181" s="1658">
        <f t="shared" si="133"/>
        <v>293.14999999999998</v>
      </c>
      <c r="R181" s="351"/>
      <c r="S181" s="3030">
        <v>299.37</v>
      </c>
      <c r="T181" s="1137"/>
      <c r="U181" s="3361">
        <f t="shared" si="110"/>
        <v>592.52</v>
      </c>
      <c r="V181" s="351"/>
      <c r="W181" s="3030"/>
      <c r="X181" s="1137"/>
      <c r="Y181" s="1151">
        <f t="shared" si="147"/>
        <v>299.37</v>
      </c>
      <c r="Z181" s="597"/>
      <c r="AA181" s="522">
        <f t="shared" si="148"/>
        <v>592.52</v>
      </c>
      <c r="AB181" s="351"/>
      <c r="AC181" s="2763"/>
      <c r="AD181" s="1137"/>
      <c r="AE181" s="587">
        <f t="shared" si="164"/>
        <v>592.52</v>
      </c>
      <c r="AF181" s="351"/>
      <c r="AG181" s="2763">
        <v>297.27</v>
      </c>
      <c r="AH181" s="1137"/>
      <c r="AI181" s="587">
        <f t="shared" si="162"/>
        <v>889.79</v>
      </c>
      <c r="AJ181" s="351"/>
      <c r="AK181" s="2763"/>
      <c r="AL181" s="351"/>
      <c r="AM181" s="1151">
        <f t="shared" si="149"/>
        <v>297.27</v>
      </c>
      <c r="AN181" s="1137"/>
      <c r="AO181" s="587">
        <f t="shared" si="165"/>
        <v>889.79</v>
      </c>
      <c r="AP181" s="351"/>
      <c r="AQ181" s="2763"/>
      <c r="AR181" s="1137"/>
      <c r="AS181" s="587">
        <f t="shared" si="167"/>
        <v>889.79</v>
      </c>
      <c r="AT181" s="351"/>
      <c r="AU181" s="2763"/>
      <c r="AV181" s="1137"/>
      <c r="AW181" s="587">
        <f t="shared" si="145"/>
        <v>889.79</v>
      </c>
      <c r="AX181" s="351"/>
      <c r="AY181" s="2763"/>
      <c r="AZ181" s="351"/>
      <c r="BA181" s="1151">
        <f t="shared" si="150"/>
        <v>0</v>
      </c>
      <c r="BB181" s="597"/>
      <c r="BC181" s="522">
        <f t="shared" si="151"/>
        <v>297.27</v>
      </c>
      <c r="BD181" s="1137"/>
      <c r="BE181" s="256">
        <f t="shared" si="161"/>
        <v>889.79</v>
      </c>
      <c r="BF181" s="26"/>
      <c r="BG181" s="26"/>
      <c r="BH181" s="26"/>
      <c r="BP181" s="26"/>
      <c r="BQ181" s="26"/>
    </row>
    <row r="182" spans="1:69" x14ac:dyDescent="0.25">
      <c r="B182" s="3364" t="s">
        <v>1558</v>
      </c>
      <c r="C182" s="2656" t="s">
        <v>354</v>
      </c>
      <c r="D182" s="1308"/>
      <c r="E182" s="3030"/>
      <c r="F182" s="3030"/>
      <c r="G182" s="3030"/>
      <c r="H182" s="2673"/>
      <c r="I182" s="3365">
        <f t="shared" si="166"/>
        <v>0</v>
      </c>
      <c r="J182" s="1953"/>
      <c r="K182" s="3030"/>
      <c r="L182" s="1137"/>
      <c r="M182" s="1151">
        <f t="shared" si="141"/>
        <v>0</v>
      </c>
      <c r="N182" s="1137"/>
      <c r="O182" s="3030">
        <v>29.34</v>
      </c>
      <c r="P182" s="1137"/>
      <c r="Q182" s="1658">
        <f t="shared" si="133"/>
        <v>29.34</v>
      </c>
      <c r="R182" s="351"/>
      <c r="S182" s="3030"/>
      <c r="T182" s="1137"/>
      <c r="U182" s="3361">
        <f t="shared" si="110"/>
        <v>29.34</v>
      </c>
      <c r="V182" s="351"/>
      <c r="W182" s="3030"/>
      <c r="X182" s="1137"/>
      <c r="Y182" s="1151">
        <f t="shared" si="147"/>
        <v>29.34</v>
      </c>
      <c r="Z182" s="597"/>
      <c r="AA182" s="522">
        <f t="shared" si="148"/>
        <v>29.34</v>
      </c>
      <c r="AB182" s="351"/>
      <c r="AC182" s="2763"/>
      <c r="AD182" s="1137"/>
      <c r="AE182" s="587">
        <f t="shared" si="164"/>
        <v>29.34</v>
      </c>
      <c r="AF182" s="351"/>
      <c r="AG182" s="2763"/>
      <c r="AH182" s="1137"/>
      <c r="AI182" s="587">
        <f t="shared" si="162"/>
        <v>29.34</v>
      </c>
      <c r="AJ182" s="351"/>
      <c r="AK182" s="2763"/>
      <c r="AL182" s="351"/>
      <c r="AM182" s="1151">
        <f t="shared" si="149"/>
        <v>0</v>
      </c>
      <c r="AN182" s="1137"/>
      <c r="AO182" s="587">
        <f t="shared" si="165"/>
        <v>29.34</v>
      </c>
      <c r="AP182" s="351"/>
      <c r="AQ182" s="2763"/>
      <c r="AR182" s="1137"/>
      <c r="AS182" s="587">
        <f t="shared" si="167"/>
        <v>29.34</v>
      </c>
      <c r="AT182" s="351"/>
      <c r="AU182" s="2763"/>
      <c r="AV182" s="1137"/>
      <c r="AW182" s="587">
        <f t="shared" si="145"/>
        <v>29.34</v>
      </c>
      <c r="AX182" s="351"/>
      <c r="AY182" s="2763"/>
      <c r="AZ182" s="351"/>
      <c r="BA182" s="1151">
        <f t="shared" si="150"/>
        <v>0</v>
      </c>
      <c r="BB182" s="597"/>
      <c r="BC182" s="522">
        <f t="shared" si="151"/>
        <v>0</v>
      </c>
      <c r="BD182" s="1137"/>
      <c r="BE182" s="256">
        <f t="shared" si="161"/>
        <v>29.34</v>
      </c>
      <c r="BF182" s="26"/>
      <c r="BG182" s="26"/>
      <c r="BH182" s="26"/>
      <c r="BP182" s="26"/>
      <c r="BQ182" s="26"/>
    </row>
    <row r="183" spans="1:69" x14ac:dyDescent="0.25">
      <c r="B183" s="1750" t="s">
        <v>2304</v>
      </c>
      <c r="C183" s="2656" t="s">
        <v>354</v>
      </c>
      <c r="D183" s="1308"/>
      <c r="E183" s="2840"/>
      <c r="F183" s="2840"/>
      <c r="G183" s="2840"/>
      <c r="H183" s="3366"/>
      <c r="I183" s="3365">
        <f t="shared" si="166"/>
        <v>0</v>
      </c>
      <c r="J183" s="3350"/>
      <c r="K183" s="2840"/>
      <c r="L183" s="351"/>
      <c r="M183" s="1151">
        <f t="shared" si="141"/>
        <v>0</v>
      </c>
      <c r="N183" s="351"/>
      <c r="O183" s="2840">
        <v>30</v>
      </c>
      <c r="P183" s="351"/>
      <c r="Q183" s="1658">
        <f t="shared" si="133"/>
        <v>30</v>
      </c>
      <c r="R183" s="1134"/>
      <c r="S183" s="2840"/>
      <c r="T183" s="351"/>
      <c r="U183" s="3361">
        <f t="shared" si="110"/>
        <v>30</v>
      </c>
      <c r="V183" s="1134"/>
      <c r="W183" s="2840"/>
      <c r="X183" s="351"/>
      <c r="Y183" s="1151">
        <f t="shared" si="147"/>
        <v>30</v>
      </c>
      <c r="Z183" s="597"/>
      <c r="AA183" s="522">
        <f t="shared" si="148"/>
        <v>30</v>
      </c>
      <c r="AB183" s="1134"/>
      <c r="AC183" s="2840"/>
      <c r="AD183" s="351"/>
      <c r="AE183" s="587">
        <f t="shared" si="164"/>
        <v>30</v>
      </c>
      <c r="AF183" s="1134"/>
      <c r="AG183" s="2840"/>
      <c r="AH183" s="351"/>
      <c r="AI183" s="587">
        <f t="shared" si="162"/>
        <v>30</v>
      </c>
      <c r="AJ183" s="1134"/>
      <c r="AK183" s="2840"/>
      <c r="AL183" s="1134"/>
      <c r="AM183" s="1151">
        <f t="shared" si="149"/>
        <v>0</v>
      </c>
      <c r="AN183" s="351"/>
      <c r="AO183" s="587">
        <f t="shared" si="165"/>
        <v>30</v>
      </c>
      <c r="AP183" s="1134"/>
      <c r="AQ183" s="2840"/>
      <c r="AR183" s="351"/>
      <c r="AS183" s="587">
        <f t="shared" si="167"/>
        <v>30</v>
      </c>
      <c r="AT183" s="1134"/>
      <c r="AU183" s="2840"/>
      <c r="AV183" s="351"/>
      <c r="AW183" s="587">
        <f t="shared" si="145"/>
        <v>30</v>
      </c>
      <c r="AX183" s="1134"/>
      <c r="AY183" s="2840"/>
      <c r="AZ183" s="1134"/>
      <c r="BA183" s="1151">
        <f t="shared" si="150"/>
        <v>0</v>
      </c>
      <c r="BB183" s="597"/>
      <c r="BC183" s="522">
        <f t="shared" si="151"/>
        <v>0</v>
      </c>
      <c r="BD183" s="351"/>
      <c r="BE183" s="256">
        <f t="shared" si="161"/>
        <v>30</v>
      </c>
      <c r="BF183" s="26"/>
      <c r="BG183" s="26"/>
      <c r="BH183" s="26"/>
      <c r="BP183" s="26"/>
      <c r="BQ183" s="26"/>
    </row>
    <row r="184" spans="1:69" x14ac:dyDescent="0.25">
      <c r="B184" s="1750" t="s">
        <v>2303</v>
      </c>
      <c r="C184" s="2656" t="s">
        <v>354</v>
      </c>
      <c r="D184" s="1308"/>
      <c r="E184" s="2840"/>
      <c r="F184" s="2840"/>
      <c r="G184" s="2840"/>
      <c r="H184" s="3366"/>
      <c r="I184" s="3365">
        <f t="shared" si="166"/>
        <v>0</v>
      </c>
      <c r="J184" s="3350"/>
      <c r="K184" s="2840"/>
      <c r="L184" s="2629"/>
      <c r="M184" s="1151">
        <f t="shared" si="141"/>
        <v>0</v>
      </c>
      <c r="N184" s="2629"/>
      <c r="O184" s="2840">
        <v>9.8800000000000008</v>
      </c>
      <c r="P184" s="2629"/>
      <c r="Q184" s="1658">
        <f t="shared" si="133"/>
        <v>9.8800000000000008</v>
      </c>
      <c r="R184" s="2498"/>
      <c r="S184" s="2840"/>
      <c r="T184" s="2629"/>
      <c r="U184" s="3361">
        <f t="shared" si="110"/>
        <v>9.8800000000000008</v>
      </c>
      <c r="V184" s="2498"/>
      <c r="W184" s="2840"/>
      <c r="X184" s="2629"/>
      <c r="Y184" s="2516">
        <f t="shared" si="147"/>
        <v>9.8800000000000008</v>
      </c>
      <c r="Z184" s="597"/>
      <c r="AA184" s="522">
        <f t="shared" si="148"/>
        <v>9.8800000000000008</v>
      </c>
      <c r="AB184" s="2498"/>
      <c r="AC184" s="2840"/>
      <c r="AD184" s="2629"/>
      <c r="AE184" s="2515"/>
      <c r="AF184" s="2498"/>
      <c r="AG184" s="2840"/>
      <c r="AH184" s="2629"/>
      <c r="AI184" s="2515"/>
      <c r="AJ184" s="2498"/>
      <c r="AK184" s="2840"/>
      <c r="AL184" s="2498"/>
      <c r="AM184" s="2516">
        <f t="shared" si="149"/>
        <v>0</v>
      </c>
      <c r="AN184" s="2629"/>
      <c r="AO184" s="587">
        <f t="shared" si="165"/>
        <v>0</v>
      </c>
      <c r="AP184" s="2498"/>
      <c r="AQ184" s="2840"/>
      <c r="AR184" s="2629"/>
      <c r="AS184" s="587">
        <f t="shared" si="167"/>
        <v>0</v>
      </c>
      <c r="AT184" s="2498"/>
      <c r="AU184" s="2840"/>
      <c r="AV184" s="2629"/>
      <c r="AW184" s="587">
        <f t="shared" si="145"/>
        <v>0</v>
      </c>
      <c r="AX184" s="2498"/>
      <c r="AY184" s="2840"/>
      <c r="AZ184" s="2498"/>
      <c r="BA184" s="2516">
        <f t="shared" si="150"/>
        <v>0</v>
      </c>
      <c r="BB184" s="597"/>
      <c r="BC184" s="522">
        <f t="shared" ref="BC184" si="168">BA184+AM184</f>
        <v>0</v>
      </c>
      <c r="BD184" s="351"/>
      <c r="BE184" s="256">
        <f t="shared" ref="BE184" si="169">+AW184+AY184</f>
        <v>0</v>
      </c>
      <c r="BF184" s="26"/>
      <c r="BG184" s="26"/>
      <c r="BH184" s="26"/>
      <c r="BP184" s="26"/>
      <c r="BQ184" s="26"/>
    </row>
    <row r="185" spans="1:69" x14ac:dyDescent="0.25">
      <c r="B185" s="1750" t="s">
        <v>1482</v>
      </c>
      <c r="C185" s="2656" t="s">
        <v>354</v>
      </c>
      <c r="D185" s="1308"/>
      <c r="E185" s="2716"/>
      <c r="F185" s="2716"/>
      <c r="G185" s="2716"/>
      <c r="H185" s="3367"/>
      <c r="I185" s="3365">
        <f t="shared" si="166"/>
        <v>0</v>
      </c>
      <c r="J185" s="2260"/>
      <c r="K185" s="2716"/>
      <c r="L185" s="1134"/>
      <c r="M185" s="1151">
        <f t="shared" si="141"/>
        <v>0</v>
      </c>
      <c r="N185" s="1134"/>
      <c r="O185" s="2716"/>
      <c r="P185" s="1134"/>
      <c r="Q185" s="1658">
        <f t="shared" si="133"/>
        <v>0</v>
      </c>
      <c r="R185" s="1134"/>
      <c r="S185" s="2716">
        <v>3.49</v>
      </c>
      <c r="T185" s="1134"/>
      <c r="U185" s="3361">
        <f t="shared" si="110"/>
        <v>3.49</v>
      </c>
      <c r="V185" s="1134"/>
      <c r="W185" s="2716"/>
      <c r="X185" s="1134"/>
      <c r="Y185" s="1151">
        <f t="shared" si="147"/>
        <v>3.49</v>
      </c>
      <c r="Z185" s="597"/>
      <c r="AA185" s="522">
        <f t="shared" si="148"/>
        <v>3.49</v>
      </c>
      <c r="AB185" s="1134"/>
      <c r="AC185" s="2774"/>
      <c r="AD185" s="1134"/>
      <c r="AE185" s="587">
        <f t="shared" si="164"/>
        <v>3.49</v>
      </c>
      <c r="AF185" s="1134"/>
      <c r="AG185" s="2774"/>
      <c r="AH185" s="1134"/>
      <c r="AI185" s="587">
        <f t="shared" si="162"/>
        <v>3.49</v>
      </c>
      <c r="AJ185" s="1134"/>
      <c r="AK185" s="2774"/>
      <c r="AL185" s="1134"/>
      <c r="AM185" s="1151">
        <f t="shared" si="149"/>
        <v>0</v>
      </c>
      <c r="AN185" s="1134"/>
      <c r="AO185" s="587">
        <f t="shared" si="165"/>
        <v>3.49</v>
      </c>
      <c r="AP185" s="1134"/>
      <c r="AQ185" s="2774"/>
      <c r="AR185" s="1134"/>
      <c r="AS185" s="587">
        <f t="shared" si="167"/>
        <v>3.49</v>
      </c>
      <c r="AT185" s="1134"/>
      <c r="AU185" s="2774"/>
      <c r="AV185" s="1134"/>
      <c r="AW185" s="587">
        <f t="shared" si="145"/>
        <v>3.49</v>
      </c>
      <c r="AX185" s="1134"/>
      <c r="AY185" s="2774"/>
      <c r="AZ185" s="1134"/>
      <c r="BA185" s="1151">
        <f t="shared" si="150"/>
        <v>0</v>
      </c>
      <c r="BB185" s="597"/>
      <c r="BC185" s="522">
        <f t="shared" si="151"/>
        <v>0</v>
      </c>
      <c r="BD185" s="1134"/>
      <c r="BE185" s="256">
        <f t="shared" si="161"/>
        <v>3.49</v>
      </c>
      <c r="BF185" s="26"/>
      <c r="BG185" s="26"/>
      <c r="BH185" s="26"/>
      <c r="BP185" s="26"/>
      <c r="BQ185" s="26"/>
    </row>
    <row r="186" spans="1:69" ht="16.5" thickBot="1" x14ac:dyDescent="0.3">
      <c r="B186" s="1750" t="s">
        <v>2338</v>
      </c>
      <c r="C186" s="2656" t="s">
        <v>354</v>
      </c>
      <c r="D186" s="1308"/>
      <c r="E186" s="2716"/>
      <c r="F186" s="2716"/>
      <c r="G186" s="2716"/>
      <c r="H186" s="3367"/>
      <c r="I186" s="3368">
        <f t="shared" si="166"/>
        <v>0</v>
      </c>
      <c r="J186" s="2260"/>
      <c r="K186" s="2716"/>
      <c r="L186" s="1134"/>
      <c r="M186" s="1151">
        <f t="shared" si="141"/>
        <v>0</v>
      </c>
      <c r="N186" s="1134"/>
      <c r="O186" s="2716"/>
      <c r="P186" s="1134"/>
      <c r="Q186" s="1658">
        <f t="shared" si="133"/>
        <v>0</v>
      </c>
      <c r="R186" s="1654"/>
      <c r="S186" s="2716">
        <v>8.86</v>
      </c>
      <c r="T186" s="1134"/>
      <c r="U186" s="3361">
        <f t="shared" si="110"/>
        <v>8.86</v>
      </c>
      <c r="V186" s="1654"/>
      <c r="W186" s="2716"/>
      <c r="X186" s="1134"/>
      <c r="Y186" s="1151">
        <f t="shared" si="147"/>
        <v>8.86</v>
      </c>
      <c r="Z186" s="597"/>
      <c r="AA186" s="522">
        <f t="shared" si="148"/>
        <v>8.86</v>
      </c>
      <c r="AB186" s="1654"/>
      <c r="AC186" s="2774"/>
      <c r="AD186" s="1134"/>
      <c r="AE186" s="587">
        <f t="shared" si="164"/>
        <v>8.86</v>
      </c>
      <c r="AF186" s="1654"/>
      <c r="AG186" s="2774"/>
      <c r="AH186" s="1134"/>
      <c r="AI186" s="587">
        <f t="shared" si="162"/>
        <v>8.86</v>
      </c>
      <c r="AJ186" s="1654"/>
      <c r="AK186" s="2774"/>
      <c r="AL186" s="1654"/>
      <c r="AM186" s="1151">
        <f t="shared" si="149"/>
        <v>0</v>
      </c>
      <c r="AN186" s="1134"/>
      <c r="AO186" s="587">
        <f t="shared" si="165"/>
        <v>8.86</v>
      </c>
      <c r="AP186" s="1654"/>
      <c r="AQ186" s="2774"/>
      <c r="AR186" s="1134"/>
      <c r="AS186" s="587">
        <f t="shared" si="167"/>
        <v>8.86</v>
      </c>
      <c r="AT186" s="1654"/>
      <c r="AU186" s="2774"/>
      <c r="AV186" s="1134"/>
      <c r="AW186" s="587">
        <f t="shared" si="145"/>
        <v>8.86</v>
      </c>
      <c r="AX186" s="1654"/>
      <c r="AY186" s="2774"/>
      <c r="AZ186" s="1654"/>
      <c r="BA186" s="1151">
        <f t="shared" si="150"/>
        <v>0</v>
      </c>
      <c r="BB186" s="597"/>
      <c r="BC186" s="522">
        <f t="shared" si="151"/>
        <v>0</v>
      </c>
      <c r="BD186" s="1134"/>
      <c r="BE186" s="256">
        <f t="shared" si="161"/>
        <v>8.86</v>
      </c>
      <c r="BF186" s="26"/>
      <c r="BG186" s="26"/>
      <c r="BH186" s="26"/>
      <c r="BP186" s="26"/>
      <c r="BQ186" s="26"/>
    </row>
    <row r="187" spans="1:69" ht="21" thickBot="1" x14ac:dyDescent="0.3">
      <c r="A187" s="149"/>
      <c r="B187" s="1769" t="s">
        <v>1114</v>
      </c>
      <c r="C187" s="3152" t="s">
        <v>354</v>
      </c>
      <c r="D187" s="3369"/>
      <c r="E187" s="1654">
        <v>119.56</v>
      </c>
      <c r="F187" s="1654"/>
      <c r="G187" s="1654">
        <v>155.13999999999999</v>
      </c>
      <c r="H187" s="1663"/>
      <c r="I187" s="1663">
        <f t="shared" si="166"/>
        <v>274.7</v>
      </c>
      <c r="J187" s="3351"/>
      <c r="K187" s="1654">
        <v>95.71</v>
      </c>
      <c r="L187" s="1654"/>
      <c r="M187" s="2258">
        <f t="shared" si="141"/>
        <v>370.40999999999997</v>
      </c>
      <c r="N187" s="1654"/>
      <c r="O187" s="1654">
        <v>119.42999999999999</v>
      </c>
      <c r="P187" s="1654"/>
      <c r="Q187" s="1658">
        <f t="shared" si="133"/>
        <v>489.84</v>
      </c>
      <c r="R187" s="1358"/>
      <c r="S187" s="1654">
        <v>148.55000000000001</v>
      </c>
      <c r="T187" s="1654"/>
      <c r="U187" s="3361">
        <f t="shared" si="110"/>
        <v>638.39</v>
      </c>
      <c r="V187" s="1358"/>
      <c r="W187" s="1654">
        <v>157.19</v>
      </c>
      <c r="X187" s="1654"/>
      <c r="Y187" s="2258">
        <f t="shared" si="147"/>
        <v>425.17</v>
      </c>
      <c r="Z187" s="597"/>
      <c r="AA187" s="2633">
        <f t="shared" si="148"/>
        <v>795.57999999999993</v>
      </c>
      <c r="AB187" s="1358"/>
      <c r="AC187" s="4377">
        <v>147.20999999999998</v>
      </c>
      <c r="AD187" s="1654"/>
      <c r="AE187" s="1716">
        <f t="shared" si="164"/>
        <v>942.79</v>
      </c>
      <c r="AF187" s="1358"/>
      <c r="AG187" s="4377">
        <v>145.66000000000003</v>
      </c>
      <c r="AH187" s="1654"/>
      <c r="AI187" s="1716">
        <f t="shared" si="162"/>
        <v>1088.45</v>
      </c>
      <c r="AJ187" s="1358"/>
      <c r="AK187" s="4377">
        <v>121.57</v>
      </c>
      <c r="AL187" s="1358"/>
      <c r="AM187" s="2258">
        <f t="shared" si="149"/>
        <v>414.44</v>
      </c>
      <c r="AN187" s="1654"/>
      <c r="AO187" s="1716">
        <f t="shared" si="165"/>
        <v>1210.02</v>
      </c>
      <c r="AP187" s="1358"/>
      <c r="AQ187" s="4377">
        <v>109.7</v>
      </c>
      <c r="AR187" s="1654"/>
      <c r="AS187" s="1716">
        <f t="shared" si="167"/>
        <v>1319.72</v>
      </c>
      <c r="AT187" s="1358"/>
      <c r="AU187" s="4377">
        <v>119.38</v>
      </c>
      <c r="AV187" s="1654"/>
      <c r="AW187" s="1716">
        <f t="shared" si="145"/>
        <v>1439.1</v>
      </c>
      <c r="AX187" s="1358"/>
      <c r="AY187" s="4377">
        <v>107.59</v>
      </c>
      <c r="AZ187" s="1358"/>
      <c r="BA187" s="2258">
        <f t="shared" si="150"/>
        <v>336.66999999999996</v>
      </c>
      <c r="BB187" s="597"/>
      <c r="BC187" s="2633">
        <f t="shared" si="151"/>
        <v>751.1099999999999</v>
      </c>
      <c r="BD187" s="1654"/>
      <c r="BE187" s="1716">
        <f t="shared" si="161"/>
        <v>1546.6899999999998</v>
      </c>
      <c r="BF187" s="26"/>
      <c r="BG187" s="26"/>
      <c r="BH187" s="26"/>
      <c r="BP187" s="26"/>
      <c r="BQ187" s="26"/>
    </row>
    <row r="188" spans="1:69" ht="26.25" thickBot="1" x14ac:dyDescent="0.35">
      <c r="A188" s="531"/>
      <c r="B188" s="2455" t="s">
        <v>1249</v>
      </c>
      <c r="C188" s="2456" t="s">
        <v>354</v>
      </c>
      <c r="D188" s="2457"/>
      <c r="E188" s="2458">
        <f>+SUM(E140:E187)-E179</f>
        <v>2118.2000000000003</v>
      </c>
      <c r="F188" s="2458">
        <f t="shared" ref="F188:Z188" si="170">+SUM(F140:F187)-F179</f>
        <v>0</v>
      </c>
      <c r="G188" s="2458">
        <f>+SUM(G140:G187)-G179</f>
        <v>2518.9399999999996</v>
      </c>
      <c r="H188" s="2458">
        <f t="shared" si="170"/>
        <v>0</v>
      </c>
      <c r="I188" s="2458">
        <f t="shared" si="170"/>
        <v>4637.1399999999994</v>
      </c>
      <c r="J188" s="3352">
        <f t="shared" si="170"/>
        <v>0</v>
      </c>
      <c r="K188" s="2458">
        <f>+SUM(K140:K187)-K179</f>
        <v>1836.1499999999999</v>
      </c>
      <c r="L188" s="2458">
        <f t="shared" si="170"/>
        <v>0</v>
      </c>
      <c r="M188" s="2459">
        <f t="shared" si="170"/>
        <v>6473.2899999999981</v>
      </c>
      <c r="N188" s="2458">
        <f t="shared" si="170"/>
        <v>0</v>
      </c>
      <c r="O188" s="2458">
        <f>+SUM(O140:O187)-O179</f>
        <v>1984.7700000000007</v>
      </c>
      <c r="P188" s="2458">
        <f t="shared" si="170"/>
        <v>0</v>
      </c>
      <c r="Q188" s="1658">
        <f t="shared" si="133"/>
        <v>8458.06</v>
      </c>
      <c r="R188" s="2458">
        <f t="shared" si="170"/>
        <v>0</v>
      </c>
      <c r="S188" s="2458">
        <f>+SUM(S140:S187)-S179</f>
        <v>3394.56</v>
      </c>
      <c r="T188" s="2458">
        <f t="shared" si="170"/>
        <v>0</v>
      </c>
      <c r="U188" s="3361">
        <f t="shared" ref="U188:U201" si="171">+Q188+S188</f>
        <v>11852.619999999999</v>
      </c>
      <c r="V188" s="2458">
        <f t="shared" si="170"/>
        <v>0</v>
      </c>
      <c r="W188" s="2458">
        <f>+SUM(W140:W187)-W179</f>
        <v>3315.4999999999995</v>
      </c>
      <c r="X188" s="2458">
        <f t="shared" si="170"/>
        <v>0</v>
      </c>
      <c r="Y188" s="2459">
        <f t="shared" si="147"/>
        <v>8694.83</v>
      </c>
      <c r="Z188" s="2458">
        <f t="shared" si="170"/>
        <v>0</v>
      </c>
      <c r="AA188" s="2634">
        <f t="shared" si="148"/>
        <v>15168.119999999999</v>
      </c>
      <c r="AB188" s="2458">
        <f t="shared" ref="AB188:AE188" si="172">+SUM(AB140:AB187)-AB179</f>
        <v>0</v>
      </c>
      <c r="AC188" s="4378">
        <f>+SUM(AC140:AC187)-AC179</f>
        <v>2193.09</v>
      </c>
      <c r="AD188" s="2458">
        <f t="shared" si="172"/>
        <v>0</v>
      </c>
      <c r="AE188" s="2458">
        <f t="shared" si="172"/>
        <v>17351.330000000005</v>
      </c>
      <c r="AF188" s="2458">
        <f t="shared" ref="AF188:AI188" si="173">+SUM(AF140:AF187)-AF179</f>
        <v>0</v>
      </c>
      <c r="AG188" s="4378">
        <f>+SUM(AG140:AG187)-AG179</f>
        <v>1416.9499999999998</v>
      </c>
      <c r="AH188" s="2458">
        <f t="shared" si="173"/>
        <v>0</v>
      </c>
      <c r="AI188" s="2458">
        <f t="shared" si="173"/>
        <v>18768.279999999992</v>
      </c>
      <c r="AJ188" s="2458">
        <f t="shared" ref="AJ188:AL188" si="174">+SUM(AJ140:AJ187)-AJ179</f>
        <v>0</v>
      </c>
      <c r="AK188" s="4378">
        <f>+SUM(AK140:AK187)-AK179</f>
        <v>1705.56</v>
      </c>
      <c r="AL188" s="2458">
        <f t="shared" si="174"/>
        <v>0</v>
      </c>
      <c r="AM188" s="2459">
        <f t="shared" si="149"/>
        <v>5315.6</v>
      </c>
      <c r="AN188" s="2458">
        <f t="shared" ref="AN188" si="175">+SUM(AN140:AN187)-AN179</f>
        <v>0</v>
      </c>
      <c r="AO188" s="2458">
        <f t="shared" si="165"/>
        <v>20473.839999999993</v>
      </c>
      <c r="AP188" s="2458">
        <f t="shared" ref="AP188:AS188" si="176">+SUM(AP140:AP187)-AP179</f>
        <v>0</v>
      </c>
      <c r="AQ188" s="4378">
        <f>+SUM(AQ140:AQ187)-AQ179</f>
        <v>1605.4099999999996</v>
      </c>
      <c r="AR188" s="2458">
        <f t="shared" si="176"/>
        <v>0</v>
      </c>
      <c r="AS188" s="2458">
        <f t="shared" si="176"/>
        <v>22079.249999999996</v>
      </c>
      <c r="AT188" s="2458">
        <f t="shared" ref="AT188:AW188" si="177">+SUM(AT140:AT187)-AT179</f>
        <v>0</v>
      </c>
      <c r="AU188" s="4378">
        <f>+SUM(AU140:AU187)-AU179</f>
        <v>1970.16</v>
      </c>
      <c r="AV188" s="2458">
        <f t="shared" si="177"/>
        <v>0</v>
      </c>
      <c r="AW188" s="2458">
        <f t="shared" si="177"/>
        <v>24049.41</v>
      </c>
      <c r="AX188" s="2458">
        <f t="shared" ref="AX188:BE188" si="178">+SUM(AX140:AX187)-AX179</f>
        <v>0</v>
      </c>
      <c r="AY188" s="4378">
        <f>+SUM(AY140:AY187)-AY179</f>
        <v>2101.84</v>
      </c>
      <c r="AZ188" s="2458">
        <f t="shared" si="178"/>
        <v>0</v>
      </c>
      <c r="BA188" s="2459">
        <f t="shared" si="150"/>
        <v>5677.41</v>
      </c>
      <c r="BB188" s="2458">
        <f>+SUM(BB140:BB187)-BB179</f>
        <v>0</v>
      </c>
      <c r="BC188" s="2634">
        <f t="shared" si="151"/>
        <v>10993.01</v>
      </c>
      <c r="BD188" s="2458">
        <f t="shared" si="178"/>
        <v>0</v>
      </c>
      <c r="BE188" s="2458">
        <f t="shared" si="178"/>
        <v>26151.250000000004</v>
      </c>
      <c r="BF188" s="26"/>
      <c r="BG188" s="26"/>
      <c r="BH188" s="26"/>
      <c r="BP188" s="26"/>
      <c r="BQ188" s="26"/>
    </row>
    <row r="189" spans="1:69" ht="22.5" x14ac:dyDescent="0.25">
      <c r="B189" s="2460" t="s">
        <v>690</v>
      </c>
      <c r="C189" s="204"/>
      <c r="D189" s="2461"/>
      <c r="E189" s="1712"/>
      <c r="F189" s="1712"/>
      <c r="G189" s="1712"/>
      <c r="H189" s="2462"/>
      <c r="I189" s="3370"/>
      <c r="J189" s="3353"/>
      <c r="K189" s="1712"/>
      <c r="L189" s="1712"/>
      <c r="M189" s="2463"/>
      <c r="N189" s="1712"/>
      <c r="O189" s="1712"/>
      <c r="P189" s="1712"/>
      <c r="Q189" s="1658">
        <f t="shared" si="133"/>
        <v>0</v>
      </c>
      <c r="R189" s="2464"/>
      <c r="S189" s="1712"/>
      <c r="T189" s="1712"/>
      <c r="U189" s="3361">
        <f t="shared" si="171"/>
        <v>0</v>
      </c>
      <c r="V189" s="2464"/>
      <c r="W189" s="1712"/>
      <c r="X189" s="1712"/>
      <c r="Y189" s="2463"/>
      <c r="Z189" s="2617"/>
      <c r="AA189" s="2617"/>
      <c r="AB189" s="2464"/>
      <c r="AC189" s="1712"/>
      <c r="AD189" s="1712"/>
      <c r="AE189" s="1712"/>
      <c r="AF189" s="2464"/>
      <c r="AG189" s="1712"/>
      <c r="AH189" s="1712"/>
      <c r="AI189" s="2465"/>
      <c r="AJ189" s="2464"/>
      <c r="AK189" s="1712"/>
      <c r="AL189" s="1712"/>
      <c r="AM189" s="2463"/>
      <c r="AN189" s="1712"/>
      <c r="AO189" s="2465"/>
      <c r="AP189" s="2464"/>
      <c r="AQ189" s="1712"/>
      <c r="AR189" s="1712"/>
      <c r="AS189" s="2465"/>
      <c r="AT189" s="2464"/>
      <c r="AU189" s="1712"/>
      <c r="AV189" s="1712"/>
      <c r="AW189" s="2465"/>
      <c r="AX189" s="2617"/>
      <c r="AY189" s="1712"/>
      <c r="AZ189" s="2617"/>
      <c r="BA189" s="2463"/>
      <c r="BB189" s="2617"/>
      <c r="BC189" s="2617"/>
      <c r="BD189" s="2617"/>
      <c r="BE189" s="2617"/>
      <c r="BF189" s="26"/>
      <c r="BG189" s="26"/>
      <c r="BH189" s="26"/>
      <c r="BP189" s="26"/>
      <c r="BQ189" s="26"/>
    </row>
    <row r="190" spans="1:69" ht="18.75" x14ac:dyDescent="0.25">
      <c r="B190" s="530" t="s">
        <v>60</v>
      </c>
      <c r="C190" s="3371" t="s">
        <v>354</v>
      </c>
      <c r="D190" s="2672"/>
      <c r="E190" s="2672">
        <f>SUM(E191:E192)</f>
        <v>9995.39</v>
      </c>
      <c r="F190" s="2672"/>
      <c r="G190" s="2672">
        <f>SUM(G191:G192)</f>
        <v>0</v>
      </c>
      <c r="H190" s="2673"/>
      <c r="I190" s="3363">
        <f t="shared" ref="I190:I201" si="179">+E190+G190</f>
        <v>9995.39</v>
      </c>
      <c r="J190" s="3349"/>
      <c r="K190" s="2672">
        <f>SUM(K191:K192)</f>
        <v>0</v>
      </c>
      <c r="L190" s="1357"/>
      <c r="M190" s="801">
        <f t="shared" ref="M190:M201" si="180">+E190+G190+K190</f>
        <v>9995.39</v>
      </c>
      <c r="N190" s="1357"/>
      <c r="O190" s="2672">
        <f>SUM(O191:O192)</f>
        <v>0</v>
      </c>
      <c r="P190" s="1357"/>
      <c r="Q190" s="1658">
        <f t="shared" si="133"/>
        <v>9995.39</v>
      </c>
      <c r="R190" s="596"/>
      <c r="S190" s="2672">
        <f>SUM(S191:S192)</f>
        <v>0</v>
      </c>
      <c r="T190" s="1357"/>
      <c r="U190" s="3361">
        <f t="shared" si="171"/>
        <v>9995.39</v>
      </c>
      <c r="V190" s="596"/>
      <c r="W190" s="2672">
        <f>SUM(W191:W192)</f>
        <v>10521.720000000001</v>
      </c>
      <c r="X190" s="1357"/>
      <c r="Y190" s="801">
        <f t="shared" si="147"/>
        <v>10521.720000000001</v>
      </c>
      <c r="Z190" s="596"/>
      <c r="AA190" s="2635">
        <f t="shared" si="148"/>
        <v>20517.11</v>
      </c>
      <c r="AB190" s="596"/>
      <c r="AC190" s="4374">
        <f>SUM(AC191:AC193)</f>
        <v>3813.04</v>
      </c>
      <c r="AD190" s="1357"/>
      <c r="AE190" s="1357">
        <f t="shared" ref="AE190:AE196" si="181">+AA190+AC190</f>
        <v>24330.15</v>
      </c>
      <c r="AF190" s="596"/>
      <c r="AG190" s="4374">
        <f>SUM(AG191:AG193)</f>
        <v>14664.37</v>
      </c>
      <c r="AH190" s="1357"/>
      <c r="AI190" s="2466">
        <f t="shared" ref="AI190:AI200" si="182">+AE190+AG190</f>
        <v>38994.520000000004</v>
      </c>
      <c r="AJ190" s="596"/>
      <c r="AK190" s="4374">
        <f>SUM(AK191:AK193)</f>
        <v>3755.96</v>
      </c>
      <c r="AL190" s="596"/>
      <c r="AM190" s="801">
        <f t="shared" si="149"/>
        <v>22233.37</v>
      </c>
      <c r="AN190" s="1357"/>
      <c r="AO190" s="2466">
        <f t="shared" si="165"/>
        <v>42750.48</v>
      </c>
      <c r="AP190" s="596"/>
      <c r="AQ190" s="4374">
        <f>SUM(AQ191:AQ193)</f>
        <v>6597.14</v>
      </c>
      <c r="AR190" s="1357"/>
      <c r="AS190" s="2466">
        <f t="shared" ref="AS190:AS201" si="183">+AO190+AQ190</f>
        <v>49347.62</v>
      </c>
      <c r="AT190" s="596"/>
      <c r="AU190" s="4374">
        <f>SUM(AU191:AU193)</f>
        <v>0</v>
      </c>
      <c r="AV190" s="1357"/>
      <c r="AW190" s="2466">
        <f t="shared" ref="AW190:AW201" si="184">+AS190+AU190</f>
        <v>49347.62</v>
      </c>
      <c r="AX190" s="596"/>
      <c r="AY190" s="4374">
        <f>SUM(AY191:AY193)</f>
        <v>6887.73</v>
      </c>
      <c r="AZ190" s="596"/>
      <c r="BA190" s="801">
        <f t="shared" si="150"/>
        <v>13484.869999999999</v>
      </c>
      <c r="BB190" s="596"/>
      <c r="BC190" s="2635">
        <f t="shared" si="151"/>
        <v>35718.239999999998</v>
      </c>
      <c r="BD190" s="1357"/>
      <c r="BE190" s="2466">
        <f t="shared" ref="BE190:BE201" si="185">+AW190+AY190</f>
        <v>56235.350000000006</v>
      </c>
      <c r="BF190" s="26"/>
      <c r="BG190" s="26"/>
      <c r="BH190" s="26"/>
      <c r="BP190" s="26"/>
      <c r="BQ190" s="26"/>
    </row>
    <row r="191" spans="1:69" x14ac:dyDescent="0.25">
      <c r="B191" s="8" t="s">
        <v>955</v>
      </c>
      <c r="C191" s="2656" t="s">
        <v>354</v>
      </c>
      <c r="D191" s="2740"/>
      <c r="E191" s="2740"/>
      <c r="F191" s="2740"/>
      <c r="G191" s="2740"/>
      <c r="H191" s="2676"/>
      <c r="I191" s="3361">
        <f t="shared" si="179"/>
        <v>0</v>
      </c>
      <c r="J191" s="1724"/>
      <c r="K191" s="2740"/>
      <c r="L191" s="596"/>
      <c r="M191" s="801">
        <f t="shared" si="180"/>
        <v>0</v>
      </c>
      <c r="N191" s="596"/>
      <c r="O191" s="2740"/>
      <c r="P191" s="596"/>
      <c r="Q191" s="1658">
        <f t="shared" si="133"/>
        <v>0</v>
      </c>
      <c r="R191" s="596"/>
      <c r="S191" s="2740"/>
      <c r="T191" s="596"/>
      <c r="U191" s="3361">
        <f t="shared" si="171"/>
        <v>0</v>
      </c>
      <c r="V191" s="596"/>
      <c r="W191" s="2740"/>
      <c r="X191" s="596"/>
      <c r="Y191" s="801">
        <f t="shared" si="147"/>
        <v>0</v>
      </c>
      <c r="Z191" s="596"/>
      <c r="AA191" s="2635">
        <f t="shared" si="148"/>
        <v>0</v>
      </c>
      <c r="AB191" s="596"/>
      <c r="AC191" s="2882"/>
      <c r="AD191" s="596"/>
      <c r="AE191" s="587">
        <f t="shared" si="181"/>
        <v>0</v>
      </c>
      <c r="AF191" s="596"/>
      <c r="AG191" s="2882"/>
      <c r="AH191" s="596"/>
      <c r="AI191" s="1181">
        <f t="shared" si="182"/>
        <v>0</v>
      </c>
      <c r="AJ191" s="596"/>
      <c r="AK191" s="2882"/>
      <c r="AL191" s="596"/>
      <c r="AM191" s="801">
        <f t="shared" si="149"/>
        <v>0</v>
      </c>
      <c r="AN191" s="596"/>
      <c r="AO191" s="1181">
        <f t="shared" si="165"/>
        <v>0</v>
      </c>
      <c r="AP191" s="596"/>
      <c r="AQ191" s="2882"/>
      <c r="AR191" s="596"/>
      <c r="AS191" s="1181">
        <f t="shared" si="183"/>
        <v>0</v>
      </c>
      <c r="AT191" s="596"/>
      <c r="AU191" s="2882"/>
      <c r="AV191" s="596"/>
      <c r="AW191" s="1181">
        <f t="shared" si="184"/>
        <v>0</v>
      </c>
      <c r="AX191" s="596"/>
      <c r="AY191" s="2882"/>
      <c r="AZ191" s="596"/>
      <c r="BA191" s="801">
        <f t="shared" si="150"/>
        <v>0</v>
      </c>
      <c r="BB191" s="596"/>
      <c r="BC191" s="2635">
        <f t="shared" si="151"/>
        <v>0</v>
      </c>
      <c r="BD191" s="596"/>
      <c r="BE191" s="182">
        <f t="shared" si="185"/>
        <v>0</v>
      </c>
      <c r="BF191" s="26"/>
      <c r="BG191" s="26"/>
      <c r="BH191" s="26"/>
      <c r="BP191" s="26"/>
      <c r="BQ191" s="26"/>
    </row>
    <row r="192" spans="1:69" x14ac:dyDescent="0.25">
      <c r="B192" s="8" t="s">
        <v>844</v>
      </c>
      <c r="C192" s="2656" t="s">
        <v>354</v>
      </c>
      <c r="D192" s="2740"/>
      <c r="E192" s="2740">
        <v>9995.39</v>
      </c>
      <c r="F192" s="2740"/>
      <c r="G192" s="2740"/>
      <c r="H192" s="2676"/>
      <c r="I192" s="3361">
        <f t="shared" si="179"/>
        <v>9995.39</v>
      </c>
      <c r="J192" s="1724"/>
      <c r="K192" s="2740"/>
      <c r="L192" s="596"/>
      <c r="M192" s="801">
        <f t="shared" si="180"/>
        <v>9995.39</v>
      </c>
      <c r="N192" s="596"/>
      <c r="O192" s="2740"/>
      <c r="P192" s="596"/>
      <c r="Q192" s="1658">
        <f t="shared" si="133"/>
        <v>9995.39</v>
      </c>
      <c r="R192" s="596"/>
      <c r="S192" s="2740"/>
      <c r="T192" s="596"/>
      <c r="U192" s="3361">
        <f t="shared" si="171"/>
        <v>9995.39</v>
      </c>
      <c r="V192" s="596"/>
      <c r="W192" s="2740">
        <v>10521.720000000001</v>
      </c>
      <c r="X192" s="596"/>
      <c r="Y192" s="801">
        <f t="shared" si="147"/>
        <v>10521.720000000001</v>
      </c>
      <c r="Z192" s="596"/>
      <c r="AA192" s="2635">
        <f t="shared" si="148"/>
        <v>20517.11</v>
      </c>
      <c r="AB192" s="596"/>
      <c r="AC192" s="2882">
        <v>0</v>
      </c>
      <c r="AD192" s="596"/>
      <c r="AE192" s="587">
        <f t="shared" si="181"/>
        <v>20517.11</v>
      </c>
      <c r="AF192" s="596"/>
      <c r="AG192" s="2882">
        <v>11564.93</v>
      </c>
      <c r="AH192" s="596"/>
      <c r="AI192" s="182">
        <f t="shared" si="182"/>
        <v>32082.04</v>
      </c>
      <c r="AJ192" s="596"/>
      <c r="AK192" s="2882">
        <v>3755.96</v>
      </c>
      <c r="AL192" s="596"/>
      <c r="AM192" s="801">
        <f t="shared" si="149"/>
        <v>15320.89</v>
      </c>
      <c r="AN192" s="596"/>
      <c r="AO192" s="1181">
        <f t="shared" si="165"/>
        <v>35838</v>
      </c>
      <c r="AP192" s="596"/>
      <c r="AQ192" s="2882">
        <v>6597.14</v>
      </c>
      <c r="AR192" s="596"/>
      <c r="AS192" s="1181">
        <f t="shared" si="183"/>
        <v>42435.14</v>
      </c>
      <c r="AT192" s="596"/>
      <c r="AU192" s="2882"/>
      <c r="AV192" s="596"/>
      <c r="AW192" s="1181">
        <f t="shared" si="184"/>
        <v>42435.14</v>
      </c>
      <c r="AX192" s="596"/>
      <c r="AY192" s="2882">
        <v>6887.73</v>
      </c>
      <c r="AZ192" s="596"/>
      <c r="BA192" s="801">
        <f t="shared" si="150"/>
        <v>13484.869999999999</v>
      </c>
      <c r="BB192" s="596"/>
      <c r="BC192" s="2635">
        <f t="shared" si="151"/>
        <v>28805.759999999998</v>
      </c>
      <c r="BD192" s="596"/>
      <c r="BE192" s="182">
        <f t="shared" si="185"/>
        <v>49322.869999999995</v>
      </c>
      <c r="BF192" s="26"/>
      <c r="BG192" s="26"/>
      <c r="BH192" s="26"/>
      <c r="BP192" s="26"/>
      <c r="BQ192" s="26"/>
    </row>
    <row r="193" spans="1:69" x14ac:dyDescent="0.25">
      <c r="B193" s="8" t="s">
        <v>845</v>
      </c>
      <c r="C193" s="4348"/>
      <c r="D193" s="4354"/>
      <c r="E193" s="4354"/>
      <c r="F193" s="4354"/>
      <c r="G193" s="4354"/>
      <c r="H193" s="4351"/>
      <c r="I193" s="3361"/>
      <c r="J193" s="4355"/>
      <c r="K193" s="4354"/>
      <c r="L193" s="4354"/>
      <c r="M193" s="4356"/>
      <c r="N193" s="4354"/>
      <c r="O193" s="4354"/>
      <c r="P193" s="4354"/>
      <c r="Q193" s="1658">
        <f t="shared" si="133"/>
        <v>0</v>
      </c>
      <c r="R193" s="4354"/>
      <c r="S193" s="4354"/>
      <c r="T193" s="4354"/>
      <c r="U193" s="3361">
        <f t="shared" si="171"/>
        <v>0</v>
      </c>
      <c r="V193" s="4354"/>
      <c r="W193" s="4354"/>
      <c r="X193" s="4354"/>
      <c r="Y193" s="4356"/>
      <c r="Z193" s="4354"/>
      <c r="AA193" s="2635"/>
      <c r="AB193" s="4354"/>
      <c r="AC193" s="4379">
        <v>3813.04</v>
      </c>
      <c r="AD193" s="4354"/>
      <c r="AE193" s="587">
        <f t="shared" si="181"/>
        <v>3813.04</v>
      </c>
      <c r="AF193" s="4354"/>
      <c r="AG193" s="4379">
        <v>3099.44</v>
      </c>
      <c r="AH193" s="4354"/>
      <c r="AI193" s="182">
        <f t="shared" si="182"/>
        <v>6912.48</v>
      </c>
      <c r="AJ193" s="4354"/>
      <c r="AK193" s="4379"/>
      <c r="AL193" s="4354"/>
      <c r="AM193" s="801">
        <f t="shared" ref="AM193:AM200" si="186">+AC193+AG193+AK193</f>
        <v>6912.48</v>
      </c>
      <c r="AN193" s="596"/>
      <c r="AO193" s="1181">
        <f t="shared" ref="AO193:AO200" si="187">AI193+AK193</f>
        <v>6912.48</v>
      </c>
      <c r="AP193" s="4354"/>
      <c r="AQ193" s="4379"/>
      <c r="AR193" s="4354"/>
      <c r="AS193" s="1181">
        <f t="shared" si="183"/>
        <v>6912.48</v>
      </c>
      <c r="AT193" s="4354"/>
      <c r="AU193" s="4379"/>
      <c r="AV193" s="4354"/>
      <c r="AW193" s="1181">
        <f t="shared" si="184"/>
        <v>6912.48</v>
      </c>
      <c r="AX193" s="4354"/>
      <c r="AY193" s="4379"/>
      <c r="AZ193" s="4354"/>
      <c r="BA193" s="801">
        <f t="shared" ref="BA193:BA200" si="188">+AQ193+AU193+AY193</f>
        <v>0</v>
      </c>
      <c r="BB193" s="596"/>
      <c r="BC193" s="2635">
        <f t="shared" ref="BC193:BC200" si="189">BA193+AM193</f>
        <v>6912.48</v>
      </c>
      <c r="BD193" s="4354"/>
      <c r="BE193" s="182">
        <f t="shared" si="185"/>
        <v>6912.48</v>
      </c>
      <c r="BF193" s="26"/>
      <c r="BG193" s="26"/>
      <c r="BH193" s="26"/>
      <c r="BP193" s="26"/>
      <c r="BQ193" s="26"/>
    </row>
    <row r="194" spans="1:69" x14ac:dyDescent="0.25">
      <c r="B194" s="1179" t="s">
        <v>2229</v>
      </c>
      <c r="C194" s="2656" t="s">
        <v>354</v>
      </c>
      <c r="D194" s="2740"/>
      <c r="E194" s="2740">
        <v>133.4</v>
      </c>
      <c r="F194" s="2740"/>
      <c r="G194" s="2740"/>
      <c r="H194" s="2676"/>
      <c r="I194" s="3361">
        <f t="shared" si="179"/>
        <v>133.4</v>
      </c>
      <c r="J194" s="1724"/>
      <c r="K194" s="2740"/>
      <c r="L194" s="2517"/>
      <c r="M194" s="801">
        <f t="shared" si="180"/>
        <v>133.4</v>
      </c>
      <c r="N194" s="2517"/>
      <c r="O194" s="2740"/>
      <c r="P194" s="2517"/>
      <c r="Q194" s="1658">
        <f t="shared" si="133"/>
        <v>133.4</v>
      </c>
      <c r="R194" s="2517"/>
      <c r="S194" s="2740"/>
      <c r="T194" s="2517"/>
      <c r="U194" s="3361">
        <f t="shared" si="171"/>
        <v>133.4</v>
      </c>
      <c r="V194" s="2517"/>
      <c r="W194" s="2740"/>
      <c r="X194" s="2517"/>
      <c r="Y194" s="801">
        <f t="shared" si="147"/>
        <v>0</v>
      </c>
      <c r="Z194" s="2517"/>
      <c r="AA194" s="2635">
        <f t="shared" si="148"/>
        <v>133.4</v>
      </c>
      <c r="AB194" s="2517"/>
      <c r="AC194" s="2882"/>
      <c r="AD194" s="2517"/>
      <c r="AE194" s="587">
        <f t="shared" si="181"/>
        <v>133.4</v>
      </c>
      <c r="AF194" s="2517"/>
      <c r="AG194" s="2882"/>
      <c r="AH194" s="2517"/>
      <c r="AI194" s="182">
        <f t="shared" si="182"/>
        <v>133.4</v>
      </c>
      <c r="AJ194" s="2517"/>
      <c r="AK194" s="2882"/>
      <c r="AL194" s="2517"/>
      <c r="AM194" s="801">
        <f t="shared" si="186"/>
        <v>0</v>
      </c>
      <c r="AN194" s="596"/>
      <c r="AO194" s="1181">
        <f t="shared" si="187"/>
        <v>133.4</v>
      </c>
      <c r="AP194" s="2517"/>
      <c r="AQ194" s="2882"/>
      <c r="AR194" s="2517"/>
      <c r="AS194" s="1181">
        <f t="shared" si="183"/>
        <v>133.4</v>
      </c>
      <c r="AT194" s="2517"/>
      <c r="AU194" s="2882"/>
      <c r="AV194" s="2517"/>
      <c r="AW194" s="1181">
        <f t="shared" si="184"/>
        <v>133.4</v>
      </c>
      <c r="AX194" s="2517"/>
      <c r="AY194" s="2882">
        <v>225.98</v>
      </c>
      <c r="AZ194" s="2517"/>
      <c r="BA194" s="801">
        <f t="shared" si="188"/>
        <v>225.98</v>
      </c>
      <c r="BB194" s="596"/>
      <c r="BC194" s="2635">
        <f t="shared" si="189"/>
        <v>225.98</v>
      </c>
      <c r="BD194" s="2517"/>
      <c r="BE194" s="182">
        <f t="shared" si="185"/>
        <v>359.38</v>
      </c>
      <c r="BF194" s="26"/>
      <c r="BG194" s="26"/>
      <c r="BH194" s="26"/>
      <c r="BP194" s="26"/>
      <c r="BQ194" s="26"/>
    </row>
    <row r="195" spans="1:69" ht="18.75" x14ac:dyDescent="0.25">
      <c r="B195" s="1179" t="s">
        <v>2336</v>
      </c>
      <c r="C195" s="3371" t="s">
        <v>354</v>
      </c>
      <c r="D195" s="2658"/>
      <c r="E195" s="2658"/>
      <c r="F195" s="2658"/>
      <c r="G195" s="2658"/>
      <c r="H195" s="3372"/>
      <c r="I195" s="3373">
        <f t="shared" si="179"/>
        <v>0</v>
      </c>
      <c r="J195" s="740"/>
      <c r="K195" s="2658"/>
      <c r="L195" s="621"/>
      <c r="M195" s="801">
        <f t="shared" si="180"/>
        <v>0</v>
      </c>
      <c r="N195" s="621"/>
      <c r="O195" s="2658"/>
      <c r="P195" s="621"/>
      <c r="Q195" s="1658">
        <f t="shared" si="133"/>
        <v>0</v>
      </c>
      <c r="R195" s="621"/>
      <c r="S195" s="2658">
        <v>1453.58</v>
      </c>
      <c r="T195" s="621"/>
      <c r="U195" s="3361">
        <f t="shared" si="171"/>
        <v>1453.58</v>
      </c>
      <c r="V195" s="621"/>
      <c r="W195" s="2658">
        <v>965.44</v>
      </c>
      <c r="X195" s="621"/>
      <c r="Y195" s="801">
        <f t="shared" si="147"/>
        <v>2419.02</v>
      </c>
      <c r="Z195" s="621"/>
      <c r="AA195" s="2635">
        <f t="shared" si="148"/>
        <v>2419.02</v>
      </c>
      <c r="AB195" s="621"/>
      <c r="AC195" s="3014"/>
      <c r="AD195" s="621"/>
      <c r="AE195" s="587">
        <f t="shared" si="181"/>
        <v>2419.02</v>
      </c>
      <c r="AF195" s="621"/>
      <c r="AG195" s="3014">
        <v>967.46</v>
      </c>
      <c r="AH195" s="621"/>
      <c r="AI195" s="182">
        <f t="shared" si="182"/>
        <v>3386.48</v>
      </c>
      <c r="AJ195" s="621"/>
      <c r="AK195" s="3014"/>
      <c r="AL195" s="621"/>
      <c r="AM195" s="801">
        <f t="shared" si="186"/>
        <v>967.46</v>
      </c>
      <c r="AN195" s="596"/>
      <c r="AO195" s="1181">
        <f t="shared" si="187"/>
        <v>3386.48</v>
      </c>
      <c r="AP195" s="621"/>
      <c r="AQ195" s="3014"/>
      <c r="AR195" s="621"/>
      <c r="AS195" s="1181">
        <f t="shared" si="183"/>
        <v>3386.48</v>
      </c>
      <c r="AT195" s="621"/>
      <c r="AU195" s="3014"/>
      <c r="AV195" s="621"/>
      <c r="AW195" s="1181">
        <f t="shared" si="184"/>
        <v>3386.48</v>
      </c>
      <c r="AX195" s="621"/>
      <c r="AY195" s="3014"/>
      <c r="AZ195" s="621"/>
      <c r="BA195" s="801">
        <f t="shared" si="188"/>
        <v>0</v>
      </c>
      <c r="BB195" s="596"/>
      <c r="BC195" s="2635">
        <f t="shared" si="189"/>
        <v>967.46</v>
      </c>
      <c r="BD195" s="621"/>
      <c r="BE195" s="182">
        <f t="shared" si="185"/>
        <v>3386.48</v>
      </c>
      <c r="BF195" s="26"/>
      <c r="BG195" s="26"/>
      <c r="BH195" s="26"/>
      <c r="BP195" s="26"/>
      <c r="BQ195" s="26"/>
    </row>
    <row r="196" spans="1:69" ht="18.75" x14ac:dyDescent="0.25">
      <c r="B196" s="1179" t="s">
        <v>2230</v>
      </c>
      <c r="C196" s="3371" t="s">
        <v>354</v>
      </c>
      <c r="D196" s="2658"/>
      <c r="E196" s="2658">
        <v>363.06</v>
      </c>
      <c r="F196" s="2658"/>
      <c r="G196" s="2658">
        <v>485.28000000000003</v>
      </c>
      <c r="H196" s="3372"/>
      <c r="I196" s="3373">
        <f>+E196+G196</f>
        <v>848.34</v>
      </c>
      <c r="J196" s="740"/>
      <c r="K196" s="2658">
        <v>341.38</v>
      </c>
      <c r="L196" s="621"/>
      <c r="M196" s="801">
        <f t="shared" si="180"/>
        <v>1189.72</v>
      </c>
      <c r="N196" s="621"/>
      <c r="O196" s="2658"/>
      <c r="P196" s="621"/>
      <c r="Q196" s="1658">
        <f t="shared" si="133"/>
        <v>1189.72</v>
      </c>
      <c r="R196" s="621"/>
      <c r="S196" s="2658"/>
      <c r="T196" s="621"/>
      <c r="U196" s="3361">
        <f t="shared" si="171"/>
        <v>1189.72</v>
      </c>
      <c r="V196" s="621"/>
      <c r="W196" s="2658">
        <v>710.6</v>
      </c>
      <c r="X196" s="621"/>
      <c r="Y196" s="801">
        <f t="shared" si="147"/>
        <v>710.6</v>
      </c>
      <c r="Z196" s="621"/>
      <c r="AA196" s="2635">
        <f t="shared" si="148"/>
        <v>1900.3200000000002</v>
      </c>
      <c r="AB196" s="621"/>
      <c r="AC196" s="3014"/>
      <c r="AD196" s="621"/>
      <c r="AE196" s="587">
        <f t="shared" si="181"/>
        <v>1900.3200000000002</v>
      </c>
      <c r="AF196" s="621"/>
      <c r="AG196" s="3014">
        <v>59.88</v>
      </c>
      <c r="AH196" s="621"/>
      <c r="AI196" s="182">
        <f t="shared" si="182"/>
        <v>1960.2000000000003</v>
      </c>
      <c r="AJ196" s="621"/>
      <c r="AK196" s="3014"/>
      <c r="AL196" s="621"/>
      <c r="AM196" s="801">
        <f t="shared" si="186"/>
        <v>59.88</v>
      </c>
      <c r="AN196" s="596"/>
      <c r="AO196" s="1181">
        <f t="shared" si="187"/>
        <v>1960.2000000000003</v>
      </c>
      <c r="AP196" s="621"/>
      <c r="AQ196" s="3014"/>
      <c r="AR196" s="621"/>
      <c r="AS196" s="1181">
        <f t="shared" si="183"/>
        <v>1960.2000000000003</v>
      </c>
      <c r="AT196" s="621"/>
      <c r="AU196" s="3014"/>
      <c r="AV196" s="621"/>
      <c r="AW196" s="1181">
        <f t="shared" si="184"/>
        <v>1960.2000000000003</v>
      </c>
      <c r="AX196" s="621"/>
      <c r="AY196" s="2882">
        <v>941.62</v>
      </c>
      <c r="AZ196" s="621"/>
      <c r="BA196" s="801">
        <f t="shared" si="188"/>
        <v>941.62</v>
      </c>
      <c r="BB196" s="596"/>
      <c r="BC196" s="2635">
        <f t="shared" si="189"/>
        <v>1001.5</v>
      </c>
      <c r="BD196" s="621"/>
      <c r="BE196" s="182">
        <f t="shared" si="185"/>
        <v>2901.82</v>
      </c>
      <c r="BF196" s="26"/>
      <c r="BG196" s="26"/>
      <c r="BH196" s="26"/>
      <c r="BP196" s="26"/>
      <c r="BQ196" s="26"/>
    </row>
    <row r="197" spans="1:69" ht="18.75" x14ac:dyDescent="0.25">
      <c r="B197" s="2518" t="s">
        <v>2337</v>
      </c>
      <c r="C197" s="2898" t="s">
        <v>354</v>
      </c>
      <c r="D197" s="2899"/>
      <c r="E197" s="2899"/>
      <c r="F197" s="2899"/>
      <c r="G197" s="2899"/>
      <c r="H197" s="2900"/>
      <c r="I197" s="3373">
        <f t="shared" ref="I197:I198" si="190">+E197+G197</f>
        <v>0</v>
      </c>
      <c r="J197" s="3354"/>
      <c r="K197" s="2899"/>
      <c r="L197" s="2899"/>
      <c r="M197" s="801">
        <f t="shared" si="180"/>
        <v>0</v>
      </c>
      <c r="N197" s="2899"/>
      <c r="O197" s="2899">
        <v>64.099999999999994</v>
      </c>
      <c r="P197" s="2899"/>
      <c r="Q197" s="1658">
        <f t="shared" si="133"/>
        <v>64.099999999999994</v>
      </c>
      <c r="R197" s="2899"/>
      <c r="S197" s="2899">
        <v>1485.16</v>
      </c>
      <c r="T197" s="2899"/>
      <c r="U197" s="3361">
        <f t="shared" si="171"/>
        <v>1549.26</v>
      </c>
      <c r="V197" s="2899"/>
      <c r="W197" s="2899"/>
      <c r="X197" s="2899"/>
      <c r="Y197" s="801">
        <f t="shared" si="147"/>
        <v>1549.26</v>
      </c>
      <c r="Z197" s="2899"/>
      <c r="AA197" s="2635">
        <f t="shared" si="148"/>
        <v>1549.26</v>
      </c>
      <c r="AB197" s="2899"/>
      <c r="AC197" s="4380"/>
      <c r="AD197" s="2899"/>
      <c r="AE197" s="256">
        <f t="shared" ref="AE197:AE201" si="191">+AA197+AC197</f>
        <v>1549.26</v>
      </c>
      <c r="AF197" s="2899"/>
      <c r="AG197" s="4380"/>
      <c r="AH197" s="2899"/>
      <c r="AI197" s="182">
        <f t="shared" si="182"/>
        <v>1549.26</v>
      </c>
      <c r="AJ197" s="2899"/>
      <c r="AK197" s="4380"/>
      <c r="AL197" s="2899"/>
      <c r="AM197" s="801">
        <f t="shared" si="186"/>
        <v>0</v>
      </c>
      <c r="AN197" s="596"/>
      <c r="AO197" s="1181">
        <f t="shared" si="187"/>
        <v>1549.26</v>
      </c>
      <c r="AP197" s="2899"/>
      <c r="AQ197" s="4380"/>
      <c r="AR197" s="2899"/>
      <c r="AS197" s="1181">
        <f t="shared" si="183"/>
        <v>1549.26</v>
      </c>
      <c r="AT197" s="2899"/>
      <c r="AU197" s="4380"/>
      <c r="AV197" s="2899"/>
      <c r="AW197" s="1181">
        <f t="shared" si="184"/>
        <v>1549.26</v>
      </c>
      <c r="AX197" s="2899"/>
      <c r="AY197" s="4380"/>
      <c r="AZ197" s="2899"/>
      <c r="BA197" s="801">
        <f t="shared" si="188"/>
        <v>0</v>
      </c>
      <c r="BB197" s="596"/>
      <c r="BC197" s="2635">
        <f t="shared" si="189"/>
        <v>0</v>
      </c>
      <c r="BD197" s="2899"/>
      <c r="BE197" s="182">
        <f t="shared" si="185"/>
        <v>1549.26</v>
      </c>
      <c r="BF197" s="26"/>
      <c r="BG197" s="26"/>
      <c r="BH197" s="26"/>
      <c r="BP197" s="26"/>
      <c r="BQ197" s="26"/>
    </row>
    <row r="198" spans="1:69" ht="18.75" x14ac:dyDescent="0.25">
      <c r="B198" s="2518"/>
      <c r="C198" s="2898" t="s">
        <v>354</v>
      </c>
      <c r="D198" s="2899"/>
      <c r="E198" s="2899"/>
      <c r="F198" s="2899"/>
      <c r="G198" s="2899"/>
      <c r="H198" s="2900"/>
      <c r="I198" s="3373">
        <f t="shared" si="190"/>
        <v>0</v>
      </c>
      <c r="J198" s="3354"/>
      <c r="K198" s="2899"/>
      <c r="L198" s="2899"/>
      <c r="M198" s="801">
        <f t="shared" si="180"/>
        <v>0</v>
      </c>
      <c r="N198" s="2899"/>
      <c r="O198" s="2899"/>
      <c r="P198" s="2899"/>
      <c r="Q198" s="1658">
        <f t="shared" ref="Q198:Q237" si="192">+M198+O198</f>
        <v>0</v>
      </c>
      <c r="R198" s="2899"/>
      <c r="S198" s="2899"/>
      <c r="T198" s="2899"/>
      <c r="U198" s="3361">
        <f t="shared" si="171"/>
        <v>0</v>
      </c>
      <c r="V198" s="2899"/>
      <c r="W198" s="2899"/>
      <c r="X198" s="2899"/>
      <c r="Y198" s="801">
        <f t="shared" si="147"/>
        <v>0</v>
      </c>
      <c r="Z198" s="2899"/>
      <c r="AA198" s="2635">
        <f t="shared" si="148"/>
        <v>0</v>
      </c>
      <c r="AB198" s="2899"/>
      <c r="AC198" s="4380"/>
      <c r="AD198" s="2899"/>
      <c r="AE198" s="256">
        <f t="shared" si="191"/>
        <v>0</v>
      </c>
      <c r="AF198" s="2899"/>
      <c r="AG198" s="4380"/>
      <c r="AH198" s="2899"/>
      <c r="AI198" s="182">
        <f t="shared" si="182"/>
        <v>0</v>
      </c>
      <c r="AJ198" s="2899"/>
      <c r="AK198" s="4380"/>
      <c r="AL198" s="2899"/>
      <c r="AM198" s="801">
        <f t="shared" si="186"/>
        <v>0</v>
      </c>
      <c r="AN198" s="596"/>
      <c r="AO198" s="1181">
        <f t="shared" si="187"/>
        <v>0</v>
      </c>
      <c r="AP198" s="2899"/>
      <c r="AQ198" s="4380"/>
      <c r="AR198" s="2899"/>
      <c r="AS198" s="1181">
        <f t="shared" si="183"/>
        <v>0</v>
      </c>
      <c r="AT198" s="2899"/>
      <c r="AU198" s="4380"/>
      <c r="AV198" s="2899"/>
      <c r="AW198" s="1181">
        <f t="shared" si="184"/>
        <v>0</v>
      </c>
      <c r="AX198" s="2899"/>
      <c r="AY198" s="4380"/>
      <c r="AZ198" s="2899"/>
      <c r="BA198" s="801">
        <f t="shared" si="188"/>
        <v>0</v>
      </c>
      <c r="BB198" s="596"/>
      <c r="BC198" s="2635">
        <f t="shared" si="189"/>
        <v>0</v>
      </c>
      <c r="BD198" s="2899"/>
      <c r="BE198" s="182">
        <f t="shared" si="185"/>
        <v>0</v>
      </c>
      <c r="BF198" s="26"/>
      <c r="BG198" s="26"/>
      <c r="BH198" s="26"/>
      <c r="BP198" s="26"/>
      <c r="BQ198" s="26"/>
    </row>
    <row r="199" spans="1:69" ht="18.75" x14ac:dyDescent="0.25">
      <c r="B199" s="2518" t="s">
        <v>2362</v>
      </c>
      <c r="C199" s="2898" t="s">
        <v>354</v>
      </c>
      <c r="D199" s="2899"/>
      <c r="E199" s="2899"/>
      <c r="F199" s="2899"/>
      <c r="G199" s="2899"/>
      <c r="H199" s="2900"/>
      <c r="I199" s="3361">
        <f t="shared" si="179"/>
        <v>0</v>
      </c>
      <c r="J199" s="3354"/>
      <c r="K199" s="2899"/>
      <c r="L199" s="2519"/>
      <c r="M199" s="801">
        <f t="shared" si="180"/>
        <v>0</v>
      </c>
      <c r="N199" s="2519"/>
      <c r="O199" s="2899"/>
      <c r="P199" s="2519"/>
      <c r="Q199" s="1658">
        <f t="shared" si="192"/>
        <v>0</v>
      </c>
      <c r="R199" s="2519"/>
      <c r="S199" s="2899"/>
      <c r="T199" s="2519"/>
      <c r="U199" s="3361">
        <f t="shared" si="171"/>
        <v>0</v>
      </c>
      <c r="V199" s="2519"/>
      <c r="W199" s="2899">
        <v>693.72</v>
      </c>
      <c r="X199" s="2519"/>
      <c r="Y199" s="801">
        <f t="shared" si="147"/>
        <v>693.72</v>
      </c>
      <c r="Z199" s="2519"/>
      <c r="AA199" s="2635">
        <f t="shared" si="148"/>
        <v>693.72</v>
      </c>
      <c r="AB199" s="2519"/>
      <c r="AC199" s="4380"/>
      <c r="AD199" s="2519"/>
      <c r="AE199" s="256">
        <f t="shared" si="191"/>
        <v>693.72</v>
      </c>
      <c r="AF199" s="2519"/>
      <c r="AG199" s="4380">
        <v>659.04</v>
      </c>
      <c r="AH199" s="2519"/>
      <c r="AI199" s="182">
        <f t="shared" si="182"/>
        <v>1352.76</v>
      </c>
      <c r="AJ199" s="2519"/>
      <c r="AK199" s="4380"/>
      <c r="AL199" s="2519"/>
      <c r="AM199" s="801">
        <f t="shared" si="186"/>
        <v>659.04</v>
      </c>
      <c r="AN199" s="596"/>
      <c r="AO199" s="1181">
        <f t="shared" si="187"/>
        <v>1352.76</v>
      </c>
      <c r="AP199" s="2519"/>
      <c r="AQ199" s="4380">
        <v>1774.08</v>
      </c>
      <c r="AR199" s="2519"/>
      <c r="AS199" s="1181">
        <f t="shared" si="183"/>
        <v>3126.84</v>
      </c>
      <c r="AT199" s="2519"/>
      <c r="AU199" s="4380">
        <v>817.8599999999999</v>
      </c>
      <c r="AV199" s="2519"/>
      <c r="AW199" s="1181">
        <f t="shared" si="184"/>
        <v>3944.7</v>
      </c>
      <c r="AX199" s="2519"/>
      <c r="AY199" s="4380"/>
      <c r="AZ199" s="2519"/>
      <c r="BA199" s="801">
        <f t="shared" si="188"/>
        <v>2591.9399999999996</v>
      </c>
      <c r="BB199" s="596"/>
      <c r="BC199" s="2635">
        <f t="shared" si="189"/>
        <v>3250.9799999999996</v>
      </c>
      <c r="BD199" s="2519"/>
      <c r="BE199" s="182">
        <f t="shared" si="185"/>
        <v>3944.7</v>
      </c>
      <c r="BF199" s="26"/>
      <c r="BG199" s="26"/>
      <c r="BH199" s="26"/>
      <c r="BP199" s="26"/>
      <c r="BQ199" s="26"/>
    </row>
    <row r="200" spans="1:69" ht="17.45" hidden="1" x14ac:dyDescent="0.3">
      <c r="B200" s="2518" t="s">
        <v>1126</v>
      </c>
      <c r="C200" s="2898" t="s">
        <v>354</v>
      </c>
      <c r="D200" s="2899"/>
      <c r="E200" s="2899"/>
      <c r="F200" s="2899"/>
      <c r="G200" s="2899"/>
      <c r="H200" s="2900"/>
      <c r="I200" s="3361"/>
      <c r="J200" s="3354"/>
      <c r="K200" s="2899"/>
      <c r="L200" s="2899"/>
      <c r="M200" s="3956"/>
      <c r="N200" s="2899"/>
      <c r="O200" s="2899"/>
      <c r="P200" s="2899"/>
      <c r="Q200" s="1658">
        <f t="shared" si="192"/>
        <v>0</v>
      </c>
      <c r="R200" s="2899"/>
      <c r="S200" s="2899"/>
      <c r="T200" s="2899"/>
      <c r="U200" s="3361">
        <f t="shared" si="171"/>
        <v>0</v>
      </c>
      <c r="V200" s="2899"/>
      <c r="W200" s="2899"/>
      <c r="X200" s="2899"/>
      <c r="Y200" s="801">
        <f t="shared" si="147"/>
        <v>0</v>
      </c>
      <c r="Z200" s="2899"/>
      <c r="AA200" s="2635">
        <f t="shared" si="148"/>
        <v>0</v>
      </c>
      <c r="AB200" s="2899"/>
      <c r="AC200" s="4380"/>
      <c r="AD200" s="2899"/>
      <c r="AE200" s="256">
        <f t="shared" si="191"/>
        <v>0</v>
      </c>
      <c r="AF200" s="2899"/>
      <c r="AG200" s="4380">
        <v>64.02</v>
      </c>
      <c r="AH200" s="2899"/>
      <c r="AI200" s="182">
        <f t="shared" si="182"/>
        <v>64.02</v>
      </c>
      <c r="AJ200" s="2899"/>
      <c r="AK200" s="4380"/>
      <c r="AL200" s="2899"/>
      <c r="AM200" s="801">
        <f t="shared" si="186"/>
        <v>64.02</v>
      </c>
      <c r="AN200" s="596"/>
      <c r="AO200" s="1181">
        <f t="shared" si="187"/>
        <v>64.02</v>
      </c>
      <c r="AP200" s="2899"/>
      <c r="AQ200" s="4380"/>
      <c r="AR200" s="2899"/>
      <c r="AS200" s="1181">
        <f t="shared" si="183"/>
        <v>64.02</v>
      </c>
      <c r="AT200" s="2899"/>
      <c r="AU200" s="4380"/>
      <c r="AV200" s="2899"/>
      <c r="AW200" s="1181">
        <f t="shared" si="184"/>
        <v>64.02</v>
      </c>
      <c r="AX200" s="2899"/>
      <c r="AY200" s="4380"/>
      <c r="AZ200" s="2899"/>
      <c r="BA200" s="801">
        <f t="shared" si="188"/>
        <v>0</v>
      </c>
      <c r="BB200" s="596"/>
      <c r="BC200" s="2635">
        <f t="shared" si="189"/>
        <v>64.02</v>
      </c>
      <c r="BD200" s="2899"/>
      <c r="BE200" s="182">
        <f t="shared" si="185"/>
        <v>64.02</v>
      </c>
      <c r="BF200" s="26"/>
      <c r="BG200" s="26"/>
      <c r="BH200" s="26"/>
      <c r="BP200" s="26"/>
      <c r="BQ200" s="26"/>
    </row>
    <row r="201" spans="1:69" ht="18" hidden="1" thickBot="1" x14ac:dyDescent="0.35">
      <c r="B201" s="3244" t="s">
        <v>1674</v>
      </c>
      <c r="C201" s="2436" t="s">
        <v>354</v>
      </c>
      <c r="D201" s="2437"/>
      <c r="E201" s="2437"/>
      <c r="F201" s="2437"/>
      <c r="G201" s="2437"/>
      <c r="H201" s="2467"/>
      <c r="I201" s="3374">
        <f t="shared" si="179"/>
        <v>0</v>
      </c>
      <c r="J201" s="3183"/>
      <c r="K201" s="2437"/>
      <c r="L201" s="2437"/>
      <c r="M201" s="801">
        <f t="shared" si="180"/>
        <v>0</v>
      </c>
      <c r="N201" s="2437"/>
      <c r="O201" s="2437"/>
      <c r="P201" s="2437"/>
      <c r="Q201" s="1658">
        <f t="shared" si="192"/>
        <v>0</v>
      </c>
      <c r="R201" s="2437"/>
      <c r="S201" s="2437"/>
      <c r="T201" s="2437"/>
      <c r="U201" s="3361">
        <f t="shared" si="171"/>
        <v>0</v>
      </c>
      <c r="V201" s="2437"/>
      <c r="W201" s="2437"/>
      <c r="X201" s="2437"/>
      <c r="Y201" s="2272">
        <f t="shared" si="147"/>
        <v>0</v>
      </c>
      <c r="Z201" s="2437"/>
      <c r="AA201" s="2635">
        <f t="shared" si="148"/>
        <v>0</v>
      </c>
      <c r="AB201" s="2437"/>
      <c r="AC201" s="2986"/>
      <c r="AD201" s="2437"/>
      <c r="AE201" s="256">
        <f t="shared" si="191"/>
        <v>0</v>
      </c>
      <c r="AF201" s="2437"/>
      <c r="AG201" s="2986"/>
      <c r="AH201" s="2437"/>
      <c r="AI201" s="182">
        <f>+AE201+AG201</f>
        <v>0</v>
      </c>
      <c r="AJ201" s="2437"/>
      <c r="AK201" s="2986"/>
      <c r="AL201" s="2437"/>
      <c r="AM201" s="2272">
        <f t="shared" si="149"/>
        <v>0</v>
      </c>
      <c r="AN201" s="2437"/>
      <c r="AO201" s="182">
        <f t="shared" si="165"/>
        <v>0</v>
      </c>
      <c r="AP201" s="2437"/>
      <c r="AQ201" s="2986"/>
      <c r="AR201" s="2437"/>
      <c r="AS201" s="1181">
        <f t="shared" si="183"/>
        <v>0</v>
      </c>
      <c r="AT201" s="2437"/>
      <c r="AU201" s="2986"/>
      <c r="AV201" s="2437"/>
      <c r="AW201" s="1181">
        <f t="shared" si="184"/>
        <v>0</v>
      </c>
      <c r="AX201" s="2437"/>
      <c r="AY201" s="2986"/>
      <c r="AZ201" s="2437"/>
      <c r="BA201" s="2272">
        <f t="shared" si="150"/>
        <v>0</v>
      </c>
      <c r="BB201" s="2437"/>
      <c r="BC201" s="2635">
        <f t="shared" si="151"/>
        <v>0</v>
      </c>
      <c r="BD201" s="2437"/>
      <c r="BE201" s="182">
        <f t="shared" si="185"/>
        <v>0</v>
      </c>
      <c r="BF201" s="26"/>
      <c r="BG201" s="26"/>
      <c r="BH201" s="26"/>
      <c r="BP201" s="26"/>
      <c r="BQ201" s="26"/>
    </row>
    <row r="202" spans="1:69" ht="16.5" thickBot="1" x14ac:dyDescent="0.3">
      <c r="A202" s="149"/>
      <c r="B202" s="336"/>
      <c r="C202" s="149"/>
      <c r="D202" s="150"/>
      <c r="AA202">
        <f t="shared" si="148"/>
        <v>0</v>
      </c>
      <c r="AM202" s="152"/>
      <c r="AW202"/>
      <c r="BA202" s="152"/>
      <c r="BE202" s="33"/>
      <c r="BF202" s="26"/>
      <c r="BG202" s="26"/>
      <c r="BH202" s="26"/>
      <c r="BP202" s="26"/>
      <c r="BQ202" s="26"/>
    </row>
    <row r="203" spans="1:69" ht="25.5" customHeight="1" x14ac:dyDescent="0.25">
      <c r="A203" s="149"/>
      <c r="B203" s="5837" t="s">
        <v>1115</v>
      </c>
      <c r="C203" s="5838"/>
      <c r="D203" s="1599"/>
      <c r="E203" s="2779"/>
      <c r="F203" s="2779"/>
      <c r="G203" s="2779"/>
      <c r="H203" s="2779"/>
      <c r="I203" s="2779"/>
      <c r="J203" s="2779"/>
      <c r="K203" s="2779"/>
      <c r="L203" s="2779"/>
      <c r="M203" s="2780"/>
      <c r="N203" s="2779"/>
      <c r="O203" s="2779"/>
      <c r="P203" s="2779"/>
      <c r="Q203" s="2779"/>
      <c r="R203" s="979"/>
      <c r="S203" s="2779"/>
      <c r="T203" s="2779"/>
      <c r="U203" s="2779"/>
      <c r="V203" s="979"/>
      <c r="W203" s="2779"/>
      <c r="X203" s="2779"/>
      <c r="Y203" s="2780"/>
      <c r="Z203" s="979"/>
      <c r="AA203" s="979"/>
      <c r="AB203" s="979"/>
      <c r="AC203" s="2779"/>
      <c r="AD203" s="2779"/>
      <c r="AE203" s="2781"/>
      <c r="AF203" s="979"/>
      <c r="AG203" s="2779"/>
      <c r="AH203" s="2779"/>
      <c r="AI203" s="2781"/>
      <c r="AJ203" s="979"/>
      <c r="AK203" s="2779"/>
      <c r="AL203" s="2779"/>
      <c r="AM203" s="2780"/>
      <c r="AN203" s="2779"/>
      <c r="AO203" s="2781"/>
      <c r="AP203" s="979"/>
      <c r="AQ203" s="2779"/>
      <c r="AR203" s="2779"/>
      <c r="AS203" s="2781"/>
      <c r="AT203" s="979"/>
      <c r="AU203" s="2779"/>
      <c r="AV203" s="2779"/>
      <c r="AW203" s="2781"/>
      <c r="AX203" s="979"/>
      <c r="AY203" s="979"/>
      <c r="AZ203" s="979"/>
      <c r="BA203" s="2780"/>
      <c r="BB203" s="979"/>
      <c r="BC203" s="979"/>
      <c r="BD203" s="2779"/>
      <c r="BE203" s="2782"/>
      <c r="BF203" s="26"/>
      <c r="BG203" s="26"/>
      <c r="BH203" s="26"/>
      <c r="BP203" s="26"/>
      <c r="BQ203" s="26"/>
    </row>
    <row r="204" spans="1:69" ht="18.75" customHeight="1" x14ac:dyDescent="0.25">
      <c r="A204" s="149"/>
      <c r="B204" s="4850" t="s">
        <v>342</v>
      </c>
      <c r="C204" s="4851" t="s">
        <v>354</v>
      </c>
      <c r="D204" s="4852"/>
      <c r="E204" s="4853">
        <f>E205+E206+E207+E208</f>
        <v>0</v>
      </c>
      <c r="F204" s="4853">
        <v>0</v>
      </c>
      <c r="G204" s="4853">
        <f t="shared" ref="G204:BF204" si="193">G205+G206+G207+G208</f>
        <v>2041.5</v>
      </c>
      <c r="H204" s="4854">
        <f t="shared" si="193"/>
        <v>0</v>
      </c>
      <c r="I204" s="3373">
        <f t="shared" si="193"/>
        <v>2041.5</v>
      </c>
      <c r="J204" s="4853">
        <f t="shared" si="193"/>
        <v>0</v>
      </c>
      <c r="K204" s="4853">
        <f t="shared" si="193"/>
        <v>0</v>
      </c>
      <c r="L204" s="4853">
        <f t="shared" si="193"/>
        <v>0</v>
      </c>
      <c r="M204" s="4855">
        <f t="shared" si="193"/>
        <v>2041.5</v>
      </c>
      <c r="N204" s="4853">
        <f t="shared" si="193"/>
        <v>0</v>
      </c>
      <c r="O204" s="4853">
        <f t="shared" si="193"/>
        <v>0</v>
      </c>
      <c r="P204" s="4853">
        <f t="shared" si="193"/>
        <v>0</v>
      </c>
      <c r="Q204" s="1658">
        <f t="shared" si="193"/>
        <v>2041.5</v>
      </c>
      <c r="R204" s="4856">
        <f t="shared" si="193"/>
        <v>0</v>
      </c>
      <c r="S204" s="4853">
        <f t="shared" si="193"/>
        <v>2542.38</v>
      </c>
      <c r="T204" s="4853">
        <f t="shared" si="193"/>
        <v>0</v>
      </c>
      <c r="U204" s="1658">
        <f t="shared" si="193"/>
        <v>4583.88</v>
      </c>
      <c r="V204" s="4856">
        <f t="shared" si="193"/>
        <v>0</v>
      </c>
      <c r="W204" s="4853">
        <f t="shared" ref="W204" si="194">W205+W206+W207+W208</f>
        <v>9859.31</v>
      </c>
      <c r="X204" s="4853">
        <f t="shared" si="193"/>
        <v>0</v>
      </c>
      <c r="Y204" s="4855">
        <f t="shared" ref="Y204:Y237" si="195">+O204+S204+W204</f>
        <v>12401.689999999999</v>
      </c>
      <c r="Z204" s="4857"/>
      <c r="AA204" s="4858">
        <f t="shared" ref="AA204:AA237" si="196">M204+Y204</f>
        <v>14443.189999999999</v>
      </c>
      <c r="AB204" s="4856">
        <f t="shared" si="193"/>
        <v>0</v>
      </c>
      <c r="AC204" s="4859">
        <f t="shared" si="193"/>
        <v>9182.4</v>
      </c>
      <c r="AD204" s="4853">
        <f t="shared" si="193"/>
        <v>0</v>
      </c>
      <c r="AE204" s="4860">
        <f t="shared" si="193"/>
        <v>50107.25</v>
      </c>
      <c r="AF204" s="4856">
        <f t="shared" si="193"/>
        <v>0</v>
      </c>
      <c r="AG204" s="4859">
        <f t="shared" si="193"/>
        <v>73</v>
      </c>
      <c r="AH204" s="4853">
        <f t="shared" si="193"/>
        <v>0</v>
      </c>
      <c r="AI204" s="4860">
        <f t="shared" si="193"/>
        <v>50180.25</v>
      </c>
      <c r="AJ204" s="4856">
        <f t="shared" si="193"/>
        <v>0</v>
      </c>
      <c r="AK204" s="4859">
        <f t="shared" si="193"/>
        <v>2135</v>
      </c>
      <c r="AL204" s="4857">
        <f t="shared" si="193"/>
        <v>0</v>
      </c>
      <c r="AM204" s="4855">
        <f t="shared" si="193"/>
        <v>11390.4</v>
      </c>
      <c r="AN204" s="4853">
        <f t="shared" si="193"/>
        <v>0</v>
      </c>
      <c r="AO204" s="4860">
        <f t="shared" si="193"/>
        <v>52315.25</v>
      </c>
      <c r="AP204" s="4856">
        <f t="shared" si="193"/>
        <v>0</v>
      </c>
      <c r="AQ204" s="4859">
        <f t="shared" si="193"/>
        <v>2282</v>
      </c>
      <c r="AR204" s="4853">
        <f t="shared" si="193"/>
        <v>0</v>
      </c>
      <c r="AS204" s="4860">
        <f t="shared" si="193"/>
        <v>54597.25</v>
      </c>
      <c r="AT204" s="4856">
        <f t="shared" si="193"/>
        <v>0</v>
      </c>
      <c r="AU204" s="4859">
        <f t="shared" si="193"/>
        <v>0</v>
      </c>
      <c r="AV204" s="4853">
        <f t="shared" si="193"/>
        <v>0</v>
      </c>
      <c r="AW204" s="4860">
        <f t="shared" si="193"/>
        <v>54597.25</v>
      </c>
      <c r="AX204" s="4856">
        <f t="shared" si="193"/>
        <v>0</v>
      </c>
      <c r="AY204" s="4853">
        <f t="shared" si="193"/>
        <v>2541</v>
      </c>
      <c r="AZ204" s="4857">
        <f t="shared" si="193"/>
        <v>0</v>
      </c>
      <c r="BA204" s="4855">
        <f t="shared" si="193"/>
        <v>4823</v>
      </c>
      <c r="BB204" s="4857">
        <f t="shared" si="193"/>
        <v>0</v>
      </c>
      <c r="BC204" s="4858">
        <f t="shared" si="193"/>
        <v>16213.4</v>
      </c>
      <c r="BD204" s="4853">
        <f t="shared" si="193"/>
        <v>0</v>
      </c>
      <c r="BE204" s="4860">
        <f t="shared" si="193"/>
        <v>57138.25</v>
      </c>
      <c r="BF204" s="26">
        <f t="shared" si="193"/>
        <v>0</v>
      </c>
      <c r="BG204" s="26"/>
      <c r="BH204" s="26"/>
      <c r="BP204" s="26"/>
      <c r="BQ204" s="26"/>
    </row>
    <row r="205" spans="1:69" ht="15.75" customHeight="1" x14ac:dyDescent="0.25">
      <c r="A205" s="149"/>
      <c r="B205" s="4861" t="s">
        <v>845</v>
      </c>
      <c r="C205" s="4862" t="s">
        <v>354</v>
      </c>
      <c r="D205" s="4862"/>
      <c r="E205" s="4857"/>
      <c r="F205" s="4857"/>
      <c r="G205" s="4857">
        <v>2041.5</v>
      </c>
      <c r="H205" s="4863"/>
      <c r="I205" s="3373">
        <f t="shared" ref="I205:I241" si="197">+E205+G205</f>
        <v>2041.5</v>
      </c>
      <c r="J205" s="4857"/>
      <c r="K205" s="4857"/>
      <c r="L205" s="4857"/>
      <c r="M205" s="4855">
        <f t="shared" ref="M205:M237" si="198">I205+K205</f>
        <v>2041.5</v>
      </c>
      <c r="N205" s="4857"/>
      <c r="O205" s="4857"/>
      <c r="P205" s="4857"/>
      <c r="Q205" s="1658">
        <f t="shared" si="192"/>
        <v>2041.5</v>
      </c>
      <c r="R205" s="4856"/>
      <c r="S205" s="4857">
        <v>0</v>
      </c>
      <c r="T205" s="4857"/>
      <c r="U205" s="1658">
        <f t="shared" ref="U205:U237" si="199">+Q205+S205</f>
        <v>2041.5</v>
      </c>
      <c r="V205" s="4856"/>
      <c r="W205" s="4857"/>
      <c r="X205" s="4857"/>
      <c r="Y205" s="4855">
        <f t="shared" si="195"/>
        <v>0</v>
      </c>
      <c r="Z205" s="4857"/>
      <c r="AA205" s="4864">
        <f t="shared" si="196"/>
        <v>2041.5</v>
      </c>
      <c r="AB205" s="4856"/>
      <c r="AC205" s="4865">
        <v>4379</v>
      </c>
      <c r="AD205" s="4857"/>
      <c r="AE205" s="4866">
        <v>40652.1</v>
      </c>
      <c r="AF205" s="4856"/>
      <c r="AG205" s="4865">
        <v>73</v>
      </c>
      <c r="AH205" s="4857"/>
      <c r="AI205" s="4866">
        <v>40725.1</v>
      </c>
      <c r="AJ205" s="4856"/>
      <c r="AK205" s="4865">
        <v>2135</v>
      </c>
      <c r="AL205" s="4857"/>
      <c r="AM205" s="4855">
        <v>6587</v>
      </c>
      <c r="AN205" s="4857"/>
      <c r="AO205" s="4866">
        <v>42860.1</v>
      </c>
      <c r="AP205" s="4856"/>
      <c r="AQ205" s="4865">
        <v>2164</v>
      </c>
      <c r="AR205" s="4857"/>
      <c r="AS205" s="4866">
        <v>45024.1</v>
      </c>
      <c r="AT205" s="4856"/>
      <c r="AU205" s="4865"/>
      <c r="AV205" s="4857"/>
      <c r="AW205" s="4866">
        <v>45024.1</v>
      </c>
      <c r="AX205" s="4856"/>
      <c r="AY205" s="4857">
        <v>2365</v>
      </c>
      <c r="AZ205" s="4857"/>
      <c r="BA205" s="4855">
        <v>4529</v>
      </c>
      <c r="BB205" s="4857"/>
      <c r="BC205" s="4864">
        <v>11116</v>
      </c>
      <c r="BD205" s="4857"/>
      <c r="BE205" s="4867">
        <v>47389.1</v>
      </c>
      <c r="BF205" s="26"/>
      <c r="BG205" s="26"/>
      <c r="BH205" s="26"/>
      <c r="BP205" s="26"/>
      <c r="BQ205" s="26"/>
    </row>
    <row r="206" spans="1:69" ht="15.75" customHeight="1" x14ac:dyDescent="0.25">
      <c r="A206" s="149"/>
      <c r="B206" s="4861" t="s">
        <v>844</v>
      </c>
      <c r="C206" s="4862" t="s">
        <v>354</v>
      </c>
      <c r="D206" s="4862"/>
      <c r="E206" s="4857"/>
      <c r="F206" s="4857"/>
      <c r="G206" s="4857"/>
      <c r="H206" s="4863"/>
      <c r="I206" s="3373">
        <f t="shared" si="197"/>
        <v>0</v>
      </c>
      <c r="J206" s="4857"/>
      <c r="K206" s="4857"/>
      <c r="L206" s="4857"/>
      <c r="M206" s="4855">
        <f t="shared" si="198"/>
        <v>0</v>
      </c>
      <c r="N206" s="4857"/>
      <c r="O206" s="4857"/>
      <c r="P206" s="4857"/>
      <c r="Q206" s="1658">
        <f t="shared" si="192"/>
        <v>0</v>
      </c>
      <c r="R206" s="4856"/>
      <c r="S206" s="4857"/>
      <c r="T206" s="4857"/>
      <c r="U206" s="1658">
        <f t="shared" si="199"/>
        <v>0</v>
      </c>
      <c r="V206" s="4856"/>
      <c r="W206" s="4857">
        <v>4878.29</v>
      </c>
      <c r="X206" s="4857"/>
      <c r="Y206" s="4855">
        <f t="shared" si="195"/>
        <v>4878.29</v>
      </c>
      <c r="Z206" s="4857"/>
      <c r="AA206" s="4864">
        <f t="shared" si="196"/>
        <v>4878.29</v>
      </c>
      <c r="AB206" s="4856"/>
      <c r="AC206" s="4865">
        <v>4803.3999999999996</v>
      </c>
      <c r="AD206" s="4857"/>
      <c r="AE206" s="4866">
        <v>9414.15</v>
      </c>
      <c r="AF206" s="4856"/>
      <c r="AG206" s="4865"/>
      <c r="AH206" s="4857"/>
      <c r="AI206" s="4866">
        <v>9414.15</v>
      </c>
      <c r="AJ206" s="4856"/>
      <c r="AK206" s="4865"/>
      <c r="AL206" s="4857"/>
      <c r="AM206" s="4855">
        <v>4803.3999999999996</v>
      </c>
      <c r="AN206" s="4857"/>
      <c r="AO206" s="4866">
        <v>9414.15</v>
      </c>
      <c r="AP206" s="4856"/>
      <c r="AQ206" s="4865">
        <v>118</v>
      </c>
      <c r="AR206" s="4857"/>
      <c r="AS206" s="4866">
        <v>9532.15</v>
      </c>
      <c r="AT206" s="4856"/>
      <c r="AU206" s="4865"/>
      <c r="AV206" s="4857"/>
      <c r="AW206" s="4866">
        <v>9532.15</v>
      </c>
      <c r="AX206" s="4856"/>
      <c r="AY206" s="4857">
        <v>176</v>
      </c>
      <c r="AZ206" s="4857"/>
      <c r="BA206" s="4855">
        <v>294</v>
      </c>
      <c r="BB206" s="4857"/>
      <c r="BC206" s="4864">
        <v>5097.3999999999996</v>
      </c>
      <c r="BD206" s="4857"/>
      <c r="BE206" s="4867">
        <v>9708.15</v>
      </c>
      <c r="BF206" s="26"/>
      <c r="BG206" s="26"/>
      <c r="BH206" s="26"/>
      <c r="BP206" s="26"/>
      <c r="BQ206" s="26"/>
    </row>
    <row r="207" spans="1:69" ht="15.75" customHeight="1" x14ac:dyDescent="0.25">
      <c r="A207" s="149"/>
      <c r="B207" s="4861" t="s">
        <v>955</v>
      </c>
      <c r="C207" s="4862" t="s">
        <v>354</v>
      </c>
      <c r="D207" s="4862"/>
      <c r="E207" s="4857"/>
      <c r="F207" s="4857"/>
      <c r="G207" s="4857"/>
      <c r="H207" s="4857"/>
      <c r="I207" s="3373">
        <f t="shared" si="197"/>
        <v>0</v>
      </c>
      <c r="J207" s="4857"/>
      <c r="K207" s="4857"/>
      <c r="L207" s="4857"/>
      <c r="M207" s="4855">
        <f t="shared" si="198"/>
        <v>0</v>
      </c>
      <c r="N207" s="4857"/>
      <c r="O207" s="4857"/>
      <c r="P207" s="4857"/>
      <c r="Q207" s="1658">
        <f t="shared" si="192"/>
        <v>0</v>
      </c>
      <c r="R207" s="4856"/>
      <c r="S207" s="4857"/>
      <c r="T207" s="4857"/>
      <c r="U207" s="1658">
        <f t="shared" si="199"/>
        <v>0</v>
      </c>
      <c r="V207" s="4856"/>
      <c r="W207" s="4857">
        <v>2391.88</v>
      </c>
      <c r="X207" s="4857"/>
      <c r="Y207" s="4855">
        <f t="shared" si="195"/>
        <v>2391.88</v>
      </c>
      <c r="Z207" s="4857"/>
      <c r="AA207" s="4864">
        <f t="shared" si="196"/>
        <v>2391.88</v>
      </c>
      <c r="AB207" s="4856"/>
      <c r="AC207" s="4865"/>
      <c r="AD207" s="4857"/>
      <c r="AE207" s="4866">
        <v>41</v>
      </c>
      <c r="AF207" s="4856"/>
      <c r="AG207" s="4865"/>
      <c r="AH207" s="4857"/>
      <c r="AI207" s="4866">
        <v>41</v>
      </c>
      <c r="AJ207" s="4856"/>
      <c r="AK207" s="4865"/>
      <c r="AL207" s="4857"/>
      <c r="AM207" s="4855">
        <v>0</v>
      </c>
      <c r="AN207" s="4857"/>
      <c r="AO207" s="4866">
        <v>41</v>
      </c>
      <c r="AP207" s="4856"/>
      <c r="AQ207" s="4865"/>
      <c r="AR207" s="4857"/>
      <c r="AS207" s="4866">
        <v>41</v>
      </c>
      <c r="AT207" s="4856"/>
      <c r="AU207" s="4865"/>
      <c r="AV207" s="4857"/>
      <c r="AW207" s="4866">
        <v>41</v>
      </c>
      <c r="AX207" s="4856"/>
      <c r="AY207" s="4857"/>
      <c r="AZ207" s="4857"/>
      <c r="BA207" s="4855">
        <v>0</v>
      </c>
      <c r="BB207" s="4857"/>
      <c r="BC207" s="4864">
        <v>0</v>
      </c>
      <c r="BD207" s="4857"/>
      <c r="BE207" s="4867">
        <v>41</v>
      </c>
      <c r="BF207" s="26"/>
      <c r="BG207" s="26"/>
      <c r="BH207" s="26"/>
      <c r="BP207" s="26"/>
      <c r="BQ207" s="26"/>
    </row>
    <row r="208" spans="1:69" ht="15.75" customHeight="1" x14ac:dyDescent="0.25">
      <c r="A208" s="149"/>
      <c r="B208" s="4861" t="s">
        <v>1694</v>
      </c>
      <c r="C208" s="4862"/>
      <c r="D208" s="4862"/>
      <c r="E208" s="4857"/>
      <c r="F208" s="4857"/>
      <c r="G208" s="4857">
        <v>0</v>
      </c>
      <c r="H208" s="4857"/>
      <c r="I208" s="3373">
        <f t="shared" si="197"/>
        <v>0</v>
      </c>
      <c r="J208" s="4857"/>
      <c r="K208" s="4857"/>
      <c r="L208" s="4857"/>
      <c r="M208" s="4855">
        <f t="shared" si="198"/>
        <v>0</v>
      </c>
      <c r="N208" s="4857"/>
      <c r="O208" s="4857"/>
      <c r="P208" s="4857"/>
      <c r="Q208" s="1658">
        <f t="shared" si="192"/>
        <v>0</v>
      </c>
      <c r="R208" s="4856"/>
      <c r="S208" s="4857">
        <v>2542.38</v>
      </c>
      <c r="T208" s="4857"/>
      <c r="U208" s="1658">
        <f t="shared" si="199"/>
        <v>2542.38</v>
      </c>
      <c r="V208" s="4856"/>
      <c r="W208" s="4857">
        <v>2589.14</v>
      </c>
      <c r="X208" s="4857"/>
      <c r="Y208" s="4855">
        <f t="shared" si="195"/>
        <v>5131.5200000000004</v>
      </c>
      <c r="Z208" s="4857"/>
      <c r="AA208" s="4864">
        <f t="shared" si="196"/>
        <v>5131.5200000000004</v>
      </c>
      <c r="AB208" s="4856"/>
      <c r="AC208" s="4865"/>
      <c r="AD208" s="4857"/>
      <c r="AE208" s="4866">
        <v>0</v>
      </c>
      <c r="AF208" s="4856"/>
      <c r="AG208" s="4865"/>
      <c r="AH208" s="4857"/>
      <c r="AI208" s="4866">
        <v>0</v>
      </c>
      <c r="AJ208" s="4856"/>
      <c r="AK208" s="4865"/>
      <c r="AL208" s="4857"/>
      <c r="AM208" s="4855">
        <v>0</v>
      </c>
      <c r="AN208" s="4857"/>
      <c r="AO208" s="4866">
        <v>0</v>
      </c>
      <c r="AP208" s="4856"/>
      <c r="AQ208" s="4865"/>
      <c r="AR208" s="4857"/>
      <c r="AS208" s="4866">
        <v>0</v>
      </c>
      <c r="AT208" s="4856"/>
      <c r="AU208" s="4865"/>
      <c r="AV208" s="4857"/>
      <c r="AW208" s="4866">
        <v>0</v>
      </c>
      <c r="AX208" s="4856"/>
      <c r="AY208" s="4857"/>
      <c r="AZ208" s="4857"/>
      <c r="BA208" s="4855">
        <v>0</v>
      </c>
      <c r="BB208" s="4857"/>
      <c r="BC208" s="4864">
        <v>0</v>
      </c>
      <c r="BD208" s="4857"/>
      <c r="BE208" s="4867">
        <v>0</v>
      </c>
      <c r="BF208" s="26"/>
      <c r="BG208" s="26"/>
      <c r="BH208" s="26"/>
      <c r="BP208" s="26"/>
      <c r="BQ208" s="26"/>
    </row>
    <row r="209" spans="1:69" ht="18.75" customHeight="1" x14ac:dyDescent="0.25">
      <c r="A209" s="149"/>
      <c r="B209" s="4850" t="s">
        <v>26</v>
      </c>
      <c r="C209" s="4862"/>
      <c r="D209" s="4862"/>
      <c r="E209" s="4853">
        <f>E210+E211</f>
        <v>0</v>
      </c>
      <c r="F209" s="4857"/>
      <c r="G209" s="4853">
        <f t="shared" ref="G209:BE209" si="200">G210+G211</f>
        <v>0</v>
      </c>
      <c r="H209" s="4857">
        <f t="shared" si="200"/>
        <v>0</v>
      </c>
      <c r="I209" s="3373">
        <f t="shared" si="200"/>
        <v>0</v>
      </c>
      <c r="J209" s="4857">
        <f t="shared" si="200"/>
        <v>0</v>
      </c>
      <c r="K209" s="4853">
        <f t="shared" si="200"/>
        <v>0</v>
      </c>
      <c r="L209" s="4857">
        <f t="shared" si="200"/>
        <v>0</v>
      </c>
      <c r="M209" s="4855">
        <f t="shared" si="200"/>
        <v>0</v>
      </c>
      <c r="N209" s="4857">
        <f t="shared" si="200"/>
        <v>0</v>
      </c>
      <c r="O209" s="4853">
        <f t="shared" si="200"/>
        <v>2771.29</v>
      </c>
      <c r="P209" s="4857">
        <f t="shared" si="200"/>
        <v>0</v>
      </c>
      <c r="Q209" s="1658">
        <f t="shared" si="200"/>
        <v>2771.29</v>
      </c>
      <c r="R209" s="4856">
        <f t="shared" si="200"/>
        <v>0</v>
      </c>
      <c r="S209" s="4853">
        <f t="shared" ref="S209" si="201">S210+S211</f>
        <v>0</v>
      </c>
      <c r="T209" s="4857">
        <f t="shared" si="200"/>
        <v>0</v>
      </c>
      <c r="U209" s="1658">
        <f t="shared" si="199"/>
        <v>2771.29</v>
      </c>
      <c r="V209" s="4856">
        <f t="shared" si="200"/>
        <v>0</v>
      </c>
      <c r="W209" s="4853">
        <f t="shared" si="200"/>
        <v>3223</v>
      </c>
      <c r="X209" s="4857">
        <f t="shared" si="200"/>
        <v>0</v>
      </c>
      <c r="Y209" s="4855">
        <f t="shared" si="195"/>
        <v>5994.29</v>
      </c>
      <c r="Z209" s="4857"/>
      <c r="AA209" s="4864">
        <f t="shared" si="196"/>
        <v>5994.29</v>
      </c>
      <c r="AB209" s="4856">
        <f t="shared" si="200"/>
        <v>0</v>
      </c>
      <c r="AC209" s="4859">
        <f t="shared" si="200"/>
        <v>0</v>
      </c>
      <c r="AD209" s="4857">
        <f t="shared" si="200"/>
        <v>0</v>
      </c>
      <c r="AE209" s="4866">
        <f t="shared" si="200"/>
        <v>6065.0300000000007</v>
      </c>
      <c r="AF209" s="4856">
        <f t="shared" si="200"/>
        <v>0</v>
      </c>
      <c r="AG209" s="4859">
        <f t="shared" si="200"/>
        <v>0</v>
      </c>
      <c r="AH209" s="4857">
        <f t="shared" si="200"/>
        <v>0</v>
      </c>
      <c r="AI209" s="4866">
        <f t="shared" si="200"/>
        <v>6065.0300000000007</v>
      </c>
      <c r="AJ209" s="4856">
        <f t="shared" si="200"/>
        <v>0</v>
      </c>
      <c r="AK209" s="4859">
        <f t="shared" si="200"/>
        <v>0</v>
      </c>
      <c r="AL209" s="4857">
        <f t="shared" si="200"/>
        <v>0</v>
      </c>
      <c r="AM209" s="4855">
        <f t="shared" si="200"/>
        <v>0</v>
      </c>
      <c r="AN209" s="4857">
        <f t="shared" si="200"/>
        <v>0</v>
      </c>
      <c r="AO209" s="4866">
        <f t="shared" si="200"/>
        <v>6065.0300000000007</v>
      </c>
      <c r="AP209" s="4856">
        <f t="shared" si="200"/>
        <v>0</v>
      </c>
      <c r="AQ209" s="4859">
        <f t="shared" si="200"/>
        <v>0</v>
      </c>
      <c r="AR209" s="4857">
        <f t="shared" si="200"/>
        <v>0</v>
      </c>
      <c r="AS209" s="4866">
        <f t="shared" si="200"/>
        <v>6065.0300000000007</v>
      </c>
      <c r="AT209" s="4856">
        <f t="shared" si="200"/>
        <v>0</v>
      </c>
      <c r="AU209" s="4859">
        <f t="shared" si="200"/>
        <v>0</v>
      </c>
      <c r="AV209" s="4857">
        <f t="shared" si="200"/>
        <v>0</v>
      </c>
      <c r="AW209" s="4866">
        <f t="shared" si="200"/>
        <v>6065.0300000000007</v>
      </c>
      <c r="AX209" s="4856">
        <f t="shared" si="200"/>
        <v>0</v>
      </c>
      <c r="AY209" s="4857">
        <f t="shared" si="200"/>
        <v>0</v>
      </c>
      <c r="AZ209" s="4857">
        <f t="shared" si="200"/>
        <v>0</v>
      </c>
      <c r="BA209" s="4855">
        <f t="shared" si="200"/>
        <v>0</v>
      </c>
      <c r="BB209" s="4857">
        <f t="shared" si="200"/>
        <v>0</v>
      </c>
      <c r="BC209" s="4864">
        <f t="shared" si="200"/>
        <v>0</v>
      </c>
      <c r="BD209" s="4857">
        <f t="shared" si="200"/>
        <v>0</v>
      </c>
      <c r="BE209" s="4867">
        <f t="shared" si="200"/>
        <v>6065.0300000000007</v>
      </c>
      <c r="BF209" s="26"/>
      <c r="BG209" s="26"/>
      <c r="BH209" s="26"/>
      <c r="BP209" s="26"/>
      <c r="BQ209" s="26"/>
    </row>
    <row r="210" spans="1:69" ht="15.75" customHeight="1" x14ac:dyDescent="0.25">
      <c r="A210" s="149"/>
      <c r="B210" s="4861" t="s">
        <v>845</v>
      </c>
      <c r="C210" s="4862" t="s">
        <v>354</v>
      </c>
      <c r="D210" s="4862"/>
      <c r="E210" s="4857"/>
      <c r="F210" s="4857"/>
      <c r="G210" s="4857"/>
      <c r="H210" s="4857"/>
      <c r="I210" s="3373">
        <f t="shared" si="197"/>
        <v>0</v>
      </c>
      <c r="J210" s="4857"/>
      <c r="K210" s="4857"/>
      <c r="L210" s="4857"/>
      <c r="M210" s="4855">
        <f t="shared" si="198"/>
        <v>0</v>
      </c>
      <c r="N210" s="4857"/>
      <c r="O210" s="4857"/>
      <c r="P210" s="4857"/>
      <c r="Q210" s="1658">
        <f t="shared" si="192"/>
        <v>0</v>
      </c>
      <c r="R210" s="4856"/>
      <c r="S210" s="4857"/>
      <c r="T210" s="4857"/>
      <c r="U210" s="1658">
        <f t="shared" si="199"/>
        <v>0</v>
      </c>
      <c r="V210" s="4856"/>
      <c r="W210" s="4857"/>
      <c r="X210" s="4857"/>
      <c r="Y210" s="4855">
        <f t="shared" si="195"/>
        <v>0</v>
      </c>
      <c r="Z210" s="4857"/>
      <c r="AA210" s="4864">
        <f t="shared" si="196"/>
        <v>0</v>
      </c>
      <c r="AB210" s="4856"/>
      <c r="AC210" s="4865"/>
      <c r="AD210" s="4857"/>
      <c r="AE210" s="4866">
        <v>343.68</v>
      </c>
      <c r="AF210" s="4856"/>
      <c r="AG210" s="4865"/>
      <c r="AH210" s="4857"/>
      <c r="AI210" s="4866">
        <v>343.68</v>
      </c>
      <c r="AJ210" s="4856"/>
      <c r="AK210" s="4865"/>
      <c r="AL210" s="4857"/>
      <c r="AM210" s="4855">
        <v>0</v>
      </c>
      <c r="AN210" s="4857"/>
      <c r="AO210" s="4866">
        <v>343.68</v>
      </c>
      <c r="AP210" s="4856"/>
      <c r="AQ210" s="4865"/>
      <c r="AR210" s="4857"/>
      <c r="AS210" s="4866">
        <v>343.68</v>
      </c>
      <c r="AT210" s="4856"/>
      <c r="AU210" s="4865"/>
      <c r="AV210" s="4857"/>
      <c r="AW210" s="4866">
        <v>343.68</v>
      </c>
      <c r="AX210" s="4856"/>
      <c r="AY210" s="4857"/>
      <c r="AZ210" s="4857"/>
      <c r="BA210" s="4855">
        <v>0</v>
      </c>
      <c r="BB210" s="4857"/>
      <c r="BC210" s="4864">
        <v>0</v>
      </c>
      <c r="BD210" s="4857"/>
      <c r="BE210" s="4867">
        <v>343.68</v>
      </c>
      <c r="BF210" s="26"/>
      <c r="BG210" s="26"/>
      <c r="BH210" s="26"/>
      <c r="BP210" s="26"/>
      <c r="BQ210" s="26"/>
    </row>
    <row r="211" spans="1:69" ht="15.75" customHeight="1" x14ac:dyDescent="0.25">
      <c r="A211" s="149"/>
      <c r="B211" s="4861" t="s">
        <v>844</v>
      </c>
      <c r="C211" s="4862" t="s">
        <v>354</v>
      </c>
      <c r="D211" s="4862"/>
      <c r="E211" s="4857"/>
      <c r="F211" s="4857"/>
      <c r="G211" s="4857"/>
      <c r="H211" s="4857"/>
      <c r="I211" s="3373">
        <f t="shared" si="197"/>
        <v>0</v>
      </c>
      <c r="J211" s="4857"/>
      <c r="K211" s="4857"/>
      <c r="L211" s="4857"/>
      <c r="M211" s="4855">
        <f t="shared" si="198"/>
        <v>0</v>
      </c>
      <c r="N211" s="4857"/>
      <c r="O211" s="4857">
        <v>2771.29</v>
      </c>
      <c r="P211" s="4857"/>
      <c r="Q211" s="1658">
        <f t="shared" si="192"/>
        <v>2771.29</v>
      </c>
      <c r="R211" s="4856"/>
      <c r="S211" s="4857"/>
      <c r="T211" s="4857"/>
      <c r="U211" s="1658">
        <f t="shared" si="199"/>
        <v>2771.29</v>
      </c>
      <c r="V211" s="4856"/>
      <c r="W211" s="4857">
        <v>3223</v>
      </c>
      <c r="X211" s="4857"/>
      <c r="Y211" s="4855">
        <f t="shared" si="195"/>
        <v>5994.29</v>
      </c>
      <c r="Z211" s="4857"/>
      <c r="AA211" s="4864">
        <f t="shared" si="196"/>
        <v>5994.29</v>
      </c>
      <c r="AB211" s="4856"/>
      <c r="AC211" s="4865"/>
      <c r="AD211" s="4857"/>
      <c r="AE211" s="4866">
        <v>5721.35</v>
      </c>
      <c r="AF211" s="4856"/>
      <c r="AG211" s="4865"/>
      <c r="AH211" s="4857"/>
      <c r="AI211" s="4866">
        <v>5721.35</v>
      </c>
      <c r="AJ211" s="4856"/>
      <c r="AK211" s="4865"/>
      <c r="AL211" s="4857"/>
      <c r="AM211" s="4855">
        <v>0</v>
      </c>
      <c r="AN211" s="4857"/>
      <c r="AO211" s="4866">
        <v>5721.35</v>
      </c>
      <c r="AP211" s="4856"/>
      <c r="AQ211" s="4865"/>
      <c r="AR211" s="4857"/>
      <c r="AS211" s="4866">
        <v>5721.35</v>
      </c>
      <c r="AT211" s="4856"/>
      <c r="AU211" s="4865"/>
      <c r="AV211" s="4857"/>
      <c r="AW211" s="4866">
        <v>5721.35</v>
      </c>
      <c r="AX211" s="4856"/>
      <c r="AY211" s="4857"/>
      <c r="AZ211" s="4857"/>
      <c r="BA211" s="4855">
        <v>0</v>
      </c>
      <c r="BB211" s="4857"/>
      <c r="BC211" s="4864">
        <v>0</v>
      </c>
      <c r="BD211" s="4857"/>
      <c r="BE211" s="4867">
        <v>5721.35</v>
      </c>
      <c r="BF211" s="26"/>
      <c r="BG211" s="26"/>
      <c r="BH211" s="26"/>
      <c r="BP211" s="26"/>
      <c r="BQ211" s="26"/>
    </row>
    <row r="212" spans="1:69" ht="15.75" hidden="1" customHeight="1" x14ac:dyDescent="0.3">
      <c r="A212" s="149"/>
      <c r="B212" s="4861"/>
      <c r="C212" s="4862"/>
      <c r="D212" s="4862"/>
      <c r="E212" s="4857"/>
      <c r="F212" s="4857"/>
      <c r="G212" s="4857"/>
      <c r="H212" s="4857"/>
      <c r="I212" s="3373">
        <f t="shared" si="197"/>
        <v>0</v>
      </c>
      <c r="J212" s="4857"/>
      <c r="K212" s="4857"/>
      <c r="L212" s="4857"/>
      <c r="M212" s="4855">
        <f t="shared" si="198"/>
        <v>0</v>
      </c>
      <c r="N212" s="4857"/>
      <c r="O212" s="4857"/>
      <c r="P212" s="4857"/>
      <c r="Q212" s="1658">
        <f t="shared" si="192"/>
        <v>0</v>
      </c>
      <c r="R212" s="4856"/>
      <c r="S212" s="4857"/>
      <c r="T212" s="4857"/>
      <c r="U212" s="1658">
        <f t="shared" si="199"/>
        <v>0</v>
      </c>
      <c r="V212" s="4856"/>
      <c r="W212" s="4857"/>
      <c r="X212" s="4857"/>
      <c r="Y212" s="4855">
        <f t="shared" si="195"/>
        <v>0</v>
      </c>
      <c r="Z212" s="4857"/>
      <c r="AA212" s="4864">
        <f t="shared" si="196"/>
        <v>0</v>
      </c>
      <c r="AB212" s="4856"/>
      <c r="AC212" s="4865"/>
      <c r="AD212" s="4857"/>
      <c r="AE212" s="4866">
        <v>0</v>
      </c>
      <c r="AF212" s="4856"/>
      <c r="AG212" s="4865"/>
      <c r="AH212" s="4857"/>
      <c r="AI212" s="4866">
        <v>0</v>
      </c>
      <c r="AJ212" s="4856"/>
      <c r="AK212" s="4865"/>
      <c r="AL212" s="4857"/>
      <c r="AM212" s="4855">
        <v>0</v>
      </c>
      <c r="AN212" s="4857"/>
      <c r="AO212" s="4866">
        <v>0</v>
      </c>
      <c r="AP212" s="4856"/>
      <c r="AQ212" s="4865"/>
      <c r="AR212" s="4857"/>
      <c r="AS212" s="4866">
        <v>0</v>
      </c>
      <c r="AT212" s="4856"/>
      <c r="AU212" s="4865"/>
      <c r="AV212" s="4857"/>
      <c r="AW212" s="4866">
        <v>0</v>
      </c>
      <c r="AX212" s="4856"/>
      <c r="AY212" s="4857"/>
      <c r="AZ212" s="4857"/>
      <c r="BA212" s="4855">
        <v>0</v>
      </c>
      <c r="BB212" s="4857"/>
      <c r="BC212" s="4864">
        <v>0</v>
      </c>
      <c r="BD212" s="4857"/>
      <c r="BE212" s="4867">
        <v>0</v>
      </c>
      <c r="BF212" s="26"/>
      <c r="BG212" s="26"/>
      <c r="BH212" s="26"/>
      <c r="BP212" s="26"/>
      <c r="BQ212" s="26"/>
    </row>
    <row r="213" spans="1:69" ht="15.75" hidden="1" customHeight="1" x14ac:dyDescent="0.3">
      <c r="A213" s="149"/>
      <c r="B213" s="4850" t="s">
        <v>1370</v>
      </c>
      <c r="C213" s="4851"/>
      <c r="D213" s="4852"/>
      <c r="E213" s="4853">
        <v>0</v>
      </c>
      <c r="F213" s="4853">
        <v>0</v>
      </c>
      <c r="G213" s="4853">
        <v>0</v>
      </c>
      <c r="H213" s="4854">
        <v>0</v>
      </c>
      <c r="I213" s="3373">
        <f t="shared" si="197"/>
        <v>0</v>
      </c>
      <c r="J213" s="4853">
        <v>0</v>
      </c>
      <c r="K213" s="4853">
        <v>0</v>
      </c>
      <c r="L213" s="4853"/>
      <c r="M213" s="4855">
        <f t="shared" si="198"/>
        <v>0</v>
      </c>
      <c r="N213" s="4853"/>
      <c r="O213" s="4853">
        <v>0</v>
      </c>
      <c r="P213" s="4853">
        <v>0</v>
      </c>
      <c r="Q213" s="1658">
        <f t="shared" si="192"/>
        <v>0</v>
      </c>
      <c r="R213" s="4856">
        <v>0</v>
      </c>
      <c r="S213" s="4853">
        <v>0</v>
      </c>
      <c r="T213" s="4853">
        <v>0</v>
      </c>
      <c r="U213" s="1658">
        <f t="shared" si="199"/>
        <v>0</v>
      </c>
      <c r="V213" s="4856">
        <v>0</v>
      </c>
      <c r="W213" s="4853">
        <v>0</v>
      </c>
      <c r="X213" s="4853"/>
      <c r="Y213" s="4855">
        <f t="shared" si="195"/>
        <v>0</v>
      </c>
      <c r="Z213" s="4857"/>
      <c r="AA213" s="4858">
        <f t="shared" si="196"/>
        <v>0</v>
      </c>
      <c r="AB213" s="4856"/>
      <c r="AC213" s="4859">
        <v>0</v>
      </c>
      <c r="AD213" s="4853">
        <v>0</v>
      </c>
      <c r="AE213" s="4860">
        <v>0</v>
      </c>
      <c r="AF213" s="4856">
        <v>0</v>
      </c>
      <c r="AG213" s="4859">
        <v>0</v>
      </c>
      <c r="AH213" s="4853">
        <v>0</v>
      </c>
      <c r="AI213" s="4860">
        <v>0</v>
      </c>
      <c r="AJ213" s="4856">
        <v>0</v>
      </c>
      <c r="AK213" s="4859">
        <v>0</v>
      </c>
      <c r="AL213" s="4857"/>
      <c r="AM213" s="4855">
        <v>0</v>
      </c>
      <c r="AN213" s="4857"/>
      <c r="AO213" s="4866">
        <v>0</v>
      </c>
      <c r="AP213" s="4856"/>
      <c r="AQ213" s="4859">
        <v>0</v>
      </c>
      <c r="AR213" s="4853"/>
      <c r="AS213" s="4860">
        <v>0</v>
      </c>
      <c r="AT213" s="4856"/>
      <c r="AU213" s="4859">
        <v>0</v>
      </c>
      <c r="AV213" s="4853"/>
      <c r="AW213" s="4860">
        <v>0</v>
      </c>
      <c r="AX213" s="4856"/>
      <c r="AY213" s="4853">
        <v>0</v>
      </c>
      <c r="AZ213" s="4857"/>
      <c r="BA213" s="4855">
        <v>0</v>
      </c>
      <c r="BB213" s="4857"/>
      <c r="BC213" s="4858">
        <v>0</v>
      </c>
      <c r="BD213" s="4853"/>
      <c r="BE213" s="4860">
        <v>0</v>
      </c>
      <c r="BF213" s="26"/>
      <c r="BG213" s="26"/>
      <c r="BH213" s="26"/>
      <c r="BP213" s="26"/>
      <c r="BQ213" s="26"/>
    </row>
    <row r="214" spans="1:69" ht="15.75" hidden="1" customHeight="1" x14ac:dyDescent="0.3">
      <c r="A214" s="149"/>
      <c r="B214" s="4861" t="s">
        <v>1694</v>
      </c>
      <c r="C214" s="4862" t="s">
        <v>354</v>
      </c>
      <c r="D214" s="4862"/>
      <c r="E214" s="4857"/>
      <c r="F214" s="4857"/>
      <c r="G214" s="4857"/>
      <c r="H214" s="4857"/>
      <c r="I214" s="3373">
        <f t="shared" si="197"/>
        <v>0</v>
      </c>
      <c r="J214" s="4857"/>
      <c r="K214" s="4857"/>
      <c r="L214" s="4857"/>
      <c r="M214" s="4855">
        <f t="shared" si="198"/>
        <v>0</v>
      </c>
      <c r="N214" s="4857"/>
      <c r="O214" s="4857"/>
      <c r="P214" s="4857"/>
      <c r="Q214" s="1658">
        <f t="shared" si="192"/>
        <v>0</v>
      </c>
      <c r="R214" s="4856"/>
      <c r="S214" s="4857"/>
      <c r="T214" s="4857"/>
      <c r="U214" s="1658">
        <f t="shared" si="199"/>
        <v>0</v>
      </c>
      <c r="V214" s="4856"/>
      <c r="W214" s="4857"/>
      <c r="X214" s="4857"/>
      <c r="Y214" s="4855">
        <f t="shared" si="195"/>
        <v>0</v>
      </c>
      <c r="Z214" s="4857"/>
      <c r="AA214" s="4864">
        <f t="shared" si="196"/>
        <v>0</v>
      </c>
      <c r="AB214" s="4856"/>
      <c r="AC214" s="4865"/>
      <c r="AD214" s="4857"/>
      <c r="AE214" s="4866">
        <v>0</v>
      </c>
      <c r="AF214" s="4856"/>
      <c r="AG214" s="4865"/>
      <c r="AH214" s="4857"/>
      <c r="AI214" s="4866">
        <v>0</v>
      </c>
      <c r="AJ214" s="4856"/>
      <c r="AK214" s="4865"/>
      <c r="AL214" s="4857"/>
      <c r="AM214" s="4855">
        <v>0</v>
      </c>
      <c r="AN214" s="4857"/>
      <c r="AO214" s="4866">
        <v>0</v>
      </c>
      <c r="AP214" s="4856"/>
      <c r="AQ214" s="4865"/>
      <c r="AR214" s="4857"/>
      <c r="AS214" s="4866">
        <v>0</v>
      </c>
      <c r="AT214" s="4856"/>
      <c r="AU214" s="4865"/>
      <c r="AV214" s="4857"/>
      <c r="AW214" s="4866">
        <v>0</v>
      </c>
      <c r="AX214" s="4856"/>
      <c r="AY214" s="4857"/>
      <c r="AZ214" s="4857"/>
      <c r="BA214" s="4855">
        <v>0</v>
      </c>
      <c r="BB214" s="4857"/>
      <c r="BC214" s="4864">
        <v>0</v>
      </c>
      <c r="BD214" s="4857"/>
      <c r="BE214" s="4867">
        <v>0</v>
      </c>
      <c r="BF214" s="26"/>
      <c r="BG214" s="26"/>
      <c r="BH214" s="26"/>
      <c r="BP214" s="26"/>
      <c r="BQ214" s="26"/>
    </row>
    <row r="215" spans="1:69" ht="15.75" customHeight="1" x14ac:dyDescent="0.25">
      <c r="A215" s="149"/>
      <c r="B215" s="4850" t="s">
        <v>2294</v>
      </c>
      <c r="C215" s="4851"/>
      <c r="D215" s="4852"/>
      <c r="E215" s="4853">
        <f>SUM(E216:E219)</f>
        <v>0</v>
      </c>
      <c r="F215" s="4853">
        <v>0</v>
      </c>
      <c r="G215" s="4853">
        <f>SUM(G216:G219)</f>
        <v>154.88999999999999</v>
      </c>
      <c r="H215" s="4854">
        <v>0</v>
      </c>
      <c r="I215" s="3373">
        <f t="shared" si="197"/>
        <v>154.88999999999999</v>
      </c>
      <c r="J215" s="4853">
        <v>0</v>
      </c>
      <c r="K215" s="4853">
        <f>SUM(K216:K219)</f>
        <v>174.21</v>
      </c>
      <c r="L215" s="4853"/>
      <c r="M215" s="4855">
        <f t="shared" si="198"/>
        <v>329.1</v>
      </c>
      <c r="N215" s="4853"/>
      <c r="O215" s="4853">
        <f>SUM(O216:O219)</f>
        <v>0</v>
      </c>
      <c r="P215" s="4853">
        <v>0</v>
      </c>
      <c r="Q215" s="1658">
        <f t="shared" si="192"/>
        <v>329.1</v>
      </c>
      <c r="R215" s="4856">
        <v>0</v>
      </c>
      <c r="S215" s="4853">
        <f>SUM(S216:S219)</f>
        <v>0</v>
      </c>
      <c r="T215" s="4853">
        <v>0</v>
      </c>
      <c r="U215" s="1658">
        <f t="shared" si="199"/>
        <v>329.1</v>
      </c>
      <c r="V215" s="4856">
        <v>0</v>
      </c>
      <c r="W215" s="4853">
        <f>SUM(W216:W219)</f>
        <v>0</v>
      </c>
      <c r="X215" s="4853"/>
      <c r="Y215" s="4855">
        <f t="shared" si="195"/>
        <v>0</v>
      </c>
      <c r="Z215" s="4857"/>
      <c r="AA215" s="4858">
        <f t="shared" si="196"/>
        <v>329.1</v>
      </c>
      <c r="AB215" s="4856"/>
      <c r="AC215" s="4859">
        <v>0</v>
      </c>
      <c r="AD215" s="4853">
        <v>0</v>
      </c>
      <c r="AE215" s="4860">
        <v>0</v>
      </c>
      <c r="AF215" s="4856">
        <v>0</v>
      </c>
      <c r="AG215" s="4859">
        <v>0</v>
      </c>
      <c r="AH215" s="4853">
        <v>0</v>
      </c>
      <c r="AI215" s="4860">
        <v>0</v>
      </c>
      <c r="AJ215" s="4856">
        <v>0</v>
      </c>
      <c r="AK215" s="4859">
        <v>0</v>
      </c>
      <c r="AL215" s="4857"/>
      <c r="AM215" s="4855">
        <v>0</v>
      </c>
      <c r="AN215" s="4857"/>
      <c r="AO215" s="4866">
        <v>0</v>
      </c>
      <c r="AP215" s="4856"/>
      <c r="AQ215" s="4859">
        <v>0</v>
      </c>
      <c r="AR215" s="4853"/>
      <c r="AS215" s="4860">
        <v>0</v>
      </c>
      <c r="AT215" s="4856"/>
      <c r="AU215" s="4859">
        <v>0</v>
      </c>
      <c r="AV215" s="4853"/>
      <c r="AW215" s="4860">
        <v>0</v>
      </c>
      <c r="AX215" s="4856"/>
      <c r="AY215" s="4853">
        <v>0</v>
      </c>
      <c r="AZ215" s="4857"/>
      <c r="BA215" s="4855">
        <v>0</v>
      </c>
      <c r="BB215" s="4857"/>
      <c r="BC215" s="4858">
        <v>0</v>
      </c>
      <c r="BD215" s="4853"/>
      <c r="BE215" s="4860">
        <v>0</v>
      </c>
      <c r="BF215" s="26"/>
      <c r="BG215" s="26"/>
      <c r="BH215" s="26"/>
      <c r="BP215" s="26"/>
      <c r="BQ215" s="26"/>
    </row>
    <row r="216" spans="1:69" ht="15.75" hidden="1" customHeight="1" x14ac:dyDescent="0.3">
      <c r="A216" s="149"/>
      <c r="B216" s="4861" t="s">
        <v>955</v>
      </c>
      <c r="C216" s="4862" t="s">
        <v>354</v>
      </c>
      <c r="D216" s="4862"/>
      <c r="E216" s="4857"/>
      <c r="F216" s="4857"/>
      <c r="G216" s="4857"/>
      <c r="H216" s="4857"/>
      <c r="I216" s="3373">
        <f t="shared" si="197"/>
        <v>0</v>
      </c>
      <c r="J216" s="4857"/>
      <c r="K216" s="4857"/>
      <c r="L216" s="4857"/>
      <c r="M216" s="4855">
        <f t="shared" si="198"/>
        <v>0</v>
      </c>
      <c r="N216" s="4857"/>
      <c r="O216" s="4857"/>
      <c r="P216" s="4857"/>
      <c r="Q216" s="1658">
        <f t="shared" si="192"/>
        <v>0</v>
      </c>
      <c r="R216" s="4856"/>
      <c r="S216" s="4857"/>
      <c r="T216" s="4857"/>
      <c r="U216" s="1658">
        <f t="shared" si="199"/>
        <v>0</v>
      </c>
      <c r="V216" s="4856"/>
      <c r="W216" s="4857"/>
      <c r="X216" s="4857"/>
      <c r="Y216" s="4855">
        <f t="shared" si="195"/>
        <v>0</v>
      </c>
      <c r="Z216" s="4857"/>
      <c r="AA216" s="4864">
        <f t="shared" si="196"/>
        <v>0</v>
      </c>
      <c r="AB216" s="4856"/>
      <c r="AC216" s="4865"/>
      <c r="AD216" s="4857"/>
      <c r="AE216" s="4866">
        <v>0</v>
      </c>
      <c r="AF216" s="4856"/>
      <c r="AG216" s="4865"/>
      <c r="AH216" s="4857"/>
      <c r="AI216" s="4866">
        <v>0</v>
      </c>
      <c r="AJ216" s="4856"/>
      <c r="AK216" s="4865"/>
      <c r="AL216" s="4857"/>
      <c r="AM216" s="4855">
        <v>0</v>
      </c>
      <c r="AN216" s="4857"/>
      <c r="AO216" s="4866">
        <v>0</v>
      </c>
      <c r="AP216" s="4856"/>
      <c r="AQ216" s="4865"/>
      <c r="AR216" s="4857"/>
      <c r="AS216" s="4866">
        <v>0</v>
      </c>
      <c r="AT216" s="4856"/>
      <c r="AU216" s="4865"/>
      <c r="AV216" s="4857"/>
      <c r="AW216" s="4866">
        <v>0</v>
      </c>
      <c r="AX216" s="4856"/>
      <c r="AY216" s="4857"/>
      <c r="AZ216" s="4857"/>
      <c r="BA216" s="4855">
        <v>0</v>
      </c>
      <c r="BB216" s="4857"/>
      <c r="BC216" s="4864">
        <v>0</v>
      </c>
      <c r="BD216" s="4857"/>
      <c r="BE216" s="4867">
        <v>0</v>
      </c>
      <c r="BF216" s="26"/>
      <c r="BG216" s="26"/>
      <c r="BH216" s="26"/>
      <c r="BP216" s="26"/>
      <c r="BQ216" s="26"/>
    </row>
    <row r="217" spans="1:69" ht="15.75" hidden="1" customHeight="1" x14ac:dyDescent="0.3">
      <c r="A217" s="149"/>
      <c r="B217" s="4861" t="s">
        <v>844</v>
      </c>
      <c r="C217" s="4862"/>
      <c r="D217" s="4862"/>
      <c r="E217" s="4857"/>
      <c r="F217" s="4857"/>
      <c r="G217" s="4857"/>
      <c r="H217" s="4857"/>
      <c r="I217" s="3373">
        <f t="shared" si="197"/>
        <v>0</v>
      </c>
      <c r="J217" s="4857"/>
      <c r="K217" s="4857"/>
      <c r="L217" s="4857"/>
      <c r="M217" s="4855">
        <f t="shared" si="198"/>
        <v>0</v>
      </c>
      <c r="N217" s="4857"/>
      <c r="O217" s="4857"/>
      <c r="P217" s="4857"/>
      <c r="Q217" s="1658">
        <f t="shared" si="192"/>
        <v>0</v>
      </c>
      <c r="R217" s="4856"/>
      <c r="S217" s="4857"/>
      <c r="T217" s="4857"/>
      <c r="U217" s="1658">
        <f t="shared" si="199"/>
        <v>0</v>
      </c>
      <c r="V217" s="4856"/>
      <c r="W217" s="4857"/>
      <c r="X217" s="4857"/>
      <c r="Y217" s="4855">
        <f t="shared" si="195"/>
        <v>0</v>
      </c>
      <c r="Z217" s="4857"/>
      <c r="AA217" s="4864">
        <f t="shared" si="196"/>
        <v>0</v>
      </c>
      <c r="AB217" s="4856"/>
      <c r="AC217" s="4865"/>
      <c r="AD217" s="4857"/>
      <c r="AE217" s="4866"/>
      <c r="AF217" s="4856"/>
      <c r="AG217" s="4865"/>
      <c r="AH217" s="4857"/>
      <c r="AI217" s="4866"/>
      <c r="AJ217" s="4856"/>
      <c r="AK217" s="4865"/>
      <c r="AL217" s="4857"/>
      <c r="AM217" s="4855">
        <v>0</v>
      </c>
      <c r="AN217" s="4857"/>
      <c r="AO217" s="4866">
        <v>0</v>
      </c>
      <c r="AP217" s="4856"/>
      <c r="AQ217" s="4865"/>
      <c r="AR217" s="4857"/>
      <c r="AS217" s="4866">
        <v>0</v>
      </c>
      <c r="AT217" s="4856"/>
      <c r="AU217" s="4865"/>
      <c r="AV217" s="4857"/>
      <c r="AW217" s="4866">
        <v>0</v>
      </c>
      <c r="AX217" s="4856"/>
      <c r="AY217" s="4857"/>
      <c r="AZ217" s="4857"/>
      <c r="BA217" s="4855">
        <v>0</v>
      </c>
      <c r="BB217" s="4857"/>
      <c r="BC217" s="4864">
        <v>0</v>
      </c>
      <c r="BD217" s="4857"/>
      <c r="BE217" s="4867">
        <v>0</v>
      </c>
      <c r="BF217" s="26"/>
      <c r="BG217" s="26"/>
      <c r="BH217" s="26"/>
      <c r="BP217" s="26"/>
      <c r="BQ217" s="26"/>
    </row>
    <row r="218" spans="1:69" ht="15.75" customHeight="1" x14ac:dyDescent="0.25">
      <c r="A218" s="149"/>
      <c r="B218" s="4861" t="s">
        <v>1694</v>
      </c>
      <c r="C218" s="4862"/>
      <c r="D218" s="4862"/>
      <c r="E218" s="4857"/>
      <c r="F218" s="4857"/>
      <c r="G218" s="4857"/>
      <c r="H218" s="4857"/>
      <c r="I218" s="3373">
        <f t="shared" si="197"/>
        <v>0</v>
      </c>
      <c r="J218" s="4857"/>
      <c r="K218" s="4857">
        <v>147.49</v>
      </c>
      <c r="L218" s="4857"/>
      <c r="M218" s="4855">
        <f t="shared" si="198"/>
        <v>147.49</v>
      </c>
      <c r="N218" s="4857"/>
      <c r="O218" s="4857"/>
      <c r="P218" s="4857"/>
      <c r="Q218" s="1658">
        <f t="shared" si="192"/>
        <v>147.49</v>
      </c>
      <c r="R218" s="4856"/>
      <c r="S218" s="4857"/>
      <c r="T218" s="4857"/>
      <c r="U218" s="1658">
        <f t="shared" si="199"/>
        <v>147.49</v>
      </c>
      <c r="V218" s="4856"/>
      <c r="W218" s="4857"/>
      <c r="X218" s="4857"/>
      <c r="Y218" s="4855">
        <f t="shared" si="195"/>
        <v>0</v>
      </c>
      <c r="Z218" s="4857"/>
      <c r="AA218" s="4864">
        <f t="shared" si="196"/>
        <v>147.49</v>
      </c>
      <c r="AB218" s="4856"/>
      <c r="AC218" s="4865"/>
      <c r="AD218" s="4857"/>
      <c r="AE218" s="4866"/>
      <c r="AF218" s="4856"/>
      <c r="AG218" s="4865"/>
      <c r="AH218" s="4857"/>
      <c r="AI218" s="4866"/>
      <c r="AJ218" s="4856"/>
      <c r="AK218" s="4865"/>
      <c r="AL218" s="4857"/>
      <c r="AM218" s="4855">
        <v>0</v>
      </c>
      <c r="AN218" s="4857"/>
      <c r="AO218" s="4866">
        <v>0</v>
      </c>
      <c r="AP218" s="4856"/>
      <c r="AQ218" s="4865"/>
      <c r="AR218" s="4857"/>
      <c r="AS218" s="4866">
        <v>0</v>
      </c>
      <c r="AT218" s="4856"/>
      <c r="AU218" s="4865"/>
      <c r="AV218" s="4857"/>
      <c r="AW218" s="4866">
        <v>0</v>
      </c>
      <c r="AX218" s="4856"/>
      <c r="AY218" s="4857"/>
      <c r="AZ218" s="4857"/>
      <c r="BA218" s="4855">
        <v>0</v>
      </c>
      <c r="BB218" s="4857"/>
      <c r="BC218" s="4864">
        <v>0</v>
      </c>
      <c r="BD218" s="4857"/>
      <c r="BE218" s="4867">
        <v>0</v>
      </c>
      <c r="BF218" s="26"/>
      <c r="BG218" s="26"/>
      <c r="BH218" s="26"/>
      <c r="BP218" s="26"/>
      <c r="BQ218" s="26"/>
    </row>
    <row r="219" spans="1:69" ht="15.75" customHeight="1" x14ac:dyDescent="0.25">
      <c r="A219" s="149"/>
      <c r="B219" s="4861" t="s">
        <v>845</v>
      </c>
      <c r="C219" s="4862"/>
      <c r="D219" s="4862"/>
      <c r="E219" s="4857"/>
      <c r="F219" s="4857"/>
      <c r="G219" s="4857">
        <v>154.88999999999999</v>
      </c>
      <c r="H219" s="4857"/>
      <c r="I219" s="3373">
        <f t="shared" si="197"/>
        <v>154.88999999999999</v>
      </c>
      <c r="J219" s="4857"/>
      <c r="K219" s="4857">
        <v>26.72</v>
      </c>
      <c r="L219" s="4857"/>
      <c r="M219" s="4855">
        <f t="shared" si="198"/>
        <v>181.60999999999999</v>
      </c>
      <c r="N219" s="4857"/>
      <c r="O219" s="4857"/>
      <c r="P219" s="4857"/>
      <c r="Q219" s="1658">
        <f t="shared" si="192"/>
        <v>181.60999999999999</v>
      </c>
      <c r="R219" s="4856"/>
      <c r="S219" s="4857"/>
      <c r="T219" s="4857"/>
      <c r="U219" s="1658">
        <f t="shared" si="199"/>
        <v>181.60999999999999</v>
      </c>
      <c r="V219" s="4856"/>
      <c r="W219" s="4857"/>
      <c r="X219" s="4857"/>
      <c r="Y219" s="4855">
        <f t="shared" si="195"/>
        <v>0</v>
      </c>
      <c r="Z219" s="4857"/>
      <c r="AA219" s="4864">
        <f t="shared" si="196"/>
        <v>181.60999999999999</v>
      </c>
      <c r="AB219" s="4856"/>
      <c r="AC219" s="4865"/>
      <c r="AD219" s="4857"/>
      <c r="AE219" s="4866">
        <v>0</v>
      </c>
      <c r="AF219" s="4856"/>
      <c r="AG219" s="4865"/>
      <c r="AH219" s="4857"/>
      <c r="AI219" s="4866">
        <v>0</v>
      </c>
      <c r="AJ219" s="4856"/>
      <c r="AK219" s="4865"/>
      <c r="AL219" s="4857"/>
      <c r="AM219" s="4855">
        <v>0</v>
      </c>
      <c r="AN219" s="4857"/>
      <c r="AO219" s="4866">
        <v>0</v>
      </c>
      <c r="AP219" s="4856"/>
      <c r="AQ219" s="4865"/>
      <c r="AR219" s="4857"/>
      <c r="AS219" s="4866">
        <v>0</v>
      </c>
      <c r="AT219" s="4856"/>
      <c r="AU219" s="4865"/>
      <c r="AV219" s="4857"/>
      <c r="AW219" s="4866">
        <v>0</v>
      </c>
      <c r="AX219" s="4856"/>
      <c r="AY219" s="4857"/>
      <c r="AZ219" s="4857"/>
      <c r="BA219" s="4855">
        <v>0</v>
      </c>
      <c r="BB219" s="4857"/>
      <c r="BC219" s="4864">
        <v>0</v>
      </c>
      <c r="BD219" s="4857"/>
      <c r="BE219" s="4867">
        <v>0</v>
      </c>
      <c r="BF219" s="26"/>
      <c r="BG219" s="26"/>
      <c r="BH219" s="26"/>
      <c r="BP219" s="26"/>
      <c r="BQ219" s="26"/>
    </row>
    <row r="220" spans="1:69" ht="15.75" hidden="1" customHeight="1" x14ac:dyDescent="0.3">
      <c r="A220" s="149"/>
      <c r="B220" s="4850" t="s">
        <v>1693</v>
      </c>
      <c r="C220" s="4851"/>
      <c r="D220" s="4852"/>
      <c r="E220" s="4853">
        <v>0</v>
      </c>
      <c r="F220" s="4853">
        <v>0</v>
      </c>
      <c r="G220" s="4853">
        <v>0</v>
      </c>
      <c r="H220" s="4854">
        <v>0</v>
      </c>
      <c r="I220" s="3373">
        <f t="shared" si="197"/>
        <v>0</v>
      </c>
      <c r="J220" s="4853">
        <v>0</v>
      </c>
      <c r="K220" s="4853">
        <v>0</v>
      </c>
      <c r="L220" s="4853"/>
      <c r="M220" s="4855">
        <f t="shared" si="198"/>
        <v>0</v>
      </c>
      <c r="N220" s="4853"/>
      <c r="O220" s="4853">
        <v>0</v>
      </c>
      <c r="P220" s="4853">
        <v>0</v>
      </c>
      <c r="Q220" s="1658">
        <f t="shared" si="192"/>
        <v>0</v>
      </c>
      <c r="R220" s="4856">
        <v>0</v>
      </c>
      <c r="S220" s="4853">
        <v>0</v>
      </c>
      <c r="T220" s="4853">
        <v>0</v>
      </c>
      <c r="U220" s="1658">
        <f t="shared" si="199"/>
        <v>0</v>
      </c>
      <c r="V220" s="4856">
        <v>0</v>
      </c>
      <c r="W220" s="4853">
        <v>0</v>
      </c>
      <c r="X220" s="4853"/>
      <c r="Y220" s="4855">
        <f t="shared" si="195"/>
        <v>0</v>
      </c>
      <c r="Z220" s="4857"/>
      <c r="AA220" s="4858">
        <f t="shared" si="196"/>
        <v>0</v>
      </c>
      <c r="AB220" s="4856"/>
      <c r="AC220" s="4859">
        <v>0</v>
      </c>
      <c r="AD220" s="4853">
        <v>0</v>
      </c>
      <c r="AE220" s="4860">
        <v>0</v>
      </c>
      <c r="AF220" s="4856">
        <v>0</v>
      </c>
      <c r="AG220" s="4859">
        <v>0</v>
      </c>
      <c r="AH220" s="4853">
        <v>0</v>
      </c>
      <c r="AI220" s="4860">
        <v>0</v>
      </c>
      <c r="AJ220" s="4856">
        <v>0</v>
      </c>
      <c r="AK220" s="4859">
        <v>0</v>
      </c>
      <c r="AL220" s="4857"/>
      <c r="AM220" s="4855">
        <v>0</v>
      </c>
      <c r="AN220" s="4857"/>
      <c r="AO220" s="4866">
        <v>0</v>
      </c>
      <c r="AP220" s="4856"/>
      <c r="AQ220" s="4859">
        <v>0</v>
      </c>
      <c r="AR220" s="4853"/>
      <c r="AS220" s="4860">
        <v>0</v>
      </c>
      <c r="AT220" s="4856"/>
      <c r="AU220" s="4859">
        <v>0</v>
      </c>
      <c r="AV220" s="4853"/>
      <c r="AW220" s="4860">
        <v>0</v>
      </c>
      <c r="AX220" s="4856"/>
      <c r="AY220" s="4853">
        <v>0</v>
      </c>
      <c r="AZ220" s="4857"/>
      <c r="BA220" s="4855">
        <v>0</v>
      </c>
      <c r="BB220" s="4857"/>
      <c r="BC220" s="4858">
        <v>0</v>
      </c>
      <c r="BD220" s="4853"/>
      <c r="BE220" s="4860">
        <v>0</v>
      </c>
      <c r="BF220" s="26"/>
      <c r="BG220" s="26"/>
      <c r="BH220" s="26"/>
      <c r="BP220" s="26"/>
      <c r="BQ220" s="26"/>
    </row>
    <row r="221" spans="1:69" ht="15.75" hidden="1" customHeight="1" x14ac:dyDescent="0.3">
      <c r="A221" s="149"/>
      <c r="B221" s="4861" t="s">
        <v>1694</v>
      </c>
      <c r="C221" s="4862" t="s">
        <v>354</v>
      </c>
      <c r="D221" s="4862"/>
      <c r="E221" s="4857"/>
      <c r="F221" s="4857"/>
      <c r="G221" s="4857"/>
      <c r="H221" s="4857"/>
      <c r="I221" s="3373">
        <f t="shared" si="197"/>
        <v>0</v>
      </c>
      <c r="J221" s="4857"/>
      <c r="K221" s="4857"/>
      <c r="L221" s="4857"/>
      <c r="M221" s="4855">
        <f t="shared" si="198"/>
        <v>0</v>
      </c>
      <c r="N221" s="4857"/>
      <c r="O221" s="4857"/>
      <c r="P221" s="4857"/>
      <c r="Q221" s="1658">
        <f t="shared" si="192"/>
        <v>0</v>
      </c>
      <c r="R221" s="4856"/>
      <c r="S221" s="4857"/>
      <c r="T221" s="4857"/>
      <c r="U221" s="1658">
        <f t="shared" si="199"/>
        <v>0</v>
      </c>
      <c r="V221" s="4856"/>
      <c r="W221" s="4857"/>
      <c r="X221" s="4857"/>
      <c r="Y221" s="4855">
        <f t="shared" si="195"/>
        <v>0</v>
      </c>
      <c r="Z221" s="4857"/>
      <c r="AA221" s="4864">
        <f t="shared" si="196"/>
        <v>0</v>
      </c>
      <c r="AB221" s="4856"/>
      <c r="AC221" s="4865"/>
      <c r="AD221" s="4857"/>
      <c r="AE221" s="4866">
        <v>0</v>
      </c>
      <c r="AF221" s="4856"/>
      <c r="AG221" s="4865"/>
      <c r="AH221" s="4857"/>
      <c r="AI221" s="4866">
        <v>0</v>
      </c>
      <c r="AJ221" s="4856"/>
      <c r="AK221" s="4865"/>
      <c r="AL221" s="4857"/>
      <c r="AM221" s="4855">
        <v>0</v>
      </c>
      <c r="AN221" s="4857"/>
      <c r="AO221" s="4866">
        <v>0</v>
      </c>
      <c r="AP221" s="4856"/>
      <c r="AQ221" s="4865"/>
      <c r="AR221" s="4857"/>
      <c r="AS221" s="4866">
        <v>0</v>
      </c>
      <c r="AT221" s="4856"/>
      <c r="AU221" s="4865"/>
      <c r="AV221" s="4857"/>
      <c r="AW221" s="4866">
        <v>0</v>
      </c>
      <c r="AX221" s="4856"/>
      <c r="AY221" s="4857"/>
      <c r="AZ221" s="4857"/>
      <c r="BA221" s="4855">
        <v>0</v>
      </c>
      <c r="BB221" s="4857"/>
      <c r="BC221" s="4864">
        <v>0</v>
      </c>
      <c r="BD221" s="4857"/>
      <c r="BE221" s="4867">
        <v>0</v>
      </c>
      <c r="BF221" s="26"/>
      <c r="BG221" s="26"/>
      <c r="BH221" s="26"/>
      <c r="BP221" s="26"/>
      <c r="BQ221" s="26"/>
    </row>
    <row r="222" spans="1:69" ht="18.75" hidden="1" customHeight="1" x14ac:dyDescent="0.3">
      <c r="B222" s="4850" t="s">
        <v>1260</v>
      </c>
      <c r="C222" s="4868"/>
      <c r="D222" s="4869"/>
      <c r="E222" s="4857"/>
      <c r="F222" s="4857"/>
      <c r="G222" s="4857"/>
      <c r="H222" s="4857"/>
      <c r="I222" s="3373">
        <f t="shared" si="197"/>
        <v>0</v>
      </c>
      <c r="J222" s="4857"/>
      <c r="K222" s="4857"/>
      <c r="L222" s="4857"/>
      <c r="M222" s="4855">
        <f t="shared" si="198"/>
        <v>0</v>
      </c>
      <c r="N222" s="4857"/>
      <c r="O222" s="4857"/>
      <c r="P222" s="4857"/>
      <c r="Q222" s="1658">
        <f t="shared" si="192"/>
        <v>0</v>
      </c>
      <c r="R222" s="4856"/>
      <c r="S222" s="4857"/>
      <c r="T222" s="4857"/>
      <c r="U222" s="1658">
        <f t="shared" si="199"/>
        <v>0</v>
      </c>
      <c r="V222" s="4856"/>
      <c r="W222" s="4857"/>
      <c r="X222" s="4857"/>
      <c r="Y222" s="4855">
        <f t="shared" si="195"/>
        <v>0</v>
      </c>
      <c r="Z222" s="4857"/>
      <c r="AA222" s="4864">
        <f t="shared" si="196"/>
        <v>0</v>
      </c>
      <c r="AB222" s="4856"/>
      <c r="AC222" s="4865"/>
      <c r="AD222" s="4857"/>
      <c r="AE222" s="4866">
        <v>0</v>
      </c>
      <c r="AF222" s="4856"/>
      <c r="AG222" s="4865"/>
      <c r="AH222" s="4857"/>
      <c r="AI222" s="4866">
        <v>0</v>
      </c>
      <c r="AJ222" s="4856"/>
      <c r="AK222" s="4865"/>
      <c r="AL222" s="4857"/>
      <c r="AM222" s="4855">
        <v>0</v>
      </c>
      <c r="AN222" s="4857"/>
      <c r="AO222" s="4866">
        <v>0</v>
      </c>
      <c r="AP222" s="4856"/>
      <c r="AQ222" s="4865"/>
      <c r="AR222" s="4857"/>
      <c r="AS222" s="4866">
        <v>0</v>
      </c>
      <c r="AT222" s="4856"/>
      <c r="AU222" s="4865"/>
      <c r="AV222" s="4857"/>
      <c r="AW222" s="4866">
        <v>0</v>
      </c>
      <c r="AX222" s="4856"/>
      <c r="AY222" s="4857"/>
      <c r="AZ222" s="4857"/>
      <c r="BA222" s="4855">
        <v>0</v>
      </c>
      <c r="BB222" s="4857"/>
      <c r="BC222" s="4864">
        <v>0</v>
      </c>
      <c r="BD222" s="4857"/>
      <c r="BE222" s="4867">
        <v>0</v>
      </c>
      <c r="BF222" s="26"/>
      <c r="BG222" s="26"/>
      <c r="BH222" s="26"/>
      <c r="BP222" s="26"/>
      <c r="BQ222" s="26"/>
    </row>
    <row r="223" spans="1:69" ht="15.75" hidden="1" customHeight="1" x14ac:dyDescent="0.3">
      <c r="B223" s="4861" t="s">
        <v>1116</v>
      </c>
      <c r="C223" s="4862" t="s">
        <v>354</v>
      </c>
      <c r="D223" s="4862"/>
      <c r="E223" s="4857">
        <v>0</v>
      </c>
      <c r="F223" s="4857"/>
      <c r="G223" s="4857">
        <v>0</v>
      </c>
      <c r="H223" s="4857"/>
      <c r="I223" s="3373">
        <f t="shared" si="197"/>
        <v>0</v>
      </c>
      <c r="J223" s="4857"/>
      <c r="K223" s="4857">
        <v>0</v>
      </c>
      <c r="L223" s="4857"/>
      <c r="M223" s="4855">
        <f t="shared" si="198"/>
        <v>0</v>
      </c>
      <c r="N223" s="4857"/>
      <c r="O223" s="4857">
        <v>0</v>
      </c>
      <c r="P223" s="4857"/>
      <c r="Q223" s="1658">
        <f t="shared" si="192"/>
        <v>0</v>
      </c>
      <c r="R223" s="4856"/>
      <c r="S223" s="4857">
        <v>0</v>
      </c>
      <c r="T223" s="4857"/>
      <c r="U223" s="1658">
        <f t="shared" si="199"/>
        <v>0</v>
      </c>
      <c r="V223" s="4856"/>
      <c r="W223" s="4857">
        <v>0</v>
      </c>
      <c r="X223" s="4857"/>
      <c r="Y223" s="4855">
        <f t="shared" si="195"/>
        <v>0</v>
      </c>
      <c r="Z223" s="4857"/>
      <c r="AA223" s="4864">
        <f t="shared" si="196"/>
        <v>0</v>
      </c>
      <c r="AB223" s="4856"/>
      <c r="AC223" s="4865">
        <v>0</v>
      </c>
      <c r="AD223" s="4857"/>
      <c r="AE223" s="4866">
        <v>0</v>
      </c>
      <c r="AF223" s="4856"/>
      <c r="AG223" s="4865">
        <v>0</v>
      </c>
      <c r="AH223" s="4857"/>
      <c r="AI223" s="4866">
        <v>0</v>
      </c>
      <c r="AJ223" s="4856"/>
      <c r="AK223" s="4865">
        <v>0</v>
      </c>
      <c r="AL223" s="4857"/>
      <c r="AM223" s="4855">
        <v>0</v>
      </c>
      <c r="AN223" s="4857"/>
      <c r="AO223" s="4866">
        <v>0</v>
      </c>
      <c r="AP223" s="4856"/>
      <c r="AQ223" s="4865">
        <v>0</v>
      </c>
      <c r="AR223" s="4857"/>
      <c r="AS223" s="4866">
        <v>0</v>
      </c>
      <c r="AT223" s="4856"/>
      <c r="AU223" s="4865">
        <v>0</v>
      </c>
      <c r="AV223" s="4857"/>
      <c r="AW223" s="4866">
        <v>0</v>
      </c>
      <c r="AX223" s="4856"/>
      <c r="AY223" s="4857"/>
      <c r="AZ223" s="4857"/>
      <c r="BA223" s="4855">
        <v>0</v>
      </c>
      <c r="BB223" s="4857"/>
      <c r="BC223" s="4864">
        <v>0</v>
      </c>
      <c r="BD223" s="4857"/>
      <c r="BE223" s="4867">
        <v>0</v>
      </c>
      <c r="BF223" s="26"/>
      <c r="BG223" s="26"/>
      <c r="BH223" s="26"/>
      <c r="BP223" s="26"/>
      <c r="BQ223" s="26"/>
    </row>
    <row r="224" spans="1:69" ht="18.75" customHeight="1" x14ac:dyDescent="0.25">
      <c r="B224" s="4850" t="s">
        <v>1273</v>
      </c>
      <c r="C224" s="4851"/>
      <c r="D224" s="4852"/>
      <c r="E224" s="4853">
        <f>E225</f>
        <v>0</v>
      </c>
      <c r="F224" s="4853">
        <v>0</v>
      </c>
      <c r="G224" s="4853">
        <f t="shared" ref="G224:BE224" si="202">G225</f>
        <v>0</v>
      </c>
      <c r="H224" s="4854">
        <f t="shared" si="202"/>
        <v>0</v>
      </c>
      <c r="I224" s="3373">
        <f t="shared" si="202"/>
        <v>0</v>
      </c>
      <c r="J224" s="4853">
        <f t="shared" si="202"/>
        <v>0</v>
      </c>
      <c r="K224" s="4853">
        <f t="shared" si="202"/>
        <v>0</v>
      </c>
      <c r="L224" s="4853">
        <f t="shared" si="202"/>
        <v>0</v>
      </c>
      <c r="M224" s="4855">
        <f t="shared" si="202"/>
        <v>0</v>
      </c>
      <c r="N224" s="4853">
        <f t="shared" si="202"/>
        <v>0</v>
      </c>
      <c r="O224" s="4853">
        <f t="shared" si="202"/>
        <v>184.69</v>
      </c>
      <c r="P224" s="4853">
        <f t="shared" si="202"/>
        <v>0</v>
      </c>
      <c r="Q224" s="1658">
        <f t="shared" si="202"/>
        <v>184.69</v>
      </c>
      <c r="R224" s="4856">
        <f t="shared" si="202"/>
        <v>0</v>
      </c>
      <c r="S224" s="4853">
        <f t="shared" si="202"/>
        <v>0</v>
      </c>
      <c r="T224" s="4853">
        <f t="shared" si="202"/>
        <v>0</v>
      </c>
      <c r="U224" s="1658">
        <f t="shared" si="199"/>
        <v>184.69</v>
      </c>
      <c r="V224" s="4856">
        <f t="shared" si="202"/>
        <v>0</v>
      </c>
      <c r="W224" s="4853">
        <f t="shared" si="202"/>
        <v>0</v>
      </c>
      <c r="X224" s="4853">
        <f t="shared" si="202"/>
        <v>0</v>
      </c>
      <c r="Y224" s="4855">
        <f t="shared" si="195"/>
        <v>184.69</v>
      </c>
      <c r="Z224" s="4857"/>
      <c r="AA224" s="4858">
        <f t="shared" si="196"/>
        <v>184.69</v>
      </c>
      <c r="AB224" s="4856">
        <f t="shared" si="202"/>
        <v>0</v>
      </c>
      <c r="AC224" s="4859">
        <f t="shared" si="202"/>
        <v>0</v>
      </c>
      <c r="AD224" s="4853">
        <f t="shared" si="202"/>
        <v>0</v>
      </c>
      <c r="AE224" s="4860">
        <f t="shared" si="202"/>
        <v>0</v>
      </c>
      <c r="AF224" s="4856">
        <f t="shared" si="202"/>
        <v>0</v>
      </c>
      <c r="AG224" s="4859">
        <f t="shared" si="202"/>
        <v>0</v>
      </c>
      <c r="AH224" s="4853">
        <f t="shared" si="202"/>
        <v>0</v>
      </c>
      <c r="AI224" s="4860">
        <f t="shared" si="202"/>
        <v>0</v>
      </c>
      <c r="AJ224" s="4856">
        <f t="shared" si="202"/>
        <v>0</v>
      </c>
      <c r="AK224" s="4859">
        <f t="shared" si="202"/>
        <v>0</v>
      </c>
      <c r="AL224" s="4857">
        <f t="shared" si="202"/>
        <v>0</v>
      </c>
      <c r="AM224" s="4855">
        <f t="shared" si="202"/>
        <v>0</v>
      </c>
      <c r="AN224" s="4857">
        <f t="shared" si="202"/>
        <v>0</v>
      </c>
      <c r="AO224" s="4866">
        <f t="shared" si="202"/>
        <v>0</v>
      </c>
      <c r="AP224" s="4856">
        <f t="shared" si="202"/>
        <v>0</v>
      </c>
      <c r="AQ224" s="4859">
        <f t="shared" si="202"/>
        <v>0</v>
      </c>
      <c r="AR224" s="4853">
        <f t="shared" si="202"/>
        <v>0</v>
      </c>
      <c r="AS224" s="4860">
        <f t="shared" si="202"/>
        <v>0</v>
      </c>
      <c r="AT224" s="4856">
        <f t="shared" si="202"/>
        <v>0</v>
      </c>
      <c r="AU224" s="4859">
        <f t="shared" si="202"/>
        <v>0</v>
      </c>
      <c r="AV224" s="4853">
        <f t="shared" si="202"/>
        <v>0</v>
      </c>
      <c r="AW224" s="4860">
        <f t="shared" si="202"/>
        <v>0</v>
      </c>
      <c r="AX224" s="4856">
        <f t="shared" si="202"/>
        <v>0</v>
      </c>
      <c r="AY224" s="4853">
        <f t="shared" si="202"/>
        <v>0</v>
      </c>
      <c r="AZ224" s="4857">
        <f t="shared" si="202"/>
        <v>0</v>
      </c>
      <c r="BA224" s="4855">
        <f t="shared" si="202"/>
        <v>0</v>
      </c>
      <c r="BB224" s="4857">
        <f t="shared" si="202"/>
        <v>0</v>
      </c>
      <c r="BC224" s="4858">
        <f t="shared" si="202"/>
        <v>0</v>
      </c>
      <c r="BD224" s="4853">
        <f t="shared" si="202"/>
        <v>0</v>
      </c>
      <c r="BE224" s="4860">
        <f t="shared" si="202"/>
        <v>0</v>
      </c>
      <c r="BF224" s="26"/>
      <c r="BG224" s="26"/>
      <c r="BH224" s="26"/>
      <c r="BP224" s="26"/>
      <c r="BQ224" s="26"/>
    </row>
    <row r="225" spans="2:69" ht="18.75" customHeight="1" x14ac:dyDescent="0.25">
      <c r="B225" s="4861" t="s">
        <v>845</v>
      </c>
      <c r="C225" s="4862" t="s">
        <v>354</v>
      </c>
      <c r="D225" s="4862"/>
      <c r="E225" s="4857"/>
      <c r="F225" s="4857">
        <v>0</v>
      </c>
      <c r="G225" s="4857"/>
      <c r="H225" s="4857">
        <v>0</v>
      </c>
      <c r="I225" s="3373">
        <f t="shared" si="197"/>
        <v>0</v>
      </c>
      <c r="J225" s="4857">
        <v>0</v>
      </c>
      <c r="K225" s="4857"/>
      <c r="L225" s="4857"/>
      <c r="M225" s="4855">
        <f t="shared" si="198"/>
        <v>0</v>
      </c>
      <c r="N225" s="4857"/>
      <c r="O225" s="4857">
        <v>184.69</v>
      </c>
      <c r="P225" s="4857"/>
      <c r="Q225" s="1658">
        <f t="shared" si="192"/>
        <v>184.69</v>
      </c>
      <c r="R225" s="4870"/>
      <c r="S225" s="4857"/>
      <c r="T225" s="4857"/>
      <c r="U225" s="1658">
        <f t="shared" si="199"/>
        <v>184.69</v>
      </c>
      <c r="V225" s="4870"/>
      <c r="W225" s="4857"/>
      <c r="X225" s="4857"/>
      <c r="Y225" s="4855">
        <f t="shared" si="195"/>
        <v>184.69</v>
      </c>
      <c r="Z225" s="4857"/>
      <c r="AA225" s="4864">
        <f t="shared" si="196"/>
        <v>184.69</v>
      </c>
      <c r="AB225" s="4870"/>
      <c r="AC225" s="4865"/>
      <c r="AD225" s="4857"/>
      <c r="AE225" s="4866">
        <v>0</v>
      </c>
      <c r="AF225" s="4870"/>
      <c r="AG225" s="4865"/>
      <c r="AH225" s="4857"/>
      <c r="AI225" s="4866">
        <v>0</v>
      </c>
      <c r="AJ225" s="4870"/>
      <c r="AK225" s="4865"/>
      <c r="AL225" s="4853"/>
      <c r="AM225" s="4855">
        <v>0</v>
      </c>
      <c r="AN225" s="4857"/>
      <c r="AO225" s="4866">
        <v>0</v>
      </c>
      <c r="AP225" s="4870"/>
      <c r="AQ225" s="4865"/>
      <c r="AR225" s="4857"/>
      <c r="AS225" s="4866">
        <v>0</v>
      </c>
      <c r="AT225" s="4870"/>
      <c r="AU225" s="4865"/>
      <c r="AV225" s="4857"/>
      <c r="AW225" s="4866">
        <v>0</v>
      </c>
      <c r="AX225" s="4870"/>
      <c r="AY225" s="4857"/>
      <c r="AZ225" s="4853"/>
      <c r="BA225" s="4855">
        <v>0</v>
      </c>
      <c r="BB225" s="4857"/>
      <c r="BC225" s="4864">
        <v>0</v>
      </c>
      <c r="BD225" s="4857"/>
      <c r="BE225" s="4867">
        <v>0</v>
      </c>
      <c r="BF225" s="26"/>
      <c r="BG225" s="26"/>
      <c r="BH225" s="26"/>
      <c r="BP225" s="26"/>
      <c r="BQ225" s="26"/>
    </row>
    <row r="226" spans="2:69" ht="18.75" hidden="1" customHeight="1" x14ac:dyDescent="0.3">
      <c r="B226" s="4850" t="s">
        <v>1204</v>
      </c>
      <c r="C226" s="4851" t="s">
        <v>354</v>
      </c>
      <c r="D226" s="4852"/>
      <c r="E226" s="4853">
        <v>0</v>
      </c>
      <c r="F226" s="4853"/>
      <c r="G226" s="4853">
        <v>0</v>
      </c>
      <c r="H226" s="4854"/>
      <c r="I226" s="3373">
        <f t="shared" si="197"/>
        <v>0</v>
      </c>
      <c r="J226" s="4853"/>
      <c r="K226" s="4853">
        <v>0</v>
      </c>
      <c r="L226" s="4853"/>
      <c r="M226" s="4855">
        <f t="shared" si="198"/>
        <v>0</v>
      </c>
      <c r="N226" s="4853"/>
      <c r="O226" s="4853">
        <v>0</v>
      </c>
      <c r="P226" s="4853"/>
      <c r="Q226" s="1658">
        <f t="shared" si="192"/>
        <v>0</v>
      </c>
      <c r="R226" s="4856"/>
      <c r="S226" s="4853">
        <v>0</v>
      </c>
      <c r="T226" s="4853"/>
      <c r="U226" s="1658">
        <f t="shared" si="199"/>
        <v>0</v>
      </c>
      <c r="V226" s="4856"/>
      <c r="W226" s="4853">
        <v>0</v>
      </c>
      <c r="X226" s="4853"/>
      <c r="Y226" s="4855">
        <f t="shared" si="195"/>
        <v>0</v>
      </c>
      <c r="Z226" s="4857"/>
      <c r="AA226" s="4858">
        <f t="shared" si="196"/>
        <v>0</v>
      </c>
      <c r="AB226" s="4856"/>
      <c r="AC226" s="4859">
        <v>0</v>
      </c>
      <c r="AD226" s="4853"/>
      <c r="AE226" s="4860">
        <v>0</v>
      </c>
      <c r="AF226" s="4856"/>
      <c r="AG226" s="4859">
        <v>0</v>
      </c>
      <c r="AH226" s="4853"/>
      <c r="AI226" s="4860">
        <v>0</v>
      </c>
      <c r="AJ226" s="4856"/>
      <c r="AK226" s="4859">
        <v>0</v>
      </c>
      <c r="AL226" s="4857"/>
      <c r="AM226" s="4855">
        <v>0</v>
      </c>
      <c r="AN226" s="4857"/>
      <c r="AO226" s="4866">
        <v>0</v>
      </c>
      <c r="AP226" s="4856"/>
      <c r="AQ226" s="4859">
        <v>0</v>
      </c>
      <c r="AR226" s="4853"/>
      <c r="AS226" s="4860">
        <v>0</v>
      </c>
      <c r="AT226" s="4856"/>
      <c r="AU226" s="4859">
        <v>0</v>
      </c>
      <c r="AV226" s="4853"/>
      <c r="AW226" s="4860">
        <v>0</v>
      </c>
      <c r="AX226" s="4856"/>
      <c r="AY226" s="4853"/>
      <c r="AZ226" s="4857"/>
      <c r="BA226" s="4855">
        <v>0</v>
      </c>
      <c r="BB226" s="4857"/>
      <c r="BC226" s="4858">
        <v>0</v>
      </c>
      <c r="BD226" s="4853"/>
      <c r="BE226" s="4860">
        <v>0</v>
      </c>
      <c r="BF226" s="26"/>
      <c r="BG226" s="26"/>
      <c r="BH226" s="26"/>
      <c r="BP226" s="26"/>
      <c r="BQ226" s="26"/>
    </row>
    <row r="227" spans="2:69" ht="15.75" hidden="1" customHeight="1" x14ac:dyDescent="0.3">
      <c r="B227" s="4861" t="s">
        <v>844</v>
      </c>
      <c r="C227" s="4862" t="s">
        <v>354</v>
      </c>
      <c r="D227" s="4869"/>
      <c r="E227" s="4857"/>
      <c r="F227" s="4857"/>
      <c r="G227" s="4857"/>
      <c r="H227" s="4857"/>
      <c r="I227" s="3373">
        <f t="shared" si="197"/>
        <v>0</v>
      </c>
      <c r="J227" s="4857"/>
      <c r="K227" s="4857"/>
      <c r="L227" s="4857"/>
      <c r="M227" s="4855">
        <f t="shared" si="198"/>
        <v>0</v>
      </c>
      <c r="N227" s="4857"/>
      <c r="O227" s="4857"/>
      <c r="P227" s="4857"/>
      <c r="Q227" s="1658">
        <f t="shared" si="192"/>
        <v>0</v>
      </c>
      <c r="R227" s="4856"/>
      <c r="S227" s="4857"/>
      <c r="T227" s="4857"/>
      <c r="U227" s="1658">
        <f t="shared" si="199"/>
        <v>0</v>
      </c>
      <c r="V227" s="4856"/>
      <c r="W227" s="4857"/>
      <c r="X227" s="4857"/>
      <c r="Y227" s="4855">
        <f t="shared" si="195"/>
        <v>0</v>
      </c>
      <c r="Z227" s="4857"/>
      <c r="AA227" s="4864">
        <f t="shared" si="196"/>
        <v>0</v>
      </c>
      <c r="AB227" s="4856"/>
      <c r="AC227" s="4865"/>
      <c r="AD227" s="4857"/>
      <c r="AE227" s="4866">
        <v>0</v>
      </c>
      <c r="AF227" s="4856"/>
      <c r="AG227" s="4865"/>
      <c r="AH227" s="4857"/>
      <c r="AI227" s="4866">
        <v>0</v>
      </c>
      <c r="AJ227" s="4856"/>
      <c r="AK227" s="4865"/>
      <c r="AL227" s="4857"/>
      <c r="AM227" s="4855">
        <v>0</v>
      </c>
      <c r="AN227" s="4857"/>
      <c r="AO227" s="4866">
        <v>0</v>
      </c>
      <c r="AP227" s="4856"/>
      <c r="AQ227" s="4865"/>
      <c r="AR227" s="4857"/>
      <c r="AS227" s="4866">
        <v>0</v>
      </c>
      <c r="AT227" s="4856"/>
      <c r="AU227" s="4865"/>
      <c r="AV227" s="4857"/>
      <c r="AW227" s="4866">
        <v>0</v>
      </c>
      <c r="AX227" s="4856"/>
      <c r="AY227" s="4857"/>
      <c r="AZ227" s="4857"/>
      <c r="BA227" s="4855">
        <v>0</v>
      </c>
      <c r="BB227" s="4857"/>
      <c r="BC227" s="4864">
        <v>0</v>
      </c>
      <c r="BD227" s="4857"/>
      <c r="BE227" s="4867">
        <v>0</v>
      </c>
      <c r="BF227" s="26"/>
      <c r="BG227" s="26"/>
      <c r="BH227" s="26"/>
      <c r="BP227" s="26"/>
      <c r="BQ227" s="26"/>
    </row>
    <row r="228" spans="2:69" ht="15.75" hidden="1" customHeight="1" x14ac:dyDescent="0.3">
      <c r="B228" s="4861" t="s">
        <v>955</v>
      </c>
      <c r="C228" s="4862" t="s">
        <v>354</v>
      </c>
      <c r="D228" s="4862"/>
      <c r="E228" s="4857"/>
      <c r="F228" s="4857"/>
      <c r="G228" s="4857"/>
      <c r="H228" s="4857"/>
      <c r="I228" s="3373">
        <f t="shared" si="197"/>
        <v>0</v>
      </c>
      <c r="J228" s="4857"/>
      <c r="K228" s="4857"/>
      <c r="L228" s="4857"/>
      <c r="M228" s="4855">
        <f t="shared" si="198"/>
        <v>0</v>
      </c>
      <c r="N228" s="4857"/>
      <c r="O228" s="4857"/>
      <c r="P228" s="4857"/>
      <c r="Q228" s="1658">
        <f t="shared" si="192"/>
        <v>0</v>
      </c>
      <c r="R228" s="4856"/>
      <c r="S228" s="4857"/>
      <c r="T228" s="4857"/>
      <c r="U228" s="1658">
        <f t="shared" si="199"/>
        <v>0</v>
      </c>
      <c r="V228" s="4856"/>
      <c r="W228" s="4857"/>
      <c r="X228" s="4857"/>
      <c r="Y228" s="4855">
        <f t="shared" si="195"/>
        <v>0</v>
      </c>
      <c r="Z228" s="4857"/>
      <c r="AA228" s="4864">
        <f t="shared" si="196"/>
        <v>0</v>
      </c>
      <c r="AB228" s="4856"/>
      <c r="AC228" s="4865"/>
      <c r="AD228" s="4857"/>
      <c r="AE228" s="4866">
        <v>0</v>
      </c>
      <c r="AF228" s="4856"/>
      <c r="AG228" s="4865"/>
      <c r="AH228" s="4857"/>
      <c r="AI228" s="4866">
        <v>0</v>
      </c>
      <c r="AJ228" s="4856"/>
      <c r="AK228" s="4865"/>
      <c r="AL228" s="4857"/>
      <c r="AM228" s="4855">
        <v>0</v>
      </c>
      <c r="AN228" s="4857"/>
      <c r="AO228" s="4866">
        <v>0</v>
      </c>
      <c r="AP228" s="4856"/>
      <c r="AQ228" s="4865"/>
      <c r="AR228" s="4857"/>
      <c r="AS228" s="4866">
        <v>0</v>
      </c>
      <c r="AT228" s="4856"/>
      <c r="AU228" s="4865"/>
      <c r="AV228" s="4857"/>
      <c r="AW228" s="4866">
        <v>0</v>
      </c>
      <c r="AX228" s="4856"/>
      <c r="AY228" s="4857"/>
      <c r="AZ228" s="4857"/>
      <c r="BA228" s="4855">
        <v>0</v>
      </c>
      <c r="BB228" s="4857"/>
      <c r="BC228" s="4864">
        <v>0</v>
      </c>
      <c r="BD228" s="4857"/>
      <c r="BE228" s="4867">
        <v>0</v>
      </c>
      <c r="BF228" s="26"/>
      <c r="BG228" s="26"/>
      <c r="BH228" s="26"/>
      <c r="BP228" s="26"/>
      <c r="BQ228" s="26"/>
    </row>
    <row r="229" spans="2:69" ht="18.75" hidden="1" customHeight="1" x14ac:dyDescent="0.3">
      <c r="B229" s="4850" t="s">
        <v>2113</v>
      </c>
      <c r="C229" s="4851"/>
      <c r="D229" s="4852"/>
      <c r="E229" s="4853">
        <v>0</v>
      </c>
      <c r="F229" s="4853">
        <v>0</v>
      </c>
      <c r="G229" s="4853">
        <v>0</v>
      </c>
      <c r="H229" s="4854">
        <v>0</v>
      </c>
      <c r="I229" s="3373">
        <f t="shared" si="197"/>
        <v>0</v>
      </c>
      <c r="J229" s="4853">
        <v>0</v>
      </c>
      <c r="K229" s="4853">
        <v>0</v>
      </c>
      <c r="L229" s="4853"/>
      <c r="M229" s="4855">
        <f t="shared" si="198"/>
        <v>0</v>
      </c>
      <c r="N229" s="4853"/>
      <c r="O229" s="4853">
        <v>0</v>
      </c>
      <c r="P229" s="4853">
        <v>0</v>
      </c>
      <c r="Q229" s="1658">
        <f t="shared" si="192"/>
        <v>0</v>
      </c>
      <c r="R229" s="4856">
        <v>0</v>
      </c>
      <c r="S229" s="4853">
        <v>0</v>
      </c>
      <c r="T229" s="4853">
        <v>0</v>
      </c>
      <c r="U229" s="1658">
        <f t="shared" si="199"/>
        <v>0</v>
      </c>
      <c r="V229" s="4856">
        <v>0</v>
      </c>
      <c r="W229" s="4853">
        <v>0</v>
      </c>
      <c r="X229" s="4853"/>
      <c r="Y229" s="4855">
        <f t="shared" si="195"/>
        <v>0</v>
      </c>
      <c r="Z229" s="4857"/>
      <c r="AA229" s="4858">
        <f t="shared" si="196"/>
        <v>0</v>
      </c>
      <c r="AB229" s="4856"/>
      <c r="AC229" s="4859">
        <v>0</v>
      </c>
      <c r="AD229" s="4853">
        <v>0</v>
      </c>
      <c r="AE229" s="4860">
        <v>648.85</v>
      </c>
      <c r="AF229" s="4856">
        <v>0</v>
      </c>
      <c r="AG229" s="4859">
        <v>0</v>
      </c>
      <c r="AH229" s="4853">
        <v>0</v>
      </c>
      <c r="AI229" s="4860">
        <v>648.85</v>
      </c>
      <c r="AJ229" s="4856">
        <v>0</v>
      </c>
      <c r="AK229" s="4859">
        <v>0</v>
      </c>
      <c r="AL229" s="4857"/>
      <c r="AM229" s="4855">
        <v>0</v>
      </c>
      <c r="AN229" s="4857"/>
      <c r="AO229" s="4866">
        <v>648.85</v>
      </c>
      <c r="AP229" s="4856"/>
      <c r="AQ229" s="4859">
        <v>0</v>
      </c>
      <c r="AR229" s="4853"/>
      <c r="AS229" s="4860">
        <v>648.85</v>
      </c>
      <c r="AT229" s="4856"/>
      <c r="AU229" s="4859">
        <v>0</v>
      </c>
      <c r="AV229" s="4853"/>
      <c r="AW229" s="4860">
        <v>648.85</v>
      </c>
      <c r="AX229" s="4856"/>
      <c r="AY229" s="4853">
        <v>0</v>
      </c>
      <c r="AZ229" s="4857"/>
      <c r="BA229" s="4855">
        <v>0</v>
      </c>
      <c r="BB229" s="4857"/>
      <c r="BC229" s="4858">
        <v>0</v>
      </c>
      <c r="BD229" s="4853"/>
      <c r="BE229" s="4860">
        <v>648.85</v>
      </c>
      <c r="BF229" s="26"/>
      <c r="BG229" s="26"/>
      <c r="BH229" s="26"/>
      <c r="BP229" s="26"/>
      <c r="BQ229" s="26"/>
    </row>
    <row r="230" spans="2:69" ht="15.75" hidden="1" customHeight="1" x14ac:dyDescent="0.3">
      <c r="B230" s="4861" t="s">
        <v>955</v>
      </c>
      <c r="C230" s="4862" t="s">
        <v>354</v>
      </c>
      <c r="D230" s="4871"/>
      <c r="E230" s="4857"/>
      <c r="F230" s="4857"/>
      <c r="G230" s="4857"/>
      <c r="H230" s="4857"/>
      <c r="I230" s="3373">
        <f t="shared" si="197"/>
        <v>0</v>
      </c>
      <c r="J230" s="4857"/>
      <c r="K230" s="4857"/>
      <c r="L230" s="4857"/>
      <c r="M230" s="4855">
        <f t="shared" si="198"/>
        <v>0</v>
      </c>
      <c r="N230" s="4857"/>
      <c r="O230" s="4857"/>
      <c r="P230" s="4857"/>
      <c r="Q230" s="1658">
        <f t="shared" si="192"/>
        <v>0</v>
      </c>
      <c r="R230" s="4872"/>
      <c r="S230" s="4857"/>
      <c r="T230" s="4857"/>
      <c r="U230" s="1658">
        <f t="shared" si="199"/>
        <v>0</v>
      </c>
      <c r="V230" s="4872"/>
      <c r="W230" s="4857"/>
      <c r="X230" s="4857"/>
      <c r="Y230" s="4855">
        <f t="shared" si="195"/>
        <v>0</v>
      </c>
      <c r="Z230" s="4857"/>
      <c r="AA230" s="4864">
        <f t="shared" si="196"/>
        <v>0</v>
      </c>
      <c r="AB230" s="4872"/>
      <c r="AC230" s="4865"/>
      <c r="AD230" s="4857"/>
      <c r="AE230" s="4866">
        <v>648.85</v>
      </c>
      <c r="AF230" s="4872"/>
      <c r="AG230" s="4865"/>
      <c r="AH230" s="4857"/>
      <c r="AI230" s="4866">
        <v>648.85</v>
      </c>
      <c r="AJ230" s="4872"/>
      <c r="AK230" s="4865"/>
      <c r="AL230" s="4873"/>
      <c r="AM230" s="4855">
        <v>0</v>
      </c>
      <c r="AN230" s="4857"/>
      <c r="AO230" s="4866">
        <v>648.85</v>
      </c>
      <c r="AP230" s="4872"/>
      <c r="AQ230" s="4865"/>
      <c r="AR230" s="4857"/>
      <c r="AS230" s="4866">
        <v>648.85</v>
      </c>
      <c r="AT230" s="4872"/>
      <c r="AU230" s="4865"/>
      <c r="AV230" s="4857"/>
      <c r="AW230" s="4866">
        <v>648.85</v>
      </c>
      <c r="AX230" s="4872"/>
      <c r="AY230" s="4857"/>
      <c r="AZ230" s="4873"/>
      <c r="BA230" s="4855">
        <v>0</v>
      </c>
      <c r="BB230" s="4857"/>
      <c r="BC230" s="4864">
        <v>0</v>
      </c>
      <c r="BD230" s="4857"/>
      <c r="BE230" s="4867">
        <v>648.85</v>
      </c>
      <c r="BF230" s="26"/>
      <c r="BG230" s="26"/>
      <c r="BH230" s="26"/>
      <c r="BP230" s="26"/>
      <c r="BQ230" s="26"/>
    </row>
    <row r="231" spans="2:69" ht="18.75" hidden="1" customHeight="1" x14ac:dyDescent="0.3">
      <c r="B231" s="4850" t="s">
        <v>1691</v>
      </c>
      <c r="C231" s="4851"/>
      <c r="D231" s="4852"/>
      <c r="E231" s="4853">
        <v>0</v>
      </c>
      <c r="F231" s="4853">
        <v>0</v>
      </c>
      <c r="G231" s="4853">
        <v>0</v>
      </c>
      <c r="H231" s="4854">
        <v>0</v>
      </c>
      <c r="I231" s="3373">
        <f t="shared" si="197"/>
        <v>0</v>
      </c>
      <c r="J231" s="4853">
        <v>0</v>
      </c>
      <c r="K231" s="4853">
        <v>0</v>
      </c>
      <c r="L231" s="4853"/>
      <c r="M231" s="4855">
        <f t="shared" si="198"/>
        <v>0</v>
      </c>
      <c r="N231" s="4853"/>
      <c r="O231" s="4853">
        <v>0</v>
      </c>
      <c r="P231" s="4853">
        <v>0</v>
      </c>
      <c r="Q231" s="1658">
        <f t="shared" si="192"/>
        <v>0</v>
      </c>
      <c r="R231" s="4856">
        <v>0</v>
      </c>
      <c r="S231" s="4853">
        <v>0</v>
      </c>
      <c r="T231" s="4853">
        <v>0</v>
      </c>
      <c r="U231" s="1658">
        <f t="shared" si="199"/>
        <v>0</v>
      </c>
      <c r="V231" s="4856">
        <v>0</v>
      </c>
      <c r="W231" s="4853">
        <v>0</v>
      </c>
      <c r="X231" s="4853"/>
      <c r="Y231" s="4855">
        <f t="shared" si="195"/>
        <v>0</v>
      </c>
      <c r="Z231" s="4857"/>
      <c r="AA231" s="4858">
        <f t="shared" si="196"/>
        <v>0</v>
      </c>
      <c r="AB231" s="4856"/>
      <c r="AC231" s="4859">
        <v>0</v>
      </c>
      <c r="AD231" s="4853">
        <v>0</v>
      </c>
      <c r="AE231" s="4860">
        <v>2520.1999999999998</v>
      </c>
      <c r="AF231" s="4856">
        <v>0</v>
      </c>
      <c r="AG231" s="4859">
        <v>0</v>
      </c>
      <c r="AH231" s="4853">
        <v>0</v>
      </c>
      <c r="AI231" s="4860">
        <v>2520.1999999999998</v>
      </c>
      <c r="AJ231" s="4856">
        <v>0</v>
      </c>
      <c r="AK231" s="4859">
        <v>0</v>
      </c>
      <c r="AL231" s="4857"/>
      <c r="AM231" s="4855">
        <v>0</v>
      </c>
      <c r="AN231" s="4857"/>
      <c r="AO231" s="4866">
        <v>2520.1999999999998</v>
      </c>
      <c r="AP231" s="4856"/>
      <c r="AQ231" s="4859">
        <v>0</v>
      </c>
      <c r="AR231" s="4853"/>
      <c r="AS231" s="4860">
        <v>2520.1999999999998</v>
      </c>
      <c r="AT231" s="4856"/>
      <c r="AU231" s="4859">
        <v>0</v>
      </c>
      <c r="AV231" s="4853"/>
      <c r="AW231" s="4860">
        <v>2520.1999999999998</v>
      </c>
      <c r="AX231" s="4856"/>
      <c r="AY231" s="4853">
        <v>0</v>
      </c>
      <c r="AZ231" s="4857"/>
      <c r="BA231" s="4855">
        <v>0</v>
      </c>
      <c r="BB231" s="4857"/>
      <c r="BC231" s="4858">
        <v>0</v>
      </c>
      <c r="BD231" s="4853"/>
      <c r="BE231" s="4860">
        <v>2520.1999999999998</v>
      </c>
      <c r="BF231" s="26"/>
      <c r="BG231" s="26"/>
      <c r="BH231" s="26"/>
      <c r="BP231" s="26"/>
      <c r="BQ231" s="26"/>
    </row>
    <row r="232" spans="2:69" ht="15.75" hidden="1" customHeight="1" x14ac:dyDescent="0.3">
      <c r="B232" s="4861" t="s">
        <v>2112</v>
      </c>
      <c r="C232" s="4862" t="s">
        <v>354</v>
      </c>
      <c r="D232" s="4862"/>
      <c r="E232" s="4857"/>
      <c r="F232" s="4857"/>
      <c r="G232" s="4857"/>
      <c r="H232" s="4857"/>
      <c r="I232" s="3373">
        <f t="shared" si="197"/>
        <v>0</v>
      </c>
      <c r="J232" s="4857"/>
      <c r="K232" s="4857"/>
      <c r="L232" s="4857"/>
      <c r="M232" s="4855">
        <f t="shared" si="198"/>
        <v>0</v>
      </c>
      <c r="N232" s="4857"/>
      <c r="O232" s="4857"/>
      <c r="P232" s="4857"/>
      <c r="Q232" s="1658">
        <f t="shared" si="192"/>
        <v>0</v>
      </c>
      <c r="R232" s="4856"/>
      <c r="S232" s="4857"/>
      <c r="T232" s="4857"/>
      <c r="U232" s="1658">
        <f t="shared" si="199"/>
        <v>0</v>
      </c>
      <c r="V232" s="4856"/>
      <c r="W232" s="4857"/>
      <c r="X232" s="4857"/>
      <c r="Y232" s="4855">
        <f t="shared" si="195"/>
        <v>0</v>
      </c>
      <c r="Z232" s="4857"/>
      <c r="AA232" s="4864">
        <f t="shared" si="196"/>
        <v>0</v>
      </c>
      <c r="AB232" s="4856"/>
      <c r="AC232" s="4865"/>
      <c r="AD232" s="4857"/>
      <c r="AE232" s="4866">
        <v>2520.1999999999998</v>
      </c>
      <c r="AF232" s="4856"/>
      <c r="AG232" s="4865"/>
      <c r="AH232" s="4857"/>
      <c r="AI232" s="4866">
        <v>2520.1999999999998</v>
      </c>
      <c r="AJ232" s="4856"/>
      <c r="AK232" s="4865"/>
      <c r="AL232" s="4857"/>
      <c r="AM232" s="4855">
        <v>0</v>
      </c>
      <c r="AN232" s="4857"/>
      <c r="AO232" s="4866">
        <v>2520.1999999999998</v>
      </c>
      <c r="AP232" s="4856"/>
      <c r="AQ232" s="4865"/>
      <c r="AR232" s="4857"/>
      <c r="AS232" s="4866">
        <v>2520.1999999999998</v>
      </c>
      <c r="AT232" s="4856"/>
      <c r="AU232" s="4865"/>
      <c r="AV232" s="4857"/>
      <c r="AW232" s="4866">
        <v>2520.1999999999998</v>
      </c>
      <c r="AX232" s="4856"/>
      <c r="AY232" s="4857"/>
      <c r="AZ232" s="4857"/>
      <c r="BA232" s="4855">
        <v>0</v>
      </c>
      <c r="BB232" s="4857"/>
      <c r="BC232" s="4864">
        <v>0</v>
      </c>
      <c r="BD232" s="4857"/>
      <c r="BE232" s="4867">
        <v>2520.1999999999998</v>
      </c>
      <c r="BF232" s="26"/>
      <c r="BG232" s="26"/>
      <c r="BH232" s="26"/>
      <c r="BP232" s="26"/>
      <c r="BQ232" s="26"/>
    </row>
    <row r="233" spans="2:69" ht="18.75" customHeight="1" x14ac:dyDescent="0.25">
      <c r="B233" s="4850" t="s">
        <v>1298</v>
      </c>
      <c r="C233" s="4851"/>
      <c r="D233" s="4852"/>
      <c r="E233" s="4853">
        <f>E234</f>
        <v>0</v>
      </c>
      <c r="F233" s="4853">
        <v>0</v>
      </c>
      <c r="G233" s="4853">
        <f t="shared" ref="G233:BE233" si="203">G234</f>
        <v>0</v>
      </c>
      <c r="H233" s="4854">
        <f t="shared" si="203"/>
        <v>0</v>
      </c>
      <c r="I233" s="3373">
        <f t="shared" si="203"/>
        <v>0</v>
      </c>
      <c r="J233" s="4853">
        <f t="shared" si="203"/>
        <v>0</v>
      </c>
      <c r="K233" s="4853">
        <f t="shared" si="203"/>
        <v>0</v>
      </c>
      <c r="L233" s="4853">
        <f t="shared" si="203"/>
        <v>0</v>
      </c>
      <c r="M233" s="4855">
        <f t="shared" si="203"/>
        <v>0</v>
      </c>
      <c r="N233" s="4853">
        <f t="shared" si="203"/>
        <v>0</v>
      </c>
      <c r="O233" s="4853">
        <f t="shared" si="203"/>
        <v>3850.4</v>
      </c>
      <c r="P233" s="4853">
        <f t="shared" si="203"/>
        <v>0</v>
      </c>
      <c r="Q233" s="1658">
        <f t="shared" si="203"/>
        <v>3850.4</v>
      </c>
      <c r="R233" s="4856">
        <f t="shared" si="203"/>
        <v>0</v>
      </c>
      <c r="S233" s="4853">
        <f t="shared" si="203"/>
        <v>3852.88</v>
      </c>
      <c r="T233" s="4853">
        <f t="shared" si="203"/>
        <v>0</v>
      </c>
      <c r="U233" s="1658">
        <f t="shared" si="199"/>
        <v>7703.2800000000007</v>
      </c>
      <c r="V233" s="4856">
        <f t="shared" si="203"/>
        <v>0</v>
      </c>
      <c r="W233" s="4853">
        <f t="shared" si="203"/>
        <v>0</v>
      </c>
      <c r="X233" s="4853">
        <f t="shared" si="203"/>
        <v>0</v>
      </c>
      <c r="Y233" s="4855">
        <f t="shared" si="195"/>
        <v>7703.2800000000007</v>
      </c>
      <c r="Z233" s="4857"/>
      <c r="AA233" s="4858">
        <f t="shared" si="196"/>
        <v>7703.2800000000007</v>
      </c>
      <c r="AB233" s="4856">
        <f t="shared" si="203"/>
        <v>0</v>
      </c>
      <c r="AC233" s="4859">
        <f t="shared" si="203"/>
        <v>7862.7000000000007</v>
      </c>
      <c r="AD233" s="4853">
        <f t="shared" si="203"/>
        <v>0</v>
      </c>
      <c r="AE233" s="4860">
        <f t="shared" si="203"/>
        <v>23510.940000000002</v>
      </c>
      <c r="AF233" s="4856">
        <f t="shared" si="203"/>
        <v>0</v>
      </c>
      <c r="AG233" s="4859">
        <f t="shared" si="203"/>
        <v>0</v>
      </c>
      <c r="AH233" s="4853">
        <f t="shared" si="203"/>
        <v>0</v>
      </c>
      <c r="AI233" s="4860">
        <f t="shared" si="203"/>
        <v>23510.940000000002</v>
      </c>
      <c r="AJ233" s="4856">
        <f t="shared" si="203"/>
        <v>0</v>
      </c>
      <c r="AK233" s="4859">
        <f t="shared" si="203"/>
        <v>0</v>
      </c>
      <c r="AL233" s="4857">
        <f t="shared" si="203"/>
        <v>0</v>
      </c>
      <c r="AM233" s="4855">
        <f t="shared" si="203"/>
        <v>7862.7000000000007</v>
      </c>
      <c r="AN233" s="4853">
        <f t="shared" si="203"/>
        <v>0</v>
      </c>
      <c r="AO233" s="4860">
        <f t="shared" si="203"/>
        <v>23510.940000000002</v>
      </c>
      <c r="AP233" s="4856">
        <f t="shared" si="203"/>
        <v>0</v>
      </c>
      <c r="AQ233" s="4859">
        <f t="shared" si="203"/>
        <v>0</v>
      </c>
      <c r="AR233" s="4853">
        <f t="shared" si="203"/>
        <v>0</v>
      </c>
      <c r="AS233" s="4860">
        <f t="shared" si="203"/>
        <v>23510.940000000002</v>
      </c>
      <c r="AT233" s="4856">
        <f t="shared" si="203"/>
        <v>0</v>
      </c>
      <c r="AU233" s="4859">
        <f t="shared" si="203"/>
        <v>3773.6</v>
      </c>
      <c r="AV233" s="4853">
        <f t="shared" si="203"/>
        <v>0</v>
      </c>
      <c r="AW233" s="4860">
        <f t="shared" si="203"/>
        <v>27284.54</v>
      </c>
      <c r="AX233" s="4856">
        <f t="shared" si="203"/>
        <v>0</v>
      </c>
      <c r="AY233" s="4853">
        <f t="shared" si="203"/>
        <v>0</v>
      </c>
      <c r="AZ233" s="4857">
        <f t="shared" si="203"/>
        <v>0</v>
      </c>
      <c r="BA233" s="4855">
        <f t="shared" si="203"/>
        <v>3773.6</v>
      </c>
      <c r="BB233" s="4857">
        <f t="shared" si="203"/>
        <v>0</v>
      </c>
      <c r="BC233" s="4858">
        <f t="shared" si="203"/>
        <v>11636.300000000001</v>
      </c>
      <c r="BD233" s="4853">
        <f t="shared" si="203"/>
        <v>0</v>
      </c>
      <c r="BE233" s="4860">
        <f t="shared" si="203"/>
        <v>27284.54</v>
      </c>
      <c r="BF233" s="26"/>
      <c r="BG233" s="26"/>
      <c r="BH233" s="26"/>
      <c r="BP233" s="26"/>
      <c r="BQ233" s="26"/>
    </row>
    <row r="234" spans="2:69" ht="18.75" customHeight="1" x14ac:dyDescent="0.25">
      <c r="B234" s="4861" t="s">
        <v>955</v>
      </c>
      <c r="C234" s="4862" t="s">
        <v>354</v>
      </c>
      <c r="D234" s="4862"/>
      <c r="E234" s="4857"/>
      <c r="F234" s="4857"/>
      <c r="G234" s="4857"/>
      <c r="H234" s="4857"/>
      <c r="I234" s="3373">
        <f t="shared" si="197"/>
        <v>0</v>
      </c>
      <c r="J234" s="4857"/>
      <c r="K234" s="4857"/>
      <c r="L234" s="4857"/>
      <c r="M234" s="4855">
        <f t="shared" si="198"/>
        <v>0</v>
      </c>
      <c r="N234" s="4857"/>
      <c r="O234" s="4857">
        <v>3850.4</v>
      </c>
      <c r="P234" s="4857"/>
      <c r="Q234" s="1658">
        <f t="shared" si="192"/>
        <v>3850.4</v>
      </c>
      <c r="R234" s="4870"/>
      <c r="S234" s="4857">
        <v>3852.88</v>
      </c>
      <c r="T234" s="4857"/>
      <c r="U234" s="1658">
        <f t="shared" si="199"/>
        <v>7703.2800000000007</v>
      </c>
      <c r="V234" s="4870"/>
      <c r="W234" s="4857"/>
      <c r="X234" s="4857"/>
      <c r="Y234" s="4855">
        <f t="shared" si="195"/>
        <v>7703.2800000000007</v>
      </c>
      <c r="Z234" s="4857"/>
      <c r="AA234" s="4864">
        <f t="shared" si="196"/>
        <v>7703.2800000000007</v>
      </c>
      <c r="AB234" s="4870"/>
      <c r="AC234" s="4865">
        <v>7862.7000000000007</v>
      </c>
      <c r="AD234" s="4857"/>
      <c r="AE234" s="4866">
        <v>23510.940000000002</v>
      </c>
      <c r="AF234" s="4870"/>
      <c r="AG234" s="4865"/>
      <c r="AH234" s="4857"/>
      <c r="AI234" s="4866">
        <v>23510.940000000002</v>
      </c>
      <c r="AJ234" s="4870"/>
      <c r="AK234" s="4865"/>
      <c r="AL234" s="4853"/>
      <c r="AM234" s="4855">
        <v>7862.7000000000007</v>
      </c>
      <c r="AN234" s="4857"/>
      <c r="AO234" s="4866">
        <v>23510.940000000002</v>
      </c>
      <c r="AP234" s="4870"/>
      <c r="AQ234" s="4865"/>
      <c r="AR234" s="4857"/>
      <c r="AS234" s="4866">
        <v>23510.940000000002</v>
      </c>
      <c r="AT234" s="4870"/>
      <c r="AU234" s="4865">
        <v>3773.6</v>
      </c>
      <c r="AV234" s="4857"/>
      <c r="AW234" s="4866">
        <v>27284.54</v>
      </c>
      <c r="AX234" s="4870"/>
      <c r="AY234" s="4857"/>
      <c r="AZ234" s="4853"/>
      <c r="BA234" s="4855">
        <v>3773.6</v>
      </c>
      <c r="BB234" s="4857"/>
      <c r="BC234" s="4864">
        <v>11636.300000000001</v>
      </c>
      <c r="BD234" s="4857"/>
      <c r="BE234" s="4867">
        <v>27284.54</v>
      </c>
      <c r="BF234" s="26"/>
      <c r="BG234" s="26"/>
      <c r="BH234" s="26"/>
      <c r="BP234" s="26"/>
      <c r="BQ234" s="26"/>
    </row>
    <row r="235" spans="2:69" ht="18.75" customHeight="1" x14ac:dyDescent="0.25">
      <c r="B235" s="4850" t="s">
        <v>1282</v>
      </c>
      <c r="C235" s="5369"/>
      <c r="D235" s="4852"/>
      <c r="E235" s="4853">
        <f>E237+E236</f>
        <v>4150.7</v>
      </c>
      <c r="F235" s="4853"/>
      <c r="G235" s="4853">
        <f t="shared" ref="G235:BE235" si="204">G237+G236</f>
        <v>0</v>
      </c>
      <c r="H235" s="4854">
        <f t="shared" si="204"/>
        <v>0</v>
      </c>
      <c r="I235" s="3373">
        <f t="shared" si="204"/>
        <v>4150.7</v>
      </c>
      <c r="J235" s="4853">
        <f t="shared" si="204"/>
        <v>0</v>
      </c>
      <c r="K235" s="4853">
        <f t="shared" si="204"/>
        <v>0</v>
      </c>
      <c r="L235" s="4853">
        <f t="shared" si="204"/>
        <v>0</v>
      </c>
      <c r="M235" s="4855">
        <f t="shared" si="204"/>
        <v>4150.7</v>
      </c>
      <c r="N235" s="4853">
        <f t="shared" si="204"/>
        <v>0</v>
      </c>
      <c r="O235" s="4853">
        <f t="shared" si="204"/>
        <v>4110.7</v>
      </c>
      <c r="P235" s="4853">
        <f t="shared" si="204"/>
        <v>0</v>
      </c>
      <c r="Q235" s="1658">
        <f t="shared" si="204"/>
        <v>8261.4</v>
      </c>
      <c r="R235" s="4856">
        <f t="shared" si="204"/>
        <v>0</v>
      </c>
      <c r="S235" s="4853">
        <f t="shared" ref="S235" si="205">S237+S236</f>
        <v>0</v>
      </c>
      <c r="T235" s="4853">
        <f t="shared" si="204"/>
        <v>0</v>
      </c>
      <c r="U235" s="1658">
        <f t="shared" si="199"/>
        <v>8261.4</v>
      </c>
      <c r="V235" s="4856">
        <f t="shared" si="204"/>
        <v>0</v>
      </c>
      <c r="W235" s="4853">
        <f t="shared" si="204"/>
        <v>0</v>
      </c>
      <c r="X235" s="4853">
        <f t="shared" si="204"/>
        <v>0</v>
      </c>
      <c r="Y235" s="4855">
        <f t="shared" si="195"/>
        <v>4110.7</v>
      </c>
      <c r="Z235" s="4857"/>
      <c r="AA235" s="4858">
        <f t="shared" si="196"/>
        <v>8261.4</v>
      </c>
      <c r="AB235" s="4856">
        <f t="shared" si="204"/>
        <v>0</v>
      </c>
      <c r="AC235" s="4859">
        <f t="shared" si="204"/>
        <v>0</v>
      </c>
      <c r="AD235" s="4853">
        <f t="shared" si="204"/>
        <v>0</v>
      </c>
      <c r="AE235" s="4860">
        <f t="shared" si="204"/>
        <v>16222.8</v>
      </c>
      <c r="AF235" s="4856">
        <f t="shared" si="204"/>
        <v>0</v>
      </c>
      <c r="AG235" s="4859">
        <f t="shared" si="204"/>
        <v>0</v>
      </c>
      <c r="AH235" s="4853">
        <f t="shared" si="204"/>
        <v>0</v>
      </c>
      <c r="AI235" s="4860">
        <f t="shared" si="204"/>
        <v>16222.8</v>
      </c>
      <c r="AJ235" s="4856">
        <f t="shared" si="204"/>
        <v>0</v>
      </c>
      <c r="AK235" s="4859">
        <f t="shared" si="204"/>
        <v>0</v>
      </c>
      <c r="AL235" s="4857">
        <f t="shared" si="204"/>
        <v>0</v>
      </c>
      <c r="AM235" s="4855">
        <f t="shared" si="204"/>
        <v>0</v>
      </c>
      <c r="AN235" s="4853">
        <f t="shared" si="204"/>
        <v>0</v>
      </c>
      <c r="AO235" s="4860">
        <f t="shared" si="204"/>
        <v>16222.8</v>
      </c>
      <c r="AP235" s="4856">
        <f t="shared" si="204"/>
        <v>0</v>
      </c>
      <c r="AQ235" s="4859">
        <f t="shared" si="204"/>
        <v>4041.3</v>
      </c>
      <c r="AR235" s="4853">
        <f t="shared" si="204"/>
        <v>0</v>
      </c>
      <c r="AS235" s="4860">
        <f t="shared" si="204"/>
        <v>20264.099999999999</v>
      </c>
      <c r="AT235" s="4856">
        <f t="shared" si="204"/>
        <v>0</v>
      </c>
      <c r="AU235" s="4859">
        <f t="shared" si="204"/>
        <v>4044.1</v>
      </c>
      <c r="AV235" s="4853">
        <f t="shared" si="204"/>
        <v>0</v>
      </c>
      <c r="AW235" s="4860">
        <f t="shared" si="204"/>
        <v>24308.199999999997</v>
      </c>
      <c r="AX235" s="4856">
        <f t="shared" si="204"/>
        <v>0</v>
      </c>
      <c r="AY235" s="4853">
        <f t="shared" si="204"/>
        <v>4135</v>
      </c>
      <c r="AZ235" s="4857">
        <f t="shared" si="204"/>
        <v>0</v>
      </c>
      <c r="BA235" s="4855">
        <f t="shared" si="204"/>
        <v>12220.4</v>
      </c>
      <c r="BB235" s="4857">
        <f t="shared" si="204"/>
        <v>0</v>
      </c>
      <c r="BC235" s="4858">
        <f t="shared" si="204"/>
        <v>12220.4</v>
      </c>
      <c r="BD235" s="4853">
        <f t="shared" si="204"/>
        <v>0</v>
      </c>
      <c r="BE235" s="4860">
        <f t="shared" si="204"/>
        <v>28443.199999999997</v>
      </c>
      <c r="BF235" s="26"/>
      <c r="BG235" s="26"/>
      <c r="BH235" s="26"/>
      <c r="BP235" s="26"/>
      <c r="BQ235" s="26"/>
    </row>
    <row r="236" spans="2:69" ht="15.75" hidden="1" customHeight="1" x14ac:dyDescent="0.3">
      <c r="B236" s="4861" t="s">
        <v>955</v>
      </c>
      <c r="C236" s="4862" t="s">
        <v>354</v>
      </c>
      <c r="D236" s="4868"/>
      <c r="E236" s="4857"/>
      <c r="F236" s="4857"/>
      <c r="G236" s="4857"/>
      <c r="H236" s="4857"/>
      <c r="I236" s="3373">
        <f t="shared" si="197"/>
        <v>0</v>
      </c>
      <c r="J236" s="4857"/>
      <c r="K236" s="4857"/>
      <c r="L236" s="4857"/>
      <c r="M236" s="4855">
        <f t="shared" si="198"/>
        <v>0</v>
      </c>
      <c r="N236" s="4857"/>
      <c r="O236" s="4857"/>
      <c r="P236" s="4857"/>
      <c r="Q236" s="1658">
        <f t="shared" si="192"/>
        <v>0</v>
      </c>
      <c r="R236" s="4856"/>
      <c r="S236" s="4857"/>
      <c r="T236" s="4857"/>
      <c r="U236" s="1658">
        <f t="shared" si="199"/>
        <v>0</v>
      </c>
      <c r="V236" s="4856"/>
      <c r="W236" s="4857"/>
      <c r="X236" s="4857"/>
      <c r="Y236" s="4874">
        <f t="shared" si="195"/>
        <v>0</v>
      </c>
      <c r="Z236" s="4857"/>
      <c r="AA236" s="4864">
        <f t="shared" si="196"/>
        <v>0</v>
      </c>
      <c r="AB236" s="4856"/>
      <c r="AC236" s="4865"/>
      <c r="AD236" s="4857"/>
      <c r="AE236" s="4866">
        <v>0</v>
      </c>
      <c r="AF236" s="4856"/>
      <c r="AG236" s="4865"/>
      <c r="AH236" s="4857"/>
      <c r="AI236" s="4866">
        <v>0</v>
      </c>
      <c r="AJ236" s="4856"/>
      <c r="AK236" s="4865"/>
      <c r="AL236" s="4857"/>
      <c r="AM236" s="4874">
        <v>0</v>
      </c>
      <c r="AN236" s="4857"/>
      <c r="AO236" s="4866">
        <v>0</v>
      </c>
      <c r="AP236" s="4856"/>
      <c r="AQ236" s="4865"/>
      <c r="AR236" s="4857"/>
      <c r="AS236" s="4866">
        <v>0</v>
      </c>
      <c r="AT236" s="4856"/>
      <c r="AU236" s="4865"/>
      <c r="AV236" s="4857"/>
      <c r="AW236" s="4866">
        <v>0</v>
      </c>
      <c r="AX236" s="4856"/>
      <c r="AY236" s="4857"/>
      <c r="AZ236" s="4857"/>
      <c r="BA236" s="4874">
        <v>0</v>
      </c>
      <c r="BB236" s="4857"/>
      <c r="BC236" s="4864">
        <v>0</v>
      </c>
      <c r="BD236" s="4857"/>
      <c r="BE236" s="4867">
        <v>0</v>
      </c>
      <c r="BF236" s="26"/>
      <c r="BG236" s="26"/>
      <c r="BH236" s="26"/>
      <c r="BP236" s="26"/>
      <c r="BQ236" s="26"/>
    </row>
    <row r="237" spans="2:69" ht="15.75" customHeight="1" x14ac:dyDescent="0.25">
      <c r="B237" s="4861" t="s">
        <v>1906</v>
      </c>
      <c r="C237" s="4862" t="s">
        <v>354</v>
      </c>
      <c r="D237" s="4862"/>
      <c r="E237" s="4857">
        <v>4150.7</v>
      </c>
      <c r="F237" s="4857"/>
      <c r="G237" s="4857"/>
      <c r="H237" s="4857"/>
      <c r="I237" s="3373">
        <f t="shared" si="197"/>
        <v>4150.7</v>
      </c>
      <c r="J237" s="4857"/>
      <c r="K237" s="4857"/>
      <c r="L237" s="4857"/>
      <c r="M237" s="4855">
        <f t="shared" si="198"/>
        <v>4150.7</v>
      </c>
      <c r="N237" s="4857"/>
      <c r="O237" s="4857">
        <v>4110.7</v>
      </c>
      <c r="P237" s="4857"/>
      <c r="Q237" s="1658">
        <f t="shared" si="192"/>
        <v>8261.4</v>
      </c>
      <c r="R237" s="4856"/>
      <c r="S237" s="4857"/>
      <c r="T237" s="4857"/>
      <c r="U237" s="1658">
        <f t="shared" si="199"/>
        <v>8261.4</v>
      </c>
      <c r="V237" s="4856"/>
      <c r="W237" s="4857"/>
      <c r="X237" s="4857"/>
      <c r="Y237" s="4855">
        <f t="shared" si="195"/>
        <v>4110.7</v>
      </c>
      <c r="Z237" s="4857"/>
      <c r="AA237" s="4864">
        <f t="shared" si="196"/>
        <v>8261.4</v>
      </c>
      <c r="AB237" s="4856"/>
      <c r="AC237" s="4865"/>
      <c r="AD237" s="4857"/>
      <c r="AE237" s="4866">
        <v>16222.8</v>
      </c>
      <c r="AF237" s="4856"/>
      <c r="AG237" s="4865"/>
      <c r="AH237" s="4857"/>
      <c r="AI237" s="4866">
        <v>16222.8</v>
      </c>
      <c r="AJ237" s="26"/>
      <c r="AK237" s="4865"/>
      <c r="AM237" s="4855">
        <v>0</v>
      </c>
      <c r="AN237" s="4857"/>
      <c r="AO237" s="4866">
        <v>16222.8</v>
      </c>
      <c r="AP237" s="4856"/>
      <c r="AQ237" s="4865">
        <v>4041.3</v>
      </c>
      <c r="AR237" s="4857"/>
      <c r="AS237" s="4866">
        <v>20264.099999999999</v>
      </c>
      <c r="AT237" s="4856"/>
      <c r="AU237" s="4865">
        <v>4044.1</v>
      </c>
      <c r="AV237" s="4857"/>
      <c r="AW237" s="4866">
        <v>24308.199999999997</v>
      </c>
      <c r="AX237" s="4856"/>
      <c r="AY237" s="4857">
        <v>4135</v>
      </c>
      <c r="BA237" s="4855">
        <v>12220.4</v>
      </c>
      <c r="BB237" s="4857"/>
      <c r="BC237" s="4864">
        <v>12220.4</v>
      </c>
      <c r="BD237" s="4857"/>
      <c r="BE237" s="4867">
        <v>28443.199999999997</v>
      </c>
      <c r="BF237" s="26"/>
      <c r="BG237" s="26"/>
      <c r="BH237" s="26"/>
      <c r="BP237" s="26"/>
      <c r="BQ237" s="26"/>
    </row>
    <row r="238" spans="2:69" ht="18.75" hidden="1" customHeight="1" x14ac:dyDescent="0.3">
      <c r="B238" s="4850" t="s">
        <v>1324</v>
      </c>
      <c r="C238" s="4851"/>
      <c r="D238" s="4852"/>
      <c r="E238" s="4853"/>
      <c r="F238" s="4853"/>
      <c r="G238" s="4853"/>
      <c r="H238" s="4853"/>
      <c r="I238" s="3373">
        <f t="shared" si="197"/>
        <v>0</v>
      </c>
      <c r="J238" s="4853"/>
      <c r="K238" s="4853"/>
      <c r="L238" s="4853"/>
      <c r="M238" s="4855">
        <v>0</v>
      </c>
      <c r="N238" s="4853"/>
      <c r="O238" s="4853"/>
      <c r="P238" s="4853"/>
      <c r="Q238" s="4853">
        <v>0</v>
      </c>
      <c r="R238" s="4856"/>
      <c r="S238" s="4853"/>
      <c r="T238" s="4853"/>
      <c r="U238" s="5540">
        <v>0</v>
      </c>
      <c r="V238" s="4856"/>
      <c r="W238" s="4853"/>
      <c r="X238" s="4853"/>
      <c r="Y238" s="4855">
        <v>0</v>
      </c>
      <c r="Z238" s="4857">
        <v>0</v>
      </c>
      <c r="AA238" s="4858">
        <v>0</v>
      </c>
      <c r="AB238" s="4856"/>
      <c r="AC238" s="4859"/>
      <c r="AD238" s="4853"/>
      <c r="AE238" s="4875"/>
      <c r="AF238" s="4856"/>
      <c r="AG238" s="4853"/>
      <c r="AH238" s="4853"/>
      <c r="AI238" s="4875"/>
      <c r="AJ238" s="4856"/>
      <c r="AK238" s="4853"/>
      <c r="AL238" s="4857"/>
      <c r="AM238" s="4855">
        <v>0</v>
      </c>
      <c r="AN238" s="4853"/>
      <c r="AO238" s="4875"/>
      <c r="AP238" s="4856"/>
      <c r="AQ238" s="4853"/>
      <c r="AR238" s="4853"/>
      <c r="AS238" s="4875"/>
      <c r="AT238" s="4856"/>
      <c r="AU238" s="4853"/>
      <c r="AV238" s="4853"/>
      <c r="AW238" s="4875"/>
      <c r="AX238" s="4856"/>
      <c r="AY238" s="4853"/>
      <c r="AZ238" s="4857"/>
      <c r="BA238" s="4855">
        <v>0</v>
      </c>
      <c r="BB238" s="4857">
        <v>0</v>
      </c>
      <c r="BC238" s="4858">
        <v>0</v>
      </c>
      <c r="BD238" s="4853"/>
      <c r="BE238" s="4875"/>
      <c r="BG238" s="26"/>
      <c r="BH238" s="26"/>
    </row>
    <row r="239" spans="2:69" ht="15.75" hidden="1" customHeight="1" x14ac:dyDescent="0.3">
      <c r="B239" s="4861" t="s">
        <v>845</v>
      </c>
      <c r="C239" s="4862" t="s">
        <v>354</v>
      </c>
      <c r="D239" s="4862"/>
      <c r="E239" s="4857">
        <v>0</v>
      </c>
      <c r="F239" s="4857"/>
      <c r="G239" s="4857">
        <v>0</v>
      </c>
      <c r="H239" s="4857"/>
      <c r="I239" s="3373">
        <f t="shared" si="197"/>
        <v>0</v>
      </c>
      <c r="J239" s="4857"/>
      <c r="K239" s="4857">
        <v>0</v>
      </c>
      <c r="L239" s="4857"/>
      <c r="M239" s="4855">
        <v>0</v>
      </c>
      <c r="N239" s="4857"/>
      <c r="O239" s="4857">
        <v>0</v>
      </c>
      <c r="P239" s="4857"/>
      <c r="Q239" s="4857">
        <v>0</v>
      </c>
      <c r="R239" s="4857"/>
      <c r="S239" s="4857">
        <v>0</v>
      </c>
      <c r="T239" s="4857"/>
      <c r="U239" s="4857">
        <v>0</v>
      </c>
      <c r="V239" s="4857"/>
      <c r="W239" s="4857"/>
      <c r="X239" s="4857"/>
      <c r="Y239" s="4855">
        <v>0</v>
      </c>
      <c r="Z239" s="4873"/>
      <c r="AA239" s="2636">
        <v>0</v>
      </c>
      <c r="AC239" s="4865"/>
      <c r="AD239" s="4857"/>
      <c r="AE239" s="4857"/>
      <c r="AF239" s="4857"/>
      <c r="AG239" s="4857"/>
      <c r="AH239" s="4857"/>
      <c r="AI239" s="4857"/>
      <c r="AJ239" s="4857"/>
      <c r="AK239" s="4857"/>
      <c r="AL239" s="4857"/>
      <c r="AM239" s="4855">
        <v>0</v>
      </c>
      <c r="AN239" s="4857"/>
      <c r="AO239" s="4857"/>
      <c r="AP239" s="4857"/>
      <c r="AQ239" s="4857"/>
      <c r="AR239" s="4857"/>
      <c r="AS239" s="1782"/>
      <c r="AT239" s="4857"/>
      <c r="AU239" s="4857"/>
      <c r="AV239" s="4857"/>
      <c r="AW239" s="2618"/>
      <c r="AX239" s="4857"/>
      <c r="AY239" s="4857"/>
      <c r="AZ239" s="4857"/>
      <c r="BA239" s="4855">
        <v>0</v>
      </c>
      <c r="BB239" s="4873"/>
      <c r="BC239" s="2636">
        <v>0</v>
      </c>
      <c r="BD239" s="4857"/>
      <c r="BE239" s="2618"/>
      <c r="BG239" s="26"/>
      <c r="BH239" s="26"/>
    </row>
    <row r="240" spans="2:69" ht="18" hidden="1" x14ac:dyDescent="0.3">
      <c r="B240" s="4850" t="s">
        <v>1506</v>
      </c>
      <c r="C240" s="4851" t="s">
        <v>354</v>
      </c>
      <c r="D240" s="4852"/>
      <c r="E240" s="4853">
        <v>0</v>
      </c>
      <c r="F240" s="4853"/>
      <c r="G240" s="4853">
        <v>0</v>
      </c>
      <c r="H240" s="4854"/>
      <c r="I240" s="3373">
        <f t="shared" si="197"/>
        <v>0</v>
      </c>
      <c r="J240" s="4853"/>
      <c r="K240" s="4853">
        <v>0</v>
      </c>
      <c r="L240" s="4853"/>
      <c r="M240" s="4855">
        <v>0</v>
      </c>
      <c r="N240" s="4853"/>
      <c r="O240" s="4853">
        <v>0</v>
      </c>
      <c r="P240" s="4853"/>
      <c r="Q240" s="4854">
        <v>0</v>
      </c>
      <c r="R240" s="4856"/>
      <c r="S240" s="4853">
        <v>0</v>
      </c>
      <c r="T240" s="4853"/>
      <c r="U240" s="5539">
        <v>0</v>
      </c>
      <c r="V240" s="4856"/>
      <c r="W240" s="4853">
        <v>0</v>
      </c>
      <c r="X240" s="4853"/>
      <c r="Y240" s="4855">
        <v>0</v>
      </c>
      <c r="Z240" s="4857"/>
      <c r="AA240" s="4858">
        <v>0</v>
      </c>
      <c r="AB240" s="4856"/>
      <c r="AC240" s="4859">
        <v>0</v>
      </c>
      <c r="AD240" s="4853"/>
      <c r="AE240" s="4860">
        <v>0</v>
      </c>
      <c r="AF240" s="4856"/>
      <c r="AG240" s="4853">
        <v>0</v>
      </c>
      <c r="AH240" s="4853"/>
      <c r="AI240" s="4860">
        <v>0</v>
      </c>
      <c r="AJ240" s="4856"/>
      <c r="AK240" s="4853">
        <v>0</v>
      </c>
      <c r="AL240" s="4857"/>
      <c r="AM240" s="4855">
        <v>0</v>
      </c>
      <c r="AN240" s="4853"/>
      <c r="AO240" s="4860">
        <v>0</v>
      </c>
      <c r="AP240" s="4856"/>
      <c r="AQ240" s="4853">
        <v>0</v>
      </c>
      <c r="AR240" s="4853"/>
      <c r="AS240" s="4860">
        <v>0</v>
      </c>
      <c r="AT240" s="4856"/>
      <c r="AU240" s="4853">
        <v>0</v>
      </c>
      <c r="AV240" s="4853"/>
      <c r="AW240" s="4860">
        <v>0</v>
      </c>
      <c r="AX240" s="4856"/>
      <c r="AY240" s="4853">
        <v>0</v>
      </c>
      <c r="AZ240" s="4857"/>
      <c r="BA240" s="4855">
        <v>0</v>
      </c>
      <c r="BB240" s="4857"/>
      <c r="BC240" s="4858">
        <v>0</v>
      </c>
      <c r="BD240" s="4853"/>
      <c r="BE240" s="4860">
        <v>0</v>
      </c>
      <c r="BG240" s="26"/>
      <c r="BH240" s="26"/>
    </row>
    <row r="241" spans="2:60" ht="18" hidden="1" thickBot="1" x14ac:dyDescent="0.35">
      <c r="B241" s="4876" t="s">
        <v>955</v>
      </c>
      <c r="C241" s="4877" t="s">
        <v>354</v>
      </c>
      <c r="D241" s="4877"/>
      <c r="E241" s="4878">
        <v>0</v>
      </c>
      <c r="F241" s="4878"/>
      <c r="G241" s="4878">
        <v>0</v>
      </c>
      <c r="H241" s="4878"/>
      <c r="I241" s="3373">
        <f t="shared" si="197"/>
        <v>0</v>
      </c>
      <c r="J241" s="4878"/>
      <c r="K241" s="4878">
        <v>0</v>
      </c>
      <c r="L241" s="4878"/>
      <c r="M241" s="4879">
        <v>0</v>
      </c>
      <c r="N241" s="4878"/>
      <c r="O241" s="4878">
        <v>0</v>
      </c>
      <c r="P241" s="4878"/>
      <c r="Q241" s="4878">
        <v>0</v>
      </c>
      <c r="R241" s="4878"/>
      <c r="S241" s="4878">
        <v>0</v>
      </c>
      <c r="T241" s="4878"/>
      <c r="U241" s="4878">
        <v>0</v>
      </c>
      <c r="V241" s="4878"/>
      <c r="W241" s="4878"/>
      <c r="X241" s="4878"/>
      <c r="Y241" s="4879">
        <v>0</v>
      </c>
      <c r="Z241" s="4857"/>
      <c r="AA241" s="4864">
        <v>0</v>
      </c>
      <c r="AB241" s="2487"/>
      <c r="AC241" s="4880"/>
      <c r="AD241" s="4878"/>
      <c r="AE241" s="4866">
        <v>0</v>
      </c>
      <c r="AF241" s="4878"/>
      <c r="AG241" s="4878"/>
      <c r="AH241" s="4878"/>
      <c r="AI241" s="4866">
        <v>0</v>
      </c>
      <c r="AJ241" s="4878"/>
      <c r="AK241" s="4878"/>
      <c r="AL241" s="4878"/>
      <c r="AM241" s="4879">
        <v>0</v>
      </c>
      <c r="AN241" s="4853"/>
      <c r="AO241" s="4866">
        <v>0</v>
      </c>
      <c r="AP241" s="4878"/>
      <c r="AQ241" s="4878"/>
      <c r="AR241" s="4878"/>
      <c r="AS241" s="4866">
        <v>0</v>
      </c>
      <c r="AT241" s="4878"/>
      <c r="AU241" s="4878"/>
      <c r="AV241" s="4878"/>
      <c r="AW241" s="4867">
        <v>0</v>
      </c>
      <c r="AX241" s="4878"/>
      <c r="AY241" s="4878"/>
      <c r="AZ241" s="4878"/>
      <c r="BA241" s="4879">
        <v>0</v>
      </c>
      <c r="BB241" s="4857"/>
      <c r="BC241" s="4864">
        <v>0</v>
      </c>
      <c r="BD241" s="4878"/>
      <c r="BE241" s="4867">
        <v>0</v>
      </c>
      <c r="BG241" s="26"/>
      <c r="BH241" s="26"/>
    </row>
    <row r="242" spans="2:60" x14ac:dyDescent="0.25">
      <c r="AJ242" s="26"/>
    </row>
    <row r="243" spans="2:60" ht="15" x14ac:dyDescent="0.25"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Y243" s="26"/>
      <c r="BA243" s="26"/>
      <c r="BC243" s="26"/>
      <c r="BE243" s="26"/>
    </row>
    <row r="244" spans="2:60" x14ac:dyDescent="0.25">
      <c r="AU244" s="1219"/>
    </row>
  </sheetData>
  <mergeCells count="34"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L3:AM3"/>
    <mergeCell ref="AN3:AO3"/>
    <mergeCell ref="B203:C203"/>
    <mergeCell ref="B138:C138"/>
    <mergeCell ref="B136:C136"/>
    <mergeCell ref="B117:C117"/>
  </mergeCells>
  <conditionalFormatting sqref="B74:B75">
    <cfRule type="duplicateValues" dxfId="19" priority="1"/>
  </conditionalFormatting>
  <conditionalFormatting sqref="B76:B101 B66:B72">
    <cfRule type="duplicateValues" dxfId="18" priority="2"/>
  </conditionalFormatting>
  <pageMargins left="0.7" right="0.7" top="0.75" bottom="0.75" header="0.3" footer="0.3"/>
  <pageSetup paperSize="9" scale="2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6699"/>
    <pageSetUpPr fitToPage="1"/>
  </sheetPr>
  <dimension ref="B2:BJ25"/>
  <sheetViews>
    <sheetView workbookViewId="0">
      <pane xSplit="4" ySplit="2" topLeftCell="O3" activePane="bottomRight" state="frozen"/>
      <selection pane="topRight" activeCell="E1" sqref="E1"/>
      <selection pane="bottomLeft" activeCell="A2" sqref="A2"/>
      <selection pane="bottomRight" activeCell="BI13" sqref="BI13"/>
    </sheetView>
  </sheetViews>
  <sheetFormatPr defaultColWidth="9.140625" defaultRowHeight="18.75" x14ac:dyDescent="0.3"/>
  <cols>
    <col min="1" max="1" width="9.140625" style="4"/>
    <col min="2" max="2" width="41.7109375" style="3730" bestFit="1" customWidth="1"/>
    <col min="3" max="3" width="16.140625" style="3730" bestFit="1" customWidth="1"/>
    <col min="4" max="4" width="12.140625" style="3731" customWidth="1"/>
    <col min="5" max="5" width="14.85546875" style="3730" customWidth="1"/>
    <col min="6" max="6" width="12.7109375" style="3730" customWidth="1"/>
    <col min="7" max="7" width="12.85546875" style="3730" customWidth="1"/>
    <col min="8" max="8" width="12.5703125" style="3730" customWidth="1"/>
    <col min="9" max="9" width="10.5703125" style="3730" hidden="1" customWidth="1"/>
    <col min="10" max="10" width="11.28515625" style="3730" hidden="1" customWidth="1"/>
    <col min="11" max="11" width="10.42578125" style="3730" bestFit="1" customWidth="1"/>
    <col min="12" max="12" width="10.42578125" style="3730" customWidth="1"/>
    <col min="13" max="13" width="9" style="3730" customWidth="1"/>
    <col min="14" max="14" width="10.42578125" style="3730" customWidth="1"/>
    <col min="15" max="15" width="9" style="4" bestFit="1" customWidth="1"/>
    <col min="16" max="16" width="10.42578125" style="4" bestFit="1" customWidth="1"/>
    <col min="17" max="17" width="10.28515625" style="4" hidden="1" customWidth="1"/>
    <col min="18" max="18" width="10.42578125" style="4" hidden="1" customWidth="1"/>
    <col min="19" max="20" width="10.28515625" style="4" bestFit="1" customWidth="1"/>
    <col min="21" max="22" width="10.28515625" style="4" hidden="1" customWidth="1"/>
    <col min="23" max="24" width="10.42578125" style="4" bestFit="1" customWidth="1"/>
    <col min="25" max="25" width="9.85546875" style="4" customWidth="1"/>
    <col min="26" max="26" width="10.42578125" style="4" bestFit="1" customWidth="1"/>
    <col min="27" max="28" width="10.28515625" style="4" customWidth="1"/>
    <col min="29" max="30" width="10" style="4" hidden="1" customWidth="1"/>
    <col min="31" max="32" width="11.28515625" style="4" hidden="1" customWidth="1"/>
    <col min="33" max="34" width="9.85546875" style="4" hidden="1" customWidth="1"/>
    <col min="35" max="36" width="11.28515625" style="4" hidden="1" customWidth="1"/>
    <col min="37" max="38" width="10" style="4" hidden="1" customWidth="1"/>
    <col min="39" max="40" width="9" style="4" hidden="1" customWidth="1"/>
    <col min="41" max="42" width="10.28515625" style="4" hidden="1" customWidth="1"/>
    <col min="43" max="44" width="10" style="4" hidden="1" customWidth="1"/>
    <col min="45" max="46" width="11.28515625" style="4" hidden="1" customWidth="1"/>
    <col min="47" max="48" width="10" style="4" hidden="1" customWidth="1"/>
    <col min="49" max="50" width="11.28515625" style="4" hidden="1" customWidth="1"/>
    <col min="51" max="54" width="9.85546875" style="4" hidden="1" customWidth="1"/>
    <col min="55" max="58" width="11.28515625" style="4" hidden="1" customWidth="1"/>
    <col min="59" max="59" width="9.140625" style="4" customWidth="1"/>
    <col min="60" max="16384" width="9.140625" style="4"/>
  </cols>
  <sheetData>
    <row r="2" spans="2:62" ht="17.45" x14ac:dyDescent="0.3">
      <c r="B2" s="5861" t="s">
        <v>999</v>
      </c>
      <c r="C2" s="5861"/>
      <c r="D2" s="5861"/>
      <c r="E2" s="5861"/>
      <c r="F2" s="5861"/>
      <c r="G2" s="5861"/>
      <c r="H2" s="5861"/>
      <c r="I2" s="5861"/>
      <c r="J2" s="5861"/>
      <c r="K2" s="5861"/>
      <c r="L2" s="5861"/>
      <c r="M2" s="5861"/>
      <c r="N2" s="5861"/>
      <c r="O2" s="5861"/>
      <c r="P2" s="5861"/>
      <c r="Q2" s="5861"/>
      <c r="R2" s="5861"/>
      <c r="S2" s="5861"/>
      <c r="T2" s="5861"/>
      <c r="U2" s="5861"/>
      <c r="V2" s="5861"/>
    </row>
    <row r="3" spans="2:62" ht="18.600000000000001" thickBot="1" x14ac:dyDescent="0.4"/>
    <row r="4" spans="2:62" ht="19.5" thickBot="1" x14ac:dyDescent="0.3">
      <c r="B4" s="5862" t="s">
        <v>171</v>
      </c>
      <c r="C4" s="5864" t="s">
        <v>172</v>
      </c>
      <c r="D4" s="5869" t="s">
        <v>2193</v>
      </c>
      <c r="E4" s="5791" t="s">
        <v>2190</v>
      </c>
      <c r="F4" s="5854"/>
      <c r="G4" s="5791" t="s">
        <v>2242</v>
      </c>
      <c r="H4" s="5854"/>
      <c r="I4" s="5866" t="s">
        <v>14</v>
      </c>
      <c r="J4" s="5867"/>
      <c r="K4" s="5791" t="s">
        <v>2274</v>
      </c>
      <c r="L4" s="5791"/>
      <c r="M4" s="5857" t="s">
        <v>641</v>
      </c>
      <c r="N4" s="5858"/>
      <c r="O4" s="5791" t="s">
        <v>2297</v>
      </c>
      <c r="P4" s="5854"/>
      <c r="Q4" s="5868" t="s">
        <v>651</v>
      </c>
      <c r="R4" s="5856"/>
      <c r="S4" s="5791" t="s">
        <v>2299</v>
      </c>
      <c r="T4" s="5854"/>
      <c r="U4" s="5855" t="s">
        <v>836</v>
      </c>
      <c r="V4" s="5856"/>
      <c r="W4" s="5791" t="s">
        <v>2344</v>
      </c>
      <c r="X4" s="5791"/>
      <c r="Y4" s="5857" t="s">
        <v>660</v>
      </c>
      <c r="Z4" s="5858"/>
      <c r="AA4" s="5859" t="s">
        <v>657</v>
      </c>
      <c r="AB4" s="5860"/>
      <c r="AC4" s="5791" t="s">
        <v>1954</v>
      </c>
      <c r="AD4" s="5854"/>
      <c r="AE4" s="5855" t="s">
        <v>1100</v>
      </c>
      <c r="AF4" s="5856"/>
      <c r="AG4" s="5791" t="s">
        <v>1970</v>
      </c>
      <c r="AH4" s="5854"/>
      <c r="AI4" s="5855" t="s">
        <v>1650</v>
      </c>
      <c r="AJ4" s="5856"/>
      <c r="AK4" s="5791" t="s">
        <v>1985</v>
      </c>
      <c r="AL4" s="5791"/>
      <c r="AM4" s="5857" t="s">
        <v>662</v>
      </c>
      <c r="AN4" s="5858"/>
      <c r="AO4" s="5855" t="s">
        <v>1666</v>
      </c>
      <c r="AP4" s="5856"/>
      <c r="AQ4" s="5791" t="s">
        <v>2085</v>
      </c>
      <c r="AR4" s="5854"/>
      <c r="AS4" s="5855" t="s">
        <v>1688</v>
      </c>
      <c r="AT4" s="5856"/>
      <c r="AU4" s="5791" t="s">
        <v>2099</v>
      </c>
      <c r="AV4" s="5854"/>
      <c r="AW4" s="5855" t="s">
        <v>1697</v>
      </c>
      <c r="AX4" s="5856"/>
      <c r="AY4" s="5791" t="s">
        <v>2111</v>
      </c>
      <c r="AZ4" s="5854"/>
      <c r="BA4" s="5857" t="s">
        <v>663</v>
      </c>
      <c r="BB4" s="5858"/>
      <c r="BC4" s="5859" t="s">
        <v>671</v>
      </c>
      <c r="BD4" s="5860"/>
      <c r="BE4" s="5855" t="s">
        <v>1745</v>
      </c>
      <c r="BF4" s="5856"/>
    </row>
    <row r="5" spans="2:62" x14ac:dyDescent="0.25">
      <c r="B5" s="5863"/>
      <c r="C5" s="5865"/>
      <c r="D5" s="5870"/>
      <c r="E5" s="582" t="s">
        <v>173</v>
      </c>
      <c r="F5" s="583" t="s">
        <v>174</v>
      </c>
      <c r="G5" s="582" t="s">
        <v>173</v>
      </c>
      <c r="H5" s="583" t="s">
        <v>174</v>
      </c>
      <c r="I5" s="1216" t="s">
        <v>173</v>
      </c>
      <c r="J5" s="1361" t="s">
        <v>174</v>
      </c>
      <c r="K5" s="582" t="s">
        <v>173</v>
      </c>
      <c r="L5" s="2227" t="s">
        <v>174</v>
      </c>
      <c r="M5" s="2423" t="s">
        <v>173</v>
      </c>
      <c r="N5" s="2424" t="s">
        <v>174</v>
      </c>
      <c r="O5" s="582" t="s">
        <v>173</v>
      </c>
      <c r="P5" s="583" t="s">
        <v>174</v>
      </c>
      <c r="Q5" s="1199" t="s">
        <v>173</v>
      </c>
      <c r="R5" s="1200" t="s">
        <v>174</v>
      </c>
      <c r="S5" s="582" t="s">
        <v>173</v>
      </c>
      <c r="T5" s="583" t="s">
        <v>174</v>
      </c>
      <c r="U5" s="1199" t="s">
        <v>173</v>
      </c>
      <c r="V5" s="1200" t="s">
        <v>174</v>
      </c>
      <c r="W5" s="582" t="s">
        <v>173</v>
      </c>
      <c r="X5" s="2227" t="s">
        <v>174</v>
      </c>
      <c r="Y5" s="2423" t="s">
        <v>173</v>
      </c>
      <c r="Z5" s="2424" t="s">
        <v>174</v>
      </c>
      <c r="AA5" s="2425" t="s">
        <v>173</v>
      </c>
      <c r="AB5" s="2426" t="s">
        <v>174</v>
      </c>
      <c r="AC5" s="582" t="s">
        <v>173</v>
      </c>
      <c r="AD5" s="583" t="s">
        <v>174</v>
      </c>
      <c r="AE5" s="1199" t="s">
        <v>173</v>
      </c>
      <c r="AF5" s="1200" t="s">
        <v>174</v>
      </c>
      <c r="AG5" s="582" t="s">
        <v>173</v>
      </c>
      <c r="AH5" s="583" t="s">
        <v>174</v>
      </c>
      <c r="AI5" s="1199" t="s">
        <v>173</v>
      </c>
      <c r="AJ5" s="1200" t="s">
        <v>174</v>
      </c>
      <c r="AK5" s="582" t="s">
        <v>173</v>
      </c>
      <c r="AL5" s="2227" t="s">
        <v>174</v>
      </c>
      <c r="AM5" s="2423" t="s">
        <v>173</v>
      </c>
      <c r="AN5" s="2424" t="s">
        <v>174</v>
      </c>
      <c r="AO5" s="1199" t="s">
        <v>173</v>
      </c>
      <c r="AP5" s="1200" t="s">
        <v>174</v>
      </c>
      <c r="AQ5" s="582" t="s">
        <v>173</v>
      </c>
      <c r="AR5" s="583" t="s">
        <v>174</v>
      </c>
      <c r="AS5" s="1199" t="s">
        <v>173</v>
      </c>
      <c r="AT5" s="1200" t="s">
        <v>174</v>
      </c>
      <c r="AU5" s="582" t="s">
        <v>173</v>
      </c>
      <c r="AV5" s="583" t="s">
        <v>174</v>
      </c>
      <c r="AW5" s="1199" t="s">
        <v>173</v>
      </c>
      <c r="AX5" s="1200" t="s">
        <v>174</v>
      </c>
      <c r="AY5" s="582" t="s">
        <v>173</v>
      </c>
      <c r="AZ5" s="583" t="s">
        <v>174</v>
      </c>
      <c r="BA5" s="2423" t="s">
        <v>173</v>
      </c>
      <c r="BB5" s="2424" t="s">
        <v>174</v>
      </c>
      <c r="BC5" s="2425" t="s">
        <v>173</v>
      </c>
      <c r="BD5" s="2426" t="s">
        <v>174</v>
      </c>
      <c r="BE5" s="1199" t="s">
        <v>173</v>
      </c>
      <c r="BF5" s="1200" t="s">
        <v>174</v>
      </c>
    </row>
    <row r="6" spans="2:62" x14ac:dyDescent="0.3">
      <c r="B6" s="1362" t="s">
        <v>956</v>
      </c>
      <c r="C6" s="2077" t="s">
        <v>66</v>
      </c>
      <c r="D6" s="5871" t="s">
        <v>2197</v>
      </c>
      <c r="E6" s="3557">
        <f>+'B-FCE'!E6</f>
        <v>252000</v>
      </c>
      <c r="F6" s="3557">
        <f>+'B-FCE'!F6</f>
        <v>226125.59999999995</v>
      </c>
      <c r="G6" s="3557">
        <f>+'B-FCE'!G6</f>
        <v>260000</v>
      </c>
      <c r="H6" s="3557">
        <f>+'B-FCE'!H6</f>
        <v>255730.90000000002</v>
      </c>
      <c r="I6" s="2162">
        <f>E6+G6</f>
        <v>512000</v>
      </c>
      <c r="J6" s="2162">
        <f>F6+H6</f>
        <v>481856.5</v>
      </c>
      <c r="K6" s="3557">
        <f>+'B-FCE'!K6</f>
        <v>252000</v>
      </c>
      <c r="L6" s="3557">
        <f>+'B-FCE'!L6</f>
        <v>261489.89999999997</v>
      </c>
      <c r="M6" s="1131">
        <f>+'B-FCE'!M6</f>
        <v>764000</v>
      </c>
      <c r="N6" s="3733">
        <f t="shared" ref="N6:N9" si="0">F6+H6+L6</f>
        <v>743346.39999999991</v>
      </c>
      <c r="O6" s="3557">
        <f>+'B-FCE'!O6</f>
        <v>255000</v>
      </c>
      <c r="P6" s="3557">
        <f>+'B-FCE'!P6</f>
        <v>268142.30000000005</v>
      </c>
      <c r="Q6" s="2162">
        <f t="shared" ref="Q6:V6" si="1">M6+O6</f>
        <v>1019000</v>
      </c>
      <c r="R6" s="2162">
        <f t="shared" si="1"/>
        <v>1011488.7</v>
      </c>
      <c r="S6" s="3557">
        <f>+'B-FCE'!S6</f>
        <v>255000</v>
      </c>
      <c r="T6" s="3557">
        <f>+'B-FCE'!T6</f>
        <v>253263.6</v>
      </c>
      <c r="U6" s="2162">
        <f t="shared" si="1"/>
        <v>1274000</v>
      </c>
      <c r="V6" s="2162">
        <f t="shared" si="1"/>
        <v>1264752.3</v>
      </c>
      <c r="W6" s="3557">
        <f>+'B-FCE'!W6</f>
        <v>140000</v>
      </c>
      <c r="X6" s="3557">
        <f>+'B-FCE'!X6</f>
        <v>243297.40000000002</v>
      </c>
      <c r="Y6" s="1131">
        <f>+'B-FCE'!Y6</f>
        <v>650000</v>
      </c>
      <c r="Z6" s="250">
        <f>+'B-FCE'!Z6</f>
        <v>764703.3</v>
      </c>
      <c r="AA6" s="1133">
        <f>+'B-FCE'!AA6</f>
        <v>1414000</v>
      </c>
      <c r="AB6" s="2427">
        <f>+'B-FCE'!AB6</f>
        <v>1508049.7</v>
      </c>
      <c r="AC6" s="3557">
        <f>+'B-FCE'!AC6</f>
        <v>250000</v>
      </c>
      <c r="AD6" s="3557">
        <f>+'B-FCE'!AD6</f>
        <v>237886.3</v>
      </c>
      <c r="AE6" s="2162">
        <f>AA6+AC6</f>
        <v>1664000</v>
      </c>
      <c r="AF6" s="2162">
        <f>AB6+AD6</f>
        <v>1745936</v>
      </c>
      <c r="AG6" s="3557">
        <f>+'B-FCE'!AG6</f>
        <v>242000</v>
      </c>
      <c r="AH6" s="3557">
        <f>+'B-FCE'!AH6</f>
        <v>8246.5</v>
      </c>
      <c r="AI6" s="2162">
        <f>AE6+AG6</f>
        <v>1906000</v>
      </c>
      <c r="AJ6" s="2162">
        <f>AF6+AH6</f>
        <v>1754182.5</v>
      </c>
      <c r="AK6" s="3557">
        <f>+'B-FCE'!AK6</f>
        <v>250000</v>
      </c>
      <c r="AL6" s="3557">
        <f>+'B-FCE'!AL6</f>
        <v>257290.9</v>
      </c>
      <c r="AM6" s="1131">
        <f>AC6+AG6+AK6</f>
        <v>742000</v>
      </c>
      <c r="AN6" s="1131">
        <f>AD6+AH6+AL6</f>
        <v>503423.69999999995</v>
      </c>
      <c r="AO6" s="2162">
        <f>AI6+AK6</f>
        <v>2156000</v>
      </c>
      <c r="AP6" s="2162">
        <f>AJ6+AL6</f>
        <v>2011473.4</v>
      </c>
      <c r="AQ6" s="3557">
        <f>+'B-FCE'!AQ6</f>
        <v>250000</v>
      </c>
      <c r="AR6" s="3557">
        <f>+'B-FCE'!AR6</f>
        <v>261845.40000000002</v>
      </c>
      <c r="AS6" s="2162">
        <f>AO6+AQ6</f>
        <v>2406000</v>
      </c>
      <c r="AT6" s="2162">
        <f>AP6+AR6</f>
        <v>2273318.7999999998</v>
      </c>
      <c r="AU6" s="3557">
        <f>+'B-FCE'!AU6</f>
        <v>225000</v>
      </c>
      <c r="AV6" s="3557">
        <f>+'B-FCE'!AV6</f>
        <v>239624</v>
      </c>
      <c r="AW6" s="2162">
        <f>AS6+AU6</f>
        <v>2631000</v>
      </c>
      <c r="AX6" s="2162">
        <f>AT6+AV6</f>
        <v>2512942.7999999998</v>
      </c>
      <c r="AY6" s="3557">
        <f>+'B-FCE'!AY6</f>
        <v>250000</v>
      </c>
      <c r="AZ6" s="3557">
        <f>+'B-FCE'!AZ6</f>
        <v>263830.00000000006</v>
      </c>
      <c r="BA6" s="3732">
        <f>AQ6+AU6+AY6</f>
        <v>725000</v>
      </c>
      <c r="BB6" s="3732">
        <f>AR6+AV6+AZ6</f>
        <v>765299.40000000014</v>
      </c>
      <c r="BC6" s="3734">
        <f>AM6+BA6</f>
        <v>1467000</v>
      </c>
      <c r="BD6" s="3735">
        <f>AN6+BB6</f>
        <v>1268723.1000000001</v>
      </c>
      <c r="BE6" s="3555">
        <f>AW6+AY6</f>
        <v>2881000</v>
      </c>
      <c r="BF6" s="3555">
        <f>AX6+AZ6</f>
        <v>2776772.8</v>
      </c>
      <c r="BG6" s="2534"/>
      <c r="BH6" s="2534"/>
      <c r="BI6" s="2534"/>
      <c r="BJ6" s="2534"/>
    </row>
    <row r="7" spans="2:62" x14ac:dyDescent="0.3">
      <c r="B7" s="1471"/>
      <c r="C7" s="947"/>
      <c r="D7" s="5872"/>
      <c r="E7" s="947"/>
      <c r="F7" s="947"/>
      <c r="G7" s="947"/>
      <c r="H7" s="947"/>
      <c r="I7" s="3736"/>
      <c r="J7" s="3736"/>
      <c r="K7" s="947"/>
      <c r="L7" s="947"/>
      <c r="M7" s="3737"/>
      <c r="N7" s="3738"/>
      <c r="O7" s="947"/>
      <c r="P7" s="947"/>
      <c r="Q7" s="3736"/>
      <c r="R7" s="3736"/>
      <c r="S7" s="947"/>
      <c r="T7" s="947"/>
      <c r="U7" s="3736"/>
      <c r="V7" s="3736"/>
      <c r="W7" s="947"/>
      <c r="X7" s="947"/>
      <c r="Y7" s="3737"/>
      <c r="Z7" s="3738"/>
      <c r="AA7" s="3739"/>
      <c r="AB7" s="3740"/>
      <c r="AC7" s="947"/>
      <c r="AD7" s="947"/>
      <c r="AE7" s="3736"/>
      <c r="AF7" s="3736"/>
      <c r="AG7" s="947"/>
      <c r="AH7" s="947"/>
      <c r="AI7" s="3736"/>
      <c r="AJ7" s="3736"/>
      <c r="AK7" s="947"/>
      <c r="AL7" s="947"/>
      <c r="AM7" s="3737"/>
      <c r="AN7" s="3738"/>
      <c r="AO7" s="948"/>
      <c r="AP7" s="948"/>
      <c r="AQ7" s="947"/>
      <c r="AR7" s="947"/>
      <c r="AS7" s="948"/>
      <c r="AT7" s="948"/>
      <c r="AU7" s="947"/>
      <c r="AV7" s="947"/>
      <c r="AW7" s="948"/>
      <c r="AX7" s="948"/>
      <c r="AY7" s="947"/>
      <c r="AZ7" s="947"/>
      <c r="BA7" s="3737"/>
      <c r="BB7" s="3738"/>
      <c r="BC7" s="3739"/>
      <c r="BD7" s="3740"/>
      <c r="BE7" s="948"/>
      <c r="BF7" s="948"/>
      <c r="BG7" s="2534"/>
      <c r="BH7" s="2534"/>
      <c r="BI7" s="2534"/>
      <c r="BJ7" s="2534"/>
    </row>
    <row r="8" spans="2:62" x14ac:dyDescent="0.3">
      <c r="B8" s="1471" t="s">
        <v>957</v>
      </c>
      <c r="C8" s="2077" t="s">
        <v>66</v>
      </c>
      <c r="D8" s="5872"/>
      <c r="E8" s="2451">
        <f>+'B-FCE'!E23</f>
        <v>89712</v>
      </c>
      <c r="F8" s="2451">
        <f>+'B-FCE'!F23</f>
        <v>78684.817500000019</v>
      </c>
      <c r="G8" s="2451">
        <f>+'B-FCE'!G23</f>
        <v>92560</v>
      </c>
      <c r="H8" s="2451">
        <f>+'B-FCE'!H23</f>
        <v>88475.2503</v>
      </c>
      <c r="I8" s="2162">
        <f t="shared" ref="I8:I12" si="2">E8+G8</f>
        <v>182272</v>
      </c>
      <c r="J8" s="2162">
        <f t="shared" ref="J8:J12" si="3">F8+H8</f>
        <v>167160.06780000002</v>
      </c>
      <c r="K8" s="2451">
        <f>+'B-FCE'!K23</f>
        <v>89712</v>
      </c>
      <c r="L8" s="2451">
        <f>+'B-FCE'!L23</f>
        <v>91104.908899999995</v>
      </c>
      <c r="M8" s="3732">
        <f>+'B-FCE'!M23</f>
        <v>271984</v>
      </c>
      <c r="N8" s="3733">
        <f t="shared" si="0"/>
        <v>258264.9767</v>
      </c>
      <c r="O8" s="2451">
        <f>+'B-FCE'!O23</f>
        <v>90780</v>
      </c>
      <c r="P8" s="2451">
        <f>+'B-FCE'!P23</f>
        <v>97220.250600000014</v>
      </c>
      <c r="Q8" s="2162">
        <f t="shared" ref="Q8:Q12" si="4">M8+O8</f>
        <v>362764</v>
      </c>
      <c r="R8" s="2162">
        <f t="shared" ref="R8:R12" si="5">N8+P8</f>
        <v>355485.22730000003</v>
      </c>
      <c r="S8" s="2451">
        <f>+'B-FCE'!S23</f>
        <v>90780</v>
      </c>
      <c r="T8" s="2451">
        <f>+'B-FCE'!T23</f>
        <v>92678.77111999999</v>
      </c>
      <c r="U8" s="2162">
        <f t="shared" ref="U8:U12" si="6">Q8+S8</f>
        <v>453544</v>
      </c>
      <c r="V8" s="2162">
        <f t="shared" ref="V8:V12" si="7">R8+T8</f>
        <v>448163.99842000002</v>
      </c>
      <c r="W8" s="2451">
        <f>+'B-FCE'!W23</f>
        <v>53620</v>
      </c>
      <c r="X8" s="2451">
        <f>+'B-FCE'!X23</f>
        <v>94980.636339999997</v>
      </c>
      <c r="Y8" s="3732">
        <f>+'B-FCE'!Y23</f>
        <v>235180</v>
      </c>
      <c r="Z8" s="3733">
        <f>+'B-FCE'!Z23</f>
        <v>284879.65805999999</v>
      </c>
      <c r="AA8" s="3734">
        <f>+'B-FCE'!AA23</f>
        <v>507164</v>
      </c>
      <c r="AB8" s="3735">
        <f>+'B-FCE'!AB23</f>
        <v>543144.63476000004</v>
      </c>
      <c r="AC8" s="2451">
        <f>+'B-FCE'!AC23</f>
        <v>90600</v>
      </c>
      <c r="AD8" s="2451">
        <f>+'B-FCE'!AD23</f>
        <v>90529.182680000013</v>
      </c>
      <c r="AE8" s="2162">
        <f t="shared" ref="AE8:AE12" si="8">AA8+AC8</f>
        <v>597764</v>
      </c>
      <c r="AF8" s="2162">
        <f t="shared" ref="AF8:AF12" si="9">AB8+AD8</f>
        <v>633673.81744000001</v>
      </c>
      <c r="AG8" s="2451">
        <f>+'B-FCE'!AG23</f>
        <v>85982.6</v>
      </c>
      <c r="AH8" s="2451">
        <f>+'B-FCE'!AH23</f>
        <v>5150.0958000000001</v>
      </c>
      <c r="AI8" s="2162">
        <f t="shared" ref="AI8:AI12" si="10">AE8+AG8</f>
        <v>683746.6</v>
      </c>
      <c r="AJ8" s="2162">
        <f t="shared" ref="AJ8:AJ12" si="11">AF8+AH8</f>
        <v>638823.91324000002</v>
      </c>
      <c r="AK8" s="2451">
        <f>+'B-FCE'!AK23</f>
        <v>88825</v>
      </c>
      <c r="AL8" s="2451">
        <f>+'B-FCE'!AL23</f>
        <v>94257.042999999991</v>
      </c>
      <c r="AM8" s="1131">
        <f t="shared" ref="AM8:AM12" si="12">AC8+AG8+AK8</f>
        <v>265407.59999999998</v>
      </c>
      <c r="AN8" s="1131">
        <f t="shared" ref="AN8:AN12" si="13">AD8+AH8+AL8</f>
        <v>189936.32147999998</v>
      </c>
      <c r="AO8" s="2162">
        <f t="shared" ref="AO8:AO12" si="14">AI8+AK8</f>
        <v>772571.6</v>
      </c>
      <c r="AP8" s="2162">
        <f t="shared" ref="AP8:AP12" si="15">AJ8+AL8</f>
        <v>733080.95623999997</v>
      </c>
      <c r="AQ8" s="2451">
        <f>+'B-FCE'!AQ23</f>
        <v>88825</v>
      </c>
      <c r="AR8" s="2451">
        <f>+'B-FCE'!AR23</f>
        <v>91127.224099999992</v>
      </c>
      <c r="AS8" s="2162">
        <f t="shared" ref="AS8:AS12" si="16">AO8+AQ8</f>
        <v>861396.6</v>
      </c>
      <c r="AT8" s="2162">
        <f t="shared" ref="AT8:AT12" si="17">AP8+AR8</f>
        <v>824208.18033999996</v>
      </c>
      <c r="AU8" s="2451">
        <f>+'B-FCE'!AU23</f>
        <v>79942.5</v>
      </c>
      <c r="AV8" s="2451">
        <f>+'B-FCE'!AV23</f>
        <v>82009.378899999996</v>
      </c>
      <c r="AW8" s="2162">
        <f t="shared" ref="AW8:AW12" si="18">AS8+AU8</f>
        <v>941339.1</v>
      </c>
      <c r="AX8" s="2162">
        <f t="shared" ref="AX8:AX12" si="19">AT8+AV8</f>
        <v>906217.55923999997</v>
      </c>
      <c r="AY8" s="2451">
        <f>+'B-FCE'!AY23</f>
        <v>88825</v>
      </c>
      <c r="AZ8" s="2451">
        <f>+'B-FCE'!AZ23</f>
        <v>89515.708799999993</v>
      </c>
      <c r="BA8" s="3732">
        <f t="shared" ref="BA8:BA11" si="20">AQ8+AU8+AY8</f>
        <v>257592.5</v>
      </c>
      <c r="BB8" s="3732">
        <f t="shared" ref="BB8:BB11" si="21">AR8+AV8+AZ8</f>
        <v>262652.31180000002</v>
      </c>
      <c r="BC8" s="3734">
        <f t="shared" ref="BC8:BC12" si="22">AM8+BA8</f>
        <v>523000.1</v>
      </c>
      <c r="BD8" s="3735">
        <f t="shared" ref="BD8:BD12" si="23">AN8+BB8</f>
        <v>452588.63328000001</v>
      </c>
      <c r="BE8" s="3555">
        <f t="shared" ref="BE8:BE12" si="24">AW8+AY8</f>
        <v>1030164.1</v>
      </c>
      <c r="BF8" s="3555">
        <f t="shared" ref="BF8:BF12" si="25">AX8+AZ8</f>
        <v>995733.26804</v>
      </c>
      <c r="BG8" s="2534"/>
      <c r="BH8" s="2534"/>
      <c r="BI8" s="2534"/>
      <c r="BJ8" s="2534"/>
    </row>
    <row r="9" spans="2:62" x14ac:dyDescent="0.3">
      <c r="B9" s="1471" t="s">
        <v>958</v>
      </c>
      <c r="C9" s="2077" t="s">
        <v>66</v>
      </c>
      <c r="D9" s="5872"/>
      <c r="E9" s="2451">
        <f>+'B-FCE'!E24</f>
        <v>7308</v>
      </c>
      <c r="F9" s="2451">
        <f>+'B-FCE'!F24</f>
        <v>6494.4988000000003</v>
      </c>
      <c r="G9" s="2451">
        <f>+'B-FCE'!G24</f>
        <v>7540</v>
      </c>
      <c r="H9" s="2451">
        <f>+'B-FCE'!H24</f>
        <v>7479.2059999999992</v>
      </c>
      <c r="I9" s="2162">
        <f t="shared" si="2"/>
        <v>14848</v>
      </c>
      <c r="J9" s="2162">
        <f t="shared" si="3"/>
        <v>13973.7048</v>
      </c>
      <c r="K9" s="2451">
        <f>+'B-FCE'!K24</f>
        <v>7308</v>
      </c>
      <c r="L9" s="2451">
        <f>+'B-FCE'!L24</f>
        <v>8335.2548999999999</v>
      </c>
      <c r="M9" s="3732">
        <f>+'B-FCE'!M24</f>
        <v>22156</v>
      </c>
      <c r="N9" s="3733">
        <f t="shared" si="0"/>
        <v>22308.959699999999</v>
      </c>
      <c r="O9" s="2451">
        <f>+'B-FCE'!O24</f>
        <v>7395</v>
      </c>
      <c r="P9" s="2451">
        <f>+'B-FCE'!P24</f>
        <v>10931.993400000003</v>
      </c>
      <c r="Q9" s="2162">
        <f t="shared" si="4"/>
        <v>29551</v>
      </c>
      <c r="R9" s="2162">
        <f t="shared" si="5"/>
        <v>33240.953099999999</v>
      </c>
      <c r="S9" s="2451">
        <f>+'B-FCE'!S24</f>
        <v>7395</v>
      </c>
      <c r="T9" s="2451">
        <f>+'B-FCE'!T24</f>
        <v>9434.9160300000003</v>
      </c>
      <c r="U9" s="2162">
        <f t="shared" si="6"/>
        <v>36946</v>
      </c>
      <c r="V9" s="2162">
        <f t="shared" si="7"/>
        <v>42675.869129999999</v>
      </c>
      <c r="W9" s="2451">
        <f>+'B-FCE'!W24</f>
        <v>3920</v>
      </c>
      <c r="X9" s="2451">
        <f>+'B-FCE'!X24</f>
        <v>8937.2429000000029</v>
      </c>
      <c r="Y9" s="3732">
        <f>+'B-FCE'!Y24</f>
        <v>18710</v>
      </c>
      <c r="Z9" s="3733">
        <f>+'B-FCE'!Z24</f>
        <v>29304.152330000008</v>
      </c>
      <c r="AA9" s="3734">
        <f>+'B-FCE'!AA24</f>
        <v>40866</v>
      </c>
      <c r="AB9" s="3735">
        <f>+'B-FCE'!AB24</f>
        <v>51613.112030000004</v>
      </c>
      <c r="AC9" s="2451">
        <f>+'B-FCE'!AC24</f>
        <v>9750</v>
      </c>
      <c r="AD9" s="2451">
        <f>+'B-FCE'!AD24</f>
        <v>9460.2050799999997</v>
      </c>
      <c r="AE9" s="2162">
        <f t="shared" si="8"/>
        <v>50616</v>
      </c>
      <c r="AF9" s="2162">
        <f t="shared" si="9"/>
        <v>61073.317110000004</v>
      </c>
      <c r="AG9" s="2451">
        <f>+'B-FCE'!AG24</f>
        <v>9438</v>
      </c>
      <c r="AH9" s="2451">
        <f>+'B-FCE'!AH24</f>
        <v>116.1062</v>
      </c>
      <c r="AI9" s="2162">
        <f t="shared" si="10"/>
        <v>60054</v>
      </c>
      <c r="AJ9" s="2162">
        <f t="shared" si="11"/>
        <v>61189.423310000006</v>
      </c>
      <c r="AK9" s="2451">
        <f>+'B-FCE'!AK24</f>
        <v>9750</v>
      </c>
      <c r="AL9" s="2451">
        <f>+'B-FCE'!AL24</f>
        <v>8541.23</v>
      </c>
      <c r="AM9" s="1131">
        <f t="shared" si="12"/>
        <v>28938</v>
      </c>
      <c r="AN9" s="1131">
        <f t="shared" si="13"/>
        <v>18117.541279999998</v>
      </c>
      <c r="AO9" s="2162">
        <f t="shared" si="14"/>
        <v>69804</v>
      </c>
      <c r="AP9" s="2162">
        <f t="shared" si="15"/>
        <v>69730.653310000009</v>
      </c>
      <c r="AQ9" s="2451">
        <f>+'B-FCE'!AQ24</f>
        <v>9750</v>
      </c>
      <c r="AR9" s="2451">
        <f>+'B-FCE'!AR24</f>
        <v>7963.6405999999997</v>
      </c>
      <c r="AS9" s="2162">
        <f t="shared" si="16"/>
        <v>79554</v>
      </c>
      <c r="AT9" s="2162">
        <f t="shared" si="17"/>
        <v>77694.293910000008</v>
      </c>
      <c r="AU9" s="2451">
        <f>+'B-FCE'!AU24</f>
        <v>8775</v>
      </c>
      <c r="AV9" s="2451">
        <f>+'B-FCE'!AV24</f>
        <v>6990.9988999999996</v>
      </c>
      <c r="AW9" s="2162">
        <f t="shared" si="18"/>
        <v>88329</v>
      </c>
      <c r="AX9" s="2162">
        <f t="shared" si="19"/>
        <v>84685.292810000014</v>
      </c>
      <c r="AY9" s="2451">
        <f>+'B-FCE'!AY24</f>
        <v>9750</v>
      </c>
      <c r="AZ9" s="2451">
        <f>+'B-FCE'!AZ24</f>
        <v>7423.1251000000002</v>
      </c>
      <c r="BA9" s="3732">
        <f t="shared" si="20"/>
        <v>28275</v>
      </c>
      <c r="BB9" s="3732">
        <f t="shared" si="21"/>
        <v>22377.764599999999</v>
      </c>
      <c r="BC9" s="3734">
        <f t="shared" si="22"/>
        <v>57213</v>
      </c>
      <c r="BD9" s="3735">
        <f t="shared" si="23"/>
        <v>40495.30588</v>
      </c>
      <c r="BE9" s="3555">
        <f t="shared" si="24"/>
        <v>98079</v>
      </c>
      <c r="BF9" s="3555">
        <f t="shared" si="25"/>
        <v>92108.417910000018</v>
      </c>
      <c r="BG9" s="2534"/>
      <c r="BH9" s="2534"/>
      <c r="BI9" s="2534"/>
      <c r="BJ9" s="2534"/>
    </row>
    <row r="10" spans="2:62" x14ac:dyDescent="0.3">
      <c r="B10" s="1471" t="s">
        <v>959</v>
      </c>
      <c r="C10" s="2077" t="s">
        <v>66</v>
      </c>
      <c r="D10" s="5872"/>
      <c r="E10" s="2451">
        <f>+'B-FCE'!E65</f>
        <v>10780</v>
      </c>
      <c r="F10" s="2451">
        <f>+'B-FCE'!F65</f>
        <v>10099.894</v>
      </c>
      <c r="G10" s="2451">
        <f>+'B-FCE'!G65</f>
        <v>11122.222222222219</v>
      </c>
      <c r="H10" s="2451">
        <f>+'B-FCE'!H65</f>
        <v>11375.684999999999</v>
      </c>
      <c r="I10" s="2162">
        <f t="shared" si="2"/>
        <v>21902.222222222219</v>
      </c>
      <c r="J10" s="2162">
        <f t="shared" si="3"/>
        <v>21475.578999999998</v>
      </c>
      <c r="K10" s="2451">
        <f>+'B-FCE'!K65</f>
        <v>10780</v>
      </c>
      <c r="L10" s="2451">
        <f>+'B-FCE'!L65</f>
        <v>11847.7976</v>
      </c>
      <c r="M10" s="3732">
        <f>+'B-FCE'!M65</f>
        <v>32682.222222222219</v>
      </c>
      <c r="N10" s="3733">
        <f>F10+H10+L10</f>
        <v>33323.376599999996</v>
      </c>
      <c r="O10" s="2451">
        <f>+'B-FCE'!O65</f>
        <v>10908.333333333328</v>
      </c>
      <c r="P10" s="2451">
        <f>+'B-FCE'!P65</f>
        <v>13053.6016</v>
      </c>
      <c r="Q10" s="2162">
        <f t="shared" si="4"/>
        <v>43590.555555555547</v>
      </c>
      <c r="R10" s="2162">
        <f t="shared" si="5"/>
        <v>46376.978199999998</v>
      </c>
      <c r="S10" s="2451">
        <f>+'B-FCE'!S65</f>
        <v>10908.333333333328</v>
      </c>
      <c r="T10" s="2451">
        <f>+'B-FCE'!T65</f>
        <v>12613.0455</v>
      </c>
      <c r="U10" s="2162">
        <f t="shared" si="6"/>
        <v>54498.888888888876</v>
      </c>
      <c r="V10" s="2162">
        <f t="shared" si="7"/>
        <v>58990.023699999998</v>
      </c>
      <c r="W10" s="2451">
        <f>+'B-FCE'!W65</f>
        <v>6393.3333333333285</v>
      </c>
      <c r="X10" s="2451">
        <f>+'B-FCE'!X65</f>
        <v>12861.105600000001</v>
      </c>
      <c r="Y10" s="3732">
        <f>+'B-FCE'!Y65</f>
        <v>28209.999999999985</v>
      </c>
      <c r="Z10" s="3733">
        <f>+'B-FCE'!Z65</f>
        <v>38527.752700000005</v>
      </c>
      <c r="AA10" s="3734">
        <f>+'B-FCE'!AA65</f>
        <v>60892.222222222204</v>
      </c>
      <c r="AB10" s="3735">
        <f>+'B-FCE'!AB65</f>
        <v>71851.129300000001</v>
      </c>
      <c r="AC10" s="2451">
        <f>+'B-FCE'!AC65</f>
        <v>11150</v>
      </c>
      <c r="AD10" s="2451">
        <f>+'B-FCE'!AD65</f>
        <v>8168.3058000000001</v>
      </c>
      <c r="AE10" s="2162">
        <f t="shared" si="8"/>
        <v>72042.222222222204</v>
      </c>
      <c r="AF10" s="2162">
        <f t="shared" si="9"/>
        <v>80019.435100000002</v>
      </c>
      <c r="AG10" s="2451">
        <f>+'B-FCE'!AG65</f>
        <v>10602.288888888885</v>
      </c>
      <c r="AH10" s="2451">
        <f>+'B-FCE'!AH65</f>
        <v>1028.3363999999999</v>
      </c>
      <c r="AI10" s="2162">
        <f t="shared" si="10"/>
        <v>82644.511111111089</v>
      </c>
      <c r="AJ10" s="2162">
        <f t="shared" si="11"/>
        <v>81047.771500000003</v>
      </c>
      <c r="AK10" s="2451">
        <f>+'B-FCE'!AK65</f>
        <v>10952.777777777781</v>
      </c>
      <c r="AL10" s="2451">
        <f>+'B-FCE'!AL65</f>
        <v>9485.5028673619199</v>
      </c>
      <c r="AM10" s="1131">
        <f t="shared" si="12"/>
        <v>32705.066666666666</v>
      </c>
      <c r="AN10" s="1131">
        <f t="shared" si="13"/>
        <v>18682.145067361918</v>
      </c>
      <c r="AO10" s="2162">
        <f t="shared" si="14"/>
        <v>93597.28888888887</v>
      </c>
      <c r="AP10" s="2162">
        <f t="shared" si="15"/>
        <v>90533.274367361926</v>
      </c>
      <c r="AQ10" s="2451">
        <f>+'B-FCE'!AQ65</f>
        <v>10952.777777777781</v>
      </c>
      <c r="AR10" s="2451">
        <f>+'B-FCE'!AR65</f>
        <v>10295.416999999999</v>
      </c>
      <c r="AS10" s="2162">
        <f t="shared" si="16"/>
        <v>104550.06666666665</v>
      </c>
      <c r="AT10" s="2162">
        <f t="shared" si="17"/>
        <v>100828.69136736193</v>
      </c>
      <c r="AU10" s="2451">
        <f>+'B-FCE'!AU65</f>
        <v>9857.5</v>
      </c>
      <c r="AV10" s="2451">
        <f>+'B-FCE'!AV65</f>
        <v>9752.2155000000002</v>
      </c>
      <c r="AW10" s="2162">
        <f t="shared" si="18"/>
        <v>114407.56666666665</v>
      </c>
      <c r="AX10" s="2162">
        <f t="shared" si="19"/>
        <v>110580.90686736193</v>
      </c>
      <c r="AY10" s="2451">
        <f>+'B-FCE'!AY65</f>
        <v>10952.777777777781</v>
      </c>
      <c r="AZ10" s="2451">
        <f>+'B-FCE'!AZ65</f>
        <v>9910.1883999999991</v>
      </c>
      <c r="BA10" s="3732">
        <f t="shared" si="20"/>
        <v>31763.055555555562</v>
      </c>
      <c r="BB10" s="3732">
        <f t="shared" si="21"/>
        <v>29957.820899999999</v>
      </c>
      <c r="BC10" s="3734">
        <f t="shared" si="22"/>
        <v>64468.122222222228</v>
      </c>
      <c r="BD10" s="3735">
        <f t="shared" si="23"/>
        <v>48639.965967361917</v>
      </c>
      <c r="BE10" s="3555">
        <f t="shared" si="24"/>
        <v>125360.34444444443</v>
      </c>
      <c r="BF10" s="3555">
        <f t="shared" si="25"/>
        <v>120491.09526736193</v>
      </c>
      <c r="BG10" s="2534"/>
      <c r="BH10" s="2534"/>
      <c r="BI10" s="2534"/>
      <c r="BJ10" s="2534"/>
    </row>
    <row r="11" spans="2:62" x14ac:dyDescent="0.3">
      <c r="B11" s="1471" t="s">
        <v>961</v>
      </c>
      <c r="C11" s="2077" t="s">
        <v>66</v>
      </c>
      <c r="D11" s="5872"/>
      <c r="E11" s="2451">
        <f>+'B-FCE'!E33</f>
        <v>0</v>
      </c>
      <c r="F11" s="2451">
        <f>+'B-FCE'!F33</f>
        <v>0</v>
      </c>
      <c r="G11" s="2451">
        <f>+'B-FCE'!G33</f>
        <v>0</v>
      </c>
      <c r="H11" s="2451">
        <f>+'B-FCE'!H33</f>
        <v>0</v>
      </c>
      <c r="I11" s="2162">
        <f t="shared" si="2"/>
        <v>0</v>
      </c>
      <c r="J11" s="2162">
        <f t="shared" si="3"/>
        <v>0</v>
      </c>
      <c r="K11" s="2451">
        <f>+'B-FCE'!K33</f>
        <v>0</v>
      </c>
      <c r="L11" s="2451">
        <f>+'B-FCE'!L33</f>
        <v>0</v>
      </c>
      <c r="M11" s="3732">
        <f>+'B-FCE'!M33</f>
        <v>0</v>
      </c>
      <c r="N11" s="3733">
        <f>F11+H11+L11</f>
        <v>0</v>
      </c>
      <c r="O11" s="2451">
        <f>+'B-FCE'!O33</f>
        <v>0</v>
      </c>
      <c r="P11" s="2451">
        <f>+'B-FCE'!P33</f>
        <v>0</v>
      </c>
      <c r="Q11" s="2162">
        <f t="shared" si="4"/>
        <v>0</v>
      </c>
      <c r="R11" s="2162">
        <f t="shared" si="5"/>
        <v>0</v>
      </c>
      <c r="S11" s="2451">
        <f>+'B-FCE'!S33</f>
        <v>0</v>
      </c>
      <c r="T11" s="2451">
        <f>+'B-FCE'!T33</f>
        <v>0</v>
      </c>
      <c r="U11" s="2162">
        <f t="shared" si="6"/>
        <v>0</v>
      </c>
      <c r="V11" s="2162">
        <f t="shared" si="7"/>
        <v>0</v>
      </c>
      <c r="W11" s="2451">
        <f>+'B-FCE'!W33</f>
        <v>8000</v>
      </c>
      <c r="X11" s="2451">
        <f>+'B-FCE'!X33</f>
        <v>0</v>
      </c>
      <c r="Y11" s="3732">
        <f>+'B-FCE'!Y33</f>
        <v>8000</v>
      </c>
      <c r="Z11" s="3733">
        <f>+'B-FCE'!Z33</f>
        <v>0</v>
      </c>
      <c r="AA11" s="3734">
        <f>+'B-FCE'!AA33</f>
        <v>8000</v>
      </c>
      <c r="AB11" s="3735">
        <f>+'B-FCE'!AB33</f>
        <v>0</v>
      </c>
      <c r="AC11" s="2451">
        <f>+'B-FCE'!AC33</f>
        <v>0</v>
      </c>
      <c r="AD11" s="2451">
        <f>+'B-FCE'!AD33</f>
        <v>1700</v>
      </c>
      <c r="AE11" s="2162">
        <f t="shared" si="8"/>
        <v>8000</v>
      </c>
      <c r="AF11" s="2162">
        <f t="shared" si="9"/>
        <v>1700</v>
      </c>
      <c r="AG11" s="2451">
        <f>+'B-FCE'!AG33</f>
        <v>0</v>
      </c>
      <c r="AH11" s="2451">
        <f>+'B-FCE'!AH33</f>
        <v>3000</v>
      </c>
      <c r="AI11" s="2162">
        <f t="shared" si="10"/>
        <v>8000</v>
      </c>
      <c r="AJ11" s="2162">
        <f t="shared" si="11"/>
        <v>4700</v>
      </c>
      <c r="AK11" s="2451">
        <f>+'B-FCE'!AK33</f>
        <v>0</v>
      </c>
      <c r="AL11" s="2451">
        <f>+'B-FCE'!AL33</f>
        <v>3239</v>
      </c>
      <c r="AM11" s="1131">
        <f t="shared" si="12"/>
        <v>0</v>
      </c>
      <c r="AN11" s="1131">
        <f t="shared" si="13"/>
        <v>7939</v>
      </c>
      <c r="AO11" s="2162">
        <f t="shared" si="14"/>
        <v>8000</v>
      </c>
      <c r="AP11" s="2162">
        <f t="shared" si="15"/>
        <v>7939</v>
      </c>
      <c r="AQ11" s="2451">
        <f>+'B-FCE'!AQ33</f>
        <v>0</v>
      </c>
      <c r="AR11" s="2451">
        <f>+'B-FCE'!AR33</f>
        <v>0</v>
      </c>
      <c r="AS11" s="2162">
        <f t="shared" si="16"/>
        <v>8000</v>
      </c>
      <c r="AT11" s="2162">
        <f t="shared" si="17"/>
        <v>7939</v>
      </c>
      <c r="AU11" s="2451">
        <f>+'B-FCE'!AU33</f>
        <v>0</v>
      </c>
      <c r="AV11" s="2451">
        <f>+'B-FCE'!AV33</f>
        <v>0</v>
      </c>
      <c r="AW11" s="2162">
        <f t="shared" si="18"/>
        <v>8000</v>
      </c>
      <c r="AX11" s="2162">
        <f t="shared" si="19"/>
        <v>7939</v>
      </c>
      <c r="AY11" s="2451">
        <f>+'B-FCE'!AY33</f>
        <v>0</v>
      </c>
      <c r="AZ11" s="2451">
        <f>+'B-FCE'!AZ33</f>
        <v>0</v>
      </c>
      <c r="BA11" s="3732">
        <f t="shared" si="20"/>
        <v>0</v>
      </c>
      <c r="BB11" s="3732">
        <f t="shared" si="21"/>
        <v>0</v>
      </c>
      <c r="BC11" s="3734">
        <f t="shared" si="22"/>
        <v>0</v>
      </c>
      <c r="BD11" s="3735">
        <f t="shared" si="23"/>
        <v>7939</v>
      </c>
      <c r="BE11" s="3555">
        <f t="shared" si="24"/>
        <v>8000</v>
      </c>
      <c r="BF11" s="3555">
        <f t="shared" si="25"/>
        <v>7939</v>
      </c>
      <c r="BG11" s="2534"/>
      <c r="BH11" s="2534"/>
      <c r="BI11" s="2534"/>
      <c r="BJ11" s="2534"/>
    </row>
    <row r="12" spans="2:62" x14ac:dyDescent="0.3">
      <c r="B12" s="1471" t="s">
        <v>960</v>
      </c>
      <c r="C12" s="2077" t="s">
        <v>66</v>
      </c>
      <c r="D12" s="5872"/>
      <c r="E12" s="2451">
        <f t="shared" ref="E12:AB12" si="26">SUM(E8:E11)</f>
        <v>107800</v>
      </c>
      <c r="F12" s="2451">
        <f t="shared" si="26"/>
        <v>95279.210300000021</v>
      </c>
      <c r="G12" s="2451">
        <f t="shared" ref="G12:H12" si="27">SUM(G8:G11)</f>
        <v>111222.22222222222</v>
      </c>
      <c r="H12" s="2451">
        <f t="shared" si="27"/>
        <v>107330.1413</v>
      </c>
      <c r="I12" s="2162">
        <f t="shared" si="2"/>
        <v>219022.22222222222</v>
      </c>
      <c r="J12" s="2162">
        <f t="shared" si="3"/>
        <v>202609.35160000002</v>
      </c>
      <c r="K12" s="2451">
        <f t="shared" ref="K12:L12" si="28">SUM(K8:K11)</f>
        <v>107800</v>
      </c>
      <c r="L12" s="2451">
        <f t="shared" si="28"/>
        <v>111287.9614</v>
      </c>
      <c r="M12" s="3732">
        <f t="shared" ref="M12" si="29">SUM(M8:M11)</f>
        <v>326822.22222222225</v>
      </c>
      <c r="N12" s="3733">
        <f>F12+H12+L12</f>
        <v>313897.31300000002</v>
      </c>
      <c r="O12" s="2451">
        <f t="shared" ref="O12:P12" si="30">SUM(O8:O11)</f>
        <v>109083.33333333333</v>
      </c>
      <c r="P12" s="2451">
        <f t="shared" si="30"/>
        <v>121205.84560000002</v>
      </c>
      <c r="Q12" s="2162">
        <f t="shared" si="4"/>
        <v>435905.55555555556</v>
      </c>
      <c r="R12" s="2162">
        <f t="shared" si="5"/>
        <v>435103.15860000002</v>
      </c>
      <c r="S12" s="2451">
        <f t="shared" ref="S12:T12" si="31">SUM(S8:S11)</f>
        <v>109083.33333333333</v>
      </c>
      <c r="T12" s="2451">
        <f t="shared" si="31"/>
        <v>114726.73264999999</v>
      </c>
      <c r="U12" s="2162">
        <f t="shared" si="6"/>
        <v>544988.88888888888</v>
      </c>
      <c r="V12" s="2162">
        <f t="shared" si="7"/>
        <v>549829.89124999999</v>
      </c>
      <c r="W12" s="2451">
        <f t="shared" ref="W12:X12" si="32">SUM(W8:W11)</f>
        <v>71933.333333333328</v>
      </c>
      <c r="X12" s="2451">
        <f t="shared" si="32"/>
        <v>116778.98483999999</v>
      </c>
      <c r="Y12" s="3732">
        <f t="shared" ref="Y12:Z12" si="33">SUM(Y8:Y11)</f>
        <v>290100</v>
      </c>
      <c r="Z12" s="3733">
        <f t="shared" si="33"/>
        <v>352711.56309000001</v>
      </c>
      <c r="AA12" s="3734">
        <f t="shared" si="26"/>
        <v>616922.22222222225</v>
      </c>
      <c r="AB12" s="3735">
        <f t="shared" si="26"/>
        <v>666608.87609000003</v>
      </c>
      <c r="AC12" s="2451">
        <f t="shared" ref="AC12:AD12" si="34">SUM(AC8:AC11)</f>
        <v>111500</v>
      </c>
      <c r="AD12" s="2451">
        <f t="shared" si="34"/>
        <v>109857.69356000001</v>
      </c>
      <c r="AE12" s="2162">
        <f t="shared" si="8"/>
        <v>728422.22222222225</v>
      </c>
      <c r="AF12" s="2162">
        <f t="shared" si="9"/>
        <v>776466.56965000008</v>
      </c>
      <c r="AG12" s="2451">
        <f t="shared" ref="AG12:AH12" si="35">SUM(AG8:AG11)</f>
        <v>106022.88888888889</v>
      </c>
      <c r="AH12" s="2451">
        <f t="shared" si="35"/>
        <v>9294.5384000000013</v>
      </c>
      <c r="AI12" s="2162">
        <f t="shared" si="10"/>
        <v>834445.11111111112</v>
      </c>
      <c r="AJ12" s="2162">
        <f t="shared" si="11"/>
        <v>785761.10805000004</v>
      </c>
      <c r="AK12" s="2451">
        <f t="shared" ref="AK12:AL12" si="36">SUM(AK8:AK11)</f>
        <v>109527.77777777778</v>
      </c>
      <c r="AL12" s="2451">
        <f t="shared" si="36"/>
        <v>115522.77586736191</v>
      </c>
      <c r="AM12" s="1131">
        <f t="shared" si="12"/>
        <v>327050.66666666663</v>
      </c>
      <c r="AN12" s="1131">
        <f t="shared" si="13"/>
        <v>234675.00782736193</v>
      </c>
      <c r="AO12" s="2162">
        <f t="shared" si="14"/>
        <v>943972.88888888888</v>
      </c>
      <c r="AP12" s="2162">
        <f t="shared" si="15"/>
        <v>901283.88391736196</v>
      </c>
      <c r="AQ12" s="2451">
        <f t="shared" ref="AQ12:AR12" si="37">SUM(AQ8:AQ11)</f>
        <v>109527.77777777778</v>
      </c>
      <c r="AR12" s="2451">
        <f t="shared" si="37"/>
        <v>109386.28169999999</v>
      </c>
      <c r="AS12" s="2162">
        <f t="shared" si="16"/>
        <v>1053500.6666666667</v>
      </c>
      <c r="AT12" s="2162">
        <f t="shared" si="17"/>
        <v>1010670.1656173619</v>
      </c>
      <c r="AU12" s="2451">
        <f t="shared" ref="AU12:AV12" si="38">SUM(AU8:AU11)</f>
        <v>98575</v>
      </c>
      <c r="AV12" s="2451">
        <f t="shared" si="38"/>
        <v>98752.593300000008</v>
      </c>
      <c r="AW12" s="2162">
        <f t="shared" si="18"/>
        <v>1152075.6666666667</v>
      </c>
      <c r="AX12" s="2162">
        <f t="shared" si="19"/>
        <v>1109422.758917362</v>
      </c>
      <c r="AY12" s="2451">
        <f t="shared" ref="AY12:AZ12" si="39">SUM(AY8:AY11)</f>
        <v>109527.77777777778</v>
      </c>
      <c r="AZ12" s="2451">
        <f t="shared" si="39"/>
        <v>106849.0223</v>
      </c>
      <c r="BA12" s="3732">
        <f>AQ12+AU12+AY12</f>
        <v>317630.55555555556</v>
      </c>
      <c r="BB12" s="3732">
        <f>AR12+AV12+AZ12</f>
        <v>314987.89730000001</v>
      </c>
      <c r="BC12" s="3734">
        <f t="shared" si="22"/>
        <v>644681.22222222225</v>
      </c>
      <c r="BD12" s="3735">
        <f t="shared" si="23"/>
        <v>549662.90512736188</v>
      </c>
      <c r="BE12" s="3555">
        <f t="shared" si="24"/>
        <v>1261603.4444444445</v>
      </c>
      <c r="BF12" s="3555">
        <f t="shared" si="25"/>
        <v>1216271.781217362</v>
      </c>
      <c r="BG12" s="2534"/>
      <c r="BH12" s="2534"/>
      <c r="BI12" s="2534"/>
      <c r="BJ12" s="2534"/>
    </row>
    <row r="13" spans="2:62" x14ac:dyDescent="0.3">
      <c r="B13" s="1471" t="s">
        <v>840</v>
      </c>
      <c r="C13" s="2450" t="s">
        <v>49</v>
      </c>
      <c r="D13" s="5872"/>
      <c r="E13" s="3741">
        <f>+'Maj Techno Summ'!E5</f>
        <v>70</v>
      </c>
      <c r="F13" s="3741">
        <f>+'Maj Techno Summ'!F5</f>
        <v>70</v>
      </c>
      <c r="G13" s="3741">
        <f>+'Maj Techno Summ'!G5</f>
        <v>70</v>
      </c>
      <c r="H13" s="3741">
        <f>+'Maj Techno Summ'!H5</f>
        <v>70</v>
      </c>
      <c r="I13" s="3742">
        <f>+'Maj Techno Summ'!I5</f>
        <v>70</v>
      </c>
      <c r="J13" s="3742">
        <f>+'Maj Techno Summ'!J5</f>
        <v>70</v>
      </c>
      <c r="K13" s="3741">
        <f>+'Maj Techno Summ'!K5</f>
        <v>70</v>
      </c>
      <c r="L13" s="3741">
        <f>+'Maj Techno Summ'!L5</f>
        <v>70</v>
      </c>
      <c r="M13" s="3743">
        <f>+'Maj Techno Summ'!M5</f>
        <v>70</v>
      </c>
      <c r="N13" s="3744">
        <f>+'Maj Techno Summ'!N5</f>
        <v>70</v>
      </c>
      <c r="O13" s="3741">
        <f>+'Maj Techno Summ'!O5</f>
        <v>70</v>
      </c>
      <c r="P13" s="3741">
        <f>+'Maj Techno Summ'!P5</f>
        <v>69.999999999999986</v>
      </c>
      <c r="Q13" s="3742">
        <f>+'Maj Techno Summ'!Q5</f>
        <v>70</v>
      </c>
      <c r="R13" s="3742">
        <f>+'Maj Techno Summ'!R5</f>
        <v>70</v>
      </c>
      <c r="S13" s="3741">
        <f>+'Maj Techno Summ'!S5</f>
        <v>70</v>
      </c>
      <c r="T13" s="3741">
        <f>+'Maj Techno Summ'!T5</f>
        <v>70</v>
      </c>
      <c r="U13" s="3742">
        <f>+'Maj Techno Summ'!U5</f>
        <v>70</v>
      </c>
      <c r="V13" s="3742">
        <f>+'Maj Techno Summ'!V5</f>
        <v>70</v>
      </c>
      <c r="W13" s="3741">
        <f>+'Maj Techno Summ'!W5</f>
        <v>70</v>
      </c>
      <c r="X13" s="3741">
        <f>+'Maj Techno Summ'!X5</f>
        <v>69.49295404013472</v>
      </c>
      <c r="Y13" s="3743">
        <f>+'Maj Techno Summ'!Y5</f>
        <v>70</v>
      </c>
      <c r="Z13" s="3744">
        <f>+'Maj Techno Summ'!Z5</f>
        <v>69.834649220880394</v>
      </c>
      <c r="AA13" s="3745">
        <f>+'Maj Techno Summ'!AA5</f>
        <v>70</v>
      </c>
      <c r="AB13" s="3746">
        <f>+'Maj Techno Summ'!AB5</f>
        <v>69.916418515767404</v>
      </c>
      <c r="AC13" s="3741">
        <f>+'Maj Techno Summ'!AC5</f>
        <v>70</v>
      </c>
      <c r="AD13" s="3741">
        <f>+'Maj Techno Summ'!AD5</f>
        <v>70.453746245081177</v>
      </c>
      <c r="AE13" s="3742">
        <f>+'Maj Techno Summ'!AE5</f>
        <v>70</v>
      </c>
      <c r="AF13" s="3742">
        <f>+'Maj Techno Summ'!AF5</f>
        <v>69.99399443936835</v>
      </c>
      <c r="AG13" s="3741">
        <f>+'Maj Techno Summ'!AG5</f>
        <v>70</v>
      </c>
      <c r="AH13" s="3741">
        <f>+'Maj Techno Summ'!AH5</f>
        <v>70.490000000000009</v>
      </c>
      <c r="AI13" s="3742">
        <f>+'Maj Techno Summ'!AI5</f>
        <v>70</v>
      </c>
      <c r="AJ13" s="3742">
        <f>+'Maj Techno Summ'!AJ5</f>
        <v>70.052695785724794</v>
      </c>
      <c r="AK13" s="3741">
        <f>+'Maj Techno Summ'!AK5</f>
        <v>70</v>
      </c>
      <c r="AL13" s="3741">
        <f>+'Maj Techno Summ'!AL5</f>
        <v>70.010000000000005</v>
      </c>
      <c r="AM13" s="3743">
        <f>+'Maj Techno Summ'!AM5</f>
        <v>70</v>
      </c>
      <c r="AN13" s="3744">
        <f>+'Maj Techno Summ'!AN5</f>
        <v>70.313108282206528</v>
      </c>
      <c r="AO13" s="3742">
        <f>+'Maj Techno Summ'!AO5</f>
        <v>70</v>
      </c>
      <c r="AP13" s="3742">
        <f>+'Maj Techno Summ'!AP5</f>
        <v>70.047846627069319</v>
      </c>
      <c r="AQ13" s="3741">
        <f>+'Maj Techno Summ'!AQ5</f>
        <v>70</v>
      </c>
      <c r="AR13" s="3741">
        <f>+'Maj Techno Summ'!AR5</f>
        <v>70.59499999999997</v>
      </c>
      <c r="AS13" s="3742">
        <f>+'Maj Techno Summ'!AS5</f>
        <v>70</v>
      </c>
      <c r="AT13" s="3742">
        <f>+'Maj Techno Summ'!AT5</f>
        <v>70.103651372427692</v>
      </c>
      <c r="AU13" s="3741">
        <f>+'Maj Techno Summ'!AU5</f>
        <v>70</v>
      </c>
      <c r="AV13" s="3741">
        <f>+'Maj Techno Summ'!AV5</f>
        <v>70.499999999999972</v>
      </c>
      <c r="AW13" s="3742">
        <f>+'Maj Techno Summ'!AW5</f>
        <v>70</v>
      </c>
      <c r="AX13" s="3742">
        <f>+'Maj Techno Summ'!AX5</f>
        <v>70.137055284109337</v>
      </c>
      <c r="AY13" s="3741">
        <f>+'Maj Techno Summ'!AY5</f>
        <v>70</v>
      </c>
      <c r="AZ13" s="3741">
        <f>+'Maj Techno Summ'!AZ5</f>
        <v>70.5</v>
      </c>
      <c r="BA13" s="3743">
        <f>+'Maj Techno Summ'!BA5</f>
        <v>70</v>
      </c>
      <c r="BB13" s="3744">
        <f>+'Maj Techno Summ'!BB5</f>
        <v>70.532713173922829</v>
      </c>
      <c r="BC13" s="3745">
        <f>+'Maj Techno Summ'!BC5</f>
        <v>70</v>
      </c>
      <c r="BD13" s="3746">
        <f>+'Maj Techno Summ'!BD5</f>
        <v>70.422663592242358</v>
      </c>
      <c r="BE13" s="3742">
        <f>+'Maj Techno Summ'!BE5</f>
        <v>70</v>
      </c>
      <c r="BF13" s="3742">
        <f>+'Maj Techno Summ'!BF5</f>
        <v>70.168103622185086</v>
      </c>
      <c r="BG13" s="2534"/>
      <c r="BH13" s="2534"/>
      <c r="BI13" s="2534"/>
      <c r="BJ13" s="2534"/>
    </row>
    <row r="14" spans="2:62" x14ac:dyDescent="0.3">
      <c r="B14" s="1471" t="s">
        <v>841</v>
      </c>
      <c r="C14" s="2077" t="s">
        <v>66</v>
      </c>
      <c r="D14" s="5872"/>
      <c r="E14" s="2451">
        <f t="shared" ref="E14:AD14" si="40">+E12*100/E13</f>
        <v>154000</v>
      </c>
      <c r="F14" s="2451">
        <f t="shared" si="40"/>
        <v>136113.1575714286</v>
      </c>
      <c r="G14" s="2451">
        <f t="shared" ref="G14:H14" si="41">+G12*100/G13</f>
        <v>158888.88888888888</v>
      </c>
      <c r="H14" s="2451">
        <f t="shared" si="41"/>
        <v>153328.7732857143</v>
      </c>
      <c r="I14" s="2162">
        <f t="shared" ref="I14:I19" si="42">E14+G14</f>
        <v>312888.88888888888</v>
      </c>
      <c r="J14" s="2162">
        <f t="shared" ref="J14:J19" si="43">F14+H14</f>
        <v>289441.9308571429</v>
      </c>
      <c r="K14" s="2451">
        <f t="shared" ref="K14:L14" si="44">+K12*100/K13</f>
        <v>154000</v>
      </c>
      <c r="L14" s="2451">
        <f t="shared" si="44"/>
        <v>158982.802</v>
      </c>
      <c r="M14" s="3732">
        <f t="shared" ref="M14" si="45">+M12*100/M13</f>
        <v>466888.88888888893</v>
      </c>
      <c r="N14" s="3733">
        <f>F14+H14+L14</f>
        <v>448424.73285714292</v>
      </c>
      <c r="O14" s="2451">
        <f t="shared" ref="O14:P14" si="46">+O12*100/O13</f>
        <v>155833.33333333331</v>
      </c>
      <c r="P14" s="2451">
        <f t="shared" si="46"/>
        <v>173151.20800000007</v>
      </c>
      <c r="Q14" s="2162">
        <f t="shared" ref="Q14:Q19" si="47">M14+O14</f>
        <v>622722.22222222225</v>
      </c>
      <c r="R14" s="2162">
        <f t="shared" ref="R14:R19" si="48">N14+P14</f>
        <v>621575.94085714302</v>
      </c>
      <c r="S14" s="2451">
        <f t="shared" ref="S14:T14" si="49">+S12*100/S13</f>
        <v>155833.33333333331</v>
      </c>
      <c r="T14" s="2451">
        <f t="shared" si="49"/>
        <v>163895.33235714285</v>
      </c>
      <c r="U14" s="2162">
        <f t="shared" ref="U14:U19" si="50">Q14+S14</f>
        <v>778555.5555555555</v>
      </c>
      <c r="V14" s="2162">
        <f t="shared" ref="V14:V19" si="51">R14+T14</f>
        <v>785471.27321428584</v>
      </c>
      <c r="W14" s="2451">
        <f t="shared" ref="W14:X14" si="52">+W12*100/W13</f>
        <v>102761.90476190476</v>
      </c>
      <c r="X14" s="2451">
        <f t="shared" si="52"/>
        <v>168044.3527736004</v>
      </c>
      <c r="Y14" s="3733">
        <f>W14+S14+O14</f>
        <v>414428.57142857136</v>
      </c>
      <c r="Z14" s="3733">
        <f>X14+T14+P14</f>
        <v>505090.89313074329</v>
      </c>
      <c r="AA14" s="3734">
        <f>Y14+M14</f>
        <v>881317.46031746035</v>
      </c>
      <c r="AB14" s="3734">
        <f>Z14+N14</f>
        <v>953515.62598788622</v>
      </c>
      <c r="AC14" s="2451">
        <f t="shared" si="40"/>
        <v>159285.71428571429</v>
      </c>
      <c r="AD14" s="2451">
        <f t="shared" si="40"/>
        <v>155928.81772084598</v>
      </c>
      <c r="AE14" s="2162">
        <f t="shared" ref="AE14:AE19" si="53">AA14+AC14</f>
        <v>1040603.1746031747</v>
      </c>
      <c r="AF14" s="2162">
        <f t="shared" ref="AF14:AF19" si="54">AB14+AD14</f>
        <v>1109444.4437087323</v>
      </c>
      <c r="AG14" s="2451">
        <f t="shared" ref="AG14:AH14" si="55">+AG12*100/AG13</f>
        <v>151461.26984126985</v>
      </c>
      <c r="AH14" s="2451">
        <f t="shared" si="55"/>
        <v>13185.612711022839</v>
      </c>
      <c r="AI14" s="2162">
        <f t="shared" ref="AI14:AI19" si="56">AE14+AG14</f>
        <v>1192064.4444444445</v>
      </c>
      <c r="AJ14" s="2162">
        <f t="shared" ref="AJ14:AJ19" si="57">AF14+AH14</f>
        <v>1122630.0564197551</v>
      </c>
      <c r="AK14" s="2451">
        <f t="shared" ref="AK14:AL14" si="58">+AK12*100/AK13</f>
        <v>156468.25396825396</v>
      </c>
      <c r="AL14" s="2451">
        <f t="shared" si="58"/>
        <v>165008.9642441964</v>
      </c>
      <c r="AM14" s="1131">
        <f t="shared" ref="AM14:AM19" si="59">AC14+AG14+AK14</f>
        <v>467215.23809523811</v>
      </c>
      <c r="AN14" s="1131">
        <f t="shared" ref="AN14:AN19" si="60">AD14+AH14+AL14</f>
        <v>334123.39467606519</v>
      </c>
      <c r="AO14" s="2162">
        <f t="shared" ref="AO14:AO19" si="61">AI14+AK14</f>
        <v>1348532.6984126985</v>
      </c>
      <c r="AP14" s="2162">
        <f t="shared" ref="AP14:AP19" si="62">AJ14+AL14</f>
        <v>1287639.0206639515</v>
      </c>
      <c r="AQ14" s="2451">
        <f t="shared" ref="AQ14:AR14" si="63">+AQ12*100/AQ13</f>
        <v>156468.25396825396</v>
      </c>
      <c r="AR14" s="2451">
        <f t="shared" si="63"/>
        <v>154949.04979106176</v>
      </c>
      <c r="AS14" s="2162">
        <f t="shared" ref="AS14:AS19" si="64">AO14+AQ14</f>
        <v>1505000.9523809524</v>
      </c>
      <c r="AT14" s="2162">
        <f t="shared" ref="AT14:AT19" si="65">AP14+AR14</f>
        <v>1442588.0704550133</v>
      </c>
      <c r="AU14" s="2451">
        <f t="shared" ref="AU14:AV14" si="66">+AU12*100/AU13</f>
        <v>140821.42857142858</v>
      </c>
      <c r="AV14" s="2451">
        <f t="shared" si="66"/>
        <v>140074.60042553197</v>
      </c>
      <c r="AW14" s="2162">
        <f t="shared" ref="AW14:AW19" si="67">AS14+AU14</f>
        <v>1645822.3809523811</v>
      </c>
      <c r="AX14" s="2162">
        <f t="shared" ref="AX14:AX19" si="68">AT14+AV14</f>
        <v>1582662.6708805454</v>
      </c>
      <c r="AY14" s="2451">
        <f t="shared" ref="AY14:AZ14" si="69">+AY12*100/AY13</f>
        <v>156468.25396825396</v>
      </c>
      <c r="AZ14" s="2451">
        <f t="shared" si="69"/>
        <v>151558.89687943264</v>
      </c>
      <c r="BA14" s="3732">
        <f t="shared" ref="BA14:BA19" si="70">AQ14+AU14+AY14</f>
        <v>453757.93650793651</v>
      </c>
      <c r="BB14" s="3732">
        <f t="shared" ref="BB14:BB19" si="71">AR14+AV14+AZ14</f>
        <v>446582.54709602636</v>
      </c>
      <c r="BC14" s="3734">
        <f t="shared" ref="BC14:BC19" si="72">AM14+BA14</f>
        <v>920973.17460317467</v>
      </c>
      <c r="BD14" s="3735">
        <f t="shared" ref="BD14:BD19" si="73">AN14+BB14</f>
        <v>780705.94177209155</v>
      </c>
      <c r="BE14" s="3555">
        <f t="shared" ref="BE14:BE19" si="74">AW14+AY14</f>
        <v>1802290.634920635</v>
      </c>
      <c r="BF14" s="3555">
        <f t="shared" ref="BF14:BF19" si="75">AX14+AZ14</f>
        <v>1734221.5677599781</v>
      </c>
      <c r="BG14" s="2534"/>
      <c r="BH14" s="2534"/>
      <c r="BI14" s="2534"/>
      <c r="BJ14" s="2534"/>
    </row>
    <row r="15" spans="2:62" x14ac:dyDescent="0.3">
      <c r="B15" s="1471" t="s">
        <v>842</v>
      </c>
      <c r="C15" s="2077" t="s">
        <v>66</v>
      </c>
      <c r="D15" s="5872"/>
      <c r="E15" s="2451">
        <f>+E14*100/(100-'COKE OVENS'!E197)</f>
        <v>171022.22307645899</v>
      </c>
      <c r="F15" s="2451">
        <f>+F14*100/(100-'COKE OVENS'!F197)</f>
        <v>149046.81733309693</v>
      </c>
      <c r="G15" s="2451">
        <f>+G14*100/(100-'COKE OVENS'!G197)</f>
        <v>176451.49999952115</v>
      </c>
      <c r="H15" s="2451">
        <f>+H14*100/(100-'COKE OVENS'!H197)</f>
        <v>167952.39540788063</v>
      </c>
      <c r="I15" s="2162">
        <f t="shared" si="42"/>
        <v>347473.72307598015</v>
      </c>
      <c r="J15" s="2162">
        <f t="shared" si="43"/>
        <v>316999.21274097753</v>
      </c>
      <c r="K15" s="2451">
        <f>+K14*100/(100-'COKE OVENS'!K197)</f>
        <v>171022.22307645899</v>
      </c>
      <c r="L15" s="2451">
        <f>+L14*100/(100-'COKE OVENS'!L197)</f>
        <v>175091.19162995595</v>
      </c>
      <c r="M15" s="3732">
        <f>+M14*100/(100-'COKE OVENS'!M197)</f>
        <v>518495.94615243922</v>
      </c>
      <c r="N15" s="3733">
        <f t="shared" ref="N15:N19" si="76">F15+H15+L15</f>
        <v>492090.40437093348</v>
      </c>
      <c r="O15" s="2451">
        <f>+O14*100/(100-'COKE OVENS'!O197)</f>
        <v>173058.20192260729</v>
      </c>
      <c r="P15" s="2451">
        <f>+P14*100/(100-'COKE OVENS'!P197)</f>
        <v>193719.96392331299</v>
      </c>
      <c r="Q15" s="2162">
        <f t="shared" si="47"/>
        <v>691554.14807504648</v>
      </c>
      <c r="R15" s="2162">
        <f t="shared" si="48"/>
        <v>685810.36829424649</v>
      </c>
      <c r="S15" s="2451">
        <f>+S14*100/(100-'COKE OVENS'!S197)</f>
        <v>173058.20192260729</v>
      </c>
      <c r="T15" s="2451">
        <f>+T14*100/(100-'COKE OVENS'!T197)</f>
        <v>183150.34572515375</v>
      </c>
      <c r="U15" s="2162">
        <f t="shared" si="50"/>
        <v>864612.34999765374</v>
      </c>
      <c r="V15" s="2162">
        <f t="shared" si="51"/>
        <v>868960.7140194003</v>
      </c>
      <c r="W15" s="2451">
        <f>+W14*100/(100-'COKE OVENS'!W197)</f>
        <v>114120.58051917084</v>
      </c>
      <c r="X15" s="2451">
        <f>+X14*100/(100-'COKE OVENS'!X197)</f>
        <v>187505.05730081178</v>
      </c>
      <c r="Y15" s="3733">
        <f t="shared" ref="Y15:Y19" si="77">W15+S15+O15</f>
        <v>460236.98436438537</v>
      </c>
      <c r="Z15" s="3733">
        <f t="shared" ref="Z15:Z19" si="78">X15+T15+P15</f>
        <v>564375.36694927851</v>
      </c>
      <c r="AA15" s="3734">
        <f t="shared" ref="AA15:AA19" si="79">Y15+M15</f>
        <v>978732.93051682459</v>
      </c>
      <c r="AB15" s="3734">
        <f t="shared" ref="AB15:AB19" si="80">Z15+N15</f>
        <v>1056465.7713202119</v>
      </c>
      <c r="AC15" s="2451">
        <f>+AC14*100/(100-'COKE OVENS'!AC197)</f>
        <v>176892.18806145806</v>
      </c>
      <c r="AD15" s="2451">
        <f>+AD14*100/(100-'COKE OVENS'!AD197)</f>
        <v>173799.3898051568</v>
      </c>
      <c r="AE15" s="2162">
        <f t="shared" si="53"/>
        <v>1155625.1185782827</v>
      </c>
      <c r="AF15" s="2162">
        <f t="shared" si="54"/>
        <v>1230265.1611253687</v>
      </c>
      <c r="AG15" s="2451">
        <f>+AG14*100/(100-'COKE OVENS'!AG197)</f>
        <v>168202.87713141169</v>
      </c>
      <c r="AH15" s="2451">
        <f>+AH14*100/(100-'COKE OVENS'!AH197)</f>
        <v>14646.957723156305</v>
      </c>
      <c r="AI15" s="2162">
        <f t="shared" si="56"/>
        <v>1323827.9957096945</v>
      </c>
      <c r="AJ15" s="2162">
        <f t="shared" si="57"/>
        <v>1244912.118848525</v>
      </c>
      <c r="AK15" s="2451">
        <f>+AK14*100/(100-'COKE OVENS'!AK197)</f>
        <v>173763.30282170628</v>
      </c>
      <c r="AL15" s="2451">
        <f>+AL14*100/(100-'COKE OVENS'!AL197)</f>
        <v>181694.08089044155</v>
      </c>
      <c r="AM15" s="1131">
        <f t="shared" si="59"/>
        <v>518858.36801457603</v>
      </c>
      <c r="AN15" s="1131">
        <f t="shared" si="60"/>
        <v>370140.42841875466</v>
      </c>
      <c r="AO15" s="2162">
        <f t="shared" si="61"/>
        <v>1497591.2985314007</v>
      </c>
      <c r="AP15" s="2162">
        <f t="shared" si="62"/>
        <v>1426606.1997389665</v>
      </c>
      <c r="AQ15" s="2451">
        <f>+AQ14*100/(100-'COKE OVENS'!AQ197)</f>
        <v>173763.30282170628</v>
      </c>
      <c r="AR15" s="2451">
        <f>+AR14*100/(100-'COKE OVENS'!AR197)</f>
        <v>170121.83543373039</v>
      </c>
      <c r="AS15" s="2162">
        <f t="shared" si="64"/>
        <v>1671354.601353107</v>
      </c>
      <c r="AT15" s="2162">
        <f t="shared" si="65"/>
        <v>1596728.0351726969</v>
      </c>
      <c r="AU15" s="2451">
        <f>+AU14*100/(100-'COKE OVENS'!AU197)</f>
        <v>156386.97253953567</v>
      </c>
      <c r="AV15" s="2451">
        <f>+AV14*100/(100-'COKE OVENS'!AV197)</f>
        <v>153470.14447437707</v>
      </c>
      <c r="AW15" s="2162">
        <f t="shared" si="67"/>
        <v>1827741.5738926427</v>
      </c>
      <c r="AX15" s="2162">
        <f t="shared" si="68"/>
        <v>1750198.1796470741</v>
      </c>
      <c r="AY15" s="2451">
        <f>+AY14*100/(100-'COKE OVENS'!AY197)</f>
        <v>173763.30282170628</v>
      </c>
      <c r="AZ15" s="2451">
        <f>+AZ14*100/(100-'COKE OVENS'!AZ197)</f>
        <v>165418.94569277461</v>
      </c>
      <c r="BA15" s="3732">
        <f t="shared" si="70"/>
        <v>503913.57818294823</v>
      </c>
      <c r="BB15" s="3732">
        <f t="shared" si="71"/>
        <v>489010.92560088204</v>
      </c>
      <c r="BC15" s="3734">
        <f t="shared" si="72"/>
        <v>1022771.9461975242</v>
      </c>
      <c r="BD15" s="3735">
        <f t="shared" si="73"/>
        <v>859151.35401963675</v>
      </c>
      <c r="BE15" s="3555">
        <f t="shared" si="74"/>
        <v>2001504.876714349</v>
      </c>
      <c r="BF15" s="3555">
        <f t="shared" si="75"/>
        <v>1915617.1253398487</v>
      </c>
      <c r="BG15" s="2534"/>
      <c r="BH15" s="2534"/>
      <c r="BI15" s="2534"/>
      <c r="BJ15" s="2534"/>
    </row>
    <row r="16" spans="2:62" x14ac:dyDescent="0.3">
      <c r="B16" s="1471" t="s">
        <v>1403</v>
      </c>
      <c r="C16" s="2077" t="s">
        <v>66</v>
      </c>
      <c r="D16" s="5872"/>
      <c r="E16" s="2451">
        <f>+E15*100/(100-'COKE OVENS'!E199)</f>
        <v>175407.40828354767</v>
      </c>
      <c r="F16" s="2451">
        <f>+F15*100/(100-'COKE OVENS'!F199)</f>
        <v>152868.53059804815</v>
      </c>
      <c r="G16" s="2451">
        <f>+G15*100/(100-'COKE OVENS'!G199)</f>
        <v>180975.89743540631</v>
      </c>
      <c r="H16" s="2451">
        <f>+H15*100/(100-'COKE OVENS'!H199)</f>
        <v>172258.86708500577</v>
      </c>
      <c r="I16" s="2162">
        <f t="shared" si="42"/>
        <v>356383.30571895395</v>
      </c>
      <c r="J16" s="2162">
        <f t="shared" si="43"/>
        <v>325127.39768305392</v>
      </c>
      <c r="K16" s="2451">
        <f>+K15*100/(100-'COKE OVENS'!K199)</f>
        <v>175407.40828354767</v>
      </c>
      <c r="L16" s="2451">
        <f>+L15*100/(100-'COKE OVENS'!L199)</f>
        <v>179580.7093640574</v>
      </c>
      <c r="M16" s="3732">
        <f>+M15*100/(100-'COKE OVENS'!M199)</f>
        <v>531790.71400250169</v>
      </c>
      <c r="N16" s="3733">
        <f t="shared" si="76"/>
        <v>504708.10704711132</v>
      </c>
      <c r="O16" s="2451">
        <f>+O15*100/(100-'COKE OVENS'!O199)</f>
        <v>177495.59171549464</v>
      </c>
      <c r="P16" s="2451">
        <f>+P15*100/(100-'COKE OVENS'!P199)</f>
        <v>198687.14248544921</v>
      </c>
      <c r="Q16" s="2162">
        <f t="shared" si="47"/>
        <v>709286.30571799632</v>
      </c>
      <c r="R16" s="2162">
        <f t="shared" si="48"/>
        <v>703395.24953256059</v>
      </c>
      <c r="S16" s="2451">
        <f>+S15*100/(100-'COKE OVENS'!S199)</f>
        <v>177495.59171549464</v>
      </c>
      <c r="T16" s="2451">
        <f>+T15*100/(100-'COKE OVENS'!T199)</f>
        <v>187846.50843605513</v>
      </c>
      <c r="U16" s="2162">
        <f t="shared" si="50"/>
        <v>886781.89743349096</v>
      </c>
      <c r="V16" s="2162">
        <f t="shared" si="51"/>
        <v>891241.75796861574</v>
      </c>
      <c r="W16" s="2451">
        <f>+W15*100/(100-'COKE OVENS'!W199)</f>
        <v>117046.74925043163</v>
      </c>
      <c r="X16" s="2451">
        <f>+X15*100/(100-'COKE OVENS'!X199)</f>
        <v>192312.87928288389</v>
      </c>
      <c r="Y16" s="3733">
        <f t="shared" si="77"/>
        <v>472037.93268142093</v>
      </c>
      <c r="Z16" s="3733">
        <f t="shared" si="78"/>
        <v>578846.5302043882</v>
      </c>
      <c r="AA16" s="3734">
        <f t="shared" si="79"/>
        <v>1003828.6466839226</v>
      </c>
      <c r="AB16" s="3734">
        <f t="shared" si="80"/>
        <v>1083554.6372514996</v>
      </c>
      <c r="AC16" s="2451">
        <f>+AC15*100/(100-'COKE OVENS'!AC199)</f>
        <v>181427.88519123904</v>
      </c>
      <c r="AD16" s="2451">
        <f>+AD15*100/(100-'COKE OVENS'!AD199)</f>
        <v>178255.78441554544</v>
      </c>
      <c r="AE16" s="2162">
        <f t="shared" si="53"/>
        <v>1185256.5318751617</v>
      </c>
      <c r="AF16" s="2162">
        <f t="shared" si="54"/>
        <v>1261810.421667045</v>
      </c>
      <c r="AG16" s="2451">
        <f>+AG15*100/(100-'COKE OVENS'!AG199)</f>
        <v>172515.77141683252</v>
      </c>
      <c r="AH16" s="2451">
        <f>+AH15*100/(100-'COKE OVENS'!AH199)</f>
        <v>15022.520741698774</v>
      </c>
      <c r="AI16" s="2162">
        <f t="shared" si="56"/>
        <v>1357772.3032919941</v>
      </c>
      <c r="AJ16" s="2162">
        <f t="shared" si="57"/>
        <v>1276832.9424087438</v>
      </c>
      <c r="AK16" s="2451">
        <f>+AK15*100/(100-'COKE OVENS'!AK199)</f>
        <v>178218.77212482694</v>
      </c>
      <c r="AL16" s="2451">
        <f>+AL15*100/(100-'COKE OVENS'!AL199)</f>
        <v>186352.90347737595</v>
      </c>
      <c r="AM16" s="1131">
        <f t="shared" si="59"/>
        <v>532162.42873289844</v>
      </c>
      <c r="AN16" s="1131">
        <f t="shared" si="60"/>
        <v>379631.20863462018</v>
      </c>
      <c r="AO16" s="2162">
        <f t="shared" si="61"/>
        <v>1535991.0754168211</v>
      </c>
      <c r="AP16" s="2162">
        <f t="shared" si="62"/>
        <v>1463185.8458861196</v>
      </c>
      <c r="AQ16" s="2451">
        <f>+AQ15*100/(100-'COKE OVENS'!AQ199)</f>
        <v>178218.77212482694</v>
      </c>
      <c r="AR16" s="2451">
        <f>+AR15*100/(100-'COKE OVENS'!AR199)</f>
        <v>174483.93377818505</v>
      </c>
      <c r="AS16" s="2162">
        <f t="shared" si="64"/>
        <v>1714209.847541648</v>
      </c>
      <c r="AT16" s="2162">
        <f t="shared" si="65"/>
        <v>1637669.7796643046</v>
      </c>
      <c r="AU16" s="2451">
        <f>+AU15*100/(100-'COKE OVENS'!AU199)</f>
        <v>160396.89491234429</v>
      </c>
      <c r="AV16" s="2451">
        <f>+AV15*100/(100-'COKE OVENS'!AV199)</f>
        <v>157405.27638397648</v>
      </c>
      <c r="AW16" s="2162">
        <f t="shared" si="67"/>
        <v>1874606.7424539924</v>
      </c>
      <c r="AX16" s="2162">
        <f t="shared" si="68"/>
        <v>1795075.056048281</v>
      </c>
      <c r="AY16" s="2451">
        <f>+AY15*100/(100-'COKE OVENS'!AY199)</f>
        <v>178218.77212482694</v>
      </c>
      <c r="AZ16" s="2451">
        <f>+AZ15*100/(100-'COKE OVENS'!AZ199)</f>
        <v>169660.45712079448</v>
      </c>
      <c r="BA16" s="3732">
        <f t="shared" si="70"/>
        <v>516834.4391619981</v>
      </c>
      <c r="BB16" s="3732">
        <f t="shared" si="71"/>
        <v>501549.66728295595</v>
      </c>
      <c r="BC16" s="3734">
        <f t="shared" si="72"/>
        <v>1048996.8678948965</v>
      </c>
      <c r="BD16" s="3735">
        <f t="shared" si="73"/>
        <v>881180.87591757614</v>
      </c>
      <c r="BE16" s="3555">
        <f t="shared" si="74"/>
        <v>2052825.5145788193</v>
      </c>
      <c r="BF16" s="3555">
        <f t="shared" si="75"/>
        <v>1964735.5131690756</v>
      </c>
      <c r="BG16" s="2534"/>
      <c r="BH16" s="2534"/>
      <c r="BI16" s="2534"/>
      <c r="BJ16" s="2534"/>
    </row>
    <row r="17" spans="2:62" x14ac:dyDescent="0.3">
      <c r="B17" s="1471" t="s">
        <v>962</v>
      </c>
      <c r="C17" s="2077" t="s">
        <v>66</v>
      </c>
      <c r="D17" s="5872"/>
      <c r="E17" s="3556">
        <f>+'B-FCE'!E25/((100-$C$24)/100)</f>
        <v>41978.182027858114</v>
      </c>
      <c r="F17" s="2451">
        <f>+'B-FCE'!F102</f>
        <v>37497.146483516481</v>
      </c>
      <c r="G17" s="3556">
        <f>+'B-FCE'!G25/((100-$C$24)/100)</f>
        <v>43310.822727155195</v>
      </c>
      <c r="H17" s="2451">
        <f>+'B-FCE'!H102</f>
        <v>43820.499780219783</v>
      </c>
      <c r="I17" s="2162">
        <f t="shared" si="42"/>
        <v>85289.004755013302</v>
      </c>
      <c r="J17" s="2162">
        <f t="shared" si="43"/>
        <v>81317.646263736271</v>
      </c>
      <c r="K17" s="3556">
        <f>+'B-FCE'!K25/((100-$C$24)/100)</f>
        <v>41978.182027858114</v>
      </c>
      <c r="L17" s="2451">
        <f>+'B-FCE'!L102</f>
        <v>44610.065274725261</v>
      </c>
      <c r="M17" s="3732">
        <f>+'B-FCE'!M25/((100-$C$24)/100)</f>
        <v>127267.18678287142</v>
      </c>
      <c r="N17" s="3733">
        <f t="shared" si="76"/>
        <v>125927.71153846153</v>
      </c>
      <c r="O17" s="3556">
        <f>+'B-FCE'!O25/((100-$C$24)/100)</f>
        <v>42477.922290094517</v>
      </c>
      <c r="P17" s="2451">
        <f>+'B-FCE'!P102</f>
        <v>42070.860109890105</v>
      </c>
      <c r="Q17" s="2162">
        <f t="shared" si="47"/>
        <v>169745.10907296592</v>
      </c>
      <c r="R17" s="2162">
        <f t="shared" si="48"/>
        <v>167998.57164835164</v>
      </c>
      <c r="S17" s="3556">
        <f>+'B-FCE'!S25/((100-$C$24)/100)</f>
        <v>42477.922290094517</v>
      </c>
      <c r="T17" s="2451">
        <f>+'B-FCE'!T102</f>
        <v>39478.498549450553</v>
      </c>
      <c r="U17" s="2162">
        <f t="shared" si="50"/>
        <v>212223.03136306044</v>
      </c>
      <c r="V17" s="2162">
        <f t="shared" si="51"/>
        <v>207477.07019780221</v>
      </c>
      <c r="W17" s="3556">
        <f>+'B-FCE'!W25/((100-$C$24)/100)</f>
        <v>18812.444538410487</v>
      </c>
      <c r="X17" s="2451">
        <f>+'B-FCE'!X102</f>
        <v>34369.631934065947</v>
      </c>
      <c r="Y17" s="3733">
        <f t="shared" si="77"/>
        <v>103768.28911859952</v>
      </c>
      <c r="Z17" s="3733">
        <f t="shared" si="78"/>
        <v>115918.9905934066</v>
      </c>
      <c r="AA17" s="3734">
        <f t="shared" si="79"/>
        <v>231035.47590147093</v>
      </c>
      <c r="AB17" s="3734">
        <f t="shared" si="80"/>
        <v>241846.70213186814</v>
      </c>
      <c r="AC17" s="3556">
        <f>+'B-FCE'!AC25/((100-$C$24)/100)</f>
        <v>40534.487936952937</v>
      </c>
      <c r="AD17" s="2451">
        <f>+'B-FCE'!AD102</f>
        <v>32957.071098901099</v>
      </c>
      <c r="AE17" s="2162">
        <f t="shared" si="53"/>
        <v>271569.96383842384</v>
      </c>
      <c r="AF17" s="2162">
        <f t="shared" si="54"/>
        <v>274803.77323076921</v>
      </c>
      <c r="AG17" s="3556">
        <f>+'B-FCE'!AG25/((100-$C$24)/100)</f>
        <v>39237.384322970443</v>
      </c>
      <c r="AH17" s="2451">
        <f>+'B-FCE'!AH102</f>
        <v>0</v>
      </c>
      <c r="AI17" s="2162">
        <f t="shared" si="56"/>
        <v>310807.3481613943</v>
      </c>
      <c r="AJ17" s="2162">
        <f t="shared" si="57"/>
        <v>274803.77323076921</v>
      </c>
      <c r="AK17" s="3556">
        <f>+'B-FCE'!AK25/((100-$C$24)/100)</f>
        <v>40534.487936952937</v>
      </c>
      <c r="AL17" s="2451">
        <f>+'B-FCE'!AL102</f>
        <v>39289.769230769234</v>
      </c>
      <c r="AM17" s="1131">
        <f t="shared" si="59"/>
        <v>120306.36019687631</v>
      </c>
      <c r="AN17" s="1131">
        <f t="shared" si="60"/>
        <v>72246.840329670333</v>
      </c>
      <c r="AO17" s="2162">
        <f t="shared" si="61"/>
        <v>351341.83609834721</v>
      </c>
      <c r="AP17" s="2162">
        <f t="shared" si="62"/>
        <v>314093.54246153845</v>
      </c>
      <c r="AQ17" s="3556">
        <f>+'B-FCE'!AQ25/((100-$C$24)/100)</f>
        <v>40534.487936952937</v>
      </c>
      <c r="AR17" s="2451">
        <f>+'B-FCE'!AR102</f>
        <v>44202.49538461538</v>
      </c>
      <c r="AS17" s="2162">
        <f t="shared" si="64"/>
        <v>391876.32403530017</v>
      </c>
      <c r="AT17" s="2162">
        <f t="shared" si="65"/>
        <v>358296.03784615383</v>
      </c>
      <c r="AU17" s="3556">
        <f>+'B-FCE'!AU25/((100-$C$24)/100)</f>
        <v>36481.039143257643</v>
      </c>
      <c r="AV17" s="2451">
        <f>+'B-FCE'!AV102</f>
        <v>41164.667032967045</v>
      </c>
      <c r="AW17" s="2162">
        <f t="shared" si="67"/>
        <v>428357.36317855783</v>
      </c>
      <c r="AX17" s="2162">
        <f t="shared" si="68"/>
        <v>399460.70487912087</v>
      </c>
      <c r="AY17" s="3556">
        <f>+'B-FCE'!AY25/((100-$C$24)/100)</f>
        <v>40534.487936952937</v>
      </c>
      <c r="AZ17" s="2451">
        <f>+'B-FCE'!AZ102</f>
        <v>45963.252857142848</v>
      </c>
      <c r="BA17" s="3732">
        <f t="shared" si="70"/>
        <v>117550.01501716352</v>
      </c>
      <c r="BB17" s="3732">
        <f t="shared" si="71"/>
        <v>131330.41527472527</v>
      </c>
      <c r="BC17" s="3734">
        <f t="shared" si="72"/>
        <v>237856.37521403981</v>
      </c>
      <c r="BD17" s="3735">
        <f t="shared" si="73"/>
        <v>203577.25560439558</v>
      </c>
      <c r="BE17" s="3555">
        <f t="shared" si="74"/>
        <v>468891.8511155108</v>
      </c>
      <c r="BF17" s="3555">
        <f t="shared" si="75"/>
        <v>445423.95773626369</v>
      </c>
      <c r="BG17" s="2534"/>
      <c r="BH17" s="2534"/>
      <c r="BI17" s="2534"/>
      <c r="BJ17" s="2534"/>
    </row>
    <row r="18" spans="2:62" x14ac:dyDescent="0.3">
      <c r="B18" s="1471" t="s">
        <v>1402</v>
      </c>
      <c r="C18" s="2077" t="s">
        <v>66</v>
      </c>
      <c r="D18" s="5872"/>
      <c r="E18" s="2451">
        <f t="shared" ref="E18:F18" si="81">+E17/((100-$C$25)/100)</f>
        <v>43054.545669598068</v>
      </c>
      <c r="F18" s="2451">
        <f t="shared" si="81"/>
        <v>38458.61177796562</v>
      </c>
      <c r="G18" s="2451">
        <f t="shared" ref="G18:H18" si="82">+G17/((100-$C$25)/100)</f>
        <v>44421.356643236097</v>
      </c>
      <c r="H18" s="2451">
        <f t="shared" si="82"/>
        <v>44944.102338686957</v>
      </c>
      <c r="I18" s="2162">
        <f t="shared" si="42"/>
        <v>87475.902312834165</v>
      </c>
      <c r="J18" s="2162">
        <f t="shared" si="43"/>
        <v>83402.714116652583</v>
      </c>
      <c r="K18" s="2451">
        <f t="shared" ref="K18:L18" si="83">+K17/((100-$C$25)/100)</f>
        <v>43054.545669598068</v>
      </c>
      <c r="L18" s="2451">
        <f t="shared" si="83"/>
        <v>45753.91310228232</v>
      </c>
      <c r="M18" s="3732">
        <f t="shared" ref="M18" si="84">+M17/((100-$C$25)/100)</f>
        <v>130530.44798243222</v>
      </c>
      <c r="N18" s="3733">
        <f t="shared" si="76"/>
        <v>129156.62721893491</v>
      </c>
      <c r="O18" s="2451">
        <f t="shared" ref="O18:P18" si="85">+O17/((100-$C$25)/100)</f>
        <v>43567.099784712329</v>
      </c>
      <c r="P18" s="2451">
        <f t="shared" si="85"/>
        <v>43149.600112707798</v>
      </c>
      <c r="Q18" s="2162">
        <f t="shared" si="47"/>
        <v>174097.54776714454</v>
      </c>
      <c r="R18" s="2162">
        <f t="shared" si="48"/>
        <v>172306.2273316427</v>
      </c>
      <c r="S18" s="2451">
        <f t="shared" ref="S18:T18" si="86">+S17/((100-$C$25)/100)</f>
        <v>43567.099784712329</v>
      </c>
      <c r="T18" s="2451">
        <f t="shared" si="86"/>
        <v>40490.767743026212</v>
      </c>
      <c r="U18" s="2162">
        <f t="shared" si="50"/>
        <v>217664.64755185688</v>
      </c>
      <c r="V18" s="2162">
        <f t="shared" si="51"/>
        <v>212796.9950746689</v>
      </c>
      <c r="W18" s="2451">
        <f t="shared" ref="W18:X18" si="87">+W17/((100-$C$25)/100)</f>
        <v>19294.814911190246</v>
      </c>
      <c r="X18" s="2451">
        <f t="shared" si="87"/>
        <v>35250.904547759943</v>
      </c>
      <c r="Y18" s="3733">
        <f t="shared" si="77"/>
        <v>106429.0144806149</v>
      </c>
      <c r="Z18" s="3733">
        <f t="shared" si="78"/>
        <v>118891.27240349396</v>
      </c>
      <c r="AA18" s="3734">
        <f t="shared" si="79"/>
        <v>236959.46246304712</v>
      </c>
      <c r="AB18" s="3734">
        <f t="shared" si="80"/>
        <v>248047.89962242887</v>
      </c>
      <c r="AC18" s="2451">
        <f t="shared" ref="AC18:AD18" si="88">+AC17/((100-$C$25)/100)</f>
        <v>41573.83378149019</v>
      </c>
      <c r="AD18" s="2451">
        <f t="shared" si="88"/>
        <v>33802.124204001128</v>
      </c>
      <c r="AE18" s="2162">
        <f t="shared" si="53"/>
        <v>278533.29624453734</v>
      </c>
      <c r="AF18" s="2162">
        <f t="shared" si="54"/>
        <v>281850.02382642997</v>
      </c>
      <c r="AG18" s="2451">
        <f t="shared" ref="AG18:AH18" si="89">+AG17/((100-$C$25)/100)</f>
        <v>40243.471100482508</v>
      </c>
      <c r="AH18" s="2451">
        <f t="shared" si="89"/>
        <v>0</v>
      </c>
      <c r="AI18" s="2162">
        <f t="shared" si="56"/>
        <v>318776.76734501985</v>
      </c>
      <c r="AJ18" s="2162">
        <f t="shared" si="57"/>
        <v>281850.02382642997</v>
      </c>
      <c r="AK18" s="2451">
        <f t="shared" ref="AK18:AL18" si="90">+AK17/((100-$C$25)/100)</f>
        <v>41573.83378149019</v>
      </c>
      <c r="AL18" s="2451">
        <f t="shared" si="90"/>
        <v>40297.199211045372</v>
      </c>
      <c r="AM18" s="1131">
        <f t="shared" si="59"/>
        <v>123391.13866346289</v>
      </c>
      <c r="AN18" s="1131">
        <f t="shared" si="60"/>
        <v>74099.3234150465</v>
      </c>
      <c r="AO18" s="2162">
        <f t="shared" si="61"/>
        <v>360350.60112651007</v>
      </c>
      <c r="AP18" s="2162">
        <f t="shared" si="62"/>
        <v>322147.22303747537</v>
      </c>
      <c r="AQ18" s="2451">
        <f t="shared" ref="AQ18:AR18" si="91">+AQ17/((100-$C$25)/100)</f>
        <v>41573.83378149019</v>
      </c>
      <c r="AR18" s="2451">
        <f t="shared" si="91"/>
        <v>45335.892702169622</v>
      </c>
      <c r="AS18" s="2162">
        <f t="shared" si="64"/>
        <v>401924.43490800029</v>
      </c>
      <c r="AT18" s="2162">
        <f t="shared" si="65"/>
        <v>367483.11573964497</v>
      </c>
      <c r="AU18" s="2451">
        <f t="shared" ref="AU18:AV18" si="92">+AU17/((100-$C$25)/100)</f>
        <v>37416.450403341172</v>
      </c>
      <c r="AV18" s="2451">
        <f t="shared" si="92"/>
        <v>42220.171315863634</v>
      </c>
      <c r="AW18" s="2162">
        <f t="shared" si="67"/>
        <v>439340.88531134144</v>
      </c>
      <c r="AX18" s="2162">
        <f t="shared" si="68"/>
        <v>409703.28705550858</v>
      </c>
      <c r="AY18" s="2451">
        <f t="shared" ref="AY18:AZ18" si="93">+AY17/((100-$C$25)/100)</f>
        <v>41573.83378149019</v>
      </c>
      <c r="AZ18" s="2451">
        <f t="shared" si="93"/>
        <v>47141.797802197798</v>
      </c>
      <c r="BA18" s="3732">
        <f t="shared" si="70"/>
        <v>120564.11796632156</v>
      </c>
      <c r="BB18" s="3732">
        <f t="shared" si="71"/>
        <v>134697.86182023105</v>
      </c>
      <c r="BC18" s="3734">
        <f t="shared" si="72"/>
        <v>243955.25662978445</v>
      </c>
      <c r="BD18" s="3735">
        <f t="shared" si="73"/>
        <v>208797.18523527755</v>
      </c>
      <c r="BE18" s="3555">
        <f t="shared" si="74"/>
        <v>480914.7190928316</v>
      </c>
      <c r="BF18" s="3555">
        <f t="shared" si="75"/>
        <v>456845.08485770639</v>
      </c>
      <c r="BG18" s="2534"/>
      <c r="BH18" s="2534"/>
      <c r="BI18" s="2534"/>
      <c r="BJ18" s="2534"/>
    </row>
    <row r="19" spans="2:62" ht="19.5" thickBot="1" x14ac:dyDescent="0.35">
      <c r="B19" s="1471" t="s">
        <v>963</v>
      </c>
      <c r="C19" s="2077" t="s">
        <v>66</v>
      </c>
      <c r="D19" s="5872"/>
      <c r="E19" s="3747">
        <f t="shared" ref="E19:AD19" si="94">+E16+E18</f>
        <v>218461.95395314574</v>
      </c>
      <c r="F19" s="3747">
        <f t="shared" si="94"/>
        <v>191327.14237601377</v>
      </c>
      <c r="G19" s="3747">
        <f t="shared" ref="G19:H19" si="95">+G16+G18</f>
        <v>225397.25407864241</v>
      </c>
      <c r="H19" s="3747">
        <f t="shared" si="95"/>
        <v>217202.96942369273</v>
      </c>
      <c r="I19" s="2162">
        <f t="shared" si="42"/>
        <v>443859.20803178812</v>
      </c>
      <c r="J19" s="2162">
        <f t="shared" si="43"/>
        <v>408530.11179970647</v>
      </c>
      <c r="K19" s="3747">
        <f t="shared" ref="K19:L19" si="96">+K16+K18</f>
        <v>218461.95395314574</v>
      </c>
      <c r="L19" s="3747">
        <f t="shared" si="96"/>
        <v>225334.62246633973</v>
      </c>
      <c r="M19" s="3748">
        <f t="shared" ref="M19" si="97">+M16+M18</f>
        <v>662321.16198493389</v>
      </c>
      <c r="N19" s="3733">
        <f t="shared" si="76"/>
        <v>633864.7342660462</v>
      </c>
      <c r="O19" s="3747">
        <f t="shared" ref="O19:P19" si="98">+O16+O18</f>
        <v>221062.69150020697</v>
      </c>
      <c r="P19" s="3747">
        <f t="shared" si="98"/>
        <v>241836.742598157</v>
      </c>
      <c r="Q19" s="2162">
        <f t="shared" si="47"/>
        <v>883383.85348514083</v>
      </c>
      <c r="R19" s="2162">
        <f t="shared" si="48"/>
        <v>875701.47686420323</v>
      </c>
      <c r="S19" s="3747">
        <f t="shared" ref="S19:T19" si="99">+S16+S18</f>
        <v>221062.69150020697</v>
      </c>
      <c r="T19" s="3747">
        <f t="shared" si="99"/>
        <v>228337.27617908135</v>
      </c>
      <c r="U19" s="2162">
        <f t="shared" si="50"/>
        <v>1104446.5449853479</v>
      </c>
      <c r="V19" s="2162">
        <f t="shared" si="51"/>
        <v>1104038.7530432846</v>
      </c>
      <c r="W19" s="3747">
        <f t="shared" ref="W19:X19" si="100">+W16+W18</f>
        <v>136341.56416162188</v>
      </c>
      <c r="X19" s="3747">
        <f t="shared" si="100"/>
        <v>227563.78383064384</v>
      </c>
      <c r="Y19" s="3733">
        <f t="shared" si="77"/>
        <v>578466.94716203585</v>
      </c>
      <c r="Z19" s="3733">
        <f t="shared" si="78"/>
        <v>697737.80260788219</v>
      </c>
      <c r="AA19" s="3734">
        <f t="shared" si="79"/>
        <v>1240788.1091469699</v>
      </c>
      <c r="AB19" s="3734">
        <f t="shared" si="80"/>
        <v>1331602.5368739283</v>
      </c>
      <c r="AC19" s="3747">
        <f t="shared" si="94"/>
        <v>223001.71897272923</v>
      </c>
      <c r="AD19" s="3747">
        <f t="shared" si="94"/>
        <v>212057.90861954656</v>
      </c>
      <c r="AE19" s="2162">
        <f t="shared" si="53"/>
        <v>1463789.8281196991</v>
      </c>
      <c r="AF19" s="2162">
        <f t="shared" si="54"/>
        <v>1543660.4454934748</v>
      </c>
      <c r="AG19" s="3747">
        <f t="shared" ref="AG19:AH19" si="101">+AG16+AG18</f>
        <v>212759.24251731503</v>
      </c>
      <c r="AH19" s="3747">
        <f t="shared" si="101"/>
        <v>15022.520741698774</v>
      </c>
      <c r="AI19" s="2162">
        <f t="shared" si="56"/>
        <v>1676549.0706370142</v>
      </c>
      <c r="AJ19" s="2162">
        <f t="shared" si="57"/>
        <v>1558682.9662351736</v>
      </c>
      <c r="AK19" s="3747">
        <f t="shared" ref="AK19:AL19" si="102">+AK16+AK18</f>
        <v>219792.60590631713</v>
      </c>
      <c r="AL19" s="3747">
        <f t="shared" si="102"/>
        <v>226650.10268842132</v>
      </c>
      <c r="AM19" s="1131">
        <f t="shared" si="59"/>
        <v>655553.56739636138</v>
      </c>
      <c r="AN19" s="1131">
        <f t="shared" si="60"/>
        <v>453730.53204966662</v>
      </c>
      <c r="AO19" s="2162">
        <f t="shared" si="61"/>
        <v>1896341.6765433312</v>
      </c>
      <c r="AP19" s="2162">
        <f t="shared" si="62"/>
        <v>1785333.0689235949</v>
      </c>
      <c r="AQ19" s="3747">
        <f t="shared" ref="AQ19:AR19" si="103">+AQ16+AQ18</f>
        <v>219792.60590631713</v>
      </c>
      <c r="AR19" s="3747">
        <f t="shared" si="103"/>
        <v>219819.82648035468</v>
      </c>
      <c r="AS19" s="2162">
        <f t="shared" si="64"/>
        <v>2116134.2824496482</v>
      </c>
      <c r="AT19" s="2162">
        <f t="shared" si="65"/>
        <v>2005152.8954039495</v>
      </c>
      <c r="AU19" s="3747">
        <f t="shared" ref="AU19:AV19" si="104">+AU16+AU18</f>
        <v>197813.34531568547</v>
      </c>
      <c r="AV19" s="3747">
        <f t="shared" si="104"/>
        <v>199625.44769984012</v>
      </c>
      <c r="AW19" s="2162">
        <f t="shared" si="67"/>
        <v>2313947.6277653337</v>
      </c>
      <c r="AX19" s="2162">
        <f t="shared" si="68"/>
        <v>2204778.3431037897</v>
      </c>
      <c r="AY19" s="3747">
        <f t="shared" ref="AY19:AZ19" si="105">+AY16+AY18</f>
        <v>219792.60590631713</v>
      </c>
      <c r="AZ19" s="3747">
        <f t="shared" si="105"/>
        <v>216802.25492299229</v>
      </c>
      <c r="BA19" s="3732">
        <f t="shared" si="70"/>
        <v>637398.55712831975</v>
      </c>
      <c r="BB19" s="3732">
        <f t="shared" si="71"/>
        <v>636247.52910318715</v>
      </c>
      <c r="BC19" s="3734">
        <f t="shared" si="72"/>
        <v>1292952.1245246811</v>
      </c>
      <c r="BD19" s="3735">
        <f t="shared" si="73"/>
        <v>1089978.0611528538</v>
      </c>
      <c r="BE19" s="3555">
        <f t="shared" si="74"/>
        <v>2533740.2336716508</v>
      </c>
      <c r="BF19" s="3555">
        <f t="shared" si="75"/>
        <v>2421580.5980267818</v>
      </c>
      <c r="BG19" s="2534"/>
      <c r="BH19" s="2534"/>
      <c r="BI19" s="2534"/>
      <c r="BJ19" s="2534"/>
    </row>
    <row r="20" spans="2:62" ht="19.5" thickBot="1" x14ac:dyDescent="0.35">
      <c r="B20" s="3749" t="s">
        <v>964</v>
      </c>
      <c r="C20" s="3750" t="s">
        <v>242</v>
      </c>
      <c r="D20" s="5873"/>
      <c r="E20" s="3751">
        <f t="shared" ref="E20:AF20" si="106">+E19*1000/E6</f>
        <v>866.91251568708628</v>
      </c>
      <c r="F20" s="3752">
        <f t="shared" si="106"/>
        <v>846.11004846869969</v>
      </c>
      <c r="G20" s="3751">
        <f t="shared" ref="G20:H20" si="107">+G19*1000/G6</f>
        <v>866.91251568708617</v>
      </c>
      <c r="H20" s="3752">
        <f t="shared" si="107"/>
        <v>849.34190363265725</v>
      </c>
      <c r="I20" s="3753">
        <f t="shared" ref="I20:L20" si="108">+I19*1000/I6</f>
        <v>866.91251568708617</v>
      </c>
      <c r="J20" s="3754">
        <f t="shared" si="108"/>
        <v>847.82525876418902</v>
      </c>
      <c r="K20" s="3751">
        <f t="shared" si="108"/>
        <v>866.91251568708628</v>
      </c>
      <c r="L20" s="3752">
        <f t="shared" si="108"/>
        <v>861.73356013497948</v>
      </c>
      <c r="M20" s="3755">
        <f t="shared" ref="M20:R20" si="109">+M19*1000/M6</f>
        <v>866.91251568708617</v>
      </c>
      <c r="N20" s="3756">
        <f t="shared" si="109"/>
        <v>852.7178368874138</v>
      </c>
      <c r="O20" s="3751">
        <f t="shared" si="109"/>
        <v>866.91251568708617</v>
      </c>
      <c r="P20" s="3752">
        <f t="shared" si="109"/>
        <v>901.89702481912377</v>
      </c>
      <c r="Q20" s="3753">
        <f t="shared" si="109"/>
        <v>866.91251568708617</v>
      </c>
      <c r="R20" s="3754">
        <f t="shared" si="109"/>
        <v>865.75507651662667</v>
      </c>
      <c r="S20" s="3751">
        <f t="shared" ref="S20:T20" si="110">+S19*1000/S6</f>
        <v>866.91251568708617</v>
      </c>
      <c r="T20" s="3752">
        <f t="shared" si="110"/>
        <v>901.57952496561427</v>
      </c>
      <c r="U20" s="3753">
        <f t="shared" ref="U20:X20" si="111">+U19*1000/U6</f>
        <v>866.91251568708628</v>
      </c>
      <c r="V20" s="3754">
        <f t="shared" si="111"/>
        <v>872.92883598099377</v>
      </c>
      <c r="W20" s="3751">
        <f t="shared" si="111"/>
        <v>973.86831544015615</v>
      </c>
      <c r="X20" s="3752">
        <f t="shared" si="111"/>
        <v>935.33175377395651</v>
      </c>
      <c r="Y20" s="3755">
        <f t="shared" ref="Y20:Z20" si="112">+Y19*1000/Y6</f>
        <v>889.9491494800551</v>
      </c>
      <c r="Z20" s="3756">
        <f t="shared" si="112"/>
        <v>912.42943846048797</v>
      </c>
      <c r="AA20" s="3757">
        <f t="shared" si="106"/>
        <v>877.50219883095463</v>
      </c>
      <c r="AB20" s="3758">
        <f t="shared" si="106"/>
        <v>882.99645354786935</v>
      </c>
      <c r="AC20" s="3751">
        <f t="shared" si="106"/>
        <v>892.00687589091694</v>
      </c>
      <c r="AD20" s="3752">
        <f t="shared" si="106"/>
        <v>891.4254777158103</v>
      </c>
      <c r="AE20" s="3753">
        <f t="shared" si="106"/>
        <v>879.68138709116545</v>
      </c>
      <c r="AF20" s="3754">
        <f t="shared" si="106"/>
        <v>884.14492025679908</v>
      </c>
      <c r="AG20" s="3751">
        <f t="shared" ref="AG20:AJ20" si="113">+AG19*1000/AG6</f>
        <v>879.17042362526877</v>
      </c>
      <c r="AH20" s="3752">
        <f t="shared" si="113"/>
        <v>1821.6844408777995</v>
      </c>
      <c r="AI20" s="3753">
        <f t="shared" si="113"/>
        <v>879.61651135205364</v>
      </c>
      <c r="AJ20" s="3754">
        <f t="shared" si="113"/>
        <v>888.55234061175145</v>
      </c>
      <c r="AK20" s="3751">
        <f t="shared" ref="AK20:AL20" si="114">+AK19*1000/AK6</f>
        <v>879.17042362526843</v>
      </c>
      <c r="AL20" s="3752">
        <f t="shared" si="114"/>
        <v>880.90990660152113</v>
      </c>
      <c r="AM20" s="3755">
        <f t="shared" ref="AM20:AR20" si="115">+AM19*1000/AM6</f>
        <v>883.49537384954363</v>
      </c>
      <c r="AN20" s="3756">
        <f t="shared" si="115"/>
        <v>901.28957387120761</v>
      </c>
      <c r="AO20" s="3754">
        <f t="shared" si="115"/>
        <v>879.56478503865083</v>
      </c>
      <c r="AP20" s="3754">
        <f t="shared" si="115"/>
        <v>887.57478419729296</v>
      </c>
      <c r="AQ20" s="3751">
        <f t="shared" si="115"/>
        <v>879.17042362526843</v>
      </c>
      <c r="AR20" s="3752">
        <f t="shared" si="115"/>
        <v>839.50234176485299</v>
      </c>
      <c r="AS20" s="3754">
        <f t="shared" ref="AS20:AV20" si="116">+AS19*1000/AS6</f>
        <v>879.52380816693608</v>
      </c>
      <c r="AT20" s="3754">
        <f t="shared" si="116"/>
        <v>882.03770426037454</v>
      </c>
      <c r="AU20" s="3751">
        <f t="shared" si="116"/>
        <v>879.17042362526877</v>
      </c>
      <c r="AV20" s="3752">
        <f t="shared" si="116"/>
        <v>833.07785405401853</v>
      </c>
      <c r="AW20" s="3754">
        <f t="shared" ref="AW20:AZ20" si="117">+AW19*1000/AW6</f>
        <v>879.49358713999754</v>
      </c>
      <c r="AX20" s="3754">
        <f t="shared" si="117"/>
        <v>877.36909216707602</v>
      </c>
      <c r="AY20" s="3751">
        <f t="shared" si="117"/>
        <v>879.17042362526843</v>
      </c>
      <c r="AZ20" s="3752">
        <f t="shared" si="117"/>
        <v>821.7498196679386</v>
      </c>
      <c r="BA20" s="3755">
        <f t="shared" ref="BA20:BF20" si="118">+BA19*1000/BA6</f>
        <v>879.17042362526865</v>
      </c>
      <c r="BB20" s="3756">
        <f t="shared" si="118"/>
        <v>831.3707407887515</v>
      </c>
      <c r="BC20" s="3757">
        <f t="shared" si="118"/>
        <v>881.35795809453384</v>
      </c>
      <c r="BD20" s="3758">
        <f t="shared" si="118"/>
        <v>859.114223704805</v>
      </c>
      <c r="BE20" s="3754">
        <f t="shared" si="118"/>
        <v>879.46554448859797</v>
      </c>
      <c r="BF20" s="3754">
        <f t="shared" si="118"/>
        <v>872.08452849537503</v>
      </c>
      <c r="BG20" s="2534"/>
      <c r="BH20" s="2534"/>
      <c r="BI20" s="2534"/>
      <c r="BJ20" s="2534"/>
    </row>
    <row r="21" spans="2:62" ht="18" x14ac:dyDescent="0.35">
      <c r="M21" s="3759"/>
      <c r="Y21" s="3759"/>
      <c r="Z21" s="3730"/>
    </row>
    <row r="22" spans="2:62" ht="18" x14ac:dyDescent="0.35">
      <c r="H22" s="3759"/>
      <c r="I22" s="3759"/>
      <c r="L22" s="3759"/>
    </row>
    <row r="23" spans="2:62" ht="18" x14ac:dyDescent="0.35">
      <c r="I23" s="3759"/>
      <c r="J23" s="3759"/>
    </row>
    <row r="24" spans="2:62" ht="18" x14ac:dyDescent="0.35">
      <c r="B24" s="3760" t="s">
        <v>1452</v>
      </c>
      <c r="C24" s="5376">
        <v>9.9532229029959769</v>
      </c>
    </row>
    <row r="25" spans="2:62" ht="18" x14ac:dyDescent="0.35">
      <c r="B25" s="3760" t="s">
        <v>1453</v>
      </c>
      <c r="C25" s="3760">
        <v>2.5</v>
      </c>
    </row>
  </sheetData>
  <mergeCells count="32"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  <mergeCell ref="D4:D5"/>
    <mergeCell ref="D6:D20"/>
    <mergeCell ref="W4:X4"/>
    <mergeCell ref="Y4:Z4"/>
    <mergeCell ref="AA4:AB4"/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theme="5" tint="-0.249977111117893"/>
    <pageSetUpPr fitToPage="1"/>
  </sheetPr>
  <dimension ref="A1:BK551"/>
  <sheetViews>
    <sheetView topLeftCell="B1" zoomScale="95" zoomScaleNormal="95" workbookViewId="0">
      <pane xSplit="2" ySplit="12" topLeftCell="K13" activePane="bottomRight" state="frozen"/>
      <selection activeCell="B1" sqref="B1"/>
      <selection pane="topRight" activeCell="D1" sqref="D1"/>
      <selection pane="bottomLeft" activeCell="B13" sqref="B13"/>
      <selection pane="bottomRight" activeCell="T426" sqref="T426"/>
    </sheetView>
  </sheetViews>
  <sheetFormatPr defaultColWidth="9.140625" defaultRowHeight="15" x14ac:dyDescent="0.25"/>
  <cols>
    <col min="1" max="1" width="0.85546875" hidden="1" customWidth="1"/>
    <col min="2" max="2" width="55.28515625" bestFit="1" customWidth="1"/>
    <col min="3" max="3" width="38.5703125" customWidth="1"/>
    <col min="4" max="4" width="18.85546875" customWidth="1"/>
    <col min="5" max="5" width="7.85546875" customWidth="1"/>
    <col min="6" max="6" width="8.42578125" bestFit="1" customWidth="1"/>
    <col min="7" max="7" width="7.85546875" customWidth="1"/>
    <col min="8" max="8" width="8.42578125" bestFit="1" customWidth="1"/>
    <col min="9" max="10" width="9.85546875" hidden="1" customWidth="1"/>
    <col min="11" max="11" width="7.85546875" customWidth="1"/>
    <col min="12" max="12" width="8.42578125" bestFit="1" customWidth="1"/>
    <col min="13" max="14" width="7.85546875" customWidth="1"/>
    <col min="15" max="16" width="9.85546875" customWidth="1"/>
    <col min="17" max="18" width="9.85546875" hidden="1" customWidth="1"/>
    <col min="19" max="20" width="9.85546875" customWidth="1"/>
    <col min="21" max="22" width="9.85546875" hidden="1" customWidth="1"/>
    <col min="23" max="26" width="9.85546875" customWidth="1"/>
    <col min="27" max="28" width="11.28515625" customWidth="1"/>
    <col min="29" max="30" width="7.85546875" hidden="1" customWidth="1"/>
    <col min="31" max="32" width="11.42578125" hidden="1" customWidth="1"/>
    <col min="33" max="33" width="7.85546875" hidden="1" customWidth="1"/>
    <col min="34" max="34" width="6.7109375" hidden="1" customWidth="1"/>
    <col min="35" max="36" width="9" hidden="1" customWidth="1"/>
    <col min="37" max="37" width="7.85546875" hidden="1" customWidth="1"/>
    <col min="38" max="38" width="8.42578125" hidden="1" customWidth="1"/>
    <col min="39" max="39" width="7.85546875" hidden="1" customWidth="1"/>
    <col min="40" max="40" width="8" hidden="1" customWidth="1"/>
    <col min="41" max="42" width="9" hidden="1" customWidth="1"/>
    <col min="43" max="44" width="10" hidden="1" customWidth="1"/>
    <col min="45" max="46" width="11.42578125" hidden="1" customWidth="1"/>
    <col min="47" max="48" width="10" hidden="1" customWidth="1"/>
    <col min="49" max="50" width="11.42578125" hidden="1" customWidth="1"/>
    <col min="51" max="54" width="10" hidden="1" customWidth="1"/>
    <col min="55" max="58" width="11.42578125" hidden="1" customWidth="1"/>
    <col min="59" max="59" width="10" hidden="1" customWidth="1"/>
    <col min="60" max="60" width="9.140625" customWidth="1"/>
  </cols>
  <sheetData>
    <row r="1" spans="1:63" ht="14.45" x14ac:dyDescent="0.3">
      <c r="A1" s="154"/>
      <c r="B1" s="3559" t="s">
        <v>372</v>
      </c>
      <c r="C1" s="527"/>
      <c r="G1" s="5959"/>
      <c r="H1" s="5959"/>
    </row>
    <row r="2" spans="1:63" ht="14.45" x14ac:dyDescent="0.3">
      <c r="A2" s="154"/>
      <c r="B2" s="527"/>
      <c r="C2" s="527"/>
    </row>
    <row r="3" spans="1:63" x14ac:dyDescent="0.25">
      <c r="A3" s="93"/>
      <c r="B3" s="5964" t="s">
        <v>171</v>
      </c>
      <c r="C3" s="5954" t="s">
        <v>172</v>
      </c>
      <c r="D3" s="5954" t="s">
        <v>2191</v>
      </c>
      <c r="E3" s="5954" t="s">
        <v>2190</v>
      </c>
      <c r="F3" s="5954"/>
      <c r="G3" s="5954" t="s">
        <v>2242</v>
      </c>
      <c r="H3" s="5954"/>
      <c r="I3" s="5953" t="s">
        <v>658</v>
      </c>
      <c r="J3" s="5953"/>
      <c r="K3" s="5954" t="s">
        <v>2274</v>
      </c>
      <c r="L3" s="5954"/>
      <c r="M3" s="5926" t="s">
        <v>1462</v>
      </c>
      <c r="N3" s="5926"/>
      <c r="O3" s="5954" t="s">
        <v>2297</v>
      </c>
      <c r="P3" s="5954"/>
      <c r="Q3" s="5953" t="s">
        <v>651</v>
      </c>
      <c r="R3" s="5953"/>
      <c r="S3" s="5954" t="s">
        <v>2299</v>
      </c>
      <c r="T3" s="5954"/>
      <c r="U3" s="5953" t="s">
        <v>836</v>
      </c>
      <c r="V3" s="5953"/>
      <c r="W3" s="5954" t="s">
        <v>2345</v>
      </c>
      <c r="X3" s="5954"/>
      <c r="Y3" s="5926" t="s">
        <v>1619</v>
      </c>
      <c r="Z3" s="5926"/>
      <c r="AA3" s="5927" t="s">
        <v>512</v>
      </c>
      <c r="AB3" s="5927"/>
      <c r="AC3" s="5954" t="s">
        <v>1954</v>
      </c>
      <c r="AD3" s="5954"/>
      <c r="AE3" s="5953" t="s">
        <v>1100</v>
      </c>
      <c r="AF3" s="5953"/>
      <c r="AG3" s="5934" t="s">
        <v>1970</v>
      </c>
      <c r="AH3" s="5935"/>
      <c r="AI3" s="5936" t="s">
        <v>1650</v>
      </c>
      <c r="AJ3" s="5937"/>
      <c r="AK3" s="5954" t="s">
        <v>1985</v>
      </c>
      <c r="AL3" s="5954"/>
      <c r="AM3" s="5926" t="s">
        <v>1667</v>
      </c>
      <c r="AN3" s="5926"/>
      <c r="AO3" s="5953" t="s">
        <v>917</v>
      </c>
      <c r="AP3" s="5953"/>
      <c r="AQ3" s="5934" t="s">
        <v>2085</v>
      </c>
      <c r="AR3" s="5935"/>
      <c r="AS3" s="5936" t="s">
        <v>1688</v>
      </c>
      <c r="AT3" s="5937"/>
      <c r="AU3" s="5934" t="s">
        <v>2099</v>
      </c>
      <c r="AV3" s="5935"/>
      <c r="AW3" s="5936" t="s">
        <v>1697</v>
      </c>
      <c r="AX3" s="5937"/>
      <c r="AY3" s="5934" t="s">
        <v>2111</v>
      </c>
      <c r="AZ3" s="5935"/>
      <c r="BA3" s="5926" t="s">
        <v>1716</v>
      </c>
      <c r="BB3" s="5926"/>
      <c r="BC3" s="5927" t="s">
        <v>550</v>
      </c>
      <c r="BD3" s="5927"/>
      <c r="BE3" s="5936" t="s">
        <v>1745</v>
      </c>
      <c r="BF3" s="5937"/>
    </row>
    <row r="4" spans="1:63" x14ac:dyDescent="0.25">
      <c r="A4" s="93"/>
      <c r="B4" s="5964"/>
      <c r="C4" s="5954"/>
      <c r="D4" s="5954"/>
      <c r="E4" s="706" t="s">
        <v>173</v>
      </c>
      <c r="F4" s="706" t="s">
        <v>174</v>
      </c>
      <c r="G4" s="706" t="s">
        <v>173</v>
      </c>
      <c r="H4" s="706" t="s">
        <v>174</v>
      </c>
      <c r="I4" s="707" t="s">
        <v>173</v>
      </c>
      <c r="J4" s="707" t="s">
        <v>174</v>
      </c>
      <c r="K4" s="706" t="s">
        <v>173</v>
      </c>
      <c r="L4" s="706" t="s">
        <v>174</v>
      </c>
      <c r="M4" s="708" t="s">
        <v>173</v>
      </c>
      <c r="N4" s="708" t="s">
        <v>174</v>
      </c>
      <c r="O4" s="706" t="s">
        <v>173</v>
      </c>
      <c r="P4" s="706" t="s">
        <v>174</v>
      </c>
      <c r="Q4" s="707" t="s">
        <v>173</v>
      </c>
      <c r="R4" s="707" t="s">
        <v>174</v>
      </c>
      <c r="S4" s="706" t="s">
        <v>173</v>
      </c>
      <c r="T4" s="706" t="s">
        <v>174</v>
      </c>
      <c r="U4" s="707" t="s">
        <v>173</v>
      </c>
      <c r="V4" s="707" t="s">
        <v>174</v>
      </c>
      <c r="W4" s="706" t="s">
        <v>173</v>
      </c>
      <c r="X4" s="706" t="s">
        <v>174</v>
      </c>
      <c r="Y4" s="708" t="s">
        <v>173</v>
      </c>
      <c r="Z4" s="708" t="s">
        <v>174</v>
      </c>
      <c r="AA4" s="3560" t="s">
        <v>173</v>
      </c>
      <c r="AB4" s="3560" t="s">
        <v>174</v>
      </c>
      <c r="AC4" s="706" t="s">
        <v>173</v>
      </c>
      <c r="AD4" s="706" t="s">
        <v>174</v>
      </c>
      <c r="AE4" s="707" t="s">
        <v>173</v>
      </c>
      <c r="AF4" s="707" t="s">
        <v>174</v>
      </c>
      <c r="AG4" s="706" t="s">
        <v>173</v>
      </c>
      <c r="AH4" s="706" t="s">
        <v>174</v>
      </c>
      <c r="AI4" s="707" t="s">
        <v>173</v>
      </c>
      <c r="AJ4" s="707" t="s">
        <v>174</v>
      </c>
      <c r="AK4" s="706" t="s">
        <v>173</v>
      </c>
      <c r="AL4" s="706" t="s">
        <v>174</v>
      </c>
      <c r="AM4" s="708" t="s">
        <v>173</v>
      </c>
      <c r="AN4" s="708" t="s">
        <v>174</v>
      </c>
      <c r="AO4" s="707" t="s">
        <v>173</v>
      </c>
      <c r="AP4" s="707" t="s">
        <v>174</v>
      </c>
      <c r="AQ4" s="706" t="s">
        <v>173</v>
      </c>
      <c r="AR4" s="706" t="s">
        <v>174</v>
      </c>
      <c r="AS4" s="707" t="s">
        <v>173</v>
      </c>
      <c r="AT4" s="707" t="s">
        <v>174</v>
      </c>
      <c r="AU4" s="706" t="s">
        <v>173</v>
      </c>
      <c r="AV4" s="706" t="s">
        <v>174</v>
      </c>
      <c r="AW4" s="707" t="s">
        <v>173</v>
      </c>
      <c r="AX4" s="707" t="s">
        <v>174</v>
      </c>
      <c r="AY4" s="706" t="s">
        <v>173</v>
      </c>
      <c r="AZ4" s="706" t="s">
        <v>174</v>
      </c>
      <c r="BA4" s="708" t="s">
        <v>173</v>
      </c>
      <c r="BB4" s="708" t="s">
        <v>174</v>
      </c>
      <c r="BC4" s="3560" t="s">
        <v>173</v>
      </c>
      <c r="BD4" s="3560" t="s">
        <v>174</v>
      </c>
      <c r="BE4" s="707" t="s">
        <v>173</v>
      </c>
      <c r="BF4" s="707" t="s">
        <v>174</v>
      </c>
    </row>
    <row r="5" spans="1:63" ht="14.45" x14ac:dyDescent="0.3">
      <c r="A5" s="154"/>
      <c r="B5" s="861" t="s">
        <v>317</v>
      </c>
      <c r="C5" s="861"/>
      <c r="D5" s="861"/>
      <c r="E5" s="861"/>
      <c r="F5" s="861"/>
      <c r="G5" s="861"/>
      <c r="H5" s="861"/>
      <c r="I5" s="861"/>
      <c r="J5" s="861"/>
      <c r="K5" s="861"/>
      <c r="L5" s="861"/>
      <c r="M5" s="861"/>
      <c r="N5" s="861"/>
      <c r="O5" s="861"/>
      <c r="P5" s="861"/>
      <c r="Q5" s="861"/>
      <c r="R5" s="861"/>
      <c r="S5" s="861"/>
      <c r="T5" s="861"/>
      <c r="U5" s="861"/>
      <c r="V5" s="861"/>
      <c r="W5" s="861"/>
      <c r="X5" s="861"/>
      <c r="Y5" s="861"/>
      <c r="Z5" s="861"/>
      <c r="AA5" s="861"/>
      <c r="AB5" s="861"/>
      <c r="AC5" s="861"/>
      <c r="AD5" s="861"/>
      <c r="AE5" s="861"/>
      <c r="AF5" s="861"/>
      <c r="AG5" s="861"/>
      <c r="AH5" s="861"/>
      <c r="AI5" s="861"/>
      <c r="AJ5" s="861"/>
      <c r="AK5" s="861"/>
      <c r="AL5" s="861"/>
      <c r="AM5" s="861"/>
      <c r="AN5" s="861"/>
      <c r="AO5" s="861"/>
      <c r="AP5" s="861"/>
      <c r="AQ5" s="861"/>
      <c r="AR5" s="861"/>
      <c r="AS5" s="861"/>
      <c r="AT5" s="861"/>
      <c r="AU5" s="861"/>
      <c r="AV5" s="861"/>
      <c r="AW5" s="861"/>
      <c r="AX5" s="861"/>
      <c r="AY5" s="861"/>
      <c r="AZ5" s="861"/>
      <c r="BA5" s="861"/>
      <c r="BB5" s="861"/>
      <c r="BC5" s="861"/>
      <c r="BD5" s="861"/>
      <c r="BE5" s="861"/>
      <c r="BF5" s="861"/>
    </row>
    <row r="6" spans="1:63" ht="14.45" x14ac:dyDescent="0.3">
      <c r="A6" s="154"/>
      <c r="B6" s="3561" t="s">
        <v>114</v>
      </c>
      <c r="C6" s="3561"/>
      <c r="D6" s="3561"/>
      <c r="E6" s="3561"/>
      <c r="F6" s="3561"/>
      <c r="G6" s="3561"/>
      <c r="H6" s="3561"/>
      <c r="I6" s="3561"/>
      <c r="J6" s="3561"/>
      <c r="K6" s="3561"/>
      <c r="L6" s="3561"/>
      <c r="M6" s="3561"/>
      <c r="N6" s="3561"/>
      <c r="O6" s="3561"/>
      <c r="P6" s="3561"/>
      <c r="Q6" s="3561"/>
      <c r="R6" s="3561"/>
      <c r="S6" s="3561"/>
      <c r="T6" s="3561"/>
      <c r="U6" s="3561"/>
      <c r="V6" s="3561"/>
      <c r="W6" s="3561"/>
      <c r="X6" s="3561"/>
      <c r="Y6" s="3561"/>
      <c r="Z6" s="3561"/>
      <c r="AA6" s="3561"/>
      <c r="AB6" s="3561"/>
      <c r="AC6" s="3561"/>
      <c r="AD6" s="3561"/>
      <c r="AE6" s="3561"/>
      <c r="AF6" s="3561"/>
      <c r="AG6" s="3561"/>
      <c r="AH6" s="3561"/>
      <c r="AI6" s="3561"/>
      <c r="AJ6" s="3561"/>
      <c r="AK6" s="3561"/>
      <c r="AL6" s="3561"/>
      <c r="AM6" s="3561"/>
      <c r="AN6" s="3561"/>
      <c r="AO6" s="3561"/>
      <c r="AP6" s="3561"/>
      <c r="AQ6" s="3561"/>
      <c r="AR6" s="3561"/>
      <c r="AS6" s="3561"/>
      <c r="AT6" s="3561"/>
      <c r="AU6" s="3561"/>
      <c r="AV6" s="3561"/>
      <c r="AW6" s="3561"/>
      <c r="AX6" s="3561"/>
      <c r="AY6" s="3561"/>
      <c r="AZ6" s="3561"/>
      <c r="BA6" s="3561"/>
      <c r="BB6" s="3561"/>
      <c r="BC6" s="3561"/>
      <c r="BD6" s="3561"/>
      <c r="BE6" s="3561"/>
      <c r="BF6" s="3561"/>
    </row>
    <row r="7" spans="1:63" x14ac:dyDescent="0.25">
      <c r="A7" s="93"/>
      <c r="B7" s="1018" t="s">
        <v>75</v>
      </c>
      <c r="C7" s="159" t="s">
        <v>50</v>
      </c>
      <c r="D7" s="5929">
        <v>439000</v>
      </c>
      <c r="E7" s="5929">
        <f>'Maj Production Summ'!E30-E9-E10-E11</f>
        <v>36962.121212121208</v>
      </c>
      <c r="F7" s="1201">
        <v>23033.659999999996</v>
      </c>
      <c r="G7" s="5929">
        <f>'Maj Production Summ'!G30-G9-G10-G11</f>
        <v>38462.454545454544</v>
      </c>
      <c r="H7" s="1201">
        <v>24090.429999999997</v>
      </c>
      <c r="I7" s="5932">
        <f>E7+G7</f>
        <v>75424.575757575745</v>
      </c>
      <c r="J7" s="782">
        <f>F7+H7</f>
        <v>47124.09</v>
      </c>
      <c r="K7" s="5929">
        <f>'Maj Production Summ'!K30-K9-K10-K11</f>
        <v>36962.454545454544</v>
      </c>
      <c r="L7" s="1201">
        <v>18572.96</v>
      </c>
      <c r="M7" s="5705">
        <f>I7+K7</f>
        <v>112387.03030303029</v>
      </c>
      <c r="N7" s="781">
        <f>J7+L7</f>
        <v>65697.049999999988</v>
      </c>
      <c r="O7" s="5929">
        <f>'Maj Production Summ'!O30-O9-O10-O11</f>
        <v>38462.454545454544</v>
      </c>
      <c r="P7" s="1201">
        <v>24892.11</v>
      </c>
      <c r="Q7" s="5932">
        <f>M7+O7</f>
        <v>150849.48484848483</v>
      </c>
      <c r="R7" s="782">
        <f>N7+P7</f>
        <v>90589.159999999989</v>
      </c>
      <c r="S7" s="5929">
        <f>'Maj Production Summ'!S30-S9-S10-S11</f>
        <v>38462.121212121208</v>
      </c>
      <c r="T7" s="1201">
        <v>29255.510000000002</v>
      </c>
      <c r="U7" s="5932">
        <f>Q7+S7</f>
        <v>189311.60606060605</v>
      </c>
      <c r="V7" s="782">
        <f>R7+T7</f>
        <v>119844.66999999998</v>
      </c>
      <c r="W7" s="5929">
        <f>'Maj Production Summ'!W30-W9-W10-W11</f>
        <v>24916.666666666668</v>
      </c>
      <c r="X7" s="1201">
        <v>26158.520000000008</v>
      </c>
      <c r="Y7" s="5705">
        <f>O7+S7+W7</f>
        <v>101841.24242424242</v>
      </c>
      <c r="Z7" s="781">
        <f>P7+T7+X7</f>
        <v>80306.140000000014</v>
      </c>
      <c r="AA7" s="5928">
        <f>M7+Y7</f>
        <v>214228.27272727271</v>
      </c>
      <c r="AB7" s="3562">
        <f>N7+Z7</f>
        <v>146003.19</v>
      </c>
      <c r="AC7" s="5929">
        <f>'Maj Production Summ'!AC30-AC9-AC10-AC11</f>
        <v>40400</v>
      </c>
      <c r="AD7" s="1201">
        <v>36315.87000000001</v>
      </c>
      <c r="AE7" s="5932">
        <f>AA7+AC7</f>
        <v>254628.27272727271</v>
      </c>
      <c r="AF7" s="782">
        <f>AB7+AD7</f>
        <v>182319.06</v>
      </c>
      <c r="AG7" s="5929">
        <f>'Maj Production Summ'!AG30-AG9-AG10-AG11</f>
        <v>38900</v>
      </c>
      <c r="AH7" s="1201">
        <v>23772.86</v>
      </c>
      <c r="AI7" s="5933">
        <f>AE7+AG7</f>
        <v>293528.27272727271</v>
      </c>
      <c r="AJ7" s="782">
        <f>AF7+AH7</f>
        <v>206091.91999999998</v>
      </c>
      <c r="AK7" s="5929">
        <f>'Maj Production Summ'!AK30-AK9-AK10-AK11</f>
        <v>40400</v>
      </c>
      <c r="AL7" s="1201">
        <v>32916.139999999992</v>
      </c>
      <c r="AM7" s="5705">
        <f>AC7+AG7+AK7</f>
        <v>119700</v>
      </c>
      <c r="AN7" s="781">
        <f>AD7+AH7+AL7</f>
        <v>93004.87</v>
      </c>
      <c r="AO7" s="5932">
        <f>AI7+AK7</f>
        <v>333928.27272727271</v>
      </c>
      <c r="AP7" s="782">
        <f>AJ7+AL7</f>
        <v>239008.05999999997</v>
      </c>
      <c r="AQ7" s="5929">
        <f>'Maj Production Summ'!AQ30-AQ9-AQ10-AQ11</f>
        <v>40300</v>
      </c>
      <c r="AR7" s="1201">
        <v>26457.329999999994</v>
      </c>
      <c r="AS7" s="5933">
        <f>AO7+AQ7</f>
        <v>374228.27272727271</v>
      </c>
      <c r="AT7" s="782">
        <f>AP7+AR7</f>
        <v>265465.38999999996</v>
      </c>
      <c r="AU7" s="5929">
        <f>'Maj Production Summ'!AU30-AU9-AU10-AU11</f>
        <v>35400</v>
      </c>
      <c r="AV7" s="1201">
        <v>26577.889999999992</v>
      </c>
      <c r="AW7" s="5933">
        <f>AS7+AU7</f>
        <v>409628.27272727271</v>
      </c>
      <c r="AX7" s="782">
        <f>AT7+AV7</f>
        <v>292043.27999999997</v>
      </c>
      <c r="AY7" s="5929">
        <f>'Maj Production Summ'!AY30-AY9-AY10-AY11</f>
        <v>40400</v>
      </c>
      <c r="AZ7" s="1201">
        <v>38260.699999999997</v>
      </c>
      <c r="BA7" s="5705">
        <f>AQ7+AU7+AY7</f>
        <v>116100</v>
      </c>
      <c r="BB7" s="781">
        <f>AR7+AV7+AZ7</f>
        <v>91295.919999999984</v>
      </c>
      <c r="BC7" s="5928">
        <f>AM7+BA7</f>
        <v>235800</v>
      </c>
      <c r="BD7" s="3562">
        <f>AN7+BB7</f>
        <v>184300.78999999998</v>
      </c>
      <c r="BE7" s="5933">
        <f>AW7+AY7</f>
        <v>450028.27272727271</v>
      </c>
      <c r="BF7" s="782">
        <f>AX7+AZ7</f>
        <v>330303.98</v>
      </c>
      <c r="BG7" s="26"/>
      <c r="BH7" s="26"/>
      <c r="BI7" s="26"/>
      <c r="BJ7" s="26"/>
      <c r="BK7" s="26"/>
    </row>
    <row r="8" spans="1:63" x14ac:dyDescent="0.25">
      <c r="A8" s="93"/>
      <c r="B8" s="1018" t="s">
        <v>76</v>
      </c>
      <c r="C8" s="159" t="s">
        <v>50</v>
      </c>
      <c r="D8" s="5929"/>
      <c r="E8" s="5929"/>
      <c r="F8" s="1134">
        <v>10258.599999999999</v>
      </c>
      <c r="G8" s="5929"/>
      <c r="H8" s="1134">
        <v>15162.2</v>
      </c>
      <c r="I8" s="5932"/>
      <c r="J8" s="782">
        <f t="shared" ref="J8:J71" si="0">F8+H8</f>
        <v>25420.799999999999</v>
      </c>
      <c r="K8" s="5929"/>
      <c r="L8" s="1134">
        <v>18935.100000000002</v>
      </c>
      <c r="M8" s="5705"/>
      <c r="N8" s="781">
        <f t="shared" ref="N8:N71" si="1">J8+L8</f>
        <v>44355.9</v>
      </c>
      <c r="O8" s="5929"/>
      <c r="P8" s="1134">
        <v>19202.140000000003</v>
      </c>
      <c r="Q8" s="5932"/>
      <c r="R8" s="782">
        <f t="shared" ref="R8:R71" si="2">N8+P8</f>
        <v>63558.040000000008</v>
      </c>
      <c r="S8" s="5929"/>
      <c r="T8" s="1134">
        <v>11312.240000000002</v>
      </c>
      <c r="U8" s="5932"/>
      <c r="V8" s="782">
        <f t="shared" ref="V8:V71" si="3">R8+T8</f>
        <v>74870.280000000013</v>
      </c>
      <c r="W8" s="5929"/>
      <c r="X8" s="1134">
        <v>10134.56</v>
      </c>
      <c r="Y8" s="5705"/>
      <c r="Z8" s="781">
        <f t="shared" ref="Z8:Z71" si="4">P8+T8+X8</f>
        <v>40648.94</v>
      </c>
      <c r="AA8" s="5928"/>
      <c r="AB8" s="3562">
        <f t="shared" ref="AB8:AB71" si="5">N8+Z8</f>
        <v>85004.84</v>
      </c>
      <c r="AC8" s="5929"/>
      <c r="AD8" s="1134">
        <v>692.22</v>
      </c>
      <c r="AE8" s="5932"/>
      <c r="AF8" s="782">
        <f t="shared" ref="AF8:AF71" si="6">AB8+AD8</f>
        <v>85697.06</v>
      </c>
      <c r="AG8" s="5929"/>
      <c r="AH8" s="1134">
        <v>6201.8600000000006</v>
      </c>
      <c r="AI8" s="5931"/>
      <c r="AJ8" s="782">
        <f t="shared" ref="AJ8:AJ12" si="7">AF8+AH8</f>
        <v>91898.92</v>
      </c>
      <c r="AK8" s="5929"/>
      <c r="AL8" s="1134">
        <v>4378.0600000000004</v>
      </c>
      <c r="AM8" s="5705"/>
      <c r="AN8" s="781">
        <f t="shared" ref="AN8:AN11" si="8">AD8+AH8+AL8</f>
        <v>11272.140000000001</v>
      </c>
      <c r="AO8" s="5932"/>
      <c r="AP8" s="782">
        <f t="shared" ref="AP8:AP11" si="9">AJ8+AL8</f>
        <v>96276.98</v>
      </c>
      <c r="AQ8" s="5929"/>
      <c r="AR8" s="1134">
        <v>10447.059999999998</v>
      </c>
      <c r="AS8" s="5931"/>
      <c r="AT8" s="782">
        <f t="shared" ref="AT8:AT12" si="10">AP8+AR8</f>
        <v>106724.04</v>
      </c>
      <c r="AU8" s="5929"/>
      <c r="AV8" s="1134">
        <v>6389.4999999999991</v>
      </c>
      <c r="AW8" s="5931"/>
      <c r="AX8" s="782">
        <f t="shared" ref="AX8:AX12" si="11">AT8+AV8</f>
        <v>113113.54</v>
      </c>
      <c r="AY8" s="5929"/>
      <c r="AZ8" s="1134">
        <v>6576.7199999999993</v>
      </c>
      <c r="BA8" s="5705"/>
      <c r="BB8" s="781">
        <f t="shared" ref="BB8:BB11" si="12">AR8+AV8+AZ8</f>
        <v>23413.279999999999</v>
      </c>
      <c r="BC8" s="5928"/>
      <c r="BD8" s="3562">
        <f t="shared" ref="BD8:BD11" si="13">AN8+BB8</f>
        <v>34685.42</v>
      </c>
      <c r="BE8" s="5931"/>
      <c r="BF8" s="782">
        <f t="shared" ref="BF8:BF12" si="14">AX8+AZ8</f>
        <v>119690.26</v>
      </c>
      <c r="BG8" s="26"/>
      <c r="BH8" s="26"/>
      <c r="BI8" s="26"/>
      <c r="BJ8" s="26"/>
      <c r="BK8" s="26"/>
    </row>
    <row r="9" spans="1:63" ht="14.45" x14ac:dyDescent="0.3">
      <c r="A9" s="93"/>
      <c r="B9" s="1018" t="s">
        <v>137</v>
      </c>
      <c r="C9" s="159" t="s">
        <v>50</v>
      </c>
      <c r="D9" s="1134">
        <v>60000.000000000007</v>
      </c>
      <c r="E9" s="1134">
        <v>5454.545454545455</v>
      </c>
      <c r="F9" s="1201">
        <v>40.54</v>
      </c>
      <c r="G9" s="1134">
        <v>5454.545454545455</v>
      </c>
      <c r="H9" s="1201">
        <v>114.39</v>
      </c>
      <c r="I9" s="782">
        <f>E9+G9</f>
        <v>10909.09090909091</v>
      </c>
      <c r="J9" s="782">
        <f t="shared" si="0"/>
        <v>154.93</v>
      </c>
      <c r="K9" s="1134">
        <v>5454.545454545455</v>
      </c>
      <c r="L9" s="1201">
        <v>0</v>
      </c>
      <c r="M9" s="781">
        <f>I9+K9</f>
        <v>16363.636363636364</v>
      </c>
      <c r="N9" s="781">
        <f t="shared" si="1"/>
        <v>154.93</v>
      </c>
      <c r="O9" s="1134">
        <v>5454.545454545455</v>
      </c>
      <c r="P9" s="1201">
        <v>38.94</v>
      </c>
      <c r="Q9" s="782">
        <f>M9+O9</f>
        <v>21818.18181818182</v>
      </c>
      <c r="R9" s="782">
        <f t="shared" si="2"/>
        <v>193.87</v>
      </c>
      <c r="S9" s="1134">
        <v>5454.545454545455</v>
      </c>
      <c r="T9" s="1201">
        <v>158.79</v>
      </c>
      <c r="U9" s="782">
        <f>Q9+S9</f>
        <v>27272.727272727276</v>
      </c>
      <c r="V9" s="782">
        <f t="shared" si="3"/>
        <v>352.65999999999997</v>
      </c>
      <c r="W9" s="1134">
        <v>0</v>
      </c>
      <c r="X9" s="1201">
        <v>39.89</v>
      </c>
      <c r="Y9" s="781">
        <f>O9+S9+W9</f>
        <v>10909.09090909091</v>
      </c>
      <c r="Z9" s="781">
        <f t="shared" si="4"/>
        <v>237.62</v>
      </c>
      <c r="AA9" s="3562">
        <f>M9+Y9</f>
        <v>27272.727272727272</v>
      </c>
      <c r="AB9" s="3562">
        <f t="shared" si="5"/>
        <v>392.55</v>
      </c>
      <c r="AC9" s="1134">
        <v>5000</v>
      </c>
      <c r="AD9" s="1201">
        <v>40.049999999999997</v>
      </c>
      <c r="AE9" s="782">
        <f>AA9+AC9</f>
        <v>32272.727272727272</v>
      </c>
      <c r="AF9" s="782">
        <f t="shared" si="6"/>
        <v>432.6</v>
      </c>
      <c r="AG9" s="1134">
        <v>5000</v>
      </c>
      <c r="AH9" s="1201">
        <v>185.19</v>
      </c>
      <c r="AI9" s="782">
        <f>AE9+AG9</f>
        <v>37272.727272727272</v>
      </c>
      <c r="AJ9" s="782">
        <f t="shared" si="7"/>
        <v>617.79</v>
      </c>
      <c r="AK9" s="1134">
        <v>5000</v>
      </c>
      <c r="AL9" s="1201">
        <v>95.860000000000014</v>
      </c>
      <c r="AM9" s="781">
        <f>AC9+AG9+AK9</f>
        <v>15000</v>
      </c>
      <c r="AN9" s="781">
        <f t="shared" si="8"/>
        <v>321.10000000000002</v>
      </c>
      <c r="AO9" s="782">
        <f>AI9+AK9</f>
        <v>42272.727272727272</v>
      </c>
      <c r="AP9" s="782">
        <f t="shared" si="9"/>
        <v>713.65</v>
      </c>
      <c r="AQ9" s="1134">
        <v>5000</v>
      </c>
      <c r="AR9" s="1201">
        <v>121.22</v>
      </c>
      <c r="AS9" s="782">
        <f>AO9+AQ9</f>
        <v>47272.727272727272</v>
      </c>
      <c r="AT9" s="782">
        <f t="shared" si="10"/>
        <v>834.87</v>
      </c>
      <c r="AU9" s="1134">
        <v>5000</v>
      </c>
      <c r="AV9" s="1201"/>
      <c r="AW9" s="782">
        <f>AS9+AU9</f>
        <v>52272.727272727272</v>
      </c>
      <c r="AX9" s="782">
        <f t="shared" si="11"/>
        <v>834.87</v>
      </c>
      <c r="AY9" s="1134">
        <v>5000</v>
      </c>
      <c r="AZ9" s="1201">
        <v>0</v>
      </c>
      <c r="BA9" s="781">
        <f>AQ9+AU9+AY9</f>
        <v>15000</v>
      </c>
      <c r="BB9" s="781">
        <f t="shared" si="12"/>
        <v>121.22</v>
      </c>
      <c r="BC9" s="3562">
        <f t="shared" ref="BC9:BC11" si="15">AM9+BA9</f>
        <v>30000</v>
      </c>
      <c r="BD9" s="3562">
        <f t="shared" si="13"/>
        <v>442.32000000000005</v>
      </c>
      <c r="BE9" s="782">
        <f>AW9+AY9</f>
        <v>57272.727272727272</v>
      </c>
      <c r="BF9" s="782">
        <f t="shared" si="14"/>
        <v>834.87</v>
      </c>
      <c r="BG9" s="26"/>
      <c r="BH9" s="26"/>
      <c r="BI9" s="26"/>
      <c r="BJ9" s="26"/>
      <c r="BK9" s="26"/>
    </row>
    <row r="10" spans="1:63" ht="14.45" x14ac:dyDescent="0.3">
      <c r="A10" s="93"/>
      <c r="B10" s="1018" t="s">
        <v>77</v>
      </c>
      <c r="C10" s="159" t="s">
        <v>50</v>
      </c>
      <c r="D10" s="1201">
        <v>0</v>
      </c>
      <c r="E10" s="1201">
        <v>0</v>
      </c>
      <c r="F10" s="1201">
        <v>0</v>
      </c>
      <c r="G10" s="1201"/>
      <c r="H10" s="1201">
        <v>0</v>
      </c>
      <c r="I10" s="782">
        <f>E10+G10</f>
        <v>0</v>
      </c>
      <c r="J10" s="782">
        <f t="shared" si="0"/>
        <v>0</v>
      </c>
      <c r="K10" s="1201">
        <v>0</v>
      </c>
      <c r="L10" s="1201">
        <v>0</v>
      </c>
      <c r="M10" s="781">
        <f>I10+K10</f>
        <v>0</v>
      </c>
      <c r="N10" s="781">
        <f t="shared" si="1"/>
        <v>0</v>
      </c>
      <c r="O10" s="1201">
        <v>0</v>
      </c>
      <c r="P10" s="1201">
        <v>64.099999999999994</v>
      </c>
      <c r="Q10" s="782">
        <f>M10+O10</f>
        <v>0</v>
      </c>
      <c r="R10" s="782">
        <f t="shared" si="2"/>
        <v>64.099999999999994</v>
      </c>
      <c r="S10" s="1201"/>
      <c r="T10" s="1201">
        <v>1485.1599999999999</v>
      </c>
      <c r="U10" s="782">
        <f>Q10+S10</f>
        <v>0</v>
      </c>
      <c r="V10" s="782">
        <f t="shared" si="3"/>
        <v>1549.2599999999998</v>
      </c>
      <c r="W10" s="1201"/>
      <c r="X10" s="1201">
        <v>693.72</v>
      </c>
      <c r="Y10" s="781">
        <f t="shared" ref="Y10:Y11" si="16">O10+S10+W10</f>
        <v>0</v>
      </c>
      <c r="Z10" s="781">
        <f t="shared" si="4"/>
        <v>2242.9799999999996</v>
      </c>
      <c r="AA10" s="3562">
        <f>M10+Y10</f>
        <v>0</v>
      </c>
      <c r="AB10" s="3562">
        <f t="shared" si="5"/>
        <v>2242.9799999999996</v>
      </c>
      <c r="AC10" s="1201">
        <v>0</v>
      </c>
      <c r="AD10" s="1201">
        <v>0</v>
      </c>
      <c r="AE10" s="782">
        <f>AA10+AC10</f>
        <v>0</v>
      </c>
      <c r="AF10" s="782">
        <f t="shared" si="6"/>
        <v>2242.9799999999996</v>
      </c>
      <c r="AG10" s="1201">
        <v>0</v>
      </c>
      <c r="AH10" s="1201">
        <v>0</v>
      </c>
      <c r="AI10" s="782">
        <f>AE10+AG10</f>
        <v>0</v>
      </c>
      <c r="AJ10" s="782">
        <f t="shared" si="7"/>
        <v>2242.9799999999996</v>
      </c>
      <c r="AK10" s="1201">
        <v>0</v>
      </c>
      <c r="AL10" s="1201">
        <v>0</v>
      </c>
      <c r="AM10" s="781">
        <f t="shared" ref="AM10:AM11" si="17">AC10+AG10+AK10</f>
        <v>0</v>
      </c>
      <c r="AN10" s="781">
        <f t="shared" si="8"/>
        <v>0</v>
      </c>
      <c r="AO10" s="782">
        <f t="shared" ref="AO10:AO12" si="18">AI10+AK10</f>
        <v>0</v>
      </c>
      <c r="AP10" s="782">
        <f t="shared" si="9"/>
        <v>2242.9799999999996</v>
      </c>
      <c r="AQ10" s="1201">
        <v>0</v>
      </c>
      <c r="AR10" s="1201">
        <v>0</v>
      </c>
      <c r="AS10" s="782">
        <f>AO10+AQ10</f>
        <v>0</v>
      </c>
      <c r="AT10" s="782">
        <f t="shared" si="10"/>
        <v>2242.9799999999996</v>
      </c>
      <c r="AU10" s="1201">
        <v>0</v>
      </c>
      <c r="AV10" s="1201">
        <v>0</v>
      </c>
      <c r="AW10" s="782">
        <f>AS10+AU10</f>
        <v>0</v>
      </c>
      <c r="AX10" s="782">
        <f t="shared" si="11"/>
        <v>2242.9799999999996</v>
      </c>
      <c r="AY10" s="1201"/>
      <c r="AZ10" s="1201">
        <v>0</v>
      </c>
      <c r="BA10" s="781">
        <f t="shared" ref="BA10:BA11" si="19">AQ10+AU10+AY10</f>
        <v>0</v>
      </c>
      <c r="BB10" s="781">
        <f t="shared" si="12"/>
        <v>0</v>
      </c>
      <c r="BC10" s="3562">
        <f t="shared" si="15"/>
        <v>0</v>
      </c>
      <c r="BD10" s="3562">
        <f t="shared" si="13"/>
        <v>0</v>
      </c>
      <c r="BE10" s="782">
        <f>AW10+AY10</f>
        <v>0</v>
      </c>
      <c r="BF10" s="782">
        <f t="shared" si="14"/>
        <v>2242.9799999999996</v>
      </c>
      <c r="BG10" s="26"/>
      <c r="BH10" s="26"/>
      <c r="BI10" s="26"/>
      <c r="BJ10" s="26"/>
      <c r="BK10" s="26"/>
    </row>
    <row r="11" spans="1:63" ht="14.45" x14ac:dyDescent="0.3">
      <c r="A11" s="93"/>
      <c r="B11" s="1018" t="s">
        <v>1848</v>
      </c>
      <c r="C11" s="159" t="s">
        <v>50</v>
      </c>
      <c r="D11" s="3563">
        <v>1000.0000000000001</v>
      </c>
      <c r="E11" s="3563">
        <v>83.333333333333329</v>
      </c>
      <c r="F11" s="1201">
        <v>0</v>
      </c>
      <c r="G11" s="3563">
        <v>83</v>
      </c>
      <c r="H11" s="1201">
        <v>0</v>
      </c>
      <c r="I11" s="782">
        <f t="shared" ref="I11:I12" si="20">E11+G11</f>
        <v>166.33333333333331</v>
      </c>
      <c r="J11" s="782">
        <f t="shared" si="0"/>
        <v>0</v>
      </c>
      <c r="K11" s="3563">
        <v>83</v>
      </c>
      <c r="L11" s="1201">
        <v>0</v>
      </c>
      <c r="M11" s="781">
        <f t="shared" ref="M11" si="21">I11+K11</f>
        <v>249.33333333333331</v>
      </c>
      <c r="N11" s="781">
        <f t="shared" si="1"/>
        <v>0</v>
      </c>
      <c r="O11" s="3563">
        <v>83</v>
      </c>
      <c r="P11" s="1201">
        <v>0</v>
      </c>
      <c r="Q11" s="782">
        <f t="shared" ref="Q11:Q12" si="22">M11+O11</f>
        <v>332.33333333333331</v>
      </c>
      <c r="R11" s="782">
        <f t="shared" si="2"/>
        <v>0</v>
      </c>
      <c r="S11" s="3563">
        <v>83.333333333333329</v>
      </c>
      <c r="T11" s="1201">
        <v>0</v>
      </c>
      <c r="U11" s="782">
        <f t="shared" ref="U11:U12" si="23">Q11+S11</f>
        <v>415.66666666666663</v>
      </c>
      <c r="V11" s="782">
        <f t="shared" si="3"/>
        <v>0</v>
      </c>
      <c r="W11" s="3563">
        <v>83.333333333333329</v>
      </c>
      <c r="X11" s="1201"/>
      <c r="Y11" s="781">
        <f t="shared" si="16"/>
        <v>249.66666666666663</v>
      </c>
      <c r="Z11" s="781">
        <f t="shared" si="4"/>
        <v>0</v>
      </c>
      <c r="AA11" s="3562">
        <f>M11+Y11</f>
        <v>498.99999999999994</v>
      </c>
      <c r="AB11" s="3562">
        <f t="shared" si="5"/>
        <v>0</v>
      </c>
      <c r="AC11" s="3563">
        <v>100</v>
      </c>
      <c r="AD11" s="1201">
        <v>0</v>
      </c>
      <c r="AE11" s="782">
        <f t="shared" ref="AE11:AE12" si="24">AA11+AC11</f>
        <v>599</v>
      </c>
      <c r="AF11" s="782">
        <f t="shared" si="6"/>
        <v>0</v>
      </c>
      <c r="AG11" s="3563">
        <v>100</v>
      </c>
      <c r="AH11" s="1201">
        <v>0</v>
      </c>
      <c r="AI11" s="782">
        <f t="shared" ref="AI11:AI12" si="25">AE11+AG11</f>
        <v>699</v>
      </c>
      <c r="AJ11" s="782">
        <f t="shared" si="7"/>
        <v>0</v>
      </c>
      <c r="AK11" s="3563">
        <v>100</v>
      </c>
      <c r="AL11" s="1201">
        <v>0</v>
      </c>
      <c r="AM11" s="781">
        <f t="shared" si="17"/>
        <v>300</v>
      </c>
      <c r="AN11" s="781">
        <f t="shared" si="8"/>
        <v>0</v>
      </c>
      <c r="AO11" s="782">
        <f t="shared" si="18"/>
        <v>799</v>
      </c>
      <c r="AP11" s="782">
        <f t="shared" si="9"/>
        <v>0</v>
      </c>
      <c r="AQ11" s="3563">
        <v>200</v>
      </c>
      <c r="AR11" s="1201">
        <v>0</v>
      </c>
      <c r="AS11" s="782">
        <f t="shared" ref="AS11:AS12" si="26">AO11+AQ11</f>
        <v>999</v>
      </c>
      <c r="AT11" s="782">
        <f t="shared" si="10"/>
        <v>0</v>
      </c>
      <c r="AU11" s="3563">
        <v>100</v>
      </c>
      <c r="AV11" s="1201">
        <v>0</v>
      </c>
      <c r="AW11" s="782">
        <f t="shared" ref="AW11:AW12" si="27">AS11+AU11</f>
        <v>1099</v>
      </c>
      <c r="AX11" s="782">
        <f t="shared" si="11"/>
        <v>0</v>
      </c>
      <c r="AY11" s="3563">
        <v>100</v>
      </c>
      <c r="AZ11" s="1201">
        <v>0</v>
      </c>
      <c r="BA11" s="781">
        <f t="shared" si="19"/>
        <v>400</v>
      </c>
      <c r="BB11" s="781">
        <f t="shared" si="12"/>
        <v>0</v>
      </c>
      <c r="BC11" s="3562">
        <f t="shared" si="15"/>
        <v>700</v>
      </c>
      <c r="BD11" s="3562">
        <f t="shared" si="13"/>
        <v>0</v>
      </c>
      <c r="BE11" s="782">
        <f t="shared" ref="BE11:BE12" si="28">AW11+AY11</f>
        <v>1199</v>
      </c>
      <c r="BF11" s="782">
        <f t="shared" si="14"/>
        <v>0</v>
      </c>
      <c r="BG11" s="26"/>
      <c r="BH11" s="26"/>
      <c r="BI11" s="26"/>
      <c r="BJ11" s="26"/>
      <c r="BK11" s="26"/>
    </row>
    <row r="12" spans="1:63" ht="21.2" customHeight="1" x14ac:dyDescent="0.3">
      <c r="A12" s="93"/>
      <c r="B12" s="3564" t="s">
        <v>2</v>
      </c>
      <c r="C12" s="706" t="s">
        <v>50</v>
      </c>
      <c r="D12" s="1774">
        <f>SUM(D7:D11)</f>
        <v>500000</v>
      </c>
      <c r="E12" s="1774">
        <f t="shared" ref="E12:F12" si="29">SUM(E7:E11)</f>
        <v>42500</v>
      </c>
      <c r="F12" s="1774">
        <f t="shared" si="29"/>
        <v>33332.799999999996</v>
      </c>
      <c r="G12" s="1774">
        <f t="shared" ref="G12:H12" si="30">SUM(G7:G11)</f>
        <v>44000</v>
      </c>
      <c r="H12" s="1774">
        <f t="shared" si="30"/>
        <v>39367.019999999997</v>
      </c>
      <c r="I12" s="376">
        <f t="shared" si="20"/>
        <v>86500</v>
      </c>
      <c r="J12" s="782">
        <f t="shared" si="0"/>
        <v>72699.819999999992</v>
      </c>
      <c r="K12" s="1774">
        <f t="shared" ref="K12:L12" si="31">SUM(K7:K11)</f>
        <v>42500</v>
      </c>
      <c r="L12" s="1774">
        <f t="shared" si="31"/>
        <v>37508.06</v>
      </c>
      <c r="M12" s="378">
        <f>E12+G12+K12</f>
        <v>129000</v>
      </c>
      <c r="N12" s="781">
        <f t="shared" si="1"/>
        <v>110207.87999999999</v>
      </c>
      <c r="O12" s="1774">
        <f t="shared" ref="O12:P12" si="32">SUM(O7:O11)</f>
        <v>44000</v>
      </c>
      <c r="P12" s="1774">
        <f t="shared" si="32"/>
        <v>44197.29</v>
      </c>
      <c r="Q12" s="376">
        <f t="shared" si="22"/>
        <v>173000</v>
      </c>
      <c r="R12" s="782">
        <f t="shared" si="2"/>
        <v>154405.16999999998</v>
      </c>
      <c r="S12" s="1774">
        <f t="shared" ref="S12:T12" si="33">SUM(S7:S11)</f>
        <v>44000</v>
      </c>
      <c r="T12" s="1774">
        <f t="shared" si="33"/>
        <v>42211.7</v>
      </c>
      <c r="U12" s="376">
        <f t="shared" si="23"/>
        <v>217000</v>
      </c>
      <c r="V12" s="782">
        <f t="shared" si="3"/>
        <v>196616.87</v>
      </c>
      <c r="W12" s="1774">
        <f t="shared" ref="W12:X12" si="34">SUM(W7:W11)</f>
        <v>25000</v>
      </c>
      <c r="X12" s="1774">
        <f t="shared" si="34"/>
        <v>37026.69000000001</v>
      </c>
      <c r="Y12" s="378">
        <f>O12+S12+W12</f>
        <v>113000</v>
      </c>
      <c r="Z12" s="781">
        <f t="shared" si="4"/>
        <v>123435.68</v>
      </c>
      <c r="AA12" s="3565">
        <f>M12+Y12</f>
        <v>242000</v>
      </c>
      <c r="AB12" s="3562">
        <f t="shared" si="5"/>
        <v>233643.56</v>
      </c>
      <c r="AC12" s="1774">
        <f t="shared" ref="AC12:AD12" si="35">SUM(AC7:AC11)</f>
        <v>45500</v>
      </c>
      <c r="AD12" s="1774">
        <f t="shared" si="35"/>
        <v>37048.140000000014</v>
      </c>
      <c r="AE12" s="376">
        <f t="shared" si="24"/>
        <v>287500</v>
      </c>
      <c r="AF12" s="782">
        <f t="shared" si="6"/>
        <v>270691.7</v>
      </c>
      <c r="AG12" s="1774">
        <f t="shared" ref="AG12:AH12" si="36">SUM(AG7:AG11)</f>
        <v>44000</v>
      </c>
      <c r="AH12" s="1774">
        <f t="shared" si="36"/>
        <v>30159.91</v>
      </c>
      <c r="AI12" s="376">
        <f t="shared" si="25"/>
        <v>331500</v>
      </c>
      <c r="AJ12" s="376">
        <f t="shared" si="7"/>
        <v>300851.61</v>
      </c>
      <c r="AK12" s="1774">
        <f t="shared" ref="AK12:AL12" si="37">SUM(AK7:AK11)</f>
        <v>45500</v>
      </c>
      <c r="AL12" s="1774">
        <f t="shared" si="37"/>
        <v>37390.05999999999</v>
      </c>
      <c r="AM12" s="378">
        <f>AC12+AG12+AK12</f>
        <v>135000</v>
      </c>
      <c r="AN12" s="378">
        <f>AD12+AH12+AL12</f>
        <v>104598.11000000002</v>
      </c>
      <c r="AO12" s="376">
        <f t="shared" si="18"/>
        <v>377000</v>
      </c>
      <c r="AP12" s="376">
        <f>AJ12+AL12</f>
        <v>338241.67</v>
      </c>
      <c r="AQ12" s="1774">
        <f t="shared" ref="AQ12:AR12" si="38">SUM(AQ7:AQ11)</f>
        <v>45500</v>
      </c>
      <c r="AR12" s="1774">
        <f t="shared" si="38"/>
        <v>37025.609999999993</v>
      </c>
      <c r="AS12" s="376">
        <f t="shared" si="26"/>
        <v>422500</v>
      </c>
      <c r="AT12" s="376">
        <f t="shared" si="10"/>
        <v>375267.27999999997</v>
      </c>
      <c r="AU12" s="1774">
        <f t="shared" ref="AU12:AV12" si="39">SUM(AU7:AU11)</f>
        <v>40500</v>
      </c>
      <c r="AV12" s="1774">
        <f t="shared" si="39"/>
        <v>32967.389999999992</v>
      </c>
      <c r="AW12" s="376">
        <f t="shared" si="27"/>
        <v>463000</v>
      </c>
      <c r="AX12" s="376">
        <f t="shared" si="11"/>
        <v>408234.67</v>
      </c>
      <c r="AY12" s="1774">
        <f t="shared" ref="AY12:AZ12" si="40">SUM(AY7:AY11)</f>
        <v>45500</v>
      </c>
      <c r="AZ12" s="1774">
        <f t="shared" si="40"/>
        <v>44837.42</v>
      </c>
      <c r="BA12" s="378">
        <f>AQ12+AU12+AY12</f>
        <v>131500</v>
      </c>
      <c r="BB12" s="378">
        <f>AR12+AV12+AZ12</f>
        <v>114830.41999999998</v>
      </c>
      <c r="BC12" s="3565">
        <f>AM12+BA12</f>
        <v>266500</v>
      </c>
      <c r="BD12" s="3565">
        <f>AN12+BB12</f>
        <v>219428.53</v>
      </c>
      <c r="BE12" s="376">
        <f t="shared" si="28"/>
        <v>508500</v>
      </c>
      <c r="BF12" s="376">
        <f t="shared" si="14"/>
        <v>453072.08999999997</v>
      </c>
      <c r="BG12" s="26"/>
      <c r="BH12" s="26"/>
      <c r="BI12" s="26"/>
      <c r="BJ12" s="26"/>
      <c r="BK12" s="26"/>
    </row>
    <row r="13" spans="1:63" ht="14.45" x14ac:dyDescent="0.3">
      <c r="A13" s="149"/>
      <c r="B13" s="3561" t="s">
        <v>95</v>
      </c>
      <c r="C13" s="441"/>
      <c r="D13" s="441"/>
      <c r="E13" s="441"/>
      <c r="F13" s="441"/>
      <c r="G13" s="441"/>
      <c r="H13" s="441"/>
      <c r="I13" s="441"/>
      <c r="J13" s="782">
        <f t="shared" si="0"/>
        <v>0</v>
      </c>
      <c r="K13" s="441"/>
      <c r="L13" s="441"/>
      <c r="M13" s="441"/>
      <c r="N13" s="781">
        <f t="shared" si="1"/>
        <v>0</v>
      </c>
      <c r="O13" s="441"/>
      <c r="P13" s="441"/>
      <c r="Q13" s="441"/>
      <c r="R13" s="782">
        <f t="shared" si="2"/>
        <v>0</v>
      </c>
      <c r="S13" s="441"/>
      <c r="T13" s="441"/>
      <c r="U13" s="441"/>
      <c r="V13" s="782">
        <f t="shared" si="3"/>
        <v>0</v>
      </c>
      <c r="W13" s="441"/>
      <c r="X13" s="441"/>
      <c r="Y13" s="441"/>
      <c r="Z13" s="781">
        <f t="shared" si="4"/>
        <v>0</v>
      </c>
      <c r="AA13" s="441"/>
      <c r="AB13" s="3562">
        <f t="shared" si="5"/>
        <v>0</v>
      </c>
      <c r="AC13" s="441"/>
      <c r="AD13" s="441"/>
      <c r="AE13" s="441"/>
      <c r="AF13" s="782">
        <f t="shared" si="6"/>
        <v>0</v>
      </c>
      <c r="AG13" s="441"/>
      <c r="AH13" s="441"/>
      <c r="AI13" s="441"/>
      <c r="AJ13" s="441"/>
      <c r="AK13" s="441"/>
      <c r="AL13" s="441"/>
      <c r="AM13" s="441"/>
      <c r="AN13" s="441"/>
      <c r="AO13" s="441"/>
      <c r="AP13" s="441"/>
      <c r="AQ13" s="441"/>
      <c r="AR13" s="441"/>
      <c r="AS13" s="441"/>
      <c r="AT13" s="441"/>
      <c r="AU13" s="441"/>
      <c r="AV13" s="441"/>
      <c r="AW13" s="441"/>
      <c r="AX13" s="441"/>
      <c r="AY13" s="441"/>
      <c r="AZ13" s="441"/>
      <c r="BA13" s="441"/>
      <c r="BB13" s="441"/>
      <c r="BC13" s="441"/>
      <c r="BD13" s="441"/>
      <c r="BE13" s="441"/>
      <c r="BF13" s="441"/>
      <c r="BG13" s="26"/>
      <c r="BH13" s="26"/>
      <c r="BI13" s="26"/>
      <c r="BJ13" s="26"/>
      <c r="BK13" s="26"/>
    </row>
    <row r="14" spans="1:63" x14ac:dyDescent="0.25">
      <c r="A14" s="93"/>
      <c r="B14" s="1018" t="s">
        <v>75</v>
      </c>
      <c r="C14" s="159" t="s">
        <v>50</v>
      </c>
      <c r="D14" s="5929">
        <v>895000</v>
      </c>
      <c r="E14" s="5929">
        <f>'Maj Production Summ'!E31-E16-E17-E18</f>
        <v>75545.454545454544</v>
      </c>
      <c r="F14" s="1201">
        <v>33652.829999999987</v>
      </c>
      <c r="G14" s="5929">
        <f>'Maj Production Summ'!G31-G16-G17-G18</f>
        <v>78545.454545454544</v>
      </c>
      <c r="H14" s="1201">
        <v>32188.05999999999</v>
      </c>
      <c r="I14" s="5932">
        <f>E14+G14</f>
        <v>154090.90909090909</v>
      </c>
      <c r="J14" s="782">
        <f t="shared" si="0"/>
        <v>65840.889999999985</v>
      </c>
      <c r="K14" s="5929">
        <f>'Maj Production Summ'!K31-K16-K17-K18</f>
        <v>75545.454545454544</v>
      </c>
      <c r="L14" s="1201">
        <v>28567.620000000006</v>
      </c>
      <c r="M14" s="5705">
        <f>I14+K14</f>
        <v>229636.36363636365</v>
      </c>
      <c r="N14" s="781">
        <f t="shared" si="1"/>
        <v>94408.51</v>
      </c>
      <c r="O14" s="5929">
        <f>'Maj Production Summ'!O31-O16-O17-O18</f>
        <v>78545.454545454544</v>
      </c>
      <c r="P14" s="1201">
        <v>33905.25</v>
      </c>
      <c r="Q14" s="5932">
        <f>M14+O14</f>
        <v>308181.81818181818</v>
      </c>
      <c r="R14" s="782">
        <f t="shared" si="2"/>
        <v>128313.76</v>
      </c>
      <c r="S14" s="5929">
        <f>'Maj Production Summ'!S31-S16-S17-S18</f>
        <v>78545.454545454544</v>
      </c>
      <c r="T14" s="1201">
        <v>36439.46</v>
      </c>
      <c r="U14" s="5932">
        <f>Q14+S14</f>
        <v>386727.27272727271</v>
      </c>
      <c r="V14" s="782">
        <f t="shared" si="3"/>
        <v>164753.22</v>
      </c>
      <c r="W14" s="5929">
        <f>'Maj Production Summ'!W31-W16-W17-W18</f>
        <v>47500</v>
      </c>
      <c r="X14" s="1201">
        <v>31398.73</v>
      </c>
      <c r="Y14" s="5705">
        <f t="shared" ref="Y14:Y18" si="41">O14+S14+W14</f>
        <v>204590.90909090909</v>
      </c>
      <c r="Z14" s="781">
        <f t="shared" si="4"/>
        <v>101743.43999999999</v>
      </c>
      <c r="AA14" s="5928">
        <f>M14+Y14</f>
        <v>434227.27272727271</v>
      </c>
      <c r="AB14" s="3562">
        <f t="shared" si="5"/>
        <v>196151.94999999998</v>
      </c>
      <c r="AC14" s="5929">
        <f>'Maj Production Summ'!AC31-AC16-AC17-AC18</f>
        <v>79500</v>
      </c>
      <c r="AD14" s="1201">
        <v>33850.5</v>
      </c>
      <c r="AE14" s="5932">
        <f>AA14+AC14</f>
        <v>513727.27272727271</v>
      </c>
      <c r="AF14" s="782">
        <f t="shared" si="6"/>
        <v>230002.44999999998</v>
      </c>
      <c r="AG14" s="5929">
        <f>'Maj Production Summ'!AG31-AG16-AG17-AG18</f>
        <v>77000</v>
      </c>
      <c r="AH14" s="1201">
        <v>5582.77</v>
      </c>
      <c r="AI14" s="5933">
        <f>AE14+AG14</f>
        <v>590727.27272727271</v>
      </c>
      <c r="AJ14" s="782">
        <f t="shared" ref="AJ14:AJ19" si="42">AF14+AH14</f>
        <v>235585.21999999997</v>
      </c>
      <c r="AK14" s="5929">
        <f>'Maj Production Summ'!AK31-AK16-AK17-AK18</f>
        <v>79500</v>
      </c>
      <c r="AL14" s="1201">
        <v>31956.660000000007</v>
      </c>
      <c r="AM14" s="5705">
        <f t="shared" ref="AM14:AM18" si="43">AC14+AG14+AK14</f>
        <v>236000</v>
      </c>
      <c r="AN14" s="781">
        <f>AD14+AH14+AL14</f>
        <v>71389.930000000008</v>
      </c>
      <c r="AO14" s="5932">
        <f>AI14+AK14</f>
        <v>670227.27272727271</v>
      </c>
      <c r="AP14" s="782">
        <f>AJ14+AL14</f>
        <v>267541.88</v>
      </c>
      <c r="AQ14" s="5929">
        <f>'Maj Production Summ'!AQ31-AQ16-AQ17-AQ18</f>
        <v>79500</v>
      </c>
      <c r="AR14" s="1201">
        <v>37460.160000000003</v>
      </c>
      <c r="AS14" s="5933">
        <f>AO14+AQ14</f>
        <v>749727.27272727271</v>
      </c>
      <c r="AT14" s="782">
        <f t="shared" ref="AT14:AT19" si="44">AP14+AR14</f>
        <v>305002.04000000004</v>
      </c>
      <c r="AU14" s="5929">
        <f>'Maj Production Summ'!AU31-AU16-AU17-AU18</f>
        <v>72000</v>
      </c>
      <c r="AV14" s="1201">
        <v>30832.160000000003</v>
      </c>
      <c r="AW14" s="5933">
        <f>AS14+AU14</f>
        <v>821727.27272727271</v>
      </c>
      <c r="AX14" s="782">
        <f t="shared" ref="AX14:AX19" si="45">AT14+AV14</f>
        <v>335834.20000000007</v>
      </c>
      <c r="AY14" s="5929">
        <f>'Maj Production Summ'!AY31-AY16-AY17-AY18</f>
        <v>79500</v>
      </c>
      <c r="AZ14" s="1201">
        <v>45659.229999999996</v>
      </c>
      <c r="BA14" s="5705">
        <f t="shared" ref="BA14:BA18" si="46">AQ14+AU14+AY14</f>
        <v>231000</v>
      </c>
      <c r="BB14" s="781">
        <f>AR14+AV14+AZ14</f>
        <v>113951.55</v>
      </c>
      <c r="BC14" s="5928">
        <f>AM14+BA14</f>
        <v>467000</v>
      </c>
      <c r="BD14" s="3562">
        <f t="shared" ref="BD14:BD18" si="47">AN14+BB14</f>
        <v>185341.48</v>
      </c>
      <c r="BE14" s="5933">
        <f>AW14+AY14</f>
        <v>901227.27272727271</v>
      </c>
      <c r="BF14" s="782">
        <f t="shared" ref="BF14:BF19" si="48">AX14+AZ14</f>
        <v>381493.43000000005</v>
      </c>
      <c r="BG14" s="26"/>
      <c r="BH14" s="26"/>
      <c r="BI14" s="26"/>
      <c r="BJ14" s="26"/>
      <c r="BK14" s="26"/>
    </row>
    <row r="15" spans="1:63" x14ac:dyDescent="0.25">
      <c r="A15" s="93"/>
      <c r="B15" s="1018" t="s">
        <v>76</v>
      </c>
      <c r="C15" s="159" t="s">
        <v>50</v>
      </c>
      <c r="D15" s="5929"/>
      <c r="E15" s="5929"/>
      <c r="F15" s="1134">
        <v>26358.380000000005</v>
      </c>
      <c r="G15" s="5929"/>
      <c r="H15" s="1134">
        <v>35159.839999999997</v>
      </c>
      <c r="I15" s="5932"/>
      <c r="J15" s="782">
        <f t="shared" si="0"/>
        <v>61518.22</v>
      </c>
      <c r="K15" s="5929"/>
      <c r="L15" s="1134">
        <v>44608.009999999987</v>
      </c>
      <c r="M15" s="5705"/>
      <c r="N15" s="781">
        <f t="shared" si="1"/>
        <v>106126.22999999998</v>
      </c>
      <c r="O15" s="5929"/>
      <c r="P15" s="1134">
        <v>50197.250000000015</v>
      </c>
      <c r="Q15" s="5932"/>
      <c r="R15" s="782">
        <f t="shared" si="2"/>
        <v>156323.47999999998</v>
      </c>
      <c r="S15" s="5929"/>
      <c r="T15" s="1134">
        <v>50466.469999999994</v>
      </c>
      <c r="U15" s="5932"/>
      <c r="V15" s="782">
        <f t="shared" si="3"/>
        <v>206789.94999999998</v>
      </c>
      <c r="W15" s="5929"/>
      <c r="X15" s="1134">
        <v>37241.360000000008</v>
      </c>
      <c r="Y15" s="5705">
        <f t="shared" si="41"/>
        <v>0</v>
      </c>
      <c r="Z15" s="781">
        <f t="shared" si="4"/>
        <v>137905.08000000002</v>
      </c>
      <c r="AA15" s="5928"/>
      <c r="AB15" s="3562">
        <f t="shared" si="5"/>
        <v>244031.31</v>
      </c>
      <c r="AC15" s="5929"/>
      <c r="AD15" s="1134">
        <v>30225.97</v>
      </c>
      <c r="AE15" s="5932"/>
      <c r="AF15" s="782">
        <f t="shared" si="6"/>
        <v>274257.28000000003</v>
      </c>
      <c r="AG15" s="5929"/>
      <c r="AH15" s="1134">
        <v>5230.46</v>
      </c>
      <c r="AI15" s="5931"/>
      <c r="AJ15" s="782">
        <f t="shared" si="42"/>
        <v>279487.74000000005</v>
      </c>
      <c r="AK15" s="5929"/>
      <c r="AL15" s="1134">
        <v>35296.080000000009</v>
      </c>
      <c r="AM15" s="5705">
        <f t="shared" si="43"/>
        <v>0</v>
      </c>
      <c r="AN15" s="781">
        <f t="shared" ref="AN15:AN18" si="49">AD15+AH15+AL15</f>
        <v>70752.510000000009</v>
      </c>
      <c r="AO15" s="5932"/>
      <c r="AP15" s="782">
        <f t="shared" ref="AP15:AP19" si="50">AJ15+AL15</f>
        <v>314783.82000000007</v>
      </c>
      <c r="AQ15" s="5929"/>
      <c r="AR15" s="1134">
        <v>33364.089999999997</v>
      </c>
      <c r="AS15" s="5931"/>
      <c r="AT15" s="782">
        <f t="shared" si="44"/>
        <v>348147.91000000003</v>
      </c>
      <c r="AU15" s="5929"/>
      <c r="AV15" s="1134">
        <v>27384.699999999997</v>
      </c>
      <c r="AW15" s="5931"/>
      <c r="AX15" s="782">
        <f t="shared" si="45"/>
        <v>375532.61000000004</v>
      </c>
      <c r="AY15" s="5929"/>
      <c r="AZ15" s="1134">
        <v>38549.189999999995</v>
      </c>
      <c r="BA15" s="5705">
        <f t="shared" si="46"/>
        <v>0</v>
      </c>
      <c r="BB15" s="781">
        <f t="shared" ref="BB15:BB18" si="51">AR15+AV15+AZ15</f>
        <v>99297.979999999981</v>
      </c>
      <c r="BC15" s="5928"/>
      <c r="BD15" s="3562">
        <f t="shared" si="47"/>
        <v>170050.49</v>
      </c>
      <c r="BE15" s="5931"/>
      <c r="BF15" s="782">
        <f t="shared" si="48"/>
        <v>414081.80000000005</v>
      </c>
      <c r="BG15" s="26"/>
      <c r="BH15" s="26"/>
      <c r="BI15" s="26"/>
      <c r="BJ15" s="26"/>
      <c r="BK15" s="26"/>
    </row>
    <row r="16" spans="1:63" ht="14.45" x14ac:dyDescent="0.3">
      <c r="A16" s="93"/>
      <c r="B16" s="1018" t="s">
        <v>137</v>
      </c>
      <c r="C16" s="159" t="s">
        <v>50</v>
      </c>
      <c r="D16" s="1134">
        <v>5000.0000000000009</v>
      </c>
      <c r="E16" s="1134">
        <v>454.54545454545456</v>
      </c>
      <c r="F16" s="1201"/>
      <c r="G16" s="1134">
        <v>454.54545454545456</v>
      </c>
      <c r="H16" s="1201"/>
      <c r="I16" s="782">
        <f t="shared" ref="I16:I19" si="52">E16+G16</f>
        <v>909.09090909090912</v>
      </c>
      <c r="J16" s="782">
        <f t="shared" si="0"/>
        <v>0</v>
      </c>
      <c r="K16" s="1134">
        <v>454.54545454545456</v>
      </c>
      <c r="L16" s="1201"/>
      <c r="M16" s="781">
        <f t="shared" ref="M16:M18" si="53">I16+K16</f>
        <v>1363.6363636363637</v>
      </c>
      <c r="N16" s="781">
        <f t="shared" si="1"/>
        <v>0</v>
      </c>
      <c r="O16" s="1134">
        <v>454.54545454545456</v>
      </c>
      <c r="P16" s="1201"/>
      <c r="Q16" s="782">
        <f t="shared" ref="Q16:Q19" si="54">M16+O16</f>
        <v>1818.1818181818182</v>
      </c>
      <c r="R16" s="782">
        <f t="shared" si="2"/>
        <v>0</v>
      </c>
      <c r="S16" s="1134">
        <v>454.54545454545456</v>
      </c>
      <c r="T16" s="1201"/>
      <c r="U16" s="782">
        <f t="shared" ref="U16:U19" si="55">Q16+S16</f>
        <v>2272.727272727273</v>
      </c>
      <c r="V16" s="782">
        <f t="shared" si="3"/>
        <v>0</v>
      </c>
      <c r="W16" s="1134"/>
      <c r="X16" s="1201">
        <v>49.900000000000006</v>
      </c>
      <c r="Y16" s="781">
        <f t="shared" si="41"/>
        <v>909.09090909090912</v>
      </c>
      <c r="Z16" s="781">
        <f t="shared" si="4"/>
        <v>49.900000000000006</v>
      </c>
      <c r="AA16" s="3562">
        <f>M16+Y16</f>
        <v>2272.727272727273</v>
      </c>
      <c r="AB16" s="3562">
        <f t="shared" si="5"/>
        <v>49.900000000000006</v>
      </c>
      <c r="AC16" s="1134">
        <v>500</v>
      </c>
      <c r="AD16" s="1201">
        <v>0</v>
      </c>
      <c r="AE16" s="782">
        <f t="shared" ref="AE16:AE19" si="56">AA16+AC16</f>
        <v>2772.727272727273</v>
      </c>
      <c r="AF16" s="782">
        <f t="shared" si="6"/>
        <v>49.900000000000006</v>
      </c>
      <c r="AG16" s="1134">
        <v>500</v>
      </c>
      <c r="AH16" s="1201">
        <v>0</v>
      </c>
      <c r="AI16" s="782">
        <f t="shared" ref="AI16:AI19" si="57">AE16+AG16</f>
        <v>3272.727272727273</v>
      </c>
      <c r="AJ16" s="782">
        <f t="shared" si="42"/>
        <v>49.900000000000006</v>
      </c>
      <c r="AK16" s="1134">
        <v>500</v>
      </c>
      <c r="AL16" s="1201">
        <v>0</v>
      </c>
      <c r="AM16" s="781">
        <f t="shared" si="43"/>
        <v>1500</v>
      </c>
      <c r="AN16" s="781">
        <f t="shared" si="49"/>
        <v>0</v>
      </c>
      <c r="AO16" s="782">
        <f>AI16+AK16</f>
        <v>3772.727272727273</v>
      </c>
      <c r="AP16" s="782">
        <f t="shared" si="50"/>
        <v>49.900000000000006</v>
      </c>
      <c r="AQ16" s="1134">
        <v>500</v>
      </c>
      <c r="AR16" s="1201">
        <v>53.43</v>
      </c>
      <c r="AS16" s="782">
        <f t="shared" ref="AS16:AS19" si="58">AO16+AQ16</f>
        <v>4272.727272727273</v>
      </c>
      <c r="AT16" s="782">
        <f t="shared" si="44"/>
        <v>103.33000000000001</v>
      </c>
      <c r="AU16" s="1134">
        <v>500</v>
      </c>
      <c r="AV16" s="1201"/>
      <c r="AW16" s="782">
        <f t="shared" ref="AW16:AW19" si="59">AS16+AU16</f>
        <v>4772.727272727273</v>
      </c>
      <c r="AX16" s="782">
        <f t="shared" si="45"/>
        <v>103.33000000000001</v>
      </c>
      <c r="AY16" s="1134">
        <v>500</v>
      </c>
      <c r="AZ16" s="1201">
        <v>0</v>
      </c>
      <c r="BA16" s="781">
        <f t="shared" si="46"/>
        <v>1500</v>
      </c>
      <c r="BB16" s="781">
        <f t="shared" si="51"/>
        <v>53.43</v>
      </c>
      <c r="BC16" s="3562">
        <f t="shared" ref="BC16:BC18" si="60">AM16+BA16</f>
        <v>3000</v>
      </c>
      <c r="BD16" s="3562">
        <f t="shared" si="47"/>
        <v>53.43</v>
      </c>
      <c r="BE16" s="782">
        <f t="shared" ref="BE16:BE19" si="61">AW16+AY16</f>
        <v>5272.727272727273</v>
      </c>
      <c r="BF16" s="782">
        <f t="shared" si="48"/>
        <v>103.33000000000001</v>
      </c>
      <c r="BG16" s="26"/>
      <c r="BH16" s="26"/>
      <c r="BI16" s="26"/>
      <c r="BJ16" s="26"/>
      <c r="BK16" s="26"/>
    </row>
    <row r="17" spans="1:63" ht="14.45" x14ac:dyDescent="0.3">
      <c r="A17" s="93"/>
      <c r="B17" s="1018" t="s">
        <v>77</v>
      </c>
      <c r="C17" s="159" t="s">
        <v>50</v>
      </c>
      <c r="D17" s="1201">
        <v>0</v>
      </c>
      <c r="E17" s="1201">
        <v>0</v>
      </c>
      <c r="F17" s="1201"/>
      <c r="G17" s="1201">
        <v>0</v>
      </c>
      <c r="H17" s="1201"/>
      <c r="I17" s="782">
        <f t="shared" si="52"/>
        <v>0</v>
      </c>
      <c r="J17" s="782">
        <f t="shared" si="0"/>
        <v>0</v>
      </c>
      <c r="K17" s="1201">
        <v>0</v>
      </c>
      <c r="L17" s="1201"/>
      <c r="M17" s="781">
        <f t="shared" si="53"/>
        <v>0</v>
      </c>
      <c r="N17" s="781">
        <f t="shared" si="1"/>
        <v>0</v>
      </c>
      <c r="O17" s="1201">
        <v>0</v>
      </c>
      <c r="P17" s="1201"/>
      <c r="Q17" s="782">
        <f t="shared" si="54"/>
        <v>0</v>
      </c>
      <c r="R17" s="782">
        <f t="shared" si="2"/>
        <v>0</v>
      </c>
      <c r="S17" s="1201"/>
      <c r="T17" s="1201"/>
      <c r="U17" s="782">
        <f t="shared" si="55"/>
        <v>0</v>
      </c>
      <c r="V17" s="782">
        <f t="shared" si="3"/>
        <v>0</v>
      </c>
      <c r="W17" s="1201"/>
      <c r="X17" s="1201"/>
      <c r="Y17" s="781">
        <f t="shared" si="41"/>
        <v>0</v>
      </c>
      <c r="Z17" s="781">
        <f t="shared" si="4"/>
        <v>0</v>
      </c>
      <c r="AA17" s="3562">
        <f>M17+Y17</f>
        <v>0</v>
      </c>
      <c r="AB17" s="3562">
        <f t="shared" si="5"/>
        <v>0</v>
      </c>
      <c r="AC17" s="1201">
        <v>0</v>
      </c>
      <c r="AD17" s="1201">
        <v>0</v>
      </c>
      <c r="AE17" s="782">
        <f t="shared" si="56"/>
        <v>0</v>
      </c>
      <c r="AF17" s="782">
        <f t="shared" si="6"/>
        <v>0</v>
      </c>
      <c r="AG17" s="1201">
        <v>0</v>
      </c>
      <c r="AH17" s="1201">
        <v>0</v>
      </c>
      <c r="AI17" s="782">
        <f t="shared" si="57"/>
        <v>0</v>
      </c>
      <c r="AJ17" s="782">
        <f t="shared" si="42"/>
        <v>0</v>
      </c>
      <c r="AK17" s="1201">
        <v>0</v>
      </c>
      <c r="AL17" s="1201">
        <v>0</v>
      </c>
      <c r="AM17" s="781">
        <f t="shared" si="43"/>
        <v>0</v>
      </c>
      <c r="AN17" s="781">
        <f t="shared" si="49"/>
        <v>0</v>
      </c>
      <c r="AO17" s="782">
        <f t="shared" ref="AO17:AO19" si="62">AI17+AK17</f>
        <v>0</v>
      </c>
      <c r="AP17" s="782">
        <f t="shared" si="50"/>
        <v>0</v>
      </c>
      <c r="AQ17" s="1201">
        <v>0</v>
      </c>
      <c r="AR17" s="1201">
        <v>0</v>
      </c>
      <c r="AS17" s="782">
        <f t="shared" si="58"/>
        <v>0</v>
      </c>
      <c r="AT17" s="782">
        <f t="shared" si="44"/>
        <v>0</v>
      </c>
      <c r="AU17" s="1201">
        <v>0</v>
      </c>
      <c r="AV17" s="1201"/>
      <c r="AW17" s="782">
        <f t="shared" si="59"/>
        <v>0</v>
      </c>
      <c r="AX17" s="782">
        <f t="shared" si="45"/>
        <v>0</v>
      </c>
      <c r="AY17" s="1201">
        <v>0</v>
      </c>
      <c r="AZ17" s="1201">
        <v>0</v>
      </c>
      <c r="BA17" s="781">
        <f t="shared" si="46"/>
        <v>0</v>
      </c>
      <c r="BB17" s="781">
        <f t="shared" si="51"/>
        <v>0</v>
      </c>
      <c r="BC17" s="3562">
        <f t="shared" si="60"/>
        <v>0</v>
      </c>
      <c r="BD17" s="3562">
        <f t="shared" si="47"/>
        <v>0</v>
      </c>
      <c r="BE17" s="782">
        <f t="shared" si="61"/>
        <v>0</v>
      </c>
      <c r="BF17" s="782">
        <f t="shared" si="48"/>
        <v>0</v>
      </c>
      <c r="BG17" s="26"/>
      <c r="BH17" s="26"/>
      <c r="BI17" s="26"/>
      <c r="BJ17" s="26"/>
      <c r="BK17" s="26"/>
    </row>
    <row r="18" spans="1:63" ht="14.45" x14ac:dyDescent="0.3">
      <c r="A18" s="93"/>
      <c r="B18" s="1018" t="s">
        <v>1848</v>
      </c>
      <c r="C18" s="159" t="s">
        <v>50</v>
      </c>
      <c r="D18" s="1134">
        <v>0</v>
      </c>
      <c r="E18" s="1134">
        <v>0</v>
      </c>
      <c r="F18" s="1201"/>
      <c r="G18" s="1134">
        <v>0</v>
      </c>
      <c r="H18" s="1201"/>
      <c r="I18" s="782">
        <f t="shared" si="52"/>
        <v>0</v>
      </c>
      <c r="J18" s="782">
        <f t="shared" si="0"/>
        <v>0</v>
      </c>
      <c r="K18" s="1134">
        <v>0</v>
      </c>
      <c r="L18" s="1201"/>
      <c r="M18" s="781">
        <f t="shared" si="53"/>
        <v>0</v>
      </c>
      <c r="N18" s="781">
        <f t="shared" si="1"/>
        <v>0</v>
      </c>
      <c r="O18" s="1134">
        <v>0</v>
      </c>
      <c r="P18" s="1201"/>
      <c r="Q18" s="782">
        <f t="shared" si="54"/>
        <v>0</v>
      </c>
      <c r="R18" s="782">
        <f t="shared" si="2"/>
        <v>0</v>
      </c>
      <c r="S18" s="1134"/>
      <c r="T18" s="1201"/>
      <c r="U18" s="782">
        <f t="shared" si="55"/>
        <v>0</v>
      </c>
      <c r="V18" s="782">
        <f t="shared" si="3"/>
        <v>0</v>
      </c>
      <c r="W18" s="1134"/>
      <c r="X18" s="1201"/>
      <c r="Y18" s="781">
        <f t="shared" si="41"/>
        <v>0</v>
      </c>
      <c r="Z18" s="781">
        <f t="shared" si="4"/>
        <v>0</v>
      </c>
      <c r="AA18" s="3562">
        <f>M18+Y18</f>
        <v>0</v>
      </c>
      <c r="AB18" s="3562">
        <f t="shared" si="5"/>
        <v>0</v>
      </c>
      <c r="AC18" s="1134"/>
      <c r="AD18" s="1201">
        <v>0</v>
      </c>
      <c r="AE18" s="782">
        <f t="shared" si="56"/>
        <v>0</v>
      </c>
      <c r="AF18" s="782">
        <f t="shared" si="6"/>
        <v>0</v>
      </c>
      <c r="AG18" s="1134">
        <v>0</v>
      </c>
      <c r="AH18" s="1201">
        <v>0</v>
      </c>
      <c r="AI18" s="782">
        <f t="shared" si="57"/>
        <v>0</v>
      </c>
      <c r="AJ18" s="782">
        <f t="shared" si="42"/>
        <v>0</v>
      </c>
      <c r="AK18" s="1134">
        <v>0</v>
      </c>
      <c r="AL18" s="1201">
        <v>0</v>
      </c>
      <c r="AM18" s="781">
        <f t="shared" si="43"/>
        <v>0</v>
      </c>
      <c r="AN18" s="781">
        <f t="shared" si="49"/>
        <v>0</v>
      </c>
      <c r="AO18" s="782">
        <f t="shared" si="62"/>
        <v>0</v>
      </c>
      <c r="AP18" s="782">
        <f t="shared" si="50"/>
        <v>0</v>
      </c>
      <c r="AQ18" s="1134">
        <v>0</v>
      </c>
      <c r="AR18" s="1201">
        <v>0</v>
      </c>
      <c r="AS18" s="782">
        <f t="shared" si="58"/>
        <v>0</v>
      </c>
      <c r="AT18" s="782">
        <f t="shared" si="44"/>
        <v>0</v>
      </c>
      <c r="AU18" s="1134">
        <v>0</v>
      </c>
      <c r="AV18" s="1201"/>
      <c r="AW18" s="782">
        <f t="shared" si="59"/>
        <v>0</v>
      </c>
      <c r="AX18" s="782">
        <f t="shared" si="45"/>
        <v>0</v>
      </c>
      <c r="AY18" s="1134">
        <v>0</v>
      </c>
      <c r="AZ18" s="1201">
        <v>0</v>
      </c>
      <c r="BA18" s="781">
        <f t="shared" si="46"/>
        <v>0</v>
      </c>
      <c r="BB18" s="781">
        <f t="shared" si="51"/>
        <v>0</v>
      </c>
      <c r="BC18" s="3562">
        <f t="shared" si="60"/>
        <v>0</v>
      </c>
      <c r="BD18" s="3562">
        <f t="shared" si="47"/>
        <v>0</v>
      </c>
      <c r="BE18" s="782">
        <f t="shared" si="61"/>
        <v>0</v>
      </c>
      <c r="BF18" s="782">
        <f t="shared" si="48"/>
        <v>0</v>
      </c>
      <c r="BG18" s="26"/>
      <c r="BH18" s="26"/>
      <c r="BI18" s="26"/>
      <c r="BJ18" s="26"/>
      <c r="BK18" s="26"/>
    </row>
    <row r="19" spans="1:63" ht="21.2" customHeight="1" x14ac:dyDescent="0.3">
      <c r="A19" s="93"/>
      <c r="B19" s="3564" t="s">
        <v>2</v>
      </c>
      <c r="C19" s="706" t="s">
        <v>50</v>
      </c>
      <c r="D19" s="1774">
        <f>SUM(D14:D18)</f>
        <v>900000</v>
      </c>
      <c r="E19" s="1774">
        <f t="shared" ref="E19:F19" si="63">SUM(E14:E18)</f>
        <v>76000</v>
      </c>
      <c r="F19" s="1774">
        <f t="shared" si="63"/>
        <v>60011.209999999992</v>
      </c>
      <c r="G19" s="1774">
        <f t="shared" ref="G19:H19" si="64">SUM(G14:G18)</f>
        <v>79000</v>
      </c>
      <c r="H19" s="1774">
        <f t="shared" si="64"/>
        <v>67347.899999999994</v>
      </c>
      <c r="I19" s="376">
        <f t="shared" si="52"/>
        <v>155000</v>
      </c>
      <c r="J19" s="782">
        <f t="shared" si="0"/>
        <v>127359.10999999999</v>
      </c>
      <c r="K19" s="1774">
        <f t="shared" ref="K19:L19" si="65">SUM(K14:K18)</f>
        <v>76000</v>
      </c>
      <c r="L19" s="1774">
        <f t="shared" si="65"/>
        <v>73175.62999999999</v>
      </c>
      <c r="M19" s="378">
        <f>E19+G19+K19</f>
        <v>231000</v>
      </c>
      <c r="N19" s="781">
        <f t="shared" si="1"/>
        <v>200534.74</v>
      </c>
      <c r="O19" s="1774">
        <f t="shared" ref="O19:P19" si="66">SUM(O14:O18)</f>
        <v>79000</v>
      </c>
      <c r="P19" s="1774">
        <f t="shared" si="66"/>
        <v>84102.500000000015</v>
      </c>
      <c r="Q19" s="376">
        <f t="shared" si="54"/>
        <v>310000</v>
      </c>
      <c r="R19" s="782">
        <f t="shared" si="2"/>
        <v>284637.24</v>
      </c>
      <c r="S19" s="1774">
        <f t="shared" ref="S19:T19" si="67">SUM(S14:S18)</f>
        <v>79000</v>
      </c>
      <c r="T19" s="1774">
        <f t="shared" si="67"/>
        <v>86905.93</v>
      </c>
      <c r="U19" s="376">
        <f t="shared" si="55"/>
        <v>389000</v>
      </c>
      <c r="V19" s="782">
        <f t="shared" si="3"/>
        <v>371543.17</v>
      </c>
      <c r="W19" s="1774">
        <f t="shared" ref="W19:X19" si="68">SUM(W14:W18)</f>
        <v>47500</v>
      </c>
      <c r="X19" s="1774">
        <f t="shared" si="68"/>
        <v>68689.990000000005</v>
      </c>
      <c r="Y19" s="378">
        <f>O19+S19+W19</f>
        <v>205500</v>
      </c>
      <c r="Z19" s="781">
        <f t="shared" si="4"/>
        <v>239698.41999999998</v>
      </c>
      <c r="AA19" s="3565">
        <f>M19+Y19</f>
        <v>436500</v>
      </c>
      <c r="AB19" s="3562">
        <f t="shared" si="5"/>
        <v>440233.16</v>
      </c>
      <c r="AC19" s="1774">
        <f t="shared" ref="AC19:AD19" si="69">SUM(AC14:AC18)</f>
        <v>80000</v>
      </c>
      <c r="AD19" s="1774">
        <f t="shared" si="69"/>
        <v>64076.47</v>
      </c>
      <c r="AE19" s="376">
        <f t="shared" si="56"/>
        <v>516500</v>
      </c>
      <c r="AF19" s="782">
        <f t="shared" si="6"/>
        <v>504309.63</v>
      </c>
      <c r="AG19" s="1774">
        <f t="shared" ref="AG19:AH19" si="70">SUM(AG14:AG18)</f>
        <v>77500</v>
      </c>
      <c r="AH19" s="1774">
        <f t="shared" si="70"/>
        <v>10813.23</v>
      </c>
      <c r="AI19" s="376">
        <f t="shared" si="57"/>
        <v>594000</v>
      </c>
      <c r="AJ19" s="376">
        <f t="shared" si="42"/>
        <v>515122.86</v>
      </c>
      <c r="AK19" s="1774">
        <f t="shared" ref="AK19:AL19" si="71">SUM(AK14:AK18)</f>
        <v>80000</v>
      </c>
      <c r="AL19" s="1774">
        <f t="shared" si="71"/>
        <v>67252.74000000002</v>
      </c>
      <c r="AM19" s="378">
        <f>AC19+AG19+AK19</f>
        <v>237500</v>
      </c>
      <c r="AN19" s="378">
        <f>AD19+AH19+AL19</f>
        <v>142142.44</v>
      </c>
      <c r="AO19" s="376">
        <f t="shared" si="62"/>
        <v>674000</v>
      </c>
      <c r="AP19" s="376">
        <f t="shared" si="50"/>
        <v>582375.6</v>
      </c>
      <c r="AQ19" s="1774">
        <f t="shared" ref="AQ19:AR19" si="72">SUM(AQ14:AQ18)</f>
        <v>80000</v>
      </c>
      <c r="AR19" s="1774">
        <f t="shared" si="72"/>
        <v>70877.679999999993</v>
      </c>
      <c r="AS19" s="376">
        <f t="shared" si="58"/>
        <v>754000</v>
      </c>
      <c r="AT19" s="376">
        <f t="shared" si="44"/>
        <v>653253.28</v>
      </c>
      <c r="AU19" s="1774">
        <f t="shared" ref="AU19:AV19" si="73">SUM(AU14:AU18)</f>
        <v>72500</v>
      </c>
      <c r="AV19" s="1774">
        <f t="shared" si="73"/>
        <v>58216.86</v>
      </c>
      <c r="AW19" s="376">
        <f t="shared" si="59"/>
        <v>826500</v>
      </c>
      <c r="AX19" s="376">
        <f t="shared" si="45"/>
        <v>711470.14</v>
      </c>
      <c r="AY19" s="1774">
        <f t="shared" ref="AY19:AZ19" si="74">SUM(AY14:AY18)</f>
        <v>80000</v>
      </c>
      <c r="AZ19" s="1774">
        <f t="shared" si="74"/>
        <v>84208.419999999984</v>
      </c>
      <c r="BA19" s="378">
        <f>AQ19+AU19+AY19</f>
        <v>232500</v>
      </c>
      <c r="BB19" s="378">
        <f>AR19+AV19+AZ19</f>
        <v>213302.95999999996</v>
      </c>
      <c r="BC19" s="3565">
        <f>AM19+BA19</f>
        <v>470000</v>
      </c>
      <c r="BD19" s="3565">
        <f>AN19+BB19</f>
        <v>355445.39999999997</v>
      </c>
      <c r="BE19" s="376">
        <f t="shared" si="61"/>
        <v>906500</v>
      </c>
      <c r="BF19" s="376">
        <f t="shared" si="48"/>
        <v>795678.56</v>
      </c>
      <c r="BG19" s="26"/>
      <c r="BH19" s="26"/>
      <c r="BI19" s="26"/>
      <c r="BJ19" s="26"/>
      <c r="BK19" s="26"/>
    </row>
    <row r="20" spans="1:63" ht="14.45" x14ac:dyDescent="0.3">
      <c r="A20" s="154"/>
      <c r="B20" s="3561" t="s">
        <v>115</v>
      </c>
      <c r="C20" s="3561"/>
      <c r="D20" s="3561"/>
      <c r="E20" s="3566"/>
      <c r="F20" s="3566"/>
      <c r="G20" s="3566"/>
      <c r="H20" s="3566"/>
      <c r="I20" s="3566"/>
      <c r="J20" s="782">
        <f t="shared" si="0"/>
        <v>0</v>
      </c>
      <c r="K20" s="3566"/>
      <c r="L20" s="3566"/>
      <c r="M20" s="3566"/>
      <c r="N20" s="781">
        <f t="shared" si="1"/>
        <v>0</v>
      </c>
      <c r="O20" s="3566"/>
      <c r="P20" s="3566"/>
      <c r="Q20" s="3566"/>
      <c r="R20" s="782">
        <f t="shared" si="2"/>
        <v>0</v>
      </c>
      <c r="S20" s="3566"/>
      <c r="T20" s="3566"/>
      <c r="U20" s="3566"/>
      <c r="V20" s="782">
        <f t="shared" si="3"/>
        <v>0</v>
      </c>
      <c r="W20" s="3566"/>
      <c r="X20" s="3566"/>
      <c r="Y20" s="3566"/>
      <c r="Z20" s="781">
        <f t="shared" si="4"/>
        <v>0</v>
      </c>
      <c r="AA20" s="3566"/>
      <c r="AB20" s="3562">
        <f t="shared" si="5"/>
        <v>0</v>
      </c>
      <c r="AC20" s="3566"/>
      <c r="AD20" s="3566"/>
      <c r="AE20" s="3566"/>
      <c r="AF20" s="782">
        <f t="shared" si="6"/>
        <v>0</v>
      </c>
      <c r="AG20" s="3566"/>
      <c r="AH20" s="3566"/>
      <c r="AI20" s="3566"/>
      <c r="AJ20" s="3566"/>
      <c r="AK20" s="3566"/>
      <c r="AL20" s="3566"/>
      <c r="AM20" s="3566"/>
      <c r="AN20" s="3566"/>
      <c r="AO20" s="3566"/>
      <c r="AP20" s="3566"/>
      <c r="AQ20" s="3566"/>
      <c r="AR20" s="3566"/>
      <c r="AS20" s="3566"/>
      <c r="AT20" s="3566"/>
      <c r="AU20" s="3566"/>
      <c r="AV20" s="3566"/>
      <c r="AW20" s="3566"/>
      <c r="AX20" s="3566"/>
      <c r="AY20" s="3566"/>
      <c r="AZ20" s="3566"/>
      <c r="BA20" s="3566"/>
      <c r="BB20" s="3566"/>
      <c r="BC20" s="3566"/>
      <c r="BD20" s="3566"/>
      <c r="BE20" s="3566"/>
      <c r="BF20" s="3566"/>
      <c r="BG20" s="26"/>
      <c r="BH20" s="26"/>
      <c r="BI20" s="26"/>
      <c r="BJ20" s="26"/>
      <c r="BK20" s="26"/>
    </row>
    <row r="21" spans="1:63" x14ac:dyDescent="0.25">
      <c r="A21" s="93"/>
      <c r="B21" s="1018" t="s">
        <v>75</v>
      </c>
      <c r="C21" s="159" t="s">
        <v>50</v>
      </c>
      <c r="D21" s="5929">
        <v>747000</v>
      </c>
      <c r="E21" s="5929">
        <f>'Maj Production Summ'!E32-E23-E24-E25</f>
        <v>61727.272727272728</v>
      </c>
      <c r="F21" s="1134">
        <v>38167.229999999996</v>
      </c>
      <c r="G21" s="5929">
        <f>'Maj Production Summ'!G32-G23-G24-G25</f>
        <v>64727.272727272728</v>
      </c>
      <c r="H21" s="1134">
        <v>44981.819999999985</v>
      </c>
      <c r="I21" s="5932">
        <f>E21+G21</f>
        <v>126454.54545454546</v>
      </c>
      <c r="J21" s="782">
        <f t="shared" si="0"/>
        <v>83149.049999999988</v>
      </c>
      <c r="K21" s="5929">
        <f>'Maj Production Summ'!K32-K23-K24-K25</f>
        <v>62227.272727272728</v>
      </c>
      <c r="L21" s="1134">
        <v>36834.609999999993</v>
      </c>
      <c r="M21" s="5705">
        <f>E21+G21+K21</f>
        <v>188681.81818181818</v>
      </c>
      <c r="N21" s="781">
        <f t="shared" si="1"/>
        <v>119983.65999999997</v>
      </c>
      <c r="O21" s="5929">
        <f>'Maj Production Summ'!O32-O23-O24-O25</f>
        <v>64727.272727272728</v>
      </c>
      <c r="P21" s="1134">
        <v>30785.22</v>
      </c>
      <c r="Q21" s="5932">
        <f>M21+O21</f>
        <v>253409.09090909091</v>
      </c>
      <c r="R21" s="782">
        <f t="shared" si="2"/>
        <v>150768.87999999998</v>
      </c>
      <c r="S21" s="5929">
        <f>'Maj Production Summ'!S32-S23-S24-S25</f>
        <v>64727.272727272728</v>
      </c>
      <c r="T21" s="1134">
        <v>29637.02</v>
      </c>
      <c r="U21" s="5932">
        <f>Q21+S21</f>
        <v>318136.36363636365</v>
      </c>
      <c r="V21" s="782">
        <f t="shared" si="3"/>
        <v>180405.89999999997</v>
      </c>
      <c r="W21" s="5929">
        <f>'Maj Production Summ'!W32-W23-W24-W25</f>
        <v>33500</v>
      </c>
      <c r="X21" s="1134">
        <v>23845.7</v>
      </c>
      <c r="Y21" s="5705">
        <f>O21+S21+W21</f>
        <v>162954.54545454547</v>
      </c>
      <c r="Z21" s="781">
        <f t="shared" si="4"/>
        <v>84267.94</v>
      </c>
      <c r="AA21" s="5928">
        <f>M21+Y21</f>
        <v>351636.36363636365</v>
      </c>
      <c r="AB21" s="3562">
        <f t="shared" si="5"/>
        <v>204251.59999999998</v>
      </c>
      <c r="AC21" s="5929">
        <f>'Maj Production Summ'!AC32-AC23-AC24-AC25</f>
        <v>53200</v>
      </c>
      <c r="AD21" s="1134">
        <v>35057.120000000003</v>
      </c>
      <c r="AE21" s="5932">
        <f>AA21+AC21</f>
        <v>404836.36363636365</v>
      </c>
      <c r="AF21" s="782">
        <f t="shared" si="6"/>
        <v>239308.71999999997</v>
      </c>
      <c r="AG21" s="5929">
        <f>'Maj Production Summ'!AG32-AG23-AG24-AG25</f>
        <v>51200</v>
      </c>
      <c r="AH21" s="1134">
        <v>13943.210000000001</v>
      </c>
      <c r="AI21" s="5933">
        <f>AE21+AG21</f>
        <v>456036.36363636365</v>
      </c>
      <c r="AJ21" s="782">
        <f t="shared" ref="AJ21:AJ26" si="75">AF21+AH21</f>
        <v>253251.92999999996</v>
      </c>
      <c r="AK21" s="5929">
        <f>'Maj Production Summ'!AK32-AK23-AK24-AK25</f>
        <v>53200</v>
      </c>
      <c r="AL21" s="1134">
        <v>27250.579999999991</v>
      </c>
      <c r="AM21" s="5705">
        <f>AC21+AG21+AK21</f>
        <v>157600</v>
      </c>
      <c r="AN21" s="781">
        <f>AD21+AH21+AL21</f>
        <v>76250.909999999989</v>
      </c>
      <c r="AO21" s="5932">
        <f>AI21+AK21</f>
        <v>509236.36363636365</v>
      </c>
      <c r="AP21" s="782">
        <f>AJ21+AL21</f>
        <v>280502.50999999995</v>
      </c>
      <c r="AQ21" s="5929">
        <f>'Maj Production Summ'!AQ32-AQ23-AQ24-AQ25</f>
        <v>53200</v>
      </c>
      <c r="AR21" s="1134">
        <v>35993.919999999991</v>
      </c>
      <c r="AS21" s="5933">
        <f>AO21+AQ21</f>
        <v>562436.36363636365</v>
      </c>
      <c r="AT21" s="782">
        <f t="shared" ref="AT21:AT26" si="76">AP21+AR21</f>
        <v>316496.42999999993</v>
      </c>
      <c r="AU21" s="5929">
        <f>'Maj Production Summ'!AU32-AU23-AU24-AU25</f>
        <v>47200</v>
      </c>
      <c r="AV21" s="1134">
        <v>38039.80999999999</v>
      </c>
      <c r="AW21" s="5933">
        <f>AS21+AU21</f>
        <v>609636.36363636365</v>
      </c>
      <c r="AX21" s="782">
        <f t="shared" ref="AX21:AX26" si="77">AT21+AV21</f>
        <v>354536.23999999993</v>
      </c>
      <c r="AY21" s="5929">
        <f>'Maj Production Summ'!AY32-AY23-AY24-AY25</f>
        <v>59200</v>
      </c>
      <c r="AZ21" s="1134">
        <v>54042.509999999987</v>
      </c>
      <c r="BA21" s="5705">
        <f>AQ21+AU21+AY21</f>
        <v>159600</v>
      </c>
      <c r="BB21" s="781">
        <f>AR21+AV21+AZ21</f>
        <v>128076.23999999996</v>
      </c>
      <c r="BC21" s="5928">
        <f>AM21+BA21</f>
        <v>317200</v>
      </c>
      <c r="BD21" s="3562">
        <f t="shared" ref="BD21:BD25" si="78">AN21+BB21</f>
        <v>204327.14999999997</v>
      </c>
      <c r="BE21" s="5933">
        <f>AW21+AY21</f>
        <v>668836.36363636365</v>
      </c>
      <c r="BF21" s="782">
        <f t="shared" ref="BF21:BF26" si="79">AX21+AZ21</f>
        <v>408578.74999999994</v>
      </c>
      <c r="BG21" s="26"/>
      <c r="BH21" s="26"/>
      <c r="BI21" s="26"/>
      <c r="BJ21" s="26"/>
      <c r="BK21" s="26"/>
    </row>
    <row r="22" spans="1:63" x14ac:dyDescent="0.25">
      <c r="A22" s="93"/>
      <c r="B22" s="1018" t="s">
        <v>76</v>
      </c>
      <c r="C22" s="159" t="s">
        <v>50</v>
      </c>
      <c r="D22" s="5929"/>
      <c r="E22" s="5929"/>
      <c r="F22" s="1134">
        <v>5955.4700000000012</v>
      </c>
      <c r="G22" s="5929"/>
      <c r="H22" s="1134">
        <v>12734.180000000004</v>
      </c>
      <c r="I22" s="5932"/>
      <c r="J22" s="782">
        <f t="shared" si="0"/>
        <v>18689.650000000005</v>
      </c>
      <c r="K22" s="5929"/>
      <c r="L22" s="1134">
        <v>19850.170000000002</v>
      </c>
      <c r="M22" s="5705"/>
      <c r="N22" s="781">
        <f t="shared" si="1"/>
        <v>38539.820000000007</v>
      </c>
      <c r="O22" s="5929"/>
      <c r="P22" s="1134">
        <v>26479.61</v>
      </c>
      <c r="Q22" s="5932"/>
      <c r="R22" s="782">
        <f t="shared" si="2"/>
        <v>65019.430000000008</v>
      </c>
      <c r="S22" s="5929"/>
      <c r="T22" s="1134">
        <v>17587.119999999995</v>
      </c>
      <c r="U22" s="5932"/>
      <c r="V22" s="782">
        <f t="shared" si="3"/>
        <v>82606.55</v>
      </c>
      <c r="W22" s="5929"/>
      <c r="X22" s="1134">
        <v>22102.42</v>
      </c>
      <c r="Y22" s="5705"/>
      <c r="Z22" s="781">
        <f t="shared" si="4"/>
        <v>66169.149999999994</v>
      </c>
      <c r="AA22" s="5928"/>
      <c r="AB22" s="3562">
        <f t="shared" si="5"/>
        <v>104708.97</v>
      </c>
      <c r="AC22" s="5929"/>
      <c r="AD22" s="1134">
        <v>8090.55</v>
      </c>
      <c r="AE22" s="5932"/>
      <c r="AF22" s="782">
        <f t="shared" si="6"/>
        <v>112799.52</v>
      </c>
      <c r="AG22" s="5929"/>
      <c r="AH22" s="1134">
        <v>1522.2100000000003</v>
      </c>
      <c r="AI22" s="5931"/>
      <c r="AJ22" s="782">
        <f t="shared" si="75"/>
        <v>114321.73000000001</v>
      </c>
      <c r="AK22" s="5929"/>
      <c r="AL22" s="1134">
        <v>6079.9800000000005</v>
      </c>
      <c r="AM22" s="5705"/>
      <c r="AN22" s="781">
        <f>AD22+AH22+AL22</f>
        <v>15692.740000000002</v>
      </c>
      <c r="AO22" s="5932"/>
      <c r="AP22" s="782">
        <f t="shared" ref="AP22:AP26" si="80">AJ22+AL22</f>
        <v>120401.71</v>
      </c>
      <c r="AQ22" s="5929"/>
      <c r="AR22" s="1134">
        <v>8410.1399999999976</v>
      </c>
      <c r="AS22" s="5931"/>
      <c r="AT22" s="782">
        <f t="shared" si="76"/>
        <v>128811.85</v>
      </c>
      <c r="AU22" s="5929"/>
      <c r="AV22" s="1134">
        <v>9299.1999999999989</v>
      </c>
      <c r="AW22" s="5931"/>
      <c r="AX22" s="782">
        <f t="shared" si="77"/>
        <v>138111.05000000002</v>
      </c>
      <c r="AY22" s="5929"/>
      <c r="AZ22" s="1134">
        <v>13581.380000000003</v>
      </c>
      <c r="BA22" s="5705"/>
      <c r="BB22" s="781">
        <f>AR22+AV22+AZ22</f>
        <v>31290.720000000001</v>
      </c>
      <c r="BC22" s="5928"/>
      <c r="BD22" s="3562">
        <f t="shared" si="78"/>
        <v>46983.460000000006</v>
      </c>
      <c r="BE22" s="5931"/>
      <c r="BF22" s="782">
        <f t="shared" si="79"/>
        <v>151692.43000000002</v>
      </c>
      <c r="BG22" s="26"/>
      <c r="BH22" s="26"/>
      <c r="BI22" s="26"/>
      <c r="BJ22" s="26"/>
      <c r="BK22" s="26"/>
    </row>
    <row r="23" spans="1:63" ht="14.45" x14ac:dyDescent="0.3">
      <c r="A23" s="93"/>
      <c r="B23" s="1018" t="s">
        <v>137</v>
      </c>
      <c r="C23" s="159" t="s">
        <v>50</v>
      </c>
      <c r="D23" s="1134">
        <v>3000.0000000000009</v>
      </c>
      <c r="E23" s="1134">
        <v>272.72727272727275</v>
      </c>
      <c r="F23" s="1134"/>
      <c r="G23" s="1134">
        <v>272.72727272727275</v>
      </c>
      <c r="H23" s="1134"/>
      <c r="I23" s="782">
        <f t="shared" ref="I23:I26" si="81">E23+G23</f>
        <v>545.4545454545455</v>
      </c>
      <c r="J23" s="782">
        <f t="shared" si="0"/>
        <v>0</v>
      </c>
      <c r="K23" s="1134">
        <v>272.72727272727275</v>
      </c>
      <c r="L23" s="1134">
        <v>35.9</v>
      </c>
      <c r="M23" s="781">
        <f>E23+G23+K23</f>
        <v>818.18181818181824</v>
      </c>
      <c r="N23" s="781">
        <f t="shared" si="1"/>
        <v>35.9</v>
      </c>
      <c r="O23" s="1134">
        <v>272.72727272727275</v>
      </c>
      <c r="P23" s="1134"/>
      <c r="Q23" s="782">
        <f t="shared" ref="Q23:Q26" si="82">M23+O23</f>
        <v>1090.909090909091</v>
      </c>
      <c r="R23" s="782">
        <f t="shared" si="2"/>
        <v>35.9</v>
      </c>
      <c r="S23" s="1134">
        <v>272.72727272727275</v>
      </c>
      <c r="T23" s="1134"/>
      <c r="U23" s="782">
        <f t="shared" ref="U23:U26" si="83">Q23+S23</f>
        <v>1363.6363636363637</v>
      </c>
      <c r="V23" s="782">
        <f t="shared" si="3"/>
        <v>35.9</v>
      </c>
      <c r="W23" s="1134"/>
      <c r="X23" s="1134"/>
      <c r="Y23" s="781">
        <f>O23+S23+W23</f>
        <v>545.4545454545455</v>
      </c>
      <c r="Z23" s="781">
        <f t="shared" si="4"/>
        <v>0</v>
      </c>
      <c r="AA23" s="3562">
        <f>M23+Y23</f>
        <v>1363.6363636363637</v>
      </c>
      <c r="AB23" s="3562">
        <f t="shared" si="5"/>
        <v>35.9</v>
      </c>
      <c r="AC23" s="1134">
        <v>800</v>
      </c>
      <c r="AD23" s="1134">
        <v>156.07999999999998</v>
      </c>
      <c r="AE23" s="782">
        <f t="shared" ref="AE23:AE26" si="84">AA23+AC23</f>
        <v>2163.636363636364</v>
      </c>
      <c r="AF23" s="782">
        <f t="shared" si="6"/>
        <v>191.98</v>
      </c>
      <c r="AG23" s="1134">
        <v>800</v>
      </c>
      <c r="AH23" s="1134">
        <v>0</v>
      </c>
      <c r="AI23" s="782">
        <f t="shared" ref="AI23:AI26" si="85">AE23+AG23</f>
        <v>2963.636363636364</v>
      </c>
      <c r="AJ23" s="782">
        <f t="shared" si="75"/>
        <v>191.98</v>
      </c>
      <c r="AK23" s="1134">
        <v>800</v>
      </c>
      <c r="AL23" s="1134">
        <v>132.44</v>
      </c>
      <c r="AM23" s="781">
        <f>AC23+AG23+AK23</f>
        <v>2400</v>
      </c>
      <c r="AN23" s="781">
        <f>AD23+AH23+AL23</f>
        <v>288.52</v>
      </c>
      <c r="AO23" s="782">
        <f>AI23+AK23</f>
        <v>3763.636363636364</v>
      </c>
      <c r="AP23" s="782">
        <f t="shared" si="80"/>
        <v>324.41999999999996</v>
      </c>
      <c r="AQ23" s="1134">
        <v>800</v>
      </c>
      <c r="AR23" s="1134">
        <v>252.82</v>
      </c>
      <c r="AS23" s="782">
        <f t="shared" ref="AS23:AS26" si="86">AO23+AQ23</f>
        <v>4563.636363636364</v>
      </c>
      <c r="AT23" s="782">
        <f t="shared" si="76"/>
        <v>577.24</v>
      </c>
      <c r="AU23" s="1134">
        <v>800</v>
      </c>
      <c r="AV23" s="1134"/>
      <c r="AW23" s="782">
        <f t="shared" ref="AW23:AW26" si="87">AS23+AU23</f>
        <v>5363.636363636364</v>
      </c>
      <c r="AX23" s="782">
        <f t="shared" si="77"/>
        <v>577.24</v>
      </c>
      <c r="AY23" s="1134">
        <v>800</v>
      </c>
      <c r="AZ23" s="1134">
        <v>794.61999999999989</v>
      </c>
      <c r="BA23" s="781">
        <f>AQ23+AU23+AY23</f>
        <v>2400</v>
      </c>
      <c r="BB23" s="781">
        <f>AR23+AV23+AZ23</f>
        <v>1047.4399999999998</v>
      </c>
      <c r="BC23" s="3562">
        <f t="shared" ref="BC23:BC25" si="88">AM23+BA23</f>
        <v>4800</v>
      </c>
      <c r="BD23" s="3562">
        <f t="shared" si="78"/>
        <v>1335.9599999999998</v>
      </c>
      <c r="BE23" s="782">
        <f t="shared" ref="BE23:BE26" si="89">AW23+AY23</f>
        <v>6163.636363636364</v>
      </c>
      <c r="BF23" s="782">
        <f t="shared" si="79"/>
        <v>1371.86</v>
      </c>
      <c r="BG23" s="26"/>
      <c r="BH23" s="26"/>
      <c r="BI23" s="26"/>
      <c r="BJ23" s="26"/>
      <c r="BK23" s="26"/>
    </row>
    <row r="24" spans="1:63" ht="14.45" x14ac:dyDescent="0.3">
      <c r="A24" s="93"/>
      <c r="B24" s="1018" t="s">
        <v>77</v>
      </c>
      <c r="C24" s="159" t="s">
        <v>50</v>
      </c>
      <c r="D24" s="1201"/>
      <c r="E24" s="1134"/>
      <c r="F24" s="1134"/>
      <c r="G24" s="1134"/>
      <c r="H24" s="1134"/>
      <c r="I24" s="782">
        <f t="shared" si="81"/>
        <v>0</v>
      </c>
      <c r="J24" s="782">
        <f t="shared" si="0"/>
        <v>0</v>
      </c>
      <c r="K24" s="1134"/>
      <c r="L24" s="1134"/>
      <c r="M24" s="781">
        <f t="shared" ref="M24:M25" si="90">E24+G24+K24</f>
        <v>0</v>
      </c>
      <c r="N24" s="781">
        <f t="shared" si="1"/>
        <v>0</v>
      </c>
      <c r="O24" s="1134">
        <v>0</v>
      </c>
      <c r="P24" s="1134"/>
      <c r="Q24" s="782">
        <f t="shared" si="82"/>
        <v>0</v>
      </c>
      <c r="R24" s="782">
        <f t="shared" si="2"/>
        <v>0</v>
      </c>
      <c r="S24" s="1134"/>
      <c r="T24" s="1134"/>
      <c r="U24" s="782">
        <f t="shared" si="83"/>
        <v>0</v>
      </c>
      <c r="V24" s="782">
        <f t="shared" si="3"/>
        <v>0</v>
      </c>
      <c r="W24" s="1134"/>
      <c r="X24" s="1134"/>
      <c r="Y24" s="781">
        <f t="shared" ref="Y24:Y25" si="91">O24+S24+W24</f>
        <v>0</v>
      </c>
      <c r="Z24" s="781">
        <f t="shared" si="4"/>
        <v>0</v>
      </c>
      <c r="AA24" s="3562">
        <f>M24+Y24</f>
        <v>0</v>
      </c>
      <c r="AB24" s="3562">
        <f t="shared" si="5"/>
        <v>0</v>
      </c>
      <c r="AC24" s="1134">
        <v>0</v>
      </c>
      <c r="AD24" s="1134">
        <v>0</v>
      </c>
      <c r="AE24" s="782">
        <f t="shared" si="84"/>
        <v>0</v>
      </c>
      <c r="AF24" s="782">
        <f t="shared" si="6"/>
        <v>0</v>
      </c>
      <c r="AG24" s="1134">
        <v>0</v>
      </c>
      <c r="AH24" s="1134">
        <v>0</v>
      </c>
      <c r="AI24" s="782">
        <f t="shared" si="85"/>
        <v>0</v>
      </c>
      <c r="AJ24" s="782">
        <f t="shared" si="75"/>
        <v>0</v>
      </c>
      <c r="AK24" s="1134">
        <v>0</v>
      </c>
      <c r="AL24" s="1134">
        <v>0</v>
      </c>
      <c r="AM24" s="781">
        <f t="shared" ref="AM24:AM25" si="92">AC24+AG24+AK24</f>
        <v>0</v>
      </c>
      <c r="AN24" s="781">
        <f t="shared" ref="AN24:AN25" si="93">AD24+AH24+AL24</f>
        <v>0</v>
      </c>
      <c r="AO24" s="782">
        <f t="shared" ref="AO24:AO26" si="94">AI24+AK24</f>
        <v>0</v>
      </c>
      <c r="AP24" s="782">
        <f t="shared" si="80"/>
        <v>0</v>
      </c>
      <c r="AQ24" s="1134">
        <v>0</v>
      </c>
      <c r="AR24" s="1134">
        <v>0</v>
      </c>
      <c r="AS24" s="782">
        <f t="shared" si="86"/>
        <v>0</v>
      </c>
      <c r="AT24" s="782">
        <f t="shared" si="76"/>
        <v>0</v>
      </c>
      <c r="AU24" s="1134">
        <v>0</v>
      </c>
      <c r="AV24" s="1134"/>
      <c r="AW24" s="782">
        <f t="shared" si="87"/>
        <v>0</v>
      </c>
      <c r="AX24" s="782">
        <f t="shared" si="77"/>
        <v>0</v>
      </c>
      <c r="AY24" s="1134">
        <v>0</v>
      </c>
      <c r="AZ24" s="1134">
        <v>0</v>
      </c>
      <c r="BA24" s="781">
        <f t="shared" ref="BA24:BA25" si="95">AQ24+AU24+AY24</f>
        <v>0</v>
      </c>
      <c r="BB24" s="781">
        <f t="shared" ref="BB24:BB25" si="96">AR24+AV24+AZ24</f>
        <v>0</v>
      </c>
      <c r="BC24" s="3562">
        <f t="shared" si="88"/>
        <v>0</v>
      </c>
      <c r="BD24" s="3562">
        <f t="shared" si="78"/>
        <v>0</v>
      </c>
      <c r="BE24" s="782">
        <f t="shared" si="89"/>
        <v>0</v>
      </c>
      <c r="BF24" s="782">
        <f t="shared" si="79"/>
        <v>0</v>
      </c>
      <c r="BG24" s="26"/>
      <c r="BH24" s="26"/>
      <c r="BI24" s="26"/>
      <c r="BJ24" s="26"/>
      <c r="BK24" s="26"/>
    </row>
    <row r="25" spans="1:63" ht="14.45" x14ac:dyDescent="0.3">
      <c r="A25" s="93"/>
      <c r="B25" s="1018" t="s">
        <v>1848</v>
      </c>
      <c r="C25" s="159" t="s">
        <v>50</v>
      </c>
      <c r="D25" s="1134"/>
      <c r="E25" s="1134"/>
      <c r="F25" s="1134"/>
      <c r="G25" s="1134"/>
      <c r="H25" s="1134"/>
      <c r="I25" s="782">
        <f t="shared" si="81"/>
        <v>0</v>
      </c>
      <c r="J25" s="782">
        <f t="shared" si="0"/>
        <v>0</v>
      </c>
      <c r="K25" s="1134"/>
      <c r="L25" s="1134"/>
      <c r="M25" s="781">
        <f t="shared" si="90"/>
        <v>0</v>
      </c>
      <c r="N25" s="781">
        <f t="shared" si="1"/>
        <v>0</v>
      </c>
      <c r="O25" s="1134">
        <v>0</v>
      </c>
      <c r="P25" s="1134"/>
      <c r="Q25" s="782">
        <f t="shared" si="82"/>
        <v>0</v>
      </c>
      <c r="R25" s="782">
        <f t="shared" si="2"/>
        <v>0</v>
      </c>
      <c r="S25" s="1134"/>
      <c r="T25" s="1134"/>
      <c r="U25" s="782">
        <f t="shared" si="83"/>
        <v>0</v>
      </c>
      <c r="V25" s="782">
        <f t="shared" si="3"/>
        <v>0</v>
      </c>
      <c r="W25" s="1134"/>
      <c r="X25" s="1134"/>
      <c r="Y25" s="781">
        <f t="shared" si="91"/>
        <v>0</v>
      </c>
      <c r="Z25" s="781">
        <f t="shared" si="4"/>
        <v>0</v>
      </c>
      <c r="AA25" s="3562">
        <f>M25+Y25</f>
        <v>0</v>
      </c>
      <c r="AB25" s="3562">
        <f t="shared" si="5"/>
        <v>0</v>
      </c>
      <c r="AC25" s="1134"/>
      <c r="AD25" s="1134">
        <v>0</v>
      </c>
      <c r="AE25" s="782">
        <f t="shared" si="84"/>
        <v>0</v>
      </c>
      <c r="AF25" s="782">
        <f t="shared" si="6"/>
        <v>0</v>
      </c>
      <c r="AG25" s="1134">
        <v>0</v>
      </c>
      <c r="AH25" s="1134">
        <v>0</v>
      </c>
      <c r="AI25" s="782">
        <f t="shared" si="85"/>
        <v>0</v>
      </c>
      <c r="AJ25" s="782">
        <f t="shared" si="75"/>
        <v>0</v>
      </c>
      <c r="AK25" s="1134">
        <v>0</v>
      </c>
      <c r="AL25" s="1134">
        <v>0</v>
      </c>
      <c r="AM25" s="781">
        <f t="shared" si="92"/>
        <v>0</v>
      </c>
      <c r="AN25" s="781">
        <f t="shared" si="93"/>
        <v>0</v>
      </c>
      <c r="AO25" s="782">
        <f t="shared" si="94"/>
        <v>0</v>
      </c>
      <c r="AP25" s="782">
        <f t="shared" si="80"/>
        <v>0</v>
      </c>
      <c r="AQ25" s="1134">
        <v>0</v>
      </c>
      <c r="AR25" s="1134">
        <v>0</v>
      </c>
      <c r="AS25" s="782">
        <f t="shared" si="86"/>
        <v>0</v>
      </c>
      <c r="AT25" s="782">
        <f t="shared" si="76"/>
        <v>0</v>
      </c>
      <c r="AU25" s="1134">
        <v>0</v>
      </c>
      <c r="AV25" s="1134"/>
      <c r="AW25" s="782">
        <f t="shared" si="87"/>
        <v>0</v>
      </c>
      <c r="AX25" s="782">
        <f t="shared" si="77"/>
        <v>0</v>
      </c>
      <c r="AY25" s="1134">
        <v>0</v>
      </c>
      <c r="AZ25" s="1134">
        <v>0</v>
      </c>
      <c r="BA25" s="781">
        <f t="shared" si="95"/>
        <v>0</v>
      </c>
      <c r="BB25" s="781">
        <f t="shared" si="96"/>
        <v>0</v>
      </c>
      <c r="BC25" s="3562">
        <f t="shared" si="88"/>
        <v>0</v>
      </c>
      <c r="BD25" s="3562">
        <f t="shared" si="78"/>
        <v>0</v>
      </c>
      <c r="BE25" s="782">
        <f t="shared" si="89"/>
        <v>0</v>
      </c>
      <c r="BF25" s="782">
        <f t="shared" si="79"/>
        <v>0</v>
      </c>
      <c r="BG25" s="26"/>
      <c r="BH25" s="26"/>
      <c r="BI25" s="26"/>
      <c r="BJ25" s="26"/>
      <c r="BK25" s="26"/>
    </row>
    <row r="26" spans="1:63" ht="21.2" customHeight="1" x14ac:dyDescent="0.3">
      <c r="A26" s="93"/>
      <c r="B26" s="3564" t="s">
        <v>2</v>
      </c>
      <c r="C26" s="706" t="s">
        <v>50</v>
      </c>
      <c r="D26" s="1774">
        <f>SUM(D21:D25)</f>
        <v>750000</v>
      </c>
      <c r="E26" s="457">
        <f t="shared" ref="E26:F26" si="97">SUM(E21:E25)</f>
        <v>62000</v>
      </c>
      <c r="F26" s="457">
        <f t="shared" si="97"/>
        <v>44122.7</v>
      </c>
      <c r="G26" s="457">
        <f t="shared" ref="G26:H26" si="98">SUM(G21:G25)</f>
        <v>65000</v>
      </c>
      <c r="H26" s="457">
        <f t="shared" si="98"/>
        <v>57715.999999999985</v>
      </c>
      <c r="I26" s="376">
        <f t="shared" si="81"/>
        <v>127000</v>
      </c>
      <c r="J26" s="782">
        <f t="shared" si="0"/>
        <v>101838.69999999998</v>
      </c>
      <c r="K26" s="457">
        <f t="shared" ref="K26:L26" si="99">SUM(K21:K25)</f>
        <v>62500</v>
      </c>
      <c r="L26" s="457">
        <f t="shared" si="99"/>
        <v>56720.68</v>
      </c>
      <c r="M26" s="378">
        <f>E26+G26+K26</f>
        <v>189500</v>
      </c>
      <c r="N26" s="781">
        <f t="shared" si="1"/>
        <v>158559.37999999998</v>
      </c>
      <c r="O26" s="457">
        <f t="shared" ref="O26:P26" si="100">SUM(O21:O25)</f>
        <v>65000</v>
      </c>
      <c r="P26" s="457">
        <f t="shared" si="100"/>
        <v>57264.83</v>
      </c>
      <c r="Q26" s="376">
        <f t="shared" si="82"/>
        <v>254500</v>
      </c>
      <c r="R26" s="782">
        <f t="shared" si="2"/>
        <v>215824.20999999996</v>
      </c>
      <c r="S26" s="457">
        <f t="shared" ref="S26:T26" si="101">SUM(S21:S25)</f>
        <v>65000</v>
      </c>
      <c r="T26" s="457">
        <f t="shared" si="101"/>
        <v>47224.14</v>
      </c>
      <c r="U26" s="376">
        <f t="shared" si="83"/>
        <v>319500</v>
      </c>
      <c r="V26" s="782">
        <f t="shared" si="3"/>
        <v>263048.34999999998</v>
      </c>
      <c r="W26" s="457">
        <f t="shared" ref="W26:X26" si="102">SUM(W21:W25)</f>
        <v>33500</v>
      </c>
      <c r="X26" s="457">
        <f t="shared" si="102"/>
        <v>45948.119999999995</v>
      </c>
      <c r="Y26" s="378">
        <f>O26+S26+W26</f>
        <v>163500</v>
      </c>
      <c r="Z26" s="781">
        <f t="shared" si="4"/>
        <v>150437.09</v>
      </c>
      <c r="AA26" s="3565">
        <f>M26+Y26</f>
        <v>353000</v>
      </c>
      <c r="AB26" s="3562">
        <f t="shared" si="5"/>
        <v>308996.46999999997</v>
      </c>
      <c r="AC26" s="457">
        <f t="shared" ref="AC26:AD26" si="103">SUM(AC21:AC25)</f>
        <v>54000</v>
      </c>
      <c r="AD26" s="457">
        <f t="shared" si="103"/>
        <v>43303.750000000007</v>
      </c>
      <c r="AE26" s="376">
        <f t="shared" si="84"/>
        <v>407000</v>
      </c>
      <c r="AF26" s="782">
        <f t="shared" si="6"/>
        <v>352300.22</v>
      </c>
      <c r="AG26" s="457">
        <f t="shared" ref="AG26:AH26" si="104">SUM(AG21:AG25)</f>
        <v>52000</v>
      </c>
      <c r="AH26" s="457">
        <f t="shared" si="104"/>
        <v>15465.420000000002</v>
      </c>
      <c r="AI26" s="376">
        <f t="shared" si="85"/>
        <v>459000</v>
      </c>
      <c r="AJ26" s="376">
        <f t="shared" si="75"/>
        <v>367765.63999999996</v>
      </c>
      <c r="AK26" s="457">
        <f t="shared" ref="AK26:AL26" si="105">SUM(AK21:AK25)</f>
        <v>54000</v>
      </c>
      <c r="AL26" s="457">
        <f t="shared" si="105"/>
        <v>33462.999999999993</v>
      </c>
      <c r="AM26" s="378">
        <f>AC26+AG26+AK26</f>
        <v>160000</v>
      </c>
      <c r="AN26" s="378">
        <f>AD26+AH26+AL26</f>
        <v>92232.170000000013</v>
      </c>
      <c r="AO26" s="376">
        <f t="shared" si="94"/>
        <v>513000</v>
      </c>
      <c r="AP26" s="376">
        <f t="shared" si="80"/>
        <v>401228.63999999996</v>
      </c>
      <c r="AQ26" s="457">
        <f t="shared" ref="AQ26:AR26" si="106">SUM(AQ21:AQ25)</f>
        <v>54000</v>
      </c>
      <c r="AR26" s="457">
        <f t="shared" si="106"/>
        <v>44656.87999999999</v>
      </c>
      <c r="AS26" s="376">
        <f t="shared" si="86"/>
        <v>567000</v>
      </c>
      <c r="AT26" s="376">
        <f t="shared" si="76"/>
        <v>445885.51999999996</v>
      </c>
      <c r="AU26" s="457">
        <f t="shared" ref="AU26:AV26" si="107">SUM(AU21:AU25)</f>
        <v>48000</v>
      </c>
      <c r="AV26" s="457">
        <f t="shared" si="107"/>
        <v>47339.009999999987</v>
      </c>
      <c r="AW26" s="376">
        <f t="shared" si="87"/>
        <v>615000</v>
      </c>
      <c r="AX26" s="376">
        <f t="shared" si="77"/>
        <v>493224.52999999997</v>
      </c>
      <c r="AY26" s="457">
        <f t="shared" ref="AY26:AZ26" si="108">SUM(AY21:AY25)</f>
        <v>60000</v>
      </c>
      <c r="AZ26" s="457">
        <f t="shared" si="108"/>
        <v>68418.50999999998</v>
      </c>
      <c r="BA26" s="378">
        <f>AQ26+AU26+AY26</f>
        <v>162000</v>
      </c>
      <c r="BB26" s="378">
        <f>AR26+AV26+AZ26</f>
        <v>160414.39999999997</v>
      </c>
      <c r="BC26" s="3565">
        <f>AM26+BA26</f>
        <v>322000</v>
      </c>
      <c r="BD26" s="3565">
        <f>AN26+BB26</f>
        <v>252646.56999999998</v>
      </c>
      <c r="BE26" s="376">
        <f t="shared" si="89"/>
        <v>675000</v>
      </c>
      <c r="BF26" s="376">
        <f t="shared" si="79"/>
        <v>561643.03999999992</v>
      </c>
      <c r="BG26" s="26"/>
      <c r="BH26" s="26"/>
      <c r="BI26" s="26"/>
      <c r="BJ26" s="26"/>
      <c r="BK26" s="26"/>
    </row>
    <row r="27" spans="1:63" ht="14.45" x14ac:dyDescent="0.3">
      <c r="A27" s="154"/>
      <c r="B27" s="3561" t="s">
        <v>513</v>
      </c>
      <c r="C27" s="3561"/>
      <c r="D27" s="3561"/>
      <c r="E27" s="3566"/>
      <c r="F27" s="3566"/>
      <c r="G27" s="3566"/>
      <c r="H27" s="3566"/>
      <c r="I27" s="3566"/>
      <c r="J27" s="782">
        <f t="shared" si="0"/>
        <v>0</v>
      </c>
      <c r="K27" s="3566"/>
      <c r="L27" s="3566"/>
      <c r="M27" s="3566"/>
      <c r="N27" s="781">
        <f t="shared" si="1"/>
        <v>0</v>
      </c>
      <c r="O27" s="3566"/>
      <c r="P27" s="3566"/>
      <c r="Q27" s="3566"/>
      <c r="R27" s="782">
        <f t="shared" si="2"/>
        <v>0</v>
      </c>
      <c r="S27" s="3566"/>
      <c r="T27" s="3566"/>
      <c r="U27" s="3566"/>
      <c r="V27" s="782">
        <f t="shared" si="3"/>
        <v>0</v>
      </c>
      <c r="W27" s="3566"/>
      <c r="X27" s="3566"/>
      <c r="Y27" s="3566"/>
      <c r="Z27" s="781">
        <f t="shared" si="4"/>
        <v>0</v>
      </c>
      <c r="AA27" s="3566"/>
      <c r="AB27" s="3562">
        <f t="shared" si="5"/>
        <v>0</v>
      </c>
      <c r="AC27" s="3566"/>
      <c r="AD27" s="3566"/>
      <c r="AE27" s="3566"/>
      <c r="AF27" s="782">
        <f t="shared" si="6"/>
        <v>0</v>
      </c>
      <c r="AG27" s="3566"/>
      <c r="AH27" s="3566"/>
      <c r="AI27" s="3566"/>
      <c r="AJ27" s="3566"/>
      <c r="AK27" s="3566"/>
      <c r="AL27" s="3566"/>
      <c r="AM27" s="3566"/>
      <c r="AN27" s="3566"/>
      <c r="AO27" s="3566"/>
      <c r="AP27" s="3566"/>
      <c r="AQ27" s="3566"/>
      <c r="AR27" s="3566"/>
      <c r="AS27" s="3566"/>
      <c r="AT27" s="3566"/>
      <c r="AU27" s="3566"/>
      <c r="AV27" s="3566"/>
      <c r="AW27" s="3566"/>
      <c r="AX27" s="3566"/>
      <c r="AY27" s="3566"/>
      <c r="AZ27" s="3566"/>
      <c r="BA27" s="3566"/>
      <c r="BB27" s="3566"/>
      <c r="BC27" s="3566"/>
      <c r="BD27" s="3566"/>
      <c r="BE27" s="3566"/>
      <c r="BF27" s="3566"/>
      <c r="BG27" s="26"/>
      <c r="BH27" s="26"/>
      <c r="BI27" s="26"/>
      <c r="BJ27" s="26"/>
      <c r="BK27" s="26"/>
    </row>
    <row r="28" spans="1:63" x14ac:dyDescent="0.25">
      <c r="A28" s="93"/>
      <c r="B28" s="1018" t="s">
        <v>75</v>
      </c>
      <c r="C28" s="159" t="s">
        <v>50</v>
      </c>
      <c r="D28" s="5929">
        <f>+D35+D42</f>
        <v>485798</v>
      </c>
      <c r="E28" s="5929">
        <f>'Maj Production Summ'!E36-E30-E31-E32</f>
        <v>45136.179004967038</v>
      </c>
      <c r="F28" s="1134">
        <f t="shared" ref="F28:H33" si="109">F35+F42</f>
        <v>27026.079999999998</v>
      </c>
      <c r="G28" s="5929">
        <f>'Maj Production Summ'!G36-G30-G31-G32</f>
        <v>45135.940308020741</v>
      </c>
      <c r="H28" s="1134">
        <f t="shared" si="109"/>
        <v>37486.699999999997</v>
      </c>
      <c r="I28" s="5932">
        <f>E28+G28</f>
        <v>90272.119312987779</v>
      </c>
      <c r="J28" s="782">
        <f t="shared" si="0"/>
        <v>64512.78</v>
      </c>
      <c r="K28" s="5929">
        <f>'Maj Production Summ'!K36-K30-K31-K32</f>
        <v>44636.474519478841</v>
      </c>
      <c r="L28" s="1134">
        <f t="shared" ref="L28" si="110">L35+L42</f>
        <v>36411.549999999996</v>
      </c>
      <c r="M28" s="5705">
        <f>E28+G28+K28</f>
        <v>134908.59383246663</v>
      </c>
      <c r="N28" s="781">
        <f t="shared" si="1"/>
        <v>100924.32999999999</v>
      </c>
      <c r="O28" s="5929">
        <f>'Maj Production Summ'!O36-O30-O31-O32</f>
        <v>42136.504991684538</v>
      </c>
      <c r="P28" s="1134">
        <f t="shared" ref="P28:P31" si="111">P35+P42</f>
        <v>47198.23</v>
      </c>
      <c r="Q28" s="5932">
        <f>M28+O28</f>
        <v>177045.09882415118</v>
      </c>
      <c r="R28" s="782">
        <f t="shared" si="2"/>
        <v>148122.56</v>
      </c>
      <c r="S28" s="5929">
        <f>'Maj Production Summ'!S36-S30-S31-S32</f>
        <v>40136.504991684538</v>
      </c>
      <c r="T28" s="1134">
        <f t="shared" ref="T28:T31" si="112">T35+T42</f>
        <v>54075.5</v>
      </c>
      <c r="U28" s="5932">
        <f>Q28+S28</f>
        <v>217181.60381583573</v>
      </c>
      <c r="V28" s="782">
        <f t="shared" si="3"/>
        <v>202198.06</v>
      </c>
      <c r="W28" s="5929">
        <f>'Maj Production Summ'!W36-W30-W31-W32</f>
        <v>15300.0147648532</v>
      </c>
      <c r="X28" s="1134">
        <f t="shared" ref="X28:X31" si="113">X35+X42</f>
        <v>36768.710000000006</v>
      </c>
      <c r="Y28" s="5705">
        <f>O28+S28+W28</f>
        <v>97573.024748222277</v>
      </c>
      <c r="Z28" s="781">
        <f t="shared" si="4"/>
        <v>138042.44</v>
      </c>
      <c r="AA28" s="5928">
        <f>M28+Y28</f>
        <v>232481.6185806889</v>
      </c>
      <c r="AB28" s="3562">
        <f t="shared" si="5"/>
        <v>238966.77</v>
      </c>
      <c r="AC28" s="5929">
        <f>'Maj Production Summ'!AC36-AC30-AC31-AC32</f>
        <v>45341.093867539748</v>
      </c>
      <c r="AD28" s="1134">
        <f t="shared" ref="AD28:AD31" si="114">AD35+AD42</f>
        <v>11308.41</v>
      </c>
      <c r="AE28" s="5932">
        <f>AA28+AC28</f>
        <v>277822.71244822862</v>
      </c>
      <c r="AF28" s="782">
        <f t="shared" si="6"/>
        <v>250275.18</v>
      </c>
      <c r="AG28" s="5929">
        <f>'Maj Production Summ'!AG36-AG30-AG31-AG32</f>
        <v>47680.915573301019</v>
      </c>
      <c r="AH28" s="1134">
        <f t="shared" ref="AH28:AH31" si="115">AH35+AH42</f>
        <v>11905.300000000003</v>
      </c>
      <c r="AI28" s="5933">
        <f>AE28+AG28</f>
        <v>325503.62802152964</v>
      </c>
      <c r="AJ28" s="782">
        <f t="shared" ref="AJ28:AJ33" si="116">AF28+AH28</f>
        <v>262180.47999999998</v>
      </c>
      <c r="AK28" s="5929">
        <f>'Maj Production Summ'!AK36-AK30-AK31-AK32</f>
        <v>43710.062262521606</v>
      </c>
      <c r="AL28" s="1134">
        <f t="shared" ref="AL28:AL31" si="117">AL35+AL42</f>
        <v>47281.829999999994</v>
      </c>
      <c r="AM28" s="5705">
        <f>AC28+AG28+AK28</f>
        <v>136732.0717033624</v>
      </c>
      <c r="AN28" s="781">
        <f t="shared" ref="AN28:AN32" si="118">AD28+AH28+AL28</f>
        <v>70495.539999999994</v>
      </c>
      <c r="AO28" s="5932">
        <f>AI28+AK28</f>
        <v>369213.69028405123</v>
      </c>
      <c r="AP28" s="782">
        <f>AJ28+AL28</f>
        <v>309462.31</v>
      </c>
      <c r="AQ28" s="5929">
        <f>'Maj Production Summ'!AQ36-AQ30-AQ31-AQ32</f>
        <v>45339.612262521601</v>
      </c>
      <c r="AR28" s="1134">
        <f t="shared" ref="AR28:AR31" si="119">AR35+AR42</f>
        <v>71854.17</v>
      </c>
      <c r="AS28" s="5933">
        <f>AO28+AQ28</f>
        <v>414553.30254657281</v>
      </c>
      <c r="AT28" s="782">
        <f t="shared" ref="AT28:AT33" si="120">AP28+AR28</f>
        <v>381316.48</v>
      </c>
      <c r="AU28" s="5929">
        <f>'Maj Production Summ'!AU36-AU30-AU31-AU32</f>
        <v>44657.996091741836</v>
      </c>
      <c r="AV28" s="1134">
        <f t="shared" ref="AV28:AV31" si="121">AV35+AV42</f>
        <v>41090.730000000003</v>
      </c>
      <c r="AW28" s="5933">
        <f>AS28+AU28</f>
        <v>459211.29863831465</v>
      </c>
      <c r="AX28" s="782">
        <f t="shared" ref="AX28:AX33" si="122">AT28+AV28</f>
        <v>422407.20999999996</v>
      </c>
      <c r="AY28" s="5929">
        <f>'Maj Production Summ'!AY36-AY30-AY31-AY32</f>
        <v>43452.612262521594</v>
      </c>
      <c r="AZ28" s="1134">
        <f t="shared" ref="AZ28:AZ31" si="123">AZ35+AZ42</f>
        <v>51790.299999999996</v>
      </c>
      <c r="BA28" s="5705">
        <f>AQ28+AU28+AY28</f>
        <v>133450.22061678505</v>
      </c>
      <c r="BB28" s="781">
        <f t="shared" ref="BB28:BB32" si="124">AR28+AV28+AZ28</f>
        <v>164735.19999999998</v>
      </c>
      <c r="BC28" s="5928">
        <f>AM28+BA28</f>
        <v>270182.29232014745</v>
      </c>
      <c r="BD28" s="3562">
        <f t="shared" ref="BD28:BD32" si="125">AN28+BB28</f>
        <v>235230.74</v>
      </c>
      <c r="BE28" s="5933">
        <f>AW28+AY28</f>
        <v>502663.91090083623</v>
      </c>
      <c r="BF28" s="782">
        <f t="shared" ref="BF28:BF33" si="126">AX28+AZ28</f>
        <v>474197.50999999995</v>
      </c>
      <c r="BG28" s="26"/>
      <c r="BH28" s="26"/>
      <c r="BI28" s="26"/>
      <c r="BJ28" s="26"/>
      <c r="BK28" s="26"/>
    </row>
    <row r="29" spans="1:63" x14ac:dyDescent="0.25">
      <c r="A29" s="93"/>
      <c r="B29" s="1018" t="s">
        <v>76</v>
      </c>
      <c r="C29" s="159" t="s">
        <v>50</v>
      </c>
      <c r="D29" s="5929"/>
      <c r="E29" s="5929"/>
      <c r="F29" s="1134">
        <f t="shared" si="109"/>
        <v>5959.1999999999989</v>
      </c>
      <c r="G29" s="5929"/>
      <c r="H29" s="1134">
        <f t="shared" si="109"/>
        <v>10028.82</v>
      </c>
      <c r="I29" s="5932"/>
      <c r="J29" s="782">
        <f t="shared" si="0"/>
        <v>15988.019999999999</v>
      </c>
      <c r="K29" s="5929"/>
      <c r="L29" s="1134">
        <f t="shared" ref="L29" si="127">L36+L43</f>
        <v>7884.6599999999962</v>
      </c>
      <c r="M29" s="5705"/>
      <c r="N29" s="781">
        <f t="shared" si="1"/>
        <v>23872.679999999993</v>
      </c>
      <c r="O29" s="5929"/>
      <c r="P29" s="1134">
        <f t="shared" si="111"/>
        <v>6995.6200000000026</v>
      </c>
      <c r="Q29" s="5932"/>
      <c r="R29" s="782">
        <f t="shared" si="2"/>
        <v>30868.299999999996</v>
      </c>
      <c r="S29" s="5929"/>
      <c r="T29" s="1134">
        <f t="shared" si="112"/>
        <v>9643.529999999997</v>
      </c>
      <c r="U29" s="5932"/>
      <c r="V29" s="782">
        <f t="shared" si="3"/>
        <v>40511.829999999994</v>
      </c>
      <c r="W29" s="5929"/>
      <c r="X29" s="1134">
        <f t="shared" si="113"/>
        <v>13649.230000000001</v>
      </c>
      <c r="Y29" s="5705"/>
      <c r="Z29" s="781">
        <f t="shared" si="4"/>
        <v>30288.380000000005</v>
      </c>
      <c r="AA29" s="5928"/>
      <c r="AB29" s="3562">
        <f t="shared" si="5"/>
        <v>54161.06</v>
      </c>
      <c r="AC29" s="5929"/>
      <c r="AD29" s="1134">
        <f t="shared" si="114"/>
        <v>17096.259999999995</v>
      </c>
      <c r="AE29" s="5932"/>
      <c r="AF29" s="782">
        <f t="shared" si="6"/>
        <v>71257.319999999992</v>
      </c>
      <c r="AG29" s="5929"/>
      <c r="AH29" s="1134">
        <f t="shared" si="115"/>
        <v>0</v>
      </c>
      <c r="AI29" s="5931"/>
      <c r="AJ29" s="782">
        <f t="shared" si="116"/>
        <v>71257.319999999992</v>
      </c>
      <c r="AK29" s="5929"/>
      <c r="AL29" s="1134">
        <f t="shared" si="117"/>
        <v>8818.2000000000007</v>
      </c>
      <c r="AM29" s="5705"/>
      <c r="AN29" s="781">
        <f t="shared" si="118"/>
        <v>25914.459999999995</v>
      </c>
      <c r="AO29" s="5932"/>
      <c r="AP29" s="782">
        <f t="shared" ref="AP29:AP47" si="128">AJ29+AL29</f>
        <v>80075.51999999999</v>
      </c>
      <c r="AQ29" s="5929"/>
      <c r="AR29" s="1134">
        <f t="shared" si="119"/>
        <v>8316.82</v>
      </c>
      <c r="AS29" s="5931"/>
      <c r="AT29" s="782">
        <f t="shared" si="120"/>
        <v>88392.34</v>
      </c>
      <c r="AU29" s="5929"/>
      <c r="AV29" s="1134">
        <f t="shared" si="121"/>
        <v>8045.44</v>
      </c>
      <c r="AW29" s="5931"/>
      <c r="AX29" s="782">
        <f t="shared" si="122"/>
        <v>96437.78</v>
      </c>
      <c r="AY29" s="5929"/>
      <c r="AZ29" s="1134">
        <f t="shared" si="123"/>
        <v>9915.6600000000017</v>
      </c>
      <c r="BA29" s="5705"/>
      <c r="BB29" s="781">
        <f t="shared" si="124"/>
        <v>26277.919999999998</v>
      </c>
      <c r="BC29" s="5928"/>
      <c r="BD29" s="3562">
        <f t="shared" si="125"/>
        <v>52192.37999999999</v>
      </c>
      <c r="BE29" s="5931"/>
      <c r="BF29" s="782">
        <f t="shared" si="126"/>
        <v>106353.44</v>
      </c>
      <c r="BG29" s="26"/>
      <c r="BH29" s="26"/>
      <c r="BI29" s="26"/>
      <c r="BJ29" s="26"/>
      <c r="BK29" s="26"/>
    </row>
    <row r="30" spans="1:63" ht="14.45" x14ac:dyDescent="0.3">
      <c r="A30" s="117"/>
      <c r="B30" s="1018" t="s">
        <v>137</v>
      </c>
      <c r="C30" s="159" t="s">
        <v>50</v>
      </c>
      <c r="D30" s="1134">
        <f>+D37+D44</f>
        <v>15000.000000000002</v>
      </c>
      <c r="E30" s="1134">
        <v>1363.6363636363637</v>
      </c>
      <c r="F30" s="1134">
        <f t="shared" si="109"/>
        <v>4343.1200000000008</v>
      </c>
      <c r="G30" s="1134">
        <v>1363.6363636363637</v>
      </c>
      <c r="H30" s="1134">
        <f t="shared" si="109"/>
        <v>2814.6399999999994</v>
      </c>
      <c r="I30" s="782">
        <f t="shared" ref="I30:I33" si="129">E30+G30</f>
        <v>2727.2727272727275</v>
      </c>
      <c r="J30" s="782">
        <f t="shared" si="0"/>
        <v>7157.76</v>
      </c>
      <c r="K30" s="1134">
        <v>1363.6363636363637</v>
      </c>
      <c r="L30" s="1134">
        <f t="shared" ref="L30" si="130">L37+L44</f>
        <v>0</v>
      </c>
      <c r="M30" s="781">
        <f>E30+G30+K30</f>
        <v>4090.909090909091</v>
      </c>
      <c r="N30" s="781">
        <f t="shared" si="1"/>
        <v>7157.76</v>
      </c>
      <c r="O30" s="1134">
        <v>1363.6363636363637</v>
      </c>
      <c r="P30" s="1134">
        <f t="shared" si="111"/>
        <v>0</v>
      </c>
      <c r="Q30" s="782">
        <f t="shared" ref="Q30:Q33" si="131">M30+O30</f>
        <v>5454.545454545455</v>
      </c>
      <c r="R30" s="782">
        <f t="shared" si="2"/>
        <v>7157.76</v>
      </c>
      <c r="S30" s="1134">
        <v>1363.6363636363637</v>
      </c>
      <c r="T30" s="1134">
        <f t="shared" si="112"/>
        <v>0</v>
      </c>
      <c r="U30" s="782">
        <f t="shared" ref="U30:U33" si="132">Q30+S30</f>
        <v>6818.1818181818189</v>
      </c>
      <c r="V30" s="782">
        <f t="shared" si="3"/>
        <v>7157.76</v>
      </c>
      <c r="W30" s="1134">
        <v>0</v>
      </c>
      <c r="X30" s="1134">
        <f t="shared" si="113"/>
        <v>0</v>
      </c>
      <c r="Y30" s="781">
        <f t="shared" ref="Y30:Y32" si="133">O30+S30+W30</f>
        <v>2727.2727272727275</v>
      </c>
      <c r="Z30" s="781">
        <f t="shared" si="4"/>
        <v>0</v>
      </c>
      <c r="AA30" s="3562">
        <f>M30+Y30</f>
        <v>6818.181818181818</v>
      </c>
      <c r="AB30" s="3562">
        <f t="shared" si="5"/>
        <v>7157.76</v>
      </c>
      <c r="AC30" s="1134">
        <v>0</v>
      </c>
      <c r="AD30" s="1134">
        <f t="shared" si="114"/>
        <v>2633.36</v>
      </c>
      <c r="AE30" s="782">
        <f t="shared" ref="AE30:AE33" si="134">AA30+AC30</f>
        <v>6818.181818181818</v>
      </c>
      <c r="AF30" s="782">
        <f t="shared" si="6"/>
        <v>9791.1200000000008</v>
      </c>
      <c r="AG30" s="1134">
        <v>0</v>
      </c>
      <c r="AH30" s="1134">
        <f t="shared" si="115"/>
        <v>0</v>
      </c>
      <c r="AI30" s="782">
        <f t="shared" ref="AI30:AI33" si="135">AE30+AG30</f>
        <v>6818.181818181818</v>
      </c>
      <c r="AJ30" s="782">
        <f t="shared" si="116"/>
        <v>9791.1200000000008</v>
      </c>
      <c r="AK30" s="1134">
        <v>0</v>
      </c>
      <c r="AL30" s="1134">
        <f t="shared" si="117"/>
        <v>0</v>
      </c>
      <c r="AM30" s="781">
        <f t="shared" ref="AM30:AM32" si="136">AC30+AG30+AK30</f>
        <v>0</v>
      </c>
      <c r="AN30" s="781">
        <f t="shared" si="118"/>
        <v>2633.36</v>
      </c>
      <c r="AO30" s="782">
        <f>AI30+AK30</f>
        <v>6818.181818181818</v>
      </c>
      <c r="AP30" s="782">
        <f t="shared" si="128"/>
        <v>9791.1200000000008</v>
      </c>
      <c r="AQ30" s="1134">
        <v>0</v>
      </c>
      <c r="AR30" s="1134">
        <f t="shared" si="119"/>
        <v>2758.7400000000007</v>
      </c>
      <c r="AS30" s="782">
        <f t="shared" ref="AS30:AS33" si="137">AO30+AQ30</f>
        <v>6818.181818181818</v>
      </c>
      <c r="AT30" s="782">
        <f t="shared" si="120"/>
        <v>12549.86</v>
      </c>
      <c r="AU30" s="1134"/>
      <c r="AV30" s="1134">
        <f t="shared" si="121"/>
        <v>0</v>
      </c>
      <c r="AW30" s="782">
        <f t="shared" ref="AW30:AW33" si="138">AS30+AU30</f>
        <v>6818.181818181818</v>
      </c>
      <c r="AX30" s="782">
        <f t="shared" si="122"/>
        <v>12549.86</v>
      </c>
      <c r="AY30" s="1134"/>
      <c r="AZ30" s="1134">
        <f t="shared" si="123"/>
        <v>0</v>
      </c>
      <c r="BA30" s="781">
        <f t="shared" ref="BA30:BA32" si="139">AQ30+AU30+AY30</f>
        <v>0</v>
      </c>
      <c r="BB30" s="781">
        <f t="shared" si="124"/>
        <v>2758.7400000000007</v>
      </c>
      <c r="BC30" s="3562">
        <f t="shared" ref="BC30:BC32" si="140">AM30+BA30</f>
        <v>0</v>
      </c>
      <c r="BD30" s="3562">
        <f t="shared" si="125"/>
        <v>5392.1</v>
      </c>
      <c r="BE30" s="782">
        <f t="shared" ref="BE30:BE33" si="141">AW30+AY30</f>
        <v>6818.181818181818</v>
      </c>
      <c r="BF30" s="782">
        <f t="shared" si="126"/>
        <v>12549.86</v>
      </c>
      <c r="BG30" s="26"/>
      <c r="BH30" s="26"/>
      <c r="BI30" s="26"/>
      <c r="BJ30" s="26"/>
      <c r="BK30" s="26"/>
    </row>
    <row r="31" spans="1:63" ht="14.45" x14ac:dyDescent="0.3">
      <c r="A31" s="93"/>
      <c r="B31" s="1018" t="s">
        <v>77</v>
      </c>
      <c r="C31" s="159" t="s">
        <v>50</v>
      </c>
      <c r="D31" s="1201">
        <f>+D38+D45</f>
        <v>0</v>
      </c>
      <c r="E31" s="1134">
        <v>0</v>
      </c>
      <c r="F31" s="1134">
        <f t="shared" si="109"/>
        <v>0</v>
      </c>
      <c r="G31" s="1134"/>
      <c r="H31" s="1134">
        <f t="shared" si="109"/>
        <v>299.72000000000003</v>
      </c>
      <c r="I31" s="782">
        <f t="shared" si="129"/>
        <v>0</v>
      </c>
      <c r="J31" s="782">
        <f t="shared" si="0"/>
        <v>299.72000000000003</v>
      </c>
      <c r="K31" s="1134"/>
      <c r="L31" s="1134">
        <f t="shared" ref="L31" si="142">L38+L45</f>
        <v>0</v>
      </c>
      <c r="M31" s="781">
        <f t="shared" ref="M31:M32" si="143">E31+G31+K31</f>
        <v>0</v>
      </c>
      <c r="N31" s="781">
        <f t="shared" si="1"/>
        <v>299.72000000000003</v>
      </c>
      <c r="O31" s="1134">
        <v>0</v>
      </c>
      <c r="P31" s="1134">
        <f t="shared" si="111"/>
        <v>0</v>
      </c>
      <c r="Q31" s="782">
        <f t="shared" si="131"/>
        <v>0</v>
      </c>
      <c r="R31" s="782">
        <f t="shared" si="2"/>
        <v>299.72000000000003</v>
      </c>
      <c r="S31" s="1134"/>
      <c r="T31" s="1134">
        <f t="shared" si="112"/>
        <v>0</v>
      </c>
      <c r="U31" s="782">
        <f t="shared" si="132"/>
        <v>0</v>
      </c>
      <c r="V31" s="782">
        <f t="shared" si="3"/>
        <v>299.72000000000003</v>
      </c>
      <c r="W31" s="1134"/>
      <c r="X31" s="1134">
        <f t="shared" si="113"/>
        <v>0</v>
      </c>
      <c r="Y31" s="781">
        <f t="shared" si="133"/>
        <v>0</v>
      </c>
      <c r="Z31" s="781">
        <f t="shared" si="4"/>
        <v>0</v>
      </c>
      <c r="AA31" s="3562">
        <f>M31+Y31</f>
        <v>0</v>
      </c>
      <c r="AB31" s="3562">
        <f t="shared" si="5"/>
        <v>299.72000000000003</v>
      </c>
      <c r="AC31" s="1134">
        <v>0</v>
      </c>
      <c r="AD31" s="1134">
        <f t="shared" si="114"/>
        <v>0</v>
      </c>
      <c r="AE31" s="782">
        <f t="shared" si="134"/>
        <v>0</v>
      </c>
      <c r="AF31" s="782">
        <f t="shared" si="6"/>
        <v>299.72000000000003</v>
      </c>
      <c r="AG31" s="1134">
        <v>0</v>
      </c>
      <c r="AH31" s="1134">
        <f t="shared" si="115"/>
        <v>0</v>
      </c>
      <c r="AI31" s="782">
        <f t="shared" si="135"/>
        <v>0</v>
      </c>
      <c r="AJ31" s="782">
        <f t="shared" si="116"/>
        <v>299.72000000000003</v>
      </c>
      <c r="AK31" s="1134">
        <v>0</v>
      </c>
      <c r="AL31" s="1134">
        <f t="shared" si="117"/>
        <v>0</v>
      </c>
      <c r="AM31" s="781">
        <f t="shared" si="136"/>
        <v>0</v>
      </c>
      <c r="AN31" s="781">
        <f t="shared" si="118"/>
        <v>0</v>
      </c>
      <c r="AO31" s="782">
        <f t="shared" ref="AO31:AO33" si="144">AI31+AK31</f>
        <v>0</v>
      </c>
      <c r="AP31" s="782">
        <f t="shared" si="128"/>
        <v>299.72000000000003</v>
      </c>
      <c r="AQ31" s="1134">
        <v>0</v>
      </c>
      <c r="AR31" s="1134">
        <f t="shared" si="119"/>
        <v>0</v>
      </c>
      <c r="AS31" s="782">
        <f t="shared" si="137"/>
        <v>0</v>
      </c>
      <c r="AT31" s="782">
        <f t="shared" si="120"/>
        <v>299.72000000000003</v>
      </c>
      <c r="AU31" s="1134"/>
      <c r="AV31" s="1134">
        <f t="shared" si="121"/>
        <v>0</v>
      </c>
      <c r="AW31" s="782">
        <f t="shared" si="138"/>
        <v>0</v>
      </c>
      <c r="AX31" s="782">
        <f t="shared" si="122"/>
        <v>299.72000000000003</v>
      </c>
      <c r="AY31" s="1134"/>
      <c r="AZ31" s="1134">
        <f t="shared" si="123"/>
        <v>0</v>
      </c>
      <c r="BA31" s="781">
        <f t="shared" si="139"/>
        <v>0</v>
      </c>
      <c r="BB31" s="781">
        <f t="shared" si="124"/>
        <v>0</v>
      </c>
      <c r="BC31" s="3562">
        <f t="shared" si="140"/>
        <v>0</v>
      </c>
      <c r="BD31" s="3562">
        <f t="shared" si="125"/>
        <v>0</v>
      </c>
      <c r="BE31" s="782">
        <f t="shared" si="141"/>
        <v>0</v>
      </c>
      <c r="BF31" s="782">
        <f t="shared" si="126"/>
        <v>299.72000000000003</v>
      </c>
      <c r="BG31" s="26"/>
      <c r="BH31" s="26"/>
      <c r="BI31" s="26"/>
      <c r="BJ31" s="26"/>
      <c r="BK31" s="26"/>
    </row>
    <row r="32" spans="1:63" ht="21.2" customHeight="1" x14ac:dyDescent="0.3">
      <c r="A32" s="93"/>
      <c r="B32" s="1018" t="s">
        <v>1848</v>
      </c>
      <c r="C32" s="159" t="s">
        <v>50</v>
      </c>
      <c r="D32" s="1134">
        <f>+D39+D46</f>
        <v>24000</v>
      </c>
      <c r="E32" s="1134">
        <v>2000</v>
      </c>
      <c r="F32" s="1134">
        <f>F39+F46</f>
        <v>1095.8900000000001</v>
      </c>
      <c r="G32" s="1134">
        <v>2000</v>
      </c>
      <c r="H32" s="1134">
        <f>H39+H46</f>
        <v>2405.23</v>
      </c>
      <c r="I32" s="782">
        <f t="shared" si="129"/>
        <v>4000</v>
      </c>
      <c r="J32" s="782">
        <f t="shared" si="0"/>
        <v>3501.12</v>
      </c>
      <c r="K32" s="1134">
        <v>2000</v>
      </c>
      <c r="L32" s="1134">
        <f>L39+L46</f>
        <v>6803.8099999999995</v>
      </c>
      <c r="M32" s="781">
        <f t="shared" si="143"/>
        <v>6000</v>
      </c>
      <c r="N32" s="781">
        <f t="shared" si="1"/>
        <v>10304.93</v>
      </c>
      <c r="O32" s="1134">
        <v>0</v>
      </c>
      <c r="P32" s="1134">
        <f>P39+P46</f>
        <v>3865.3599999999997</v>
      </c>
      <c r="Q32" s="782">
        <f t="shared" si="131"/>
        <v>6000</v>
      </c>
      <c r="R32" s="782">
        <f t="shared" si="2"/>
        <v>14170.29</v>
      </c>
      <c r="S32" s="1134">
        <v>2000</v>
      </c>
      <c r="T32" s="1134">
        <f>T39+T46</f>
        <v>6257.93</v>
      </c>
      <c r="U32" s="782">
        <f t="shared" si="132"/>
        <v>8000</v>
      </c>
      <c r="V32" s="782">
        <f t="shared" si="3"/>
        <v>20428.22</v>
      </c>
      <c r="W32" s="1134"/>
      <c r="X32" s="1134">
        <f>X39+X46</f>
        <v>5182.59</v>
      </c>
      <c r="Y32" s="781">
        <f t="shared" si="133"/>
        <v>2000</v>
      </c>
      <c r="Z32" s="781">
        <f t="shared" si="4"/>
        <v>15305.880000000001</v>
      </c>
      <c r="AA32" s="3562">
        <f>M32+Y32</f>
        <v>8000</v>
      </c>
      <c r="AB32" s="3562">
        <f t="shared" si="5"/>
        <v>25610.81</v>
      </c>
      <c r="AC32" s="1134">
        <v>2000</v>
      </c>
      <c r="AD32" s="1134">
        <f>AD39+AD46</f>
        <v>4044.2099999999996</v>
      </c>
      <c r="AE32" s="782">
        <f t="shared" si="134"/>
        <v>10000</v>
      </c>
      <c r="AF32" s="782">
        <f t="shared" si="6"/>
        <v>29655.02</v>
      </c>
      <c r="AG32" s="1134">
        <v>2000</v>
      </c>
      <c r="AH32" s="1134">
        <f>AH39+AH46</f>
        <v>5778.3499999999995</v>
      </c>
      <c r="AI32" s="782">
        <f t="shared" si="135"/>
        <v>12000</v>
      </c>
      <c r="AJ32" s="782">
        <f t="shared" si="116"/>
        <v>35433.370000000003</v>
      </c>
      <c r="AK32" s="1134">
        <v>2000</v>
      </c>
      <c r="AL32" s="1134">
        <f>AL39+AL46</f>
        <v>3912.49</v>
      </c>
      <c r="AM32" s="781">
        <f t="shared" si="136"/>
        <v>6000</v>
      </c>
      <c r="AN32" s="781">
        <f t="shared" si="118"/>
        <v>13735.05</v>
      </c>
      <c r="AO32" s="782">
        <f t="shared" si="144"/>
        <v>14000</v>
      </c>
      <c r="AP32" s="782">
        <f t="shared" si="128"/>
        <v>39345.86</v>
      </c>
      <c r="AQ32" s="1134">
        <v>2000</v>
      </c>
      <c r="AR32" s="1134">
        <f>AR39+AR46</f>
        <v>3486.44</v>
      </c>
      <c r="AS32" s="782">
        <f t="shared" si="137"/>
        <v>16000</v>
      </c>
      <c r="AT32" s="782">
        <f t="shared" si="120"/>
        <v>42832.3</v>
      </c>
      <c r="AU32" s="1134">
        <v>2000</v>
      </c>
      <c r="AV32" s="1134">
        <f>AV39+AV46</f>
        <v>1080.8899999999999</v>
      </c>
      <c r="AW32" s="782">
        <f t="shared" si="138"/>
        <v>18000</v>
      </c>
      <c r="AX32" s="782">
        <f t="shared" si="122"/>
        <v>43913.19</v>
      </c>
      <c r="AY32" s="1134">
        <v>2000</v>
      </c>
      <c r="AZ32" s="1134">
        <f>AZ39+AZ46</f>
        <v>6965.79</v>
      </c>
      <c r="BA32" s="781">
        <f t="shared" si="139"/>
        <v>6000</v>
      </c>
      <c r="BB32" s="781">
        <f t="shared" si="124"/>
        <v>11533.119999999999</v>
      </c>
      <c r="BC32" s="3562">
        <f t="shared" si="140"/>
        <v>12000</v>
      </c>
      <c r="BD32" s="3562">
        <f t="shared" si="125"/>
        <v>25268.17</v>
      </c>
      <c r="BE32" s="782">
        <f t="shared" si="141"/>
        <v>20000</v>
      </c>
      <c r="BF32" s="782">
        <f t="shared" si="126"/>
        <v>50878.98</v>
      </c>
      <c r="BG32" s="26"/>
      <c r="BH32" s="26"/>
      <c r="BI32" s="26"/>
      <c r="BJ32" s="26"/>
      <c r="BK32" s="26"/>
    </row>
    <row r="33" spans="1:63" ht="21.2" customHeight="1" x14ac:dyDescent="0.3">
      <c r="A33" s="93"/>
      <c r="B33" s="3564" t="s">
        <v>2</v>
      </c>
      <c r="C33" s="706" t="s">
        <v>50</v>
      </c>
      <c r="D33" s="1774">
        <f>SUM(D28:D32)</f>
        <v>524798</v>
      </c>
      <c r="E33" s="457">
        <f t="shared" ref="E33:G33" si="145">SUM(E28:E32)</f>
        <v>48499.815368603398</v>
      </c>
      <c r="F33" s="457">
        <f t="shared" si="109"/>
        <v>38424.29</v>
      </c>
      <c r="G33" s="457">
        <f t="shared" si="145"/>
        <v>48499.576671657102</v>
      </c>
      <c r="H33" s="457">
        <f t="shared" si="109"/>
        <v>53035.109999999993</v>
      </c>
      <c r="I33" s="376">
        <f t="shared" si="129"/>
        <v>96999.3920402605</v>
      </c>
      <c r="J33" s="782">
        <f t="shared" si="0"/>
        <v>91459.4</v>
      </c>
      <c r="K33" s="457">
        <f t="shared" ref="K33" si="146">SUM(K28:K32)</f>
        <v>48000.110883115201</v>
      </c>
      <c r="L33" s="457">
        <f t="shared" ref="L33" si="147">L40+L47</f>
        <v>51100.01999999999</v>
      </c>
      <c r="M33" s="378">
        <f>E33+G33+K33</f>
        <v>144999.50292337569</v>
      </c>
      <c r="N33" s="781">
        <f t="shared" si="1"/>
        <v>142559.41999999998</v>
      </c>
      <c r="O33" s="457">
        <f t="shared" ref="O33" si="148">SUM(O28:O32)</f>
        <v>43500.141355320899</v>
      </c>
      <c r="P33" s="457">
        <f t="shared" ref="P33" si="149">P40+P47</f>
        <v>58059.210000000014</v>
      </c>
      <c r="Q33" s="376">
        <f t="shared" si="131"/>
        <v>188499.64427869659</v>
      </c>
      <c r="R33" s="782">
        <f t="shared" si="2"/>
        <v>200618.63</v>
      </c>
      <c r="S33" s="457">
        <f t="shared" ref="S33" si="150">SUM(S28:S32)</f>
        <v>43500.141355320899</v>
      </c>
      <c r="T33" s="457">
        <f t="shared" ref="T33" si="151">T40+T47</f>
        <v>69976.960000000006</v>
      </c>
      <c r="U33" s="376">
        <f t="shared" si="132"/>
        <v>231999.78563401749</v>
      </c>
      <c r="V33" s="782">
        <f t="shared" si="3"/>
        <v>270595.59000000003</v>
      </c>
      <c r="W33" s="457">
        <f t="shared" ref="W33" si="152">SUM(W28:W32)</f>
        <v>15300.0147648532</v>
      </c>
      <c r="X33" s="457">
        <f t="shared" ref="X33" si="153">X40+X47</f>
        <v>55600.530000000006</v>
      </c>
      <c r="Y33" s="378">
        <f>O33+S33+W33</f>
        <v>102300.297475495</v>
      </c>
      <c r="Z33" s="781">
        <f t="shared" si="4"/>
        <v>183636.7</v>
      </c>
      <c r="AA33" s="3565">
        <f>M33+Y33</f>
        <v>247299.80039887069</v>
      </c>
      <c r="AB33" s="3562">
        <f t="shared" si="5"/>
        <v>326196.12</v>
      </c>
      <c r="AC33" s="457">
        <f t="shared" ref="AC33" si="154">SUM(AC28:AC32)</f>
        <v>47341.093867539748</v>
      </c>
      <c r="AD33" s="457">
        <f t="shared" ref="AD33" si="155">AD40+AD47</f>
        <v>35082.239999999991</v>
      </c>
      <c r="AE33" s="376">
        <f t="shared" si="134"/>
        <v>294640.89426641044</v>
      </c>
      <c r="AF33" s="782">
        <f t="shared" si="6"/>
        <v>361278.36</v>
      </c>
      <c r="AG33" s="457">
        <f t="shared" ref="AG33" si="156">SUM(AG28:AG32)</f>
        <v>49680.915573301019</v>
      </c>
      <c r="AH33" s="457">
        <f t="shared" ref="AH33" si="157">AH40+AH47</f>
        <v>17683.650000000001</v>
      </c>
      <c r="AI33" s="376">
        <f t="shared" si="135"/>
        <v>344321.80983971147</v>
      </c>
      <c r="AJ33" s="376">
        <f t="shared" si="116"/>
        <v>378962.01</v>
      </c>
      <c r="AK33" s="457">
        <f t="shared" ref="AK33" si="158">SUM(AK28:AK32)</f>
        <v>45710.062262521606</v>
      </c>
      <c r="AL33" s="457">
        <f t="shared" ref="AL33" si="159">AL40+AL47</f>
        <v>60012.51999999999</v>
      </c>
      <c r="AM33" s="378">
        <f>AC33+AG33+AK33</f>
        <v>142732.0717033624</v>
      </c>
      <c r="AN33" s="378">
        <f>AD33+AH33+AL33</f>
        <v>112778.40999999997</v>
      </c>
      <c r="AO33" s="376">
        <f t="shared" si="144"/>
        <v>390031.87210223306</v>
      </c>
      <c r="AP33" s="376">
        <f t="shared" si="128"/>
        <v>438974.53</v>
      </c>
      <c r="AQ33" s="457">
        <f t="shared" ref="AQ33" si="160">SUM(AQ28:AQ32)</f>
        <v>47339.612262521601</v>
      </c>
      <c r="AR33" s="457">
        <f t="shared" ref="AR33" si="161">AR40+AR47</f>
        <v>86416.17</v>
      </c>
      <c r="AS33" s="376">
        <f t="shared" si="137"/>
        <v>437371.48436475464</v>
      </c>
      <c r="AT33" s="376">
        <f t="shared" si="120"/>
        <v>525390.70000000007</v>
      </c>
      <c r="AU33" s="457">
        <f t="shared" ref="AU33" si="162">SUM(AU28:AU32)</f>
        <v>46657.996091741836</v>
      </c>
      <c r="AV33" s="457">
        <f t="shared" ref="AV33" si="163">AV40+AV47</f>
        <v>50217.060000000005</v>
      </c>
      <c r="AW33" s="376">
        <f t="shared" si="138"/>
        <v>484029.48045649647</v>
      </c>
      <c r="AX33" s="376">
        <f t="shared" si="122"/>
        <v>575607.76000000013</v>
      </c>
      <c r="AY33" s="457">
        <f t="shared" ref="AY33" si="164">SUM(AY28:AY32)</f>
        <v>45452.612262521594</v>
      </c>
      <c r="AZ33" s="457">
        <f t="shared" ref="AZ33" si="165">AZ40+AZ47</f>
        <v>68671.75</v>
      </c>
      <c r="BA33" s="378">
        <f>AQ33+AU33+AY33</f>
        <v>139450.22061678505</v>
      </c>
      <c r="BB33" s="378">
        <f>AR33+AV33+AZ33</f>
        <v>205304.98</v>
      </c>
      <c r="BC33" s="3565">
        <f>AM33+BA33</f>
        <v>282182.29232014745</v>
      </c>
      <c r="BD33" s="3565">
        <f>AN33+BB33</f>
        <v>318083.39</v>
      </c>
      <c r="BE33" s="376">
        <f t="shared" si="141"/>
        <v>529482.09271901811</v>
      </c>
      <c r="BF33" s="376">
        <f t="shared" si="126"/>
        <v>644279.51000000013</v>
      </c>
      <c r="BG33" s="26"/>
      <c r="BH33" s="26"/>
      <c r="BI33" s="26"/>
      <c r="BJ33" s="26"/>
      <c r="BK33" s="26"/>
    </row>
    <row r="34" spans="1:63" ht="14.45" x14ac:dyDescent="0.3">
      <c r="A34" s="154"/>
      <c r="B34" s="3561" t="s">
        <v>1397</v>
      </c>
      <c r="C34" s="3561"/>
      <c r="D34" s="3567"/>
      <c r="E34" s="3566"/>
      <c r="F34" s="3566"/>
      <c r="G34" s="3566"/>
      <c r="H34" s="3566"/>
      <c r="I34" s="3566"/>
      <c r="J34" s="782">
        <f t="shared" si="0"/>
        <v>0</v>
      </c>
      <c r="K34" s="3566"/>
      <c r="L34" s="3566"/>
      <c r="M34" s="3566"/>
      <c r="N34" s="781">
        <f t="shared" si="1"/>
        <v>0</v>
      </c>
      <c r="O34" s="3566"/>
      <c r="P34" s="3566"/>
      <c r="Q34" s="3566"/>
      <c r="R34" s="782">
        <f t="shared" si="2"/>
        <v>0</v>
      </c>
      <c r="S34" s="3566"/>
      <c r="T34" s="3566"/>
      <c r="U34" s="3566"/>
      <c r="V34" s="782">
        <f t="shared" si="3"/>
        <v>0</v>
      </c>
      <c r="W34" s="3566"/>
      <c r="X34" s="3566"/>
      <c r="Y34" s="3566"/>
      <c r="Z34" s="781">
        <f t="shared" si="4"/>
        <v>0</v>
      </c>
      <c r="AA34" s="3566"/>
      <c r="AB34" s="3562">
        <f t="shared" si="5"/>
        <v>0</v>
      </c>
      <c r="AC34" s="3566"/>
      <c r="AD34" s="3566"/>
      <c r="AE34" s="3566"/>
      <c r="AF34" s="782">
        <f t="shared" si="6"/>
        <v>0</v>
      </c>
      <c r="AG34" s="3566"/>
      <c r="AH34" s="3566"/>
      <c r="AI34" s="3566"/>
      <c r="AJ34" s="3566"/>
      <c r="AK34" s="3566"/>
      <c r="AL34" s="3566"/>
      <c r="AM34" s="3566"/>
      <c r="AN34" s="3566"/>
      <c r="AO34" s="3566"/>
      <c r="AP34" s="3566"/>
      <c r="AQ34" s="3566"/>
      <c r="AR34" s="3566"/>
      <c r="AS34" s="3566"/>
      <c r="AT34" s="3566"/>
      <c r="AU34" s="3566"/>
      <c r="AV34" s="3566"/>
      <c r="AW34" s="3566"/>
      <c r="AX34" s="3566"/>
      <c r="AY34" s="3566"/>
      <c r="AZ34" s="3566"/>
      <c r="BA34" s="3566"/>
      <c r="BB34" s="3566"/>
      <c r="BC34" s="3566"/>
      <c r="BD34" s="3566"/>
      <c r="BE34" s="3566"/>
      <c r="BF34" s="3566"/>
      <c r="BG34" s="26"/>
      <c r="BH34" s="26"/>
      <c r="BI34" s="26"/>
      <c r="BJ34" s="26"/>
      <c r="BK34" s="26"/>
    </row>
    <row r="35" spans="1:63" x14ac:dyDescent="0.25">
      <c r="A35" s="93"/>
      <c r="B35" s="1018" t="s">
        <v>75</v>
      </c>
      <c r="C35" s="159" t="s">
        <v>50</v>
      </c>
      <c r="D35" s="5929">
        <v>485798</v>
      </c>
      <c r="E35" s="5929"/>
      <c r="F35" s="1134">
        <v>26899.1</v>
      </c>
      <c r="G35" s="5929"/>
      <c r="H35" s="1134">
        <v>35407.299999999996</v>
      </c>
      <c r="I35" s="5932"/>
      <c r="J35" s="782">
        <f t="shared" si="0"/>
        <v>62306.399999999994</v>
      </c>
      <c r="K35" s="5929"/>
      <c r="L35" s="1134">
        <v>36163.659999999996</v>
      </c>
      <c r="M35" s="5705"/>
      <c r="N35" s="781">
        <f t="shared" si="1"/>
        <v>98470.06</v>
      </c>
      <c r="O35" s="5929"/>
      <c r="P35" s="1134">
        <v>46817.030000000006</v>
      </c>
      <c r="Q35" s="5932"/>
      <c r="R35" s="782">
        <f t="shared" si="2"/>
        <v>145287.09</v>
      </c>
      <c r="S35" s="5929"/>
      <c r="T35" s="1134">
        <v>48692.29</v>
      </c>
      <c r="U35" s="5932"/>
      <c r="V35" s="782">
        <f t="shared" si="3"/>
        <v>193979.38</v>
      </c>
      <c r="W35" s="5929"/>
      <c r="X35" s="1134">
        <v>36357.230000000003</v>
      </c>
      <c r="Y35" s="5705"/>
      <c r="Z35" s="781">
        <f t="shared" si="4"/>
        <v>131866.55000000002</v>
      </c>
      <c r="AA35" s="5928"/>
      <c r="AB35" s="3562">
        <f t="shared" si="5"/>
        <v>230336.61000000002</v>
      </c>
      <c r="AC35" s="5929"/>
      <c r="AD35" s="1134">
        <v>7896.41</v>
      </c>
      <c r="AE35" s="5932"/>
      <c r="AF35" s="782">
        <f t="shared" si="6"/>
        <v>238233.02000000002</v>
      </c>
      <c r="AG35" s="5929"/>
      <c r="AH35" s="1134">
        <v>6021.4100000000017</v>
      </c>
      <c r="AI35" s="5933"/>
      <c r="AJ35" s="782">
        <f t="shared" ref="AJ35:AJ40" si="166">AF35+AH35</f>
        <v>244254.43000000002</v>
      </c>
      <c r="AK35" s="5929"/>
      <c r="AL35" s="1134">
        <v>42817.819999999992</v>
      </c>
      <c r="AM35" s="5705"/>
      <c r="AN35" s="781">
        <f>AD35+AH35+AL35</f>
        <v>56735.639999999992</v>
      </c>
      <c r="AO35" s="5932"/>
      <c r="AP35" s="782">
        <f t="shared" si="128"/>
        <v>287072.25</v>
      </c>
      <c r="AQ35" s="5929"/>
      <c r="AR35" s="1134">
        <v>61175.14</v>
      </c>
      <c r="AS35" s="5933"/>
      <c r="AT35" s="782">
        <f t="shared" ref="AT35:AT40" si="167">AP35+AR35</f>
        <v>348247.39</v>
      </c>
      <c r="AU35" s="5929"/>
      <c r="AV35" s="1134">
        <v>35169.300000000003</v>
      </c>
      <c r="AW35" s="5933"/>
      <c r="AX35" s="782">
        <f t="shared" ref="AX35:AX40" si="168">AT35+AV35</f>
        <v>383416.69</v>
      </c>
      <c r="AY35" s="5929"/>
      <c r="AZ35" s="1134">
        <v>51034.939999999995</v>
      </c>
      <c r="BA35" s="5705"/>
      <c r="BB35" s="781">
        <f>AR35+AV35+AZ35</f>
        <v>147379.38</v>
      </c>
      <c r="BC35" s="5928"/>
      <c r="BD35" s="3562">
        <f t="shared" ref="BD35:BD39" si="169">AN35+BB35</f>
        <v>204115.02</v>
      </c>
      <c r="BE35" s="5930">
        <v>447000</v>
      </c>
      <c r="BF35" s="782">
        <f t="shared" ref="BF35:BF40" si="170">AX35+AZ35</f>
        <v>434451.63</v>
      </c>
      <c r="BG35" s="26"/>
      <c r="BH35" s="26"/>
      <c r="BI35" s="26"/>
      <c r="BJ35" s="26"/>
      <c r="BK35" s="26"/>
    </row>
    <row r="36" spans="1:63" x14ac:dyDescent="0.25">
      <c r="A36" s="93"/>
      <c r="B36" s="1018" t="s">
        <v>76</v>
      </c>
      <c r="C36" s="159" t="s">
        <v>50</v>
      </c>
      <c r="D36" s="5929"/>
      <c r="E36" s="5929"/>
      <c r="F36" s="1134">
        <v>5959.1999999999989</v>
      </c>
      <c r="G36" s="5929"/>
      <c r="H36" s="1134">
        <v>10028.82</v>
      </c>
      <c r="I36" s="5932"/>
      <c r="J36" s="782">
        <f t="shared" si="0"/>
        <v>15988.019999999999</v>
      </c>
      <c r="K36" s="5929"/>
      <c r="L36" s="1134">
        <v>7884.6599999999962</v>
      </c>
      <c r="M36" s="5705"/>
      <c r="N36" s="781">
        <f t="shared" si="1"/>
        <v>23872.679999999993</v>
      </c>
      <c r="O36" s="5929"/>
      <c r="P36" s="1134">
        <v>6995.6200000000026</v>
      </c>
      <c r="Q36" s="5932"/>
      <c r="R36" s="782">
        <f t="shared" si="2"/>
        <v>30868.299999999996</v>
      </c>
      <c r="S36" s="5929"/>
      <c r="T36" s="1134">
        <v>9643.529999999997</v>
      </c>
      <c r="U36" s="5932"/>
      <c r="V36" s="782">
        <f t="shared" si="3"/>
        <v>40511.829999999994</v>
      </c>
      <c r="W36" s="5929"/>
      <c r="X36" s="1134">
        <v>13649.230000000001</v>
      </c>
      <c r="Y36" s="5705"/>
      <c r="Z36" s="781">
        <f t="shared" si="4"/>
        <v>30288.380000000005</v>
      </c>
      <c r="AA36" s="5928"/>
      <c r="AB36" s="3562">
        <f t="shared" si="5"/>
        <v>54161.06</v>
      </c>
      <c r="AC36" s="5929"/>
      <c r="AD36" s="1134">
        <v>17096.259999999995</v>
      </c>
      <c r="AE36" s="5932"/>
      <c r="AF36" s="782">
        <f t="shared" si="6"/>
        <v>71257.319999999992</v>
      </c>
      <c r="AG36" s="5929"/>
      <c r="AH36" s="1134"/>
      <c r="AI36" s="5931"/>
      <c r="AJ36" s="782">
        <f t="shared" si="166"/>
        <v>71257.319999999992</v>
      </c>
      <c r="AK36" s="5929"/>
      <c r="AL36" s="1134">
        <v>8818.2000000000007</v>
      </c>
      <c r="AM36" s="5705"/>
      <c r="AN36" s="781">
        <f t="shared" ref="AN36:AN39" si="171">AD36+AH36+AL36</f>
        <v>25914.459999999995</v>
      </c>
      <c r="AO36" s="5932"/>
      <c r="AP36" s="782">
        <f t="shared" si="128"/>
        <v>80075.51999999999</v>
      </c>
      <c r="AQ36" s="5929"/>
      <c r="AR36" s="1134">
        <v>8316.82</v>
      </c>
      <c r="AS36" s="5931"/>
      <c r="AT36" s="782">
        <f t="shared" si="167"/>
        <v>88392.34</v>
      </c>
      <c r="AU36" s="5929"/>
      <c r="AV36" s="1134">
        <v>8045.44</v>
      </c>
      <c r="AW36" s="5931"/>
      <c r="AX36" s="782">
        <f t="shared" si="168"/>
        <v>96437.78</v>
      </c>
      <c r="AY36" s="5929"/>
      <c r="AZ36" s="1134">
        <v>9915.6600000000017</v>
      </c>
      <c r="BA36" s="5705"/>
      <c r="BB36" s="781">
        <f t="shared" ref="BB36:BB39" si="172">AR36+AV36+AZ36</f>
        <v>26277.919999999998</v>
      </c>
      <c r="BC36" s="5928"/>
      <c r="BD36" s="3562">
        <f t="shared" si="169"/>
        <v>52192.37999999999</v>
      </c>
      <c r="BE36" s="5931"/>
      <c r="BF36" s="782">
        <f t="shared" si="170"/>
        <v>106353.44</v>
      </c>
      <c r="BG36" s="26"/>
      <c r="BH36" s="26"/>
      <c r="BI36" s="26"/>
      <c r="BJ36" s="26"/>
      <c r="BK36" s="26"/>
    </row>
    <row r="37" spans="1:63" ht="14.45" x14ac:dyDescent="0.3">
      <c r="A37" s="93"/>
      <c r="B37" s="1018" t="s">
        <v>137</v>
      </c>
      <c r="C37" s="159" t="s">
        <v>50</v>
      </c>
      <c r="D37" s="1134">
        <v>15000.000000000002</v>
      </c>
      <c r="E37" s="1134"/>
      <c r="F37" s="1134">
        <v>4343.1200000000008</v>
      </c>
      <c r="G37" s="1134"/>
      <c r="H37" s="1134">
        <v>2814.6399999999994</v>
      </c>
      <c r="I37" s="782"/>
      <c r="J37" s="782">
        <f t="shared" si="0"/>
        <v>7157.76</v>
      </c>
      <c r="K37" s="1134"/>
      <c r="L37" s="1134"/>
      <c r="M37" s="781"/>
      <c r="N37" s="781">
        <f t="shared" si="1"/>
        <v>7157.76</v>
      </c>
      <c r="O37" s="1134"/>
      <c r="P37" s="1134"/>
      <c r="Q37" s="782"/>
      <c r="R37" s="782">
        <f t="shared" si="2"/>
        <v>7157.76</v>
      </c>
      <c r="S37" s="1134"/>
      <c r="T37" s="1134"/>
      <c r="U37" s="782"/>
      <c r="V37" s="782">
        <f t="shared" si="3"/>
        <v>7157.76</v>
      </c>
      <c r="W37" s="1134"/>
      <c r="X37" s="1134"/>
      <c r="Y37" s="781"/>
      <c r="Z37" s="781">
        <f t="shared" si="4"/>
        <v>0</v>
      </c>
      <c r="AA37" s="3562"/>
      <c r="AB37" s="3562">
        <f t="shared" si="5"/>
        <v>7157.76</v>
      </c>
      <c r="AC37" s="1134"/>
      <c r="AD37" s="1134">
        <v>2633.36</v>
      </c>
      <c r="AE37" s="782"/>
      <c r="AF37" s="782">
        <f t="shared" si="6"/>
        <v>9791.1200000000008</v>
      </c>
      <c r="AG37" s="1134"/>
      <c r="AH37" s="1134"/>
      <c r="AI37" s="782"/>
      <c r="AJ37" s="782">
        <f t="shared" si="166"/>
        <v>9791.1200000000008</v>
      </c>
      <c r="AK37" s="1134"/>
      <c r="AL37" s="1134">
        <v>0</v>
      </c>
      <c r="AM37" s="781"/>
      <c r="AN37" s="781">
        <f t="shared" si="171"/>
        <v>2633.36</v>
      </c>
      <c r="AO37" s="782"/>
      <c r="AP37" s="782">
        <f t="shared" si="128"/>
        <v>9791.1200000000008</v>
      </c>
      <c r="AQ37" s="1134"/>
      <c r="AR37" s="1134">
        <v>2758.7400000000007</v>
      </c>
      <c r="AS37" s="782"/>
      <c r="AT37" s="782">
        <f t="shared" si="167"/>
        <v>12549.86</v>
      </c>
      <c r="AU37" s="1134"/>
      <c r="AV37" s="1134"/>
      <c r="AW37" s="782"/>
      <c r="AX37" s="782">
        <f t="shared" si="168"/>
        <v>12549.86</v>
      </c>
      <c r="AY37" s="1134"/>
      <c r="AZ37" s="1134">
        <v>0</v>
      </c>
      <c r="BA37" s="781"/>
      <c r="BB37" s="781">
        <f t="shared" si="172"/>
        <v>2758.7400000000007</v>
      </c>
      <c r="BC37" s="3562"/>
      <c r="BD37" s="3562">
        <f t="shared" si="169"/>
        <v>5392.1</v>
      </c>
      <c r="BE37" s="782">
        <v>0</v>
      </c>
      <c r="BF37" s="782">
        <f t="shared" si="170"/>
        <v>12549.86</v>
      </c>
      <c r="BG37" s="26"/>
      <c r="BH37" s="26"/>
      <c r="BI37" s="26"/>
      <c r="BJ37" s="26"/>
      <c r="BK37" s="26"/>
    </row>
    <row r="38" spans="1:63" ht="14.45" x14ac:dyDescent="0.3">
      <c r="A38" s="2447"/>
      <c r="B38" s="1018" t="s">
        <v>77</v>
      </c>
      <c r="C38" s="159" t="s">
        <v>50</v>
      </c>
      <c r="D38" s="1134"/>
      <c r="E38" s="1134"/>
      <c r="F38" s="1134"/>
      <c r="G38" s="1134"/>
      <c r="H38" s="1134"/>
      <c r="I38" s="782"/>
      <c r="J38" s="782">
        <f t="shared" si="0"/>
        <v>0</v>
      </c>
      <c r="K38" s="1134"/>
      <c r="L38" s="1134"/>
      <c r="M38" s="781"/>
      <c r="N38" s="781">
        <f t="shared" si="1"/>
        <v>0</v>
      </c>
      <c r="O38" s="1134"/>
      <c r="P38" s="1134"/>
      <c r="Q38" s="782"/>
      <c r="R38" s="782">
        <f t="shared" si="2"/>
        <v>0</v>
      </c>
      <c r="S38" s="1134"/>
      <c r="T38" s="1134"/>
      <c r="U38" s="782"/>
      <c r="V38" s="782">
        <f t="shared" si="3"/>
        <v>0</v>
      </c>
      <c r="W38" s="1134"/>
      <c r="X38" s="1134"/>
      <c r="Y38" s="781"/>
      <c r="Z38" s="781">
        <f t="shared" si="4"/>
        <v>0</v>
      </c>
      <c r="AA38" s="3562"/>
      <c r="AB38" s="3562">
        <f t="shared" si="5"/>
        <v>0</v>
      </c>
      <c r="AC38" s="1134"/>
      <c r="AD38" s="1134">
        <v>0</v>
      </c>
      <c r="AE38" s="782"/>
      <c r="AF38" s="782">
        <f t="shared" si="6"/>
        <v>0</v>
      </c>
      <c r="AG38" s="1134"/>
      <c r="AH38" s="1134"/>
      <c r="AI38" s="782"/>
      <c r="AJ38" s="782">
        <f t="shared" si="166"/>
        <v>0</v>
      </c>
      <c r="AK38" s="1134"/>
      <c r="AL38" s="1134">
        <v>0</v>
      </c>
      <c r="AM38" s="781"/>
      <c r="AN38" s="781">
        <f t="shared" si="171"/>
        <v>0</v>
      </c>
      <c r="AO38" s="782"/>
      <c r="AP38" s="782">
        <f t="shared" si="128"/>
        <v>0</v>
      </c>
      <c r="AQ38" s="1134"/>
      <c r="AR38" s="1134">
        <v>0</v>
      </c>
      <c r="AS38" s="782"/>
      <c r="AT38" s="782">
        <f t="shared" si="167"/>
        <v>0</v>
      </c>
      <c r="AU38" s="1134"/>
      <c r="AV38" s="1134"/>
      <c r="AW38" s="782"/>
      <c r="AX38" s="782">
        <f t="shared" si="168"/>
        <v>0</v>
      </c>
      <c r="AY38" s="1134"/>
      <c r="AZ38" s="1134">
        <v>0</v>
      </c>
      <c r="BA38" s="781"/>
      <c r="BB38" s="781">
        <f t="shared" si="172"/>
        <v>0</v>
      </c>
      <c r="BC38" s="3562"/>
      <c r="BD38" s="3562">
        <f t="shared" si="169"/>
        <v>0</v>
      </c>
      <c r="BE38" s="782">
        <v>0</v>
      </c>
      <c r="BF38" s="782">
        <f t="shared" si="170"/>
        <v>0</v>
      </c>
      <c r="BG38" s="26"/>
      <c r="BH38" s="26"/>
      <c r="BI38" s="26"/>
      <c r="BJ38" s="26"/>
      <c r="BK38" s="26"/>
    </row>
    <row r="39" spans="1:63" ht="14.45" x14ac:dyDescent="0.3">
      <c r="A39" s="93"/>
      <c r="B39" s="1018" t="s">
        <v>1848</v>
      </c>
      <c r="C39" s="159" t="s">
        <v>50</v>
      </c>
      <c r="D39" s="1134">
        <v>24000</v>
      </c>
      <c r="E39" s="1134"/>
      <c r="F39" s="1134">
        <v>1095.8900000000001</v>
      </c>
      <c r="G39" s="1134"/>
      <c r="H39" s="1134">
        <v>1764.77</v>
      </c>
      <c r="I39" s="782"/>
      <c r="J39" s="782">
        <f t="shared" si="0"/>
        <v>2860.66</v>
      </c>
      <c r="K39" s="1134"/>
      <c r="L39" s="1134">
        <v>5738.2099999999991</v>
      </c>
      <c r="M39" s="781"/>
      <c r="N39" s="781">
        <f t="shared" si="1"/>
        <v>8598.869999999999</v>
      </c>
      <c r="O39" s="1134"/>
      <c r="P39" s="1134">
        <v>3402.2599999999998</v>
      </c>
      <c r="Q39" s="782"/>
      <c r="R39" s="782">
        <f t="shared" si="2"/>
        <v>12001.13</v>
      </c>
      <c r="S39" s="1134"/>
      <c r="T39" s="1134">
        <v>3769.9700000000003</v>
      </c>
      <c r="U39" s="782"/>
      <c r="V39" s="782">
        <f t="shared" si="3"/>
        <v>15771.099999999999</v>
      </c>
      <c r="W39" s="1134"/>
      <c r="X39" s="1134">
        <v>3271.59</v>
      </c>
      <c r="Y39" s="781"/>
      <c r="Z39" s="781">
        <f t="shared" si="4"/>
        <v>10443.82</v>
      </c>
      <c r="AA39" s="3562"/>
      <c r="AB39" s="3562">
        <f t="shared" si="5"/>
        <v>19042.689999999999</v>
      </c>
      <c r="AC39" s="1134"/>
      <c r="AD39" s="1134">
        <v>3411.6499999999996</v>
      </c>
      <c r="AE39" s="782"/>
      <c r="AF39" s="782">
        <f t="shared" si="6"/>
        <v>22454.339999999997</v>
      </c>
      <c r="AG39" s="1134"/>
      <c r="AH39" s="1134">
        <v>5141.4699999999993</v>
      </c>
      <c r="AI39" s="782"/>
      <c r="AJ39" s="782">
        <f t="shared" si="166"/>
        <v>27595.809999999998</v>
      </c>
      <c r="AK39" s="1134"/>
      <c r="AL39" s="1134">
        <v>3545.0299999999997</v>
      </c>
      <c r="AM39" s="781"/>
      <c r="AN39" s="781">
        <f t="shared" si="171"/>
        <v>12098.149999999998</v>
      </c>
      <c r="AO39" s="782"/>
      <c r="AP39" s="782">
        <f t="shared" si="128"/>
        <v>31140.839999999997</v>
      </c>
      <c r="AQ39" s="1134"/>
      <c r="AR39" s="1134">
        <v>3486.44</v>
      </c>
      <c r="AS39" s="782"/>
      <c r="AT39" s="782">
        <f t="shared" si="167"/>
        <v>34627.279999999999</v>
      </c>
      <c r="AU39" s="1134"/>
      <c r="AV39" s="1134">
        <v>1080.8899999999999</v>
      </c>
      <c r="AW39" s="782"/>
      <c r="AX39" s="782">
        <f t="shared" si="168"/>
        <v>35708.17</v>
      </c>
      <c r="AY39" s="1134"/>
      <c r="AZ39" s="1134">
        <v>6449.17</v>
      </c>
      <c r="BA39" s="781"/>
      <c r="BB39" s="781">
        <f t="shared" si="172"/>
        <v>11016.5</v>
      </c>
      <c r="BC39" s="3562"/>
      <c r="BD39" s="3562">
        <f t="shared" si="169"/>
        <v>23114.649999999998</v>
      </c>
      <c r="BE39" s="782">
        <v>15000</v>
      </c>
      <c r="BF39" s="782">
        <f t="shared" si="170"/>
        <v>42157.34</v>
      </c>
      <c r="BG39" s="26"/>
      <c r="BH39" s="26"/>
      <c r="BI39" s="26"/>
      <c r="BJ39" s="26"/>
      <c r="BK39" s="26"/>
    </row>
    <row r="40" spans="1:63" ht="21.2" customHeight="1" x14ac:dyDescent="0.3">
      <c r="A40" s="93"/>
      <c r="B40" s="3564" t="s">
        <v>2</v>
      </c>
      <c r="C40" s="706" t="s">
        <v>50</v>
      </c>
      <c r="D40" s="1774">
        <f>SUM(D35:D39)</f>
        <v>524798</v>
      </c>
      <c r="E40" s="457"/>
      <c r="F40" s="457">
        <f>SUM(F35:F39)</f>
        <v>38297.31</v>
      </c>
      <c r="G40" s="457"/>
      <c r="H40" s="457">
        <f>SUM(H35:H39)</f>
        <v>50015.529999999992</v>
      </c>
      <c r="I40" s="376"/>
      <c r="J40" s="782">
        <f t="shared" si="0"/>
        <v>88312.84</v>
      </c>
      <c r="K40" s="457"/>
      <c r="L40" s="457">
        <f>SUM(L35:L39)</f>
        <v>49786.529999999992</v>
      </c>
      <c r="M40" s="378"/>
      <c r="N40" s="781">
        <f t="shared" si="1"/>
        <v>138099.37</v>
      </c>
      <c r="O40" s="457"/>
      <c r="P40" s="457">
        <f>SUM(P35:P39)</f>
        <v>57214.910000000011</v>
      </c>
      <c r="Q40" s="376"/>
      <c r="R40" s="782">
        <f t="shared" si="2"/>
        <v>195314.28</v>
      </c>
      <c r="S40" s="457"/>
      <c r="T40" s="457">
        <f>SUM(T35:T39)</f>
        <v>62105.79</v>
      </c>
      <c r="U40" s="376"/>
      <c r="V40" s="782">
        <f t="shared" si="3"/>
        <v>257420.07</v>
      </c>
      <c r="W40" s="457"/>
      <c r="X40" s="457">
        <f>SUM(X35:X39)</f>
        <v>53278.05</v>
      </c>
      <c r="Y40" s="378"/>
      <c r="Z40" s="781">
        <f t="shared" si="4"/>
        <v>172598.75</v>
      </c>
      <c r="AA40" s="3565"/>
      <c r="AB40" s="3562">
        <f t="shared" si="5"/>
        <v>310698.12</v>
      </c>
      <c r="AC40" s="457"/>
      <c r="AD40" s="457">
        <f>SUM(AD35:AD39)</f>
        <v>31037.679999999993</v>
      </c>
      <c r="AE40" s="376"/>
      <c r="AF40" s="782">
        <f t="shared" si="6"/>
        <v>341735.8</v>
      </c>
      <c r="AG40" s="457"/>
      <c r="AH40" s="457">
        <f>SUM(AH35:AH39)</f>
        <v>11162.880000000001</v>
      </c>
      <c r="AI40" s="376"/>
      <c r="AJ40" s="376">
        <f t="shared" si="166"/>
        <v>352898.68</v>
      </c>
      <c r="AK40" s="457"/>
      <c r="AL40" s="457">
        <f>SUM(AL35:AL39)</f>
        <v>55181.049999999988</v>
      </c>
      <c r="AM40" s="378"/>
      <c r="AN40" s="378">
        <f>AD40+AH40+AL40</f>
        <v>97381.609999999986</v>
      </c>
      <c r="AO40" s="376"/>
      <c r="AP40" s="376">
        <f t="shared" si="128"/>
        <v>408079.73</v>
      </c>
      <c r="AQ40" s="457"/>
      <c r="AR40" s="457">
        <f>SUM(AR35:AR39)</f>
        <v>75737.14</v>
      </c>
      <c r="AS40" s="376"/>
      <c r="AT40" s="376">
        <f t="shared" si="167"/>
        <v>483816.87</v>
      </c>
      <c r="AU40" s="457"/>
      <c r="AV40" s="457">
        <f>SUM(AV35:AV39)</f>
        <v>44295.630000000005</v>
      </c>
      <c r="AW40" s="376"/>
      <c r="AX40" s="376">
        <f t="shared" si="168"/>
        <v>528112.5</v>
      </c>
      <c r="AY40" s="457"/>
      <c r="AZ40" s="457">
        <f>SUM(AZ35:AZ39)</f>
        <v>67399.77</v>
      </c>
      <c r="BA40" s="378"/>
      <c r="BB40" s="378">
        <f>AR40+AV40+AZ40</f>
        <v>187432.54</v>
      </c>
      <c r="BC40" s="3565"/>
      <c r="BD40" s="3565">
        <f>AN40+BB40</f>
        <v>284814.15000000002</v>
      </c>
      <c r="BE40" s="376">
        <f>SUM(BE35:BE39)</f>
        <v>462000</v>
      </c>
      <c r="BF40" s="376">
        <f t="shared" si="170"/>
        <v>595512.27</v>
      </c>
      <c r="BG40" s="26"/>
      <c r="BH40" s="26"/>
      <c r="BI40" s="26"/>
      <c r="BJ40" s="26"/>
      <c r="BK40" s="26"/>
    </row>
    <row r="41" spans="1:63" ht="21.2" customHeight="1" x14ac:dyDescent="0.3">
      <c r="A41" s="154"/>
      <c r="B41" s="3561" t="s">
        <v>1398</v>
      </c>
      <c r="C41" s="3561"/>
      <c r="D41" s="3567"/>
      <c r="E41" s="3566"/>
      <c r="F41" s="3566"/>
      <c r="G41" s="3566"/>
      <c r="H41" s="3566"/>
      <c r="I41" s="3566"/>
      <c r="J41" s="782">
        <f t="shared" si="0"/>
        <v>0</v>
      </c>
      <c r="K41" s="3566"/>
      <c r="L41" s="3566"/>
      <c r="M41" s="3566"/>
      <c r="N41" s="781">
        <f t="shared" si="1"/>
        <v>0</v>
      </c>
      <c r="O41" s="3566"/>
      <c r="P41" s="3566"/>
      <c r="Q41" s="3566"/>
      <c r="R41" s="782">
        <f t="shared" si="2"/>
        <v>0</v>
      </c>
      <c r="S41" s="3566"/>
      <c r="T41" s="3566"/>
      <c r="U41" s="3566"/>
      <c r="V41" s="782">
        <f t="shared" si="3"/>
        <v>0</v>
      </c>
      <c r="W41" s="3566"/>
      <c r="X41" s="3566"/>
      <c r="Y41" s="3566"/>
      <c r="Z41" s="781">
        <f t="shared" si="4"/>
        <v>0</v>
      </c>
      <c r="AA41" s="3566"/>
      <c r="AB41" s="3562">
        <f t="shared" si="5"/>
        <v>0</v>
      </c>
      <c r="AC41" s="3566"/>
      <c r="AD41" s="3566"/>
      <c r="AE41" s="3566"/>
      <c r="AF41" s="782">
        <f t="shared" si="6"/>
        <v>0</v>
      </c>
      <c r="AG41" s="3566"/>
      <c r="AH41" s="3566"/>
      <c r="AI41" s="3566"/>
      <c r="AJ41" s="3566"/>
      <c r="AK41" s="3566"/>
      <c r="AL41" s="3566"/>
      <c r="AM41" s="3566"/>
      <c r="AN41" s="3566"/>
      <c r="AO41" s="3566"/>
      <c r="AP41" s="3566"/>
      <c r="AQ41" s="3566"/>
      <c r="AR41" s="3566"/>
      <c r="AS41" s="3566"/>
      <c r="AT41" s="3566"/>
      <c r="AU41" s="3566"/>
      <c r="AV41" s="3566"/>
      <c r="AW41" s="3566"/>
      <c r="AX41" s="3566"/>
      <c r="AY41" s="3566"/>
      <c r="AZ41" s="3566"/>
      <c r="BA41" s="3566"/>
      <c r="BB41" s="3566"/>
      <c r="BC41" s="3566"/>
      <c r="BD41" s="3566"/>
      <c r="BE41" s="3567"/>
      <c r="BF41" s="3566"/>
      <c r="BG41" s="26"/>
      <c r="BH41" s="26"/>
      <c r="BI41" s="26"/>
      <c r="BJ41" s="26"/>
      <c r="BK41" s="26"/>
    </row>
    <row r="42" spans="1:63" x14ac:dyDescent="0.25">
      <c r="A42" s="154"/>
      <c r="B42" s="1018" t="s">
        <v>75</v>
      </c>
      <c r="C42" s="159" t="s">
        <v>50</v>
      </c>
      <c r="D42" s="5929">
        <v>0</v>
      </c>
      <c r="E42" s="5929"/>
      <c r="F42" s="1134">
        <v>126.98</v>
      </c>
      <c r="G42" s="5929"/>
      <c r="H42" s="1134">
        <v>2079.3999999999996</v>
      </c>
      <c r="I42" s="5932"/>
      <c r="J42" s="782">
        <f t="shared" si="0"/>
        <v>2206.3799999999997</v>
      </c>
      <c r="K42" s="5929"/>
      <c r="L42" s="1134">
        <v>247.89000000000001</v>
      </c>
      <c r="M42" s="5705"/>
      <c r="N42" s="781">
        <f t="shared" si="1"/>
        <v>2454.2699999999995</v>
      </c>
      <c r="O42" s="5929"/>
      <c r="P42" s="1134">
        <v>381.2</v>
      </c>
      <c r="Q42" s="5932"/>
      <c r="R42" s="782">
        <f t="shared" si="2"/>
        <v>2835.4699999999993</v>
      </c>
      <c r="S42" s="5929"/>
      <c r="T42" s="1134">
        <v>5383.21</v>
      </c>
      <c r="U42" s="5932"/>
      <c r="V42" s="782">
        <f t="shared" si="3"/>
        <v>8218.68</v>
      </c>
      <c r="W42" s="5929"/>
      <c r="X42" s="1134">
        <v>411.48000000000008</v>
      </c>
      <c r="Y42" s="5705"/>
      <c r="Z42" s="781">
        <f t="shared" si="4"/>
        <v>6175.89</v>
      </c>
      <c r="AA42" s="5928"/>
      <c r="AB42" s="3562">
        <f t="shared" si="5"/>
        <v>8630.16</v>
      </c>
      <c r="AC42" s="5929"/>
      <c r="AD42" s="1134">
        <v>3412</v>
      </c>
      <c r="AE42" s="5932"/>
      <c r="AF42" s="782">
        <f t="shared" si="6"/>
        <v>12042.16</v>
      </c>
      <c r="AG42" s="5929"/>
      <c r="AH42" s="1134">
        <v>5883.89</v>
      </c>
      <c r="AI42" s="5933"/>
      <c r="AJ42" s="782">
        <f t="shared" ref="AJ42:AJ47" si="173">AF42+AH42</f>
        <v>17926.05</v>
      </c>
      <c r="AK42" s="5929"/>
      <c r="AL42" s="1134">
        <v>4464.0100000000011</v>
      </c>
      <c r="AM42" s="5705"/>
      <c r="AN42" s="781">
        <f t="shared" ref="AN42:AN47" si="174">AD42+AH42+AL42</f>
        <v>13759.900000000001</v>
      </c>
      <c r="AO42" s="5932"/>
      <c r="AP42" s="782">
        <f t="shared" si="128"/>
        <v>22390.06</v>
      </c>
      <c r="AQ42" s="5929"/>
      <c r="AR42" s="1134">
        <v>10679.03</v>
      </c>
      <c r="AS42" s="5933"/>
      <c r="AT42" s="782">
        <f t="shared" ref="AT42:AT47" si="175">AP42+AR42</f>
        <v>33069.090000000004</v>
      </c>
      <c r="AU42" s="5929"/>
      <c r="AV42" s="1134">
        <v>5921.4300000000021</v>
      </c>
      <c r="AW42" s="5933"/>
      <c r="AX42" s="782">
        <f t="shared" ref="AX42:AX47" si="176">AT42+AV42</f>
        <v>38990.520000000004</v>
      </c>
      <c r="AY42" s="5929"/>
      <c r="AZ42" s="1134">
        <v>755.36000000000013</v>
      </c>
      <c r="BA42" s="5705"/>
      <c r="BB42" s="781">
        <f t="shared" ref="BB42:BB47" si="177">AR42+AV42+AZ42</f>
        <v>17355.820000000003</v>
      </c>
      <c r="BC42" s="5928"/>
      <c r="BD42" s="3562">
        <f t="shared" ref="BD42:BD46" si="178">AN42+BB42</f>
        <v>31115.720000000005</v>
      </c>
      <c r="BE42" s="5932">
        <v>13000</v>
      </c>
      <c r="BF42" s="782">
        <f t="shared" ref="BF42:BF47" si="179">AX42+AZ42</f>
        <v>39745.880000000005</v>
      </c>
      <c r="BG42" s="26"/>
      <c r="BH42" s="26"/>
      <c r="BI42" s="26"/>
      <c r="BJ42" s="26"/>
      <c r="BK42" s="26"/>
    </row>
    <row r="43" spans="1:63" x14ac:dyDescent="0.25">
      <c r="A43" s="93"/>
      <c r="B43" s="1018" t="s">
        <v>76</v>
      </c>
      <c r="C43" s="159" t="s">
        <v>50</v>
      </c>
      <c r="D43" s="5929"/>
      <c r="E43" s="5929"/>
      <c r="F43" s="1134"/>
      <c r="G43" s="5929"/>
      <c r="H43" s="1134"/>
      <c r="I43" s="5932"/>
      <c r="J43" s="782">
        <f t="shared" si="0"/>
        <v>0</v>
      </c>
      <c r="K43" s="5929"/>
      <c r="L43" s="1134"/>
      <c r="M43" s="5705"/>
      <c r="N43" s="781">
        <f t="shared" si="1"/>
        <v>0</v>
      </c>
      <c r="O43" s="5929"/>
      <c r="P43" s="1134"/>
      <c r="Q43" s="5932"/>
      <c r="R43" s="782">
        <f t="shared" si="2"/>
        <v>0</v>
      </c>
      <c r="S43" s="5929"/>
      <c r="T43" s="1134"/>
      <c r="U43" s="5932"/>
      <c r="V43" s="782">
        <f t="shared" si="3"/>
        <v>0</v>
      </c>
      <c r="W43" s="5929"/>
      <c r="X43" s="1134"/>
      <c r="Y43" s="5705"/>
      <c r="Z43" s="781">
        <f t="shared" si="4"/>
        <v>0</v>
      </c>
      <c r="AA43" s="5928"/>
      <c r="AB43" s="3562">
        <f t="shared" si="5"/>
        <v>0</v>
      </c>
      <c r="AC43" s="5929"/>
      <c r="AD43" s="1134">
        <v>0</v>
      </c>
      <c r="AE43" s="5932"/>
      <c r="AF43" s="782">
        <f t="shared" si="6"/>
        <v>0</v>
      </c>
      <c r="AG43" s="5929"/>
      <c r="AH43" s="1134"/>
      <c r="AI43" s="5931"/>
      <c r="AJ43" s="782">
        <f t="shared" si="173"/>
        <v>0</v>
      </c>
      <c r="AK43" s="5929"/>
      <c r="AL43" s="1134"/>
      <c r="AM43" s="5705"/>
      <c r="AN43" s="781">
        <f t="shared" si="174"/>
        <v>0</v>
      </c>
      <c r="AO43" s="5932"/>
      <c r="AP43" s="782">
        <f t="shared" si="128"/>
        <v>0</v>
      </c>
      <c r="AQ43" s="5929"/>
      <c r="AR43" s="1134">
        <v>0</v>
      </c>
      <c r="AS43" s="5931"/>
      <c r="AT43" s="782">
        <f t="shared" si="175"/>
        <v>0</v>
      </c>
      <c r="AU43" s="5929"/>
      <c r="AV43" s="1134"/>
      <c r="AW43" s="5931"/>
      <c r="AX43" s="782">
        <f t="shared" si="176"/>
        <v>0</v>
      </c>
      <c r="AY43" s="5929"/>
      <c r="AZ43" s="1134">
        <v>0</v>
      </c>
      <c r="BA43" s="5705"/>
      <c r="BB43" s="781">
        <f t="shared" si="177"/>
        <v>0</v>
      </c>
      <c r="BC43" s="5928"/>
      <c r="BD43" s="3562">
        <f t="shared" si="178"/>
        <v>0</v>
      </c>
      <c r="BE43" s="5932"/>
      <c r="BF43" s="782">
        <f t="shared" si="179"/>
        <v>0</v>
      </c>
      <c r="BG43" s="26"/>
      <c r="BH43" s="26"/>
      <c r="BI43" s="26"/>
      <c r="BJ43" s="26"/>
      <c r="BK43" s="26"/>
    </row>
    <row r="44" spans="1:63" ht="14.45" x14ac:dyDescent="0.3">
      <c r="A44" s="93"/>
      <c r="B44" s="1018" t="s">
        <v>137</v>
      </c>
      <c r="C44" s="159" t="s">
        <v>50</v>
      </c>
      <c r="D44" s="1134">
        <v>0</v>
      </c>
      <c r="E44" s="1134"/>
      <c r="F44" s="1134"/>
      <c r="G44" s="1134"/>
      <c r="H44" s="1134"/>
      <c r="I44" s="782"/>
      <c r="J44" s="782">
        <f t="shared" si="0"/>
        <v>0</v>
      </c>
      <c r="K44" s="1134"/>
      <c r="L44" s="1134"/>
      <c r="M44" s="781"/>
      <c r="N44" s="781">
        <f t="shared" si="1"/>
        <v>0</v>
      </c>
      <c r="O44" s="1134"/>
      <c r="P44" s="1134"/>
      <c r="Q44" s="782"/>
      <c r="R44" s="782">
        <f t="shared" si="2"/>
        <v>0</v>
      </c>
      <c r="S44" s="1134"/>
      <c r="T44" s="1134"/>
      <c r="U44" s="782"/>
      <c r="V44" s="782">
        <f t="shared" si="3"/>
        <v>0</v>
      </c>
      <c r="W44" s="1134"/>
      <c r="X44" s="1134"/>
      <c r="Y44" s="781"/>
      <c r="Z44" s="781">
        <f t="shared" si="4"/>
        <v>0</v>
      </c>
      <c r="AA44" s="3562"/>
      <c r="AB44" s="3562">
        <f t="shared" si="5"/>
        <v>0</v>
      </c>
      <c r="AC44" s="1134"/>
      <c r="AD44" s="1134">
        <v>0</v>
      </c>
      <c r="AE44" s="782"/>
      <c r="AF44" s="782">
        <f t="shared" si="6"/>
        <v>0</v>
      </c>
      <c r="AG44" s="1134"/>
      <c r="AH44" s="1134"/>
      <c r="AI44" s="782"/>
      <c r="AJ44" s="782">
        <f t="shared" si="173"/>
        <v>0</v>
      </c>
      <c r="AK44" s="1134"/>
      <c r="AL44" s="1134"/>
      <c r="AM44" s="781"/>
      <c r="AN44" s="781">
        <f t="shared" si="174"/>
        <v>0</v>
      </c>
      <c r="AO44" s="782"/>
      <c r="AP44" s="782">
        <f t="shared" si="128"/>
        <v>0</v>
      </c>
      <c r="AQ44" s="1134"/>
      <c r="AR44" s="1134">
        <v>0</v>
      </c>
      <c r="AS44" s="782"/>
      <c r="AT44" s="782">
        <f t="shared" si="175"/>
        <v>0</v>
      </c>
      <c r="AU44" s="1134"/>
      <c r="AV44" s="1134"/>
      <c r="AW44" s="782"/>
      <c r="AX44" s="782">
        <f t="shared" si="176"/>
        <v>0</v>
      </c>
      <c r="AY44" s="1134"/>
      <c r="AZ44" s="1134">
        <v>0</v>
      </c>
      <c r="BA44" s="781"/>
      <c r="BB44" s="781">
        <f t="shared" si="177"/>
        <v>0</v>
      </c>
      <c r="BC44" s="3562"/>
      <c r="BD44" s="3562">
        <f t="shared" si="178"/>
        <v>0</v>
      </c>
      <c r="BE44" s="782">
        <v>0</v>
      </c>
      <c r="BF44" s="782">
        <f t="shared" si="179"/>
        <v>0</v>
      </c>
      <c r="BG44" s="26"/>
      <c r="BH44" s="26"/>
      <c r="BI44" s="26"/>
      <c r="BJ44" s="26"/>
      <c r="BK44" s="26"/>
    </row>
    <row r="45" spans="1:63" ht="14.45" x14ac:dyDescent="0.3">
      <c r="A45" s="93"/>
      <c r="B45" s="1018" t="s">
        <v>1628</v>
      </c>
      <c r="C45" s="159" t="s">
        <v>50</v>
      </c>
      <c r="D45" s="1201">
        <v>0</v>
      </c>
      <c r="E45" s="1134"/>
      <c r="F45" s="1134"/>
      <c r="G45" s="1134"/>
      <c r="H45" s="1134">
        <v>299.72000000000003</v>
      </c>
      <c r="I45" s="782"/>
      <c r="J45" s="782">
        <f t="shared" si="0"/>
        <v>299.72000000000003</v>
      </c>
      <c r="K45" s="1134"/>
      <c r="L45" s="1134"/>
      <c r="M45" s="781"/>
      <c r="N45" s="781">
        <f t="shared" si="1"/>
        <v>299.72000000000003</v>
      </c>
      <c r="O45" s="1134"/>
      <c r="P45" s="1134"/>
      <c r="Q45" s="782"/>
      <c r="R45" s="782">
        <f t="shared" si="2"/>
        <v>299.72000000000003</v>
      </c>
      <c r="S45" s="1134"/>
      <c r="T45" s="1134"/>
      <c r="U45" s="782"/>
      <c r="V45" s="782">
        <f t="shared" si="3"/>
        <v>299.72000000000003</v>
      </c>
      <c r="W45" s="1134"/>
      <c r="X45" s="1134"/>
      <c r="Y45" s="781"/>
      <c r="Z45" s="781">
        <f t="shared" si="4"/>
        <v>0</v>
      </c>
      <c r="AA45" s="3562"/>
      <c r="AB45" s="3562">
        <f t="shared" si="5"/>
        <v>299.72000000000003</v>
      </c>
      <c r="AC45" s="1134"/>
      <c r="AD45" s="1134">
        <v>0</v>
      </c>
      <c r="AE45" s="782"/>
      <c r="AF45" s="782">
        <f t="shared" si="6"/>
        <v>299.72000000000003</v>
      </c>
      <c r="AG45" s="1134"/>
      <c r="AH45" s="1134"/>
      <c r="AI45" s="782"/>
      <c r="AJ45" s="782">
        <f t="shared" si="173"/>
        <v>299.72000000000003</v>
      </c>
      <c r="AK45" s="1134"/>
      <c r="AL45" s="1134"/>
      <c r="AM45" s="781"/>
      <c r="AN45" s="781">
        <f t="shared" si="174"/>
        <v>0</v>
      </c>
      <c r="AO45" s="782"/>
      <c r="AP45" s="782">
        <f t="shared" si="128"/>
        <v>299.72000000000003</v>
      </c>
      <c r="AQ45" s="1134"/>
      <c r="AR45" s="1134">
        <v>0</v>
      </c>
      <c r="AS45" s="782"/>
      <c r="AT45" s="782">
        <f t="shared" si="175"/>
        <v>299.72000000000003</v>
      </c>
      <c r="AU45" s="1134"/>
      <c r="AV45" s="1134"/>
      <c r="AW45" s="782"/>
      <c r="AX45" s="782">
        <f t="shared" si="176"/>
        <v>299.72000000000003</v>
      </c>
      <c r="AY45" s="1134"/>
      <c r="AZ45" s="1134">
        <v>0</v>
      </c>
      <c r="BA45" s="781"/>
      <c r="BB45" s="781">
        <f t="shared" si="177"/>
        <v>0</v>
      </c>
      <c r="BC45" s="3562"/>
      <c r="BD45" s="3562">
        <f t="shared" si="178"/>
        <v>0</v>
      </c>
      <c r="BE45" s="782">
        <v>0</v>
      </c>
      <c r="BF45" s="782">
        <f t="shared" si="179"/>
        <v>299.72000000000003</v>
      </c>
      <c r="BG45" s="26"/>
      <c r="BH45" s="26"/>
      <c r="BI45" s="26"/>
      <c r="BJ45" s="26"/>
      <c r="BK45" s="26"/>
    </row>
    <row r="46" spans="1:63" ht="21.2" customHeight="1" x14ac:dyDescent="0.3">
      <c r="A46" s="93"/>
      <c r="B46" s="1018" t="s">
        <v>1878</v>
      </c>
      <c r="C46" s="159" t="s">
        <v>50</v>
      </c>
      <c r="D46" s="1134">
        <v>0</v>
      </c>
      <c r="E46" s="1134"/>
      <c r="F46" s="1134"/>
      <c r="G46" s="1134"/>
      <c r="H46" s="1134">
        <v>640.46</v>
      </c>
      <c r="I46" s="782"/>
      <c r="J46" s="782">
        <f t="shared" si="0"/>
        <v>640.46</v>
      </c>
      <c r="K46" s="1134"/>
      <c r="L46" s="1134">
        <v>1065.5999999999999</v>
      </c>
      <c r="M46" s="781"/>
      <c r="N46" s="781">
        <f t="shared" si="1"/>
        <v>1706.06</v>
      </c>
      <c r="O46" s="1134"/>
      <c r="P46" s="1134">
        <v>463.1</v>
      </c>
      <c r="Q46" s="782"/>
      <c r="R46" s="782">
        <f t="shared" si="2"/>
        <v>2169.16</v>
      </c>
      <c r="S46" s="1134"/>
      <c r="T46" s="1134">
        <v>2487.96</v>
      </c>
      <c r="U46" s="782"/>
      <c r="V46" s="782">
        <f t="shared" si="3"/>
        <v>4657.12</v>
      </c>
      <c r="W46" s="1134"/>
      <c r="X46" s="1134">
        <v>1911</v>
      </c>
      <c r="Y46" s="781"/>
      <c r="Z46" s="781">
        <f t="shared" si="4"/>
        <v>4862.0599999999995</v>
      </c>
      <c r="AA46" s="3562"/>
      <c r="AB46" s="3562">
        <f t="shared" si="5"/>
        <v>6568.119999999999</v>
      </c>
      <c r="AC46" s="1134"/>
      <c r="AD46" s="1134">
        <v>632.55999999999995</v>
      </c>
      <c r="AE46" s="782"/>
      <c r="AF46" s="782">
        <f t="shared" si="6"/>
        <v>7200.6799999999985</v>
      </c>
      <c r="AG46" s="1134"/>
      <c r="AH46" s="1134">
        <v>636.88</v>
      </c>
      <c r="AI46" s="782"/>
      <c r="AJ46" s="782">
        <f t="shared" si="173"/>
        <v>7837.5599999999986</v>
      </c>
      <c r="AK46" s="1134"/>
      <c r="AL46" s="1134">
        <v>367.46</v>
      </c>
      <c r="AM46" s="781"/>
      <c r="AN46" s="781">
        <f t="shared" si="174"/>
        <v>1636.9</v>
      </c>
      <c r="AO46" s="782"/>
      <c r="AP46" s="782">
        <f t="shared" si="128"/>
        <v>8205.0199999999986</v>
      </c>
      <c r="AQ46" s="1134"/>
      <c r="AR46" s="1134">
        <v>0</v>
      </c>
      <c r="AS46" s="782"/>
      <c r="AT46" s="782">
        <f t="shared" si="175"/>
        <v>8205.0199999999986</v>
      </c>
      <c r="AU46" s="1134"/>
      <c r="AV46" s="1134"/>
      <c r="AW46" s="782"/>
      <c r="AX46" s="782">
        <f t="shared" si="176"/>
        <v>8205.0199999999986</v>
      </c>
      <c r="AY46" s="1134"/>
      <c r="AZ46" s="1134">
        <v>516.62</v>
      </c>
      <c r="BA46" s="781"/>
      <c r="BB46" s="781">
        <f t="shared" si="177"/>
        <v>516.62</v>
      </c>
      <c r="BC46" s="3562"/>
      <c r="BD46" s="3562">
        <f t="shared" si="178"/>
        <v>2153.52</v>
      </c>
      <c r="BE46" s="782">
        <v>5000</v>
      </c>
      <c r="BF46" s="782">
        <f t="shared" si="179"/>
        <v>8721.64</v>
      </c>
      <c r="BG46" s="26"/>
      <c r="BH46" s="26"/>
      <c r="BI46" s="26"/>
      <c r="BJ46" s="26"/>
      <c r="BK46" s="26"/>
    </row>
    <row r="47" spans="1:63" ht="21.2" customHeight="1" x14ac:dyDescent="0.3">
      <c r="A47" s="93"/>
      <c r="B47" s="3564" t="s">
        <v>2</v>
      </c>
      <c r="C47" s="706" t="s">
        <v>50</v>
      </c>
      <c r="D47" s="1774">
        <f>SUM(D42:D46)</f>
        <v>0</v>
      </c>
      <c r="E47" s="457"/>
      <c r="F47" s="457">
        <f>SUM(F42:F46)</f>
        <v>126.98</v>
      </c>
      <c r="G47" s="457"/>
      <c r="H47" s="457">
        <f>SUM(H42:H46)</f>
        <v>3019.58</v>
      </c>
      <c r="I47" s="376"/>
      <c r="J47" s="782">
        <f t="shared" si="0"/>
        <v>3146.56</v>
      </c>
      <c r="K47" s="457"/>
      <c r="L47" s="457">
        <f>SUM(L42:L46)</f>
        <v>1313.49</v>
      </c>
      <c r="M47" s="378"/>
      <c r="N47" s="781">
        <f t="shared" si="1"/>
        <v>4460.05</v>
      </c>
      <c r="O47" s="457"/>
      <c r="P47" s="457">
        <f>SUM(P42:P46)</f>
        <v>844.3</v>
      </c>
      <c r="Q47" s="376"/>
      <c r="R47" s="782">
        <f t="shared" si="2"/>
        <v>5304.35</v>
      </c>
      <c r="S47" s="457"/>
      <c r="T47" s="457">
        <f>SUM(T42:T46)</f>
        <v>7871.17</v>
      </c>
      <c r="U47" s="376"/>
      <c r="V47" s="782">
        <f t="shared" si="3"/>
        <v>13175.52</v>
      </c>
      <c r="W47" s="457"/>
      <c r="X47" s="457">
        <f>SUM(X42:X46)</f>
        <v>2322.48</v>
      </c>
      <c r="Y47" s="378"/>
      <c r="Z47" s="781">
        <f t="shared" si="4"/>
        <v>11037.949999999999</v>
      </c>
      <c r="AA47" s="3565"/>
      <c r="AB47" s="3562">
        <f t="shared" si="5"/>
        <v>15498</v>
      </c>
      <c r="AC47" s="457"/>
      <c r="AD47" s="457">
        <f>SUM(AD42:AD46)</f>
        <v>4044.56</v>
      </c>
      <c r="AE47" s="376"/>
      <c r="AF47" s="782">
        <f t="shared" si="6"/>
        <v>19542.560000000001</v>
      </c>
      <c r="AG47" s="457"/>
      <c r="AH47" s="457">
        <f>SUM(AH42:AH46)</f>
        <v>6520.77</v>
      </c>
      <c r="AI47" s="376"/>
      <c r="AJ47" s="376">
        <f t="shared" si="173"/>
        <v>26063.33</v>
      </c>
      <c r="AK47" s="457"/>
      <c r="AL47" s="457">
        <f>SUM(AL42:AL46)</f>
        <v>4831.4700000000012</v>
      </c>
      <c r="AM47" s="378"/>
      <c r="AN47" s="378">
        <f t="shared" si="174"/>
        <v>15396.800000000001</v>
      </c>
      <c r="AO47" s="376"/>
      <c r="AP47" s="376">
        <f t="shared" si="128"/>
        <v>30894.800000000003</v>
      </c>
      <c r="AQ47" s="457"/>
      <c r="AR47" s="457">
        <f>SUM(AR42:AR46)</f>
        <v>10679.03</v>
      </c>
      <c r="AS47" s="376"/>
      <c r="AT47" s="376">
        <f t="shared" si="175"/>
        <v>41573.83</v>
      </c>
      <c r="AU47" s="457"/>
      <c r="AV47" s="457">
        <f>SUM(AV42:AV46)</f>
        <v>5921.4300000000021</v>
      </c>
      <c r="AW47" s="376"/>
      <c r="AX47" s="376">
        <f t="shared" si="176"/>
        <v>47495.26</v>
      </c>
      <c r="AY47" s="457"/>
      <c r="AZ47" s="457">
        <f>SUM(AZ42:AZ46)</f>
        <v>1271.98</v>
      </c>
      <c r="BA47" s="378"/>
      <c r="BB47" s="378">
        <f t="shared" si="177"/>
        <v>17872.440000000002</v>
      </c>
      <c r="BC47" s="3565"/>
      <c r="BD47" s="3565">
        <f>AN47+BB47</f>
        <v>33269.240000000005</v>
      </c>
      <c r="BE47" s="376">
        <f>SUM(BE42:BE46)</f>
        <v>18000</v>
      </c>
      <c r="BF47" s="376">
        <f t="shared" si="179"/>
        <v>48767.240000000005</v>
      </c>
      <c r="BG47" s="26"/>
      <c r="BH47" s="26"/>
      <c r="BI47" s="26"/>
      <c r="BJ47" s="26"/>
      <c r="BK47" s="26"/>
    </row>
    <row r="48" spans="1:63" ht="14.45" x14ac:dyDescent="0.3">
      <c r="A48" s="154"/>
      <c r="B48" s="3568"/>
      <c r="C48" s="813"/>
      <c r="D48" s="457"/>
      <c r="E48" s="457"/>
      <c r="F48" s="457"/>
      <c r="G48" s="457"/>
      <c r="H48" s="457"/>
      <c r="I48" s="457"/>
      <c r="J48" s="782">
        <f t="shared" si="0"/>
        <v>0</v>
      </c>
      <c r="K48" s="457"/>
      <c r="L48" s="457"/>
      <c r="M48" s="457"/>
      <c r="N48" s="781">
        <f t="shared" si="1"/>
        <v>0</v>
      </c>
      <c r="O48" s="457"/>
      <c r="P48" s="457"/>
      <c r="Q48" s="457"/>
      <c r="R48" s="782">
        <f t="shared" si="2"/>
        <v>0</v>
      </c>
      <c r="S48" s="457"/>
      <c r="T48" s="457"/>
      <c r="U48" s="457"/>
      <c r="V48" s="782">
        <f t="shared" si="3"/>
        <v>0</v>
      </c>
      <c r="W48" s="457"/>
      <c r="X48" s="457"/>
      <c r="Y48" s="457"/>
      <c r="Z48" s="781">
        <f t="shared" si="4"/>
        <v>0</v>
      </c>
      <c r="AA48" s="457"/>
      <c r="AB48" s="3562">
        <f t="shared" si="5"/>
        <v>0</v>
      </c>
      <c r="AC48" s="457"/>
      <c r="AD48" s="457"/>
      <c r="AE48" s="457"/>
      <c r="AF48" s="782">
        <f t="shared" si="6"/>
        <v>0</v>
      </c>
      <c r="AG48" s="457"/>
      <c r="AH48" s="457"/>
      <c r="AI48" s="457"/>
      <c r="AJ48" s="457"/>
      <c r="AK48" s="457"/>
      <c r="AL48" s="457"/>
      <c r="AM48" s="457"/>
      <c r="AN48" s="457"/>
      <c r="AO48" s="457"/>
      <c r="AP48" s="457"/>
      <c r="AQ48" s="457"/>
      <c r="AR48" s="457"/>
      <c r="AS48" s="457"/>
      <c r="AT48" s="457"/>
      <c r="AU48" s="457"/>
      <c r="AV48" s="457"/>
      <c r="AW48" s="457"/>
      <c r="AX48" s="457"/>
      <c r="AY48" s="457"/>
      <c r="AZ48" s="457"/>
      <c r="BA48" s="457"/>
      <c r="BB48" s="457"/>
      <c r="BC48" s="457"/>
      <c r="BD48" s="457"/>
      <c r="BE48" s="457"/>
      <c r="BF48" s="457"/>
      <c r="BG48" s="26"/>
      <c r="BH48" s="26"/>
      <c r="BI48" s="26"/>
      <c r="BJ48" s="26"/>
      <c r="BK48" s="26"/>
    </row>
    <row r="49" spans="1:63" x14ac:dyDescent="0.25">
      <c r="A49" s="154"/>
      <c r="B49" s="861" t="s">
        <v>117</v>
      </c>
      <c r="C49" s="861"/>
      <c r="D49" s="861"/>
      <c r="E49" s="3569"/>
      <c r="F49" s="3569"/>
      <c r="G49" s="3569"/>
      <c r="H49" s="3569"/>
      <c r="I49" s="3569"/>
      <c r="J49" s="782">
        <f t="shared" si="0"/>
        <v>0</v>
      </c>
      <c r="K49" s="3569"/>
      <c r="L49" s="3569"/>
      <c r="M49" s="3569"/>
      <c r="N49" s="781">
        <f t="shared" si="1"/>
        <v>0</v>
      </c>
      <c r="O49" s="3569"/>
      <c r="P49" s="3569"/>
      <c r="Q49" s="3569"/>
      <c r="R49" s="782">
        <f t="shared" si="2"/>
        <v>0</v>
      </c>
      <c r="S49" s="3569"/>
      <c r="T49" s="3569"/>
      <c r="U49" s="3569"/>
      <c r="V49" s="782">
        <f t="shared" si="3"/>
        <v>0</v>
      </c>
      <c r="W49" s="3569"/>
      <c r="X49" s="3569"/>
      <c r="Y49" s="3569"/>
      <c r="Z49" s="781">
        <f t="shared" si="4"/>
        <v>0</v>
      </c>
      <c r="AA49" s="3569"/>
      <c r="AB49" s="3562">
        <f t="shared" si="5"/>
        <v>0</v>
      </c>
      <c r="AC49" s="3569"/>
      <c r="AD49" s="3569"/>
      <c r="AE49" s="3569"/>
      <c r="AF49" s="782">
        <f t="shared" si="6"/>
        <v>0</v>
      </c>
      <c r="AG49" s="3569"/>
      <c r="AH49" s="3569"/>
      <c r="AI49" s="3569"/>
      <c r="AJ49" s="3569"/>
      <c r="AK49" s="3569"/>
      <c r="AL49" s="3569"/>
      <c r="AM49" s="3569"/>
      <c r="AN49" s="3569"/>
      <c r="AO49" s="3569"/>
      <c r="AP49" s="3569"/>
      <c r="AQ49" s="3569"/>
      <c r="AR49" s="3569"/>
      <c r="AS49" s="3569"/>
      <c r="AT49" s="3569"/>
      <c r="AU49" s="3569"/>
      <c r="AV49" s="3569"/>
      <c r="AW49" s="3569"/>
      <c r="AX49" s="3569"/>
      <c r="AY49" s="3569"/>
      <c r="AZ49" s="3569"/>
      <c r="BA49" s="3569"/>
      <c r="BB49" s="3569"/>
      <c r="BC49" s="3569"/>
      <c r="BD49" s="3569"/>
      <c r="BE49" s="3569"/>
      <c r="BF49" s="3569"/>
      <c r="BG49" s="26"/>
      <c r="BH49" s="26"/>
      <c r="BI49" s="26"/>
      <c r="BJ49" s="26"/>
      <c r="BK49" s="26"/>
    </row>
    <row r="50" spans="1:63" x14ac:dyDescent="0.25">
      <c r="A50" s="93"/>
      <c r="B50" s="3564" t="s">
        <v>75</v>
      </c>
      <c r="C50" s="706" t="s">
        <v>50</v>
      </c>
      <c r="D50" s="5929">
        <f>+D7+D14+D21+D28</f>
        <v>2566798</v>
      </c>
      <c r="E50" s="5929">
        <f>E7+E14+E21+E28</f>
        <v>219371.02748981552</v>
      </c>
      <c r="F50" s="1134">
        <f>F7+F14+F28+F21</f>
        <v>121879.79999999997</v>
      </c>
      <c r="G50" s="5929">
        <f>G7+G14+G21+G28</f>
        <v>226871.12212620256</v>
      </c>
      <c r="H50" s="1134">
        <f>H7+H14+H28+H21</f>
        <v>138747.00999999998</v>
      </c>
      <c r="I50" s="5932">
        <f>E50+G50</f>
        <v>446242.14961601805</v>
      </c>
      <c r="J50" s="782">
        <f t="shared" si="0"/>
        <v>260626.80999999994</v>
      </c>
      <c r="K50" s="5929">
        <f>K7+K14+K21+K28</f>
        <v>219371.65633766068</v>
      </c>
      <c r="L50" s="1134">
        <f>L7+L14+L28+L21</f>
        <v>120386.73999999999</v>
      </c>
      <c r="M50" s="5705">
        <f>E50+G50+K50</f>
        <v>665613.80595367867</v>
      </c>
      <c r="N50" s="781">
        <f t="shared" si="1"/>
        <v>381013.54999999993</v>
      </c>
      <c r="O50" s="5929">
        <f>O7+O14+O21+O28</f>
        <v>223871.68680986637</v>
      </c>
      <c r="P50" s="1134">
        <f>P7+P14+P28+P21</f>
        <v>136780.81</v>
      </c>
      <c r="Q50" s="5932">
        <f>M50+O50</f>
        <v>889485.49276354501</v>
      </c>
      <c r="R50" s="782">
        <f t="shared" si="2"/>
        <v>517794.35999999993</v>
      </c>
      <c r="S50" s="5929">
        <f>S7+S14+S21+S28</f>
        <v>221871.35347653303</v>
      </c>
      <c r="T50" s="1134">
        <f>T7+T14+T28+T21</f>
        <v>149407.49</v>
      </c>
      <c r="U50" s="5932">
        <f>Q50+S50</f>
        <v>1111356.8462400781</v>
      </c>
      <c r="V50" s="782">
        <f t="shared" si="3"/>
        <v>667201.84999999986</v>
      </c>
      <c r="W50" s="5929">
        <f>W7+W14+W21+W28</f>
        <v>121216.68143151987</v>
      </c>
      <c r="X50" s="1134">
        <f>X7+X14+X28+X21</f>
        <v>118171.66000000002</v>
      </c>
      <c r="Y50" s="5705">
        <f t="shared" ref="Y50:Y51" si="180">O50+S50+W50</f>
        <v>566959.72171791934</v>
      </c>
      <c r="Z50" s="781">
        <f t="shared" si="4"/>
        <v>404359.96</v>
      </c>
      <c r="AA50" s="5928">
        <f>M50+Y50</f>
        <v>1232573.5276715979</v>
      </c>
      <c r="AB50" s="3562">
        <f t="shared" si="5"/>
        <v>785373.51</v>
      </c>
      <c r="AC50" s="5929">
        <f>AC7+AC14+AC21+AC28</f>
        <v>218441.09386753975</v>
      </c>
      <c r="AD50" s="1134">
        <f>AD7+AD14+AD28+AD21</f>
        <v>116531.90000000002</v>
      </c>
      <c r="AE50" s="5932">
        <f>AA50+AC50</f>
        <v>1451014.6215391376</v>
      </c>
      <c r="AF50" s="782">
        <f t="shared" si="6"/>
        <v>901905.41</v>
      </c>
      <c r="AG50" s="5929">
        <f>AG7+AG14+AG21+AG28</f>
        <v>214780.91557330103</v>
      </c>
      <c r="AH50" s="1134">
        <f>AH7+AH14+AH28+AH21</f>
        <v>55204.140000000007</v>
      </c>
      <c r="AI50" s="5933">
        <f>AE50+AG50</f>
        <v>1665795.5371124386</v>
      </c>
      <c r="AJ50" s="782">
        <f t="shared" ref="AJ50:AJ55" si="181">AF50+AH50</f>
        <v>957109.55</v>
      </c>
      <c r="AK50" s="5929">
        <f>AK7+AK14+AK21+AK28</f>
        <v>216810.06226252159</v>
      </c>
      <c r="AL50" s="1134">
        <f>AL7+AL14+AL28+AL21</f>
        <v>139405.21</v>
      </c>
      <c r="AM50" s="5705">
        <f t="shared" ref="AM50:AM51" si="182">AC50+AG50+AK50</f>
        <v>650032.0717033624</v>
      </c>
      <c r="AN50" s="781">
        <f t="shared" ref="AN50:AN53" si="183">AD50+AH50+AL50</f>
        <v>311141.25</v>
      </c>
      <c r="AO50" s="5932">
        <f>AI50+AK50</f>
        <v>1882605.5993749602</v>
      </c>
      <c r="AP50" s="782">
        <f t="shared" ref="AP50:AP55" si="184">AJ50+AL50</f>
        <v>1096514.76</v>
      </c>
      <c r="AQ50" s="5929">
        <f>AQ7+AQ14+AQ21+AQ28</f>
        <v>218339.61226252161</v>
      </c>
      <c r="AR50" s="1134">
        <f>AR7+AR14+AR28+AR21</f>
        <v>171765.58</v>
      </c>
      <c r="AS50" s="5933">
        <f>AO50+AQ50</f>
        <v>2100945.2116374816</v>
      </c>
      <c r="AT50" s="782">
        <f t="shared" ref="AT50:AT55" si="185">AP50+AR50</f>
        <v>1268280.3400000001</v>
      </c>
      <c r="AU50" s="5929">
        <f>AU7+AU14+AU21+AU28</f>
        <v>199257.99609174184</v>
      </c>
      <c r="AV50" s="1134">
        <f>AV7+AV14+AV28+AV21</f>
        <v>136540.59</v>
      </c>
      <c r="AW50" s="5933">
        <f>AS50+AU50</f>
        <v>2300203.2077292232</v>
      </c>
      <c r="AX50" s="782">
        <f t="shared" ref="AX50:AX55" si="186">AT50+AV50</f>
        <v>1404820.9300000002</v>
      </c>
      <c r="AY50" s="5929">
        <f>AY7+AY14+AY21+AY28</f>
        <v>222552.61226252158</v>
      </c>
      <c r="AZ50" s="1134">
        <f>AZ7+AZ14+AZ28+AZ21</f>
        <v>189752.73999999996</v>
      </c>
      <c r="BA50" s="5705">
        <f t="shared" ref="BA50:BA51" si="187">AQ50+AU50+AY50</f>
        <v>640150.22061678511</v>
      </c>
      <c r="BB50" s="781">
        <f t="shared" ref="BB50:BB53" si="188">AR50+AV50+AZ50</f>
        <v>498058.90999999992</v>
      </c>
      <c r="BC50" s="5928">
        <f>AM50+BA50</f>
        <v>1290182.2923201476</v>
      </c>
      <c r="BD50" s="3562">
        <f t="shared" ref="BD50:BD54" si="189">AN50+BB50</f>
        <v>809200.15999999992</v>
      </c>
      <c r="BE50" s="5933">
        <f>AW50+AY50</f>
        <v>2522755.8199917446</v>
      </c>
      <c r="BF50" s="782">
        <f t="shared" ref="BF50:BF55" si="190">AX50+AZ50</f>
        <v>1594573.6700000002</v>
      </c>
      <c r="BG50" s="26"/>
      <c r="BH50" s="26"/>
      <c r="BI50" s="26"/>
      <c r="BJ50" s="26"/>
      <c r="BK50" s="26"/>
    </row>
    <row r="51" spans="1:63" x14ac:dyDescent="0.25">
      <c r="A51" s="93"/>
      <c r="B51" s="3564" t="s">
        <v>76</v>
      </c>
      <c r="C51" s="706" t="s">
        <v>50</v>
      </c>
      <c r="D51" s="5929"/>
      <c r="E51" s="5929"/>
      <c r="F51" s="1134">
        <f>F8+F15+F29+F22</f>
        <v>48531.65</v>
      </c>
      <c r="G51" s="5929"/>
      <c r="H51" s="1134">
        <f>H8+H15+H29+H22</f>
        <v>73085.039999999994</v>
      </c>
      <c r="I51" s="5932"/>
      <c r="J51" s="782">
        <f t="shared" si="0"/>
        <v>121616.69</v>
      </c>
      <c r="K51" s="5929"/>
      <c r="L51" s="1134">
        <f>L8+L15+L29+L22</f>
        <v>91277.939999999988</v>
      </c>
      <c r="M51" s="5705"/>
      <c r="N51" s="781">
        <f t="shared" si="1"/>
        <v>212894.63</v>
      </c>
      <c r="O51" s="5929"/>
      <c r="P51" s="1134">
        <f>P8+P15+P29+P22</f>
        <v>102874.62000000001</v>
      </c>
      <c r="Q51" s="5932"/>
      <c r="R51" s="782">
        <f t="shared" si="2"/>
        <v>315769.25</v>
      </c>
      <c r="S51" s="5929"/>
      <c r="T51" s="1134">
        <f>T8+T15+T29+T22</f>
        <v>89009.359999999986</v>
      </c>
      <c r="U51" s="5932"/>
      <c r="V51" s="782">
        <f t="shared" si="3"/>
        <v>404778.61</v>
      </c>
      <c r="W51" s="5929"/>
      <c r="X51" s="1134">
        <f>X8+X15+X29+X22</f>
        <v>83127.570000000007</v>
      </c>
      <c r="Y51" s="5705">
        <f t="shared" si="180"/>
        <v>0</v>
      </c>
      <c r="Z51" s="781">
        <f t="shared" si="4"/>
        <v>275011.55</v>
      </c>
      <c r="AA51" s="5928"/>
      <c r="AB51" s="3562">
        <f t="shared" si="5"/>
        <v>487906.18</v>
      </c>
      <c r="AC51" s="5929"/>
      <c r="AD51" s="1134">
        <f>AD8+AD15+AD29+AD22</f>
        <v>56105</v>
      </c>
      <c r="AE51" s="5932"/>
      <c r="AF51" s="782">
        <f t="shared" si="6"/>
        <v>544011.17999999993</v>
      </c>
      <c r="AG51" s="5929"/>
      <c r="AH51" s="1134">
        <f>AH8+AH15+AH29+AH22</f>
        <v>12954.53</v>
      </c>
      <c r="AI51" s="5931"/>
      <c r="AJ51" s="782">
        <f t="shared" si="181"/>
        <v>556965.71</v>
      </c>
      <c r="AK51" s="5929"/>
      <c r="AL51" s="1134">
        <f>AL8+AL15+AL29+AL22</f>
        <v>54572.320000000014</v>
      </c>
      <c r="AM51" s="5705">
        <f t="shared" si="182"/>
        <v>0</v>
      </c>
      <c r="AN51" s="781">
        <f t="shared" si="183"/>
        <v>123631.85</v>
      </c>
      <c r="AO51" s="5932"/>
      <c r="AP51" s="782">
        <f t="shared" si="184"/>
        <v>611538.03</v>
      </c>
      <c r="AQ51" s="5929"/>
      <c r="AR51" s="1134">
        <f>AR8+AR15+AR29+AR22</f>
        <v>60538.109999999993</v>
      </c>
      <c r="AS51" s="5931"/>
      <c r="AT51" s="782">
        <f t="shared" si="185"/>
        <v>672076.14</v>
      </c>
      <c r="AU51" s="5929"/>
      <c r="AV51" s="1134">
        <f>AV8+AV15+AV29+AV22</f>
        <v>51118.84</v>
      </c>
      <c r="AW51" s="5931"/>
      <c r="AX51" s="782">
        <f t="shared" si="186"/>
        <v>723194.98</v>
      </c>
      <c r="AY51" s="5929"/>
      <c r="AZ51" s="1134">
        <f>AZ8+AZ15+AZ29+AZ22</f>
        <v>68622.95</v>
      </c>
      <c r="BA51" s="5705">
        <f t="shared" si="187"/>
        <v>0</v>
      </c>
      <c r="BB51" s="781">
        <f t="shared" si="188"/>
        <v>180279.89999999997</v>
      </c>
      <c r="BC51" s="5928"/>
      <c r="BD51" s="3562">
        <f t="shared" si="189"/>
        <v>303911.75</v>
      </c>
      <c r="BE51" s="5931"/>
      <c r="BF51" s="782">
        <f t="shared" si="190"/>
        <v>791817.92999999993</v>
      </c>
      <c r="BG51" s="26"/>
      <c r="BH51" s="26"/>
      <c r="BI51" s="26"/>
      <c r="BJ51" s="26"/>
      <c r="BK51" s="26"/>
    </row>
    <row r="52" spans="1:63" x14ac:dyDescent="0.25">
      <c r="A52" s="93"/>
      <c r="B52" s="3564" t="s">
        <v>137</v>
      </c>
      <c r="C52" s="706" t="s">
        <v>50</v>
      </c>
      <c r="D52" s="1134">
        <f t="shared" ref="D52:E54" si="191">+D9+D16+D23+D30</f>
        <v>83000.000000000015</v>
      </c>
      <c r="E52" s="1134">
        <f t="shared" si="191"/>
        <v>7545.4545454545469</v>
      </c>
      <c r="F52" s="1134">
        <f>F9+F16+F30+F23</f>
        <v>4383.6600000000008</v>
      </c>
      <c r="G52" s="1134">
        <f t="shared" ref="G52" si="192">+G9+G16+G23+G30</f>
        <v>7545.4545454545469</v>
      </c>
      <c r="H52" s="1134">
        <f>H9+H16+H30+H23</f>
        <v>2929.0299999999993</v>
      </c>
      <c r="I52" s="782">
        <f t="shared" ref="I52:I55" si="193">E52+G52</f>
        <v>15090.909090909094</v>
      </c>
      <c r="J52" s="782">
        <f t="shared" si="0"/>
        <v>7312.6900000000005</v>
      </c>
      <c r="K52" s="1134">
        <f t="shared" ref="K52:K54" si="194">+K9+K16+K23+K30</f>
        <v>7545.4545454545469</v>
      </c>
      <c r="L52" s="1134">
        <f>L9+L16+L30+L23</f>
        <v>35.9</v>
      </c>
      <c r="M52" s="781">
        <f t="shared" ref="M52:M53" si="195">E52+G52+K52</f>
        <v>22636.36363636364</v>
      </c>
      <c r="N52" s="781">
        <f t="shared" si="1"/>
        <v>7348.59</v>
      </c>
      <c r="O52" s="1134">
        <f t="shared" ref="O52:O54" si="196">+O9+O16+O23+O30</f>
        <v>7545.4545454545469</v>
      </c>
      <c r="P52" s="1134">
        <f>P9+P16+P30+P23</f>
        <v>38.94</v>
      </c>
      <c r="Q52" s="782">
        <f t="shared" ref="Q52:Q55" si="197">M52+O52</f>
        <v>30181.818181818187</v>
      </c>
      <c r="R52" s="782">
        <f t="shared" si="2"/>
        <v>7387.53</v>
      </c>
      <c r="S52" s="1134">
        <f t="shared" ref="S52:S54" si="198">+S9+S16+S23+S30</f>
        <v>7545.4545454545469</v>
      </c>
      <c r="T52" s="1134">
        <f>T9+T16+T30+T23</f>
        <v>158.79</v>
      </c>
      <c r="U52" s="782">
        <f t="shared" ref="U52:U55" si="199">Q52+S52</f>
        <v>37727.272727272735</v>
      </c>
      <c r="V52" s="782">
        <f t="shared" si="3"/>
        <v>7546.32</v>
      </c>
      <c r="W52" s="1134">
        <f t="shared" ref="W52:W54" si="200">+W9+W16+W23+W30</f>
        <v>0</v>
      </c>
      <c r="X52" s="1134">
        <f>X9+X16+X30+X23</f>
        <v>89.79</v>
      </c>
      <c r="Y52" s="781">
        <f>O52+S52+W52</f>
        <v>15090.909090909094</v>
      </c>
      <c r="Z52" s="781">
        <f t="shared" si="4"/>
        <v>287.52</v>
      </c>
      <c r="AA52" s="3562">
        <f>M52+Y52</f>
        <v>37727.272727272735</v>
      </c>
      <c r="AB52" s="3562">
        <f t="shared" si="5"/>
        <v>7636.1100000000006</v>
      </c>
      <c r="AC52" s="1134">
        <f t="shared" ref="AC52:AC54" si="201">+AC9+AC16+AC23+AC30</f>
        <v>6300</v>
      </c>
      <c r="AD52" s="1134">
        <f>AD9+AD16+AD30+AD23</f>
        <v>2829.4900000000002</v>
      </c>
      <c r="AE52" s="782">
        <f t="shared" ref="AE52:AE55" si="202">AA52+AC52</f>
        <v>44027.272727272735</v>
      </c>
      <c r="AF52" s="782">
        <f t="shared" si="6"/>
        <v>10465.6</v>
      </c>
      <c r="AG52" s="1134">
        <f t="shared" ref="AG52:AG54" si="203">+AG9+AG16+AG23+AG30</f>
        <v>6300</v>
      </c>
      <c r="AH52" s="1134">
        <f>AH9+AH16+AH30+AH23</f>
        <v>185.19</v>
      </c>
      <c r="AI52" s="782">
        <f t="shared" ref="AI52:AI55" si="204">AE52+AG52</f>
        <v>50327.272727272735</v>
      </c>
      <c r="AJ52" s="782">
        <f t="shared" si="181"/>
        <v>10650.79</v>
      </c>
      <c r="AK52" s="1134">
        <f t="shared" ref="AK52:AK54" si="205">+AK9+AK16+AK23+AK30</f>
        <v>6300</v>
      </c>
      <c r="AL52" s="1134">
        <f>AL9+AL16+AL30+AL23</f>
        <v>228.3</v>
      </c>
      <c r="AM52" s="781">
        <f>AC52+AG52+AK52</f>
        <v>18900</v>
      </c>
      <c r="AN52" s="781">
        <f t="shared" si="183"/>
        <v>3242.9800000000005</v>
      </c>
      <c r="AO52" s="782">
        <f t="shared" ref="AO52:AO55" si="206">AI52+AK52</f>
        <v>56627.272727272735</v>
      </c>
      <c r="AP52" s="782">
        <f t="shared" si="184"/>
        <v>10879.09</v>
      </c>
      <c r="AQ52" s="1134">
        <f t="shared" ref="AQ52:AQ54" si="207">+AQ9+AQ16+AQ23+AQ30</f>
        <v>6300</v>
      </c>
      <c r="AR52" s="1134">
        <f>AR9+AR16+AR30+AR23</f>
        <v>3186.2100000000009</v>
      </c>
      <c r="AS52" s="782">
        <f t="shared" ref="AS52:AS55" si="208">AO52+AQ52</f>
        <v>62927.272727272735</v>
      </c>
      <c r="AT52" s="782">
        <f t="shared" si="185"/>
        <v>14065.300000000001</v>
      </c>
      <c r="AU52" s="1134">
        <f t="shared" ref="AU52:AU54" si="209">+AU9+AU16+AU23+AU30</f>
        <v>6300</v>
      </c>
      <c r="AV52" s="1134">
        <f>AV9+AV16+AV30+AV23</f>
        <v>0</v>
      </c>
      <c r="AW52" s="782">
        <f t="shared" ref="AW52:AW55" si="210">AS52+AU52</f>
        <v>69227.272727272735</v>
      </c>
      <c r="AX52" s="782">
        <f t="shared" si="186"/>
        <v>14065.300000000001</v>
      </c>
      <c r="AY52" s="1134">
        <f t="shared" ref="AY52:AY54" si="211">+AY9+AY16+AY23+AY30</f>
        <v>6300</v>
      </c>
      <c r="AZ52" s="1134">
        <f>AZ9+AZ16+AZ30+AZ23</f>
        <v>794.61999999999989</v>
      </c>
      <c r="BA52" s="781">
        <f>AQ52+AU52+AY52</f>
        <v>18900</v>
      </c>
      <c r="BB52" s="781">
        <f t="shared" si="188"/>
        <v>3980.8300000000008</v>
      </c>
      <c r="BC52" s="3562">
        <f t="shared" ref="BC52:BC54" si="212">AM52+BA52</f>
        <v>37800</v>
      </c>
      <c r="BD52" s="3562">
        <f t="shared" si="189"/>
        <v>7223.8100000000013</v>
      </c>
      <c r="BE52" s="782">
        <f t="shared" ref="BE52:BE55" si="213">AW52+AY52</f>
        <v>75527.272727272735</v>
      </c>
      <c r="BF52" s="782">
        <f t="shared" si="190"/>
        <v>14859.920000000002</v>
      </c>
      <c r="BG52" s="26"/>
      <c r="BH52" s="26"/>
      <c r="BI52" s="26"/>
      <c r="BJ52" s="26"/>
      <c r="BK52" s="26"/>
    </row>
    <row r="53" spans="1:63" x14ac:dyDescent="0.25">
      <c r="A53" s="154"/>
      <c r="B53" s="3564" t="s">
        <v>77</v>
      </c>
      <c r="C53" s="706" t="s">
        <v>50</v>
      </c>
      <c r="D53" s="1201">
        <f t="shared" si="191"/>
        <v>0</v>
      </c>
      <c r="E53" s="1134">
        <f t="shared" si="191"/>
        <v>0</v>
      </c>
      <c r="F53" s="1134">
        <f>F10+F17+F31+F24</f>
        <v>0</v>
      </c>
      <c r="G53" s="1134">
        <f t="shared" ref="G53" si="214">+G10+G17+G24+G31</f>
        <v>0</v>
      </c>
      <c r="H53" s="1134">
        <f>H10+H17+H31+H24</f>
        <v>299.72000000000003</v>
      </c>
      <c r="I53" s="782">
        <f t="shared" si="193"/>
        <v>0</v>
      </c>
      <c r="J53" s="782">
        <f t="shared" si="0"/>
        <v>299.72000000000003</v>
      </c>
      <c r="K53" s="1134">
        <f t="shared" si="194"/>
        <v>0</v>
      </c>
      <c r="L53" s="1134">
        <f>L10+L17+L31+L24</f>
        <v>0</v>
      </c>
      <c r="M53" s="781">
        <f t="shared" si="195"/>
        <v>0</v>
      </c>
      <c r="N53" s="781">
        <f t="shared" si="1"/>
        <v>299.72000000000003</v>
      </c>
      <c r="O53" s="1134">
        <f t="shared" si="196"/>
        <v>0</v>
      </c>
      <c r="P53" s="1134">
        <f>P10+P17+P31+P24</f>
        <v>64.099999999999994</v>
      </c>
      <c r="Q53" s="782">
        <f t="shared" si="197"/>
        <v>0</v>
      </c>
      <c r="R53" s="782">
        <f t="shared" si="2"/>
        <v>363.82000000000005</v>
      </c>
      <c r="S53" s="1134">
        <f t="shared" si="198"/>
        <v>0</v>
      </c>
      <c r="T53" s="1134">
        <f>T10+T17+T31+T24</f>
        <v>1485.1599999999999</v>
      </c>
      <c r="U53" s="782">
        <f t="shared" si="199"/>
        <v>0</v>
      </c>
      <c r="V53" s="782">
        <f t="shared" si="3"/>
        <v>1848.98</v>
      </c>
      <c r="W53" s="1134">
        <f t="shared" si="200"/>
        <v>0</v>
      </c>
      <c r="X53" s="1134">
        <f>X10+X17+X31+X24</f>
        <v>693.72</v>
      </c>
      <c r="Y53" s="781">
        <f t="shared" ref="Y53:Y54" si="215">O53+S53+W53</f>
        <v>0</v>
      </c>
      <c r="Z53" s="781">
        <f t="shared" si="4"/>
        <v>2242.9799999999996</v>
      </c>
      <c r="AA53" s="3562">
        <f t="shared" ref="AA53:AA54" si="216">M53+Y53</f>
        <v>0</v>
      </c>
      <c r="AB53" s="3562">
        <f t="shared" si="5"/>
        <v>2542.6999999999998</v>
      </c>
      <c r="AC53" s="1134">
        <f t="shared" si="201"/>
        <v>0</v>
      </c>
      <c r="AD53" s="1134">
        <f>AD10+AD17+AD31+AD24</f>
        <v>0</v>
      </c>
      <c r="AE53" s="782">
        <f t="shared" si="202"/>
        <v>0</v>
      </c>
      <c r="AF53" s="782">
        <f t="shared" si="6"/>
        <v>2542.6999999999998</v>
      </c>
      <c r="AG53" s="1134">
        <f t="shared" si="203"/>
        <v>0</v>
      </c>
      <c r="AH53" s="1134">
        <f>AH10+AH17+AH31+AH24</f>
        <v>0</v>
      </c>
      <c r="AI53" s="782">
        <f t="shared" si="204"/>
        <v>0</v>
      </c>
      <c r="AJ53" s="782">
        <f t="shared" si="181"/>
        <v>2542.6999999999998</v>
      </c>
      <c r="AK53" s="1134">
        <f t="shared" si="205"/>
        <v>0</v>
      </c>
      <c r="AL53" s="1134">
        <f>AL10+AL17+AL31+AL24</f>
        <v>0</v>
      </c>
      <c r="AM53" s="781">
        <f t="shared" ref="AM53:AM55" si="217">AC53+AG53+AK53</f>
        <v>0</v>
      </c>
      <c r="AN53" s="781">
        <f t="shared" si="183"/>
        <v>0</v>
      </c>
      <c r="AO53" s="782">
        <f t="shared" si="206"/>
        <v>0</v>
      </c>
      <c r="AP53" s="782">
        <f t="shared" si="184"/>
        <v>2542.6999999999998</v>
      </c>
      <c r="AQ53" s="1134">
        <f t="shared" si="207"/>
        <v>0</v>
      </c>
      <c r="AR53" s="1134">
        <f>AR10+AR17+AR31+AR24</f>
        <v>0</v>
      </c>
      <c r="AS53" s="782">
        <f t="shared" si="208"/>
        <v>0</v>
      </c>
      <c r="AT53" s="782">
        <f t="shared" si="185"/>
        <v>2542.6999999999998</v>
      </c>
      <c r="AU53" s="1134">
        <f t="shared" si="209"/>
        <v>0</v>
      </c>
      <c r="AV53" s="1134">
        <f>AV10+AV17+AV31+AV24</f>
        <v>0</v>
      </c>
      <c r="AW53" s="782">
        <f t="shared" si="210"/>
        <v>0</v>
      </c>
      <c r="AX53" s="782">
        <f t="shared" si="186"/>
        <v>2542.6999999999998</v>
      </c>
      <c r="AY53" s="1134">
        <f t="shared" si="211"/>
        <v>0</v>
      </c>
      <c r="AZ53" s="1134">
        <f>AZ10+AZ17+AZ31+AZ24</f>
        <v>0</v>
      </c>
      <c r="BA53" s="781">
        <f t="shared" ref="BA53:BA55" si="218">AQ53+AU53+AY53</f>
        <v>0</v>
      </c>
      <c r="BB53" s="781">
        <f t="shared" si="188"/>
        <v>0</v>
      </c>
      <c r="BC53" s="3562">
        <f t="shared" si="212"/>
        <v>0</v>
      </c>
      <c r="BD53" s="3562">
        <f t="shared" si="189"/>
        <v>0</v>
      </c>
      <c r="BE53" s="782">
        <f t="shared" si="213"/>
        <v>0</v>
      </c>
      <c r="BF53" s="782">
        <f t="shared" si="190"/>
        <v>2542.6999999999998</v>
      </c>
      <c r="BG53" s="26"/>
      <c r="BH53" s="26"/>
      <c r="BI53" s="26"/>
      <c r="BJ53" s="26"/>
      <c r="BK53" s="26"/>
    </row>
    <row r="54" spans="1:63" x14ac:dyDescent="0.25">
      <c r="A54" s="93"/>
      <c r="B54" s="3564" t="s">
        <v>1848</v>
      </c>
      <c r="C54" s="706" t="s">
        <v>50</v>
      </c>
      <c r="D54" s="3570">
        <f t="shared" si="191"/>
        <v>25000</v>
      </c>
      <c r="E54" s="1134">
        <f t="shared" si="191"/>
        <v>2083.3333333333335</v>
      </c>
      <c r="F54" s="1134">
        <f>F11+F18+F32+F25</f>
        <v>1095.8900000000001</v>
      </c>
      <c r="G54" s="1134">
        <f t="shared" ref="G54" si="219">+G11+G18+G25+G32</f>
        <v>2083</v>
      </c>
      <c r="H54" s="1134">
        <f>H11+H18+H32+H25</f>
        <v>2405.23</v>
      </c>
      <c r="I54" s="782">
        <f t="shared" si="193"/>
        <v>4166.3333333333339</v>
      </c>
      <c r="J54" s="782">
        <f t="shared" si="0"/>
        <v>3501.12</v>
      </c>
      <c r="K54" s="1134">
        <f t="shared" si="194"/>
        <v>2083</v>
      </c>
      <c r="L54" s="1134">
        <f>L11+L18+L32+L25</f>
        <v>6803.8099999999995</v>
      </c>
      <c r="M54" s="781">
        <f t="shared" ref="M54" si="220">E54+G54+K54</f>
        <v>6249.3333333333339</v>
      </c>
      <c r="N54" s="781">
        <f t="shared" si="1"/>
        <v>10304.93</v>
      </c>
      <c r="O54" s="1134">
        <f t="shared" si="196"/>
        <v>83</v>
      </c>
      <c r="P54" s="1134">
        <f>P11+P18+P32+P25</f>
        <v>3865.3599999999997</v>
      </c>
      <c r="Q54" s="782">
        <f t="shared" si="197"/>
        <v>6332.3333333333339</v>
      </c>
      <c r="R54" s="782">
        <f t="shared" si="2"/>
        <v>14170.29</v>
      </c>
      <c r="S54" s="1134">
        <f t="shared" si="198"/>
        <v>2083.3333333333335</v>
      </c>
      <c r="T54" s="1134">
        <f>T11+T18+T32+T25</f>
        <v>6257.93</v>
      </c>
      <c r="U54" s="782">
        <f t="shared" si="199"/>
        <v>8415.6666666666679</v>
      </c>
      <c r="V54" s="782">
        <f t="shared" si="3"/>
        <v>20428.22</v>
      </c>
      <c r="W54" s="1134">
        <f t="shared" si="200"/>
        <v>83.333333333333329</v>
      </c>
      <c r="X54" s="1134">
        <f>X11+X18+X32+X25</f>
        <v>5182.59</v>
      </c>
      <c r="Y54" s="781">
        <f t="shared" si="215"/>
        <v>2249.666666666667</v>
      </c>
      <c r="Z54" s="781">
        <f t="shared" si="4"/>
        <v>15305.880000000001</v>
      </c>
      <c r="AA54" s="3562">
        <f t="shared" si="216"/>
        <v>8499</v>
      </c>
      <c r="AB54" s="3562">
        <f t="shared" si="5"/>
        <v>25610.81</v>
      </c>
      <c r="AC54" s="1134">
        <f t="shared" si="201"/>
        <v>2100</v>
      </c>
      <c r="AD54" s="1134">
        <f>AD11+AD18+AD32+AD25</f>
        <v>4044.2099999999996</v>
      </c>
      <c r="AE54" s="782">
        <f t="shared" si="202"/>
        <v>10599</v>
      </c>
      <c r="AF54" s="782">
        <f t="shared" si="6"/>
        <v>29655.02</v>
      </c>
      <c r="AG54" s="1134">
        <f t="shared" si="203"/>
        <v>2100</v>
      </c>
      <c r="AH54" s="1134">
        <f>AH11+AH18+AH32+AH25</f>
        <v>5778.3499999999995</v>
      </c>
      <c r="AI54" s="782">
        <f t="shared" si="204"/>
        <v>12699</v>
      </c>
      <c r="AJ54" s="782">
        <f t="shared" si="181"/>
        <v>35433.370000000003</v>
      </c>
      <c r="AK54" s="1134">
        <f t="shared" si="205"/>
        <v>2100</v>
      </c>
      <c r="AL54" s="1134">
        <f>AL11+AL18+AL32+AL25</f>
        <v>3912.49</v>
      </c>
      <c r="AM54" s="781">
        <f t="shared" si="217"/>
        <v>6300</v>
      </c>
      <c r="AN54" s="781">
        <f>AD54+AH54+AL54</f>
        <v>13735.05</v>
      </c>
      <c r="AO54" s="782">
        <f t="shared" si="206"/>
        <v>14799</v>
      </c>
      <c r="AP54" s="782">
        <f t="shared" si="184"/>
        <v>39345.86</v>
      </c>
      <c r="AQ54" s="1134">
        <f t="shared" si="207"/>
        <v>2200</v>
      </c>
      <c r="AR54" s="1134">
        <f>AR11+AR18+AR32+AR25</f>
        <v>3486.44</v>
      </c>
      <c r="AS54" s="782">
        <f t="shared" si="208"/>
        <v>16999</v>
      </c>
      <c r="AT54" s="782">
        <f t="shared" si="185"/>
        <v>42832.3</v>
      </c>
      <c r="AU54" s="1134">
        <f t="shared" si="209"/>
        <v>2100</v>
      </c>
      <c r="AV54" s="1134">
        <f>AV11+AV18+AV32+AV25</f>
        <v>1080.8899999999999</v>
      </c>
      <c r="AW54" s="782">
        <f t="shared" si="210"/>
        <v>19099</v>
      </c>
      <c r="AX54" s="782">
        <f t="shared" si="186"/>
        <v>43913.19</v>
      </c>
      <c r="AY54" s="1134">
        <f t="shared" si="211"/>
        <v>2100</v>
      </c>
      <c r="AZ54" s="1134">
        <f>AZ11+AZ18+AZ32+AZ25</f>
        <v>6965.79</v>
      </c>
      <c r="BA54" s="781">
        <f t="shared" si="218"/>
        <v>6400</v>
      </c>
      <c r="BB54" s="781">
        <f>AR54+AV54+AZ54</f>
        <v>11533.119999999999</v>
      </c>
      <c r="BC54" s="3562">
        <f t="shared" si="212"/>
        <v>12700</v>
      </c>
      <c r="BD54" s="3562">
        <f t="shared" si="189"/>
        <v>25268.17</v>
      </c>
      <c r="BE54" s="782">
        <f t="shared" si="213"/>
        <v>21199</v>
      </c>
      <c r="BF54" s="782">
        <f t="shared" si="190"/>
        <v>50878.98</v>
      </c>
      <c r="BG54" s="26"/>
      <c r="BH54" s="26"/>
      <c r="BI54" s="26"/>
      <c r="BJ54" s="26"/>
      <c r="BK54" s="26"/>
    </row>
    <row r="55" spans="1:63" x14ac:dyDescent="0.25">
      <c r="A55" s="93"/>
      <c r="B55" s="3564" t="s">
        <v>2</v>
      </c>
      <c r="C55" s="706" t="s">
        <v>50</v>
      </c>
      <c r="D55" s="1774">
        <f>+D33+D26+D19+D12</f>
        <v>2674798</v>
      </c>
      <c r="E55" s="457">
        <f t="shared" ref="E55:F55" si="221">SUM(E50:E54)</f>
        <v>228999.81536860342</v>
      </c>
      <c r="F55" s="457">
        <f t="shared" si="221"/>
        <v>175891</v>
      </c>
      <c r="G55" s="457">
        <f t="shared" ref="G55:H55" si="222">SUM(G50:G54)</f>
        <v>236499.57667165712</v>
      </c>
      <c r="H55" s="457">
        <f t="shared" si="222"/>
        <v>217466.03</v>
      </c>
      <c r="I55" s="376">
        <f t="shared" si="193"/>
        <v>465499.39204026054</v>
      </c>
      <c r="J55" s="782">
        <f t="shared" si="0"/>
        <v>393357.03</v>
      </c>
      <c r="K55" s="457">
        <f t="shared" ref="K55:L55" si="223">SUM(K50:K54)</f>
        <v>229000.11088311524</v>
      </c>
      <c r="L55" s="457">
        <f t="shared" si="223"/>
        <v>218504.38999999998</v>
      </c>
      <c r="M55" s="378">
        <f>E55+G55+K55</f>
        <v>694499.50292337581</v>
      </c>
      <c r="N55" s="781">
        <f t="shared" si="1"/>
        <v>611861.42000000004</v>
      </c>
      <c r="O55" s="457">
        <f t="shared" ref="O55:P55" si="224">SUM(O50:O54)</f>
        <v>231500.14135532093</v>
      </c>
      <c r="P55" s="457">
        <f t="shared" si="224"/>
        <v>243623.83</v>
      </c>
      <c r="Q55" s="376">
        <f t="shared" si="197"/>
        <v>925999.64427869674</v>
      </c>
      <c r="R55" s="782">
        <f t="shared" si="2"/>
        <v>855485.25</v>
      </c>
      <c r="S55" s="457">
        <f t="shared" ref="S55:T55" si="225">SUM(S50:S54)</f>
        <v>231500.14135532093</v>
      </c>
      <c r="T55" s="457">
        <f t="shared" si="225"/>
        <v>246318.72999999998</v>
      </c>
      <c r="U55" s="376">
        <f t="shared" si="199"/>
        <v>1157499.7856340175</v>
      </c>
      <c r="V55" s="782">
        <f t="shared" si="3"/>
        <v>1101803.98</v>
      </c>
      <c r="W55" s="457">
        <f t="shared" ref="W55:X55" si="226">SUM(W50:W54)</f>
        <v>121300.0147648532</v>
      </c>
      <c r="X55" s="457">
        <f t="shared" si="226"/>
        <v>207265.33000000005</v>
      </c>
      <c r="Y55" s="378">
        <f t="shared" ref="Y55" si="227">O55+S55+W55</f>
        <v>584300.29747549503</v>
      </c>
      <c r="Z55" s="781">
        <f t="shared" si="4"/>
        <v>697207.89</v>
      </c>
      <c r="AA55" s="3565">
        <f>M55+Y55</f>
        <v>1278799.8003988708</v>
      </c>
      <c r="AB55" s="3562">
        <f t="shared" si="5"/>
        <v>1309069.31</v>
      </c>
      <c r="AC55" s="457">
        <f t="shared" ref="AC55:AD55" si="228">SUM(AC50:AC54)</f>
        <v>226841.09386753975</v>
      </c>
      <c r="AD55" s="457">
        <f t="shared" si="228"/>
        <v>179510.6</v>
      </c>
      <c r="AE55" s="376">
        <f t="shared" si="202"/>
        <v>1505640.8942664105</v>
      </c>
      <c r="AF55" s="782">
        <f t="shared" si="6"/>
        <v>1488579.9100000001</v>
      </c>
      <c r="AG55" s="457">
        <f t="shared" ref="AG55:AH55" si="229">SUM(AG50:AG54)</f>
        <v>223180.91557330103</v>
      </c>
      <c r="AH55" s="457">
        <f t="shared" si="229"/>
        <v>74122.210000000021</v>
      </c>
      <c r="AI55" s="376">
        <f t="shared" si="204"/>
        <v>1728821.8098397115</v>
      </c>
      <c r="AJ55" s="376">
        <f t="shared" si="181"/>
        <v>1562702.12</v>
      </c>
      <c r="AK55" s="457">
        <f t="shared" ref="AK55:AL55" si="230">SUM(AK50:AK54)</f>
        <v>225210.06226252159</v>
      </c>
      <c r="AL55" s="457">
        <f t="shared" si="230"/>
        <v>198118.31999999998</v>
      </c>
      <c r="AM55" s="378">
        <f t="shared" si="217"/>
        <v>675232.0717033624</v>
      </c>
      <c r="AN55" s="378">
        <f t="shared" ref="AN55" si="231">AD55+AH55+AL55</f>
        <v>451751.13</v>
      </c>
      <c r="AO55" s="376">
        <f t="shared" si="206"/>
        <v>1954031.8721022331</v>
      </c>
      <c r="AP55" s="376">
        <f t="shared" si="184"/>
        <v>1760820.4400000002</v>
      </c>
      <c r="AQ55" s="457">
        <f t="shared" ref="AQ55:AR55" si="232">SUM(AQ50:AQ54)</f>
        <v>226839.61226252161</v>
      </c>
      <c r="AR55" s="457">
        <f t="shared" si="232"/>
        <v>238976.33999999997</v>
      </c>
      <c r="AS55" s="376">
        <f t="shared" si="208"/>
        <v>2180871.4843647545</v>
      </c>
      <c r="AT55" s="376">
        <f t="shared" si="185"/>
        <v>1999796.7800000003</v>
      </c>
      <c r="AU55" s="457">
        <f t="shared" ref="AU55:AV55" si="233">SUM(AU50:AU54)</f>
        <v>207657.99609174184</v>
      </c>
      <c r="AV55" s="457">
        <f t="shared" si="233"/>
        <v>188740.32</v>
      </c>
      <c r="AW55" s="376">
        <f t="shared" si="210"/>
        <v>2388529.4804564966</v>
      </c>
      <c r="AX55" s="376">
        <f t="shared" si="186"/>
        <v>2188537.1</v>
      </c>
      <c r="AY55" s="457">
        <f t="shared" ref="AY55:AZ55" si="234">SUM(AY50:AY54)</f>
        <v>230952.61226252158</v>
      </c>
      <c r="AZ55" s="457">
        <f t="shared" si="234"/>
        <v>266136.09999999992</v>
      </c>
      <c r="BA55" s="378">
        <f t="shared" si="218"/>
        <v>665450.22061678511</v>
      </c>
      <c r="BB55" s="378">
        <f t="shared" ref="BB55" si="235">AR55+AV55+AZ55</f>
        <v>693852.75999999989</v>
      </c>
      <c r="BC55" s="3565">
        <f>AM55+BA55</f>
        <v>1340682.2923201476</v>
      </c>
      <c r="BD55" s="3565">
        <f>AN55+BB55</f>
        <v>1145603.8899999999</v>
      </c>
      <c r="BE55" s="376">
        <f t="shared" si="213"/>
        <v>2619482.092719018</v>
      </c>
      <c r="BF55" s="376">
        <f t="shared" si="190"/>
        <v>2454673.2000000002</v>
      </c>
      <c r="BG55" s="26"/>
      <c r="BH55" s="26"/>
      <c r="BI55" s="26"/>
      <c r="BJ55" s="26"/>
      <c r="BK55" s="26"/>
    </row>
    <row r="56" spans="1:63" x14ac:dyDescent="0.25">
      <c r="A56" s="93"/>
      <c r="B56" s="3568" t="s">
        <v>1105</v>
      </c>
      <c r="C56" s="813" t="s">
        <v>49</v>
      </c>
      <c r="D56" s="813"/>
      <c r="E56" s="209"/>
      <c r="F56" s="209">
        <f>+((F50+F52+F53+F54)/F55)*100</f>
        <v>72.408110704925193</v>
      </c>
      <c r="G56" s="209"/>
      <c r="H56" s="209">
        <f>+((H50+H52+H53+H54)/H55)*100</f>
        <v>66.392433797591281</v>
      </c>
      <c r="I56" s="3571"/>
      <c r="J56" s="209">
        <f>+((J50+J52+J53+J54)/J55)*100</f>
        <v>69.082365198862689</v>
      </c>
      <c r="K56" s="209"/>
      <c r="L56" s="209">
        <f>+((L50+L52+L53+L54)/L55)*100</f>
        <v>58.226038387604021</v>
      </c>
      <c r="M56" s="620"/>
      <c r="N56" s="209">
        <f>+((N50+N52+N53+N54)/N55)*100</f>
        <v>65.205416939018619</v>
      </c>
      <c r="O56" s="209"/>
      <c r="P56" s="209">
        <f>+((P50+P52+P53+P54)/P55)*100</f>
        <v>57.773170219021672</v>
      </c>
      <c r="Q56" s="3571"/>
      <c r="R56" s="209">
        <f>+((R50+R52+R53+R54)/R55)*100</f>
        <v>63.088872660282561</v>
      </c>
      <c r="S56" s="209"/>
      <c r="T56" s="209">
        <f>+((T50+T52+T53+T54)/T55)*100</f>
        <v>63.864152758501156</v>
      </c>
      <c r="U56" s="3571"/>
      <c r="V56" s="209">
        <f>+((V50+V52+V53+V54)/V55)*100</f>
        <v>63.262193879531978</v>
      </c>
      <c r="W56" s="209"/>
      <c r="X56" s="209">
        <f>+((X50+X52+X53+X54)/X55)*100</f>
        <v>59.893162064297002</v>
      </c>
      <c r="Y56" s="620"/>
      <c r="Z56" s="209">
        <f>+((Z50+Z52+Z53+Z54)/Z55)*100</f>
        <v>60.555301518461015</v>
      </c>
      <c r="AA56" s="3572"/>
      <c r="AB56" s="209">
        <f>+((AB50+AB52+AB53+AB54)/AB55)*100</f>
        <v>62.72877407843287</v>
      </c>
      <c r="AC56" s="209"/>
      <c r="AD56" s="209">
        <f>+((AD50+AD52+AD53+AD54)/AD55)*100</f>
        <v>68.745578255545922</v>
      </c>
      <c r="AE56" s="3571"/>
      <c r="AF56" s="209">
        <f>+((AF50+AF52+AF53+AF54)/AF55)*100</f>
        <v>63.454351604140612</v>
      </c>
      <c r="AG56" s="209"/>
      <c r="AH56" s="209">
        <f>+((AH50+AH52+AH53+AH54)/AH55)*100</f>
        <v>82.522741834060255</v>
      </c>
      <c r="AI56" s="3571"/>
      <c r="AJ56" s="209">
        <f>+((AJ50+AJ52+AJ53+AJ54)/AJ55)*100</f>
        <v>64.358804990934544</v>
      </c>
      <c r="AK56" s="209"/>
      <c r="AL56" s="209">
        <f>+((AL50+AL52+AL53+AL54)/AL55)*100</f>
        <v>72.454682636113603</v>
      </c>
      <c r="AM56" s="620"/>
      <c r="AN56" s="209">
        <f>+((AN50+AN52+AN53+AN54)/AN55)*100</f>
        <v>72.632752462622491</v>
      </c>
      <c r="AO56" s="3571"/>
      <c r="AP56" s="209">
        <f>+((AP50+AP52+AP53+AP54)/AP55)*100</f>
        <v>65.269710862738506</v>
      </c>
      <c r="AQ56" s="209"/>
      <c r="AR56" s="209">
        <f>+((AR50+AR52+AR53+AR54)/AR55)*100</f>
        <v>74.667739074085745</v>
      </c>
      <c r="AS56" s="3571"/>
      <c r="AT56" s="3571">
        <f>+((AT50+AT52+AT53+AT54)/AT55)*100</f>
        <v>66.392778170189871</v>
      </c>
      <c r="AU56" s="209"/>
      <c r="AV56" s="209">
        <f>+((AV50+AV52+AV53+AV54)/AV55)*100</f>
        <v>72.915781853077291</v>
      </c>
      <c r="AW56" s="3571"/>
      <c r="AX56" s="3571">
        <f>+((AX50+AX52+AX53+AX54)/AX55)*100</f>
        <v>66.95532463214812</v>
      </c>
      <c r="AY56" s="209"/>
      <c r="AZ56" s="209">
        <f>+((AZ50+AZ52+AZ53+AZ54)/AZ55)*100</f>
        <v>74.21509145132886</v>
      </c>
      <c r="BA56" s="620"/>
      <c r="BB56" s="620">
        <f>+((BB50+BB52+BB53+BB54)/BB55)*100</f>
        <v>74.017556693152017</v>
      </c>
      <c r="BC56" s="3572"/>
      <c r="BD56" s="3572">
        <f>+((BD50+BD52+BD53+BD54)/BD55)*100</f>
        <v>73.47148061796473</v>
      </c>
      <c r="BE56" s="3571"/>
      <c r="BF56" s="3571">
        <f>+((BF50+BF52+BF53+BF54)/BF55)*100</f>
        <v>67.742429827318759</v>
      </c>
      <c r="BG56" s="26"/>
      <c r="BH56" s="26"/>
      <c r="BI56" s="26"/>
      <c r="BJ56" s="26"/>
      <c r="BK56" s="26"/>
    </row>
    <row r="57" spans="1:63" x14ac:dyDescent="0.25">
      <c r="A57" s="154"/>
      <c r="B57" s="861" t="s">
        <v>140</v>
      </c>
      <c r="C57" s="861"/>
      <c r="D57" s="861"/>
      <c r="E57" s="861"/>
      <c r="F57" s="861"/>
      <c r="G57" s="861"/>
      <c r="H57" s="861"/>
      <c r="I57" s="861"/>
      <c r="J57" s="782">
        <f t="shared" si="0"/>
        <v>0</v>
      </c>
      <c r="K57" s="861"/>
      <c r="L57" s="861"/>
      <c r="M57" s="861"/>
      <c r="N57" s="781">
        <f t="shared" si="1"/>
        <v>0</v>
      </c>
      <c r="O57" s="861"/>
      <c r="P57" s="861"/>
      <c r="Q57" s="861"/>
      <c r="R57" s="782">
        <f t="shared" si="2"/>
        <v>0</v>
      </c>
      <c r="S57" s="861"/>
      <c r="T57" s="861"/>
      <c r="U57" s="861"/>
      <c r="V57" s="782">
        <f t="shared" si="3"/>
        <v>0</v>
      </c>
      <c r="W57" s="861"/>
      <c r="X57" s="861"/>
      <c r="Y57" s="861"/>
      <c r="Z57" s="781">
        <f t="shared" si="4"/>
        <v>0</v>
      </c>
      <c r="AA57" s="861"/>
      <c r="AB57" s="3562">
        <f t="shared" si="5"/>
        <v>0</v>
      </c>
      <c r="AC57" s="861"/>
      <c r="AD57" s="861"/>
      <c r="AE57" s="861"/>
      <c r="AF57" s="782">
        <f t="shared" si="6"/>
        <v>0</v>
      </c>
      <c r="AG57" s="861"/>
      <c r="AH57" s="861"/>
      <c r="AI57" s="861"/>
      <c r="AJ57" s="861"/>
      <c r="AK57" s="861"/>
      <c r="AL57" s="861"/>
      <c r="AM57" s="861"/>
      <c r="AN57" s="861"/>
      <c r="AO57" s="861"/>
      <c r="AP57" s="861"/>
      <c r="AQ57" s="861"/>
      <c r="AR57" s="861"/>
      <c r="AS57" s="861"/>
      <c r="AT57" s="861"/>
      <c r="AU57" s="861"/>
      <c r="AV57" s="861"/>
      <c r="AW57" s="861"/>
      <c r="AX57" s="861"/>
      <c r="AY57" s="861"/>
      <c r="AZ57" s="861"/>
      <c r="BA57" s="861"/>
      <c r="BB57" s="861"/>
      <c r="BC57" s="861"/>
      <c r="BD57" s="861"/>
      <c r="BE57" s="861"/>
      <c r="BF57" s="861"/>
      <c r="BG57" s="26"/>
      <c r="BH57" s="26"/>
      <c r="BI57" s="26"/>
      <c r="BJ57" s="26"/>
      <c r="BK57" s="26"/>
    </row>
    <row r="58" spans="1:63" x14ac:dyDescent="0.25">
      <c r="A58" s="93"/>
      <c r="B58" s="1018" t="s">
        <v>114</v>
      </c>
      <c r="C58" s="159" t="s">
        <v>50</v>
      </c>
      <c r="D58" s="159">
        <f>+D12</f>
        <v>500000</v>
      </c>
      <c r="E58" s="1201">
        <f>+E12</f>
        <v>42500</v>
      </c>
      <c r="F58" s="1201">
        <f>+F12</f>
        <v>33332.799999999996</v>
      </c>
      <c r="G58" s="1201">
        <f>+G12</f>
        <v>44000</v>
      </c>
      <c r="H58" s="1201">
        <f>+H12</f>
        <v>39367.019999999997</v>
      </c>
      <c r="I58" s="782">
        <f t="shared" ref="I58:I62" si="236">E58+G58</f>
        <v>86500</v>
      </c>
      <c r="J58" s="782">
        <f t="shared" si="0"/>
        <v>72699.819999999992</v>
      </c>
      <c r="K58" s="1201">
        <f>+K12</f>
        <v>42500</v>
      </c>
      <c r="L58" s="1201">
        <f>+L12</f>
        <v>37508.06</v>
      </c>
      <c r="M58" s="781">
        <f>E58+G58+K58</f>
        <v>129000</v>
      </c>
      <c r="N58" s="781">
        <f t="shared" si="1"/>
        <v>110207.87999999999</v>
      </c>
      <c r="O58" s="1201">
        <f>+O12</f>
        <v>44000</v>
      </c>
      <c r="P58" s="1201">
        <f>+P12</f>
        <v>44197.29</v>
      </c>
      <c r="Q58" s="782">
        <f t="shared" ref="Q58:Q62" si="237">M58+O58</f>
        <v>173000</v>
      </c>
      <c r="R58" s="782">
        <f t="shared" si="2"/>
        <v>154405.16999999998</v>
      </c>
      <c r="S58" s="1201">
        <f>+S12</f>
        <v>44000</v>
      </c>
      <c r="T58" s="1201">
        <f>+T12</f>
        <v>42211.7</v>
      </c>
      <c r="U58" s="782">
        <f t="shared" ref="U58:U62" si="238">Q58+S58</f>
        <v>217000</v>
      </c>
      <c r="V58" s="782">
        <f t="shared" si="3"/>
        <v>196616.87</v>
      </c>
      <c r="W58" s="1201">
        <f>+W12</f>
        <v>25000</v>
      </c>
      <c r="X58" s="1201">
        <f>+X12</f>
        <v>37026.69000000001</v>
      </c>
      <c r="Y58" s="781">
        <f>O58+S58+W58</f>
        <v>113000</v>
      </c>
      <c r="Z58" s="781">
        <f t="shared" si="4"/>
        <v>123435.68</v>
      </c>
      <c r="AA58" s="3562">
        <f t="shared" ref="AA58:AA62" si="239">M58+Y58</f>
        <v>242000</v>
      </c>
      <c r="AB58" s="3562">
        <f t="shared" si="5"/>
        <v>233643.56</v>
      </c>
      <c r="AC58" s="1201">
        <f>+AC12</f>
        <v>45500</v>
      </c>
      <c r="AD58" s="1201">
        <f>+AD12</f>
        <v>37048.140000000014</v>
      </c>
      <c r="AE58" s="782">
        <f t="shared" ref="AE58:AE62" si="240">AA58+AC58</f>
        <v>287500</v>
      </c>
      <c r="AF58" s="782">
        <f t="shared" si="6"/>
        <v>270691.7</v>
      </c>
      <c r="AG58" s="1201">
        <f>+AG12</f>
        <v>44000</v>
      </c>
      <c r="AH58" s="1201">
        <f>+AH12</f>
        <v>30159.91</v>
      </c>
      <c r="AI58" s="782">
        <f t="shared" ref="AI58:AI62" si="241">AE58+AG58</f>
        <v>331500</v>
      </c>
      <c r="AJ58" s="782">
        <f t="shared" ref="AJ58:AJ62" si="242">AF58+AH58</f>
        <v>300851.61</v>
      </c>
      <c r="AK58" s="1201">
        <f>+AK12</f>
        <v>45500</v>
      </c>
      <c r="AL58" s="1201">
        <f>+AL12</f>
        <v>37390.05999999999</v>
      </c>
      <c r="AM58" s="781">
        <f>AC58+AG58+AK58</f>
        <v>135000</v>
      </c>
      <c r="AN58" s="781">
        <f>AD58+AH58+AL58</f>
        <v>104598.11000000002</v>
      </c>
      <c r="AO58" s="782">
        <f t="shared" ref="AO58" si="243">AI58+AK58</f>
        <v>377000</v>
      </c>
      <c r="AP58" s="782">
        <f t="shared" ref="AP58" si="244">AJ58+AL58</f>
        <v>338241.67</v>
      </c>
      <c r="AQ58" s="1201">
        <f>+AQ12</f>
        <v>45500</v>
      </c>
      <c r="AR58" s="1201">
        <f>+AR12</f>
        <v>37025.609999999993</v>
      </c>
      <c r="AS58" s="782">
        <f t="shared" ref="AS58:AS62" si="245">AO58+AQ58</f>
        <v>422500</v>
      </c>
      <c r="AT58" s="782">
        <f t="shared" ref="AT58:AT62" si="246">AP58+AR58</f>
        <v>375267.27999999997</v>
      </c>
      <c r="AU58" s="1201">
        <f>+AU12</f>
        <v>40500</v>
      </c>
      <c r="AV58" s="1201">
        <f>+AV12</f>
        <v>32967.389999999992</v>
      </c>
      <c r="AW58" s="782">
        <f t="shared" ref="AW58:AW62" si="247">AS58+AU58</f>
        <v>463000</v>
      </c>
      <c r="AX58" s="782">
        <f t="shared" ref="AX58:AX62" si="248">AT58+AV58</f>
        <v>408234.67</v>
      </c>
      <c r="AY58" s="1201">
        <f>+AY12</f>
        <v>45500</v>
      </c>
      <c r="AZ58" s="1201">
        <f>+AZ12</f>
        <v>44837.42</v>
      </c>
      <c r="BA58" s="781">
        <f>AQ58+AU58+AY58</f>
        <v>131500</v>
      </c>
      <c r="BB58" s="781">
        <f>AR58+AV58+AZ58</f>
        <v>114830.41999999998</v>
      </c>
      <c r="BC58" s="3562">
        <f t="shared" ref="BC58:BC61" si="249">AM58+BA58</f>
        <v>266500</v>
      </c>
      <c r="BD58" s="3562">
        <f t="shared" ref="BD58:BD61" si="250">AN58+BB58</f>
        <v>219428.53</v>
      </c>
      <c r="BE58" s="782">
        <f t="shared" ref="BE58:BE62" si="251">AW58+AY58</f>
        <v>508500</v>
      </c>
      <c r="BF58" s="782">
        <f t="shared" ref="BF58:BF62" si="252">AX58+AZ58</f>
        <v>453072.08999999997</v>
      </c>
      <c r="BG58" s="26"/>
      <c r="BH58" s="26"/>
      <c r="BI58" s="26"/>
      <c r="BJ58" s="26"/>
      <c r="BK58" s="26"/>
    </row>
    <row r="59" spans="1:63" x14ac:dyDescent="0.25">
      <c r="A59" s="93"/>
      <c r="B59" s="1018" t="s">
        <v>95</v>
      </c>
      <c r="C59" s="159" t="s">
        <v>50</v>
      </c>
      <c r="D59" s="159">
        <f>+D19</f>
        <v>900000</v>
      </c>
      <c r="E59" s="1201">
        <f>+E19</f>
        <v>76000</v>
      </c>
      <c r="F59" s="1201">
        <f>+F19</f>
        <v>60011.209999999992</v>
      </c>
      <c r="G59" s="1201">
        <f>+G19</f>
        <v>79000</v>
      </c>
      <c r="H59" s="1201">
        <f>+H19</f>
        <v>67347.899999999994</v>
      </c>
      <c r="I59" s="782">
        <f t="shared" si="236"/>
        <v>155000</v>
      </c>
      <c r="J59" s="782">
        <f t="shared" si="0"/>
        <v>127359.10999999999</v>
      </c>
      <c r="K59" s="1201">
        <f>+K19</f>
        <v>76000</v>
      </c>
      <c r="L59" s="1201">
        <f>+L19</f>
        <v>73175.62999999999</v>
      </c>
      <c r="M59" s="781">
        <f t="shared" ref="M59:M61" si="253">E59+G59+K59</f>
        <v>231000</v>
      </c>
      <c r="N59" s="781">
        <f t="shared" si="1"/>
        <v>200534.74</v>
      </c>
      <c r="O59" s="1201">
        <f>+O19</f>
        <v>79000</v>
      </c>
      <c r="P59" s="1201">
        <f>+P19</f>
        <v>84102.500000000015</v>
      </c>
      <c r="Q59" s="782">
        <f t="shared" si="237"/>
        <v>310000</v>
      </c>
      <c r="R59" s="782">
        <f t="shared" si="2"/>
        <v>284637.24</v>
      </c>
      <c r="S59" s="1201">
        <f>+S19</f>
        <v>79000</v>
      </c>
      <c r="T59" s="1201">
        <f>+T19</f>
        <v>86905.93</v>
      </c>
      <c r="U59" s="782">
        <f t="shared" si="238"/>
        <v>389000</v>
      </c>
      <c r="V59" s="782">
        <f t="shared" si="3"/>
        <v>371543.17</v>
      </c>
      <c r="W59" s="1201">
        <f>+W19</f>
        <v>47500</v>
      </c>
      <c r="X59" s="1201">
        <f>+X19</f>
        <v>68689.990000000005</v>
      </c>
      <c r="Y59" s="781">
        <f t="shared" ref="Y59:Y61" si="254">O59+S59+W59</f>
        <v>205500</v>
      </c>
      <c r="Z59" s="781">
        <f t="shared" si="4"/>
        <v>239698.41999999998</v>
      </c>
      <c r="AA59" s="3562">
        <f t="shared" ref="AA59:AA61" si="255">M59+Y59</f>
        <v>436500</v>
      </c>
      <c r="AB59" s="3562">
        <f t="shared" si="5"/>
        <v>440233.16</v>
      </c>
      <c r="AC59" s="1201">
        <f>+AC19</f>
        <v>80000</v>
      </c>
      <c r="AD59" s="1201">
        <f>+AD19</f>
        <v>64076.47</v>
      </c>
      <c r="AE59" s="782">
        <f t="shared" si="240"/>
        <v>516500</v>
      </c>
      <c r="AF59" s="782">
        <f t="shared" si="6"/>
        <v>504309.63</v>
      </c>
      <c r="AG59" s="1201">
        <f>+AG19</f>
        <v>77500</v>
      </c>
      <c r="AH59" s="1201">
        <f>+AH19</f>
        <v>10813.23</v>
      </c>
      <c r="AI59" s="782">
        <f t="shared" si="241"/>
        <v>594000</v>
      </c>
      <c r="AJ59" s="782">
        <f t="shared" si="242"/>
        <v>515122.86</v>
      </c>
      <c r="AK59" s="1201">
        <f>+AK19</f>
        <v>80000</v>
      </c>
      <c r="AL59" s="1201">
        <f>+AL19</f>
        <v>67252.74000000002</v>
      </c>
      <c r="AM59" s="781">
        <f t="shared" ref="AM59:AM61" si="256">AC59+AG59+AK59</f>
        <v>237500</v>
      </c>
      <c r="AN59" s="781">
        <f t="shared" ref="AN59:AN61" si="257">AD59+AH59+AL59</f>
        <v>142142.44</v>
      </c>
      <c r="AO59" s="782">
        <f t="shared" ref="AO59:AO62" si="258">AI59+AK59</f>
        <v>674000</v>
      </c>
      <c r="AP59" s="782">
        <f t="shared" ref="AP59:AP62" si="259">AJ59+AL59</f>
        <v>582375.6</v>
      </c>
      <c r="AQ59" s="1201">
        <f>+AQ19</f>
        <v>80000</v>
      </c>
      <c r="AR59" s="1201">
        <f>+AR19</f>
        <v>70877.679999999993</v>
      </c>
      <c r="AS59" s="782">
        <f t="shared" si="245"/>
        <v>754000</v>
      </c>
      <c r="AT59" s="782">
        <f t="shared" si="246"/>
        <v>653253.28</v>
      </c>
      <c r="AU59" s="1201">
        <f>+AU19</f>
        <v>72500</v>
      </c>
      <c r="AV59" s="1201">
        <f>+AV19</f>
        <v>58216.86</v>
      </c>
      <c r="AW59" s="782">
        <f t="shared" si="247"/>
        <v>826500</v>
      </c>
      <c r="AX59" s="782">
        <f t="shared" si="248"/>
        <v>711470.14</v>
      </c>
      <c r="AY59" s="1201">
        <f>+AY19</f>
        <v>80000</v>
      </c>
      <c r="AZ59" s="1201">
        <f>+AZ19</f>
        <v>84208.419999999984</v>
      </c>
      <c r="BA59" s="781">
        <f t="shared" ref="BA59:BA61" si="260">AQ59+AU59+AY59</f>
        <v>232500</v>
      </c>
      <c r="BB59" s="781">
        <f t="shared" ref="BB59:BB61" si="261">AR59+AV59+AZ59</f>
        <v>213302.95999999996</v>
      </c>
      <c r="BC59" s="3562">
        <f t="shared" si="249"/>
        <v>470000</v>
      </c>
      <c r="BD59" s="3562">
        <f t="shared" si="250"/>
        <v>355445.39999999997</v>
      </c>
      <c r="BE59" s="782">
        <f t="shared" si="251"/>
        <v>906500</v>
      </c>
      <c r="BF59" s="782">
        <f t="shared" si="252"/>
        <v>795678.56</v>
      </c>
      <c r="BG59" s="26"/>
      <c r="BH59" s="26"/>
      <c r="BI59" s="26"/>
      <c r="BJ59" s="26"/>
      <c r="BK59" s="26"/>
    </row>
    <row r="60" spans="1:63" x14ac:dyDescent="0.25">
      <c r="A60" s="93"/>
      <c r="B60" s="1018" t="s">
        <v>115</v>
      </c>
      <c r="C60" s="159" t="s">
        <v>50</v>
      </c>
      <c r="D60" s="159">
        <f>+D26</f>
        <v>750000</v>
      </c>
      <c r="E60" s="1201">
        <f>+E26</f>
        <v>62000</v>
      </c>
      <c r="F60" s="1201">
        <f>+F26</f>
        <v>44122.7</v>
      </c>
      <c r="G60" s="1201">
        <f>+G26</f>
        <v>65000</v>
      </c>
      <c r="H60" s="1201">
        <f>+H26</f>
        <v>57715.999999999985</v>
      </c>
      <c r="I60" s="782">
        <f t="shared" si="236"/>
        <v>127000</v>
      </c>
      <c r="J60" s="782">
        <f t="shared" si="0"/>
        <v>101838.69999999998</v>
      </c>
      <c r="K60" s="1201">
        <f>+K26</f>
        <v>62500</v>
      </c>
      <c r="L60" s="1201">
        <f>+L26</f>
        <v>56720.68</v>
      </c>
      <c r="M60" s="781">
        <f t="shared" si="253"/>
        <v>189500</v>
      </c>
      <c r="N60" s="781">
        <f t="shared" si="1"/>
        <v>158559.37999999998</v>
      </c>
      <c r="O60" s="1201">
        <f>+O26</f>
        <v>65000</v>
      </c>
      <c r="P60" s="1201">
        <f>+P26</f>
        <v>57264.83</v>
      </c>
      <c r="Q60" s="782">
        <f t="shared" si="237"/>
        <v>254500</v>
      </c>
      <c r="R60" s="782">
        <f t="shared" si="2"/>
        <v>215824.20999999996</v>
      </c>
      <c r="S60" s="1201">
        <f>+S26</f>
        <v>65000</v>
      </c>
      <c r="T60" s="1201">
        <f>+T26</f>
        <v>47224.14</v>
      </c>
      <c r="U60" s="782">
        <f t="shared" si="238"/>
        <v>319500</v>
      </c>
      <c r="V60" s="782">
        <f t="shared" si="3"/>
        <v>263048.34999999998</v>
      </c>
      <c r="W60" s="1201">
        <f>+W26</f>
        <v>33500</v>
      </c>
      <c r="X60" s="1201">
        <f>+X26</f>
        <v>45948.119999999995</v>
      </c>
      <c r="Y60" s="781">
        <f t="shared" si="254"/>
        <v>163500</v>
      </c>
      <c r="Z60" s="781">
        <f t="shared" si="4"/>
        <v>150437.09</v>
      </c>
      <c r="AA60" s="3562">
        <f t="shared" si="255"/>
        <v>353000</v>
      </c>
      <c r="AB60" s="3562">
        <f t="shared" si="5"/>
        <v>308996.46999999997</v>
      </c>
      <c r="AC60" s="1201">
        <f>+AC26</f>
        <v>54000</v>
      </c>
      <c r="AD60" s="1201">
        <f>+AD26</f>
        <v>43303.750000000007</v>
      </c>
      <c r="AE60" s="782">
        <f t="shared" si="240"/>
        <v>407000</v>
      </c>
      <c r="AF60" s="782">
        <f t="shared" si="6"/>
        <v>352300.22</v>
      </c>
      <c r="AG60" s="1201">
        <f>+AG26</f>
        <v>52000</v>
      </c>
      <c r="AH60" s="1201">
        <f>+AH26</f>
        <v>15465.420000000002</v>
      </c>
      <c r="AI60" s="782">
        <f t="shared" si="241"/>
        <v>459000</v>
      </c>
      <c r="AJ60" s="782">
        <f t="shared" si="242"/>
        <v>367765.63999999996</v>
      </c>
      <c r="AK60" s="1201">
        <f>+AK26</f>
        <v>54000</v>
      </c>
      <c r="AL60" s="1201">
        <f>+AL26</f>
        <v>33462.999999999993</v>
      </c>
      <c r="AM60" s="781">
        <f t="shared" si="256"/>
        <v>160000</v>
      </c>
      <c r="AN60" s="781">
        <f t="shared" si="257"/>
        <v>92232.170000000013</v>
      </c>
      <c r="AO60" s="782">
        <f t="shared" si="258"/>
        <v>513000</v>
      </c>
      <c r="AP60" s="782">
        <f t="shared" si="259"/>
        <v>401228.63999999996</v>
      </c>
      <c r="AQ60" s="1201">
        <f>+AQ26</f>
        <v>54000</v>
      </c>
      <c r="AR60" s="1201">
        <f>+AR26</f>
        <v>44656.87999999999</v>
      </c>
      <c r="AS60" s="782">
        <f t="shared" si="245"/>
        <v>567000</v>
      </c>
      <c r="AT60" s="782">
        <f t="shared" si="246"/>
        <v>445885.51999999996</v>
      </c>
      <c r="AU60" s="1201">
        <f>+AU26</f>
        <v>48000</v>
      </c>
      <c r="AV60" s="1201">
        <f>+AV26</f>
        <v>47339.009999999987</v>
      </c>
      <c r="AW60" s="782">
        <f t="shared" si="247"/>
        <v>615000</v>
      </c>
      <c r="AX60" s="782">
        <f t="shared" si="248"/>
        <v>493224.52999999997</v>
      </c>
      <c r="AY60" s="1201">
        <f>+AY26</f>
        <v>60000</v>
      </c>
      <c r="AZ60" s="1201">
        <f>+AZ26</f>
        <v>68418.50999999998</v>
      </c>
      <c r="BA60" s="781">
        <f t="shared" si="260"/>
        <v>162000</v>
      </c>
      <c r="BB60" s="781">
        <f t="shared" si="261"/>
        <v>160414.39999999997</v>
      </c>
      <c r="BC60" s="3562">
        <f t="shared" si="249"/>
        <v>322000</v>
      </c>
      <c r="BD60" s="3562">
        <f t="shared" si="250"/>
        <v>252646.56999999998</v>
      </c>
      <c r="BE60" s="782">
        <f t="shared" si="251"/>
        <v>675000</v>
      </c>
      <c r="BF60" s="782">
        <f t="shared" si="252"/>
        <v>561643.03999999992</v>
      </c>
      <c r="BG60" s="26"/>
      <c r="BH60" s="26"/>
      <c r="BI60" s="26"/>
      <c r="BJ60" s="26"/>
      <c r="BK60" s="26"/>
    </row>
    <row r="61" spans="1:63" x14ac:dyDescent="0.25">
      <c r="A61" s="154"/>
      <c r="B61" s="1018" t="s">
        <v>513</v>
      </c>
      <c r="C61" s="159" t="s">
        <v>50</v>
      </c>
      <c r="D61" s="1201">
        <f>+D33</f>
        <v>524798</v>
      </c>
      <c r="E61" s="1201">
        <f>E33</f>
        <v>48499.815368603398</v>
      </c>
      <c r="F61" s="1201">
        <f>+F33</f>
        <v>38424.29</v>
      </c>
      <c r="G61" s="1201">
        <f>G33</f>
        <v>48499.576671657102</v>
      </c>
      <c r="H61" s="1201">
        <f>+H33</f>
        <v>53035.109999999993</v>
      </c>
      <c r="I61" s="782">
        <f t="shared" si="236"/>
        <v>96999.3920402605</v>
      </c>
      <c r="J61" s="782">
        <f t="shared" si="0"/>
        <v>91459.4</v>
      </c>
      <c r="K61" s="1201">
        <f>K33</f>
        <v>48000.110883115201</v>
      </c>
      <c r="L61" s="1201">
        <f>+L33</f>
        <v>51100.01999999999</v>
      </c>
      <c r="M61" s="781">
        <f t="shared" si="253"/>
        <v>144999.50292337569</v>
      </c>
      <c r="N61" s="781">
        <f t="shared" si="1"/>
        <v>142559.41999999998</v>
      </c>
      <c r="O61" s="1201">
        <f>O33</f>
        <v>43500.141355320899</v>
      </c>
      <c r="P61" s="1201">
        <f>+P33</f>
        <v>58059.210000000014</v>
      </c>
      <c r="Q61" s="782">
        <f t="shared" si="237"/>
        <v>188499.64427869659</v>
      </c>
      <c r="R61" s="782">
        <f t="shared" si="2"/>
        <v>200618.63</v>
      </c>
      <c r="S61" s="1201">
        <f>S33</f>
        <v>43500.141355320899</v>
      </c>
      <c r="T61" s="1201">
        <f>+T33</f>
        <v>69976.960000000006</v>
      </c>
      <c r="U61" s="782">
        <f t="shared" si="238"/>
        <v>231999.78563401749</v>
      </c>
      <c r="V61" s="782">
        <f t="shared" si="3"/>
        <v>270595.59000000003</v>
      </c>
      <c r="W61" s="1201">
        <f>W33</f>
        <v>15300.0147648532</v>
      </c>
      <c r="X61" s="1201">
        <f>+X33</f>
        <v>55600.530000000006</v>
      </c>
      <c r="Y61" s="781">
        <f t="shared" si="254"/>
        <v>102300.297475495</v>
      </c>
      <c r="Z61" s="781">
        <f t="shared" si="4"/>
        <v>183636.7</v>
      </c>
      <c r="AA61" s="3562">
        <f t="shared" si="255"/>
        <v>247299.80039887069</v>
      </c>
      <c r="AB61" s="3562">
        <f t="shared" si="5"/>
        <v>326196.12</v>
      </c>
      <c r="AC61" s="1201">
        <f>AC33</f>
        <v>47341.093867539748</v>
      </c>
      <c r="AD61" s="1201">
        <f>+AD33</f>
        <v>35082.239999999991</v>
      </c>
      <c r="AE61" s="782">
        <f t="shared" si="240"/>
        <v>294640.89426641044</v>
      </c>
      <c r="AF61" s="782">
        <f t="shared" si="6"/>
        <v>361278.36</v>
      </c>
      <c r="AG61" s="1201">
        <f>AG33</f>
        <v>49680.915573301019</v>
      </c>
      <c r="AH61" s="1201">
        <f>+AH33</f>
        <v>17683.650000000001</v>
      </c>
      <c r="AI61" s="782">
        <f t="shared" si="241"/>
        <v>344321.80983971147</v>
      </c>
      <c r="AJ61" s="782">
        <f t="shared" si="242"/>
        <v>378962.01</v>
      </c>
      <c r="AK61" s="1201">
        <f>AK33</f>
        <v>45710.062262521606</v>
      </c>
      <c r="AL61" s="1201">
        <f>+AL33</f>
        <v>60012.51999999999</v>
      </c>
      <c r="AM61" s="781">
        <f t="shared" si="256"/>
        <v>142732.0717033624</v>
      </c>
      <c r="AN61" s="781">
        <f t="shared" si="257"/>
        <v>112778.40999999997</v>
      </c>
      <c r="AO61" s="782">
        <f t="shared" si="258"/>
        <v>390031.87210223306</v>
      </c>
      <c r="AP61" s="782">
        <f t="shared" si="259"/>
        <v>438974.53</v>
      </c>
      <c r="AQ61" s="1201">
        <f>AQ33</f>
        <v>47339.612262521601</v>
      </c>
      <c r="AR61" s="1201">
        <f>+AR33</f>
        <v>86416.17</v>
      </c>
      <c r="AS61" s="782">
        <f t="shared" si="245"/>
        <v>437371.48436475464</v>
      </c>
      <c r="AT61" s="782">
        <f t="shared" si="246"/>
        <v>525390.70000000007</v>
      </c>
      <c r="AU61" s="1201">
        <f>AU33</f>
        <v>46657.996091741836</v>
      </c>
      <c r="AV61" s="1201">
        <f>+AV33</f>
        <v>50217.060000000005</v>
      </c>
      <c r="AW61" s="782">
        <f t="shared" si="247"/>
        <v>484029.48045649647</v>
      </c>
      <c r="AX61" s="782">
        <f t="shared" si="248"/>
        <v>575607.76000000013</v>
      </c>
      <c r="AY61" s="1201">
        <f>AY33</f>
        <v>45452.612262521594</v>
      </c>
      <c r="AZ61" s="1201">
        <f>+AZ33</f>
        <v>68671.75</v>
      </c>
      <c r="BA61" s="781">
        <f t="shared" si="260"/>
        <v>139450.22061678505</v>
      </c>
      <c r="BB61" s="781">
        <f t="shared" si="261"/>
        <v>205304.98</v>
      </c>
      <c r="BC61" s="3562">
        <f t="shared" si="249"/>
        <v>282182.29232014745</v>
      </c>
      <c r="BD61" s="3562">
        <f t="shared" si="250"/>
        <v>318083.39</v>
      </c>
      <c r="BE61" s="782">
        <f t="shared" si="251"/>
        <v>529482.09271901811</v>
      </c>
      <c r="BF61" s="782">
        <f t="shared" si="252"/>
        <v>644279.51000000013</v>
      </c>
      <c r="BG61" s="26"/>
      <c r="BH61" s="26"/>
      <c r="BI61" s="26"/>
      <c r="BJ61" s="26"/>
      <c r="BK61" s="26"/>
    </row>
    <row r="62" spans="1:63" x14ac:dyDescent="0.25">
      <c r="A62" s="93"/>
      <c r="B62" s="3564" t="s">
        <v>2</v>
      </c>
      <c r="C62" s="706" t="s">
        <v>50</v>
      </c>
      <c r="D62" s="1774">
        <f t="shared" ref="D62:F62" si="262">SUM(D58:D61)</f>
        <v>2674798</v>
      </c>
      <c r="E62" s="1774">
        <f t="shared" si="262"/>
        <v>228999.81536860339</v>
      </c>
      <c r="F62" s="1774">
        <f t="shared" si="262"/>
        <v>175890.99999999997</v>
      </c>
      <c r="G62" s="1774">
        <f t="shared" ref="G62:H62" si="263">SUM(G58:G61)</f>
        <v>236499.57667165709</v>
      </c>
      <c r="H62" s="1774">
        <f t="shared" si="263"/>
        <v>217466.02999999997</v>
      </c>
      <c r="I62" s="376">
        <f t="shared" si="236"/>
        <v>465499.39204026049</v>
      </c>
      <c r="J62" s="782">
        <f t="shared" si="0"/>
        <v>393357.02999999991</v>
      </c>
      <c r="K62" s="1774">
        <f t="shared" ref="K62:L62" si="264">SUM(K58:K61)</f>
        <v>229000.11088311521</v>
      </c>
      <c r="L62" s="1774">
        <f t="shared" si="264"/>
        <v>218504.38999999998</v>
      </c>
      <c r="M62" s="378">
        <f>E62+G62+K62</f>
        <v>694499.50292337569</v>
      </c>
      <c r="N62" s="781">
        <f t="shared" si="1"/>
        <v>611861.41999999993</v>
      </c>
      <c r="O62" s="1774">
        <f t="shared" ref="O62:P62" si="265">SUM(O58:O61)</f>
        <v>231500.1413553209</v>
      </c>
      <c r="P62" s="1774">
        <f t="shared" si="265"/>
        <v>243623.83000000002</v>
      </c>
      <c r="Q62" s="376">
        <f t="shared" si="237"/>
        <v>925999.64427869662</v>
      </c>
      <c r="R62" s="782">
        <f t="shared" si="2"/>
        <v>855485.25</v>
      </c>
      <c r="S62" s="1774">
        <f t="shared" ref="S62:T62" si="266">SUM(S58:S61)</f>
        <v>231500.1413553209</v>
      </c>
      <c r="T62" s="1774">
        <f t="shared" si="266"/>
        <v>246318.72999999998</v>
      </c>
      <c r="U62" s="376">
        <f t="shared" si="238"/>
        <v>1157499.7856340175</v>
      </c>
      <c r="V62" s="782">
        <f t="shared" si="3"/>
        <v>1101803.98</v>
      </c>
      <c r="W62" s="1774">
        <f t="shared" ref="W62:X62" si="267">SUM(W58:W61)</f>
        <v>121300.0147648532</v>
      </c>
      <c r="X62" s="1774">
        <f t="shared" si="267"/>
        <v>207265.33000000002</v>
      </c>
      <c r="Y62" s="378">
        <f>O62+S62+W62</f>
        <v>584300.29747549503</v>
      </c>
      <c r="Z62" s="781">
        <f t="shared" si="4"/>
        <v>697207.89</v>
      </c>
      <c r="AA62" s="3565">
        <f t="shared" si="239"/>
        <v>1278799.8003988708</v>
      </c>
      <c r="AB62" s="3562">
        <f t="shared" si="5"/>
        <v>1309069.31</v>
      </c>
      <c r="AC62" s="1774">
        <f t="shared" ref="AC62:AD62" si="268">SUM(AC58:AC61)</f>
        <v>226841.09386753975</v>
      </c>
      <c r="AD62" s="1774">
        <f t="shared" si="268"/>
        <v>179510.6</v>
      </c>
      <c r="AE62" s="376">
        <f t="shared" si="240"/>
        <v>1505640.8942664105</v>
      </c>
      <c r="AF62" s="782">
        <f t="shared" si="6"/>
        <v>1488579.9100000001</v>
      </c>
      <c r="AG62" s="1774">
        <f t="shared" ref="AG62:AH62" si="269">SUM(AG58:AG61)</f>
        <v>223180.91557330103</v>
      </c>
      <c r="AH62" s="1774">
        <f t="shared" si="269"/>
        <v>74122.209999999992</v>
      </c>
      <c r="AI62" s="376">
        <f t="shared" si="241"/>
        <v>1728821.8098397115</v>
      </c>
      <c r="AJ62" s="376">
        <f t="shared" si="242"/>
        <v>1562702.12</v>
      </c>
      <c r="AK62" s="1774">
        <f t="shared" ref="AK62:AL62" si="270">SUM(AK58:AK61)</f>
        <v>225210.06226252159</v>
      </c>
      <c r="AL62" s="1774">
        <f t="shared" si="270"/>
        <v>198118.32</v>
      </c>
      <c r="AM62" s="378">
        <f>AC62+AG62+AK62</f>
        <v>675232.0717033624</v>
      </c>
      <c r="AN62" s="378">
        <f>AD62+AH62+AL62</f>
        <v>451751.13</v>
      </c>
      <c r="AO62" s="376">
        <f t="shared" si="258"/>
        <v>1954031.8721022331</v>
      </c>
      <c r="AP62" s="376">
        <f t="shared" si="259"/>
        <v>1760820.4400000002</v>
      </c>
      <c r="AQ62" s="1774">
        <f t="shared" ref="AQ62:AR62" si="271">SUM(AQ58:AQ61)</f>
        <v>226839.61226252161</v>
      </c>
      <c r="AR62" s="1774">
        <f t="shared" si="271"/>
        <v>238976.33999999997</v>
      </c>
      <c r="AS62" s="376">
        <f t="shared" si="245"/>
        <v>2180871.4843647545</v>
      </c>
      <c r="AT62" s="376">
        <f t="shared" si="246"/>
        <v>1999796.7800000003</v>
      </c>
      <c r="AU62" s="1774">
        <f t="shared" ref="AU62:AV62" si="272">SUM(AU58:AU61)</f>
        <v>207657.99609174184</v>
      </c>
      <c r="AV62" s="1774">
        <f t="shared" si="272"/>
        <v>188740.31999999998</v>
      </c>
      <c r="AW62" s="376">
        <f t="shared" si="247"/>
        <v>2388529.4804564966</v>
      </c>
      <c r="AX62" s="376">
        <f t="shared" si="248"/>
        <v>2188537.1</v>
      </c>
      <c r="AY62" s="1774">
        <f t="shared" ref="AY62:AZ62" si="273">SUM(AY58:AY61)</f>
        <v>230952.61226252158</v>
      </c>
      <c r="AZ62" s="1774">
        <f t="shared" si="273"/>
        <v>266136.09999999998</v>
      </c>
      <c r="BA62" s="378">
        <f>AQ62+AU62+AY62</f>
        <v>665450.22061678511</v>
      </c>
      <c r="BB62" s="378">
        <f>AR62+AV62+AZ62</f>
        <v>693852.75999999989</v>
      </c>
      <c r="BC62" s="3565">
        <f>AM62+BA62</f>
        <v>1340682.2923201476</v>
      </c>
      <c r="BD62" s="3565">
        <f>AN62+BB62</f>
        <v>1145603.8899999999</v>
      </c>
      <c r="BE62" s="376">
        <f t="shared" si="251"/>
        <v>2619482.092719018</v>
      </c>
      <c r="BF62" s="376">
        <f t="shared" si="252"/>
        <v>2454673.2000000002</v>
      </c>
      <c r="BG62" s="26"/>
      <c r="BH62" s="26"/>
      <c r="BI62" s="26"/>
      <c r="BJ62" s="26"/>
      <c r="BK62" s="26"/>
    </row>
    <row r="63" spans="1:63" x14ac:dyDescent="0.25">
      <c r="A63" s="154"/>
      <c r="B63" s="3573" t="s">
        <v>318</v>
      </c>
      <c r="C63" s="861"/>
      <c r="D63" s="861"/>
      <c r="E63" s="861"/>
      <c r="F63" s="861"/>
      <c r="G63" s="861"/>
      <c r="H63" s="861"/>
      <c r="I63" s="861"/>
      <c r="J63" s="782">
        <f t="shared" si="0"/>
        <v>0</v>
      </c>
      <c r="K63" s="861"/>
      <c r="L63" s="861"/>
      <c r="M63" s="861"/>
      <c r="N63" s="781">
        <f t="shared" si="1"/>
        <v>0</v>
      </c>
      <c r="O63" s="861"/>
      <c r="P63" s="861"/>
      <c r="Q63" s="861"/>
      <c r="R63" s="782">
        <f t="shared" si="2"/>
        <v>0</v>
      </c>
      <c r="S63" s="861"/>
      <c r="T63" s="861"/>
      <c r="U63" s="861"/>
      <c r="V63" s="782">
        <f t="shared" si="3"/>
        <v>0</v>
      </c>
      <c r="W63" s="861"/>
      <c r="X63" s="861"/>
      <c r="Y63" s="861"/>
      <c r="Z63" s="781">
        <f t="shared" si="4"/>
        <v>0</v>
      </c>
      <c r="AA63" s="861"/>
      <c r="AB63" s="3562">
        <f t="shared" si="5"/>
        <v>0</v>
      </c>
      <c r="AC63" s="861"/>
      <c r="AD63" s="861"/>
      <c r="AE63" s="861"/>
      <c r="AF63" s="782">
        <f t="shared" si="6"/>
        <v>0</v>
      </c>
      <c r="AG63" s="861"/>
      <c r="AH63" s="861"/>
      <c r="AI63" s="861"/>
      <c r="AJ63" s="861"/>
      <c r="AK63" s="861"/>
      <c r="AL63" s="861"/>
      <c r="AM63" s="861"/>
      <c r="AN63" s="861"/>
      <c r="AO63" s="861"/>
      <c r="AP63" s="861"/>
      <c r="AQ63" s="861"/>
      <c r="AR63" s="861"/>
      <c r="AS63" s="861"/>
      <c r="AT63" s="861"/>
      <c r="AU63" s="861"/>
      <c r="AV63" s="861"/>
      <c r="AW63" s="861"/>
      <c r="AX63" s="861"/>
      <c r="AY63" s="861"/>
      <c r="AZ63" s="861"/>
      <c r="BA63" s="861"/>
      <c r="BB63" s="861"/>
      <c r="BC63" s="861"/>
      <c r="BD63" s="861"/>
      <c r="BE63" s="861"/>
      <c r="BF63" s="861"/>
      <c r="BG63" s="26"/>
      <c r="BH63" s="26"/>
      <c r="BI63" s="26"/>
      <c r="BJ63" s="26"/>
      <c r="BK63" s="26"/>
    </row>
    <row r="64" spans="1:63" x14ac:dyDescent="0.25">
      <c r="A64" s="154"/>
      <c r="B64" s="3561" t="s">
        <v>114</v>
      </c>
      <c r="C64" s="3561"/>
      <c r="D64" s="3561"/>
      <c r="E64" s="3561"/>
      <c r="F64" s="3561"/>
      <c r="G64" s="3561"/>
      <c r="H64" s="3561"/>
      <c r="I64" s="3561"/>
      <c r="J64" s="782">
        <f t="shared" si="0"/>
        <v>0</v>
      </c>
      <c r="K64" s="3561"/>
      <c r="L64" s="3561"/>
      <c r="M64" s="3561"/>
      <c r="N64" s="781">
        <f t="shared" si="1"/>
        <v>0</v>
      </c>
      <c r="O64" s="3561"/>
      <c r="P64" s="3561"/>
      <c r="Q64" s="3561"/>
      <c r="R64" s="782">
        <f t="shared" si="2"/>
        <v>0</v>
      </c>
      <c r="S64" s="3561"/>
      <c r="T64" s="3561"/>
      <c r="U64" s="3561"/>
      <c r="V64" s="782">
        <f t="shared" si="3"/>
        <v>0</v>
      </c>
      <c r="W64" s="3561"/>
      <c r="X64" s="3561"/>
      <c r="Y64" s="3561"/>
      <c r="Z64" s="781">
        <f t="shared" si="4"/>
        <v>0</v>
      </c>
      <c r="AA64" s="3561"/>
      <c r="AB64" s="3562">
        <f t="shared" si="5"/>
        <v>0</v>
      </c>
      <c r="AC64" s="3561"/>
      <c r="AD64" s="3561"/>
      <c r="AE64" s="3561"/>
      <c r="AF64" s="782">
        <f t="shared" si="6"/>
        <v>0</v>
      </c>
      <c r="AG64" s="3561"/>
      <c r="AH64" s="3561"/>
      <c r="AI64" s="3561"/>
      <c r="AJ64" s="3561"/>
      <c r="AK64" s="3561"/>
      <c r="AL64" s="3561"/>
      <c r="AM64" s="3561"/>
      <c r="AN64" s="3561"/>
      <c r="AO64" s="3561"/>
      <c r="AP64" s="3561"/>
      <c r="AQ64" s="3561"/>
      <c r="AR64" s="3561"/>
      <c r="AS64" s="3561"/>
      <c r="AT64" s="3561"/>
      <c r="AU64" s="3561"/>
      <c r="AV64" s="3561"/>
      <c r="AW64" s="3561"/>
      <c r="AX64" s="3561"/>
      <c r="AY64" s="3561"/>
      <c r="AZ64" s="3561"/>
      <c r="BA64" s="3561"/>
      <c r="BB64" s="3561"/>
      <c r="BC64" s="3561"/>
      <c r="BD64" s="3561"/>
      <c r="BE64" s="3561"/>
      <c r="BF64" s="3561"/>
      <c r="BG64" s="26"/>
      <c r="BH64" s="26"/>
      <c r="BI64" s="26"/>
      <c r="BJ64" s="26"/>
      <c r="BK64" s="26"/>
    </row>
    <row r="65" spans="1:63" x14ac:dyDescent="0.25">
      <c r="A65" s="154"/>
      <c r="B65" s="1018" t="s">
        <v>22</v>
      </c>
      <c r="C65" s="159" t="s">
        <v>50</v>
      </c>
      <c r="D65" s="5954">
        <f>+D58</f>
        <v>500000</v>
      </c>
      <c r="E65" s="5911">
        <f>+E58</f>
        <v>42500</v>
      </c>
      <c r="F65" s="1201">
        <v>31621.960000000003</v>
      </c>
      <c r="G65" s="5911">
        <f>+G58</f>
        <v>44000</v>
      </c>
      <c r="H65" s="1201">
        <v>37961.22</v>
      </c>
      <c r="I65" s="5938">
        <f>E65+G65</f>
        <v>86500</v>
      </c>
      <c r="J65" s="782">
        <f t="shared" si="0"/>
        <v>69583.180000000008</v>
      </c>
      <c r="K65" s="5911">
        <f>+K58</f>
        <v>42500</v>
      </c>
      <c r="L65" s="1201">
        <v>36316.339999999997</v>
      </c>
      <c r="M65" s="5881">
        <f>E65+G65+K65</f>
        <v>129000</v>
      </c>
      <c r="N65" s="781">
        <f t="shared" si="1"/>
        <v>105899.52</v>
      </c>
      <c r="O65" s="5911">
        <f>+O58</f>
        <v>44000</v>
      </c>
      <c r="P65" s="1201">
        <v>41916.360000000008</v>
      </c>
      <c r="Q65" s="5938">
        <f>M65+O65</f>
        <v>173000</v>
      </c>
      <c r="R65" s="782">
        <f t="shared" si="2"/>
        <v>147815.88</v>
      </c>
      <c r="S65" s="5911">
        <f>+S58</f>
        <v>44000</v>
      </c>
      <c r="T65" s="1201">
        <v>39692.879999999997</v>
      </c>
      <c r="U65" s="5938">
        <f>Q65+S65</f>
        <v>217000</v>
      </c>
      <c r="V65" s="782">
        <f t="shared" si="3"/>
        <v>187508.76</v>
      </c>
      <c r="W65" s="5911">
        <f>+W58</f>
        <v>25000</v>
      </c>
      <c r="X65" s="1201">
        <v>33761.86</v>
      </c>
      <c r="Y65" s="5881">
        <f>O65+S65+W65</f>
        <v>113000</v>
      </c>
      <c r="Z65" s="781">
        <f t="shared" si="4"/>
        <v>115371.1</v>
      </c>
      <c r="AA65" s="5882">
        <f>M65+Y65</f>
        <v>242000</v>
      </c>
      <c r="AB65" s="3562">
        <f t="shared" si="5"/>
        <v>221270.62</v>
      </c>
      <c r="AC65" s="5911">
        <f>+AC58</f>
        <v>45500</v>
      </c>
      <c r="AD65" s="1201">
        <v>34277.94000000001</v>
      </c>
      <c r="AE65" s="5938">
        <f>AA65+AC65</f>
        <v>287500</v>
      </c>
      <c r="AF65" s="782">
        <f t="shared" si="6"/>
        <v>255548.56</v>
      </c>
      <c r="AG65" s="5911">
        <f>+AG58</f>
        <v>44000</v>
      </c>
      <c r="AH65" s="1201">
        <v>28358.48</v>
      </c>
      <c r="AI65" s="5912">
        <f>AE65+AG65</f>
        <v>331500</v>
      </c>
      <c r="AJ65" s="782">
        <f t="shared" ref="AJ65:AJ67" si="274">AF65+AH65</f>
        <v>283907.03999999998</v>
      </c>
      <c r="AK65" s="5911">
        <f>+AK58</f>
        <v>45500</v>
      </c>
      <c r="AL65" s="1201">
        <v>35579.119999999988</v>
      </c>
      <c r="AM65" s="5881">
        <f>AC65+AG65+AK65</f>
        <v>135000</v>
      </c>
      <c r="AN65" s="781">
        <f>AD65+AH65+AL65</f>
        <v>98215.540000000008</v>
      </c>
      <c r="AO65" s="5938">
        <f>AI65+AK65</f>
        <v>377000</v>
      </c>
      <c r="AP65" s="782">
        <f t="shared" ref="AP65:AP83" si="275">AJ65+AL65</f>
        <v>319486.15999999997</v>
      </c>
      <c r="AQ65" s="5911">
        <f>+AQ58</f>
        <v>45500</v>
      </c>
      <c r="AR65" s="1201">
        <v>34396.01999999999</v>
      </c>
      <c r="AS65" s="5912">
        <f>AO65+AQ65</f>
        <v>422500</v>
      </c>
      <c r="AT65" s="782">
        <f t="shared" ref="AT65:AT67" si="276">AP65+AR65</f>
        <v>353882.17999999993</v>
      </c>
      <c r="AU65" s="5911">
        <f>+AU58</f>
        <v>40500</v>
      </c>
      <c r="AV65" s="1201">
        <v>29760.54</v>
      </c>
      <c r="AW65" s="5912">
        <f>AS65+AU65</f>
        <v>463000</v>
      </c>
      <c r="AX65" s="782">
        <f t="shared" ref="AX65:AX67" si="277">AT65+AV65</f>
        <v>383642.71999999991</v>
      </c>
      <c r="AY65" s="5911">
        <f>+AY58</f>
        <v>45500</v>
      </c>
      <c r="AZ65" s="1201">
        <v>42334.12</v>
      </c>
      <c r="BA65" s="5881">
        <f>AQ65+AU65+AY65</f>
        <v>131500</v>
      </c>
      <c r="BB65" s="781">
        <f>AR65+AV65+AZ65</f>
        <v>106490.68</v>
      </c>
      <c r="BC65" s="5882">
        <f>AM65+BA65</f>
        <v>266500</v>
      </c>
      <c r="BD65" s="3562">
        <f t="shared" ref="BD65:BD66" si="278">AN65+BB65</f>
        <v>204706.22</v>
      </c>
      <c r="BE65" s="5912">
        <f>AW65+AY65</f>
        <v>508500</v>
      </c>
      <c r="BF65" s="782">
        <f t="shared" ref="BF65:BF67" si="279">AX65+AZ65</f>
        <v>425976.83999999991</v>
      </c>
      <c r="BG65" s="26"/>
      <c r="BH65" s="26"/>
      <c r="BI65" s="26"/>
      <c r="BJ65" s="26"/>
      <c r="BK65" s="26"/>
    </row>
    <row r="66" spans="1:63" x14ac:dyDescent="0.25">
      <c r="A66" s="93"/>
      <c r="B66" s="1018" t="s">
        <v>23</v>
      </c>
      <c r="C66" s="159" t="s">
        <v>50</v>
      </c>
      <c r="D66" s="5954"/>
      <c r="E66" s="5911"/>
      <c r="F66" s="1201">
        <v>1710.8400000000001</v>
      </c>
      <c r="G66" s="5911"/>
      <c r="H66" s="1201">
        <v>1405.8000000000002</v>
      </c>
      <c r="I66" s="5938"/>
      <c r="J66" s="782">
        <f t="shared" si="0"/>
        <v>3116.6400000000003</v>
      </c>
      <c r="K66" s="5911"/>
      <c r="L66" s="1201">
        <v>1191.72</v>
      </c>
      <c r="M66" s="5881"/>
      <c r="N66" s="781">
        <f t="shared" si="1"/>
        <v>4308.3600000000006</v>
      </c>
      <c r="O66" s="5911"/>
      <c r="P66" s="1201">
        <v>2280.9300000000003</v>
      </c>
      <c r="Q66" s="5938"/>
      <c r="R66" s="782">
        <f t="shared" si="2"/>
        <v>6589.2900000000009</v>
      </c>
      <c r="S66" s="5911"/>
      <c r="T66" s="1201">
        <v>2518.5400000000004</v>
      </c>
      <c r="U66" s="5938"/>
      <c r="V66" s="782">
        <f t="shared" si="3"/>
        <v>9107.8300000000017</v>
      </c>
      <c r="W66" s="5911"/>
      <c r="X66" s="1201">
        <v>3264.8300000000004</v>
      </c>
      <c r="Y66" s="5881">
        <f t="shared" ref="Y66:Y67" si="280">O66+S66+W66</f>
        <v>0</v>
      </c>
      <c r="Z66" s="781">
        <f t="shared" si="4"/>
        <v>8064.3000000000011</v>
      </c>
      <c r="AA66" s="5882"/>
      <c r="AB66" s="3562">
        <f t="shared" si="5"/>
        <v>12372.660000000002</v>
      </c>
      <c r="AC66" s="5911"/>
      <c r="AD66" s="1201">
        <v>2770.2</v>
      </c>
      <c r="AE66" s="5938"/>
      <c r="AF66" s="782">
        <f t="shared" si="6"/>
        <v>15142.86</v>
      </c>
      <c r="AG66" s="5911"/>
      <c r="AH66" s="1201">
        <v>1801.4300000000003</v>
      </c>
      <c r="AI66" s="5913"/>
      <c r="AJ66" s="782">
        <f t="shared" si="274"/>
        <v>16944.29</v>
      </c>
      <c r="AK66" s="5911"/>
      <c r="AL66" s="1201">
        <v>1810.94</v>
      </c>
      <c r="AM66" s="5881">
        <f t="shared" ref="AM66:AM67" si="281">AC66+AG66+AK66</f>
        <v>0</v>
      </c>
      <c r="AN66" s="781">
        <f>AD66+AH66+AL66</f>
        <v>6382.57</v>
      </c>
      <c r="AO66" s="5938"/>
      <c r="AP66" s="782">
        <f t="shared" si="275"/>
        <v>18755.23</v>
      </c>
      <c r="AQ66" s="5911"/>
      <c r="AR66" s="1201">
        <v>2629.5899999999997</v>
      </c>
      <c r="AS66" s="5913"/>
      <c r="AT66" s="782">
        <f t="shared" si="276"/>
        <v>21384.82</v>
      </c>
      <c r="AU66" s="5911"/>
      <c r="AV66" s="1201">
        <v>3206.8500000000004</v>
      </c>
      <c r="AW66" s="5913"/>
      <c r="AX66" s="782">
        <f t="shared" si="277"/>
        <v>24591.67</v>
      </c>
      <c r="AY66" s="5911"/>
      <c r="AZ66" s="1201">
        <v>2503.3000000000002</v>
      </c>
      <c r="BA66" s="5881">
        <f t="shared" ref="BA66:BA67" si="282">AQ66+AU66+AY66</f>
        <v>0</v>
      </c>
      <c r="BB66" s="781">
        <f>AR66+AV66+AZ66</f>
        <v>8339.7400000000016</v>
      </c>
      <c r="BC66" s="5882"/>
      <c r="BD66" s="3562">
        <f t="shared" si="278"/>
        <v>14722.310000000001</v>
      </c>
      <c r="BE66" s="5913"/>
      <c r="BF66" s="782">
        <f t="shared" si="279"/>
        <v>27094.969999999998</v>
      </c>
      <c r="BG66" s="26"/>
      <c r="BH66" s="26"/>
      <c r="BI66" s="26"/>
      <c r="BJ66" s="26"/>
      <c r="BK66" s="26"/>
    </row>
    <row r="67" spans="1:63" x14ac:dyDescent="0.25">
      <c r="A67" s="154"/>
      <c r="B67" s="3564" t="s">
        <v>2</v>
      </c>
      <c r="C67" s="706" t="s">
        <v>50</v>
      </c>
      <c r="D67" s="5954"/>
      <c r="E67" s="5911"/>
      <c r="F67" s="1774">
        <f>SUM(F65:F66)</f>
        <v>33332.800000000003</v>
      </c>
      <c r="G67" s="5911"/>
      <c r="H67" s="1774">
        <f>SUM(H65:H66)</f>
        <v>39367.020000000004</v>
      </c>
      <c r="I67" s="5938"/>
      <c r="J67" s="782">
        <f t="shared" si="0"/>
        <v>72699.820000000007</v>
      </c>
      <c r="K67" s="5911"/>
      <c r="L67" s="1774">
        <f>SUM(L65:L66)</f>
        <v>37508.06</v>
      </c>
      <c r="M67" s="5881"/>
      <c r="N67" s="781">
        <f t="shared" si="1"/>
        <v>110207.88</v>
      </c>
      <c r="O67" s="5911"/>
      <c r="P67" s="1774">
        <f>SUM(P65:P66)</f>
        <v>44197.290000000008</v>
      </c>
      <c r="Q67" s="5938"/>
      <c r="R67" s="782">
        <f t="shared" si="2"/>
        <v>154405.17000000001</v>
      </c>
      <c r="S67" s="5911"/>
      <c r="T67" s="1774">
        <f>SUM(T65:T66)</f>
        <v>42211.42</v>
      </c>
      <c r="U67" s="5938"/>
      <c r="V67" s="782">
        <f t="shared" si="3"/>
        <v>196616.59000000003</v>
      </c>
      <c r="W67" s="5911"/>
      <c r="X67" s="1774">
        <f>SUM(X65:X66)</f>
        <v>37026.69</v>
      </c>
      <c r="Y67" s="5881">
        <f t="shared" si="280"/>
        <v>0</v>
      </c>
      <c r="Z67" s="781">
        <f t="shared" si="4"/>
        <v>123435.40000000001</v>
      </c>
      <c r="AA67" s="5882"/>
      <c r="AB67" s="3562">
        <f t="shared" si="5"/>
        <v>233643.28000000003</v>
      </c>
      <c r="AC67" s="5911"/>
      <c r="AD67" s="1774">
        <f>SUM(AD65:AD66)</f>
        <v>37048.140000000007</v>
      </c>
      <c r="AE67" s="5938"/>
      <c r="AF67" s="782">
        <f t="shared" si="6"/>
        <v>270691.42000000004</v>
      </c>
      <c r="AG67" s="5911"/>
      <c r="AH67" s="1774">
        <f>SUM(AH65:AH66)</f>
        <v>30159.91</v>
      </c>
      <c r="AI67" s="5914"/>
      <c r="AJ67" s="376">
        <f t="shared" si="274"/>
        <v>300851.33</v>
      </c>
      <c r="AK67" s="5911"/>
      <c r="AL67" s="1774">
        <f>SUM(AL65:AL66)</f>
        <v>37390.05999999999</v>
      </c>
      <c r="AM67" s="5881">
        <f t="shared" si="281"/>
        <v>0</v>
      </c>
      <c r="AN67" s="378">
        <f>AD67+AH67+AL67</f>
        <v>104598.10999999999</v>
      </c>
      <c r="AO67" s="5938"/>
      <c r="AP67" s="376">
        <f t="shared" si="275"/>
        <v>338241.39</v>
      </c>
      <c r="AQ67" s="5911"/>
      <c r="AR67" s="1774">
        <f>SUM(AR65:AR66)</f>
        <v>37025.609999999986</v>
      </c>
      <c r="AS67" s="5914"/>
      <c r="AT67" s="376">
        <f t="shared" si="276"/>
        <v>375267</v>
      </c>
      <c r="AU67" s="5911"/>
      <c r="AV67" s="1774">
        <f>SUM(AV65:AV66)</f>
        <v>32967.39</v>
      </c>
      <c r="AW67" s="5914"/>
      <c r="AX67" s="376">
        <f t="shared" si="277"/>
        <v>408234.39</v>
      </c>
      <c r="AY67" s="5911"/>
      <c r="AZ67" s="1774">
        <f>SUM(AZ65:AZ66)</f>
        <v>44837.420000000006</v>
      </c>
      <c r="BA67" s="5881">
        <f t="shared" si="282"/>
        <v>0</v>
      </c>
      <c r="BB67" s="378">
        <f>AR67+AV67+AZ67</f>
        <v>114830.41999999998</v>
      </c>
      <c r="BC67" s="5882"/>
      <c r="BD67" s="3565">
        <f>AN67+BB67</f>
        <v>219428.52999999997</v>
      </c>
      <c r="BE67" s="5914"/>
      <c r="BF67" s="376">
        <f t="shared" si="279"/>
        <v>453071.81</v>
      </c>
      <c r="BG67" s="26"/>
      <c r="BH67" s="26"/>
      <c r="BI67" s="26"/>
      <c r="BJ67" s="26"/>
      <c r="BK67" s="26"/>
    </row>
    <row r="68" spans="1:63" x14ac:dyDescent="0.25">
      <c r="A68" s="154"/>
      <c r="B68" s="3561" t="s">
        <v>95</v>
      </c>
      <c r="C68" s="3561"/>
      <c r="D68" s="3561"/>
      <c r="E68" s="3574"/>
      <c r="F68" s="3574"/>
      <c r="G68" s="3574"/>
      <c r="H68" s="3574"/>
      <c r="I68" s="3574"/>
      <c r="J68" s="782">
        <f t="shared" si="0"/>
        <v>0</v>
      </c>
      <c r="K68" s="3574"/>
      <c r="L68" s="3574"/>
      <c r="M68" s="3574"/>
      <c r="N68" s="781">
        <f t="shared" si="1"/>
        <v>0</v>
      </c>
      <c r="O68" s="3574"/>
      <c r="P68" s="3574"/>
      <c r="Q68" s="3574"/>
      <c r="R68" s="782">
        <f t="shared" si="2"/>
        <v>0</v>
      </c>
      <c r="S68" s="3574"/>
      <c r="T68" s="3574"/>
      <c r="U68" s="3574"/>
      <c r="V68" s="782">
        <f t="shared" si="3"/>
        <v>0</v>
      </c>
      <c r="W68" s="3574"/>
      <c r="X68" s="3574"/>
      <c r="Y68" s="3574"/>
      <c r="Z68" s="781">
        <f t="shared" si="4"/>
        <v>0</v>
      </c>
      <c r="AA68" s="3574"/>
      <c r="AB68" s="3562">
        <f t="shared" si="5"/>
        <v>0</v>
      </c>
      <c r="AC68" s="3574"/>
      <c r="AD68" s="3574"/>
      <c r="AE68" s="3574"/>
      <c r="AF68" s="782">
        <f t="shared" si="6"/>
        <v>0</v>
      </c>
      <c r="AG68" s="3574"/>
      <c r="AH68" s="3574"/>
      <c r="AI68" s="3574"/>
      <c r="AJ68" s="3574"/>
      <c r="AK68" s="3574"/>
      <c r="AL68" s="3574"/>
      <c r="AM68" s="3574"/>
      <c r="AN68" s="3574"/>
      <c r="AO68" s="3574"/>
      <c r="AP68" s="3574"/>
      <c r="AQ68" s="3574"/>
      <c r="AR68" s="3574"/>
      <c r="AS68" s="3574"/>
      <c r="AT68" s="3574"/>
      <c r="AU68" s="3574"/>
      <c r="AV68" s="3574"/>
      <c r="AW68" s="3574"/>
      <c r="AX68" s="3574"/>
      <c r="AY68" s="3574"/>
      <c r="AZ68" s="3574"/>
      <c r="BA68" s="3574"/>
      <c r="BB68" s="3574"/>
      <c r="BC68" s="3574"/>
      <c r="BD68" s="3574"/>
      <c r="BE68" s="3574"/>
      <c r="BF68" s="3574"/>
      <c r="BG68" s="26"/>
      <c r="BH68" s="26"/>
      <c r="BI68" s="26"/>
      <c r="BJ68" s="26"/>
      <c r="BK68" s="26"/>
    </row>
    <row r="69" spans="1:63" ht="21.2" customHeight="1" x14ac:dyDescent="0.25">
      <c r="A69" s="93"/>
      <c r="B69" s="1018" t="s">
        <v>22</v>
      </c>
      <c r="C69" s="159" t="s">
        <v>50</v>
      </c>
      <c r="D69" s="5911">
        <f>+D59</f>
        <v>900000</v>
      </c>
      <c r="E69" s="5911">
        <f>+E59</f>
        <v>76000</v>
      </c>
      <c r="F69" s="1201">
        <v>50946.099999999991</v>
      </c>
      <c r="G69" s="5911">
        <f>+G59</f>
        <v>79000</v>
      </c>
      <c r="H69" s="1201">
        <v>59622.64</v>
      </c>
      <c r="I69" s="5938">
        <f>E69+G69</f>
        <v>155000</v>
      </c>
      <c r="J69" s="782">
        <f t="shared" si="0"/>
        <v>110568.73999999999</v>
      </c>
      <c r="K69" s="5911">
        <f>+K59</f>
        <v>76000</v>
      </c>
      <c r="L69" s="1201">
        <v>66412.479999999981</v>
      </c>
      <c r="M69" s="5881">
        <f>E69+G69+K69</f>
        <v>231000</v>
      </c>
      <c r="N69" s="781">
        <f t="shared" si="1"/>
        <v>176981.21999999997</v>
      </c>
      <c r="O69" s="5911">
        <f>+O59</f>
        <v>79000</v>
      </c>
      <c r="P69" s="1201">
        <v>68651.660000000018</v>
      </c>
      <c r="Q69" s="5938">
        <f>M69+O69</f>
        <v>310000</v>
      </c>
      <c r="R69" s="782">
        <f t="shared" si="2"/>
        <v>245632.88</v>
      </c>
      <c r="S69" s="5911">
        <f>+S59</f>
        <v>79000</v>
      </c>
      <c r="T69" s="1201">
        <v>73731.180000000008</v>
      </c>
      <c r="U69" s="5938">
        <f>Q69+S69</f>
        <v>389000</v>
      </c>
      <c r="V69" s="782">
        <f t="shared" si="3"/>
        <v>319364.06</v>
      </c>
      <c r="W69" s="5911">
        <f>+W59</f>
        <v>47500</v>
      </c>
      <c r="X69" s="1201">
        <v>55082.44000000001</v>
      </c>
      <c r="Y69" s="5881">
        <f>O69+S69+W69</f>
        <v>205500</v>
      </c>
      <c r="Z69" s="781">
        <f t="shared" si="4"/>
        <v>197465.28000000003</v>
      </c>
      <c r="AA69" s="5882">
        <f>M69+Y69</f>
        <v>436500</v>
      </c>
      <c r="AB69" s="3562">
        <f t="shared" si="5"/>
        <v>374446.5</v>
      </c>
      <c r="AC69" s="5911">
        <f>+AC59</f>
        <v>80000</v>
      </c>
      <c r="AD69" s="1201">
        <v>55737.339999999989</v>
      </c>
      <c r="AE69" s="5938">
        <f>AA69+AC69</f>
        <v>516500</v>
      </c>
      <c r="AF69" s="782">
        <f t="shared" si="6"/>
        <v>430183.83999999997</v>
      </c>
      <c r="AG69" s="5911">
        <f>+AG59</f>
        <v>77500</v>
      </c>
      <c r="AH69" s="1201">
        <v>9455.0400000000009</v>
      </c>
      <c r="AI69" s="5912">
        <f>AE69+AG69</f>
        <v>594000</v>
      </c>
      <c r="AJ69" s="782">
        <f t="shared" ref="AJ69:AJ71" si="283">AF69+AH69</f>
        <v>439638.87999999995</v>
      </c>
      <c r="AK69" s="5911">
        <f>+AK59</f>
        <v>80000</v>
      </c>
      <c r="AL69" s="1201">
        <v>54931.460000000006</v>
      </c>
      <c r="AM69" s="5881">
        <f>AC69+AG69+AK69</f>
        <v>237500</v>
      </c>
      <c r="AN69" s="781">
        <f>AD69+AH69+AL69</f>
        <v>120123.84</v>
      </c>
      <c r="AO69" s="5938">
        <f>AI69+AK69</f>
        <v>674000</v>
      </c>
      <c r="AP69" s="782">
        <f t="shared" si="275"/>
        <v>494570.33999999997</v>
      </c>
      <c r="AQ69" s="5911">
        <f>+AQ59</f>
        <v>80000</v>
      </c>
      <c r="AR69" s="1201">
        <v>59148.800000000003</v>
      </c>
      <c r="AS69" s="5912">
        <f>AO69+AQ69</f>
        <v>754000</v>
      </c>
      <c r="AT69" s="782">
        <f t="shared" ref="AT69:AT71" si="284">AP69+AR69</f>
        <v>553719.14</v>
      </c>
      <c r="AU69" s="5911">
        <f>+AU59</f>
        <v>72500</v>
      </c>
      <c r="AV69" s="1201">
        <v>45091.399999999994</v>
      </c>
      <c r="AW69" s="5912">
        <f>AS69+AU69</f>
        <v>826500</v>
      </c>
      <c r="AX69" s="782">
        <f t="shared" ref="AX69:AX71" si="285">AT69+AV69</f>
        <v>598810.54</v>
      </c>
      <c r="AY69" s="5911">
        <f>+AY59</f>
        <v>80000</v>
      </c>
      <c r="AZ69" s="1201">
        <v>72967.439999999988</v>
      </c>
      <c r="BA69" s="5881">
        <f>AQ69+AU69+AY69</f>
        <v>232500</v>
      </c>
      <c r="BB69" s="781">
        <f>AR69+AV69+AZ69</f>
        <v>177207.63999999998</v>
      </c>
      <c r="BC69" s="5882">
        <f>AM69+BA69</f>
        <v>470000</v>
      </c>
      <c r="BD69" s="3562">
        <f t="shared" ref="BD69:BD70" si="286">AN69+BB69</f>
        <v>297331.48</v>
      </c>
      <c r="BE69" s="5912">
        <f>AW69+AY69</f>
        <v>906500</v>
      </c>
      <c r="BF69" s="782">
        <f t="shared" ref="BF69:BF71" si="287">AX69+AZ69</f>
        <v>671777.98</v>
      </c>
      <c r="BG69" s="26"/>
      <c r="BH69" s="26"/>
      <c r="BI69" s="26"/>
      <c r="BJ69" s="26"/>
      <c r="BK69" s="26"/>
    </row>
    <row r="70" spans="1:63" x14ac:dyDescent="0.25">
      <c r="A70" s="154"/>
      <c r="B70" s="1018" t="s">
        <v>23</v>
      </c>
      <c r="C70" s="159" t="s">
        <v>50</v>
      </c>
      <c r="D70" s="5911"/>
      <c r="E70" s="5911"/>
      <c r="F70" s="1201">
        <v>9065.11</v>
      </c>
      <c r="G70" s="5911"/>
      <c r="H70" s="1201">
        <v>7725.2599999999984</v>
      </c>
      <c r="I70" s="5938"/>
      <c r="J70" s="782">
        <f t="shared" si="0"/>
        <v>16790.37</v>
      </c>
      <c r="K70" s="5911"/>
      <c r="L70" s="1201">
        <v>6763.1500000000005</v>
      </c>
      <c r="M70" s="5881"/>
      <c r="N70" s="781">
        <f t="shared" si="1"/>
        <v>23553.52</v>
      </c>
      <c r="O70" s="5911"/>
      <c r="P70" s="1201">
        <v>15450.840000000002</v>
      </c>
      <c r="Q70" s="5938"/>
      <c r="R70" s="782">
        <f t="shared" si="2"/>
        <v>39004.36</v>
      </c>
      <c r="S70" s="5911"/>
      <c r="T70" s="1201">
        <v>13174.749999999998</v>
      </c>
      <c r="U70" s="5938"/>
      <c r="V70" s="782">
        <f t="shared" si="3"/>
        <v>52179.11</v>
      </c>
      <c r="W70" s="5911"/>
      <c r="X70" s="1201">
        <v>13607.55</v>
      </c>
      <c r="Y70" s="5881">
        <f t="shared" ref="Y70:Y71" si="288">O70+S70+W70</f>
        <v>0</v>
      </c>
      <c r="Z70" s="781">
        <f t="shared" si="4"/>
        <v>42233.14</v>
      </c>
      <c r="AA70" s="5882"/>
      <c r="AB70" s="3562">
        <f t="shared" si="5"/>
        <v>65786.66</v>
      </c>
      <c r="AC70" s="5911"/>
      <c r="AD70" s="1201">
        <v>8339.1299999999992</v>
      </c>
      <c r="AE70" s="5938"/>
      <c r="AF70" s="782">
        <f t="shared" si="6"/>
        <v>74125.790000000008</v>
      </c>
      <c r="AG70" s="5911"/>
      <c r="AH70" s="1201">
        <v>1358.1899999999998</v>
      </c>
      <c r="AI70" s="5913"/>
      <c r="AJ70" s="782">
        <f t="shared" si="283"/>
        <v>75483.98000000001</v>
      </c>
      <c r="AK70" s="5911"/>
      <c r="AL70" s="1201">
        <v>12321.280000000002</v>
      </c>
      <c r="AM70" s="5881">
        <f t="shared" ref="AM70:AM71" si="289">AC70+AG70+AK70</f>
        <v>0</v>
      </c>
      <c r="AN70" s="781">
        <f>AD70+AH70+AL70</f>
        <v>22018.600000000002</v>
      </c>
      <c r="AO70" s="5938"/>
      <c r="AP70" s="782">
        <f t="shared" si="275"/>
        <v>87805.260000000009</v>
      </c>
      <c r="AQ70" s="5911"/>
      <c r="AR70" s="1201">
        <v>11728.880000000003</v>
      </c>
      <c r="AS70" s="5913"/>
      <c r="AT70" s="782">
        <f t="shared" si="284"/>
        <v>99534.140000000014</v>
      </c>
      <c r="AU70" s="5911"/>
      <c r="AV70" s="1201">
        <v>13125.460000000003</v>
      </c>
      <c r="AW70" s="5913"/>
      <c r="AX70" s="782">
        <f t="shared" si="285"/>
        <v>112659.60000000002</v>
      </c>
      <c r="AY70" s="5911"/>
      <c r="AZ70" s="1201">
        <v>11240.98</v>
      </c>
      <c r="BA70" s="5881">
        <f t="shared" ref="BA70:BA71" si="290">AQ70+AU70+AY70</f>
        <v>0</v>
      </c>
      <c r="BB70" s="781">
        <f>AR70+AV70+AZ70</f>
        <v>36095.320000000007</v>
      </c>
      <c r="BC70" s="5882"/>
      <c r="BD70" s="3562">
        <f t="shared" si="286"/>
        <v>58113.920000000013</v>
      </c>
      <c r="BE70" s="5913"/>
      <c r="BF70" s="782">
        <f t="shared" si="287"/>
        <v>123900.58000000002</v>
      </c>
      <c r="BG70" s="26"/>
      <c r="BH70" s="26"/>
      <c r="BI70" s="26"/>
      <c r="BJ70" s="26"/>
      <c r="BK70" s="26"/>
    </row>
    <row r="71" spans="1:63" x14ac:dyDescent="0.25">
      <c r="A71" s="93"/>
      <c r="B71" s="3564" t="s">
        <v>2</v>
      </c>
      <c r="C71" s="706" t="s">
        <v>50</v>
      </c>
      <c r="D71" s="5911"/>
      <c r="E71" s="5911"/>
      <c r="F71" s="1774">
        <f>SUM(F69:F70)</f>
        <v>60011.209999999992</v>
      </c>
      <c r="G71" s="5911"/>
      <c r="H71" s="1774">
        <f>SUM(H69:H70)</f>
        <v>67347.899999999994</v>
      </c>
      <c r="I71" s="5938"/>
      <c r="J71" s="782">
        <f t="shared" si="0"/>
        <v>127359.10999999999</v>
      </c>
      <c r="K71" s="5911"/>
      <c r="L71" s="1774">
        <f>SUM(L69:L70)</f>
        <v>73175.629999999976</v>
      </c>
      <c r="M71" s="5881"/>
      <c r="N71" s="781">
        <f t="shared" si="1"/>
        <v>200534.73999999996</v>
      </c>
      <c r="O71" s="5911"/>
      <c r="P71" s="1774">
        <f>SUM(P69:P70)</f>
        <v>84102.500000000015</v>
      </c>
      <c r="Q71" s="5938"/>
      <c r="R71" s="782">
        <f t="shared" si="2"/>
        <v>284637.24</v>
      </c>
      <c r="S71" s="5911"/>
      <c r="T71" s="1774">
        <f>SUM(T69:T70)</f>
        <v>86905.930000000008</v>
      </c>
      <c r="U71" s="5938"/>
      <c r="V71" s="782">
        <f t="shared" si="3"/>
        <v>371543.17</v>
      </c>
      <c r="W71" s="5911"/>
      <c r="X71" s="1774">
        <f>SUM(X69:X70)</f>
        <v>68689.990000000005</v>
      </c>
      <c r="Y71" s="5881">
        <f t="shared" si="288"/>
        <v>0</v>
      </c>
      <c r="Z71" s="781">
        <f t="shared" si="4"/>
        <v>239698.42000000004</v>
      </c>
      <c r="AA71" s="5882"/>
      <c r="AB71" s="3562">
        <f t="shared" si="5"/>
        <v>440233.16000000003</v>
      </c>
      <c r="AC71" s="5911"/>
      <c r="AD71" s="1774">
        <f>SUM(AD69:AD70)</f>
        <v>64076.469999999987</v>
      </c>
      <c r="AE71" s="5938"/>
      <c r="AF71" s="782">
        <f t="shared" si="6"/>
        <v>504309.63</v>
      </c>
      <c r="AG71" s="5911"/>
      <c r="AH71" s="1774">
        <f>SUM(AH69:AH70)</f>
        <v>10813.230000000001</v>
      </c>
      <c r="AI71" s="5914"/>
      <c r="AJ71" s="376">
        <f t="shared" si="283"/>
        <v>515122.86</v>
      </c>
      <c r="AK71" s="5911"/>
      <c r="AL71" s="1774">
        <f>SUM(AL69:AL70)</f>
        <v>67252.740000000005</v>
      </c>
      <c r="AM71" s="5881">
        <f t="shared" si="289"/>
        <v>0</v>
      </c>
      <c r="AN71" s="378">
        <f>AD71+AH71+AL71</f>
        <v>142142.44</v>
      </c>
      <c r="AO71" s="5938"/>
      <c r="AP71" s="376">
        <f t="shared" si="275"/>
        <v>582375.6</v>
      </c>
      <c r="AQ71" s="5911"/>
      <c r="AR71" s="1774">
        <f>SUM(AR69:AR70)</f>
        <v>70877.680000000008</v>
      </c>
      <c r="AS71" s="5914"/>
      <c r="AT71" s="376">
        <f t="shared" si="284"/>
        <v>653253.28</v>
      </c>
      <c r="AU71" s="5911"/>
      <c r="AV71" s="1774">
        <f>SUM(AV69:AV70)</f>
        <v>58216.86</v>
      </c>
      <c r="AW71" s="5914"/>
      <c r="AX71" s="376">
        <f t="shared" si="285"/>
        <v>711470.14</v>
      </c>
      <c r="AY71" s="5911"/>
      <c r="AZ71" s="1774">
        <f>SUM(AZ69:AZ70)</f>
        <v>84208.419999999984</v>
      </c>
      <c r="BA71" s="5881">
        <f t="shared" si="290"/>
        <v>0</v>
      </c>
      <c r="BB71" s="378">
        <f>AR71+AV71+AZ71</f>
        <v>213302.96</v>
      </c>
      <c r="BC71" s="5882"/>
      <c r="BD71" s="3565">
        <f>AN71+BB71</f>
        <v>355445.4</v>
      </c>
      <c r="BE71" s="5914"/>
      <c r="BF71" s="376">
        <f t="shared" si="287"/>
        <v>795678.56</v>
      </c>
      <c r="BG71" s="26"/>
      <c r="BH71" s="26"/>
      <c r="BI71" s="26"/>
      <c r="BJ71" s="26"/>
      <c r="BK71" s="26"/>
    </row>
    <row r="72" spans="1:63" ht="20.25" customHeight="1" x14ac:dyDescent="0.25">
      <c r="A72" s="154"/>
      <c r="B72" s="3561" t="s">
        <v>115</v>
      </c>
      <c r="C72" s="3561"/>
      <c r="D72" s="3561"/>
      <c r="E72" s="3574"/>
      <c r="F72" s="3574"/>
      <c r="G72" s="3574"/>
      <c r="H72" s="3574"/>
      <c r="I72" s="3574"/>
      <c r="J72" s="782">
        <f t="shared" ref="J72:J135" si="291">F72+H72</f>
        <v>0</v>
      </c>
      <c r="K72" s="3574"/>
      <c r="L72" s="3574"/>
      <c r="M72" s="3574"/>
      <c r="N72" s="781">
        <f t="shared" ref="N72:N135" si="292">J72+L72</f>
        <v>0</v>
      </c>
      <c r="O72" s="3574"/>
      <c r="P72" s="3574"/>
      <c r="Q72" s="3574"/>
      <c r="R72" s="782">
        <f t="shared" ref="R72:R135" si="293">N72+P72</f>
        <v>0</v>
      </c>
      <c r="S72" s="3574"/>
      <c r="T72" s="3574"/>
      <c r="U72" s="3574"/>
      <c r="V72" s="782">
        <f t="shared" ref="V72:V135" si="294">R72+T72</f>
        <v>0</v>
      </c>
      <c r="W72" s="3574"/>
      <c r="X72" s="3574"/>
      <c r="Y72" s="3574"/>
      <c r="Z72" s="781">
        <f t="shared" ref="Z72:Z135" si="295">P72+T72+X72</f>
        <v>0</v>
      </c>
      <c r="AA72" s="3574"/>
      <c r="AB72" s="3562">
        <f t="shared" ref="AB72:AB135" si="296">N72+Z72</f>
        <v>0</v>
      </c>
      <c r="AC72" s="3574"/>
      <c r="AD72" s="3574"/>
      <c r="AE72" s="3574"/>
      <c r="AF72" s="782">
        <f t="shared" ref="AF72:AF135" si="297">AB72+AD72</f>
        <v>0</v>
      </c>
      <c r="AG72" s="3574"/>
      <c r="AH72" s="3574"/>
      <c r="AI72" s="3574"/>
      <c r="AJ72" s="3574"/>
      <c r="AK72" s="3574"/>
      <c r="AL72" s="3574"/>
      <c r="AM72" s="3574"/>
      <c r="AN72" s="3574"/>
      <c r="AO72" s="3574"/>
      <c r="AP72" s="3574"/>
      <c r="AQ72" s="3574"/>
      <c r="AR72" s="3574"/>
      <c r="AS72" s="3574"/>
      <c r="AT72" s="3574"/>
      <c r="AU72" s="3574"/>
      <c r="AV72" s="3574"/>
      <c r="AW72" s="3574"/>
      <c r="AX72" s="3574"/>
      <c r="AY72" s="3574"/>
      <c r="AZ72" s="3574"/>
      <c r="BA72" s="3574"/>
      <c r="BB72" s="3574"/>
      <c r="BC72" s="3574"/>
      <c r="BD72" s="3574"/>
      <c r="BE72" s="3574"/>
      <c r="BF72" s="3574"/>
      <c r="BG72" s="26"/>
      <c r="BH72" s="26"/>
      <c r="BI72" s="26"/>
      <c r="BJ72" s="26"/>
      <c r="BK72" s="26"/>
    </row>
    <row r="73" spans="1:63" ht="20.25" customHeight="1" x14ac:dyDescent="0.25">
      <c r="A73" s="93"/>
      <c r="B73" s="1018" t="s">
        <v>22</v>
      </c>
      <c r="C73" s="159" t="s">
        <v>50</v>
      </c>
      <c r="D73" s="5911">
        <f>+D60</f>
        <v>750000</v>
      </c>
      <c r="E73" s="5911">
        <f>+E60</f>
        <v>62000</v>
      </c>
      <c r="F73" s="1201">
        <v>29431.96</v>
      </c>
      <c r="G73" s="5911">
        <f>+G60</f>
        <v>65000</v>
      </c>
      <c r="H73" s="26">
        <v>42191.7</v>
      </c>
      <c r="I73" s="5938">
        <f>G73+E73</f>
        <v>127000</v>
      </c>
      <c r="J73" s="782">
        <f t="shared" si="291"/>
        <v>71623.66</v>
      </c>
      <c r="K73" s="5911">
        <f>+K60</f>
        <v>62500</v>
      </c>
      <c r="L73" s="26">
        <v>45178.16</v>
      </c>
      <c r="M73" s="5881">
        <f>E73+G73+K73</f>
        <v>189500</v>
      </c>
      <c r="N73" s="781">
        <f t="shared" si="292"/>
        <v>116801.82</v>
      </c>
      <c r="O73" s="5911">
        <f>+O60</f>
        <v>65000</v>
      </c>
      <c r="P73" s="26">
        <v>44981.19999999999</v>
      </c>
      <c r="Q73" s="5938">
        <f>O73+M73</f>
        <v>254500</v>
      </c>
      <c r="R73" s="782">
        <f t="shared" si="293"/>
        <v>161783.01999999999</v>
      </c>
      <c r="S73" s="5911">
        <f>+S60</f>
        <v>65000</v>
      </c>
      <c r="T73" s="2762">
        <v>35382.239999999991</v>
      </c>
      <c r="U73" s="5938">
        <f>S73+Q73</f>
        <v>319500</v>
      </c>
      <c r="V73" s="782">
        <f t="shared" si="294"/>
        <v>197165.25999999998</v>
      </c>
      <c r="W73" s="5911">
        <f>+W60</f>
        <v>33500</v>
      </c>
      <c r="X73" s="2762">
        <v>36388.539999999994</v>
      </c>
      <c r="Y73" s="5881">
        <f>O73+S73+W73</f>
        <v>163500</v>
      </c>
      <c r="Z73" s="781">
        <f t="shared" si="295"/>
        <v>116751.97999999997</v>
      </c>
      <c r="AA73" s="5882">
        <f>M73+Y73</f>
        <v>353000</v>
      </c>
      <c r="AB73" s="3562">
        <f t="shared" si="296"/>
        <v>233553.8</v>
      </c>
      <c r="AC73" s="5911">
        <f>+AC60</f>
        <v>54000</v>
      </c>
      <c r="AD73" s="1201">
        <v>31612.9</v>
      </c>
      <c r="AE73" s="5938">
        <f>AC73+AA73</f>
        <v>407000</v>
      </c>
      <c r="AF73" s="782">
        <f t="shared" si="297"/>
        <v>265166.7</v>
      </c>
      <c r="AG73" s="5911">
        <f>+AG60</f>
        <v>52000</v>
      </c>
      <c r="AH73" s="1201">
        <v>10370.619999999999</v>
      </c>
      <c r="AI73" s="5912">
        <f>AG73+AE73</f>
        <v>459000</v>
      </c>
      <c r="AJ73" s="782">
        <f t="shared" ref="AJ73:AJ75" si="298">AF73+AH73</f>
        <v>275537.32</v>
      </c>
      <c r="AK73" s="5911">
        <f>+AK60</f>
        <v>54000</v>
      </c>
      <c r="AL73" s="1201">
        <v>21608.460000000003</v>
      </c>
      <c r="AM73" s="5881">
        <f>AC73+AG73+AK73</f>
        <v>160000</v>
      </c>
      <c r="AN73" s="781">
        <f>AD73+AH73+AL73</f>
        <v>63591.98000000001</v>
      </c>
      <c r="AO73" s="5938">
        <f>AI73+AK73</f>
        <v>513000</v>
      </c>
      <c r="AP73" s="782">
        <f t="shared" si="275"/>
        <v>297145.78000000003</v>
      </c>
      <c r="AQ73" s="5911">
        <f>+AQ60</f>
        <v>54000</v>
      </c>
      <c r="AR73" s="1201">
        <v>29262.359999999993</v>
      </c>
      <c r="AS73" s="5912">
        <f>AQ73+AO73</f>
        <v>567000</v>
      </c>
      <c r="AT73" s="782">
        <f t="shared" ref="AT73:AT75" si="299">AP73+AR73</f>
        <v>326408.14</v>
      </c>
      <c r="AU73" s="5911">
        <f>+AU60</f>
        <v>48000</v>
      </c>
      <c r="AV73" s="1201">
        <v>33557.55999999999</v>
      </c>
      <c r="AW73" s="5912">
        <f>AU73+AS73</f>
        <v>615000</v>
      </c>
      <c r="AX73" s="782">
        <f t="shared" ref="AX73:AX75" si="300">AT73+AV73</f>
        <v>359965.7</v>
      </c>
      <c r="AY73" s="5911">
        <f>+AY60</f>
        <v>60000</v>
      </c>
      <c r="AZ73" s="1201">
        <v>52368.86</v>
      </c>
      <c r="BA73" s="5881">
        <f>AQ73+AU73+AY73</f>
        <v>162000</v>
      </c>
      <c r="BB73" s="781">
        <f>AR73+AV73+AZ73</f>
        <v>115188.77999999998</v>
      </c>
      <c r="BC73" s="5882">
        <f>AM73+BA73</f>
        <v>322000</v>
      </c>
      <c r="BD73" s="3562">
        <f t="shared" ref="BD73:BD74" si="301">AN73+BB73</f>
        <v>178780.76</v>
      </c>
      <c r="BE73" s="5912">
        <f>AY73+AW73</f>
        <v>675000</v>
      </c>
      <c r="BF73" s="782">
        <f t="shared" ref="BF73:BF75" si="302">AX73+AZ73</f>
        <v>412334.56</v>
      </c>
      <c r="BG73" s="26"/>
      <c r="BH73" s="26"/>
      <c r="BI73" s="26"/>
      <c r="BJ73" s="26"/>
      <c r="BK73" s="26"/>
    </row>
    <row r="74" spans="1:63" ht="20.25" customHeight="1" x14ac:dyDescent="0.25">
      <c r="A74" s="93"/>
      <c r="B74" s="1018" t="s">
        <v>23</v>
      </c>
      <c r="C74" s="159" t="s">
        <v>50</v>
      </c>
      <c r="D74" s="5911"/>
      <c r="E74" s="5911"/>
      <c r="F74" s="1201">
        <v>14690.740000000002</v>
      </c>
      <c r="G74" s="5911"/>
      <c r="H74" s="1201">
        <v>15524.300000000003</v>
      </c>
      <c r="I74" s="5938"/>
      <c r="J74" s="782">
        <f t="shared" si="291"/>
        <v>30215.040000000005</v>
      </c>
      <c r="K74" s="5911"/>
      <c r="L74" s="1201">
        <v>11542.519999999997</v>
      </c>
      <c r="M74" s="5881"/>
      <c r="N74" s="781">
        <f t="shared" si="292"/>
        <v>41757.56</v>
      </c>
      <c r="O74" s="5911"/>
      <c r="P74" s="1201">
        <v>12283.629999999997</v>
      </c>
      <c r="Q74" s="5938"/>
      <c r="R74" s="782">
        <f t="shared" si="293"/>
        <v>54041.189999999995</v>
      </c>
      <c r="S74" s="5911"/>
      <c r="T74" s="1201">
        <v>11841.9</v>
      </c>
      <c r="U74" s="5938"/>
      <c r="V74" s="782">
        <f t="shared" si="294"/>
        <v>65883.09</v>
      </c>
      <c r="W74" s="5911"/>
      <c r="X74" s="1201">
        <v>9559.5800000000017</v>
      </c>
      <c r="Y74" s="5881">
        <f t="shared" ref="Y74:Y75" si="303">O74+S74+W74</f>
        <v>0</v>
      </c>
      <c r="Z74" s="781">
        <f t="shared" si="295"/>
        <v>33685.11</v>
      </c>
      <c r="AA74" s="5882"/>
      <c r="AB74" s="3562">
        <f t="shared" si="296"/>
        <v>75442.67</v>
      </c>
      <c r="AC74" s="5911"/>
      <c r="AD74" s="1201">
        <v>11690.85</v>
      </c>
      <c r="AE74" s="5938"/>
      <c r="AF74" s="782">
        <f t="shared" si="297"/>
        <v>87133.52</v>
      </c>
      <c r="AG74" s="5911"/>
      <c r="AH74" s="1201">
        <v>5094.8</v>
      </c>
      <c r="AI74" s="5913"/>
      <c r="AJ74" s="782">
        <f t="shared" si="298"/>
        <v>92228.32</v>
      </c>
      <c r="AK74" s="5911"/>
      <c r="AL74" s="1201">
        <v>11854.54</v>
      </c>
      <c r="AM74" s="5881">
        <f t="shared" ref="AM74:AM75" si="304">AC74+AG74+AK74</f>
        <v>0</v>
      </c>
      <c r="AN74" s="781">
        <f>AD74+AH74+AL74</f>
        <v>28640.190000000002</v>
      </c>
      <c r="AO74" s="5938"/>
      <c r="AP74" s="782">
        <f t="shared" si="275"/>
        <v>104082.86000000002</v>
      </c>
      <c r="AQ74" s="5911"/>
      <c r="AR74" s="1201">
        <v>15394.519999999999</v>
      </c>
      <c r="AS74" s="5913"/>
      <c r="AT74" s="782">
        <f t="shared" si="299"/>
        <v>119477.38000000002</v>
      </c>
      <c r="AU74" s="5911"/>
      <c r="AV74" s="1201">
        <v>13781.449999999999</v>
      </c>
      <c r="AW74" s="5913"/>
      <c r="AX74" s="782">
        <f t="shared" si="300"/>
        <v>133258.83000000002</v>
      </c>
      <c r="AY74" s="5911"/>
      <c r="AZ74" s="1201">
        <v>16049.650000000001</v>
      </c>
      <c r="BA74" s="5881">
        <f t="shared" ref="BA74:BA75" si="305">AQ74+AU74+AY74</f>
        <v>0</v>
      </c>
      <c r="BB74" s="781">
        <f>AR74+AV74+AZ74</f>
        <v>45225.619999999995</v>
      </c>
      <c r="BC74" s="5882"/>
      <c r="BD74" s="3562">
        <f t="shared" si="301"/>
        <v>73865.81</v>
      </c>
      <c r="BE74" s="5913"/>
      <c r="BF74" s="782">
        <f t="shared" si="302"/>
        <v>149308.48000000001</v>
      </c>
      <c r="BG74" s="26"/>
      <c r="BH74" s="26"/>
      <c r="BI74" s="26"/>
      <c r="BJ74" s="26"/>
      <c r="BK74" s="26"/>
    </row>
    <row r="75" spans="1:63" x14ac:dyDescent="0.25">
      <c r="A75" s="93"/>
      <c r="B75" s="3564" t="s">
        <v>2</v>
      </c>
      <c r="C75" s="706" t="s">
        <v>50</v>
      </c>
      <c r="D75" s="5911"/>
      <c r="E75" s="5911"/>
      <c r="F75" s="1774">
        <f>SUM(F73:F74)</f>
        <v>44122.7</v>
      </c>
      <c r="G75" s="5911"/>
      <c r="H75" s="1774">
        <f>SUM(H73:H74)</f>
        <v>57716</v>
      </c>
      <c r="I75" s="5938"/>
      <c r="J75" s="782">
        <f t="shared" si="291"/>
        <v>101838.7</v>
      </c>
      <c r="K75" s="5911"/>
      <c r="L75" s="1774">
        <f>SUM(L73:L74)</f>
        <v>56720.68</v>
      </c>
      <c r="M75" s="5881"/>
      <c r="N75" s="781">
        <f t="shared" si="292"/>
        <v>158559.38</v>
      </c>
      <c r="O75" s="5911"/>
      <c r="P75" s="1774">
        <f>SUM(P73:P74)</f>
        <v>57264.829999999987</v>
      </c>
      <c r="Q75" s="5938"/>
      <c r="R75" s="782">
        <f t="shared" si="293"/>
        <v>215824.21</v>
      </c>
      <c r="S75" s="5911"/>
      <c r="T75" s="1774">
        <f>SUM(T73:T74)</f>
        <v>47224.139999999992</v>
      </c>
      <c r="U75" s="5938"/>
      <c r="V75" s="782">
        <f t="shared" si="294"/>
        <v>263048.34999999998</v>
      </c>
      <c r="W75" s="5911"/>
      <c r="X75" s="1774">
        <f>SUM(X73:X74)</f>
        <v>45948.119999999995</v>
      </c>
      <c r="Y75" s="5881">
        <f t="shared" si="303"/>
        <v>0</v>
      </c>
      <c r="Z75" s="781">
        <f t="shared" si="295"/>
        <v>150437.08999999997</v>
      </c>
      <c r="AA75" s="5882"/>
      <c r="AB75" s="3562">
        <f t="shared" si="296"/>
        <v>308996.46999999997</v>
      </c>
      <c r="AC75" s="5911"/>
      <c r="AD75" s="1774">
        <f>SUM(AD73:AD74)</f>
        <v>43303.75</v>
      </c>
      <c r="AE75" s="5938"/>
      <c r="AF75" s="782">
        <f t="shared" si="297"/>
        <v>352300.22</v>
      </c>
      <c r="AG75" s="5911"/>
      <c r="AH75" s="1774">
        <f>SUM(AH73:AH74)</f>
        <v>15465.419999999998</v>
      </c>
      <c r="AI75" s="5914"/>
      <c r="AJ75" s="376">
        <f t="shared" si="298"/>
        <v>367765.63999999996</v>
      </c>
      <c r="AK75" s="5911"/>
      <c r="AL75" s="1774">
        <f>SUM(AL73:AL74)</f>
        <v>33463</v>
      </c>
      <c r="AM75" s="5881">
        <f t="shared" si="304"/>
        <v>0</v>
      </c>
      <c r="AN75" s="378">
        <f>AD75+AH75+AL75</f>
        <v>92232.17</v>
      </c>
      <c r="AO75" s="5938"/>
      <c r="AP75" s="376">
        <f t="shared" si="275"/>
        <v>401228.63999999996</v>
      </c>
      <c r="AQ75" s="5911"/>
      <c r="AR75" s="1774">
        <f>SUM(AR73:AR74)</f>
        <v>44656.87999999999</v>
      </c>
      <c r="AS75" s="5914"/>
      <c r="AT75" s="376">
        <f t="shared" si="299"/>
        <v>445885.51999999996</v>
      </c>
      <c r="AU75" s="5911"/>
      <c r="AV75" s="1774">
        <f>SUM(AV73:AV74)</f>
        <v>47339.009999999987</v>
      </c>
      <c r="AW75" s="5914"/>
      <c r="AX75" s="376">
        <f t="shared" si="300"/>
        <v>493224.52999999997</v>
      </c>
      <c r="AY75" s="5911"/>
      <c r="AZ75" s="1774">
        <f>SUM(AZ73:AZ74)</f>
        <v>68418.510000000009</v>
      </c>
      <c r="BA75" s="5881">
        <f t="shared" si="305"/>
        <v>0</v>
      </c>
      <c r="BB75" s="378">
        <f>AR75+AV75+AZ75</f>
        <v>160414.39999999999</v>
      </c>
      <c r="BC75" s="5882"/>
      <c r="BD75" s="3565">
        <f>AN75+BB75</f>
        <v>252646.57</v>
      </c>
      <c r="BE75" s="5914"/>
      <c r="BF75" s="376">
        <f t="shared" si="302"/>
        <v>561643.04</v>
      </c>
      <c r="BG75" s="26"/>
      <c r="BH75" s="26"/>
      <c r="BI75" s="26"/>
      <c r="BJ75" s="26"/>
      <c r="BK75" s="26"/>
    </row>
    <row r="76" spans="1:63" x14ac:dyDescent="0.25">
      <c r="A76" s="154"/>
      <c r="B76" s="3561" t="s">
        <v>513</v>
      </c>
      <c r="C76" s="3561"/>
      <c r="D76" s="3561"/>
      <c r="E76" s="3574"/>
      <c r="F76" s="3574"/>
      <c r="G76" s="3574"/>
      <c r="H76" s="3574"/>
      <c r="I76" s="3574"/>
      <c r="J76" s="782">
        <f t="shared" si="291"/>
        <v>0</v>
      </c>
      <c r="K76" s="3574"/>
      <c r="L76" s="3574"/>
      <c r="M76" s="3574"/>
      <c r="N76" s="781">
        <f t="shared" si="292"/>
        <v>0</v>
      </c>
      <c r="O76" s="3574"/>
      <c r="P76" s="3574"/>
      <c r="Q76" s="3574"/>
      <c r="R76" s="782">
        <f t="shared" si="293"/>
        <v>0</v>
      </c>
      <c r="S76" s="3574"/>
      <c r="T76" s="3574"/>
      <c r="U76" s="3574"/>
      <c r="V76" s="782">
        <f t="shared" si="294"/>
        <v>0</v>
      </c>
      <c r="W76" s="3574"/>
      <c r="X76" s="3574"/>
      <c r="Y76" s="3574"/>
      <c r="Z76" s="781">
        <f t="shared" si="295"/>
        <v>0</v>
      </c>
      <c r="AA76" s="3574"/>
      <c r="AB76" s="3562">
        <f t="shared" si="296"/>
        <v>0</v>
      </c>
      <c r="AC76" s="3574"/>
      <c r="AD76" s="3574"/>
      <c r="AE76" s="3574"/>
      <c r="AF76" s="782">
        <f t="shared" si="297"/>
        <v>0</v>
      </c>
      <c r="AG76" s="3574"/>
      <c r="AH76" s="3574"/>
      <c r="AI76" s="3574"/>
      <c r="AJ76" s="3574"/>
      <c r="AK76" s="3574"/>
      <c r="AL76" s="3574"/>
      <c r="AM76" s="3574"/>
      <c r="AN76" s="3574"/>
      <c r="AO76" s="3574"/>
      <c r="AP76" s="3574"/>
      <c r="AQ76" s="3574"/>
      <c r="AR76" s="3574"/>
      <c r="AS76" s="3574"/>
      <c r="AT76" s="3574"/>
      <c r="AU76" s="3574"/>
      <c r="AV76" s="3574"/>
      <c r="AW76" s="3574"/>
      <c r="AX76" s="3574"/>
      <c r="AY76" s="3574"/>
      <c r="AZ76" s="3574"/>
      <c r="BA76" s="3574"/>
      <c r="BB76" s="3574"/>
      <c r="BC76" s="3574"/>
      <c r="BD76" s="3574"/>
      <c r="BE76" s="3574"/>
      <c r="BF76" s="3574"/>
      <c r="BG76" s="26"/>
      <c r="BH76" s="26"/>
      <c r="BI76" s="26"/>
      <c r="BJ76" s="26"/>
      <c r="BK76" s="26"/>
    </row>
    <row r="77" spans="1:63" ht="20.25" customHeight="1" x14ac:dyDescent="0.25">
      <c r="A77" s="93"/>
      <c r="B77" s="1018" t="s">
        <v>22</v>
      </c>
      <c r="C77" s="159" t="s">
        <v>50</v>
      </c>
      <c r="D77" s="5911">
        <f>+D61</f>
        <v>524798</v>
      </c>
      <c r="E77" s="5911">
        <f>+E61</f>
        <v>48499.815368603398</v>
      </c>
      <c r="F77" s="1201">
        <v>29481.079999999994</v>
      </c>
      <c r="G77" s="5911">
        <f>+G61</f>
        <v>48499.576671657102</v>
      </c>
      <c r="H77" s="1201">
        <v>35675.959999999992</v>
      </c>
      <c r="I77" s="5938">
        <f>E77+G77</f>
        <v>96999.3920402605</v>
      </c>
      <c r="J77" s="782">
        <f t="shared" si="291"/>
        <v>65157.039999999986</v>
      </c>
      <c r="K77" s="5911">
        <f>+K61</f>
        <v>48000.110883115201</v>
      </c>
      <c r="L77" s="1201">
        <v>37175.06</v>
      </c>
      <c r="M77" s="5881">
        <f>E77+G77+K77</f>
        <v>144999.50292337569</v>
      </c>
      <c r="N77" s="781">
        <f t="shared" si="292"/>
        <v>102332.09999999998</v>
      </c>
      <c r="O77" s="5911">
        <f>+O61</f>
        <v>43500.141355320899</v>
      </c>
      <c r="P77" s="1201">
        <v>36920.9</v>
      </c>
      <c r="Q77" s="5938">
        <f>M77+O77</f>
        <v>188499.64427869659</v>
      </c>
      <c r="R77" s="782">
        <f t="shared" si="293"/>
        <v>139252.99999999997</v>
      </c>
      <c r="S77" s="5911">
        <f>+S61</f>
        <v>43500.141355320899</v>
      </c>
      <c r="T77" s="1201">
        <v>50322.420000000006</v>
      </c>
      <c r="U77" s="5938">
        <f>Q77+S77</f>
        <v>231999.78563401749</v>
      </c>
      <c r="V77" s="782">
        <f t="shared" si="294"/>
        <v>189575.41999999998</v>
      </c>
      <c r="W77" s="5911">
        <f>+W61</f>
        <v>15300.0147648532</v>
      </c>
      <c r="X77" s="1201">
        <v>38909.94</v>
      </c>
      <c r="Y77" s="5881">
        <f>O77+S77+W77</f>
        <v>102300.297475495</v>
      </c>
      <c r="Z77" s="781">
        <f t="shared" si="295"/>
        <v>126153.26000000001</v>
      </c>
      <c r="AA77" s="5882">
        <f>M77+Y77</f>
        <v>247299.80039887069</v>
      </c>
      <c r="AB77" s="3562">
        <f t="shared" si="296"/>
        <v>228485.36</v>
      </c>
      <c r="AC77" s="5911">
        <f>+AC61</f>
        <v>47341.093867539748</v>
      </c>
      <c r="AD77" s="1201">
        <v>26529.88</v>
      </c>
      <c r="AE77" s="5938">
        <f>AA77+AC77</f>
        <v>294640.89426641044</v>
      </c>
      <c r="AF77" s="782">
        <f t="shared" si="297"/>
        <v>255015.24</v>
      </c>
      <c r="AG77" s="5911">
        <f>+AG61</f>
        <v>49680.915573301019</v>
      </c>
      <c r="AH77" s="1201">
        <v>14619.7</v>
      </c>
      <c r="AI77" s="5912">
        <f>AE77+AG77</f>
        <v>344321.80983971147</v>
      </c>
      <c r="AJ77" s="782">
        <f t="shared" ref="AJ77:AJ79" si="306">AF77+AH77</f>
        <v>269634.94</v>
      </c>
      <c r="AK77" s="5911">
        <f>+AK61</f>
        <v>45710.062262521606</v>
      </c>
      <c r="AL77" s="1201">
        <v>45877.759999999995</v>
      </c>
      <c r="AM77" s="5881">
        <f>AC77+AG77+AK77</f>
        <v>142732.0717033624</v>
      </c>
      <c r="AN77" s="781">
        <f>AD77+AH77+AL77</f>
        <v>87027.34</v>
      </c>
      <c r="AO77" s="5938">
        <f>AI77+AK77</f>
        <v>390031.87210223306</v>
      </c>
      <c r="AP77" s="782">
        <f t="shared" si="275"/>
        <v>315512.7</v>
      </c>
      <c r="AQ77" s="5911">
        <f>+AQ61</f>
        <v>47339.612262521601</v>
      </c>
      <c r="AR77" s="1201">
        <v>71516.819999999992</v>
      </c>
      <c r="AS77" s="5912">
        <f>AO77+AQ77</f>
        <v>437371.48436475464</v>
      </c>
      <c r="AT77" s="782">
        <f t="shared" ref="AT77:AT79" si="307">AP77+AR77</f>
        <v>387029.52</v>
      </c>
      <c r="AU77" s="5911">
        <f>+AU61</f>
        <v>46657.996091741836</v>
      </c>
      <c r="AV77" s="1201">
        <v>32673.4</v>
      </c>
      <c r="AW77" s="5912">
        <f>AS77+AU77</f>
        <v>484029.48045649647</v>
      </c>
      <c r="AX77" s="782">
        <f t="shared" ref="AX77:AX79" si="308">AT77+AV77</f>
        <v>419702.92000000004</v>
      </c>
      <c r="AY77" s="5911">
        <f>+AY61</f>
        <v>45452.612262521594</v>
      </c>
      <c r="AZ77" s="1201">
        <v>50946.879999999997</v>
      </c>
      <c r="BA77" s="5881">
        <f>AQ77+AU77+AY77</f>
        <v>139450.22061678505</v>
      </c>
      <c r="BB77" s="781">
        <f>AR77+AV77+AZ77</f>
        <v>155137.1</v>
      </c>
      <c r="BC77" s="5882">
        <f>AM77+BA77</f>
        <v>282182.29232014745</v>
      </c>
      <c r="BD77" s="3562">
        <f t="shared" ref="BD77:BD78" si="309">AN77+BB77</f>
        <v>242164.44</v>
      </c>
      <c r="BE77" s="5912">
        <f>AW77+AY77</f>
        <v>529482.09271901811</v>
      </c>
      <c r="BF77" s="782">
        <f t="shared" ref="BF77:BF79" si="310">AX77+AZ77</f>
        <v>470649.80000000005</v>
      </c>
      <c r="BG77" s="26"/>
      <c r="BH77" s="26"/>
      <c r="BI77" s="26"/>
      <c r="BJ77" s="26"/>
      <c r="BK77" s="26"/>
    </row>
    <row r="78" spans="1:63" ht="20.25" customHeight="1" x14ac:dyDescent="0.25">
      <c r="A78" s="93"/>
      <c r="B78" s="1018" t="s">
        <v>23</v>
      </c>
      <c r="C78" s="159" t="s">
        <v>50</v>
      </c>
      <c r="D78" s="5911"/>
      <c r="E78" s="5911"/>
      <c r="F78" s="1201">
        <v>8943.2099999999973</v>
      </c>
      <c r="G78" s="5911"/>
      <c r="H78" s="1201">
        <v>17359.149999999998</v>
      </c>
      <c r="I78" s="5938"/>
      <c r="J78" s="782">
        <f t="shared" si="291"/>
        <v>26302.359999999993</v>
      </c>
      <c r="K78" s="5911"/>
      <c r="L78" s="1201">
        <v>13924.959999999995</v>
      </c>
      <c r="M78" s="5881"/>
      <c r="N78" s="781">
        <f t="shared" si="292"/>
        <v>40227.319999999992</v>
      </c>
      <c r="O78" s="5911"/>
      <c r="P78" s="1201">
        <v>21138.309999999998</v>
      </c>
      <c r="Q78" s="5938"/>
      <c r="R78" s="782">
        <f t="shared" si="293"/>
        <v>61365.62999999999</v>
      </c>
      <c r="S78" s="5911"/>
      <c r="T78" s="1201">
        <v>19654.54</v>
      </c>
      <c r="U78" s="5938"/>
      <c r="V78" s="782">
        <f t="shared" si="294"/>
        <v>81020.169999999984</v>
      </c>
      <c r="W78" s="5911"/>
      <c r="X78" s="1201">
        <v>16690.590000000004</v>
      </c>
      <c r="Y78" s="5881">
        <f t="shared" ref="Y78:Y79" si="311">O78+S78+W78</f>
        <v>0</v>
      </c>
      <c r="Z78" s="781">
        <f t="shared" si="295"/>
        <v>57483.44</v>
      </c>
      <c r="AA78" s="5882"/>
      <c r="AB78" s="3562">
        <f t="shared" si="296"/>
        <v>97710.76</v>
      </c>
      <c r="AC78" s="5911"/>
      <c r="AD78" s="1201">
        <v>8552.3999999999978</v>
      </c>
      <c r="AE78" s="5938"/>
      <c r="AF78" s="782">
        <f t="shared" si="297"/>
        <v>106263.15999999999</v>
      </c>
      <c r="AG78" s="5911"/>
      <c r="AH78" s="1201">
        <v>3063.95</v>
      </c>
      <c r="AI78" s="5913"/>
      <c r="AJ78" s="782">
        <f t="shared" si="306"/>
        <v>109327.10999999999</v>
      </c>
      <c r="AK78" s="5911"/>
      <c r="AL78" s="1201">
        <v>14134.760000000002</v>
      </c>
      <c r="AM78" s="5881">
        <f t="shared" ref="AM78:AM79" si="312">AC78+AG78+AK78</f>
        <v>0</v>
      </c>
      <c r="AN78" s="781">
        <f>AD78+AH78+AL78</f>
        <v>25751.11</v>
      </c>
      <c r="AO78" s="5938"/>
      <c r="AP78" s="782">
        <f t="shared" si="275"/>
        <v>123461.87</v>
      </c>
      <c r="AQ78" s="5911"/>
      <c r="AR78" s="1201">
        <v>14898.910000000002</v>
      </c>
      <c r="AS78" s="5913"/>
      <c r="AT78" s="782">
        <f t="shared" si="307"/>
        <v>138360.78</v>
      </c>
      <c r="AU78" s="5911"/>
      <c r="AV78" s="1201">
        <v>17543.660000000003</v>
      </c>
      <c r="AW78" s="5913"/>
      <c r="AX78" s="782">
        <f t="shared" si="308"/>
        <v>155904.44</v>
      </c>
      <c r="AY78" s="5911"/>
      <c r="AZ78" s="1201">
        <v>17724.870000000006</v>
      </c>
      <c r="BA78" s="5881">
        <f t="shared" ref="BA78:BA79" si="313">AQ78+AU78+AY78</f>
        <v>0</v>
      </c>
      <c r="BB78" s="781">
        <f>AR78+AV78+AZ78</f>
        <v>50167.440000000017</v>
      </c>
      <c r="BC78" s="5882"/>
      <c r="BD78" s="3562">
        <f t="shared" si="309"/>
        <v>75918.550000000017</v>
      </c>
      <c r="BE78" s="5913"/>
      <c r="BF78" s="782">
        <f t="shared" si="310"/>
        <v>173629.31</v>
      </c>
      <c r="BG78" s="26"/>
      <c r="BH78" s="26"/>
      <c r="BI78" s="26"/>
      <c r="BJ78" s="26"/>
      <c r="BK78" s="26"/>
    </row>
    <row r="79" spans="1:63" x14ac:dyDescent="0.25">
      <c r="A79" s="93"/>
      <c r="B79" s="3564" t="s">
        <v>2</v>
      </c>
      <c r="C79" s="706" t="s">
        <v>50</v>
      </c>
      <c r="D79" s="5911"/>
      <c r="E79" s="5911"/>
      <c r="F79" s="1774">
        <f>SUM(F77:F78)</f>
        <v>38424.289999999994</v>
      </c>
      <c r="G79" s="5911"/>
      <c r="H79" s="1774">
        <f>SUM(H77:H78)</f>
        <v>53035.109999999986</v>
      </c>
      <c r="I79" s="5938"/>
      <c r="J79" s="782">
        <f t="shared" si="291"/>
        <v>91459.39999999998</v>
      </c>
      <c r="K79" s="5911"/>
      <c r="L79" s="1774">
        <f>SUM(L77:L78)</f>
        <v>51100.01999999999</v>
      </c>
      <c r="M79" s="5881"/>
      <c r="N79" s="781">
        <f t="shared" si="292"/>
        <v>142559.41999999998</v>
      </c>
      <c r="O79" s="5911"/>
      <c r="P79" s="1774">
        <f>SUM(P77:P78)</f>
        <v>58059.21</v>
      </c>
      <c r="Q79" s="5938"/>
      <c r="R79" s="782">
        <f t="shared" si="293"/>
        <v>200618.62999999998</v>
      </c>
      <c r="S79" s="5911"/>
      <c r="T79" s="1774">
        <f>SUM(T77:T78)</f>
        <v>69976.960000000006</v>
      </c>
      <c r="U79" s="5938"/>
      <c r="V79" s="782">
        <f t="shared" si="294"/>
        <v>270595.58999999997</v>
      </c>
      <c r="W79" s="5911"/>
      <c r="X79" s="1774">
        <f>SUM(X77:X78)</f>
        <v>55600.530000000006</v>
      </c>
      <c r="Y79" s="5881">
        <f t="shared" si="311"/>
        <v>0</v>
      </c>
      <c r="Z79" s="781">
        <f t="shared" si="295"/>
        <v>183636.7</v>
      </c>
      <c r="AA79" s="5882"/>
      <c r="AB79" s="3562">
        <f t="shared" si="296"/>
        <v>326196.12</v>
      </c>
      <c r="AC79" s="5911"/>
      <c r="AD79" s="1774">
        <f>SUM(AD77:AD78)</f>
        <v>35082.28</v>
      </c>
      <c r="AE79" s="5938"/>
      <c r="AF79" s="782">
        <f t="shared" si="297"/>
        <v>361278.4</v>
      </c>
      <c r="AG79" s="5911"/>
      <c r="AH79" s="1774">
        <f>SUM(AH77:AH78)</f>
        <v>17683.650000000001</v>
      </c>
      <c r="AI79" s="5914"/>
      <c r="AJ79" s="376">
        <f t="shared" si="306"/>
        <v>378962.05000000005</v>
      </c>
      <c r="AK79" s="5911"/>
      <c r="AL79" s="1774">
        <f>SUM(AL77:AL78)</f>
        <v>60012.52</v>
      </c>
      <c r="AM79" s="5881">
        <f t="shared" si="312"/>
        <v>0</v>
      </c>
      <c r="AN79" s="378">
        <f>AD79+AH79+AL79</f>
        <v>112778.45</v>
      </c>
      <c r="AO79" s="5938"/>
      <c r="AP79" s="376">
        <f t="shared" si="275"/>
        <v>438974.57000000007</v>
      </c>
      <c r="AQ79" s="5911"/>
      <c r="AR79" s="1774">
        <f>SUM(AR77:AR78)</f>
        <v>86415.73</v>
      </c>
      <c r="AS79" s="5914"/>
      <c r="AT79" s="376">
        <f t="shared" si="307"/>
        <v>525390.30000000005</v>
      </c>
      <c r="AU79" s="5911"/>
      <c r="AV79" s="1774">
        <f>SUM(AV77:AV78)</f>
        <v>50217.060000000005</v>
      </c>
      <c r="AW79" s="5914"/>
      <c r="AX79" s="376">
        <f t="shared" si="308"/>
        <v>575607.3600000001</v>
      </c>
      <c r="AY79" s="5911"/>
      <c r="AZ79" s="1774">
        <f>SUM(AZ77:AZ78)</f>
        <v>68671.75</v>
      </c>
      <c r="BA79" s="5881">
        <f t="shared" si="313"/>
        <v>0</v>
      </c>
      <c r="BB79" s="378">
        <f>AR79+AV79+AZ79</f>
        <v>205304.54</v>
      </c>
      <c r="BC79" s="5882"/>
      <c r="BD79" s="3565">
        <f>AN79+BB79</f>
        <v>318082.99</v>
      </c>
      <c r="BE79" s="5914"/>
      <c r="BF79" s="376">
        <f t="shared" si="310"/>
        <v>644279.1100000001</v>
      </c>
      <c r="BG79" s="26"/>
      <c r="BH79" s="26"/>
      <c r="BI79" s="26"/>
      <c r="BJ79" s="26"/>
      <c r="BK79" s="26"/>
    </row>
    <row r="80" spans="1:63" x14ac:dyDescent="0.25">
      <c r="A80" s="154"/>
      <c r="B80" s="861" t="s">
        <v>116</v>
      </c>
      <c r="C80" s="861"/>
      <c r="D80" s="861"/>
      <c r="E80" s="3569"/>
      <c r="F80" s="3569"/>
      <c r="G80" s="3569"/>
      <c r="H80" s="3569"/>
      <c r="I80" s="3569"/>
      <c r="J80" s="782">
        <f t="shared" si="291"/>
        <v>0</v>
      </c>
      <c r="K80" s="3569"/>
      <c r="L80" s="3569"/>
      <c r="M80" s="3569"/>
      <c r="N80" s="781">
        <f t="shared" si="292"/>
        <v>0</v>
      </c>
      <c r="O80" s="3569"/>
      <c r="P80" s="3569"/>
      <c r="Q80" s="3569"/>
      <c r="R80" s="782">
        <f t="shared" si="293"/>
        <v>0</v>
      </c>
      <c r="S80" s="3569"/>
      <c r="T80" s="3569"/>
      <c r="U80" s="3569"/>
      <c r="V80" s="782">
        <f t="shared" si="294"/>
        <v>0</v>
      </c>
      <c r="W80" s="3569"/>
      <c r="X80" s="3569"/>
      <c r="Y80" s="3569"/>
      <c r="Z80" s="781">
        <f t="shared" si="295"/>
        <v>0</v>
      </c>
      <c r="AA80" s="3569"/>
      <c r="AB80" s="3562">
        <f t="shared" si="296"/>
        <v>0</v>
      </c>
      <c r="AC80" s="3569"/>
      <c r="AD80" s="3569"/>
      <c r="AE80" s="3569"/>
      <c r="AF80" s="782">
        <f t="shared" si="297"/>
        <v>0</v>
      </c>
      <c r="AG80" s="3569"/>
      <c r="AH80" s="3569"/>
      <c r="AI80" s="3569"/>
      <c r="AJ80" s="3569"/>
      <c r="AK80" s="3569"/>
      <c r="AL80" s="3569"/>
      <c r="AM80" s="3569"/>
      <c r="AN80" s="3569"/>
      <c r="AO80" s="3569"/>
      <c r="AP80" s="3569"/>
      <c r="AQ80" s="3569"/>
      <c r="AR80" s="3569"/>
      <c r="AS80" s="3569"/>
      <c r="AT80" s="3569"/>
      <c r="AU80" s="3569"/>
      <c r="AV80" s="3569"/>
      <c r="AW80" s="3569"/>
      <c r="AX80" s="3569"/>
      <c r="AY80" s="3569"/>
      <c r="AZ80" s="3569"/>
      <c r="BA80" s="3569"/>
      <c r="BB80" s="3569"/>
      <c r="BC80" s="3569"/>
      <c r="BD80" s="3569"/>
      <c r="BE80" s="3569"/>
      <c r="BF80" s="3569"/>
      <c r="BG80" s="26"/>
      <c r="BH80" s="26"/>
      <c r="BI80" s="26"/>
      <c r="BJ80" s="26"/>
      <c r="BK80" s="26"/>
    </row>
    <row r="81" spans="1:63" x14ac:dyDescent="0.25">
      <c r="A81" s="93"/>
      <c r="B81" s="3564" t="s">
        <v>22</v>
      </c>
      <c r="C81" s="706" t="s">
        <v>50</v>
      </c>
      <c r="D81" s="5911">
        <f>+D65+D69+D73+D77</f>
        <v>2674798</v>
      </c>
      <c r="E81" s="5911">
        <f>+E65+E69+E73+E77</f>
        <v>228999.81536860339</v>
      </c>
      <c r="F81" s="1774">
        <f>+F65+F69+F73+F77</f>
        <v>141481.09999999998</v>
      </c>
      <c r="G81" s="5911">
        <f>+G65+G69+G73+G77</f>
        <v>236499.57667165709</v>
      </c>
      <c r="H81" s="1774">
        <f>+H65+H69+H73+H77</f>
        <v>175451.51999999999</v>
      </c>
      <c r="I81" s="5938">
        <f>E81+G81</f>
        <v>465499.39204026049</v>
      </c>
      <c r="J81" s="782">
        <f t="shared" si="291"/>
        <v>316932.62</v>
      </c>
      <c r="K81" s="5911">
        <f>+K65+K69+K73+K77</f>
        <v>229000.11088311521</v>
      </c>
      <c r="L81" s="1774">
        <f>+L65+L69+L73+L77</f>
        <v>185082.03999999998</v>
      </c>
      <c r="M81" s="5881">
        <f>E81+G81+K81</f>
        <v>694499.50292337569</v>
      </c>
      <c r="N81" s="781">
        <f t="shared" si="292"/>
        <v>502014.66</v>
      </c>
      <c r="O81" s="5911">
        <f>+O65+O69+O73+O77</f>
        <v>231500.1413553209</v>
      </c>
      <c r="P81" s="1774">
        <f>+P65+P69+P73+P77</f>
        <v>192470.12</v>
      </c>
      <c r="Q81" s="5938">
        <f>M81+O81</f>
        <v>925999.64427869662</v>
      </c>
      <c r="R81" s="782">
        <f t="shared" si="293"/>
        <v>694484.78</v>
      </c>
      <c r="S81" s="5911">
        <f>+S65+S69+S73+S77</f>
        <v>231500.1413553209</v>
      </c>
      <c r="T81" s="1774">
        <f>+T65+T69+T73+T77</f>
        <v>199128.72</v>
      </c>
      <c r="U81" s="5938">
        <f>Q81+S81</f>
        <v>1157499.7856340175</v>
      </c>
      <c r="V81" s="782">
        <f t="shared" si="294"/>
        <v>893613.5</v>
      </c>
      <c r="W81" s="5911">
        <f>+W65+W69+W73+W77</f>
        <v>121300.0147648532</v>
      </c>
      <c r="X81" s="1774">
        <f>+X65+X69+X73+X77</f>
        <v>164142.78000000003</v>
      </c>
      <c r="Y81" s="5881">
        <f>O81+S81+W81</f>
        <v>584300.29747549503</v>
      </c>
      <c r="Z81" s="781">
        <f t="shared" si="295"/>
        <v>555741.62</v>
      </c>
      <c r="AA81" s="5882">
        <f>M81+Y81</f>
        <v>1278799.8003988708</v>
      </c>
      <c r="AB81" s="3562">
        <f t="shared" si="296"/>
        <v>1057756.28</v>
      </c>
      <c r="AC81" s="5911">
        <f>+AC65+AC69+AC73+AC77</f>
        <v>226841.09386753975</v>
      </c>
      <c r="AD81" s="1774">
        <f>+AD65+AD69+AD73+AD77</f>
        <v>148158.06</v>
      </c>
      <c r="AE81" s="5938">
        <f>AA81+AC81</f>
        <v>1505640.8942664105</v>
      </c>
      <c r="AF81" s="782">
        <f t="shared" si="297"/>
        <v>1205914.3400000001</v>
      </c>
      <c r="AG81" s="5911">
        <f>+AG65+AG69+AG73+AG77</f>
        <v>223180.91557330103</v>
      </c>
      <c r="AH81" s="1774">
        <f>+AH65+AH69+AH73+AH77</f>
        <v>62803.839999999997</v>
      </c>
      <c r="AI81" s="5912">
        <f>AE81+AG81</f>
        <v>1728821.8098397115</v>
      </c>
      <c r="AJ81" s="376">
        <f t="shared" ref="AJ81:AJ83" si="314">AF81+AH81</f>
        <v>1268718.1800000002</v>
      </c>
      <c r="AK81" s="5911">
        <f>+AK65+AK69+AK73+AK77</f>
        <v>225210.06226252159</v>
      </c>
      <c r="AL81" s="1774">
        <f>+AL65+AL69+AL73+AL77</f>
        <v>157996.79999999999</v>
      </c>
      <c r="AM81" s="5881">
        <f>AC81+AG81+AK81</f>
        <v>675232.0717033624</v>
      </c>
      <c r="AN81" s="378">
        <f>AD81+AH81+AL81</f>
        <v>368958.69999999995</v>
      </c>
      <c r="AO81" s="5938">
        <f>AI81+AK81</f>
        <v>1954031.8721022331</v>
      </c>
      <c r="AP81" s="376">
        <f t="shared" si="275"/>
        <v>1426714.9800000002</v>
      </c>
      <c r="AQ81" s="5911">
        <f>+AQ65+AQ69+AQ73+AQ77</f>
        <v>226839.61226252161</v>
      </c>
      <c r="AR81" s="1774">
        <f>+AR65+AR69+AR73+AR77</f>
        <v>194324</v>
      </c>
      <c r="AS81" s="5912">
        <f>AO81+AQ81</f>
        <v>2180871.4843647545</v>
      </c>
      <c r="AT81" s="376">
        <f t="shared" ref="AT81:AT83" si="315">AP81+AR81</f>
        <v>1621038.9800000002</v>
      </c>
      <c r="AU81" s="5911">
        <f>+AU65+AU69+AU73+AU77</f>
        <v>207657.99609174184</v>
      </c>
      <c r="AV81" s="1774">
        <f>+AV65+AV69+AV73+AV77</f>
        <v>141082.9</v>
      </c>
      <c r="AW81" s="5912">
        <f>AS81+AU81</f>
        <v>2388529.4804564966</v>
      </c>
      <c r="AX81" s="376">
        <f t="shared" ref="AX81:AX83" si="316">AT81+AV81</f>
        <v>1762121.8800000001</v>
      </c>
      <c r="AY81" s="5911">
        <f>+AY65+AY69+AY73+AY77</f>
        <v>230952.61226252158</v>
      </c>
      <c r="AZ81" s="1774">
        <f>+AZ65+AZ69+AZ73+AZ77</f>
        <v>218617.3</v>
      </c>
      <c r="BA81" s="5881">
        <f>AQ81+AU81+AY81</f>
        <v>665450.22061678511</v>
      </c>
      <c r="BB81" s="378">
        <f>AR81+AV81+AZ81</f>
        <v>554024.19999999995</v>
      </c>
      <c r="BC81" s="5882">
        <f>AM81+BA81</f>
        <v>1340682.2923201476</v>
      </c>
      <c r="BD81" s="3565">
        <f>AN81+BB81</f>
        <v>922982.89999999991</v>
      </c>
      <c r="BE81" s="5912">
        <f>AW81+AY81</f>
        <v>2619482.092719018</v>
      </c>
      <c r="BF81" s="376">
        <f t="shared" ref="BF81:BF83" si="317">AX81+AZ81</f>
        <v>1980739.1800000002</v>
      </c>
      <c r="BG81" s="26"/>
      <c r="BH81" s="26"/>
      <c r="BI81" s="26"/>
      <c r="BJ81" s="26"/>
      <c r="BK81" s="26"/>
    </row>
    <row r="82" spans="1:63" x14ac:dyDescent="0.25">
      <c r="A82" s="93"/>
      <c r="B82" s="3568" t="s">
        <v>23</v>
      </c>
      <c r="C82" s="813" t="s">
        <v>50</v>
      </c>
      <c r="D82" s="5911"/>
      <c r="E82" s="5911"/>
      <c r="F82" s="457">
        <f>+F66+F70+F74+F78</f>
        <v>34409.9</v>
      </c>
      <c r="G82" s="5911"/>
      <c r="H82" s="457">
        <f>+H66+H70+H74+H78</f>
        <v>42014.509999999995</v>
      </c>
      <c r="I82" s="5938"/>
      <c r="J82" s="782">
        <f t="shared" si="291"/>
        <v>76424.41</v>
      </c>
      <c r="K82" s="5911"/>
      <c r="L82" s="457">
        <f>+L66+L70+L74+L78</f>
        <v>33422.349999999991</v>
      </c>
      <c r="M82" s="5881"/>
      <c r="N82" s="781">
        <f t="shared" si="292"/>
        <v>109846.76</v>
      </c>
      <c r="O82" s="5911"/>
      <c r="P82" s="457">
        <f>+P66+P70+P74+P78</f>
        <v>51153.71</v>
      </c>
      <c r="Q82" s="5938"/>
      <c r="R82" s="782">
        <f t="shared" si="293"/>
        <v>161000.47</v>
      </c>
      <c r="S82" s="5911"/>
      <c r="T82" s="457">
        <f>+T66+T70+T74+T78</f>
        <v>47189.729999999996</v>
      </c>
      <c r="U82" s="5938"/>
      <c r="V82" s="782">
        <f t="shared" si="294"/>
        <v>208190.2</v>
      </c>
      <c r="W82" s="5911"/>
      <c r="X82" s="457">
        <f>+X66+X70+X74+X78</f>
        <v>43122.55</v>
      </c>
      <c r="Y82" s="5881">
        <f t="shared" ref="Y82:Y83" si="318">O82+S82+W82</f>
        <v>0</v>
      </c>
      <c r="Z82" s="781">
        <f t="shared" si="295"/>
        <v>141465.99</v>
      </c>
      <c r="AA82" s="5882"/>
      <c r="AB82" s="3562">
        <f t="shared" si="296"/>
        <v>251312.75</v>
      </c>
      <c r="AC82" s="5911"/>
      <c r="AD82" s="457">
        <f>+AD66+AD70+AD74+AD78</f>
        <v>31352.579999999998</v>
      </c>
      <c r="AE82" s="5938"/>
      <c r="AF82" s="782">
        <f t="shared" si="297"/>
        <v>282665.33</v>
      </c>
      <c r="AG82" s="5911"/>
      <c r="AH82" s="457">
        <f>+AH66+AH70+AH74+AH78</f>
        <v>11318.369999999999</v>
      </c>
      <c r="AI82" s="5913"/>
      <c r="AJ82" s="376">
        <f t="shared" si="314"/>
        <v>293983.7</v>
      </c>
      <c r="AK82" s="5911"/>
      <c r="AL82" s="457">
        <f>+AL66+AL70+AL74+AL78</f>
        <v>40121.520000000004</v>
      </c>
      <c r="AM82" s="5881">
        <f t="shared" ref="AM82:AM83" si="319">AC82+AG82+AK82</f>
        <v>0</v>
      </c>
      <c r="AN82" s="378">
        <f t="shared" ref="AN82:AN83" si="320">AD82+AH82+AL82</f>
        <v>82792.47</v>
      </c>
      <c r="AO82" s="5938"/>
      <c r="AP82" s="376">
        <f t="shared" si="275"/>
        <v>334105.22000000003</v>
      </c>
      <c r="AQ82" s="5911"/>
      <c r="AR82" s="457">
        <f>+AR66+AR70+AR74+AR78</f>
        <v>44651.9</v>
      </c>
      <c r="AS82" s="5913"/>
      <c r="AT82" s="376">
        <f t="shared" si="315"/>
        <v>378757.12000000005</v>
      </c>
      <c r="AU82" s="5911"/>
      <c r="AV82" s="457">
        <f>+AV66+AV70+AV74+AV78</f>
        <v>47657.420000000006</v>
      </c>
      <c r="AW82" s="5913"/>
      <c r="AX82" s="376">
        <f t="shared" si="316"/>
        <v>426414.54000000004</v>
      </c>
      <c r="AY82" s="5911"/>
      <c r="AZ82" s="457">
        <f>+AZ66+AZ70+AZ74+AZ78</f>
        <v>47518.8</v>
      </c>
      <c r="BA82" s="5881">
        <f t="shared" ref="BA82:BA83" si="321">AQ82+AU82+AY82</f>
        <v>0</v>
      </c>
      <c r="BB82" s="378">
        <f t="shared" ref="BB82:BB83" si="322">AR82+AV82+AZ82</f>
        <v>139828.12</v>
      </c>
      <c r="BC82" s="5882"/>
      <c r="BD82" s="3565">
        <f>AN82+BB82</f>
        <v>222620.59</v>
      </c>
      <c r="BE82" s="5913"/>
      <c r="BF82" s="376">
        <f t="shared" si="317"/>
        <v>473933.34</v>
      </c>
      <c r="BG82" s="26"/>
      <c r="BH82" s="26"/>
      <c r="BI82" s="26"/>
      <c r="BJ82" s="26"/>
      <c r="BK82" s="26"/>
    </row>
    <row r="83" spans="1:63" ht="20.25" customHeight="1" x14ac:dyDescent="0.25">
      <c r="A83" s="93"/>
      <c r="B83" s="3564" t="s">
        <v>2</v>
      </c>
      <c r="C83" s="706" t="s">
        <v>50</v>
      </c>
      <c r="D83" s="5911"/>
      <c r="E83" s="5911"/>
      <c r="F83" s="1774">
        <f>SUM(F81:F82)</f>
        <v>175890.99999999997</v>
      </c>
      <c r="G83" s="5911"/>
      <c r="H83" s="1774">
        <f>SUM(H81:H82)</f>
        <v>217466.02999999997</v>
      </c>
      <c r="I83" s="5938"/>
      <c r="J83" s="782">
        <f t="shared" si="291"/>
        <v>393357.02999999991</v>
      </c>
      <c r="K83" s="5911"/>
      <c r="L83" s="1774">
        <f>SUM(L81:L82)</f>
        <v>218504.38999999996</v>
      </c>
      <c r="M83" s="5881"/>
      <c r="N83" s="781">
        <f t="shared" si="292"/>
        <v>611861.41999999993</v>
      </c>
      <c r="O83" s="5911"/>
      <c r="P83" s="1774">
        <f>SUM(P81:P82)</f>
        <v>243623.83</v>
      </c>
      <c r="Q83" s="5938"/>
      <c r="R83" s="782">
        <f t="shared" si="293"/>
        <v>855485.24999999988</v>
      </c>
      <c r="S83" s="5911"/>
      <c r="T83" s="1774">
        <f>SUM(T81:T82)</f>
        <v>246318.45</v>
      </c>
      <c r="U83" s="5938"/>
      <c r="V83" s="782">
        <f t="shared" si="294"/>
        <v>1101803.7</v>
      </c>
      <c r="W83" s="5911"/>
      <c r="X83" s="1774">
        <f>SUM(X81:X82)</f>
        <v>207265.33000000002</v>
      </c>
      <c r="Y83" s="5881">
        <f t="shared" si="318"/>
        <v>0</v>
      </c>
      <c r="Z83" s="781">
        <f t="shared" si="295"/>
        <v>697207.6100000001</v>
      </c>
      <c r="AA83" s="5882"/>
      <c r="AB83" s="3562">
        <f t="shared" si="296"/>
        <v>1309069.03</v>
      </c>
      <c r="AC83" s="5911"/>
      <c r="AD83" s="1774">
        <f>SUM(AD81:AD82)</f>
        <v>179510.63999999998</v>
      </c>
      <c r="AE83" s="5938"/>
      <c r="AF83" s="782">
        <f t="shared" si="297"/>
        <v>1488579.67</v>
      </c>
      <c r="AG83" s="5911"/>
      <c r="AH83" s="1774">
        <f>SUM(AH81:AH82)</f>
        <v>74122.209999999992</v>
      </c>
      <c r="AI83" s="5914"/>
      <c r="AJ83" s="376">
        <f t="shared" si="314"/>
        <v>1562701.88</v>
      </c>
      <c r="AK83" s="5911"/>
      <c r="AL83" s="1774">
        <f>SUM(AL81:AL82)</f>
        <v>198118.32</v>
      </c>
      <c r="AM83" s="5881">
        <f t="shared" si="319"/>
        <v>0</v>
      </c>
      <c r="AN83" s="378">
        <f t="shared" si="320"/>
        <v>451751.17</v>
      </c>
      <c r="AO83" s="5938"/>
      <c r="AP83" s="376">
        <f t="shared" si="275"/>
        <v>1760820.2</v>
      </c>
      <c r="AQ83" s="5911"/>
      <c r="AR83" s="1774">
        <f>SUM(AR81:AR82)</f>
        <v>238975.9</v>
      </c>
      <c r="AS83" s="5914"/>
      <c r="AT83" s="376">
        <f t="shared" si="315"/>
        <v>1999796.0999999999</v>
      </c>
      <c r="AU83" s="5911"/>
      <c r="AV83" s="1774">
        <f>SUM(AV81:AV82)</f>
        <v>188740.32</v>
      </c>
      <c r="AW83" s="5914"/>
      <c r="AX83" s="376">
        <f t="shared" si="316"/>
        <v>2188536.42</v>
      </c>
      <c r="AY83" s="5911"/>
      <c r="AZ83" s="1774">
        <f>SUM(AZ81:AZ82)</f>
        <v>266136.09999999998</v>
      </c>
      <c r="BA83" s="5881">
        <f t="shared" si="321"/>
        <v>0</v>
      </c>
      <c r="BB83" s="378">
        <f t="shared" si="322"/>
        <v>693852.32</v>
      </c>
      <c r="BC83" s="5882"/>
      <c r="BD83" s="3565">
        <f>AN83+BB83</f>
        <v>1145603.49</v>
      </c>
      <c r="BE83" s="5914"/>
      <c r="BF83" s="376">
        <f t="shared" si="317"/>
        <v>2454672.52</v>
      </c>
      <c r="BG83" s="26"/>
      <c r="BH83" s="26"/>
      <c r="BI83" s="26"/>
      <c r="BJ83" s="26"/>
      <c r="BK83" s="26"/>
    </row>
    <row r="84" spans="1:63" x14ac:dyDescent="0.25">
      <c r="A84" s="93"/>
      <c r="B84" s="3564" t="s">
        <v>656</v>
      </c>
      <c r="C84" s="706" t="s">
        <v>49</v>
      </c>
      <c r="D84" s="706"/>
      <c r="E84" s="706"/>
      <c r="F84" s="3576">
        <f>+F82/F83*100</f>
        <v>19.563195388052833</v>
      </c>
      <c r="G84" s="706"/>
      <c r="H84" s="3576">
        <f>+H82/H83*100</f>
        <v>19.320033570300613</v>
      </c>
      <c r="I84" s="707"/>
      <c r="J84" s="3576">
        <f>+J82/J83*100</f>
        <v>19.428764245042228</v>
      </c>
      <c r="K84" s="706"/>
      <c r="L84" s="3576">
        <f>+L82/L83*100</f>
        <v>15.295962703541106</v>
      </c>
      <c r="M84" s="708"/>
      <c r="N84" s="3576">
        <f>+N82/N83*100</f>
        <v>17.952882206562396</v>
      </c>
      <c r="O84" s="706"/>
      <c r="P84" s="3576">
        <f>+P82/P83*100</f>
        <v>20.997005916867824</v>
      </c>
      <c r="Q84" s="707"/>
      <c r="R84" s="3576">
        <f>+R82/R83*100</f>
        <v>18.819783275047701</v>
      </c>
      <c r="S84" s="706"/>
      <c r="T84" s="3576">
        <f>+T82/T83*100</f>
        <v>19.15801678680586</v>
      </c>
      <c r="U84" s="707"/>
      <c r="V84" s="3576">
        <f>+V82/V83*100</f>
        <v>18.895398517902965</v>
      </c>
      <c r="W84" s="706"/>
      <c r="X84" s="3576">
        <f>+X82/X83*100</f>
        <v>20.805481553523688</v>
      </c>
      <c r="Y84" s="708"/>
      <c r="Z84" s="3576">
        <f>+Z82/Z83*100</f>
        <v>20.290368029689173</v>
      </c>
      <c r="AA84" s="3560"/>
      <c r="AB84" s="3576">
        <f>+AB82/AB83*100</f>
        <v>19.197822593053019</v>
      </c>
      <c r="AC84" s="706"/>
      <c r="AD84" s="3576">
        <f>+AD82/AD83*100</f>
        <v>17.465583098584016</v>
      </c>
      <c r="AE84" s="707"/>
      <c r="AF84" s="3576">
        <f>+AF82/AF83*100</f>
        <v>18.988928553619171</v>
      </c>
      <c r="AG84" s="706"/>
      <c r="AH84" s="3576">
        <f>+AH82/AH83*100</f>
        <v>15.26987659973981</v>
      </c>
      <c r="AI84" s="707"/>
      <c r="AJ84" s="3571">
        <f>+AJ82/AJ83*100</f>
        <v>18.812526161419861</v>
      </c>
      <c r="AK84" s="706"/>
      <c r="AL84" s="3576">
        <f>+AL82/AL83*100</f>
        <v>20.25129225808093</v>
      </c>
      <c r="AM84" s="708"/>
      <c r="AN84" s="620">
        <f>+AN82/AN83*100</f>
        <v>18.327007321309207</v>
      </c>
      <c r="AO84" s="707"/>
      <c r="AP84" s="3571">
        <f>+AP82/AP83*100</f>
        <v>18.97440863070517</v>
      </c>
      <c r="AQ84" s="706"/>
      <c r="AR84" s="3576">
        <f>+AR82/AR83*100</f>
        <v>18.68468745174723</v>
      </c>
      <c r="AS84" s="707"/>
      <c r="AT84" s="3571">
        <f>+AT82/AT83*100</f>
        <v>18.939786911275608</v>
      </c>
      <c r="AU84" s="706"/>
      <c r="AV84" s="3576">
        <f>+AV82/AV83*100</f>
        <v>25.250259192100554</v>
      </c>
      <c r="AW84" s="707"/>
      <c r="AX84" s="3571">
        <f>+AX82/AX83*100</f>
        <v>19.484004748707818</v>
      </c>
      <c r="AY84" s="706"/>
      <c r="AZ84" s="3576">
        <f>+AZ82/AZ83*100</f>
        <v>17.855074903404688</v>
      </c>
      <c r="BA84" s="708"/>
      <c r="BB84" s="620">
        <f>+BB82/BB83*100</f>
        <v>20.152432436919717</v>
      </c>
      <c r="BC84" s="3560"/>
      <c r="BD84" s="3572">
        <f>+BD82/BD83*100</f>
        <v>19.432604033006218</v>
      </c>
      <c r="BE84" s="707"/>
      <c r="BF84" s="3571">
        <f>+BF82/BF83*100</f>
        <v>19.307395839506935</v>
      </c>
      <c r="BG84" s="26"/>
      <c r="BH84" s="26"/>
      <c r="BI84" s="26"/>
      <c r="BJ84" s="26"/>
      <c r="BK84" s="26"/>
    </row>
    <row r="85" spans="1:63" ht="49.5" customHeight="1" thickBot="1" x14ac:dyDescent="0.3">
      <c r="A85" s="154"/>
      <c r="B85" s="3577" t="s">
        <v>319</v>
      </c>
      <c r="C85" s="3578" t="s">
        <v>1263</v>
      </c>
      <c r="D85" s="3578"/>
      <c r="E85" s="3578"/>
      <c r="F85" s="3578"/>
      <c r="G85" s="3578"/>
      <c r="H85" s="3578"/>
      <c r="I85" s="3578"/>
      <c r="J85" s="782">
        <f t="shared" si="291"/>
        <v>0</v>
      </c>
      <c r="K85" s="3578"/>
      <c r="L85" s="3578"/>
      <c r="M85" s="3578"/>
      <c r="N85" s="781">
        <f t="shared" si="292"/>
        <v>0</v>
      </c>
      <c r="O85" s="3578"/>
      <c r="P85" s="3578"/>
      <c r="Q85" s="3578"/>
      <c r="R85" s="782">
        <f t="shared" si="293"/>
        <v>0</v>
      </c>
      <c r="S85" s="3578"/>
      <c r="T85" s="3578"/>
      <c r="U85" s="3578"/>
      <c r="V85" s="782">
        <f t="shared" si="294"/>
        <v>0</v>
      </c>
      <c r="W85" s="3578"/>
      <c r="X85" s="3578"/>
      <c r="Y85" s="3578"/>
      <c r="Z85" s="781">
        <f t="shared" si="295"/>
        <v>0</v>
      </c>
      <c r="AA85" s="3578"/>
      <c r="AB85" s="3562">
        <f t="shared" si="296"/>
        <v>0</v>
      </c>
      <c r="AC85" s="3578"/>
      <c r="AD85" s="3578"/>
      <c r="AE85" s="3578"/>
      <c r="AF85" s="782">
        <f t="shared" si="297"/>
        <v>0</v>
      </c>
      <c r="AG85" s="3578"/>
      <c r="AH85" s="3578"/>
      <c r="AI85" s="3578"/>
      <c r="AJ85" s="3578"/>
      <c r="AK85" s="3578"/>
      <c r="AL85" s="3578"/>
      <c r="AM85" s="3578"/>
      <c r="AN85" s="3578"/>
      <c r="AO85" s="3578"/>
      <c r="AP85" s="3578"/>
      <c r="AQ85" s="3578"/>
      <c r="AR85" s="3578"/>
      <c r="AS85" s="3578"/>
      <c r="AT85" s="3578"/>
      <c r="AU85" s="3578"/>
      <c r="AV85" s="3578"/>
      <c r="AW85" s="3578"/>
      <c r="AX85" s="3578"/>
      <c r="AY85" s="3578"/>
      <c r="AZ85" s="3578"/>
      <c r="BA85" s="3578"/>
      <c r="BB85" s="3578"/>
      <c r="BC85" s="3578"/>
      <c r="BD85" s="3578"/>
      <c r="BE85" s="3578"/>
      <c r="BF85" s="3578"/>
      <c r="BG85" s="26"/>
      <c r="BH85" s="26"/>
      <c r="BI85" s="26"/>
      <c r="BJ85" s="26"/>
      <c r="BK85" s="26"/>
    </row>
    <row r="86" spans="1:63" ht="15.75" thickBot="1" x14ac:dyDescent="0.3">
      <c r="A86" s="93"/>
      <c r="B86" s="3579" t="s">
        <v>865</v>
      </c>
      <c r="C86" s="3580" t="s">
        <v>906</v>
      </c>
      <c r="D86" s="3580"/>
      <c r="E86" s="3581"/>
      <c r="F86" s="158">
        <v>574.34</v>
      </c>
      <c r="G86" s="3581"/>
      <c r="H86" s="158">
        <v>894.52</v>
      </c>
      <c r="I86" s="3582"/>
      <c r="J86" s="782">
        <f t="shared" si="291"/>
        <v>1468.8600000000001</v>
      </c>
      <c r="K86" s="3581"/>
      <c r="L86" s="158">
        <v>823.06</v>
      </c>
      <c r="M86" s="3583"/>
      <c r="N86" s="781">
        <f t="shared" si="292"/>
        <v>2291.92</v>
      </c>
      <c r="O86" s="3581"/>
      <c r="P86" s="158">
        <v>128.01999999999998</v>
      </c>
      <c r="Q86" s="3582"/>
      <c r="R86" s="782">
        <f t="shared" si="293"/>
        <v>2419.94</v>
      </c>
      <c r="S86" s="3581"/>
      <c r="T86" s="158"/>
      <c r="U86" s="3582"/>
      <c r="V86" s="782">
        <f t="shared" si="294"/>
        <v>2419.94</v>
      </c>
      <c r="W86" s="3581"/>
      <c r="X86" s="158"/>
      <c r="Y86" s="3583"/>
      <c r="Z86" s="781">
        <f t="shared" si="295"/>
        <v>128.01999999999998</v>
      </c>
      <c r="AA86" s="3584"/>
      <c r="AB86" s="3562">
        <f t="shared" si="296"/>
        <v>2419.94</v>
      </c>
      <c r="AC86" s="3581"/>
      <c r="AD86" s="158"/>
      <c r="AE86" s="3582"/>
      <c r="AF86" s="782">
        <f t="shared" si="297"/>
        <v>2419.94</v>
      </c>
      <c r="AG86" s="3581"/>
      <c r="AH86" s="158">
        <v>632.56000000000006</v>
      </c>
      <c r="AI86" s="3582"/>
      <c r="AJ86" s="373">
        <f t="shared" ref="AJ86:AJ185" si="323">AF86+AH86</f>
        <v>3052.5</v>
      </c>
      <c r="AK86" s="3581"/>
      <c r="AL86" s="158">
        <v>505.24</v>
      </c>
      <c r="AM86" s="3583"/>
      <c r="AN86" s="618">
        <f t="shared" ref="AN86:AN179" si="324">AD86+AH86+AL86</f>
        <v>1137.8000000000002</v>
      </c>
      <c r="AO86" s="3582"/>
      <c r="AP86" s="373">
        <f t="shared" ref="AP86:AP176" si="325">AJ86+AL86</f>
        <v>3557.74</v>
      </c>
      <c r="AQ86" s="3581"/>
      <c r="AR86" s="158"/>
      <c r="AS86" s="3582"/>
      <c r="AT86" s="43">
        <f t="shared" ref="AT86:AT185" si="326">AP86+AR86</f>
        <v>3557.74</v>
      </c>
      <c r="AU86" s="3581"/>
      <c r="AV86" s="158"/>
      <c r="AW86" s="3582"/>
      <c r="AX86" s="43">
        <f t="shared" ref="AX86:AX185" si="327">AT86+AV86</f>
        <v>3557.74</v>
      </c>
      <c r="AY86" s="3581"/>
      <c r="AZ86" s="158">
        <v>324.8</v>
      </c>
      <c r="BA86" s="3583"/>
      <c r="BB86" s="618">
        <f t="shared" ref="BB86:BB150" si="328">AR86+AV86+AZ86</f>
        <v>324.8</v>
      </c>
      <c r="BC86" s="3584"/>
      <c r="BD86" s="3562">
        <f t="shared" ref="BD86:BD178" si="329">AN86+BB86</f>
        <v>1462.6000000000001</v>
      </c>
      <c r="BE86" s="3582"/>
      <c r="BF86" s="43">
        <f t="shared" ref="BF86:BF185" si="330">AX86+AZ86</f>
        <v>3882.54</v>
      </c>
      <c r="BG86" s="26"/>
      <c r="BH86" s="26"/>
      <c r="BI86" s="26"/>
      <c r="BJ86" s="26"/>
      <c r="BK86" s="26"/>
    </row>
    <row r="87" spans="1:63" ht="15.75" hidden="1" customHeight="1" thickBot="1" x14ac:dyDescent="0.35">
      <c r="A87" s="93"/>
      <c r="B87" s="3598" t="s">
        <v>865</v>
      </c>
      <c r="C87" s="3599" t="s">
        <v>908</v>
      </c>
      <c r="D87" s="3599"/>
      <c r="E87" s="4916"/>
      <c r="F87" s="1202"/>
      <c r="G87" s="4916"/>
      <c r="H87" s="1202"/>
      <c r="I87" s="4917"/>
      <c r="J87" s="782">
        <f t="shared" si="291"/>
        <v>0</v>
      </c>
      <c r="K87" s="4916"/>
      <c r="L87" s="1202"/>
      <c r="M87" s="4918"/>
      <c r="N87" s="781">
        <f t="shared" si="292"/>
        <v>0</v>
      </c>
      <c r="O87" s="4916"/>
      <c r="P87" s="1202"/>
      <c r="Q87" s="4917"/>
      <c r="R87" s="782">
        <f t="shared" si="293"/>
        <v>0</v>
      </c>
      <c r="S87" s="4916"/>
      <c r="T87" s="1202"/>
      <c r="U87" s="4917"/>
      <c r="V87" s="782">
        <f t="shared" si="294"/>
        <v>0</v>
      </c>
      <c r="W87" s="4916"/>
      <c r="X87" s="1202"/>
      <c r="Y87" s="4918"/>
      <c r="Z87" s="781">
        <f t="shared" si="295"/>
        <v>0</v>
      </c>
      <c r="AA87" s="4919"/>
      <c r="AB87" s="3562">
        <f t="shared" si="296"/>
        <v>0</v>
      </c>
      <c r="AC87" s="4916"/>
      <c r="AD87" s="1202"/>
      <c r="AE87" s="4917"/>
      <c r="AF87" s="782">
        <f t="shared" si="297"/>
        <v>0</v>
      </c>
      <c r="AG87" s="4916"/>
      <c r="AH87" s="1202"/>
      <c r="AI87" s="4917"/>
      <c r="AJ87" s="373">
        <f t="shared" si="323"/>
        <v>0</v>
      </c>
      <c r="AK87" s="4916"/>
      <c r="AL87" s="1202"/>
      <c r="AM87" s="4918"/>
      <c r="AN87" s="618">
        <f t="shared" si="324"/>
        <v>0</v>
      </c>
      <c r="AO87" s="4917"/>
      <c r="AP87" s="373">
        <f t="shared" si="325"/>
        <v>0</v>
      </c>
      <c r="AQ87" s="4916"/>
      <c r="AR87" s="1202"/>
      <c r="AS87" s="4917"/>
      <c r="AT87" s="43">
        <f t="shared" si="326"/>
        <v>0</v>
      </c>
      <c r="AU87" s="4916"/>
      <c r="AV87" s="1202"/>
      <c r="AW87" s="4917"/>
      <c r="AX87" s="43">
        <f t="shared" si="327"/>
        <v>0</v>
      </c>
      <c r="AY87" s="4916"/>
      <c r="AZ87" s="1202"/>
      <c r="BA87" s="4918"/>
      <c r="BB87" s="618">
        <f t="shared" si="328"/>
        <v>0</v>
      </c>
      <c r="BC87" s="4919"/>
      <c r="BD87" s="3562">
        <f t="shared" si="329"/>
        <v>0</v>
      </c>
      <c r="BE87" s="3582"/>
      <c r="BF87" s="43">
        <f t="shared" si="330"/>
        <v>0</v>
      </c>
      <c r="BG87" s="26"/>
      <c r="BH87" s="26"/>
      <c r="BI87" s="26"/>
      <c r="BJ87" s="26"/>
      <c r="BK87" s="26"/>
    </row>
    <row r="88" spans="1:63" ht="15.75" thickBot="1" x14ac:dyDescent="0.3">
      <c r="A88" s="93"/>
      <c r="B88" s="3586" t="s">
        <v>865</v>
      </c>
      <c r="C88" s="3587" t="s">
        <v>1529</v>
      </c>
      <c r="D88" s="3587"/>
      <c r="E88" s="1201"/>
      <c r="F88" s="1201">
        <v>125.72</v>
      </c>
      <c r="G88" s="1201"/>
      <c r="H88" s="1201"/>
      <c r="I88" s="782"/>
      <c r="J88" s="782">
        <f t="shared" si="291"/>
        <v>125.72</v>
      </c>
      <c r="K88" s="1201"/>
      <c r="L88" s="1201"/>
      <c r="M88" s="781"/>
      <c r="N88" s="781">
        <f t="shared" si="292"/>
        <v>125.72</v>
      </c>
      <c r="O88" s="1201"/>
      <c r="P88" s="1201"/>
      <c r="Q88" s="782"/>
      <c r="R88" s="782">
        <f t="shared" si="293"/>
        <v>125.72</v>
      </c>
      <c r="S88" s="1201"/>
      <c r="T88" s="1201"/>
      <c r="U88" s="782"/>
      <c r="V88" s="782">
        <f t="shared" si="294"/>
        <v>125.72</v>
      </c>
      <c r="W88" s="1201"/>
      <c r="X88" s="1201"/>
      <c r="Y88" s="781"/>
      <c r="Z88" s="781">
        <f t="shared" si="295"/>
        <v>0</v>
      </c>
      <c r="AA88" s="3562"/>
      <c r="AB88" s="3562">
        <f t="shared" si="296"/>
        <v>125.72</v>
      </c>
      <c r="AC88" s="1201"/>
      <c r="AD88" s="1201"/>
      <c r="AE88" s="782"/>
      <c r="AF88" s="782">
        <f t="shared" si="297"/>
        <v>125.72</v>
      </c>
      <c r="AG88" s="1201"/>
      <c r="AH88" s="1201"/>
      <c r="AI88" s="782"/>
      <c r="AJ88" s="373">
        <f t="shared" si="323"/>
        <v>125.72</v>
      </c>
      <c r="AK88" s="1201"/>
      <c r="AL88" s="1201"/>
      <c r="AM88" s="781"/>
      <c r="AN88" s="618">
        <f t="shared" si="324"/>
        <v>0</v>
      </c>
      <c r="AO88" s="782"/>
      <c r="AP88" s="373">
        <f t="shared" si="325"/>
        <v>125.72</v>
      </c>
      <c r="AQ88" s="1201"/>
      <c r="AR88" s="1201"/>
      <c r="AS88" s="782"/>
      <c r="AT88" s="43">
        <f t="shared" si="326"/>
        <v>125.72</v>
      </c>
      <c r="AU88" s="1201"/>
      <c r="AV88" s="1201"/>
      <c r="AW88" s="782"/>
      <c r="AX88" s="43">
        <f t="shared" si="327"/>
        <v>125.72</v>
      </c>
      <c r="AY88" s="1201"/>
      <c r="AZ88" s="1201"/>
      <c r="BA88" s="781"/>
      <c r="BB88" s="618">
        <f t="shared" si="328"/>
        <v>0</v>
      </c>
      <c r="BC88" s="3562"/>
      <c r="BD88" s="3562">
        <f t="shared" si="329"/>
        <v>0</v>
      </c>
      <c r="BE88" s="3582"/>
      <c r="BF88" s="43">
        <f t="shared" si="330"/>
        <v>125.72</v>
      </c>
      <c r="BG88" s="26"/>
      <c r="BH88" s="26"/>
      <c r="BI88" s="26"/>
      <c r="BJ88" s="26"/>
      <c r="BK88" s="26"/>
    </row>
    <row r="89" spans="1:63" ht="15.75" hidden="1" customHeight="1" thickBot="1" x14ac:dyDescent="0.35">
      <c r="A89" s="93"/>
      <c r="B89" s="3586" t="s">
        <v>865</v>
      </c>
      <c r="C89" s="3626" t="s">
        <v>1465</v>
      </c>
      <c r="D89" s="3626"/>
      <c r="E89" s="2647"/>
      <c r="F89" s="2647"/>
      <c r="G89" s="2647"/>
      <c r="H89" s="2647"/>
      <c r="I89" s="2648"/>
      <c r="J89" s="782">
        <f t="shared" si="291"/>
        <v>0</v>
      </c>
      <c r="K89" s="2647"/>
      <c r="L89" s="2647"/>
      <c r="M89" s="2649"/>
      <c r="N89" s="781">
        <f t="shared" si="292"/>
        <v>0</v>
      </c>
      <c r="O89" s="2647"/>
      <c r="P89" s="2647"/>
      <c r="Q89" s="2648"/>
      <c r="R89" s="782">
        <f t="shared" si="293"/>
        <v>0</v>
      </c>
      <c r="S89" s="2647"/>
      <c r="T89" s="2647"/>
      <c r="U89" s="2648"/>
      <c r="V89" s="782">
        <f t="shared" si="294"/>
        <v>0</v>
      </c>
      <c r="W89" s="2647"/>
      <c r="X89" s="2647"/>
      <c r="Y89" s="2649"/>
      <c r="Z89" s="781">
        <f t="shared" si="295"/>
        <v>0</v>
      </c>
      <c r="AA89" s="3562"/>
      <c r="AB89" s="3562">
        <f t="shared" si="296"/>
        <v>0</v>
      </c>
      <c r="AC89" s="2647"/>
      <c r="AD89" s="2647"/>
      <c r="AE89" s="2648"/>
      <c r="AF89" s="782">
        <f t="shared" si="297"/>
        <v>0</v>
      </c>
      <c r="AG89" s="2647"/>
      <c r="AH89" s="2647"/>
      <c r="AI89" s="2648"/>
      <c r="AJ89" s="373">
        <f t="shared" si="323"/>
        <v>0</v>
      </c>
      <c r="AK89" s="2647"/>
      <c r="AL89" s="2647"/>
      <c r="AM89" s="2649"/>
      <c r="AN89" s="618">
        <f t="shared" si="324"/>
        <v>0</v>
      </c>
      <c r="AO89" s="2648"/>
      <c r="AP89" s="373">
        <f t="shared" si="325"/>
        <v>0</v>
      </c>
      <c r="AQ89" s="2647"/>
      <c r="AR89" s="2647"/>
      <c r="AS89" s="2648"/>
      <c r="AT89" s="43">
        <f t="shared" si="326"/>
        <v>0</v>
      </c>
      <c r="AU89" s="2647"/>
      <c r="AV89" s="2647"/>
      <c r="AW89" s="2648"/>
      <c r="AX89" s="43">
        <f t="shared" si="327"/>
        <v>0</v>
      </c>
      <c r="AY89" s="2647"/>
      <c r="AZ89" s="2647"/>
      <c r="BA89" s="2649"/>
      <c r="BB89" s="618">
        <f t="shared" si="328"/>
        <v>0</v>
      </c>
      <c r="BC89" s="3613"/>
      <c r="BD89" s="3562">
        <f t="shared" si="329"/>
        <v>0</v>
      </c>
      <c r="BE89" s="3582"/>
      <c r="BF89" s="43">
        <f t="shared" si="330"/>
        <v>0</v>
      </c>
      <c r="BG89" s="26"/>
      <c r="BH89" s="26"/>
      <c r="BI89" s="26"/>
      <c r="BJ89" s="26"/>
      <c r="BK89" s="26"/>
    </row>
    <row r="90" spans="1:63" ht="15.75" thickBot="1" x14ac:dyDescent="0.3">
      <c r="A90" s="93"/>
      <c r="B90" s="3586" t="s">
        <v>865</v>
      </c>
      <c r="C90" s="3587" t="s">
        <v>907</v>
      </c>
      <c r="D90" s="3587"/>
      <c r="E90" s="1201"/>
      <c r="F90" s="1201">
        <v>913.57999999999993</v>
      </c>
      <c r="G90" s="1201"/>
      <c r="H90" s="1201">
        <v>576.46</v>
      </c>
      <c r="I90" s="782"/>
      <c r="J90" s="782">
        <f t="shared" si="291"/>
        <v>1490.04</v>
      </c>
      <c r="K90" s="1201"/>
      <c r="L90" s="1201">
        <v>955.2</v>
      </c>
      <c r="M90" s="781"/>
      <c r="N90" s="781">
        <f t="shared" si="292"/>
        <v>2445.2399999999998</v>
      </c>
      <c r="O90" s="1201"/>
      <c r="P90" s="1201">
        <v>191.73999999999998</v>
      </c>
      <c r="Q90" s="782"/>
      <c r="R90" s="782">
        <f t="shared" si="293"/>
        <v>2636.9799999999996</v>
      </c>
      <c r="S90" s="1201"/>
      <c r="T90" s="1201"/>
      <c r="U90" s="782"/>
      <c r="V90" s="782">
        <f t="shared" si="294"/>
        <v>2636.9799999999996</v>
      </c>
      <c r="W90" s="1201"/>
      <c r="X90" s="1201"/>
      <c r="Y90" s="781"/>
      <c r="Z90" s="781">
        <f t="shared" si="295"/>
        <v>191.73999999999998</v>
      </c>
      <c r="AA90" s="3562"/>
      <c r="AB90" s="3562">
        <f t="shared" si="296"/>
        <v>2636.9799999999996</v>
      </c>
      <c r="AC90" s="1201"/>
      <c r="AD90" s="1201">
        <v>64.739999999999995</v>
      </c>
      <c r="AE90" s="782"/>
      <c r="AF90" s="782">
        <f t="shared" si="297"/>
        <v>2701.7199999999993</v>
      </c>
      <c r="AG90" s="1201"/>
      <c r="AH90" s="1201">
        <v>442.36</v>
      </c>
      <c r="AI90" s="782"/>
      <c r="AJ90" s="373">
        <f t="shared" si="323"/>
        <v>3144.0799999999995</v>
      </c>
      <c r="AK90" s="1201"/>
      <c r="AL90" s="1201">
        <v>1145.54</v>
      </c>
      <c r="AM90" s="781"/>
      <c r="AN90" s="618">
        <f t="shared" si="324"/>
        <v>1652.6399999999999</v>
      </c>
      <c r="AO90" s="782"/>
      <c r="AP90" s="373">
        <f t="shared" si="325"/>
        <v>4289.619999999999</v>
      </c>
      <c r="AQ90" s="1201"/>
      <c r="AR90" s="1201">
        <v>63.84</v>
      </c>
      <c r="AS90" s="782"/>
      <c r="AT90" s="43">
        <f t="shared" si="326"/>
        <v>4353.4599999999991</v>
      </c>
      <c r="AU90" s="1201"/>
      <c r="AV90" s="1201"/>
      <c r="AW90" s="782"/>
      <c r="AX90" s="43">
        <f t="shared" si="327"/>
        <v>4353.4599999999991</v>
      </c>
      <c r="AY90" s="1201"/>
      <c r="AZ90" s="1201">
        <v>914.81999999999994</v>
      </c>
      <c r="BA90" s="781"/>
      <c r="BB90" s="618">
        <f t="shared" si="328"/>
        <v>978.66</v>
      </c>
      <c r="BC90" s="3562"/>
      <c r="BD90" s="3562">
        <f t="shared" si="329"/>
        <v>2631.2999999999997</v>
      </c>
      <c r="BE90" s="3582"/>
      <c r="BF90" s="43">
        <f t="shared" si="330"/>
        <v>5268.2799999999988</v>
      </c>
      <c r="BG90" s="26"/>
      <c r="BH90" s="26"/>
      <c r="BI90" s="26"/>
      <c r="BJ90" s="26"/>
      <c r="BK90" s="26"/>
    </row>
    <row r="91" spans="1:63" ht="15.75" thickBot="1" x14ac:dyDescent="0.3">
      <c r="A91" s="93"/>
      <c r="B91" s="3588" t="s">
        <v>865</v>
      </c>
      <c r="C91" s="3589" t="s">
        <v>951</v>
      </c>
      <c r="D91" s="3589"/>
      <c r="E91" s="109"/>
      <c r="F91" s="109"/>
      <c r="G91" s="109"/>
      <c r="H91" s="109">
        <v>62.96</v>
      </c>
      <c r="I91" s="589"/>
      <c r="J91" s="782">
        <f t="shared" si="291"/>
        <v>62.96</v>
      </c>
      <c r="K91" s="109"/>
      <c r="L91" s="109"/>
      <c r="M91" s="488"/>
      <c r="N91" s="781">
        <f t="shared" si="292"/>
        <v>62.96</v>
      </c>
      <c r="O91" s="109"/>
      <c r="P91" s="109"/>
      <c r="Q91" s="589"/>
      <c r="R91" s="782">
        <f t="shared" si="293"/>
        <v>62.96</v>
      </c>
      <c r="S91" s="109"/>
      <c r="T91" s="109"/>
      <c r="U91" s="589"/>
      <c r="V91" s="782">
        <f t="shared" si="294"/>
        <v>62.96</v>
      </c>
      <c r="W91" s="109"/>
      <c r="X91" s="109"/>
      <c r="Y91" s="488"/>
      <c r="Z91" s="781">
        <f t="shared" si="295"/>
        <v>0</v>
      </c>
      <c r="AA91" s="3590"/>
      <c r="AB91" s="3562">
        <f t="shared" si="296"/>
        <v>62.96</v>
      </c>
      <c r="AC91" s="109"/>
      <c r="AD91" s="109"/>
      <c r="AE91" s="589"/>
      <c r="AF91" s="782">
        <f t="shared" si="297"/>
        <v>62.96</v>
      </c>
      <c r="AG91" s="109"/>
      <c r="AH91" s="109">
        <v>245</v>
      </c>
      <c r="AI91" s="589"/>
      <c r="AJ91" s="373">
        <f t="shared" si="323"/>
        <v>307.95999999999998</v>
      </c>
      <c r="AK91" s="109"/>
      <c r="AL91" s="109"/>
      <c r="AM91" s="488"/>
      <c r="AN91" s="618">
        <f t="shared" si="324"/>
        <v>245</v>
      </c>
      <c r="AO91" s="589"/>
      <c r="AP91" s="373">
        <f t="shared" si="325"/>
        <v>307.95999999999998</v>
      </c>
      <c r="AQ91" s="109"/>
      <c r="AR91" s="109"/>
      <c r="AS91" s="589"/>
      <c r="AT91" s="43">
        <f t="shared" si="326"/>
        <v>307.95999999999998</v>
      </c>
      <c r="AU91" s="109"/>
      <c r="AV91" s="109"/>
      <c r="AW91" s="589"/>
      <c r="AX91" s="43">
        <f t="shared" si="327"/>
        <v>307.95999999999998</v>
      </c>
      <c r="AY91" s="109"/>
      <c r="AZ91" s="109"/>
      <c r="BA91" s="488"/>
      <c r="BB91" s="618">
        <f t="shared" si="328"/>
        <v>0</v>
      </c>
      <c r="BC91" s="3590"/>
      <c r="BD91" s="3562">
        <f t="shared" si="329"/>
        <v>245</v>
      </c>
      <c r="BE91" s="589"/>
      <c r="BF91" s="43">
        <f t="shared" si="330"/>
        <v>307.95999999999998</v>
      </c>
      <c r="BG91" s="26"/>
      <c r="BH91" s="26"/>
      <c r="BI91" s="26"/>
      <c r="BJ91" s="26"/>
      <c r="BK91" s="26"/>
    </row>
    <row r="92" spans="1:63" ht="15.75" hidden="1" customHeight="1" thickBot="1" x14ac:dyDescent="0.35">
      <c r="A92" s="93"/>
      <c r="B92" s="3579" t="s">
        <v>882</v>
      </c>
      <c r="C92" s="3580" t="s">
        <v>1529</v>
      </c>
      <c r="D92" s="3580"/>
      <c r="E92" s="158"/>
      <c r="F92" s="158"/>
      <c r="G92" s="158"/>
      <c r="H92" s="158"/>
      <c r="I92" s="373"/>
      <c r="J92" s="782">
        <f t="shared" si="291"/>
        <v>0</v>
      </c>
      <c r="K92" s="158"/>
      <c r="L92" s="158"/>
      <c r="M92" s="618"/>
      <c r="N92" s="781">
        <f t="shared" si="292"/>
        <v>0</v>
      </c>
      <c r="O92" s="158"/>
      <c r="P92" s="158"/>
      <c r="Q92" s="373"/>
      <c r="R92" s="782">
        <f t="shared" si="293"/>
        <v>0</v>
      </c>
      <c r="S92" s="158"/>
      <c r="T92" s="158"/>
      <c r="U92" s="373"/>
      <c r="V92" s="782">
        <f t="shared" si="294"/>
        <v>0</v>
      </c>
      <c r="W92" s="158"/>
      <c r="X92" s="158"/>
      <c r="Y92" s="618"/>
      <c r="Z92" s="781">
        <f t="shared" si="295"/>
        <v>0</v>
      </c>
      <c r="AA92" s="3585"/>
      <c r="AB92" s="3562">
        <f t="shared" si="296"/>
        <v>0</v>
      </c>
      <c r="AC92" s="158"/>
      <c r="AD92" s="158"/>
      <c r="AE92" s="373"/>
      <c r="AF92" s="782">
        <f t="shared" si="297"/>
        <v>0</v>
      </c>
      <c r="AG92" s="158"/>
      <c r="AH92" s="158"/>
      <c r="AI92" s="373"/>
      <c r="AJ92" s="373">
        <f t="shared" si="323"/>
        <v>0</v>
      </c>
      <c r="AK92" s="158"/>
      <c r="AL92" s="158">
        <v>190.5</v>
      </c>
      <c r="AM92" s="618"/>
      <c r="AN92" s="618">
        <f t="shared" si="324"/>
        <v>190.5</v>
      </c>
      <c r="AO92" s="373"/>
      <c r="AP92" s="373">
        <f t="shared" si="325"/>
        <v>190.5</v>
      </c>
      <c r="AQ92" s="158"/>
      <c r="AR92" s="158"/>
      <c r="AS92" s="373"/>
      <c r="AT92" s="43">
        <f t="shared" si="326"/>
        <v>190.5</v>
      </c>
      <c r="AU92" s="158"/>
      <c r="AV92" s="158"/>
      <c r="AW92" s="373"/>
      <c r="AX92" s="43">
        <f t="shared" si="327"/>
        <v>190.5</v>
      </c>
      <c r="AY92" s="158"/>
      <c r="AZ92" s="158"/>
      <c r="BA92" s="618"/>
      <c r="BB92" s="618">
        <f t="shared" si="328"/>
        <v>0</v>
      </c>
      <c r="BC92" s="3585"/>
      <c r="BD92" s="3562">
        <f t="shared" si="329"/>
        <v>190.5</v>
      </c>
      <c r="BE92" s="373"/>
      <c r="BF92" s="43">
        <f t="shared" si="330"/>
        <v>190.5</v>
      </c>
      <c r="BG92" s="26"/>
      <c r="BH92" s="26"/>
      <c r="BI92" s="26"/>
      <c r="BJ92" s="26"/>
      <c r="BK92" s="26"/>
    </row>
    <row r="93" spans="1:63" ht="15.75" hidden="1" customHeight="1" thickBot="1" x14ac:dyDescent="0.35">
      <c r="A93" s="93"/>
      <c r="B93" s="3598" t="s">
        <v>882</v>
      </c>
      <c r="C93" s="3599" t="s">
        <v>1465</v>
      </c>
      <c r="D93" s="3599"/>
      <c r="E93" s="1202"/>
      <c r="F93" s="1202"/>
      <c r="G93" s="1202"/>
      <c r="H93" s="1202"/>
      <c r="I93" s="572"/>
      <c r="J93" s="782">
        <f t="shared" si="291"/>
        <v>0</v>
      </c>
      <c r="K93" s="1202"/>
      <c r="L93" s="1202"/>
      <c r="M93" s="487"/>
      <c r="N93" s="781">
        <f t="shared" si="292"/>
        <v>0</v>
      </c>
      <c r="O93" s="1202"/>
      <c r="P93" s="1202"/>
      <c r="Q93" s="572"/>
      <c r="R93" s="782">
        <f t="shared" si="293"/>
        <v>0</v>
      </c>
      <c r="S93" s="1202"/>
      <c r="T93" s="1202"/>
      <c r="U93" s="572"/>
      <c r="V93" s="782">
        <f t="shared" si="294"/>
        <v>0</v>
      </c>
      <c r="W93" s="1202"/>
      <c r="X93" s="1202"/>
      <c r="Y93" s="487"/>
      <c r="Z93" s="781">
        <f t="shared" si="295"/>
        <v>0</v>
      </c>
      <c r="AA93" s="3585"/>
      <c r="AB93" s="3562">
        <f t="shared" si="296"/>
        <v>0</v>
      </c>
      <c r="AC93" s="1202"/>
      <c r="AD93" s="1202"/>
      <c r="AE93" s="572"/>
      <c r="AF93" s="782">
        <f t="shared" si="297"/>
        <v>0</v>
      </c>
      <c r="AG93" s="1202"/>
      <c r="AH93" s="1202"/>
      <c r="AI93" s="572"/>
      <c r="AJ93" s="373">
        <f t="shared" si="323"/>
        <v>0</v>
      </c>
      <c r="AK93" s="1202"/>
      <c r="AL93" s="1202">
        <v>191</v>
      </c>
      <c r="AM93" s="487"/>
      <c r="AN93" s="618">
        <f t="shared" si="324"/>
        <v>191</v>
      </c>
      <c r="AO93" s="572"/>
      <c r="AP93" s="373">
        <f t="shared" si="325"/>
        <v>191</v>
      </c>
      <c r="AQ93" s="1202"/>
      <c r="AR93" s="1202">
        <v>227.22000000000003</v>
      </c>
      <c r="AS93" s="572"/>
      <c r="AT93" s="43">
        <f t="shared" si="326"/>
        <v>418.22</v>
      </c>
      <c r="AU93" s="1202"/>
      <c r="AV93" s="1202"/>
      <c r="AW93" s="572"/>
      <c r="AX93" s="43">
        <f t="shared" si="327"/>
        <v>418.22</v>
      </c>
      <c r="AY93" s="1202"/>
      <c r="AZ93" s="1202"/>
      <c r="BA93" s="487"/>
      <c r="BB93" s="618">
        <f t="shared" si="328"/>
        <v>227.22000000000003</v>
      </c>
      <c r="BC93" s="3585"/>
      <c r="BD93" s="3562">
        <f t="shared" si="329"/>
        <v>418.22</v>
      </c>
      <c r="BE93" s="373"/>
      <c r="BF93" s="43">
        <f t="shared" si="330"/>
        <v>418.22</v>
      </c>
      <c r="BG93" s="26"/>
      <c r="BH93" s="26"/>
      <c r="BI93" s="26"/>
      <c r="BJ93" s="26"/>
      <c r="BK93" s="26"/>
    </row>
    <row r="94" spans="1:63" ht="20.25" customHeight="1" thickBot="1" x14ac:dyDescent="0.3">
      <c r="A94" s="93"/>
      <c r="B94" s="3586" t="s">
        <v>882</v>
      </c>
      <c r="C94" s="3587" t="s">
        <v>906</v>
      </c>
      <c r="D94" s="3587"/>
      <c r="E94" s="1201"/>
      <c r="F94" s="1201">
        <v>579.07999999999993</v>
      </c>
      <c r="G94" s="1201"/>
      <c r="H94" s="1201">
        <v>513.5</v>
      </c>
      <c r="I94" s="782"/>
      <c r="J94" s="782">
        <f t="shared" si="291"/>
        <v>1092.58</v>
      </c>
      <c r="K94" s="1201"/>
      <c r="L94" s="1201">
        <v>64.319999999999993</v>
      </c>
      <c r="M94" s="781"/>
      <c r="N94" s="781">
        <f t="shared" si="292"/>
        <v>1156.8999999999999</v>
      </c>
      <c r="O94" s="1201"/>
      <c r="P94" s="1201"/>
      <c r="Q94" s="782"/>
      <c r="R94" s="782">
        <f t="shared" si="293"/>
        <v>1156.8999999999999</v>
      </c>
      <c r="S94" s="1201"/>
      <c r="T94" s="1201">
        <v>63.74</v>
      </c>
      <c r="U94" s="782"/>
      <c r="V94" s="782">
        <f t="shared" si="294"/>
        <v>1220.6399999999999</v>
      </c>
      <c r="W94" s="1201"/>
      <c r="X94" s="1201"/>
      <c r="Y94" s="781"/>
      <c r="Z94" s="781">
        <f t="shared" si="295"/>
        <v>63.74</v>
      </c>
      <c r="AA94" s="3562"/>
      <c r="AB94" s="3562">
        <f t="shared" si="296"/>
        <v>1220.6399999999999</v>
      </c>
      <c r="AC94" s="1201"/>
      <c r="AD94" s="1201"/>
      <c r="AE94" s="782"/>
      <c r="AF94" s="782">
        <f t="shared" si="297"/>
        <v>1220.6399999999999</v>
      </c>
      <c r="AG94" s="1201"/>
      <c r="AH94" s="1201"/>
      <c r="AI94" s="782"/>
      <c r="AJ94" s="373">
        <f t="shared" si="323"/>
        <v>1220.6399999999999</v>
      </c>
      <c r="AK94" s="1201"/>
      <c r="AL94" s="1201">
        <v>636.12</v>
      </c>
      <c r="AM94" s="781"/>
      <c r="AN94" s="618">
        <f t="shared" si="324"/>
        <v>636.12</v>
      </c>
      <c r="AO94" s="782"/>
      <c r="AP94" s="373">
        <f t="shared" si="325"/>
        <v>1856.7599999999998</v>
      </c>
      <c r="AQ94" s="1201"/>
      <c r="AR94" s="1201"/>
      <c r="AS94" s="782"/>
      <c r="AT94" s="43">
        <f t="shared" si="326"/>
        <v>1856.7599999999998</v>
      </c>
      <c r="AU94" s="1201"/>
      <c r="AV94" s="1201"/>
      <c r="AW94" s="782"/>
      <c r="AX94" s="43">
        <f t="shared" si="327"/>
        <v>1856.7599999999998</v>
      </c>
      <c r="AY94" s="1201"/>
      <c r="AZ94" s="1201">
        <v>198.06</v>
      </c>
      <c r="BA94" s="781"/>
      <c r="BB94" s="618">
        <f t="shared" si="328"/>
        <v>198.06</v>
      </c>
      <c r="BC94" s="3562"/>
      <c r="BD94" s="3562">
        <f t="shared" si="329"/>
        <v>834.18000000000006</v>
      </c>
      <c r="BE94" s="782"/>
      <c r="BF94" s="43">
        <f t="shared" si="330"/>
        <v>2054.8199999999997</v>
      </c>
      <c r="BG94" s="26"/>
      <c r="BH94" s="26"/>
      <c r="BI94" s="26"/>
      <c r="BJ94" s="26"/>
      <c r="BK94" s="26"/>
    </row>
    <row r="95" spans="1:63" ht="20.25" customHeight="1" thickBot="1" x14ac:dyDescent="0.3">
      <c r="A95" s="93"/>
      <c r="B95" s="3586" t="s">
        <v>882</v>
      </c>
      <c r="C95" s="3587" t="s">
        <v>907</v>
      </c>
      <c r="D95" s="3587"/>
      <c r="E95" s="1201"/>
      <c r="F95" s="1201">
        <v>984.18000000000006</v>
      </c>
      <c r="G95" s="1201"/>
      <c r="H95" s="1201">
        <v>320.34000000000003</v>
      </c>
      <c r="I95" s="782"/>
      <c r="J95" s="782">
        <f t="shared" si="291"/>
        <v>1304.52</v>
      </c>
      <c r="K95" s="1201"/>
      <c r="L95" s="1201">
        <v>691.12</v>
      </c>
      <c r="M95" s="781"/>
      <c r="N95" s="781">
        <f t="shared" si="292"/>
        <v>1995.6399999999999</v>
      </c>
      <c r="O95" s="1201"/>
      <c r="P95" s="1201"/>
      <c r="Q95" s="782"/>
      <c r="R95" s="782">
        <f t="shared" si="293"/>
        <v>1995.6399999999999</v>
      </c>
      <c r="S95" s="1201"/>
      <c r="T95" s="1201"/>
      <c r="U95" s="782"/>
      <c r="V95" s="782">
        <f t="shared" si="294"/>
        <v>1995.6399999999999</v>
      </c>
      <c r="W95" s="1201"/>
      <c r="X95" s="1201"/>
      <c r="Y95" s="781"/>
      <c r="Z95" s="781">
        <f t="shared" si="295"/>
        <v>0</v>
      </c>
      <c r="AA95" s="3562"/>
      <c r="AB95" s="3562">
        <f t="shared" si="296"/>
        <v>1995.6399999999999</v>
      </c>
      <c r="AC95" s="1201"/>
      <c r="AD95" s="1201">
        <v>64.88</v>
      </c>
      <c r="AE95" s="782"/>
      <c r="AF95" s="782">
        <f t="shared" si="297"/>
        <v>2060.52</v>
      </c>
      <c r="AG95" s="1201"/>
      <c r="AH95" s="1201"/>
      <c r="AI95" s="782"/>
      <c r="AJ95" s="373">
        <f t="shared" si="323"/>
        <v>2060.52</v>
      </c>
      <c r="AK95" s="1201"/>
      <c r="AL95" s="1201">
        <v>693.28</v>
      </c>
      <c r="AM95" s="781"/>
      <c r="AN95" s="618">
        <f t="shared" si="324"/>
        <v>758.16</v>
      </c>
      <c r="AO95" s="782"/>
      <c r="AP95" s="373">
        <f t="shared" si="325"/>
        <v>2753.8</v>
      </c>
      <c r="AQ95" s="1201"/>
      <c r="AR95" s="1201">
        <v>251.54000000000002</v>
      </c>
      <c r="AS95" s="782"/>
      <c r="AT95" s="43">
        <f t="shared" si="326"/>
        <v>3005.34</v>
      </c>
      <c r="AU95" s="1201"/>
      <c r="AV95" s="1201"/>
      <c r="AW95" s="782"/>
      <c r="AX95" s="43">
        <f t="shared" si="327"/>
        <v>3005.34</v>
      </c>
      <c r="AY95" s="1201"/>
      <c r="AZ95" s="1201">
        <v>716.34</v>
      </c>
      <c r="BA95" s="781"/>
      <c r="BB95" s="618">
        <f t="shared" si="328"/>
        <v>967.88000000000011</v>
      </c>
      <c r="BC95" s="3562"/>
      <c r="BD95" s="3562">
        <f t="shared" si="329"/>
        <v>1726.04</v>
      </c>
      <c r="BE95" s="782"/>
      <c r="BF95" s="43">
        <f t="shared" si="330"/>
        <v>3721.6800000000003</v>
      </c>
      <c r="BG95" s="26"/>
      <c r="BH95" s="26"/>
      <c r="BI95" s="26"/>
      <c r="BJ95" s="26"/>
      <c r="BK95" s="26"/>
    </row>
    <row r="96" spans="1:63" ht="15.75" thickBot="1" x14ac:dyDescent="0.3">
      <c r="A96" s="93"/>
      <c r="B96" s="3588" t="s">
        <v>882</v>
      </c>
      <c r="C96" s="3589" t="s">
        <v>951</v>
      </c>
      <c r="D96" s="3589"/>
      <c r="E96" s="109"/>
      <c r="F96" s="109"/>
      <c r="G96" s="109"/>
      <c r="H96" s="109">
        <v>250.32</v>
      </c>
      <c r="I96" s="589"/>
      <c r="J96" s="782">
        <f t="shared" si="291"/>
        <v>250.32</v>
      </c>
      <c r="K96" s="109"/>
      <c r="L96" s="109"/>
      <c r="M96" s="488"/>
      <c r="N96" s="781">
        <f t="shared" si="292"/>
        <v>250.32</v>
      </c>
      <c r="O96" s="109"/>
      <c r="P96" s="109"/>
      <c r="Q96" s="589"/>
      <c r="R96" s="782">
        <f t="shared" si="293"/>
        <v>250.32</v>
      </c>
      <c r="S96" s="109"/>
      <c r="T96" s="109"/>
      <c r="U96" s="589"/>
      <c r="V96" s="782">
        <f t="shared" si="294"/>
        <v>250.32</v>
      </c>
      <c r="W96" s="109"/>
      <c r="X96" s="109"/>
      <c r="Y96" s="488"/>
      <c r="Z96" s="781">
        <f t="shared" si="295"/>
        <v>0</v>
      </c>
      <c r="AA96" s="3590"/>
      <c r="AB96" s="3562">
        <f t="shared" si="296"/>
        <v>250.32</v>
      </c>
      <c r="AC96" s="109"/>
      <c r="AD96" s="109">
        <v>65.38</v>
      </c>
      <c r="AE96" s="589"/>
      <c r="AF96" s="782">
        <f t="shared" si="297"/>
        <v>315.7</v>
      </c>
      <c r="AG96" s="109"/>
      <c r="AH96" s="109">
        <v>313.28000000000003</v>
      </c>
      <c r="AI96" s="589"/>
      <c r="AJ96" s="373">
        <f t="shared" si="323"/>
        <v>628.98</v>
      </c>
      <c r="AK96" s="109"/>
      <c r="AL96" s="109"/>
      <c r="AM96" s="488"/>
      <c r="AN96" s="618">
        <f t="shared" si="324"/>
        <v>378.66</v>
      </c>
      <c r="AO96" s="589"/>
      <c r="AP96" s="373">
        <f t="shared" si="325"/>
        <v>628.98</v>
      </c>
      <c r="AQ96" s="109"/>
      <c r="AR96" s="109"/>
      <c r="AS96" s="589"/>
      <c r="AT96" s="43">
        <f t="shared" si="326"/>
        <v>628.98</v>
      </c>
      <c r="AU96" s="109"/>
      <c r="AV96" s="109"/>
      <c r="AW96" s="589"/>
      <c r="AX96" s="43">
        <f t="shared" si="327"/>
        <v>628.98</v>
      </c>
      <c r="AY96" s="109"/>
      <c r="AZ96" s="109"/>
      <c r="BA96" s="488"/>
      <c r="BB96" s="618">
        <f t="shared" si="328"/>
        <v>0</v>
      </c>
      <c r="BC96" s="3590"/>
      <c r="BD96" s="3562">
        <f t="shared" si="329"/>
        <v>378.66</v>
      </c>
      <c r="BE96" s="589"/>
      <c r="BF96" s="43">
        <f t="shared" si="330"/>
        <v>628.98</v>
      </c>
      <c r="BG96" s="26"/>
      <c r="BH96" s="26"/>
      <c r="BI96" s="26"/>
      <c r="BJ96" s="26"/>
      <c r="BK96" s="26"/>
    </row>
    <row r="97" spans="1:63" ht="15.75" hidden="1" customHeight="1" thickBot="1" x14ac:dyDescent="0.35">
      <c r="A97" s="93"/>
      <c r="B97" s="3579" t="s">
        <v>1327</v>
      </c>
      <c r="C97" s="3580" t="s">
        <v>907</v>
      </c>
      <c r="D97" s="3580"/>
      <c r="E97" s="158"/>
      <c r="F97" s="158"/>
      <c r="G97" s="158"/>
      <c r="H97" s="158"/>
      <c r="I97" s="373"/>
      <c r="J97" s="782">
        <f t="shared" si="291"/>
        <v>0</v>
      </c>
      <c r="K97" s="158"/>
      <c r="L97" s="158"/>
      <c r="M97" s="618"/>
      <c r="N97" s="781">
        <f t="shared" si="292"/>
        <v>0</v>
      </c>
      <c r="O97" s="158"/>
      <c r="P97" s="158"/>
      <c r="Q97" s="373"/>
      <c r="R97" s="782">
        <f t="shared" si="293"/>
        <v>0</v>
      </c>
      <c r="S97" s="158"/>
      <c r="T97" s="158"/>
      <c r="U97" s="373"/>
      <c r="V97" s="782">
        <f t="shared" si="294"/>
        <v>0</v>
      </c>
      <c r="W97" s="158"/>
      <c r="X97" s="158"/>
      <c r="Y97" s="618"/>
      <c r="Z97" s="781">
        <f t="shared" si="295"/>
        <v>0</v>
      </c>
      <c r="AA97" s="3585"/>
      <c r="AB97" s="3562">
        <f t="shared" si="296"/>
        <v>0</v>
      </c>
      <c r="AC97" s="158"/>
      <c r="AD97" s="158"/>
      <c r="AE97" s="373"/>
      <c r="AF97" s="782">
        <f t="shared" si="297"/>
        <v>0</v>
      </c>
      <c r="AG97" s="158"/>
      <c r="AH97" s="158"/>
      <c r="AI97" s="373"/>
      <c r="AJ97" s="373">
        <f t="shared" si="323"/>
        <v>0</v>
      </c>
      <c r="AK97" s="158"/>
      <c r="AL97" s="158"/>
      <c r="AM97" s="618"/>
      <c r="AN97" s="618">
        <f t="shared" si="324"/>
        <v>0</v>
      </c>
      <c r="AO97" s="373"/>
      <c r="AP97" s="373">
        <f t="shared" si="325"/>
        <v>0</v>
      </c>
      <c r="AQ97" s="158"/>
      <c r="AR97" s="158"/>
      <c r="AS97" s="373"/>
      <c r="AT97" s="43">
        <f t="shared" si="326"/>
        <v>0</v>
      </c>
      <c r="AU97" s="158"/>
      <c r="AV97" s="158"/>
      <c r="AW97" s="373"/>
      <c r="AX97" s="43">
        <f t="shared" si="327"/>
        <v>0</v>
      </c>
      <c r="AY97" s="158"/>
      <c r="AZ97" s="158"/>
      <c r="BA97" s="618"/>
      <c r="BB97" s="618">
        <f t="shared" si="328"/>
        <v>0</v>
      </c>
      <c r="BC97" s="3585"/>
      <c r="BD97" s="3562">
        <f t="shared" si="329"/>
        <v>0</v>
      </c>
      <c r="BE97" s="373"/>
      <c r="BF97" s="43">
        <f t="shared" si="330"/>
        <v>0</v>
      </c>
      <c r="BG97" s="26"/>
      <c r="BH97" s="26"/>
      <c r="BI97" s="26"/>
      <c r="BJ97" s="26"/>
      <c r="BK97" s="26"/>
    </row>
    <row r="98" spans="1:63" ht="15.75" hidden="1" customHeight="1" thickBot="1" x14ac:dyDescent="0.35">
      <c r="A98" s="93"/>
      <c r="B98" s="3588" t="s">
        <v>1327</v>
      </c>
      <c r="C98" s="3589" t="s">
        <v>906</v>
      </c>
      <c r="D98" s="3589"/>
      <c r="E98" s="109"/>
      <c r="F98" s="109"/>
      <c r="G98" s="109"/>
      <c r="H98" s="109"/>
      <c r="I98" s="589"/>
      <c r="J98" s="782">
        <f t="shared" si="291"/>
        <v>0</v>
      </c>
      <c r="K98" s="109"/>
      <c r="L98" s="109"/>
      <c r="M98" s="488"/>
      <c r="N98" s="781">
        <f t="shared" si="292"/>
        <v>0</v>
      </c>
      <c r="O98" s="109"/>
      <c r="P98" s="109"/>
      <c r="Q98" s="589"/>
      <c r="R98" s="782">
        <f t="shared" si="293"/>
        <v>0</v>
      </c>
      <c r="S98" s="109"/>
      <c r="T98" s="109"/>
      <c r="U98" s="589"/>
      <c r="V98" s="782">
        <f t="shared" si="294"/>
        <v>0</v>
      </c>
      <c r="W98" s="109"/>
      <c r="X98" s="109"/>
      <c r="Y98" s="488"/>
      <c r="Z98" s="781">
        <f t="shared" si="295"/>
        <v>0</v>
      </c>
      <c r="AA98" s="3590"/>
      <c r="AB98" s="3562">
        <f t="shared" si="296"/>
        <v>0</v>
      </c>
      <c r="AC98" s="109"/>
      <c r="AD98" s="109"/>
      <c r="AE98" s="589"/>
      <c r="AF98" s="782">
        <f t="shared" si="297"/>
        <v>0</v>
      </c>
      <c r="AG98" s="109"/>
      <c r="AH98" s="109"/>
      <c r="AI98" s="589"/>
      <c r="AJ98" s="373">
        <f t="shared" si="323"/>
        <v>0</v>
      </c>
      <c r="AK98" s="109"/>
      <c r="AL98" s="109"/>
      <c r="AM98" s="488"/>
      <c r="AN98" s="618">
        <f t="shared" si="324"/>
        <v>0</v>
      </c>
      <c r="AO98" s="589"/>
      <c r="AP98" s="373">
        <f t="shared" si="325"/>
        <v>0</v>
      </c>
      <c r="AQ98" s="109"/>
      <c r="AR98" s="109"/>
      <c r="AS98" s="589"/>
      <c r="AT98" s="43">
        <f t="shared" si="326"/>
        <v>0</v>
      </c>
      <c r="AU98" s="109"/>
      <c r="AV98" s="109"/>
      <c r="AW98" s="589"/>
      <c r="AX98" s="43">
        <f t="shared" si="327"/>
        <v>0</v>
      </c>
      <c r="AY98" s="109"/>
      <c r="AZ98" s="109"/>
      <c r="BA98" s="488"/>
      <c r="BB98" s="618">
        <f t="shared" si="328"/>
        <v>0</v>
      </c>
      <c r="BC98" s="3590"/>
      <c r="BD98" s="3562">
        <f t="shared" si="329"/>
        <v>0</v>
      </c>
      <c r="BE98" s="589"/>
      <c r="BF98" s="43">
        <f t="shared" si="330"/>
        <v>0</v>
      </c>
      <c r="BG98" s="26"/>
      <c r="BH98" s="26"/>
      <c r="BI98" s="26"/>
      <c r="BJ98" s="26"/>
      <c r="BK98" s="26"/>
    </row>
    <row r="99" spans="1:63" ht="15.75" thickBot="1" x14ac:dyDescent="0.3">
      <c r="A99" s="93"/>
      <c r="B99" s="3579" t="s">
        <v>866</v>
      </c>
      <c r="C99" s="3580" t="s">
        <v>906</v>
      </c>
      <c r="D99" s="3580"/>
      <c r="E99" s="158"/>
      <c r="F99" s="158">
        <v>2188.0200000000004</v>
      </c>
      <c r="G99" s="158"/>
      <c r="H99" s="158">
        <v>1019.6400000000001</v>
      </c>
      <c r="I99" s="373"/>
      <c r="J99" s="782">
        <f t="shared" si="291"/>
        <v>3207.6600000000008</v>
      </c>
      <c r="K99" s="158"/>
      <c r="L99" s="158">
        <v>820.60000000000014</v>
      </c>
      <c r="M99" s="618"/>
      <c r="N99" s="781">
        <f t="shared" si="292"/>
        <v>4028.2600000000011</v>
      </c>
      <c r="O99" s="158"/>
      <c r="P99" s="158">
        <v>82.5</v>
      </c>
      <c r="Q99" s="373"/>
      <c r="R99" s="782">
        <f t="shared" si="293"/>
        <v>4110.7600000000011</v>
      </c>
      <c r="S99" s="158"/>
      <c r="T99" s="158">
        <v>3439.6299999999992</v>
      </c>
      <c r="U99" s="373"/>
      <c r="V99" s="782">
        <f t="shared" si="294"/>
        <v>7550.39</v>
      </c>
      <c r="W99" s="158"/>
      <c r="X99" s="158">
        <v>1563.5</v>
      </c>
      <c r="Y99" s="618"/>
      <c r="Z99" s="781">
        <f t="shared" si="295"/>
        <v>5085.6299999999992</v>
      </c>
      <c r="AA99" s="3585"/>
      <c r="AB99" s="3562">
        <f t="shared" si="296"/>
        <v>9113.89</v>
      </c>
      <c r="AC99" s="158"/>
      <c r="AD99" s="158">
        <v>40.75</v>
      </c>
      <c r="AE99" s="373"/>
      <c r="AF99" s="782">
        <f t="shared" si="297"/>
        <v>9154.64</v>
      </c>
      <c r="AG99" s="158"/>
      <c r="AH99" s="158">
        <v>2053.3599999999997</v>
      </c>
      <c r="AI99" s="373"/>
      <c r="AJ99" s="373">
        <f t="shared" si="323"/>
        <v>11208</v>
      </c>
      <c r="AK99" s="158"/>
      <c r="AL99" s="158">
        <v>2921.42</v>
      </c>
      <c r="AM99" s="618"/>
      <c r="AN99" s="618">
        <f t="shared" si="324"/>
        <v>5015.53</v>
      </c>
      <c r="AO99" s="373"/>
      <c r="AP99" s="373">
        <f t="shared" si="325"/>
        <v>14129.42</v>
      </c>
      <c r="AQ99" s="158"/>
      <c r="AR99" s="158">
        <v>1789.08</v>
      </c>
      <c r="AS99" s="373"/>
      <c r="AT99" s="43">
        <f t="shared" si="326"/>
        <v>15918.5</v>
      </c>
      <c r="AU99" s="158"/>
      <c r="AV99" s="158">
        <v>514.14</v>
      </c>
      <c r="AW99" s="373"/>
      <c r="AX99" s="43">
        <f t="shared" si="327"/>
        <v>16432.64</v>
      </c>
      <c r="AY99" s="158"/>
      <c r="AZ99" s="158">
        <v>1680.4099999999999</v>
      </c>
      <c r="BA99" s="618"/>
      <c r="BB99" s="618">
        <f t="shared" si="328"/>
        <v>3983.6299999999997</v>
      </c>
      <c r="BC99" s="3585"/>
      <c r="BD99" s="3562">
        <f t="shared" si="329"/>
        <v>8999.16</v>
      </c>
      <c r="BE99" s="373"/>
      <c r="BF99" s="43">
        <f t="shared" si="330"/>
        <v>18113.05</v>
      </c>
      <c r="BG99" s="26"/>
      <c r="BH99" s="26"/>
      <c r="BI99" s="26"/>
      <c r="BJ99" s="26"/>
      <c r="BK99" s="26"/>
    </row>
    <row r="100" spans="1:63" ht="15.75" thickBot="1" x14ac:dyDescent="0.3">
      <c r="A100" s="93"/>
      <c r="B100" s="3586" t="s">
        <v>866</v>
      </c>
      <c r="C100" s="3587" t="s">
        <v>951</v>
      </c>
      <c r="D100" s="3587"/>
      <c r="E100" s="3575"/>
      <c r="F100" s="1201"/>
      <c r="G100" s="3575"/>
      <c r="H100" s="1201">
        <v>255.5</v>
      </c>
      <c r="I100" s="852"/>
      <c r="J100" s="782">
        <f t="shared" si="291"/>
        <v>255.5</v>
      </c>
      <c r="K100" s="3575"/>
      <c r="L100" s="1201"/>
      <c r="M100" s="902"/>
      <c r="N100" s="781">
        <f t="shared" si="292"/>
        <v>255.5</v>
      </c>
      <c r="O100" s="3575"/>
      <c r="P100" s="1201"/>
      <c r="Q100" s="852"/>
      <c r="R100" s="782">
        <f t="shared" si="293"/>
        <v>255.5</v>
      </c>
      <c r="S100" s="3575"/>
      <c r="T100" s="1201"/>
      <c r="U100" s="852"/>
      <c r="V100" s="782">
        <f t="shared" si="294"/>
        <v>255.5</v>
      </c>
      <c r="W100" s="3575"/>
      <c r="X100" s="1201"/>
      <c r="Y100" s="902"/>
      <c r="Z100" s="781">
        <f t="shared" si="295"/>
        <v>0</v>
      </c>
      <c r="AA100" s="3591"/>
      <c r="AB100" s="3562">
        <f t="shared" si="296"/>
        <v>255.5</v>
      </c>
      <c r="AC100" s="3575"/>
      <c r="AD100" s="1201">
        <v>63.36</v>
      </c>
      <c r="AE100" s="852"/>
      <c r="AF100" s="782">
        <f t="shared" si="297"/>
        <v>318.86</v>
      </c>
      <c r="AG100" s="3575"/>
      <c r="AH100" s="1201">
        <v>254.28</v>
      </c>
      <c r="AI100" s="852"/>
      <c r="AJ100" s="373">
        <f t="shared" si="323"/>
        <v>573.14</v>
      </c>
      <c r="AK100" s="3575"/>
      <c r="AL100" s="1201"/>
      <c r="AM100" s="902"/>
      <c r="AN100" s="618">
        <f t="shared" si="324"/>
        <v>317.64</v>
      </c>
      <c r="AO100" s="852"/>
      <c r="AP100" s="373">
        <f t="shared" si="325"/>
        <v>573.14</v>
      </c>
      <c r="AQ100" s="3575"/>
      <c r="AR100" s="1201"/>
      <c r="AS100" s="852"/>
      <c r="AT100" s="43">
        <f t="shared" si="326"/>
        <v>573.14</v>
      </c>
      <c r="AU100" s="3575"/>
      <c r="AV100" s="1201"/>
      <c r="AW100" s="852"/>
      <c r="AX100" s="43">
        <f t="shared" si="327"/>
        <v>573.14</v>
      </c>
      <c r="AY100" s="3575"/>
      <c r="AZ100" s="1201"/>
      <c r="BA100" s="902"/>
      <c r="BB100" s="618">
        <f t="shared" si="328"/>
        <v>0</v>
      </c>
      <c r="BC100" s="3591"/>
      <c r="BD100" s="3562">
        <f t="shared" si="329"/>
        <v>317.64</v>
      </c>
      <c r="BE100" s="852"/>
      <c r="BF100" s="43">
        <f t="shared" si="330"/>
        <v>573.14</v>
      </c>
      <c r="BG100" s="26"/>
      <c r="BH100" s="26"/>
      <c r="BI100" s="26"/>
      <c r="BJ100" s="26"/>
      <c r="BK100" s="26"/>
    </row>
    <row r="101" spans="1:63" ht="15.75" thickBot="1" x14ac:dyDescent="0.3">
      <c r="A101" s="93"/>
      <c r="B101" s="3586" t="s">
        <v>866</v>
      </c>
      <c r="C101" s="3587" t="s">
        <v>908</v>
      </c>
      <c r="D101" s="3587"/>
      <c r="E101" s="3575"/>
      <c r="F101" s="1201"/>
      <c r="G101" s="3575"/>
      <c r="H101" s="1201"/>
      <c r="I101" s="852"/>
      <c r="J101" s="782">
        <f t="shared" si="291"/>
        <v>0</v>
      </c>
      <c r="K101" s="3575"/>
      <c r="L101" s="1201"/>
      <c r="M101" s="902"/>
      <c r="N101" s="781">
        <f t="shared" si="292"/>
        <v>0</v>
      </c>
      <c r="O101" s="3575"/>
      <c r="P101" s="1201"/>
      <c r="Q101" s="852"/>
      <c r="R101" s="782">
        <f t="shared" si="293"/>
        <v>0</v>
      </c>
      <c r="S101" s="3575"/>
      <c r="T101" s="1201">
        <v>42.22</v>
      </c>
      <c r="U101" s="852"/>
      <c r="V101" s="782">
        <f t="shared" si="294"/>
        <v>42.22</v>
      </c>
      <c r="W101" s="3575"/>
      <c r="X101" s="1201"/>
      <c r="Y101" s="902"/>
      <c r="Z101" s="781">
        <f t="shared" si="295"/>
        <v>42.22</v>
      </c>
      <c r="AA101" s="3591"/>
      <c r="AB101" s="3562">
        <f t="shared" si="296"/>
        <v>42.22</v>
      </c>
      <c r="AC101" s="3575"/>
      <c r="AD101" s="1201"/>
      <c r="AE101" s="852"/>
      <c r="AF101" s="782">
        <f t="shared" si="297"/>
        <v>42.22</v>
      </c>
      <c r="AG101" s="3575"/>
      <c r="AH101" s="1201"/>
      <c r="AI101" s="852"/>
      <c r="AJ101" s="373">
        <f t="shared" si="323"/>
        <v>42.22</v>
      </c>
      <c r="AK101" s="3575"/>
      <c r="AL101" s="1201"/>
      <c r="AM101" s="902"/>
      <c r="AN101" s="618">
        <f t="shared" si="324"/>
        <v>0</v>
      </c>
      <c r="AO101" s="852"/>
      <c r="AP101" s="373">
        <f t="shared" si="325"/>
        <v>42.22</v>
      </c>
      <c r="AQ101" s="3575"/>
      <c r="AR101" s="1201"/>
      <c r="AS101" s="852"/>
      <c r="AT101" s="43">
        <f t="shared" si="326"/>
        <v>42.22</v>
      </c>
      <c r="AU101" s="3575"/>
      <c r="AV101" s="1201"/>
      <c r="AW101" s="852"/>
      <c r="AX101" s="43">
        <f t="shared" si="327"/>
        <v>42.22</v>
      </c>
      <c r="AY101" s="3575"/>
      <c r="AZ101" s="1201"/>
      <c r="BA101" s="902"/>
      <c r="BB101" s="618">
        <f t="shared" si="328"/>
        <v>0</v>
      </c>
      <c r="BC101" s="3591"/>
      <c r="BD101" s="3562">
        <f t="shared" si="329"/>
        <v>0</v>
      </c>
      <c r="BE101" s="852"/>
      <c r="BF101" s="43">
        <f t="shared" si="330"/>
        <v>42.22</v>
      </c>
      <c r="BG101" s="26"/>
      <c r="BH101" s="26"/>
      <c r="BI101" s="26"/>
      <c r="BJ101" s="26"/>
      <c r="BK101" s="26"/>
    </row>
    <row r="102" spans="1:63" ht="15.75" thickBot="1" x14ac:dyDescent="0.3">
      <c r="A102" s="93"/>
      <c r="B102" s="3586" t="s">
        <v>866</v>
      </c>
      <c r="C102" s="3587" t="s">
        <v>1529</v>
      </c>
      <c r="D102" s="3587"/>
      <c r="E102" s="3575"/>
      <c r="F102" s="1201">
        <v>127.41999999999999</v>
      </c>
      <c r="G102" s="3575"/>
      <c r="H102" s="1201"/>
      <c r="I102" s="852"/>
      <c r="J102" s="782">
        <f t="shared" si="291"/>
        <v>127.41999999999999</v>
      </c>
      <c r="K102" s="3575"/>
      <c r="L102" s="1201"/>
      <c r="M102" s="902"/>
      <c r="N102" s="781">
        <f t="shared" si="292"/>
        <v>127.41999999999999</v>
      </c>
      <c r="O102" s="3575"/>
      <c r="P102" s="1201"/>
      <c r="Q102" s="852"/>
      <c r="R102" s="782">
        <f t="shared" si="293"/>
        <v>127.41999999999999</v>
      </c>
      <c r="S102" s="3575"/>
      <c r="T102" s="1201"/>
      <c r="U102" s="852"/>
      <c r="V102" s="782">
        <f t="shared" si="294"/>
        <v>127.41999999999999</v>
      </c>
      <c r="W102" s="3575"/>
      <c r="X102" s="1201"/>
      <c r="Y102" s="902"/>
      <c r="Z102" s="781">
        <f t="shared" si="295"/>
        <v>0</v>
      </c>
      <c r="AA102" s="3591"/>
      <c r="AB102" s="3562">
        <f t="shared" si="296"/>
        <v>127.41999999999999</v>
      </c>
      <c r="AC102" s="3575"/>
      <c r="AD102" s="1201"/>
      <c r="AE102" s="852"/>
      <c r="AF102" s="782">
        <f t="shared" si="297"/>
        <v>127.41999999999999</v>
      </c>
      <c r="AG102" s="3575"/>
      <c r="AH102" s="1201">
        <v>187.4</v>
      </c>
      <c r="AI102" s="852"/>
      <c r="AJ102" s="373">
        <f t="shared" si="323"/>
        <v>314.82</v>
      </c>
      <c r="AK102" s="3575"/>
      <c r="AL102" s="1201"/>
      <c r="AM102" s="902"/>
      <c r="AN102" s="618">
        <f t="shared" si="324"/>
        <v>187.4</v>
      </c>
      <c r="AO102" s="852"/>
      <c r="AP102" s="373">
        <f t="shared" si="325"/>
        <v>314.82</v>
      </c>
      <c r="AQ102" s="3575"/>
      <c r="AR102" s="1201">
        <v>318.47999999999996</v>
      </c>
      <c r="AS102" s="852"/>
      <c r="AT102" s="43">
        <f t="shared" si="326"/>
        <v>633.29999999999995</v>
      </c>
      <c r="AU102" s="3575"/>
      <c r="AV102" s="1201"/>
      <c r="AW102" s="852"/>
      <c r="AX102" s="43">
        <f t="shared" si="327"/>
        <v>633.29999999999995</v>
      </c>
      <c r="AY102" s="3575"/>
      <c r="AZ102" s="1201"/>
      <c r="BA102" s="902"/>
      <c r="BB102" s="618">
        <f t="shared" si="328"/>
        <v>318.47999999999996</v>
      </c>
      <c r="BC102" s="3591"/>
      <c r="BD102" s="3562">
        <f t="shared" si="329"/>
        <v>505.88</v>
      </c>
      <c r="BE102" s="852"/>
      <c r="BF102" s="43">
        <f t="shared" si="330"/>
        <v>633.29999999999995</v>
      </c>
      <c r="BG102" s="26"/>
      <c r="BH102" s="26"/>
      <c r="BI102" s="26"/>
      <c r="BJ102" s="26"/>
      <c r="BK102" s="26"/>
    </row>
    <row r="103" spans="1:63" ht="15.75" thickBot="1" x14ac:dyDescent="0.3">
      <c r="A103" s="93"/>
      <c r="B103" s="3586" t="s">
        <v>866</v>
      </c>
      <c r="C103" s="3587" t="s">
        <v>1465</v>
      </c>
      <c r="D103" s="3587"/>
      <c r="E103" s="3575"/>
      <c r="F103" s="1201">
        <v>127.46000000000001</v>
      </c>
      <c r="G103" s="3575"/>
      <c r="H103" s="1201"/>
      <c r="I103" s="852"/>
      <c r="J103" s="782">
        <f t="shared" si="291"/>
        <v>127.46000000000001</v>
      </c>
      <c r="K103" s="3575"/>
      <c r="L103" s="1201"/>
      <c r="M103" s="902"/>
      <c r="N103" s="781">
        <f t="shared" si="292"/>
        <v>127.46000000000001</v>
      </c>
      <c r="O103" s="3575"/>
      <c r="P103" s="1201"/>
      <c r="Q103" s="852"/>
      <c r="R103" s="782">
        <f t="shared" si="293"/>
        <v>127.46000000000001</v>
      </c>
      <c r="S103" s="3575"/>
      <c r="T103" s="1201"/>
      <c r="U103" s="852"/>
      <c r="V103" s="782">
        <f t="shared" si="294"/>
        <v>127.46000000000001</v>
      </c>
      <c r="W103" s="3575"/>
      <c r="X103" s="1201"/>
      <c r="Y103" s="902"/>
      <c r="Z103" s="781">
        <f t="shared" si="295"/>
        <v>0</v>
      </c>
      <c r="AA103" s="3591"/>
      <c r="AB103" s="3562">
        <f t="shared" si="296"/>
        <v>127.46000000000001</v>
      </c>
      <c r="AC103" s="3575"/>
      <c r="AD103" s="1201"/>
      <c r="AE103" s="852"/>
      <c r="AF103" s="782">
        <f t="shared" si="297"/>
        <v>127.46000000000001</v>
      </c>
      <c r="AG103" s="3575"/>
      <c r="AH103" s="1201"/>
      <c r="AI103" s="852"/>
      <c r="AJ103" s="373">
        <f t="shared" si="323"/>
        <v>127.46000000000001</v>
      </c>
      <c r="AK103" s="3575"/>
      <c r="AL103" s="1201"/>
      <c r="AM103" s="902"/>
      <c r="AN103" s="618">
        <f t="shared" si="324"/>
        <v>0</v>
      </c>
      <c r="AO103" s="852"/>
      <c r="AP103" s="373">
        <f t="shared" si="325"/>
        <v>127.46000000000001</v>
      </c>
      <c r="AQ103" s="3575"/>
      <c r="AR103" s="1201">
        <v>190.29999999999998</v>
      </c>
      <c r="AS103" s="852"/>
      <c r="AT103" s="43">
        <f t="shared" si="326"/>
        <v>317.76</v>
      </c>
      <c r="AU103" s="3575"/>
      <c r="AV103" s="1201"/>
      <c r="AW103" s="852"/>
      <c r="AX103" s="43">
        <f t="shared" si="327"/>
        <v>317.76</v>
      </c>
      <c r="AY103" s="3575"/>
      <c r="AZ103" s="1201"/>
      <c r="BA103" s="902"/>
      <c r="BB103" s="618">
        <f t="shared" si="328"/>
        <v>190.29999999999998</v>
      </c>
      <c r="BC103" s="3591"/>
      <c r="BD103" s="3562">
        <f t="shared" si="329"/>
        <v>190.29999999999998</v>
      </c>
      <c r="BE103" s="852"/>
      <c r="BF103" s="43">
        <f t="shared" si="330"/>
        <v>317.76</v>
      </c>
      <c r="BG103" s="26"/>
      <c r="BH103" s="26"/>
      <c r="BI103" s="26"/>
      <c r="BJ103" s="26"/>
      <c r="BK103" s="26"/>
    </row>
    <row r="104" spans="1:63" ht="15.75" thickBot="1" x14ac:dyDescent="0.3">
      <c r="A104" s="93"/>
      <c r="B104" s="3588" t="s">
        <v>866</v>
      </c>
      <c r="C104" s="3589" t="s">
        <v>907</v>
      </c>
      <c r="D104" s="3589"/>
      <c r="E104" s="3592"/>
      <c r="F104" s="109">
        <v>1030.2</v>
      </c>
      <c r="G104" s="3592"/>
      <c r="H104" s="109">
        <v>1022.2799999999999</v>
      </c>
      <c r="I104" s="2930"/>
      <c r="J104" s="782">
        <f t="shared" si="291"/>
        <v>2052.48</v>
      </c>
      <c r="K104" s="3592"/>
      <c r="L104" s="109">
        <v>889.56000000000006</v>
      </c>
      <c r="M104" s="3593"/>
      <c r="N104" s="781">
        <f t="shared" si="292"/>
        <v>2942.04</v>
      </c>
      <c r="O104" s="3592"/>
      <c r="P104" s="109"/>
      <c r="Q104" s="2930"/>
      <c r="R104" s="782">
        <f t="shared" si="293"/>
        <v>2942.04</v>
      </c>
      <c r="S104" s="3592"/>
      <c r="T104" s="109">
        <v>1321.0800000000002</v>
      </c>
      <c r="U104" s="2930"/>
      <c r="V104" s="782">
        <f t="shared" si="294"/>
        <v>4263.12</v>
      </c>
      <c r="W104" s="3592"/>
      <c r="X104" s="109"/>
      <c r="Y104" s="3593"/>
      <c r="Z104" s="781">
        <f t="shared" si="295"/>
        <v>1321.0800000000002</v>
      </c>
      <c r="AA104" s="3594"/>
      <c r="AB104" s="3562">
        <f t="shared" si="296"/>
        <v>4263.12</v>
      </c>
      <c r="AC104" s="3592"/>
      <c r="AD104" s="109"/>
      <c r="AE104" s="2930"/>
      <c r="AF104" s="782">
        <f t="shared" si="297"/>
        <v>4263.12</v>
      </c>
      <c r="AG104" s="3592"/>
      <c r="AH104" s="109">
        <v>507.02</v>
      </c>
      <c r="AI104" s="2930"/>
      <c r="AJ104" s="373">
        <f t="shared" si="323"/>
        <v>4770.1399999999994</v>
      </c>
      <c r="AK104" s="3592"/>
      <c r="AL104" s="109">
        <v>826.59999999999991</v>
      </c>
      <c r="AM104" s="3593"/>
      <c r="AN104" s="618">
        <f t="shared" si="324"/>
        <v>1333.62</v>
      </c>
      <c r="AO104" s="2930"/>
      <c r="AP104" s="373">
        <f t="shared" si="325"/>
        <v>5596.74</v>
      </c>
      <c r="AQ104" s="3592"/>
      <c r="AR104" s="109">
        <v>639.86</v>
      </c>
      <c r="AS104" s="2930"/>
      <c r="AT104" s="43">
        <f t="shared" si="326"/>
        <v>6236.5999999999995</v>
      </c>
      <c r="AU104" s="3592"/>
      <c r="AV104" s="109"/>
      <c r="AW104" s="2930"/>
      <c r="AX104" s="43">
        <f t="shared" si="327"/>
        <v>6236.5999999999995</v>
      </c>
      <c r="AY104" s="3592"/>
      <c r="AZ104" s="109">
        <v>613.70000000000005</v>
      </c>
      <c r="BA104" s="3593"/>
      <c r="BB104" s="618">
        <f t="shared" si="328"/>
        <v>1253.56</v>
      </c>
      <c r="BC104" s="3594"/>
      <c r="BD104" s="3562">
        <f t="shared" si="329"/>
        <v>2587.1799999999998</v>
      </c>
      <c r="BE104" s="2930"/>
      <c r="BF104" s="43">
        <f t="shared" si="330"/>
        <v>6850.2999999999993</v>
      </c>
      <c r="BG104" s="26"/>
      <c r="BH104" s="26"/>
      <c r="BI104" s="26"/>
      <c r="BJ104" s="26"/>
      <c r="BK104" s="26"/>
    </row>
    <row r="105" spans="1:63" ht="15.75" thickBot="1" x14ac:dyDescent="0.3">
      <c r="A105" s="93"/>
      <c r="B105" s="3579" t="s">
        <v>878</v>
      </c>
      <c r="C105" s="3580" t="s">
        <v>906</v>
      </c>
      <c r="D105" s="3580"/>
      <c r="E105" s="3595"/>
      <c r="F105" s="158">
        <v>381.28</v>
      </c>
      <c r="G105" s="3595"/>
      <c r="H105" s="158">
        <v>182.64</v>
      </c>
      <c r="I105" s="2927"/>
      <c r="J105" s="782">
        <f t="shared" si="291"/>
        <v>563.91999999999996</v>
      </c>
      <c r="K105" s="3595"/>
      <c r="L105" s="158"/>
      <c r="M105" s="3596"/>
      <c r="N105" s="781">
        <f t="shared" si="292"/>
        <v>563.91999999999996</v>
      </c>
      <c r="O105" s="3595"/>
      <c r="P105" s="158"/>
      <c r="Q105" s="2927"/>
      <c r="R105" s="782">
        <f t="shared" si="293"/>
        <v>563.91999999999996</v>
      </c>
      <c r="S105" s="3595"/>
      <c r="T105" s="158"/>
      <c r="U105" s="2927"/>
      <c r="V105" s="782">
        <f t="shared" si="294"/>
        <v>563.91999999999996</v>
      </c>
      <c r="W105" s="3595"/>
      <c r="X105" s="158"/>
      <c r="Y105" s="3596"/>
      <c r="Z105" s="781">
        <f t="shared" si="295"/>
        <v>0</v>
      </c>
      <c r="AA105" s="3597"/>
      <c r="AB105" s="3562">
        <f t="shared" si="296"/>
        <v>563.91999999999996</v>
      </c>
      <c r="AC105" s="3595"/>
      <c r="AD105" s="158"/>
      <c r="AE105" s="2927"/>
      <c r="AF105" s="782">
        <f t="shared" si="297"/>
        <v>563.91999999999996</v>
      </c>
      <c r="AG105" s="3595"/>
      <c r="AH105" s="158"/>
      <c r="AI105" s="2927"/>
      <c r="AJ105" s="373">
        <f t="shared" si="323"/>
        <v>563.91999999999996</v>
      </c>
      <c r="AK105" s="3595"/>
      <c r="AL105" s="158"/>
      <c r="AM105" s="3596"/>
      <c r="AN105" s="618">
        <f t="shared" si="324"/>
        <v>0</v>
      </c>
      <c r="AO105" s="2927"/>
      <c r="AP105" s="373">
        <f t="shared" si="325"/>
        <v>563.91999999999996</v>
      </c>
      <c r="AQ105" s="3595"/>
      <c r="AR105" s="158"/>
      <c r="AS105" s="2927"/>
      <c r="AT105" s="43">
        <f t="shared" si="326"/>
        <v>563.91999999999996</v>
      </c>
      <c r="AU105" s="3595"/>
      <c r="AV105" s="158"/>
      <c r="AW105" s="2927"/>
      <c r="AX105" s="43">
        <f t="shared" si="327"/>
        <v>563.91999999999996</v>
      </c>
      <c r="AY105" s="3595"/>
      <c r="AZ105" s="158"/>
      <c r="BA105" s="3596"/>
      <c r="BB105" s="618">
        <f t="shared" si="328"/>
        <v>0</v>
      </c>
      <c r="BC105" s="3597"/>
      <c r="BD105" s="3562">
        <f t="shared" si="329"/>
        <v>0</v>
      </c>
      <c r="BE105" s="2927"/>
      <c r="BF105" s="43">
        <f t="shared" si="330"/>
        <v>563.91999999999996</v>
      </c>
      <c r="BG105" s="26"/>
      <c r="BH105" s="26"/>
      <c r="BI105" s="26"/>
      <c r="BJ105" s="26"/>
      <c r="BK105" s="26"/>
    </row>
    <row r="106" spans="1:63" ht="15.75" hidden="1" customHeight="1" thickBot="1" x14ac:dyDescent="0.35">
      <c r="A106" s="93"/>
      <c r="B106" s="3598" t="s">
        <v>878</v>
      </c>
      <c r="C106" s="3599" t="s">
        <v>908</v>
      </c>
      <c r="D106" s="3599"/>
      <c r="E106" s="3600"/>
      <c r="F106" s="1202"/>
      <c r="G106" s="3600"/>
      <c r="H106" s="1202"/>
      <c r="I106" s="3601"/>
      <c r="J106" s="782">
        <f t="shared" si="291"/>
        <v>0</v>
      </c>
      <c r="K106" s="3600"/>
      <c r="L106" s="1202"/>
      <c r="M106" s="3602"/>
      <c r="N106" s="781">
        <f t="shared" si="292"/>
        <v>0</v>
      </c>
      <c r="O106" s="3600"/>
      <c r="P106" s="1202"/>
      <c r="Q106" s="3601"/>
      <c r="R106" s="782">
        <f t="shared" si="293"/>
        <v>0</v>
      </c>
      <c r="S106" s="3600"/>
      <c r="T106" s="1202"/>
      <c r="U106" s="3601"/>
      <c r="V106" s="782">
        <f t="shared" si="294"/>
        <v>0</v>
      </c>
      <c r="W106" s="3600"/>
      <c r="X106" s="1202"/>
      <c r="Y106" s="3602"/>
      <c r="Z106" s="781">
        <f t="shared" si="295"/>
        <v>0</v>
      </c>
      <c r="AA106" s="3603"/>
      <c r="AB106" s="3562">
        <f t="shared" si="296"/>
        <v>0</v>
      </c>
      <c r="AC106" s="3600"/>
      <c r="AD106" s="1202"/>
      <c r="AE106" s="3601"/>
      <c r="AF106" s="782">
        <f t="shared" si="297"/>
        <v>0</v>
      </c>
      <c r="AG106" s="3600"/>
      <c r="AH106" s="1202"/>
      <c r="AI106" s="3601"/>
      <c r="AJ106" s="373">
        <f t="shared" si="323"/>
        <v>0</v>
      </c>
      <c r="AK106" s="3600"/>
      <c r="AL106" s="1202"/>
      <c r="AM106" s="3602"/>
      <c r="AN106" s="618">
        <f t="shared" si="324"/>
        <v>0</v>
      </c>
      <c r="AO106" s="3601"/>
      <c r="AP106" s="373">
        <f t="shared" si="325"/>
        <v>0</v>
      </c>
      <c r="AQ106" s="3600"/>
      <c r="AR106" s="1202"/>
      <c r="AS106" s="3601"/>
      <c r="AT106" s="43">
        <f t="shared" si="326"/>
        <v>0</v>
      </c>
      <c r="AU106" s="3600"/>
      <c r="AV106" s="1202"/>
      <c r="AW106" s="3601"/>
      <c r="AX106" s="43">
        <f t="shared" si="327"/>
        <v>0</v>
      </c>
      <c r="AY106" s="3600"/>
      <c r="AZ106" s="1202"/>
      <c r="BA106" s="3602"/>
      <c r="BB106" s="618">
        <f t="shared" si="328"/>
        <v>0</v>
      </c>
      <c r="BC106" s="3603"/>
      <c r="BD106" s="3562">
        <f t="shared" si="329"/>
        <v>0</v>
      </c>
      <c r="BE106" s="3601"/>
      <c r="BF106" s="43">
        <f t="shared" si="330"/>
        <v>0</v>
      </c>
      <c r="BG106" s="26"/>
      <c r="BH106" s="26"/>
      <c r="BI106" s="26"/>
      <c r="BJ106" s="26"/>
      <c r="BK106" s="26"/>
    </row>
    <row r="107" spans="1:63" ht="15.75" thickBot="1" x14ac:dyDescent="0.3">
      <c r="A107" s="93"/>
      <c r="B107" s="3598" t="s">
        <v>878</v>
      </c>
      <c r="C107" s="3599" t="s">
        <v>951</v>
      </c>
      <c r="D107" s="3599"/>
      <c r="E107" s="3600"/>
      <c r="F107" s="1202"/>
      <c r="G107" s="3600"/>
      <c r="H107" s="1202">
        <v>61.28</v>
      </c>
      <c r="I107" s="3601"/>
      <c r="J107" s="782">
        <f t="shared" si="291"/>
        <v>61.28</v>
      </c>
      <c r="K107" s="3600"/>
      <c r="L107" s="1202"/>
      <c r="M107" s="3602"/>
      <c r="N107" s="781">
        <f t="shared" si="292"/>
        <v>61.28</v>
      </c>
      <c r="O107" s="3600"/>
      <c r="P107" s="1202"/>
      <c r="Q107" s="3601"/>
      <c r="R107" s="782">
        <f t="shared" si="293"/>
        <v>61.28</v>
      </c>
      <c r="S107" s="3600"/>
      <c r="T107" s="1202"/>
      <c r="U107" s="3601"/>
      <c r="V107" s="782">
        <f t="shared" si="294"/>
        <v>61.28</v>
      </c>
      <c r="W107" s="3600"/>
      <c r="X107" s="1202"/>
      <c r="Y107" s="3602"/>
      <c r="Z107" s="781">
        <f t="shared" si="295"/>
        <v>0</v>
      </c>
      <c r="AA107" s="3603"/>
      <c r="AB107" s="3562">
        <f t="shared" si="296"/>
        <v>61.28</v>
      </c>
      <c r="AC107" s="3600"/>
      <c r="AD107" s="1202"/>
      <c r="AE107" s="3601"/>
      <c r="AF107" s="782">
        <f t="shared" si="297"/>
        <v>61.28</v>
      </c>
      <c r="AG107" s="3600"/>
      <c r="AH107" s="1202">
        <v>186.57999999999998</v>
      </c>
      <c r="AI107" s="3601"/>
      <c r="AJ107" s="373">
        <f t="shared" si="323"/>
        <v>247.85999999999999</v>
      </c>
      <c r="AK107" s="3600"/>
      <c r="AL107" s="1202"/>
      <c r="AM107" s="3602"/>
      <c r="AN107" s="618">
        <f t="shared" si="324"/>
        <v>186.57999999999998</v>
      </c>
      <c r="AO107" s="3601"/>
      <c r="AP107" s="373">
        <f t="shared" si="325"/>
        <v>247.85999999999999</v>
      </c>
      <c r="AQ107" s="3600"/>
      <c r="AR107" s="1202"/>
      <c r="AS107" s="3601"/>
      <c r="AT107" s="43">
        <f t="shared" si="326"/>
        <v>247.85999999999999</v>
      </c>
      <c r="AU107" s="3600"/>
      <c r="AV107" s="1202"/>
      <c r="AW107" s="3601"/>
      <c r="AX107" s="43">
        <f t="shared" si="327"/>
        <v>247.85999999999999</v>
      </c>
      <c r="AY107" s="3600"/>
      <c r="AZ107" s="1202"/>
      <c r="BA107" s="3602"/>
      <c r="BB107" s="618">
        <f t="shared" si="328"/>
        <v>0</v>
      </c>
      <c r="BC107" s="3603"/>
      <c r="BD107" s="3562">
        <f t="shared" si="329"/>
        <v>186.57999999999998</v>
      </c>
      <c r="BE107" s="3601"/>
      <c r="BF107" s="43">
        <f t="shared" si="330"/>
        <v>247.85999999999999</v>
      </c>
      <c r="BG107" s="26"/>
      <c r="BH107" s="26"/>
      <c r="BI107" s="26"/>
      <c r="BJ107" s="26"/>
      <c r="BK107" s="26"/>
    </row>
    <row r="108" spans="1:63" ht="15.75" hidden="1" customHeight="1" thickBot="1" x14ac:dyDescent="0.35">
      <c r="A108" s="93"/>
      <c r="B108" s="3586" t="s">
        <v>878</v>
      </c>
      <c r="C108" s="3587" t="s">
        <v>1407</v>
      </c>
      <c r="D108" s="3587"/>
      <c r="E108" s="3575"/>
      <c r="F108" s="1201"/>
      <c r="G108" s="3575"/>
      <c r="H108" s="1201"/>
      <c r="I108" s="852"/>
      <c r="J108" s="782">
        <f t="shared" si="291"/>
        <v>0</v>
      </c>
      <c r="K108" s="3575"/>
      <c r="L108" s="1201"/>
      <c r="M108" s="902"/>
      <c r="N108" s="781">
        <f t="shared" si="292"/>
        <v>0</v>
      </c>
      <c r="O108" s="3575"/>
      <c r="P108" s="1201"/>
      <c r="Q108" s="852"/>
      <c r="R108" s="782">
        <f t="shared" si="293"/>
        <v>0</v>
      </c>
      <c r="S108" s="3575"/>
      <c r="T108" s="1201"/>
      <c r="U108" s="852"/>
      <c r="V108" s="782">
        <f t="shared" si="294"/>
        <v>0</v>
      </c>
      <c r="W108" s="3575"/>
      <c r="X108" s="1201"/>
      <c r="Y108" s="902"/>
      <c r="Z108" s="781">
        <f t="shared" si="295"/>
        <v>0</v>
      </c>
      <c r="AA108" s="3591"/>
      <c r="AB108" s="3562">
        <f t="shared" si="296"/>
        <v>0</v>
      </c>
      <c r="AC108" s="3575"/>
      <c r="AD108" s="1201"/>
      <c r="AE108" s="852"/>
      <c r="AF108" s="782">
        <f t="shared" si="297"/>
        <v>0</v>
      </c>
      <c r="AG108" s="3575"/>
      <c r="AH108" s="1201"/>
      <c r="AI108" s="852"/>
      <c r="AJ108" s="373">
        <f t="shared" si="323"/>
        <v>0</v>
      </c>
      <c r="AK108" s="3575"/>
      <c r="AL108" s="1201"/>
      <c r="AM108" s="902"/>
      <c r="AN108" s="618">
        <f t="shared" si="324"/>
        <v>0</v>
      </c>
      <c r="AO108" s="852"/>
      <c r="AP108" s="373">
        <f t="shared" si="325"/>
        <v>0</v>
      </c>
      <c r="AQ108" s="3575"/>
      <c r="AR108" s="1201"/>
      <c r="AS108" s="852"/>
      <c r="AT108" s="43">
        <f t="shared" si="326"/>
        <v>0</v>
      </c>
      <c r="AU108" s="3575"/>
      <c r="AV108" s="1201"/>
      <c r="AW108" s="852"/>
      <c r="AX108" s="43">
        <f t="shared" si="327"/>
        <v>0</v>
      </c>
      <c r="AY108" s="3575"/>
      <c r="AZ108" s="1201"/>
      <c r="BA108" s="902"/>
      <c r="BB108" s="618">
        <f t="shared" si="328"/>
        <v>0</v>
      </c>
      <c r="BC108" s="3591"/>
      <c r="BD108" s="3562">
        <f t="shared" si="329"/>
        <v>0</v>
      </c>
      <c r="BE108" s="852"/>
      <c r="BF108" s="43">
        <f t="shared" si="330"/>
        <v>0</v>
      </c>
      <c r="BG108" s="26"/>
      <c r="BH108" s="26"/>
      <c r="BI108" s="26"/>
      <c r="BJ108" s="26"/>
      <c r="BK108" s="26"/>
    </row>
    <row r="109" spans="1:63" ht="15.75" hidden="1" customHeight="1" thickBot="1" x14ac:dyDescent="0.35">
      <c r="A109" s="93"/>
      <c r="B109" s="3586" t="s">
        <v>878</v>
      </c>
      <c r="C109" s="3587" t="s">
        <v>1465</v>
      </c>
      <c r="D109" s="3587"/>
      <c r="E109" s="3575"/>
      <c r="F109" s="1201"/>
      <c r="G109" s="3575"/>
      <c r="H109" s="1201"/>
      <c r="I109" s="852"/>
      <c r="J109" s="782">
        <f t="shared" si="291"/>
        <v>0</v>
      </c>
      <c r="K109" s="3575"/>
      <c r="L109" s="1201"/>
      <c r="M109" s="902"/>
      <c r="N109" s="781">
        <f t="shared" si="292"/>
        <v>0</v>
      </c>
      <c r="O109" s="3575"/>
      <c r="P109" s="1201"/>
      <c r="Q109" s="852"/>
      <c r="R109" s="782">
        <f t="shared" si="293"/>
        <v>0</v>
      </c>
      <c r="S109" s="3575"/>
      <c r="T109" s="1201"/>
      <c r="U109" s="852"/>
      <c r="V109" s="782">
        <f t="shared" si="294"/>
        <v>0</v>
      </c>
      <c r="W109" s="3575"/>
      <c r="X109" s="1201"/>
      <c r="Y109" s="902"/>
      <c r="Z109" s="781">
        <f t="shared" si="295"/>
        <v>0</v>
      </c>
      <c r="AA109" s="3591"/>
      <c r="AB109" s="3562">
        <f t="shared" si="296"/>
        <v>0</v>
      </c>
      <c r="AC109" s="3575"/>
      <c r="AD109" s="1201"/>
      <c r="AE109" s="852"/>
      <c r="AF109" s="782">
        <f t="shared" si="297"/>
        <v>0</v>
      </c>
      <c r="AG109" s="3575"/>
      <c r="AH109" s="1201"/>
      <c r="AI109" s="852"/>
      <c r="AJ109" s="373">
        <f t="shared" si="323"/>
        <v>0</v>
      </c>
      <c r="AK109" s="3575"/>
      <c r="AL109" s="1201"/>
      <c r="AM109" s="902"/>
      <c r="AN109" s="618">
        <f t="shared" si="324"/>
        <v>0</v>
      </c>
      <c r="AO109" s="852"/>
      <c r="AP109" s="373">
        <f t="shared" si="325"/>
        <v>0</v>
      </c>
      <c r="AQ109" s="3575"/>
      <c r="AR109" s="1201"/>
      <c r="AS109" s="852"/>
      <c r="AT109" s="43">
        <f t="shared" si="326"/>
        <v>0</v>
      </c>
      <c r="AU109" s="3575"/>
      <c r="AV109" s="1201"/>
      <c r="AW109" s="852"/>
      <c r="AX109" s="43">
        <f t="shared" si="327"/>
        <v>0</v>
      </c>
      <c r="AY109" s="3575"/>
      <c r="AZ109" s="1201"/>
      <c r="BA109" s="902"/>
      <c r="BB109" s="618">
        <f t="shared" si="328"/>
        <v>0</v>
      </c>
      <c r="BC109" s="3591"/>
      <c r="BD109" s="3562">
        <f t="shared" si="329"/>
        <v>0</v>
      </c>
      <c r="BE109" s="852"/>
      <c r="BF109" s="43">
        <f t="shared" si="330"/>
        <v>0</v>
      </c>
      <c r="BG109" s="26"/>
      <c r="BH109" s="26"/>
      <c r="BI109" s="26"/>
      <c r="BJ109" s="26"/>
      <c r="BK109" s="26"/>
    </row>
    <row r="110" spans="1:63" ht="15.75" hidden="1" customHeight="1" thickBot="1" x14ac:dyDescent="0.35">
      <c r="A110" s="93"/>
      <c r="B110" s="3586" t="s">
        <v>878</v>
      </c>
      <c r="C110" s="3587" t="s">
        <v>879</v>
      </c>
      <c r="D110" s="3587"/>
      <c r="E110" s="3575"/>
      <c r="F110" s="1201"/>
      <c r="G110" s="3575"/>
      <c r="H110" s="1201"/>
      <c r="I110" s="852"/>
      <c r="J110" s="782">
        <f t="shared" si="291"/>
        <v>0</v>
      </c>
      <c r="K110" s="3575"/>
      <c r="L110" s="1201"/>
      <c r="M110" s="902"/>
      <c r="N110" s="781">
        <f t="shared" si="292"/>
        <v>0</v>
      </c>
      <c r="O110" s="3575"/>
      <c r="P110" s="1201"/>
      <c r="Q110" s="852"/>
      <c r="R110" s="782">
        <f t="shared" si="293"/>
        <v>0</v>
      </c>
      <c r="S110" s="3575"/>
      <c r="T110" s="1201"/>
      <c r="U110" s="852"/>
      <c r="V110" s="782">
        <f t="shared" si="294"/>
        <v>0</v>
      </c>
      <c r="W110" s="3575"/>
      <c r="X110" s="1201"/>
      <c r="Y110" s="902"/>
      <c r="Z110" s="781">
        <f t="shared" si="295"/>
        <v>0</v>
      </c>
      <c r="AA110" s="3591"/>
      <c r="AB110" s="3562">
        <f t="shared" si="296"/>
        <v>0</v>
      </c>
      <c r="AC110" s="3575"/>
      <c r="AD110" s="1201"/>
      <c r="AE110" s="852"/>
      <c r="AF110" s="782">
        <f t="shared" si="297"/>
        <v>0</v>
      </c>
      <c r="AG110" s="3575"/>
      <c r="AH110" s="1201"/>
      <c r="AI110" s="852"/>
      <c r="AJ110" s="373">
        <f t="shared" si="323"/>
        <v>0</v>
      </c>
      <c r="AK110" s="3575"/>
      <c r="AL110" s="1201"/>
      <c r="AM110" s="902"/>
      <c r="AN110" s="618">
        <f t="shared" si="324"/>
        <v>0</v>
      </c>
      <c r="AO110" s="852"/>
      <c r="AP110" s="373">
        <f t="shared" si="325"/>
        <v>0</v>
      </c>
      <c r="AQ110" s="3575"/>
      <c r="AR110" s="1201"/>
      <c r="AS110" s="852"/>
      <c r="AT110" s="43">
        <f t="shared" si="326"/>
        <v>0</v>
      </c>
      <c r="AU110" s="3575"/>
      <c r="AV110" s="1201"/>
      <c r="AW110" s="852"/>
      <c r="AX110" s="43">
        <f t="shared" si="327"/>
        <v>0</v>
      </c>
      <c r="AY110" s="3575"/>
      <c r="AZ110" s="1201"/>
      <c r="BA110" s="902"/>
      <c r="BB110" s="618">
        <f t="shared" si="328"/>
        <v>0</v>
      </c>
      <c r="BC110" s="3591"/>
      <c r="BD110" s="3562">
        <f t="shared" si="329"/>
        <v>0</v>
      </c>
      <c r="BE110" s="852"/>
      <c r="BF110" s="43">
        <f t="shared" si="330"/>
        <v>0</v>
      </c>
      <c r="BG110" s="26"/>
      <c r="BH110" s="26"/>
      <c r="BI110" s="26"/>
      <c r="BJ110" s="26"/>
      <c r="BK110" s="26"/>
    </row>
    <row r="111" spans="1:63" ht="15.75" hidden="1" customHeight="1" thickBot="1" x14ac:dyDescent="0.35">
      <c r="A111" s="93"/>
      <c r="B111" s="3586" t="s">
        <v>878</v>
      </c>
      <c r="C111" s="3587" t="s">
        <v>918</v>
      </c>
      <c r="D111" s="3587"/>
      <c r="E111" s="3575"/>
      <c r="F111" s="1201"/>
      <c r="G111" s="3575"/>
      <c r="H111" s="1201"/>
      <c r="I111" s="852"/>
      <c r="J111" s="782">
        <f t="shared" si="291"/>
        <v>0</v>
      </c>
      <c r="K111" s="3575"/>
      <c r="L111" s="1201"/>
      <c r="M111" s="902"/>
      <c r="N111" s="781">
        <f t="shared" si="292"/>
        <v>0</v>
      </c>
      <c r="O111" s="3575"/>
      <c r="P111" s="1201"/>
      <c r="Q111" s="852"/>
      <c r="R111" s="782">
        <f t="shared" si="293"/>
        <v>0</v>
      </c>
      <c r="S111" s="3575"/>
      <c r="T111" s="1201"/>
      <c r="U111" s="852"/>
      <c r="V111" s="782">
        <f t="shared" si="294"/>
        <v>0</v>
      </c>
      <c r="W111" s="3575"/>
      <c r="X111" s="1201"/>
      <c r="Y111" s="902"/>
      <c r="Z111" s="781">
        <f t="shared" si="295"/>
        <v>0</v>
      </c>
      <c r="AA111" s="3591"/>
      <c r="AB111" s="3562">
        <f t="shared" si="296"/>
        <v>0</v>
      </c>
      <c r="AC111" s="3575"/>
      <c r="AD111" s="1201"/>
      <c r="AE111" s="852"/>
      <c r="AF111" s="782">
        <f t="shared" si="297"/>
        <v>0</v>
      </c>
      <c r="AG111" s="3575"/>
      <c r="AH111" s="1201"/>
      <c r="AI111" s="852"/>
      <c r="AJ111" s="373">
        <f t="shared" si="323"/>
        <v>0</v>
      </c>
      <c r="AK111" s="3575"/>
      <c r="AL111" s="1201"/>
      <c r="AM111" s="902"/>
      <c r="AN111" s="618">
        <f t="shared" si="324"/>
        <v>0</v>
      </c>
      <c r="AO111" s="852"/>
      <c r="AP111" s="373">
        <f t="shared" si="325"/>
        <v>0</v>
      </c>
      <c r="AQ111" s="3575"/>
      <c r="AR111" s="1201"/>
      <c r="AS111" s="852"/>
      <c r="AT111" s="43">
        <f t="shared" si="326"/>
        <v>0</v>
      </c>
      <c r="AU111" s="3575"/>
      <c r="AV111" s="1201"/>
      <c r="AW111" s="852"/>
      <c r="AX111" s="43">
        <f t="shared" si="327"/>
        <v>0</v>
      </c>
      <c r="AY111" s="3575"/>
      <c r="AZ111" s="1201"/>
      <c r="BA111" s="902"/>
      <c r="BB111" s="618">
        <f t="shared" si="328"/>
        <v>0</v>
      </c>
      <c r="BC111" s="3591"/>
      <c r="BD111" s="3562">
        <f t="shared" si="329"/>
        <v>0</v>
      </c>
      <c r="BE111" s="852"/>
      <c r="BF111" s="43">
        <f t="shared" si="330"/>
        <v>0</v>
      </c>
      <c r="BG111" s="26"/>
      <c r="BH111" s="26"/>
      <c r="BI111" s="26"/>
      <c r="BJ111" s="26"/>
      <c r="BK111" s="26"/>
    </row>
    <row r="112" spans="1:63" ht="15.75" hidden="1" customHeight="1" thickBot="1" x14ac:dyDescent="0.35">
      <c r="A112" s="93"/>
      <c r="B112" s="4173" t="s">
        <v>878</v>
      </c>
      <c r="C112" s="4170" t="s">
        <v>1944</v>
      </c>
      <c r="D112" s="4170"/>
      <c r="E112" s="4126"/>
      <c r="F112" s="4156">
        <v>681.16</v>
      </c>
      <c r="G112" s="4126"/>
      <c r="H112" s="4156"/>
      <c r="I112" s="4155"/>
      <c r="J112" s="782">
        <f t="shared" si="291"/>
        <v>681.16</v>
      </c>
      <c r="K112" s="4126"/>
      <c r="L112" s="4156"/>
      <c r="M112" s="4154"/>
      <c r="N112" s="781">
        <f t="shared" si="292"/>
        <v>681.16</v>
      </c>
      <c r="O112" s="4126"/>
      <c r="P112" s="4156"/>
      <c r="Q112" s="4155"/>
      <c r="R112" s="782">
        <f t="shared" si="293"/>
        <v>681.16</v>
      </c>
      <c r="S112" s="4126"/>
      <c r="T112" s="4156"/>
      <c r="U112" s="4155"/>
      <c r="V112" s="782">
        <f t="shared" si="294"/>
        <v>681.16</v>
      </c>
      <c r="W112" s="4126"/>
      <c r="X112" s="4156"/>
      <c r="Y112" s="4154"/>
      <c r="Z112" s="781">
        <f t="shared" si="295"/>
        <v>0</v>
      </c>
      <c r="AA112" s="3591"/>
      <c r="AB112" s="3562">
        <f t="shared" si="296"/>
        <v>681.16</v>
      </c>
      <c r="AC112" s="4126"/>
      <c r="AD112" s="4156"/>
      <c r="AE112" s="4155"/>
      <c r="AF112" s="782">
        <f t="shared" si="297"/>
        <v>681.16</v>
      </c>
      <c r="AG112" s="4126"/>
      <c r="AH112" s="4156"/>
      <c r="AI112" s="4155"/>
      <c r="AJ112" s="373">
        <f t="shared" si="323"/>
        <v>681.16</v>
      </c>
      <c r="AK112" s="4126"/>
      <c r="AL112" s="4156"/>
      <c r="AM112" s="4154"/>
      <c r="AN112" s="618">
        <f t="shared" si="324"/>
        <v>0</v>
      </c>
      <c r="AO112" s="4155"/>
      <c r="AP112" s="373">
        <f t="shared" si="325"/>
        <v>681.16</v>
      </c>
      <c r="AQ112" s="4126"/>
      <c r="AR112" s="4156"/>
      <c r="AS112" s="4155"/>
      <c r="AT112" s="43">
        <f t="shared" si="326"/>
        <v>681.16</v>
      </c>
      <c r="AU112" s="4126"/>
      <c r="AV112" s="4156"/>
      <c r="AW112" s="4155"/>
      <c r="AX112" s="43">
        <f t="shared" si="327"/>
        <v>681.16</v>
      </c>
      <c r="AY112" s="4126"/>
      <c r="AZ112" s="4156"/>
      <c r="BA112" s="4154"/>
      <c r="BB112" s="618">
        <f t="shared" si="328"/>
        <v>0</v>
      </c>
      <c r="BC112" s="4153"/>
      <c r="BD112" s="3562">
        <f t="shared" si="329"/>
        <v>0</v>
      </c>
      <c r="BE112" s="852"/>
      <c r="BF112" s="43">
        <f t="shared" si="330"/>
        <v>681.16</v>
      </c>
      <c r="BG112" s="26"/>
      <c r="BH112" s="26"/>
      <c r="BI112" s="26"/>
      <c r="BJ112" s="26"/>
      <c r="BK112" s="26"/>
    </row>
    <row r="113" spans="1:63" ht="15.75" thickBot="1" x14ac:dyDescent="0.3">
      <c r="A113" s="93"/>
      <c r="B113" s="3588" t="s">
        <v>878</v>
      </c>
      <c r="C113" s="3589" t="s">
        <v>907</v>
      </c>
      <c r="D113" s="3589"/>
      <c r="E113" s="3592"/>
      <c r="F113" s="109">
        <v>185.18</v>
      </c>
      <c r="G113" s="3592"/>
      <c r="H113" s="109">
        <v>165.63</v>
      </c>
      <c r="I113" s="2930"/>
      <c r="J113" s="782">
        <f t="shared" si="291"/>
        <v>350.81</v>
      </c>
      <c r="K113" s="3592"/>
      <c r="L113" s="109"/>
      <c r="M113" s="3593"/>
      <c r="N113" s="781">
        <f t="shared" si="292"/>
        <v>350.81</v>
      </c>
      <c r="O113" s="3592"/>
      <c r="P113" s="109"/>
      <c r="Q113" s="2930"/>
      <c r="R113" s="782">
        <f t="shared" si="293"/>
        <v>350.81</v>
      </c>
      <c r="S113" s="3592"/>
      <c r="T113" s="109"/>
      <c r="U113" s="2930"/>
      <c r="V113" s="782">
        <f t="shared" si="294"/>
        <v>350.81</v>
      </c>
      <c r="W113" s="3592"/>
      <c r="X113" s="109"/>
      <c r="Y113" s="3593"/>
      <c r="Z113" s="781">
        <f t="shared" si="295"/>
        <v>0</v>
      </c>
      <c r="AA113" s="3594"/>
      <c r="AB113" s="3562">
        <f t="shared" si="296"/>
        <v>350.81</v>
      </c>
      <c r="AC113" s="3592"/>
      <c r="AD113" s="109">
        <v>128.78</v>
      </c>
      <c r="AE113" s="2930"/>
      <c r="AF113" s="782">
        <f t="shared" si="297"/>
        <v>479.59000000000003</v>
      </c>
      <c r="AG113" s="3592"/>
      <c r="AH113" s="109"/>
      <c r="AI113" s="2930"/>
      <c r="AJ113" s="373">
        <f t="shared" si="323"/>
        <v>479.59000000000003</v>
      </c>
      <c r="AK113" s="3592"/>
      <c r="AL113" s="109"/>
      <c r="AM113" s="3593"/>
      <c r="AN113" s="618">
        <f t="shared" si="324"/>
        <v>128.78</v>
      </c>
      <c r="AO113" s="2930"/>
      <c r="AP113" s="373">
        <f t="shared" si="325"/>
        <v>479.59000000000003</v>
      </c>
      <c r="AQ113" s="3592"/>
      <c r="AR113" s="109"/>
      <c r="AS113" s="2930"/>
      <c r="AT113" s="43">
        <f t="shared" si="326"/>
        <v>479.59000000000003</v>
      </c>
      <c r="AU113" s="3592"/>
      <c r="AV113" s="109"/>
      <c r="AW113" s="2930"/>
      <c r="AX113" s="43">
        <f t="shared" si="327"/>
        <v>479.59000000000003</v>
      </c>
      <c r="AY113" s="3592"/>
      <c r="AZ113" s="109"/>
      <c r="BA113" s="3593"/>
      <c r="BB113" s="618">
        <f t="shared" si="328"/>
        <v>0</v>
      </c>
      <c r="BC113" s="3594"/>
      <c r="BD113" s="3562">
        <f t="shared" si="329"/>
        <v>128.78</v>
      </c>
      <c r="BE113" s="852"/>
      <c r="BF113" s="43">
        <f t="shared" si="330"/>
        <v>479.59000000000003</v>
      </c>
      <c r="BG113" s="26"/>
      <c r="BH113" s="26"/>
      <c r="BI113" s="26"/>
      <c r="BJ113" s="26"/>
      <c r="BK113" s="26"/>
    </row>
    <row r="114" spans="1:63" ht="20.25" hidden="1" customHeight="1" thickBot="1" x14ac:dyDescent="0.35">
      <c r="A114" s="93"/>
      <c r="B114" s="3605" t="s">
        <v>1751</v>
      </c>
      <c r="C114" s="3606" t="s">
        <v>906</v>
      </c>
      <c r="D114" s="3606"/>
      <c r="E114" s="3607"/>
      <c r="F114" s="3608"/>
      <c r="G114" s="3607"/>
      <c r="H114" s="3608"/>
      <c r="I114" s="3609"/>
      <c r="J114" s="782">
        <f t="shared" si="291"/>
        <v>0</v>
      </c>
      <c r="K114" s="3607"/>
      <c r="L114" s="3608"/>
      <c r="M114" s="3610"/>
      <c r="N114" s="781">
        <f t="shared" si="292"/>
        <v>0</v>
      </c>
      <c r="O114" s="3607"/>
      <c r="P114" s="3608"/>
      <c r="Q114" s="3609"/>
      <c r="R114" s="782">
        <f t="shared" si="293"/>
        <v>0</v>
      </c>
      <c r="S114" s="3607"/>
      <c r="T114" s="3608"/>
      <c r="U114" s="3609"/>
      <c r="V114" s="782">
        <f t="shared" si="294"/>
        <v>0</v>
      </c>
      <c r="W114" s="3607"/>
      <c r="X114" s="3608"/>
      <c r="Y114" s="3610"/>
      <c r="Z114" s="781">
        <f t="shared" si="295"/>
        <v>0</v>
      </c>
      <c r="AA114" s="3612"/>
      <c r="AB114" s="3562">
        <f t="shared" si="296"/>
        <v>0</v>
      </c>
      <c r="AC114" s="3607"/>
      <c r="AD114" s="3608"/>
      <c r="AE114" s="3609"/>
      <c r="AF114" s="782">
        <f t="shared" si="297"/>
        <v>0</v>
      </c>
      <c r="AG114" s="3607"/>
      <c r="AH114" s="3608"/>
      <c r="AI114" s="3609"/>
      <c r="AJ114" s="373">
        <f t="shared" si="323"/>
        <v>0</v>
      </c>
      <c r="AK114" s="3607"/>
      <c r="AL114" s="3608"/>
      <c r="AM114" s="3610"/>
      <c r="AN114" s="618">
        <f t="shared" si="324"/>
        <v>0</v>
      </c>
      <c r="AO114" s="3609"/>
      <c r="AP114" s="373">
        <f t="shared" si="325"/>
        <v>0</v>
      </c>
      <c r="AQ114" s="3607"/>
      <c r="AR114" s="3608"/>
      <c r="AS114" s="3609"/>
      <c r="AT114" s="43">
        <f t="shared" si="326"/>
        <v>0</v>
      </c>
      <c r="AU114" s="3607"/>
      <c r="AV114" s="3608"/>
      <c r="AW114" s="3609"/>
      <c r="AX114" s="43">
        <f t="shared" si="327"/>
        <v>0</v>
      </c>
      <c r="AY114" s="3607"/>
      <c r="AZ114" s="3608"/>
      <c r="BA114" s="3610"/>
      <c r="BB114" s="618">
        <f t="shared" si="328"/>
        <v>0</v>
      </c>
      <c r="BC114" s="3612"/>
      <c r="BD114" s="3562">
        <f t="shared" si="329"/>
        <v>0</v>
      </c>
      <c r="BE114" s="852"/>
      <c r="BF114" s="43">
        <f t="shared" si="330"/>
        <v>0</v>
      </c>
      <c r="BG114" s="26"/>
      <c r="BH114" s="26"/>
      <c r="BI114" s="26"/>
      <c r="BJ114" s="26"/>
      <c r="BK114" s="26"/>
    </row>
    <row r="115" spans="1:63" ht="20.25" customHeight="1" thickBot="1" x14ac:dyDescent="0.3">
      <c r="A115" s="93"/>
      <c r="B115" s="3614" t="s">
        <v>867</v>
      </c>
      <c r="C115" s="3615" t="s">
        <v>908</v>
      </c>
      <c r="D115" s="3615"/>
      <c r="E115" s="3595"/>
      <c r="F115" s="158"/>
      <c r="G115" s="3595"/>
      <c r="H115" s="158">
        <v>831.61999999999989</v>
      </c>
      <c r="I115" s="2927"/>
      <c r="J115" s="782">
        <f t="shared" si="291"/>
        <v>831.61999999999989</v>
      </c>
      <c r="K115" s="3595"/>
      <c r="L115" s="158"/>
      <c r="M115" s="3596"/>
      <c r="N115" s="781">
        <f t="shared" si="292"/>
        <v>831.61999999999989</v>
      </c>
      <c r="O115" s="3595"/>
      <c r="P115" s="158">
        <v>590.04000000000008</v>
      </c>
      <c r="Q115" s="2927"/>
      <c r="R115" s="782">
        <f t="shared" si="293"/>
        <v>1421.6599999999999</v>
      </c>
      <c r="S115" s="3595"/>
      <c r="T115" s="158">
        <v>769.81</v>
      </c>
      <c r="U115" s="2927"/>
      <c r="V115" s="782">
        <f t="shared" si="294"/>
        <v>2191.4699999999998</v>
      </c>
      <c r="W115" s="3595"/>
      <c r="X115" s="158">
        <v>129.28</v>
      </c>
      <c r="Y115" s="3596"/>
      <c r="Z115" s="781">
        <f t="shared" si="295"/>
        <v>1489.1299999999999</v>
      </c>
      <c r="AA115" s="3597"/>
      <c r="AB115" s="3562">
        <f t="shared" si="296"/>
        <v>2320.75</v>
      </c>
      <c r="AC115" s="3595"/>
      <c r="AD115" s="158">
        <v>1162.96</v>
      </c>
      <c r="AE115" s="2927"/>
      <c r="AF115" s="782">
        <f t="shared" si="297"/>
        <v>3483.71</v>
      </c>
      <c r="AG115" s="3595"/>
      <c r="AH115" s="158"/>
      <c r="AI115" s="2927"/>
      <c r="AJ115" s="373">
        <f t="shared" si="323"/>
        <v>3483.71</v>
      </c>
      <c r="AK115" s="3595"/>
      <c r="AL115" s="158"/>
      <c r="AM115" s="3596"/>
      <c r="AN115" s="618">
        <f t="shared" si="324"/>
        <v>1162.96</v>
      </c>
      <c r="AO115" s="2927"/>
      <c r="AP115" s="373">
        <f t="shared" si="325"/>
        <v>3483.71</v>
      </c>
      <c r="AQ115" s="3595"/>
      <c r="AR115" s="158">
        <v>1101.2400000000002</v>
      </c>
      <c r="AS115" s="2927"/>
      <c r="AT115" s="43">
        <f t="shared" si="326"/>
        <v>4584.9500000000007</v>
      </c>
      <c r="AU115" s="3595"/>
      <c r="AV115" s="158"/>
      <c r="AW115" s="2927"/>
      <c r="AX115" s="43">
        <f t="shared" si="327"/>
        <v>4584.9500000000007</v>
      </c>
      <c r="AY115" s="3595"/>
      <c r="AZ115" s="158"/>
      <c r="BA115" s="3596"/>
      <c r="BB115" s="618">
        <f t="shared" si="328"/>
        <v>1101.2400000000002</v>
      </c>
      <c r="BC115" s="3597"/>
      <c r="BD115" s="3562">
        <f t="shared" si="329"/>
        <v>2264.2000000000003</v>
      </c>
      <c r="BE115" s="2927"/>
      <c r="BF115" s="43">
        <f t="shared" si="330"/>
        <v>4584.9500000000007</v>
      </c>
      <c r="BG115" s="26"/>
      <c r="BH115" s="26"/>
      <c r="BI115" s="26"/>
      <c r="BJ115" s="26"/>
      <c r="BK115" s="26"/>
    </row>
    <row r="116" spans="1:63" ht="20.25" customHeight="1" thickBot="1" x14ac:dyDescent="0.3">
      <c r="A116" s="93"/>
      <c r="B116" s="3614" t="s">
        <v>867</v>
      </c>
      <c r="C116" s="3606" t="s">
        <v>906</v>
      </c>
      <c r="D116" s="3622"/>
      <c r="E116" s="3600"/>
      <c r="F116" s="1202"/>
      <c r="G116" s="3600"/>
      <c r="H116" s="1202"/>
      <c r="I116" s="3601"/>
      <c r="J116" s="782">
        <f t="shared" si="291"/>
        <v>0</v>
      </c>
      <c r="K116" s="3600"/>
      <c r="L116" s="1202"/>
      <c r="M116" s="3602"/>
      <c r="N116" s="781">
        <f t="shared" si="292"/>
        <v>0</v>
      </c>
      <c r="O116" s="3600"/>
      <c r="P116" s="1202"/>
      <c r="Q116" s="3601"/>
      <c r="R116" s="782">
        <f t="shared" si="293"/>
        <v>0</v>
      </c>
      <c r="S116" s="3600"/>
      <c r="T116" s="1202"/>
      <c r="U116" s="3601"/>
      <c r="V116" s="782">
        <f t="shared" si="294"/>
        <v>0</v>
      </c>
      <c r="W116" s="3600"/>
      <c r="X116" s="1202">
        <v>327.44</v>
      </c>
      <c r="Y116" s="3602"/>
      <c r="Z116" s="781">
        <f t="shared" si="295"/>
        <v>327.44</v>
      </c>
      <c r="AA116" s="3603"/>
      <c r="AB116" s="3562">
        <f t="shared" si="296"/>
        <v>327.44</v>
      </c>
      <c r="AC116" s="3600"/>
      <c r="AD116" s="1202"/>
      <c r="AE116" s="3601"/>
      <c r="AF116" s="782">
        <f t="shared" si="297"/>
        <v>327.44</v>
      </c>
      <c r="AG116" s="3600"/>
      <c r="AH116" s="1202"/>
      <c r="AI116" s="3601"/>
      <c r="AJ116" s="373">
        <f t="shared" si="323"/>
        <v>327.44</v>
      </c>
      <c r="AK116" s="3600"/>
      <c r="AL116" s="1202"/>
      <c r="AM116" s="3602"/>
      <c r="AN116" s="618">
        <f t="shared" si="324"/>
        <v>0</v>
      </c>
      <c r="AO116" s="3601"/>
      <c r="AP116" s="373">
        <f t="shared" si="325"/>
        <v>327.44</v>
      </c>
      <c r="AQ116" s="3600"/>
      <c r="AR116" s="1202"/>
      <c r="AS116" s="3601"/>
      <c r="AT116" s="43">
        <f t="shared" si="326"/>
        <v>327.44</v>
      </c>
      <c r="AU116" s="3600"/>
      <c r="AV116" s="1202"/>
      <c r="AW116" s="3601"/>
      <c r="AX116" s="43">
        <f t="shared" si="327"/>
        <v>327.44</v>
      </c>
      <c r="AY116" s="3600"/>
      <c r="AZ116" s="1202"/>
      <c r="BA116" s="3602"/>
      <c r="BB116" s="618">
        <f t="shared" si="328"/>
        <v>0</v>
      </c>
      <c r="BC116" s="3603"/>
      <c r="BD116" s="3562">
        <f t="shared" si="329"/>
        <v>0</v>
      </c>
      <c r="BE116" s="2927"/>
      <c r="BF116" s="43">
        <f t="shared" si="330"/>
        <v>327.44</v>
      </c>
      <c r="BG116" s="26"/>
      <c r="BH116" s="26"/>
      <c r="BI116" s="26"/>
      <c r="BJ116" s="26"/>
      <c r="BK116" s="26"/>
    </row>
    <row r="117" spans="1:63" ht="15.75" thickBot="1" x14ac:dyDescent="0.3">
      <c r="A117" s="93"/>
      <c r="B117" s="3586" t="s">
        <v>867</v>
      </c>
      <c r="C117" s="3587" t="s">
        <v>1151</v>
      </c>
      <c r="D117" s="3616"/>
      <c r="E117" s="3575"/>
      <c r="F117" s="1201"/>
      <c r="G117" s="3575"/>
      <c r="H117" s="1201">
        <v>257.89999999999998</v>
      </c>
      <c r="I117" s="852"/>
      <c r="J117" s="782">
        <f t="shared" si="291"/>
        <v>257.89999999999998</v>
      </c>
      <c r="K117" s="3575"/>
      <c r="L117" s="1201"/>
      <c r="M117" s="902"/>
      <c r="N117" s="781">
        <f t="shared" si="292"/>
        <v>257.89999999999998</v>
      </c>
      <c r="O117" s="3575"/>
      <c r="P117" s="1201">
        <v>1125.6199999999999</v>
      </c>
      <c r="Q117" s="852"/>
      <c r="R117" s="782">
        <f t="shared" si="293"/>
        <v>1383.52</v>
      </c>
      <c r="S117" s="3575"/>
      <c r="T117" s="1201">
        <v>61.62</v>
      </c>
      <c r="U117" s="852"/>
      <c r="V117" s="782">
        <f t="shared" si="294"/>
        <v>1445.1399999999999</v>
      </c>
      <c r="W117" s="3575"/>
      <c r="X117" s="1201">
        <v>920.38</v>
      </c>
      <c r="Y117" s="902"/>
      <c r="Z117" s="781">
        <f t="shared" si="295"/>
        <v>2107.62</v>
      </c>
      <c r="AA117" s="3591"/>
      <c r="AB117" s="3562">
        <f t="shared" si="296"/>
        <v>2365.52</v>
      </c>
      <c r="AC117" s="3575"/>
      <c r="AD117" s="1201">
        <v>301.43</v>
      </c>
      <c r="AE117" s="852"/>
      <c r="AF117" s="782">
        <f t="shared" si="297"/>
        <v>2666.95</v>
      </c>
      <c r="AG117" s="3575"/>
      <c r="AH117" s="1201"/>
      <c r="AI117" s="852"/>
      <c r="AJ117" s="373">
        <f t="shared" si="323"/>
        <v>2666.95</v>
      </c>
      <c r="AK117" s="3575"/>
      <c r="AL117" s="1201"/>
      <c r="AM117" s="902"/>
      <c r="AN117" s="618">
        <f t="shared" si="324"/>
        <v>301.43</v>
      </c>
      <c r="AO117" s="852"/>
      <c r="AP117" s="373">
        <f t="shared" si="325"/>
        <v>2666.95</v>
      </c>
      <c r="AQ117" s="3575"/>
      <c r="AR117" s="1201">
        <v>382.9</v>
      </c>
      <c r="AS117" s="852"/>
      <c r="AT117" s="43">
        <f t="shared" si="326"/>
        <v>3049.85</v>
      </c>
      <c r="AU117" s="3575"/>
      <c r="AV117" s="1201"/>
      <c r="AW117" s="852"/>
      <c r="AX117" s="43">
        <f t="shared" si="327"/>
        <v>3049.85</v>
      </c>
      <c r="AY117" s="3575"/>
      <c r="AZ117" s="1201"/>
      <c r="BA117" s="902"/>
      <c r="BB117" s="618">
        <f t="shared" si="328"/>
        <v>382.9</v>
      </c>
      <c r="BC117" s="3591"/>
      <c r="BD117" s="3562">
        <f t="shared" si="329"/>
        <v>684.32999999999993</v>
      </c>
      <c r="BE117" s="2927"/>
      <c r="BF117" s="43">
        <f t="shared" si="330"/>
        <v>3049.85</v>
      </c>
      <c r="BG117" s="26"/>
      <c r="BH117" s="26"/>
      <c r="BI117" s="26"/>
      <c r="BJ117" s="26"/>
      <c r="BK117" s="26"/>
    </row>
    <row r="118" spans="1:63" ht="15.75" hidden="1" customHeight="1" thickBot="1" x14ac:dyDescent="0.35">
      <c r="A118" s="93"/>
      <c r="B118" s="3586" t="s">
        <v>867</v>
      </c>
      <c r="C118" s="3587" t="s">
        <v>884</v>
      </c>
      <c r="D118" s="3616"/>
      <c r="E118" s="3575"/>
      <c r="F118" s="1201"/>
      <c r="G118" s="3575"/>
      <c r="H118" s="1201"/>
      <c r="I118" s="852"/>
      <c r="J118" s="782">
        <f t="shared" si="291"/>
        <v>0</v>
      </c>
      <c r="K118" s="3575"/>
      <c r="L118" s="1201"/>
      <c r="M118" s="902"/>
      <c r="N118" s="781">
        <f t="shared" si="292"/>
        <v>0</v>
      </c>
      <c r="O118" s="3575"/>
      <c r="P118" s="1201"/>
      <c r="Q118" s="852"/>
      <c r="R118" s="782">
        <f t="shared" si="293"/>
        <v>0</v>
      </c>
      <c r="S118" s="3575"/>
      <c r="T118" s="1201"/>
      <c r="U118" s="852"/>
      <c r="V118" s="782">
        <f t="shared" si="294"/>
        <v>0</v>
      </c>
      <c r="W118" s="3575"/>
      <c r="X118" s="1201"/>
      <c r="Y118" s="902"/>
      <c r="Z118" s="781">
        <f t="shared" si="295"/>
        <v>0</v>
      </c>
      <c r="AA118" s="3591"/>
      <c r="AB118" s="3562">
        <f t="shared" si="296"/>
        <v>0</v>
      </c>
      <c r="AC118" s="3575"/>
      <c r="AD118" s="1201"/>
      <c r="AE118" s="852"/>
      <c r="AF118" s="782">
        <f t="shared" si="297"/>
        <v>0</v>
      </c>
      <c r="AG118" s="3575"/>
      <c r="AH118" s="1201"/>
      <c r="AI118" s="852"/>
      <c r="AJ118" s="373">
        <f t="shared" si="323"/>
        <v>0</v>
      </c>
      <c r="AK118" s="3575"/>
      <c r="AL118" s="1201"/>
      <c r="AM118" s="902"/>
      <c r="AN118" s="618">
        <f t="shared" si="324"/>
        <v>0</v>
      </c>
      <c r="AO118" s="852"/>
      <c r="AP118" s="373">
        <f t="shared" si="325"/>
        <v>0</v>
      </c>
      <c r="AQ118" s="3575"/>
      <c r="AR118" s="1201"/>
      <c r="AS118" s="852"/>
      <c r="AT118" s="43">
        <f t="shared" si="326"/>
        <v>0</v>
      </c>
      <c r="AU118" s="3575"/>
      <c r="AV118" s="1201"/>
      <c r="AW118" s="852"/>
      <c r="AX118" s="43">
        <f t="shared" si="327"/>
        <v>0</v>
      </c>
      <c r="AY118" s="3575"/>
      <c r="AZ118" s="1201"/>
      <c r="BA118" s="902"/>
      <c r="BB118" s="618">
        <f t="shared" si="328"/>
        <v>0</v>
      </c>
      <c r="BC118" s="3591"/>
      <c r="BD118" s="3562">
        <f t="shared" si="329"/>
        <v>0</v>
      </c>
      <c r="BE118" s="2927"/>
      <c r="BF118" s="43">
        <f t="shared" si="330"/>
        <v>0</v>
      </c>
      <c r="BG118" s="26"/>
      <c r="BH118" s="26"/>
      <c r="BI118" s="26"/>
      <c r="BJ118" s="26"/>
      <c r="BK118" s="26"/>
    </row>
    <row r="119" spans="1:63" ht="15.75" hidden="1" customHeight="1" thickBot="1" x14ac:dyDescent="0.35">
      <c r="A119" s="93"/>
      <c r="B119" s="3586" t="s">
        <v>867</v>
      </c>
      <c r="C119" s="3626" t="s">
        <v>1919</v>
      </c>
      <c r="D119" s="3625"/>
      <c r="E119" s="3449"/>
      <c r="F119" s="2647"/>
      <c r="G119" s="3449"/>
      <c r="H119" s="2647"/>
      <c r="I119" s="2928"/>
      <c r="J119" s="782">
        <f t="shared" si="291"/>
        <v>0</v>
      </c>
      <c r="K119" s="3449"/>
      <c r="L119" s="2647"/>
      <c r="M119" s="2896"/>
      <c r="N119" s="781">
        <f t="shared" si="292"/>
        <v>0</v>
      </c>
      <c r="O119" s="3449"/>
      <c r="P119" s="2647"/>
      <c r="Q119" s="2928"/>
      <c r="R119" s="782">
        <f t="shared" si="293"/>
        <v>0</v>
      </c>
      <c r="S119" s="3449"/>
      <c r="T119" s="2647"/>
      <c r="U119" s="2928"/>
      <c r="V119" s="782">
        <f t="shared" si="294"/>
        <v>0</v>
      </c>
      <c r="W119" s="3449"/>
      <c r="X119" s="2647"/>
      <c r="Y119" s="2896"/>
      <c r="Z119" s="781">
        <f t="shared" si="295"/>
        <v>0</v>
      </c>
      <c r="AA119" s="3628"/>
      <c r="AB119" s="3562">
        <f t="shared" si="296"/>
        <v>0</v>
      </c>
      <c r="AC119" s="3449"/>
      <c r="AD119" s="2647"/>
      <c r="AE119" s="2928"/>
      <c r="AF119" s="782">
        <f t="shared" si="297"/>
        <v>0</v>
      </c>
      <c r="AG119" s="3449"/>
      <c r="AH119" s="2647"/>
      <c r="AI119" s="2928"/>
      <c r="AJ119" s="373">
        <f t="shared" si="323"/>
        <v>0</v>
      </c>
      <c r="AK119" s="3449"/>
      <c r="AL119" s="2647"/>
      <c r="AM119" s="2896"/>
      <c r="AN119" s="618">
        <f t="shared" si="324"/>
        <v>0</v>
      </c>
      <c r="AO119" s="2928"/>
      <c r="AP119" s="373">
        <f t="shared" si="325"/>
        <v>0</v>
      </c>
      <c r="AQ119" s="3449"/>
      <c r="AR119" s="2647"/>
      <c r="AS119" s="2928"/>
      <c r="AT119" s="43">
        <f t="shared" si="326"/>
        <v>0</v>
      </c>
      <c r="AU119" s="3449"/>
      <c r="AV119" s="2647"/>
      <c r="AW119" s="2928"/>
      <c r="AX119" s="43">
        <f t="shared" si="327"/>
        <v>0</v>
      </c>
      <c r="AY119" s="3449"/>
      <c r="AZ119" s="2647"/>
      <c r="BA119" s="2896"/>
      <c r="BB119" s="618">
        <f t="shared" si="328"/>
        <v>0</v>
      </c>
      <c r="BC119" s="3628"/>
      <c r="BD119" s="3562">
        <f t="shared" si="329"/>
        <v>0</v>
      </c>
      <c r="BE119" s="2927"/>
      <c r="BF119" s="43">
        <f t="shared" si="330"/>
        <v>0</v>
      </c>
      <c r="BG119" s="26"/>
      <c r="BH119" s="26"/>
      <c r="BI119" s="26"/>
      <c r="BJ119" s="26"/>
      <c r="BK119" s="26"/>
    </row>
    <row r="120" spans="1:63" ht="20.25" customHeight="1" thickBot="1" x14ac:dyDescent="0.3">
      <c r="A120" s="93"/>
      <c r="B120" s="3617" t="s">
        <v>867</v>
      </c>
      <c r="C120" s="3616" t="s">
        <v>951</v>
      </c>
      <c r="D120" s="3616"/>
      <c r="E120" s="3575"/>
      <c r="F120" s="1201">
        <v>371.02</v>
      </c>
      <c r="G120" s="3575"/>
      <c r="H120" s="1201">
        <v>246.92000000000002</v>
      </c>
      <c r="I120" s="852"/>
      <c r="J120" s="782">
        <f t="shared" si="291"/>
        <v>617.94000000000005</v>
      </c>
      <c r="K120" s="3575"/>
      <c r="L120" s="1201"/>
      <c r="M120" s="902"/>
      <c r="N120" s="781">
        <f t="shared" si="292"/>
        <v>617.94000000000005</v>
      </c>
      <c r="O120" s="3575"/>
      <c r="P120" s="1201"/>
      <c r="Q120" s="852"/>
      <c r="R120" s="782">
        <f t="shared" si="293"/>
        <v>617.94000000000005</v>
      </c>
      <c r="S120" s="3575"/>
      <c r="T120" s="1201"/>
      <c r="U120" s="852"/>
      <c r="V120" s="782">
        <f t="shared" si="294"/>
        <v>617.94000000000005</v>
      </c>
      <c r="W120" s="3575"/>
      <c r="X120" s="1201"/>
      <c r="Y120" s="902"/>
      <c r="Z120" s="781">
        <f t="shared" si="295"/>
        <v>0</v>
      </c>
      <c r="AA120" s="3591"/>
      <c r="AB120" s="3562">
        <f t="shared" si="296"/>
        <v>617.94000000000005</v>
      </c>
      <c r="AC120" s="3575"/>
      <c r="AD120" s="1201"/>
      <c r="AE120" s="852"/>
      <c r="AF120" s="782">
        <f t="shared" si="297"/>
        <v>617.94000000000005</v>
      </c>
      <c r="AG120" s="3575"/>
      <c r="AH120" s="1201">
        <v>371.79999999999995</v>
      </c>
      <c r="AI120" s="852"/>
      <c r="AJ120" s="373">
        <f t="shared" si="323"/>
        <v>989.74</v>
      </c>
      <c r="AK120" s="3575"/>
      <c r="AL120" s="1201"/>
      <c r="AM120" s="902"/>
      <c r="AN120" s="618">
        <f t="shared" si="324"/>
        <v>371.79999999999995</v>
      </c>
      <c r="AO120" s="852"/>
      <c r="AP120" s="373">
        <f t="shared" si="325"/>
        <v>989.74</v>
      </c>
      <c r="AQ120" s="3575"/>
      <c r="AR120" s="1201"/>
      <c r="AS120" s="852"/>
      <c r="AT120" s="43">
        <f t="shared" si="326"/>
        <v>989.74</v>
      </c>
      <c r="AU120" s="3575"/>
      <c r="AV120" s="1201"/>
      <c r="AW120" s="852"/>
      <c r="AX120" s="43">
        <f t="shared" si="327"/>
        <v>989.74</v>
      </c>
      <c r="AY120" s="3575"/>
      <c r="AZ120" s="1201"/>
      <c r="BA120" s="902"/>
      <c r="BB120" s="618">
        <f t="shared" si="328"/>
        <v>0</v>
      </c>
      <c r="BC120" s="3591"/>
      <c r="BD120" s="3562">
        <f t="shared" si="329"/>
        <v>371.79999999999995</v>
      </c>
      <c r="BE120" s="852"/>
      <c r="BF120" s="43">
        <f t="shared" si="330"/>
        <v>989.74</v>
      </c>
      <c r="BG120" s="26"/>
      <c r="BH120" s="26"/>
      <c r="BI120" s="26"/>
      <c r="BJ120" s="26"/>
      <c r="BK120" s="26"/>
    </row>
    <row r="121" spans="1:63" ht="15.75" hidden="1" customHeight="1" thickBot="1" x14ac:dyDescent="0.35">
      <c r="A121" s="93"/>
      <c r="B121" s="3617" t="s">
        <v>867</v>
      </c>
      <c r="C121" s="3616" t="s">
        <v>1465</v>
      </c>
      <c r="D121" s="3616"/>
      <c r="E121" s="3575"/>
      <c r="F121" s="1201"/>
      <c r="G121" s="3575"/>
      <c r="H121" s="1201"/>
      <c r="I121" s="852"/>
      <c r="J121" s="782">
        <f t="shared" si="291"/>
        <v>0</v>
      </c>
      <c r="K121" s="3575"/>
      <c r="L121" s="1201"/>
      <c r="M121" s="902"/>
      <c r="N121" s="781">
        <f t="shared" si="292"/>
        <v>0</v>
      </c>
      <c r="O121" s="3575"/>
      <c r="P121" s="1201"/>
      <c r="Q121" s="852"/>
      <c r="R121" s="782">
        <f t="shared" si="293"/>
        <v>0</v>
      </c>
      <c r="S121" s="3575"/>
      <c r="T121" s="1201"/>
      <c r="U121" s="852"/>
      <c r="V121" s="782">
        <f t="shared" si="294"/>
        <v>0</v>
      </c>
      <c r="W121" s="3575"/>
      <c r="X121" s="1201"/>
      <c r="Y121" s="902"/>
      <c r="Z121" s="781">
        <f t="shared" si="295"/>
        <v>0</v>
      </c>
      <c r="AA121" s="3591"/>
      <c r="AB121" s="3562">
        <f t="shared" si="296"/>
        <v>0</v>
      </c>
      <c r="AC121" s="3575"/>
      <c r="AD121" s="1201"/>
      <c r="AE121" s="852"/>
      <c r="AF121" s="782">
        <f t="shared" si="297"/>
        <v>0</v>
      </c>
      <c r="AG121" s="3575"/>
      <c r="AH121" s="1201"/>
      <c r="AI121" s="852"/>
      <c r="AJ121" s="373">
        <f t="shared" si="323"/>
        <v>0</v>
      </c>
      <c r="AK121" s="3575"/>
      <c r="AL121" s="1201"/>
      <c r="AM121" s="902"/>
      <c r="AN121" s="618">
        <f t="shared" si="324"/>
        <v>0</v>
      </c>
      <c r="AO121" s="852"/>
      <c r="AP121" s="373">
        <f t="shared" si="325"/>
        <v>0</v>
      </c>
      <c r="AQ121" s="3575"/>
      <c r="AR121" s="1201"/>
      <c r="AS121" s="852"/>
      <c r="AT121" s="43">
        <f t="shared" si="326"/>
        <v>0</v>
      </c>
      <c r="AU121" s="3575"/>
      <c r="AV121" s="1201"/>
      <c r="AW121" s="852"/>
      <c r="AX121" s="43">
        <f t="shared" si="327"/>
        <v>0</v>
      </c>
      <c r="AY121" s="3575"/>
      <c r="AZ121" s="1201"/>
      <c r="BA121" s="902"/>
      <c r="BB121" s="618">
        <f t="shared" si="328"/>
        <v>0</v>
      </c>
      <c r="BC121" s="3591"/>
      <c r="BD121" s="3562">
        <f t="shared" si="329"/>
        <v>0</v>
      </c>
      <c r="BE121" s="852"/>
      <c r="BF121" s="43">
        <f t="shared" si="330"/>
        <v>0</v>
      </c>
      <c r="BG121" s="26"/>
      <c r="BH121" s="26"/>
      <c r="BI121" s="26"/>
      <c r="BJ121" s="26"/>
      <c r="BK121" s="26"/>
    </row>
    <row r="122" spans="1:63" ht="15.75" hidden="1" customHeight="1" thickBot="1" x14ac:dyDescent="0.35">
      <c r="A122" s="93"/>
      <c r="B122" s="3617" t="s">
        <v>867</v>
      </c>
      <c r="C122" s="3615" t="s">
        <v>879</v>
      </c>
      <c r="D122" s="4077"/>
      <c r="E122" s="4078"/>
      <c r="F122" s="1215"/>
      <c r="G122" s="4078"/>
      <c r="H122" s="1215"/>
      <c r="I122" s="4079"/>
      <c r="J122" s="782">
        <f t="shared" si="291"/>
        <v>0</v>
      </c>
      <c r="K122" s="4078"/>
      <c r="L122" s="1215"/>
      <c r="M122" s="4080"/>
      <c r="N122" s="781">
        <f t="shared" si="292"/>
        <v>0</v>
      </c>
      <c r="O122" s="4078"/>
      <c r="P122" s="1215"/>
      <c r="Q122" s="4079"/>
      <c r="R122" s="782">
        <f t="shared" si="293"/>
        <v>0</v>
      </c>
      <c r="S122" s="4078"/>
      <c r="T122" s="1215"/>
      <c r="U122" s="4079"/>
      <c r="V122" s="782">
        <f t="shared" si="294"/>
        <v>0</v>
      </c>
      <c r="W122" s="4078"/>
      <c r="X122" s="1215"/>
      <c r="Y122" s="4080"/>
      <c r="Z122" s="781">
        <f t="shared" si="295"/>
        <v>0</v>
      </c>
      <c r="AA122" s="4081"/>
      <c r="AB122" s="3562">
        <f t="shared" si="296"/>
        <v>0</v>
      </c>
      <c r="AC122" s="4078"/>
      <c r="AD122" s="1215"/>
      <c r="AE122" s="4079"/>
      <c r="AF122" s="782">
        <f t="shared" si="297"/>
        <v>0</v>
      </c>
      <c r="AG122" s="4078"/>
      <c r="AH122" s="1215"/>
      <c r="AI122" s="4079"/>
      <c r="AJ122" s="373">
        <f t="shared" si="323"/>
        <v>0</v>
      </c>
      <c r="AK122" s="4078"/>
      <c r="AL122" s="1215"/>
      <c r="AM122" s="4080"/>
      <c r="AN122" s="618">
        <f t="shared" si="324"/>
        <v>0</v>
      </c>
      <c r="AO122" s="4079"/>
      <c r="AP122" s="373">
        <f t="shared" si="325"/>
        <v>0</v>
      </c>
      <c r="AQ122" s="4078"/>
      <c r="AR122" s="1215"/>
      <c r="AS122" s="4079"/>
      <c r="AT122" s="43">
        <f t="shared" si="326"/>
        <v>0</v>
      </c>
      <c r="AU122" s="4078"/>
      <c r="AV122" s="1215"/>
      <c r="AW122" s="4079"/>
      <c r="AX122" s="43">
        <f t="shared" si="327"/>
        <v>0</v>
      </c>
      <c r="AY122" s="4078"/>
      <c r="AZ122" s="1215"/>
      <c r="BA122" s="4080"/>
      <c r="BB122" s="618">
        <f t="shared" si="328"/>
        <v>0</v>
      </c>
      <c r="BC122" s="4081"/>
      <c r="BD122" s="3562">
        <f t="shared" si="329"/>
        <v>0</v>
      </c>
      <c r="BE122" s="852"/>
      <c r="BF122" s="43">
        <f t="shared" si="330"/>
        <v>0</v>
      </c>
      <c r="BG122" s="26"/>
      <c r="BH122" s="26"/>
      <c r="BI122" s="26"/>
      <c r="BJ122" s="26"/>
      <c r="BK122" s="26"/>
    </row>
    <row r="123" spans="1:63" ht="15.75" thickBot="1" x14ac:dyDescent="0.3">
      <c r="A123" s="93"/>
      <c r="B123" s="3618" t="s">
        <v>867</v>
      </c>
      <c r="C123" s="3619" t="s">
        <v>1529</v>
      </c>
      <c r="D123" s="3619"/>
      <c r="E123" s="3592"/>
      <c r="F123" s="109"/>
      <c r="G123" s="3592"/>
      <c r="H123" s="109">
        <v>189.62</v>
      </c>
      <c r="I123" s="2930"/>
      <c r="J123" s="782">
        <f t="shared" si="291"/>
        <v>189.62</v>
      </c>
      <c r="K123" s="3592"/>
      <c r="L123" s="109"/>
      <c r="M123" s="3593"/>
      <c r="N123" s="781">
        <f t="shared" si="292"/>
        <v>189.62</v>
      </c>
      <c r="O123" s="3592"/>
      <c r="P123" s="109"/>
      <c r="Q123" s="2930"/>
      <c r="R123" s="782">
        <f t="shared" si="293"/>
        <v>189.62</v>
      </c>
      <c r="S123" s="3592"/>
      <c r="T123" s="109"/>
      <c r="U123" s="2930"/>
      <c r="V123" s="782">
        <f t="shared" si="294"/>
        <v>189.62</v>
      </c>
      <c r="W123" s="3592"/>
      <c r="X123" s="109"/>
      <c r="Y123" s="3593"/>
      <c r="Z123" s="781">
        <f t="shared" si="295"/>
        <v>0</v>
      </c>
      <c r="AA123" s="3594"/>
      <c r="AB123" s="3562">
        <f t="shared" si="296"/>
        <v>189.62</v>
      </c>
      <c r="AC123" s="3592"/>
      <c r="AD123" s="109">
        <v>433.38</v>
      </c>
      <c r="AE123" s="2930"/>
      <c r="AF123" s="782">
        <f t="shared" si="297"/>
        <v>623</v>
      </c>
      <c r="AG123" s="3592"/>
      <c r="AH123" s="109"/>
      <c r="AI123" s="2930"/>
      <c r="AJ123" s="373">
        <f t="shared" si="323"/>
        <v>623</v>
      </c>
      <c r="AK123" s="3592"/>
      <c r="AL123" s="109"/>
      <c r="AM123" s="3593"/>
      <c r="AN123" s="618">
        <f t="shared" si="324"/>
        <v>433.38</v>
      </c>
      <c r="AO123" s="2930"/>
      <c r="AP123" s="373">
        <f t="shared" si="325"/>
        <v>623</v>
      </c>
      <c r="AQ123" s="3592"/>
      <c r="AR123" s="109">
        <v>63.1</v>
      </c>
      <c r="AS123" s="2930"/>
      <c r="AT123" s="43">
        <f t="shared" si="326"/>
        <v>686.1</v>
      </c>
      <c r="AU123" s="3592"/>
      <c r="AV123" s="109"/>
      <c r="AW123" s="2930"/>
      <c r="AX123" s="43">
        <f t="shared" si="327"/>
        <v>686.1</v>
      </c>
      <c r="AY123" s="3592"/>
      <c r="AZ123" s="109"/>
      <c r="BA123" s="3593"/>
      <c r="BB123" s="618">
        <f t="shared" si="328"/>
        <v>63.1</v>
      </c>
      <c r="BC123" s="3594"/>
      <c r="BD123" s="3562">
        <f t="shared" si="329"/>
        <v>496.48</v>
      </c>
      <c r="BE123" s="852"/>
      <c r="BF123" s="43">
        <f t="shared" si="330"/>
        <v>686.1</v>
      </c>
      <c r="BG123" s="26"/>
      <c r="BH123" s="26"/>
      <c r="BI123" s="26"/>
      <c r="BJ123" s="26"/>
      <c r="BK123" s="26"/>
    </row>
    <row r="124" spans="1:63" ht="15.75" customHeight="1" thickBot="1" x14ac:dyDescent="0.3">
      <c r="A124" s="93"/>
      <c r="B124" s="3617" t="s">
        <v>1961</v>
      </c>
      <c r="C124" s="3616" t="s">
        <v>1976</v>
      </c>
      <c r="D124" s="3670"/>
      <c r="E124" s="3607"/>
      <c r="F124" s="3608"/>
      <c r="G124" s="3607"/>
      <c r="H124" s="3608"/>
      <c r="I124" s="3609"/>
      <c r="J124" s="782">
        <f t="shared" si="291"/>
        <v>0</v>
      </c>
      <c r="K124" s="3607"/>
      <c r="L124" s="3608"/>
      <c r="M124" s="3610"/>
      <c r="N124" s="781">
        <f t="shared" si="292"/>
        <v>0</v>
      </c>
      <c r="O124" s="3607"/>
      <c r="P124" s="3608"/>
      <c r="Q124" s="3609"/>
      <c r="R124" s="782">
        <f t="shared" si="293"/>
        <v>0</v>
      </c>
      <c r="S124" s="3607"/>
      <c r="T124" s="3608"/>
      <c r="U124" s="3609"/>
      <c r="V124" s="782">
        <f t="shared" si="294"/>
        <v>0</v>
      </c>
      <c r="W124" s="3607"/>
      <c r="X124" s="3608"/>
      <c r="Y124" s="3610"/>
      <c r="Z124" s="781">
        <f t="shared" si="295"/>
        <v>0</v>
      </c>
      <c r="AA124" s="3612"/>
      <c r="AB124" s="3562">
        <f t="shared" si="296"/>
        <v>0</v>
      </c>
      <c r="AC124" s="3607"/>
      <c r="AD124" s="3608"/>
      <c r="AE124" s="3609"/>
      <c r="AF124" s="782">
        <f t="shared" si="297"/>
        <v>0</v>
      </c>
      <c r="AG124" s="3607"/>
      <c r="AH124" s="3608">
        <v>119.82</v>
      </c>
      <c r="AI124" s="3609"/>
      <c r="AJ124" s="373">
        <f t="shared" si="323"/>
        <v>119.82</v>
      </c>
      <c r="AK124" s="3607"/>
      <c r="AL124" s="3608"/>
      <c r="AM124" s="3610"/>
      <c r="AN124" s="618">
        <f t="shared" si="324"/>
        <v>119.82</v>
      </c>
      <c r="AO124" s="3609"/>
      <c r="AP124" s="373">
        <f t="shared" si="325"/>
        <v>119.82</v>
      </c>
      <c r="AQ124" s="3607"/>
      <c r="AR124" s="3608"/>
      <c r="AS124" s="3609"/>
      <c r="AT124" s="43">
        <f t="shared" si="326"/>
        <v>119.82</v>
      </c>
      <c r="AU124" s="3607"/>
      <c r="AV124" s="3608">
        <v>394.28</v>
      </c>
      <c r="AW124" s="3609"/>
      <c r="AX124" s="43">
        <f t="shared" si="327"/>
        <v>514.09999999999991</v>
      </c>
      <c r="AY124" s="3607"/>
      <c r="AZ124" s="3608"/>
      <c r="BA124" s="3610"/>
      <c r="BB124" s="618">
        <f t="shared" si="328"/>
        <v>394.28</v>
      </c>
      <c r="BC124" s="3612"/>
      <c r="BD124" s="3562">
        <f t="shared" si="329"/>
        <v>514.09999999999991</v>
      </c>
      <c r="BE124" s="852"/>
      <c r="BF124" s="43">
        <f t="shared" si="330"/>
        <v>514.09999999999991</v>
      </c>
      <c r="BG124" s="26"/>
      <c r="BH124" s="26"/>
      <c r="BI124" s="26"/>
      <c r="BJ124" s="26"/>
      <c r="BK124" s="26"/>
    </row>
    <row r="125" spans="1:63" ht="15.75" customHeight="1" thickBot="1" x14ac:dyDescent="0.3">
      <c r="A125" s="93"/>
      <c r="B125" s="3617" t="s">
        <v>1961</v>
      </c>
      <c r="C125" s="3615" t="s">
        <v>1977</v>
      </c>
      <c r="D125" s="3670"/>
      <c r="E125" s="3607"/>
      <c r="F125" s="3608"/>
      <c r="G125" s="3607"/>
      <c r="H125" s="3608">
        <v>477.29</v>
      </c>
      <c r="I125" s="3609"/>
      <c r="J125" s="782">
        <f t="shared" si="291"/>
        <v>477.29</v>
      </c>
      <c r="K125" s="3607"/>
      <c r="L125" s="3608">
        <v>165.88</v>
      </c>
      <c r="M125" s="3610"/>
      <c r="N125" s="781">
        <f t="shared" si="292"/>
        <v>643.17000000000007</v>
      </c>
      <c r="O125" s="3607"/>
      <c r="P125" s="3608"/>
      <c r="Q125" s="3609"/>
      <c r="R125" s="782">
        <f t="shared" si="293"/>
        <v>643.17000000000007</v>
      </c>
      <c r="S125" s="3607"/>
      <c r="T125" s="3608">
        <v>475.31</v>
      </c>
      <c r="U125" s="3609"/>
      <c r="V125" s="782">
        <f t="shared" si="294"/>
        <v>1118.48</v>
      </c>
      <c r="W125" s="3607"/>
      <c r="X125" s="3608">
        <v>158.9</v>
      </c>
      <c r="Y125" s="3610"/>
      <c r="Z125" s="781">
        <f t="shared" si="295"/>
        <v>634.21</v>
      </c>
      <c r="AA125" s="3612"/>
      <c r="AB125" s="3562">
        <f t="shared" si="296"/>
        <v>1277.3800000000001</v>
      </c>
      <c r="AC125" s="3607"/>
      <c r="AD125" s="3608"/>
      <c r="AE125" s="3609"/>
      <c r="AF125" s="782">
        <f t="shared" si="297"/>
        <v>1277.3800000000001</v>
      </c>
      <c r="AG125" s="3607"/>
      <c r="AH125" s="3608">
        <v>40.25</v>
      </c>
      <c r="AI125" s="3609"/>
      <c r="AJ125" s="373">
        <f t="shared" si="323"/>
        <v>1317.63</v>
      </c>
      <c r="AK125" s="3607"/>
      <c r="AL125" s="3608"/>
      <c r="AM125" s="3610"/>
      <c r="AN125" s="618">
        <f t="shared" si="324"/>
        <v>40.25</v>
      </c>
      <c r="AO125" s="3609"/>
      <c r="AP125" s="373">
        <f t="shared" si="325"/>
        <v>1317.63</v>
      </c>
      <c r="AQ125" s="3607"/>
      <c r="AR125" s="3608"/>
      <c r="AS125" s="3609"/>
      <c r="AT125" s="43">
        <f t="shared" si="326"/>
        <v>1317.63</v>
      </c>
      <c r="AU125" s="3607"/>
      <c r="AV125" s="3608"/>
      <c r="AW125" s="3609"/>
      <c r="AX125" s="43">
        <f t="shared" si="327"/>
        <v>1317.63</v>
      </c>
      <c r="AY125" s="3607"/>
      <c r="AZ125" s="3608">
        <v>391.16</v>
      </c>
      <c r="BA125" s="3610"/>
      <c r="BB125" s="618">
        <f t="shared" si="328"/>
        <v>391.16</v>
      </c>
      <c r="BC125" s="3612"/>
      <c r="BD125" s="3562">
        <f t="shared" si="329"/>
        <v>431.41</v>
      </c>
      <c r="BE125" s="852"/>
      <c r="BF125" s="43">
        <f t="shared" si="330"/>
        <v>1708.7900000000002</v>
      </c>
      <c r="BG125" s="26"/>
      <c r="BH125" s="26"/>
      <c r="BI125" s="26"/>
      <c r="BJ125" s="26"/>
      <c r="BK125" s="26"/>
    </row>
    <row r="126" spans="1:63" ht="15.75" customHeight="1" thickBot="1" x14ac:dyDescent="0.3">
      <c r="A126" s="93"/>
      <c r="B126" s="5301" t="s">
        <v>1961</v>
      </c>
      <c r="C126" s="3615" t="s">
        <v>1151</v>
      </c>
      <c r="D126" s="3670"/>
      <c r="E126" s="3607"/>
      <c r="F126" s="3608">
        <v>62.7</v>
      </c>
      <c r="G126" s="3607"/>
      <c r="H126" s="3608"/>
      <c r="I126" s="3609"/>
      <c r="J126" s="782">
        <f t="shared" si="291"/>
        <v>62.7</v>
      </c>
      <c r="K126" s="3607"/>
      <c r="L126" s="3608"/>
      <c r="M126" s="3610"/>
      <c r="N126" s="781">
        <f t="shared" si="292"/>
        <v>62.7</v>
      </c>
      <c r="O126" s="3607"/>
      <c r="P126" s="3608"/>
      <c r="Q126" s="3609"/>
      <c r="R126" s="782">
        <f t="shared" si="293"/>
        <v>62.7</v>
      </c>
      <c r="S126" s="3607"/>
      <c r="T126" s="3608">
        <v>1140.6199999999999</v>
      </c>
      <c r="U126" s="3609"/>
      <c r="V126" s="782">
        <f t="shared" si="294"/>
        <v>1203.32</v>
      </c>
      <c r="W126" s="3607"/>
      <c r="X126" s="3608"/>
      <c r="Y126" s="3610"/>
      <c r="Z126" s="781">
        <f t="shared" si="295"/>
        <v>1140.6199999999999</v>
      </c>
      <c r="AA126" s="3612"/>
      <c r="AB126" s="3562">
        <f t="shared" si="296"/>
        <v>1203.32</v>
      </c>
      <c r="AC126" s="3607"/>
      <c r="AD126" s="3608"/>
      <c r="AE126" s="3609"/>
      <c r="AF126" s="782">
        <f t="shared" si="297"/>
        <v>1203.32</v>
      </c>
      <c r="AG126" s="3607"/>
      <c r="AH126" s="3608"/>
      <c r="AI126" s="3609"/>
      <c r="AJ126" s="373"/>
      <c r="AK126" s="3607"/>
      <c r="AL126" s="3608"/>
      <c r="AM126" s="3610"/>
      <c r="AN126" s="618"/>
      <c r="AO126" s="3609"/>
      <c r="AP126" s="373"/>
      <c r="AQ126" s="3607"/>
      <c r="AR126" s="3608"/>
      <c r="AS126" s="3609"/>
      <c r="AT126" s="43"/>
      <c r="AU126" s="3607"/>
      <c r="AV126" s="3608"/>
      <c r="AW126" s="3609"/>
      <c r="AX126" s="43"/>
      <c r="AY126" s="3607"/>
      <c r="AZ126" s="3608"/>
      <c r="BA126" s="3610"/>
      <c r="BB126" s="618"/>
      <c r="BC126" s="3612"/>
      <c r="BD126" s="5302"/>
      <c r="BE126" s="5110"/>
      <c r="BF126" s="43"/>
      <c r="BG126" s="26"/>
      <c r="BH126" s="26"/>
      <c r="BI126" s="26"/>
      <c r="BJ126" s="26"/>
      <c r="BK126" s="26"/>
    </row>
    <row r="127" spans="1:63" ht="15.75" customHeight="1" thickBot="1" x14ac:dyDescent="0.3">
      <c r="A127" s="93"/>
      <c r="B127" s="3617" t="s">
        <v>868</v>
      </c>
      <c r="C127" s="3615" t="s">
        <v>879</v>
      </c>
      <c r="D127" s="3615"/>
      <c r="E127" s="3595"/>
      <c r="F127" s="158"/>
      <c r="G127" s="3595"/>
      <c r="H127" s="158"/>
      <c r="I127" s="2927"/>
      <c r="J127" s="782">
        <f t="shared" si="291"/>
        <v>0</v>
      </c>
      <c r="K127" s="3595"/>
      <c r="L127" s="158"/>
      <c r="M127" s="3596"/>
      <c r="N127" s="781">
        <f t="shared" si="292"/>
        <v>0</v>
      </c>
      <c r="O127" s="3595"/>
      <c r="P127" s="158"/>
      <c r="Q127" s="2927"/>
      <c r="R127" s="782">
        <f t="shared" si="293"/>
        <v>0</v>
      </c>
      <c r="S127" s="3595"/>
      <c r="T127" s="158"/>
      <c r="U127" s="2927"/>
      <c r="V127" s="782">
        <f t="shared" si="294"/>
        <v>0</v>
      </c>
      <c r="W127" s="3595"/>
      <c r="X127" s="158"/>
      <c r="Y127" s="3596"/>
      <c r="Z127" s="781">
        <f t="shared" si="295"/>
        <v>0</v>
      </c>
      <c r="AA127" s="3597"/>
      <c r="AB127" s="3562">
        <f t="shared" si="296"/>
        <v>0</v>
      </c>
      <c r="AC127" s="3595"/>
      <c r="AD127" s="158"/>
      <c r="AE127" s="2927"/>
      <c r="AF127" s="782">
        <f t="shared" si="297"/>
        <v>0</v>
      </c>
      <c r="AG127" s="3595"/>
      <c r="AH127" s="158"/>
      <c r="AI127" s="2927"/>
      <c r="AJ127" s="373">
        <f t="shared" si="323"/>
        <v>0</v>
      </c>
      <c r="AK127" s="3595"/>
      <c r="AL127" s="158"/>
      <c r="AM127" s="3596"/>
      <c r="AN127" s="618">
        <f t="shared" si="324"/>
        <v>0</v>
      </c>
      <c r="AO127" s="2927"/>
      <c r="AP127" s="373">
        <f t="shared" si="325"/>
        <v>0</v>
      </c>
      <c r="AQ127" s="3595"/>
      <c r="AR127" s="158"/>
      <c r="AS127" s="2927"/>
      <c r="AT127" s="43">
        <f t="shared" si="326"/>
        <v>0</v>
      </c>
      <c r="AU127" s="3595"/>
      <c r="AV127" s="158"/>
      <c r="AW127" s="2927"/>
      <c r="AX127" s="43">
        <f t="shared" si="327"/>
        <v>0</v>
      </c>
      <c r="AY127" s="3595"/>
      <c r="AZ127" s="158"/>
      <c r="BA127" s="3596"/>
      <c r="BB127" s="618">
        <f t="shared" si="328"/>
        <v>0</v>
      </c>
      <c r="BC127" s="3597"/>
      <c r="BD127" s="3562">
        <f t="shared" si="329"/>
        <v>0</v>
      </c>
      <c r="BE127" s="852"/>
      <c r="BF127" s="43">
        <f t="shared" si="330"/>
        <v>0</v>
      </c>
      <c r="BG127" s="26"/>
      <c r="BH127" s="26"/>
      <c r="BI127" s="26"/>
      <c r="BJ127" s="26"/>
      <c r="BK127" s="26"/>
    </row>
    <row r="128" spans="1:63" ht="15.75" customHeight="1" thickBot="1" x14ac:dyDescent="0.3">
      <c r="A128" s="93"/>
      <c r="B128" s="3623" t="s">
        <v>868</v>
      </c>
      <c r="C128" s="3622" t="s">
        <v>1944</v>
      </c>
      <c r="D128" s="3622"/>
      <c r="E128" s="3600"/>
      <c r="F128" s="1202">
        <v>514.07999999999993</v>
      </c>
      <c r="G128" s="3600"/>
      <c r="H128" s="1202"/>
      <c r="I128" s="3601"/>
      <c r="J128" s="782">
        <f t="shared" si="291"/>
        <v>514.07999999999993</v>
      </c>
      <c r="K128" s="3600"/>
      <c r="L128" s="1202"/>
      <c r="M128" s="3602"/>
      <c r="N128" s="781">
        <f t="shared" si="292"/>
        <v>514.07999999999993</v>
      </c>
      <c r="O128" s="3600"/>
      <c r="P128" s="1202"/>
      <c r="Q128" s="3601"/>
      <c r="R128" s="782">
        <f t="shared" si="293"/>
        <v>514.07999999999993</v>
      </c>
      <c r="S128" s="3600"/>
      <c r="T128" s="1202"/>
      <c r="U128" s="3601"/>
      <c r="V128" s="782">
        <f t="shared" si="294"/>
        <v>514.07999999999993</v>
      </c>
      <c r="W128" s="3600"/>
      <c r="X128" s="1202"/>
      <c r="Y128" s="3602"/>
      <c r="Z128" s="781">
        <f t="shared" si="295"/>
        <v>0</v>
      </c>
      <c r="AA128" s="3603"/>
      <c r="AB128" s="3562">
        <f t="shared" si="296"/>
        <v>514.07999999999993</v>
      </c>
      <c r="AC128" s="3600"/>
      <c r="AD128" s="1202"/>
      <c r="AE128" s="3601"/>
      <c r="AF128" s="782">
        <f t="shared" si="297"/>
        <v>514.07999999999993</v>
      </c>
      <c r="AG128" s="3600"/>
      <c r="AH128" s="1202"/>
      <c r="AI128" s="3601"/>
      <c r="AJ128" s="373">
        <f t="shared" si="323"/>
        <v>514.07999999999993</v>
      </c>
      <c r="AK128" s="3600"/>
      <c r="AL128" s="1202"/>
      <c r="AM128" s="3602"/>
      <c r="AN128" s="618">
        <f t="shared" si="324"/>
        <v>0</v>
      </c>
      <c r="AO128" s="3601"/>
      <c r="AP128" s="373">
        <f t="shared" si="325"/>
        <v>514.07999999999993</v>
      </c>
      <c r="AQ128" s="3600"/>
      <c r="AR128" s="1202"/>
      <c r="AS128" s="3601"/>
      <c r="AT128" s="43">
        <f t="shared" si="326"/>
        <v>514.07999999999993</v>
      </c>
      <c r="AU128" s="3600"/>
      <c r="AV128" s="1202">
        <v>519.08000000000004</v>
      </c>
      <c r="AW128" s="3601"/>
      <c r="AX128" s="43">
        <f t="shared" si="327"/>
        <v>1033.1599999999999</v>
      </c>
      <c r="AY128" s="3600"/>
      <c r="AZ128" s="1202">
        <v>121.88</v>
      </c>
      <c r="BA128" s="3602"/>
      <c r="BB128" s="618">
        <f t="shared" si="328"/>
        <v>640.96</v>
      </c>
      <c r="BC128" s="3603"/>
      <c r="BD128" s="3562">
        <f t="shared" si="329"/>
        <v>640.96</v>
      </c>
      <c r="BE128" s="852"/>
      <c r="BF128" s="43">
        <f t="shared" si="330"/>
        <v>1155.04</v>
      </c>
      <c r="BG128" s="26"/>
      <c r="BH128" s="26"/>
      <c r="BI128" s="26"/>
      <c r="BJ128" s="26"/>
      <c r="BK128" s="26"/>
    </row>
    <row r="129" spans="1:63" ht="15.75" customHeight="1" thickBot="1" x14ac:dyDescent="0.3">
      <c r="A129" s="93"/>
      <c r="B129" s="3621" t="s">
        <v>868</v>
      </c>
      <c r="C129" s="3625" t="s">
        <v>1156</v>
      </c>
      <c r="D129" s="3622"/>
      <c r="E129" s="3600"/>
      <c r="F129" s="1202"/>
      <c r="G129" s="3600"/>
      <c r="H129" s="1202"/>
      <c r="I129" s="3601"/>
      <c r="J129" s="782">
        <f t="shared" si="291"/>
        <v>0</v>
      </c>
      <c r="K129" s="3600"/>
      <c r="L129" s="1202"/>
      <c r="M129" s="3602"/>
      <c r="N129" s="781">
        <f t="shared" si="292"/>
        <v>0</v>
      </c>
      <c r="O129" s="3600"/>
      <c r="P129" s="1202"/>
      <c r="Q129" s="3601"/>
      <c r="R129" s="782">
        <f t="shared" si="293"/>
        <v>0</v>
      </c>
      <c r="S129" s="3600"/>
      <c r="T129" s="1202"/>
      <c r="U129" s="3601"/>
      <c r="V129" s="782">
        <f t="shared" si="294"/>
        <v>0</v>
      </c>
      <c r="W129" s="3600"/>
      <c r="X129" s="1202"/>
      <c r="Y129" s="3602"/>
      <c r="Z129" s="781">
        <f t="shared" si="295"/>
        <v>0</v>
      </c>
      <c r="AA129" s="3603"/>
      <c r="AB129" s="3562">
        <f t="shared" si="296"/>
        <v>0</v>
      </c>
      <c r="AC129" s="3600"/>
      <c r="AD129" s="1202"/>
      <c r="AE129" s="3601"/>
      <c r="AF129" s="782">
        <f t="shared" si="297"/>
        <v>0</v>
      </c>
      <c r="AG129" s="3600"/>
      <c r="AH129" s="1202"/>
      <c r="AI129" s="3601"/>
      <c r="AJ129" s="373">
        <f t="shared" si="323"/>
        <v>0</v>
      </c>
      <c r="AK129" s="3600"/>
      <c r="AL129" s="1202"/>
      <c r="AM129" s="3602"/>
      <c r="AN129" s="618">
        <f t="shared" si="324"/>
        <v>0</v>
      </c>
      <c r="AO129" s="3601"/>
      <c r="AP129" s="373">
        <f t="shared" si="325"/>
        <v>0</v>
      </c>
      <c r="AQ129" s="3600"/>
      <c r="AR129" s="1202"/>
      <c r="AS129" s="3601"/>
      <c r="AT129" s="43">
        <f t="shared" si="326"/>
        <v>0</v>
      </c>
      <c r="AU129" s="3600"/>
      <c r="AV129" s="1202"/>
      <c r="AW129" s="3601"/>
      <c r="AX129" s="43">
        <f t="shared" si="327"/>
        <v>0</v>
      </c>
      <c r="AY129" s="3600"/>
      <c r="AZ129" s="1202"/>
      <c r="BA129" s="3602"/>
      <c r="BB129" s="618">
        <f t="shared" si="328"/>
        <v>0</v>
      </c>
      <c r="BC129" s="3603"/>
      <c r="BD129" s="3562">
        <f t="shared" si="329"/>
        <v>0</v>
      </c>
      <c r="BE129" s="852"/>
      <c r="BF129" s="43">
        <f t="shared" si="330"/>
        <v>0</v>
      </c>
      <c r="BG129" s="26"/>
      <c r="BH129" s="26"/>
      <c r="BI129" s="26"/>
      <c r="BJ129" s="26"/>
      <c r="BK129" s="26"/>
    </row>
    <row r="130" spans="1:63" ht="15.75" customHeight="1" thickBot="1" x14ac:dyDescent="0.3">
      <c r="A130" s="93"/>
      <c r="B130" s="3623" t="s">
        <v>868</v>
      </c>
      <c r="C130" s="3625" t="s">
        <v>914</v>
      </c>
      <c r="D130" s="3622"/>
      <c r="E130" s="3600"/>
      <c r="F130" s="1202"/>
      <c r="G130" s="3600"/>
      <c r="H130" s="1202"/>
      <c r="I130" s="3601"/>
      <c r="J130" s="782">
        <f t="shared" si="291"/>
        <v>0</v>
      </c>
      <c r="K130" s="3600"/>
      <c r="L130" s="1202"/>
      <c r="M130" s="3602"/>
      <c r="N130" s="781">
        <f t="shared" si="292"/>
        <v>0</v>
      </c>
      <c r="O130" s="3600"/>
      <c r="P130" s="1202"/>
      <c r="Q130" s="3601"/>
      <c r="R130" s="782">
        <f t="shared" si="293"/>
        <v>0</v>
      </c>
      <c r="S130" s="3600"/>
      <c r="T130" s="1202"/>
      <c r="U130" s="3601"/>
      <c r="V130" s="782">
        <f t="shared" si="294"/>
        <v>0</v>
      </c>
      <c r="W130" s="3600"/>
      <c r="X130" s="1202"/>
      <c r="Y130" s="3602"/>
      <c r="Z130" s="781">
        <f t="shared" si="295"/>
        <v>0</v>
      </c>
      <c r="AA130" s="3603"/>
      <c r="AB130" s="3562">
        <f t="shared" si="296"/>
        <v>0</v>
      </c>
      <c r="AC130" s="3600"/>
      <c r="AD130" s="1202"/>
      <c r="AE130" s="3601"/>
      <c r="AF130" s="782">
        <f t="shared" si="297"/>
        <v>0</v>
      </c>
      <c r="AG130" s="3600"/>
      <c r="AH130" s="1202"/>
      <c r="AI130" s="3601"/>
      <c r="AJ130" s="373">
        <f t="shared" si="323"/>
        <v>0</v>
      </c>
      <c r="AK130" s="3600"/>
      <c r="AL130" s="1202"/>
      <c r="AM130" s="3602"/>
      <c r="AN130" s="618">
        <f t="shared" si="324"/>
        <v>0</v>
      </c>
      <c r="AO130" s="3601"/>
      <c r="AP130" s="373">
        <f t="shared" si="325"/>
        <v>0</v>
      </c>
      <c r="AQ130" s="3600"/>
      <c r="AR130" s="1202"/>
      <c r="AS130" s="3601"/>
      <c r="AT130" s="43">
        <f t="shared" si="326"/>
        <v>0</v>
      </c>
      <c r="AU130" s="3600"/>
      <c r="AV130" s="1202"/>
      <c r="AW130" s="3601"/>
      <c r="AX130" s="43">
        <f t="shared" si="327"/>
        <v>0</v>
      </c>
      <c r="AY130" s="3600"/>
      <c r="AZ130" s="1202"/>
      <c r="BA130" s="3602"/>
      <c r="BB130" s="618">
        <f t="shared" si="328"/>
        <v>0</v>
      </c>
      <c r="BC130" s="3603"/>
      <c r="BD130" s="3562">
        <f t="shared" si="329"/>
        <v>0</v>
      </c>
      <c r="BE130" s="852"/>
      <c r="BF130" s="43">
        <f t="shared" si="330"/>
        <v>0</v>
      </c>
      <c r="BG130" s="26"/>
      <c r="BH130" s="26"/>
      <c r="BI130" s="26"/>
      <c r="BJ130" s="26"/>
      <c r="BK130" s="26"/>
    </row>
    <row r="131" spans="1:63" ht="15.75" thickBot="1" x14ac:dyDescent="0.3">
      <c r="A131" s="93"/>
      <c r="B131" s="3621" t="s">
        <v>868</v>
      </c>
      <c r="C131" s="3622" t="s">
        <v>951</v>
      </c>
      <c r="D131" s="3622"/>
      <c r="E131" s="3600"/>
      <c r="F131" s="1202">
        <v>305.92</v>
      </c>
      <c r="G131" s="3600"/>
      <c r="H131" s="1202">
        <v>188.02</v>
      </c>
      <c r="I131" s="3601"/>
      <c r="J131" s="782">
        <f t="shared" si="291"/>
        <v>493.94000000000005</v>
      </c>
      <c r="K131" s="3600"/>
      <c r="L131" s="1202"/>
      <c r="M131" s="3602"/>
      <c r="N131" s="781">
        <f t="shared" si="292"/>
        <v>493.94000000000005</v>
      </c>
      <c r="O131" s="3600"/>
      <c r="P131" s="1202"/>
      <c r="Q131" s="3601"/>
      <c r="R131" s="782">
        <f t="shared" si="293"/>
        <v>493.94000000000005</v>
      </c>
      <c r="S131" s="3600"/>
      <c r="T131" s="1202"/>
      <c r="U131" s="3601"/>
      <c r="V131" s="782">
        <f t="shared" si="294"/>
        <v>493.94000000000005</v>
      </c>
      <c r="W131" s="3600"/>
      <c r="X131" s="1202"/>
      <c r="Y131" s="3602"/>
      <c r="Z131" s="781">
        <f t="shared" si="295"/>
        <v>0</v>
      </c>
      <c r="AA131" s="3603"/>
      <c r="AB131" s="3562">
        <f t="shared" si="296"/>
        <v>493.94000000000005</v>
      </c>
      <c r="AC131" s="3600"/>
      <c r="AD131" s="1202"/>
      <c r="AE131" s="3601"/>
      <c r="AF131" s="782">
        <f t="shared" si="297"/>
        <v>493.94000000000005</v>
      </c>
      <c r="AG131" s="3600"/>
      <c r="AH131" s="1202">
        <v>312.47999999999996</v>
      </c>
      <c r="AI131" s="3601"/>
      <c r="AJ131" s="373">
        <f t="shared" si="323"/>
        <v>806.42000000000007</v>
      </c>
      <c r="AK131" s="3600"/>
      <c r="AL131" s="1202"/>
      <c r="AM131" s="3602"/>
      <c r="AN131" s="618">
        <f t="shared" si="324"/>
        <v>312.47999999999996</v>
      </c>
      <c r="AO131" s="3601"/>
      <c r="AP131" s="373">
        <f t="shared" si="325"/>
        <v>806.42000000000007</v>
      </c>
      <c r="AQ131" s="3600"/>
      <c r="AR131" s="1202"/>
      <c r="AS131" s="3601"/>
      <c r="AT131" s="43">
        <f t="shared" si="326"/>
        <v>806.42000000000007</v>
      </c>
      <c r="AU131" s="3600"/>
      <c r="AV131" s="1202"/>
      <c r="AW131" s="3601"/>
      <c r="AX131" s="43">
        <f t="shared" si="327"/>
        <v>806.42000000000007</v>
      </c>
      <c r="AY131" s="3600"/>
      <c r="AZ131" s="1202"/>
      <c r="BA131" s="3602"/>
      <c r="BB131" s="618">
        <f t="shared" si="328"/>
        <v>0</v>
      </c>
      <c r="BC131" s="3603"/>
      <c r="BD131" s="3562">
        <f t="shared" si="329"/>
        <v>312.47999999999996</v>
      </c>
      <c r="BE131" s="852"/>
      <c r="BF131" s="43">
        <f t="shared" si="330"/>
        <v>806.42000000000007</v>
      </c>
      <c r="BG131" s="26"/>
      <c r="BH131" s="26"/>
      <c r="BI131" s="26"/>
      <c r="BJ131" s="26"/>
      <c r="BK131" s="26"/>
    </row>
    <row r="132" spans="1:63" ht="15.75" hidden="1" customHeight="1" thickBot="1" x14ac:dyDescent="0.35">
      <c r="A132" s="93"/>
      <c r="B132" s="3623" t="s">
        <v>868</v>
      </c>
      <c r="C132" s="3616" t="s">
        <v>1530</v>
      </c>
      <c r="D132" s="3587"/>
      <c r="E132" s="3575"/>
      <c r="F132" s="1201"/>
      <c r="G132" s="3575"/>
      <c r="H132" s="1201"/>
      <c r="I132" s="852"/>
      <c r="J132" s="782">
        <f t="shared" si="291"/>
        <v>0</v>
      </c>
      <c r="K132" s="3575"/>
      <c r="L132" s="1201"/>
      <c r="M132" s="902"/>
      <c r="N132" s="781">
        <f t="shared" si="292"/>
        <v>0</v>
      </c>
      <c r="O132" s="3575"/>
      <c r="P132" s="1201"/>
      <c r="Q132" s="852"/>
      <c r="R132" s="782">
        <f t="shared" si="293"/>
        <v>0</v>
      </c>
      <c r="S132" s="3575"/>
      <c r="T132" s="1201"/>
      <c r="U132" s="852"/>
      <c r="V132" s="782">
        <f t="shared" si="294"/>
        <v>0</v>
      </c>
      <c r="W132" s="3575"/>
      <c r="X132" s="1201"/>
      <c r="Y132" s="902"/>
      <c r="Z132" s="781">
        <f t="shared" si="295"/>
        <v>0</v>
      </c>
      <c r="AA132" s="3591"/>
      <c r="AB132" s="3562">
        <f t="shared" si="296"/>
        <v>0</v>
      </c>
      <c r="AC132" s="3575"/>
      <c r="AD132" s="1201"/>
      <c r="AE132" s="852"/>
      <c r="AF132" s="782">
        <f t="shared" si="297"/>
        <v>0</v>
      </c>
      <c r="AG132" s="3575"/>
      <c r="AH132" s="1201"/>
      <c r="AI132" s="852"/>
      <c r="AJ132" s="373">
        <f t="shared" si="323"/>
        <v>0</v>
      </c>
      <c r="AK132" s="3575"/>
      <c r="AL132" s="1201"/>
      <c r="AM132" s="902"/>
      <c r="AN132" s="618">
        <f t="shared" si="324"/>
        <v>0</v>
      </c>
      <c r="AO132" s="852"/>
      <c r="AP132" s="373">
        <f t="shared" si="325"/>
        <v>0</v>
      </c>
      <c r="AQ132" s="3575"/>
      <c r="AR132" s="1201"/>
      <c r="AS132" s="852"/>
      <c r="AT132" s="43">
        <f t="shared" si="326"/>
        <v>0</v>
      </c>
      <c r="AU132" s="3575"/>
      <c r="AV132" s="1201"/>
      <c r="AW132" s="852"/>
      <c r="AX132" s="43">
        <f t="shared" si="327"/>
        <v>0</v>
      </c>
      <c r="AY132" s="3575"/>
      <c r="AZ132" s="1201"/>
      <c r="BA132" s="902"/>
      <c r="BB132" s="618">
        <f t="shared" si="328"/>
        <v>0</v>
      </c>
      <c r="BC132" s="3591"/>
      <c r="BD132" s="3562">
        <f t="shared" si="329"/>
        <v>0</v>
      </c>
      <c r="BE132" s="852"/>
      <c r="BF132" s="43">
        <f t="shared" si="330"/>
        <v>0</v>
      </c>
      <c r="BG132" s="26"/>
      <c r="BH132" s="26"/>
      <c r="BI132" s="26"/>
      <c r="BJ132" s="26"/>
      <c r="BK132" s="26"/>
    </row>
    <row r="133" spans="1:63" ht="15.75" thickBot="1" x14ac:dyDescent="0.3">
      <c r="A133" s="93"/>
      <c r="B133" s="3621" t="s">
        <v>868</v>
      </c>
      <c r="C133" s="3616" t="s">
        <v>1465</v>
      </c>
      <c r="D133" s="3587"/>
      <c r="E133" s="3575"/>
      <c r="F133" s="1201">
        <v>63.68</v>
      </c>
      <c r="G133" s="3575"/>
      <c r="H133" s="1201"/>
      <c r="I133" s="852"/>
      <c r="J133" s="782">
        <f t="shared" si="291"/>
        <v>63.68</v>
      </c>
      <c r="K133" s="3575"/>
      <c r="L133" s="1201"/>
      <c r="M133" s="902"/>
      <c r="N133" s="781">
        <f t="shared" si="292"/>
        <v>63.68</v>
      </c>
      <c r="O133" s="3575"/>
      <c r="P133" s="1201"/>
      <c r="Q133" s="852"/>
      <c r="R133" s="782">
        <f t="shared" si="293"/>
        <v>63.68</v>
      </c>
      <c r="S133" s="3575"/>
      <c r="T133" s="1201"/>
      <c r="U133" s="852"/>
      <c r="V133" s="782">
        <f t="shared" si="294"/>
        <v>63.68</v>
      </c>
      <c r="W133" s="3575"/>
      <c r="X133" s="1201"/>
      <c r="Y133" s="902"/>
      <c r="Z133" s="781">
        <f t="shared" si="295"/>
        <v>0</v>
      </c>
      <c r="AA133" s="3591"/>
      <c r="AB133" s="3562">
        <f t="shared" si="296"/>
        <v>63.68</v>
      </c>
      <c r="AC133" s="3575"/>
      <c r="AD133" s="1201"/>
      <c r="AE133" s="852"/>
      <c r="AF133" s="782">
        <f t="shared" si="297"/>
        <v>63.68</v>
      </c>
      <c r="AG133" s="3575"/>
      <c r="AH133" s="1201"/>
      <c r="AI133" s="852"/>
      <c r="AJ133" s="373">
        <f t="shared" si="323"/>
        <v>63.68</v>
      </c>
      <c r="AK133" s="3575"/>
      <c r="AL133" s="1201"/>
      <c r="AM133" s="902"/>
      <c r="AN133" s="618">
        <f t="shared" si="324"/>
        <v>0</v>
      </c>
      <c r="AO133" s="852"/>
      <c r="AP133" s="373">
        <f t="shared" si="325"/>
        <v>63.68</v>
      </c>
      <c r="AQ133" s="3575"/>
      <c r="AR133" s="1201">
        <v>184.66000000000003</v>
      </c>
      <c r="AS133" s="852"/>
      <c r="AT133" s="43">
        <f t="shared" si="326"/>
        <v>248.34000000000003</v>
      </c>
      <c r="AU133" s="3575"/>
      <c r="AV133" s="1201"/>
      <c r="AW133" s="852"/>
      <c r="AX133" s="43">
        <f t="shared" si="327"/>
        <v>248.34000000000003</v>
      </c>
      <c r="AY133" s="3575"/>
      <c r="AZ133" s="1201">
        <v>227.77</v>
      </c>
      <c r="BA133" s="902"/>
      <c r="BB133" s="618">
        <f t="shared" si="328"/>
        <v>412.43000000000006</v>
      </c>
      <c r="BC133" s="3591"/>
      <c r="BD133" s="3562">
        <f t="shared" si="329"/>
        <v>412.43000000000006</v>
      </c>
      <c r="BE133" s="852"/>
      <c r="BF133" s="43">
        <f t="shared" si="330"/>
        <v>476.11</v>
      </c>
      <c r="BG133" s="26"/>
      <c r="BH133" s="26"/>
      <c r="BI133" s="26"/>
      <c r="BJ133" s="26"/>
      <c r="BK133" s="26"/>
    </row>
    <row r="134" spans="1:63" ht="15.75" thickBot="1" x14ac:dyDescent="0.3">
      <c r="A134" s="93"/>
      <c r="B134" s="3623" t="s">
        <v>868</v>
      </c>
      <c r="C134" s="3616" t="s">
        <v>1529</v>
      </c>
      <c r="D134" s="3587"/>
      <c r="E134" s="3575"/>
      <c r="F134" s="1201">
        <v>127.6</v>
      </c>
      <c r="G134" s="3575"/>
      <c r="H134" s="1201"/>
      <c r="I134" s="852"/>
      <c r="J134" s="782">
        <f t="shared" si="291"/>
        <v>127.6</v>
      </c>
      <c r="K134" s="3575"/>
      <c r="L134" s="1201"/>
      <c r="M134" s="902"/>
      <c r="N134" s="781">
        <f t="shared" si="292"/>
        <v>127.6</v>
      </c>
      <c r="O134" s="3575"/>
      <c r="P134" s="1201"/>
      <c r="Q134" s="852"/>
      <c r="R134" s="782">
        <f t="shared" si="293"/>
        <v>127.6</v>
      </c>
      <c r="S134" s="3575"/>
      <c r="T134" s="1201"/>
      <c r="U134" s="852"/>
      <c r="V134" s="782">
        <f t="shared" si="294"/>
        <v>127.6</v>
      </c>
      <c r="W134" s="3575"/>
      <c r="X134" s="1201"/>
      <c r="Y134" s="902"/>
      <c r="Z134" s="781">
        <f t="shared" si="295"/>
        <v>0</v>
      </c>
      <c r="AA134" s="3591"/>
      <c r="AB134" s="3562">
        <f t="shared" si="296"/>
        <v>127.6</v>
      </c>
      <c r="AC134" s="3575"/>
      <c r="AD134" s="1201"/>
      <c r="AE134" s="852"/>
      <c r="AF134" s="782">
        <f t="shared" si="297"/>
        <v>127.6</v>
      </c>
      <c r="AG134" s="3575"/>
      <c r="AH134" s="1201"/>
      <c r="AI134" s="852"/>
      <c r="AJ134" s="373">
        <f t="shared" si="323"/>
        <v>127.6</v>
      </c>
      <c r="AK134" s="3575"/>
      <c r="AL134" s="1201"/>
      <c r="AM134" s="902"/>
      <c r="AN134" s="618">
        <f t="shared" si="324"/>
        <v>0</v>
      </c>
      <c r="AO134" s="852"/>
      <c r="AP134" s="373">
        <f t="shared" si="325"/>
        <v>127.6</v>
      </c>
      <c r="AQ134" s="3575"/>
      <c r="AR134" s="1201">
        <v>189.22</v>
      </c>
      <c r="AS134" s="852"/>
      <c r="AT134" s="43">
        <f t="shared" si="326"/>
        <v>316.82</v>
      </c>
      <c r="AU134" s="3575"/>
      <c r="AV134" s="1201"/>
      <c r="AW134" s="852"/>
      <c r="AX134" s="43">
        <f t="shared" si="327"/>
        <v>316.82</v>
      </c>
      <c r="AY134" s="3575"/>
      <c r="AZ134" s="1201">
        <v>126.1</v>
      </c>
      <c r="BA134" s="902"/>
      <c r="BB134" s="618">
        <f t="shared" si="328"/>
        <v>315.32</v>
      </c>
      <c r="BC134" s="3591"/>
      <c r="BD134" s="3562">
        <f t="shared" si="329"/>
        <v>315.32</v>
      </c>
      <c r="BE134" s="852"/>
      <c r="BF134" s="43">
        <f t="shared" si="330"/>
        <v>442.91999999999996</v>
      </c>
      <c r="BG134" s="26"/>
      <c r="BH134" s="26"/>
      <c r="BI134" s="26"/>
      <c r="BJ134" s="26"/>
      <c r="BK134" s="26"/>
    </row>
    <row r="135" spans="1:63" ht="20.25" customHeight="1" thickBot="1" x14ac:dyDescent="0.3">
      <c r="A135" s="93"/>
      <c r="B135" s="3621" t="s">
        <v>868</v>
      </c>
      <c r="C135" s="3616" t="s">
        <v>1151</v>
      </c>
      <c r="D135" s="3587"/>
      <c r="E135" s="3575"/>
      <c r="F135" s="1201">
        <v>129.20999999999998</v>
      </c>
      <c r="G135" s="3575"/>
      <c r="H135" s="1201">
        <v>316.89999999999998</v>
      </c>
      <c r="I135" s="852"/>
      <c r="J135" s="782">
        <f t="shared" si="291"/>
        <v>446.10999999999996</v>
      </c>
      <c r="K135" s="3575"/>
      <c r="L135" s="1201">
        <v>126.78</v>
      </c>
      <c r="M135" s="902"/>
      <c r="N135" s="781">
        <f t="shared" si="292"/>
        <v>572.89</v>
      </c>
      <c r="O135" s="3575"/>
      <c r="P135" s="1201"/>
      <c r="Q135" s="852"/>
      <c r="R135" s="782">
        <f t="shared" si="293"/>
        <v>572.89</v>
      </c>
      <c r="S135" s="3575"/>
      <c r="T135" s="1201">
        <v>963.69999999999993</v>
      </c>
      <c r="U135" s="852"/>
      <c r="V135" s="782">
        <f t="shared" si="294"/>
        <v>1536.59</v>
      </c>
      <c r="W135" s="3575"/>
      <c r="X135" s="1201">
        <v>758.28000000000009</v>
      </c>
      <c r="Y135" s="902"/>
      <c r="Z135" s="781">
        <f t="shared" si="295"/>
        <v>1721.98</v>
      </c>
      <c r="AA135" s="3591"/>
      <c r="AB135" s="3562">
        <f t="shared" si="296"/>
        <v>2294.87</v>
      </c>
      <c r="AC135" s="3575"/>
      <c r="AD135" s="1201"/>
      <c r="AE135" s="852"/>
      <c r="AF135" s="782">
        <f t="shared" si="297"/>
        <v>2294.87</v>
      </c>
      <c r="AG135" s="3575"/>
      <c r="AH135" s="1201"/>
      <c r="AI135" s="852"/>
      <c r="AJ135" s="373">
        <f t="shared" si="323"/>
        <v>2294.87</v>
      </c>
      <c r="AK135" s="3575"/>
      <c r="AL135" s="1201"/>
      <c r="AM135" s="902"/>
      <c r="AN135" s="618">
        <f t="shared" si="324"/>
        <v>0</v>
      </c>
      <c r="AO135" s="852"/>
      <c r="AP135" s="373">
        <f t="shared" si="325"/>
        <v>2294.87</v>
      </c>
      <c r="AQ135" s="3575"/>
      <c r="AR135" s="1201">
        <v>63.14</v>
      </c>
      <c r="AS135" s="852"/>
      <c r="AT135" s="43">
        <f t="shared" si="326"/>
        <v>2358.0099999999998</v>
      </c>
      <c r="AU135" s="3575"/>
      <c r="AV135" s="1201">
        <v>173</v>
      </c>
      <c r="AW135" s="852"/>
      <c r="AX135" s="43">
        <f t="shared" si="327"/>
        <v>2531.0099999999998</v>
      </c>
      <c r="AY135" s="3575"/>
      <c r="AZ135" s="1201">
        <v>446.42999999999995</v>
      </c>
      <c r="BA135" s="902"/>
      <c r="BB135" s="618">
        <f t="shared" si="328"/>
        <v>682.56999999999994</v>
      </c>
      <c r="BC135" s="3591"/>
      <c r="BD135" s="3562">
        <f t="shared" si="329"/>
        <v>682.56999999999994</v>
      </c>
      <c r="BE135" s="852"/>
      <c r="BF135" s="43">
        <f t="shared" si="330"/>
        <v>2977.4399999999996</v>
      </c>
      <c r="BG135" s="26"/>
      <c r="BH135" s="26"/>
      <c r="BI135" s="26"/>
      <c r="BJ135" s="26"/>
      <c r="BK135" s="26"/>
    </row>
    <row r="136" spans="1:63" ht="15.75" thickBot="1" x14ac:dyDescent="0.3">
      <c r="A136" s="93"/>
      <c r="B136" s="3623" t="s">
        <v>868</v>
      </c>
      <c r="C136" s="3619" t="s">
        <v>908</v>
      </c>
      <c r="D136" s="3589"/>
      <c r="E136" s="3592"/>
      <c r="F136" s="109">
        <v>312.09999999999997</v>
      </c>
      <c r="G136" s="3592"/>
      <c r="H136" s="109">
        <v>501.52</v>
      </c>
      <c r="I136" s="2930"/>
      <c r="J136" s="782">
        <f t="shared" ref="J136:J199" si="331">F136+H136</f>
        <v>813.61999999999989</v>
      </c>
      <c r="K136" s="3592"/>
      <c r="L136" s="109"/>
      <c r="M136" s="3593"/>
      <c r="N136" s="781">
        <f t="shared" ref="N136:N199" si="332">J136+L136</f>
        <v>813.61999999999989</v>
      </c>
      <c r="O136" s="3592"/>
      <c r="P136" s="109"/>
      <c r="Q136" s="2930"/>
      <c r="R136" s="782">
        <f t="shared" ref="R136:R199" si="333">N136+P136</f>
        <v>813.61999999999989</v>
      </c>
      <c r="S136" s="3592"/>
      <c r="T136" s="109">
        <v>127.86</v>
      </c>
      <c r="U136" s="2930"/>
      <c r="V136" s="782">
        <f t="shared" ref="V136:V199" si="334">R136+T136</f>
        <v>941.4799999999999</v>
      </c>
      <c r="W136" s="3592"/>
      <c r="X136" s="109">
        <v>195.88</v>
      </c>
      <c r="Y136" s="3593"/>
      <c r="Z136" s="781">
        <f t="shared" ref="Z136:Z199" si="335">P136+T136+X136</f>
        <v>323.74</v>
      </c>
      <c r="AA136" s="3594"/>
      <c r="AB136" s="3562">
        <f t="shared" ref="AB136:AB199" si="336">N136+Z136</f>
        <v>1137.3599999999999</v>
      </c>
      <c r="AC136" s="3592"/>
      <c r="AD136" s="109"/>
      <c r="AE136" s="2930"/>
      <c r="AF136" s="782">
        <f t="shared" ref="AF136:AF199" si="337">AB136+AD136</f>
        <v>1137.3599999999999</v>
      </c>
      <c r="AG136" s="3592"/>
      <c r="AH136" s="109">
        <v>38.840000000000003</v>
      </c>
      <c r="AI136" s="2930"/>
      <c r="AJ136" s="373">
        <f t="shared" si="323"/>
        <v>1176.1999999999998</v>
      </c>
      <c r="AK136" s="3592"/>
      <c r="AL136" s="109"/>
      <c r="AM136" s="3593"/>
      <c r="AN136" s="618">
        <f t="shared" si="324"/>
        <v>38.840000000000003</v>
      </c>
      <c r="AO136" s="2930"/>
      <c r="AP136" s="373">
        <f t="shared" si="325"/>
        <v>1176.1999999999998</v>
      </c>
      <c r="AQ136" s="3592"/>
      <c r="AR136" s="109">
        <v>159.08000000000001</v>
      </c>
      <c r="AS136" s="2930"/>
      <c r="AT136" s="43">
        <f t="shared" si="326"/>
        <v>1335.2799999999997</v>
      </c>
      <c r="AU136" s="3592"/>
      <c r="AV136" s="109">
        <v>65.239999999999995</v>
      </c>
      <c r="AW136" s="2930"/>
      <c r="AX136" s="43">
        <f t="shared" si="327"/>
        <v>1400.5199999999998</v>
      </c>
      <c r="AY136" s="3592"/>
      <c r="AZ136" s="109">
        <v>652.78</v>
      </c>
      <c r="BA136" s="3593"/>
      <c r="BB136" s="618">
        <f t="shared" si="328"/>
        <v>877.09999999999991</v>
      </c>
      <c r="BC136" s="3594"/>
      <c r="BD136" s="3562">
        <f t="shared" si="329"/>
        <v>915.93999999999994</v>
      </c>
      <c r="BE136" s="852"/>
      <c r="BF136" s="43">
        <f t="shared" si="330"/>
        <v>2053.2999999999997</v>
      </c>
      <c r="BG136" s="26"/>
      <c r="BH136" s="26"/>
      <c r="BI136" s="26"/>
      <c r="BJ136" s="26"/>
      <c r="BK136" s="26"/>
    </row>
    <row r="137" spans="1:63" ht="15.75" customHeight="1" thickBot="1" x14ac:dyDescent="0.3">
      <c r="A137" s="93"/>
      <c r="B137" s="3621" t="s">
        <v>868</v>
      </c>
      <c r="C137" s="3606" t="s">
        <v>906</v>
      </c>
      <c r="D137" s="3606"/>
      <c r="E137" s="3607"/>
      <c r="F137" s="3608"/>
      <c r="G137" s="3607"/>
      <c r="H137" s="3608">
        <v>387.21999999999997</v>
      </c>
      <c r="I137" s="3609"/>
      <c r="J137" s="782">
        <f t="shared" si="331"/>
        <v>387.21999999999997</v>
      </c>
      <c r="K137" s="3607"/>
      <c r="L137" s="3608"/>
      <c r="M137" s="3610"/>
      <c r="N137" s="781">
        <f t="shared" si="332"/>
        <v>387.21999999999997</v>
      </c>
      <c r="O137" s="3607"/>
      <c r="P137" s="3608"/>
      <c r="Q137" s="3609"/>
      <c r="R137" s="782">
        <f t="shared" si="333"/>
        <v>387.21999999999997</v>
      </c>
      <c r="S137" s="3607"/>
      <c r="T137" s="3608"/>
      <c r="U137" s="3609"/>
      <c r="V137" s="782">
        <f t="shared" si="334"/>
        <v>387.21999999999997</v>
      </c>
      <c r="W137" s="3607"/>
      <c r="X137" s="3608">
        <v>195.72000000000003</v>
      </c>
      <c r="Y137" s="3610"/>
      <c r="Z137" s="781">
        <f t="shared" si="335"/>
        <v>195.72000000000003</v>
      </c>
      <c r="AA137" s="3612"/>
      <c r="AB137" s="3562">
        <f t="shared" si="336"/>
        <v>582.94000000000005</v>
      </c>
      <c r="AC137" s="3607"/>
      <c r="AD137" s="3608"/>
      <c r="AE137" s="3609"/>
      <c r="AF137" s="782">
        <f t="shared" si="337"/>
        <v>582.94000000000005</v>
      </c>
      <c r="AG137" s="3607"/>
      <c r="AH137" s="3608"/>
      <c r="AI137" s="3609"/>
      <c r="AJ137" s="373"/>
      <c r="AK137" s="3607"/>
      <c r="AL137" s="3608"/>
      <c r="AM137" s="3610"/>
      <c r="AN137" s="618"/>
      <c r="AO137" s="3609"/>
      <c r="AP137" s="373"/>
      <c r="AQ137" s="3607"/>
      <c r="AR137" s="3608"/>
      <c r="AS137" s="3609"/>
      <c r="AT137" s="43">
        <f t="shared" si="326"/>
        <v>0</v>
      </c>
      <c r="AU137" s="3607"/>
      <c r="AV137" s="3608">
        <v>32.32</v>
      </c>
      <c r="AW137" s="3609"/>
      <c r="AX137" s="43">
        <f t="shared" si="327"/>
        <v>32.32</v>
      </c>
      <c r="AY137" s="3607"/>
      <c r="AZ137" s="3608">
        <v>63.26</v>
      </c>
      <c r="BA137" s="3610"/>
      <c r="BB137" s="618">
        <f t="shared" si="328"/>
        <v>95.58</v>
      </c>
      <c r="BC137" s="3612"/>
      <c r="BD137" s="3562">
        <f t="shared" si="329"/>
        <v>95.58</v>
      </c>
      <c r="BE137" s="852"/>
      <c r="BF137" s="43">
        <f t="shared" si="330"/>
        <v>95.58</v>
      </c>
      <c r="BG137" s="26"/>
      <c r="BH137" s="26"/>
      <c r="BI137" s="26"/>
      <c r="BJ137" s="26"/>
      <c r="BK137" s="26"/>
    </row>
    <row r="138" spans="1:63" ht="20.25" customHeight="1" thickBot="1" x14ac:dyDescent="0.3">
      <c r="A138" s="93"/>
      <c r="B138" s="3620" t="s">
        <v>869</v>
      </c>
      <c r="C138" s="3580" t="s">
        <v>908</v>
      </c>
      <c r="D138" s="3580"/>
      <c r="E138" s="3595"/>
      <c r="F138" s="158"/>
      <c r="G138" s="3595"/>
      <c r="H138" s="158"/>
      <c r="I138" s="2927"/>
      <c r="J138" s="782">
        <f t="shared" si="331"/>
        <v>0</v>
      </c>
      <c r="K138" s="3595"/>
      <c r="L138" s="158"/>
      <c r="M138" s="3596"/>
      <c r="N138" s="781">
        <f t="shared" si="332"/>
        <v>0</v>
      </c>
      <c r="O138" s="3595"/>
      <c r="P138" s="158"/>
      <c r="Q138" s="2927"/>
      <c r="R138" s="782">
        <f t="shared" si="333"/>
        <v>0</v>
      </c>
      <c r="S138" s="3595"/>
      <c r="T138" s="158"/>
      <c r="U138" s="2927"/>
      <c r="V138" s="782">
        <f t="shared" si="334"/>
        <v>0</v>
      </c>
      <c r="W138" s="3595"/>
      <c r="X138" s="158"/>
      <c r="Y138" s="3596"/>
      <c r="Z138" s="781">
        <f t="shared" si="335"/>
        <v>0</v>
      </c>
      <c r="AA138" s="3597"/>
      <c r="AB138" s="3562">
        <f t="shared" si="336"/>
        <v>0</v>
      </c>
      <c r="AC138" s="3595"/>
      <c r="AD138" s="158"/>
      <c r="AE138" s="2927"/>
      <c r="AF138" s="782">
        <f t="shared" si="337"/>
        <v>0</v>
      </c>
      <c r="AG138" s="3595"/>
      <c r="AH138" s="158"/>
      <c r="AI138" s="2927"/>
      <c r="AJ138" s="373">
        <f t="shared" si="323"/>
        <v>0</v>
      </c>
      <c r="AK138" s="3595"/>
      <c r="AL138" s="158"/>
      <c r="AM138" s="3596"/>
      <c r="AN138" s="618">
        <f t="shared" si="324"/>
        <v>0</v>
      </c>
      <c r="AO138" s="2927"/>
      <c r="AP138" s="373">
        <f t="shared" si="325"/>
        <v>0</v>
      </c>
      <c r="AQ138" s="3595"/>
      <c r="AR138" s="158"/>
      <c r="AS138" s="2927"/>
      <c r="AT138" s="43">
        <f t="shared" si="326"/>
        <v>0</v>
      </c>
      <c r="AU138" s="3595"/>
      <c r="AV138" s="158"/>
      <c r="AW138" s="2927"/>
      <c r="AX138" s="43">
        <f t="shared" si="327"/>
        <v>0</v>
      </c>
      <c r="AY138" s="3595"/>
      <c r="AZ138" s="158"/>
      <c r="BA138" s="3596"/>
      <c r="BB138" s="618">
        <f t="shared" si="328"/>
        <v>0</v>
      </c>
      <c r="BC138" s="3597"/>
      <c r="BD138" s="3562">
        <f t="shared" si="329"/>
        <v>0</v>
      </c>
      <c r="BE138" s="852"/>
      <c r="BF138" s="43">
        <f t="shared" si="330"/>
        <v>0</v>
      </c>
      <c r="BG138" s="26"/>
      <c r="BH138" s="26"/>
      <c r="BI138" s="26"/>
      <c r="BJ138" s="26"/>
      <c r="BK138" s="26"/>
    </row>
    <row r="139" spans="1:63" ht="15.75" customHeight="1" thickBot="1" x14ac:dyDescent="0.3">
      <c r="A139" s="93"/>
      <c r="B139" s="3623" t="s">
        <v>869</v>
      </c>
      <c r="C139" s="3616" t="s">
        <v>884</v>
      </c>
      <c r="D139" s="3587"/>
      <c r="E139" s="1201"/>
      <c r="F139" s="1201"/>
      <c r="G139" s="1201"/>
      <c r="H139" s="1201"/>
      <c r="I139" s="782"/>
      <c r="J139" s="782">
        <f t="shared" si="331"/>
        <v>0</v>
      </c>
      <c r="K139" s="1201"/>
      <c r="L139" s="1201"/>
      <c r="M139" s="781"/>
      <c r="N139" s="781">
        <f t="shared" si="332"/>
        <v>0</v>
      </c>
      <c r="O139" s="1201"/>
      <c r="P139" s="1201"/>
      <c r="Q139" s="782"/>
      <c r="R139" s="782">
        <f t="shared" si="333"/>
        <v>0</v>
      </c>
      <c r="S139" s="1201"/>
      <c r="T139" s="1201"/>
      <c r="U139" s="782"/>
      <c r="V139" s="782">
        <f t="shared" si="334"/>
        <v>0</v>
      </c>
      <c r="W139" s="1201"/>
      <c r="X139" s="1201"/>
      <c r="Y139" s="781"/>
      <c r="Z139" s="781">
        <f t="shared" si="335"/>
        <v>0</v>
      </c>
      <c r="AA139" s="3562"/>
      <c r="AB139" s="3562">
        <f t="shared" si="336"/>
        <v>0</v>
      </c>
      <c r="AC139" s="1201"/>
      <c r="AD139" s="1201"/>
      <c r="AE139" s="782"/>
      <c r="AF139" s="782">
        <f t="shared" si="337"/>
        <v>0</v>
      </c>
      <c r="AG139" s="1201"/>
      <c r="AH139" s="1201"/>
      <c r="AI139" s="782"/>
      <c r="AJ139" s="373">
        <f t="shared" si="323"/>
        <v>0</v>
      </c>
      <c r="AK139" s="1201"/>
      <c r="AL139" s="1201"/>
      <c r="AM139" s="781"/>
      <c r="AN139" s="618">
        <f t="shared" si="324"/>
        <v>0</v>
      </c>
      <c r="AO139" s="782"/>
      <c r="AP139" s="373">
        <f t="shared" si="325"/>
        <v>0</v>
      </c>
      <c r="AQ139" s="1201"/>
      <c r="AR139" s="1201"/>
      <c r="AS139" s="782"/>
      <c r="AT139" s="43">
        <f t="shared" si="326"/>
        <v>0</v>
      </c>
      <c r="AU139" s="1201"/>
      <c r="AV139" s="1201"/>
      <c r="AW139" s="782"/>
      <c r="AX139" s="43">
        <f t="shared" si="327"/>
        <v>0</v>
      </c>
      <c r="AY139" s="1201"/>
      <c r="AZ139" s="1201"/>
      <c r="BA139" s="781"/>
      <c r="BB139" s="618">
        <f t="shared" si="328"/>
        <v>0</v>
      </c>
      <c r="BC139" s="3562"/>
      <c r="BD139" s="3562">
        <f t="shared" si="329"/>
        <v>0</v>
      </c>
      <c r="BE139" s="852"/>
      <c r="BF139" s="43">
        <f t="shared" si="330"/>
        <v>0</v>
      </c>
      <c r="BG139" s="26"/>
      <c r="BH139" s="26"/>
      <c r="BI139" s="26"/>
      <c r="BJ139" s="26"/>
      <c r="BK139" s="26"/>
    </row>
    <row r="140" spans="1:63" ht="15.75" customHeight="1" thickBot="1" x14ac:dyDescent="0.3">
      <c r="A140" s="93"/>
      <c r="B140" s="3623" t="s">
        <v>869</v>
      </c>
      <c r="C140" s="3616" t="s">
        <v>909</v>
      </c>
      <c r="D140" s="3587"/>
      <c r="E140" s="1201"/>
      <c r="F140" s="1201"/>
      <c r="G140" s="1201"/>
      <c r="H140" s="1201"/>
      <c r="I140" s="782"/>
      <c r="J140" s="782">
        <f t="shared" si="331"/>
        <v>0</v>
      </c>
      <c r="K140" s="1201"/>
      <c r="L140" s="1201"/>
      <c r="M140" s="781"/>
      <c r="N140" s="781">
        <f t="shared" si="332"/>
        <v>0</v>
      </c>
      <c r="O140" s="1201"/>
      <c r="P140" s="1201"/>
      <c r="Q140" s="782"/>
      <c r="R140" s="782">
        <f t="shared" si="333"/>
        <v>0</v>
      </c>
      <c r="S140" s="1201"/>
      <c r="T140" s="1201"/>
      <c r="U140" s="782"/>
      <c r="V140" s="782">
        <f t="shared" si="334"/>
        <v>0</v>
      </c>
      <c r="W140" s="1201"/>
      <c r="X140" s="1201"/>
      <c r="Y140" s="781"/>
      <c r="Z140" s="781">
        <f t="shared" si="335"/>
        <v>0</v>
      </c>
      <c r="AA140" s="3562"/>
      <c r="AB140" s="3562">
        <f t="shared" si="336"/>
        <v>0</v>
      </c>
      <c r="AC140" s="1201"/>
      <c r="AD140" s="1201"/>
      <c r="AE140" s="782"/>
      <c r="AF140" s="782">
        <f t="shared" si="337"/>
        <v>0</v>
      </c>
      <c r="AG140" s="1201"/>
      <c r="AH140" s="1201"/>
      <c r="AI140" s="782"/>
      <c r="AJ140" s="373">
        <f t="shared" si="323"/>
        <v>0</v>
      </c>
      <c r="AK140" s="1201"/>
      <c r="AL140" s="1201"/>
      <c r="AM140" s="781"/>
      <c r="AN140" s="618">
        <f t="shared" si="324"/>
        <v>0</v>
      </c>
      <c r="AO140" s="782"/>
      <c r="AP140" s="373">
        <f t="shared" si="325"/>
        <v>0</v>
      </c>
      <c r="AQ140" s="1201"/>
      <c r="AR140" s="1201"/>
      <c r="AS140" s="782"/>
      <c r="AT140" s="43">
        <f t="shared" si="326"/>
        <v>0</v>
      </c>
      <c r="AU140" s="1201"/>
      <c r="AV140" s="1201"/>
      <c r="AW140" s="782"/>
      <c r="AX140" s="43">
        <f t="shared" si="327"/>
        <v>0</v>
      </c>
      <c r="AY140" s="1201"/>
      <c r="AZ140" s="1201"/>
      <c r="BA140" s="781"/>
      <c r="BB140" s="618">
        <f t="shared" si="328"/>
        <v>0</v>
      </c>
      <c r="BC140" s="3562"/>
      <c r="BD140" s="3562">
        <f t="shared" si="329"/>
        <v>0</v>
      </c>
      <c r="BE140" s="852"/>
      <c r="BF140" s="43">
        <f t="shared" si="330"/>
        <v>0</v>
      </c>
      <c r="BG140" s="26"/>
      <c r="BH140" s="26"/>
      <c r="BI140" s="26"/>
      <c r="BJ140" s="26"/>
      <c r="BK140" s="26"/>
    </row>
    <row r="141" spans="1:63" ht="15.75" customHeight="1" thickBot="1" x14ac:dyDescent="0.3">
      <c r="A141" s="93"/>
      <c r="B141" s="3623" t="s">
        <v>869</v>
      </c>
      <c r="C141" s="3625" t="s">
        <v>1154</v>
      </c>
      <c r="D141" s="3626"/>
      <c r="E141" s="2647"/>
      <c r="F141" s="2647"/>
      <c r="G141" s="2647"/>
      <c r="H141" s="2647"/>
      <c r="I141" s="2648"/>
      <c r="J141" s="782">
        <f t="shared" si="331"/>
        <v>0</v>
      </c>
      <c r="K141" s="2647"/>
      <c r="L141" s="2647"/>
      <c r="M141" s="2649"/>
      <c r="N141" s="781">
        <f t="shared" si="332"/>
        <v>0</v>
      </c>
      <c r="O141" s="2647"/>
      <c r="P141" s="2647"/>
      <c r="Q141" s="2648"/>
      <c r="R141" s="782">
        <f t="shared" si="333"/>
        <v>0</v>
      </c>
      <c r="S141" s="2647"/>
      <c r="T141" s="2647"/>
      <c r="U141" s="2648"/>
      <c r="V141" s="782">
        <f t="shared" si="334"/>
        <v>0</v>
      </c>
      <c r="W141" s="2647"/>
      <c r="X141" s="2647"/>
      <c r="Y141" s="2649"/>
      <c r="Z141" s="781">
        <f t="shared" si="335"/>
        <v>0</v>
      </c>
      <c r="AA141" s="3613"/>
      <c r="AB141" s="3562">
        <f t="shared" si="336"/>
        <v>0</v>
      </c>
      <c r="AC141" s="2647"/>
      <c r="AD141" s="2647"/>
      <c r="AE141" s="2648"/>
      <c r="AF141" s="782">
        <f t="shared" si="337"/>
        <v>0</v>
      </c>
      <c r="AG141" s="2647"/>
      <c r="AH141" s="2647"/>
      <c r="AI141" s="2648"/>
      <c r="AJ141" s="373">
        <f t="shared" si="323"/>
        <v>0</v>
      </c>
      <c r="AK141" s="2647"/>
      <c r="AL141" s="2647"/>
      <c r="AM141" s="2649"/>
      <c r="AN141" s="618">
        <f t="shared" si="324"/>
        <v>0</v>
      </c>
      <c r="AO141" s="2648"/>
      <c r="AP141" s="373">
        <f t="shared" si="325"/>
        <v>0</v>
      </c>
      <c r="AQ141" s="2647"/>
      <c r="AR141" s="2647"/>
      <c r="AS141" s="2648"/>
      <c r="AT141" s="43">
        <f t="shared" si="326"/>
        <v>0</v>
      </c>
      <c r="AU141" s="2647"/>
      <c r="AV141" s="2647"/>
      <c r="AW141" s="2648"/>
      <c r="AX141" s="43">
        <f t="shared" si="327"/>
        <v>0</v>
      </c>
      <c r="AY141" s="2647"/>
      <c r="AZ141" s="2647"/>
      <c r="BA141" s="2649"/>
      <c r="BB141" s="618">
        <f t="shared" si="328"/>
        <v>0</v>
      </c>
      <c r="BC141" s="3613"/>
      <c r="BD141" s="3562">
        <f t="shared" si="329"/>
        <v>0</v>
      </c>
      <c r="BE141" s="852"/>
      <c r="BF141" s="43">
        <f t="shared" si="330"/>
        <v>0</v>
      </c>
      <c r="BG141" s="26"/>
      <c r="BH141" s="26"/>
      <c r="BI141" s="26"/>
      <c r="BJ141" s="26"/>
      <c r="BK141" s="26"/>
    </row>
    <row r="142" spans="1:63" ht="15.75" customHeight="1" thickBot="1" x14ac:dyDescent="0.3">
      <c r="A142" s="93"/>
      <c r="B142" s="3623" t="s">
        <v>869</v>
      </c>
      <c r="C142" s="3625" t="s">
        <v>905</v>
      </c>
      <c r="D142" s="3626"/>
      <c r="E142" s="2647"/>
      <c r="F142" s="2647"/>
      <c r="G142" s="2647"/>
      <c r="H142" s="2647"/>
      <c r="I142" s="2648"/>
      <c r="J142" s="782">
        <f t="shared" si="331"/>
        <v>0</v>
      </c>
      <c r="K142" s="2647"/>
      <c r="L142" s="2647"/>
      <c r="M142" s="2649"/>
      <c r="N142" s="781">
        <f t="shared" si="332"/>
        <v>0</v>
      </c>
      <c r="O142" s="2647"/>
      <c r="P142" s="2647"/>
      <c r="Q142" s="2648"/>
      <c r="R142" s="782">
        <f t="shared" si="333"/>
        <v>0</v>
      </c>
      <c r="S142" s="2647"/>
      <c r="T142" s="2647"/>
      <c r="U142" s="2648"/>
      <c r="V142" s="782">
        <f t="shared" si="334"/>
        <v>0</v>
      </c>
      <c r="W142" s="2647"/>
      <c r="X142" s="2647"/>
      <c r="Y142" s="2649"/>
      <c r="Z142" s="781">
        <f t="shared" si="335"/>
        <v>0</v>
      </c>
      <c r="AA142" s="3613"/>
      <c r="AB142" s="3562">
        <f t="shared" si="336"/>
        <v>0</v>
      </c>
      <c r="AC142" s="2647"/>
      <c r="AD142" s="2647"/>
      <c r="AE142" s="2648"/>
      <c r="AF142" s="782">
        <f t="shared" si="337"/>
        <v>0</v>
      </c>
      <c r="AG142" s="2647"/>
      <c r="AH142" s="2647"/>
      <c r="AI142" s="2648"/>
      <c r="AJ142" s="373">
        <f t="shared" si="323"/>
        <v>0</v>
      </c>
      <c r="AK142" s="2647"/>
      <c r="AL142" s="2647"/>
      <c r="AM142" s="2649"/>
      <c r="AN142" s="618">
        <f t="shared" si="324"/>
        <v>0</v>
      </c>
      <c r="AO142" s="2648"/>
      <c r="AP142" s="373">
        <f t="shared" si="325"/>
        <v>0</v>
      </c>
      <c r="AQ142" s="2647"/>
      <c r="AR142" s="2647"/>
      <c r="AS142" s="2648"/>
      <c r="AT142" s="43">
        <f t="shared" si="326"/>
        <v>0</v>
      </c>
      <c r="AU142" s="2647"/>
      <c r="AV142" s="2647"/>
      <c r="AW142" s="2648"/>
      <c r="AX142" s="43">
        <f t="shared" si="327"/>
        <v>0</v>
      </c>
      <c r="AY142" s="2647"/>
      <c r="AZ142" s="2647"/>
      <c r="BA142" s="2649"/>
      <c r="BB142" s="618">
        <f t="shared" si="328"/>
        <v>0</v>
      </c>
      <c r="BC142" s="3613"/>
      <c r="BD142" s="3562">
        <f t="shared" si="329"/>
        <v>0</v>
      </c>
      <c r="BE142" s="852"/>
      <c r="BF142" s="43">
        <f t="shared" si="330"/>
        <v>0</v>
      </c>
      <c r="BG142" s="26"/>
      <c r="BH142" s="26"/>
      <c r="BI142" s="26"/>
      <c r="BJ142" s="26"/>
      <c r="BK142" s="26"/>
    </row>
    <row r="143" spans="1:63" ht="15.75" customHeight="1" thickBot="1" x14ac:dyDescent="0.3">
      <c r="A143" s="93"/>
      <c r="B143" s="3623" t="s">
        <v>869</v>
      </c>
      <c r="C143" s="3625" t="s">
        <v>951</v>
      </c>
      <c r="D143" s="3626"/>
      <c r="E143" s="2647"/>
      <c r="F143" s="2647"/>
      <c r="G143" s="2647"/>
      <c r="H143" s="2647"/>
      <c r="I143" s="2648"/>
      <c r="J143" s="782">
        <f t="shared" si="331"/>
        <v>0</v>
      </c>
      <c r="K143" s="2647"/>
      <c r="L143" s="2647"/>
      <c r="M143" s="2649"/>
      <c r="N143" s="781">
        <f t="shared" si="332"/>
        <v>0</v>
      </c>
      <c r="O143" s="2647"/>
      <c r="P143" s="2647"/>
      <c r="Q143" s="2648"/>
      <c r="R143" s="782">
        <f t="shared" si="333"/>
        <v>0</v>
      </c>
      <c r="S143" s="2647"/>
      <c r="T143" s="2647"/>
      <c r="U143" s="2648"/>
      <c r="V143" s="782">
        <f t="shared" si="334"/>
        <v>0</v>
      </c>
      <c r="W143" s="2647"/>
      <c r="X143" s="2647"/>
      <c r="Y143" s="2649"/>
      <c r="Z143" s="781">
        <f t="shared" si="335"/>
        <v>0</v>
      </c>
      <c r="AA143" s="3613"/>
      <c r="AB143" s="3562">
        <f t="shared" si="336"/>
        <v>0</v>
      </c>
      <c r="AC143" s="2647"/>
      <c r="AD143" s="2647"/>
      <c r="AE143" s="2648"/>
      <c r="AF143" s="782">
        <f t="shared" si="337"/>
        <v>0</v>
      </c>
      <c r="AG143" s="2647"/>
      <c r="AH143" s="2647">
        <v>63.26</v>
      </c>
      <c r="AI143" s="2648"/>
      <c r="AJ143" s="373">
        <f t="shared" si="323"/>
        <v>63.26</v>
      </c>
      <c r="AK143" s="2647"/>
      <c r="AL143" s="2647"/>
      <c r="AM143" s="2649"/>
      <c r="AN143" s="618">
        <f t="shared" si="324"/>
        <v>63.26</v>
      </c>
      <c r="AO143" s="2648"/>
      <c r="AP143" s="373">
        <f t="shared" si="325"/>
        <v>63.26</v>
      </c>
      <c r="AQ143" s="2647"/>
      <c r="AR143" s="2647"/>
      <c r="AS143" s="2648"/>
      <c r="AT143" s="43">
        <f t="shared" si="326"/>
        <v>63.26</v>
      </c>
      <c r="AU143" s="2647"/>
      <c r="AV143" s="2647"/>
      <c r="AW143" s="2648"/>
      <c r="AX143" s="43">
        <f t="shared" si="327"/>
        <v>63.26</v>
      </c>
      <c r="AY143" s="2647"/>
      <c r="AZ143" s="2647"/>
      <c r="BA143" s="2649"/>
      <c r="BB143" s="618">
        <f t="shared" si="328"/>
        <v>0</v>
      </c>
      <c r="BC143" s="3613"/>
      <c r="BD143" s="3562">
        <f t="shared" si="329"/>
        <v>63.26</v>
      </c>
      <c r="BE143" s="852"/>
      <c r="BF143" s="43">
        <f t="shared" si="330"/>
        <v>63.26</v>
      </c>
      <c r="BG143" s="26"/>
      <c r="BH143" s="26"/>
      <c r="BI143" s="26"/>
      <c r="BJ143" s="26"/>
      <c r="BK143" s="26"/>
    </row>
    <row r="144" spans="1:63" ht="15.75" customHeight="1" thickBot="1" x14ac:dyDescent="0.3">
      <c r="A144" s="93"/>
      <c r="B144" s="3623" t="s">
        <v>869</v>
      </c>
      <c r="C144" s="3616" t="s">
        <v>1465</v>
      </c>
      <c r="D144" s="3616"/>
      <c r="E144" s="1201"/>
      <c r="F144" s="1201"/>
      <c r="G144" s="1201"/>
      <c r="H144" s="1201"/>
      <c r="I144" s="782"/>
      <c r="J144" s="782">
        <f t="shared" si="331"/>
        <v>0</v>
      </c>
      <c r="K144" s="1201"/>
      <c r="L144" s="1201"/>
      <c r="M144" s="781"/>
      <c r="N144" s="781">
        <f t="shared" si="332"/>
        <v>0</v>
      </c>
      <c r="O144" s="1201"/>
      <c r="P144" s="1201"/>
      <c r="Q144" s="782"/>
      <c r="R144" s="782">
        <f t="shared" si="333"/>
        <v>0</v>
      </c>
      <c r="S144" s="1201"/>
      <c r="T144" s="1201"/>
      <c r="U144" s="782"/>
      <c r="V144" s="782">
        <f t="shared" si="334"/>
        <v>0</v>
      </c>
      <c r="W144" s="1201"/>
      <c r="X144" s="1201"/>
      <c r="Y144" s="781"/>
      <c r="Z144" s="781">
        <f t="shared" si="335"/>
        <v>0</v>
      </c>
      <c r="AA144" s="3562"/>
      <c r="AB144" s="3562">
        <f t="shared" si="336"/>
        <v>0</v>
      </c>
      <c r="AC144" s="1201"/>
      <c r="AD144" s="1201"/>
      <c r="AE144" s="782"/>
      <c r="AF144" s="782">
        <f t="shared" si="337"/>
        <v>0</v>
      </c>
      <c r="AG144" s="1201"/>
      <c r="AH144" s="1201"/>
      <c r="AI144" s="782"/>
      <c r="AJ144" s="373">
        <f t="shared" si="323"/>
        <v>0</v>
      </c>
      <c r="AK144" s="1201"/>
      <c r="AL144" s="1201"/>
      <c r="AM144" s="781"/>
      <c r="AN144" s="618">
        <f t="shared" si="324"/>
        <v>0</v>
      </c>
      <c r="AO144" s="782"/>
      <c r="AP144" s="373">
        <f t="shared" si="325"/>
        <v>0</v>
      </c>
      <c r="AQ144" s="1201"/>
      <c r="AR144" s="1201"/>
      <c r="AS144" s="782"/>
      <c r="AT144" s="43">
        <f t="shared" si="326"/>
        <v>0</v>
      </c>
      <c r="AU144" s="1201"/>
      <c r="AV144" s="1201"/>
      <c r="AW144" s="782"/>
      <c r="AX144" s="43">
        <f t="shared" si="327"/>
        <v>0</v>
      </c>
      <c r="AY144" s="1201"/>
      <c r="AZ144" s="1201"/>
      <c r="BA144" s="781"/>
      <c r="BB144" s="618">
        <f t="shared" si="328"/>
        <v>0</v>
      </c>
      <c r="BC144" s="3562"/>
      <c r="BD144" s="3562">
        <f t="shared" si="329"/>
        <v>0</v>
      </c>
      <c r="BE144" s="852"/>
      <c r="BF144" s="43">
        <f t="shared" si="330"/>
        <v>0</v>
      </c>
      <c r="BG144" s="26"/>
      <c r="BH144" s="26"/>
      <c r="BI144" s="26"/>
      <c r="BJ144" s="26"/>
      <c r="BK144" s="26"/>
    </row>
    <row r="145" spans="1:63" ht="15.75" thickBot="1" x14ac:dyDescent="0.3">
      <c r="A145" s="93"/>
      <c r="B145" s="3624" t="s">
        <v>869</v>
      </c>
      <c r="C145" s="3619" t="s">
        <v>1153</v>
      </c>
      <c r="D145" s="3589"/>
      <c r="E145" s="109"/>
      <c r="F145" s="109"/>
      <c r="G145" s="109"/>
      <c r="H145" s="109"/>
      <c r="I145" s="589"/>
      <c r="J145" s="782">
        <f t="shared" si="331"/>
        <v>0</v>
      </c>
      <c r="K145" s="109"/>
      <c r="L145" s="109"/>
      <c r="M145" s="488"/>
      <c r="N145" s="781">
        <f t="shared" si="332"/>
        <v>0</v>
      </c>
      <c r="O145" s="109"/>
      <c r="P145" s="109"/>
      <c r="Q145" s="589"/>
      <c r="R145" s="782">
        <f t="shared" si="333"/>
        <v>0</v>
      </c>
      <c r="S145" s="109"/>
      <c r="T145" s="109">
        <v>1399.68</v>
      </c>
      <c r="U145" s="589"/>
      <c r="V145" s="782">
        <f t="shared" si="334"/>
        <v>1399.68</v>
      </c>
      <c r="W145" s="109"/>
      <c r="X145" s="109"/>
      <c r="Y145" s="488"/>
      <c r="Z145" s="781">
        <f t="shared" si="335"/>
        <v>1399.68</v>
      </c>
      <c r="AA145" s="3590"/>
      <c r="AB145" s="3562">
        <f t="shared" si="336"/>
        <v>1399.68</v>
      </c>
      <c r="AC145" s="109"/>
      <c r="AD145" s="109"/>
      <c r="AE145" s="589"/>
      <c r="AF145" s="782">
        <f t="shared" si="337"/>
        <v>1399.68</v>
      </c>
      <c r="AG145" s="109"/>
      <c r="AH145" s="109"/>
      <c r="AI145" s="589"/>
      <c r="AJ145" s="373">
        <f t="shared" si="323"/>
        <v>1399.68</v>
      </c>
      <c r="AK145" s="109"/>
      <c r="AL145" s="109"/>
      <c r="AM145" s="488"/>
      <c r="AN145" s="618">
        <f t="shared" si="324"/>
        <v>0</v>
      </c>
      <c r="AO145" s="589"/>
      <c r="AP145" s="373">
        <f t="shared" si="325"/>
        <v>1399.68</v>
      </c>
      <c r="AQ145" s="109"/>
      <c r="AR145" s="109"/>
      <c r="AS145" s="589"/>
      <c r="AT145" s="43">
        <f t="shared" si="326"/>
        <v>1399.68</v>
      </c>
      <c r="AU145" s="109"/>
      <c r="AV145" s="109"/>
      <c r="AW145" s="589"/>
      <c r="AX145" s="43">
        <f t="shared" si="327"/>
        <v>1399.68</v>
      </c>
      <c r="AY145" s="109"/>
      <c r="AZ145" s="109"/>
      <c r="BA145" s="488"/>
      <c r="BB145" s="618">
        <f t="shared" si="328"/>
        <v>0</v>
      </c>
      <c r="BC145" s="3590"/>
      <c r="BD145" s="3562">
        <f t="shared" si="329"/>
        <v>0</v>
      </c>
      <c r="BE145" s="852"/>
      <c r="BF145" s="43">
        <f t="shared" si="330"/>
        <v>1399.68</v>
      </c>
      <c r="BG145" s="26"/>
      <c r="BH145" s="26"/>
      <c r="BI145" s="26"/>
      <c r="BJ145" s="26"/>
      <c r="BK145" s="26"/>
    </row>
    <row r="146" spans="1:63" ht="20.25" customHeight="1" thickBot="1" x14ac:dyDescent="0.3">
      <c r="A146" s="93"/>
      <c r="B146" s="3620" t="s">
        <v>870</v>
      </c>
      <c r="C146" s="3615" t="s">
        <v>951</v>
      </c>
      <c r="D146" s="3580"/>
      <c r="E146" s="158"/>
      <c r="F146" s="158"/>
      <c r="G146" s="158"/>
      <c r="H146" s="158">
        <v>245.6</v>
      </c>
      <c r="I146" s="373"/>
      <c r="J146" s="782">
        <f t="shared" si="331"/>
        <v>245.6</v>
      </c>
      <c r="K146" s="158"/>
      <c r="L146" s="158">
        <v>61.04</v>
      </c>
      <c r="M146" s="618"/>
      <c r="N146" s="781">
        <f t="shared" si="332"/>
        <v>306.64</v>
      </c>
      <c r="O146" s="158"/>
      <c r="P146" s="158"/>
      <c r="Q146" s="373"/>
      <c r="R146" s="782">
        <f t="shared" si="333"/>
        <v>306.64</v>
      </c>
      <c r="S146" s="158"/>
      <c r="T146" s="158"/>
      <c r="U146" s="373"/>
      <c r="V146" s="782">
        <f t="shared" si="334"/>
        <v>306.64</v>
      </c>
      <c r="W146" s="158"/>
      <c r="X146" s="158"/>
      <c r="Y146" s="618"/>
      <c r="Z146" s="781">
        <f t="shared" si="335"/>
        <v>0</v>
      </c>
      <c r="AA146" s="3585"/>
      <c r="AB146" s="3562">
        <f t="shared" si="336"/>
        <v>306.64</v>
      </c>
      <c r="AC146" s="158"/>
      <c r="AD146" s="158"/>
      <c r="AE146" s="373"/>
      <c r="AF146" s="782">
        <f t="shared" si="337"/>
        <v>306.64</v>
      </c>
      <c r="AG146" s="158"/>
      <c r="AH146" s="158">
        <v>685.33999999999992</v>
      </c>
      <c r="AI146" s="373"/>
      <c r="AJ146" s="373">
        <f t="shared" si="323"/>
        <v>991.9799999999999</v>
      </c>
      <c r="AK146" s="158"/>
      <c r="AL146" s="158"/>
      <c r="AM146" s="618"/>
      <c r="AN146" s="618">
        <f t="shared" si="324"/>
        <v>685.33999999999992</v>
      </c>
      <c r="AO146" s="373"/>
      <c r="AP146" s="373">
        <f t="shared" si="325"/>
        <v>991.9799999999999</v>
      </c>
      <c r="AQ146" s="158"/>
      <c r="AR146" s="158"/>
      <c r="AS146" s="373"/>
      <c r="AT146" s="43">
        <f t="shared" si="326"/>
        <v>991.9799999999999</v>
      </c>
      <c r="AU146" s="158"/>
      <c r="AV146" s="158"/>
      <c r="AW146" s="373"/>
      <c r="AX146" s="43">
        <f t="shared" si="327"/>
        <v>991.9799999999999</v>
      </c>
      <c r="AY146" s="158"/>
      <c r="AZ146" s="158"/>
      <c r="BA146" s="618"/>
      <c r="BB146" s="618">
        <f t="shared" si="328"/>
        <v>0</v>
      </c>
      <c r="BC146" s="3585"/>
      <c r="BD146" s="3562">
        <f t="shared" si="329"/>
        <v>685.33999999999992</v>
      </c>
      <c r="BE146" s="852"/>
      <c r="BF146" s="43">
        <f t="shared" si="330"/>
        <v>991.9799999999999</v>
      </c>
      <c r="BG146" s="26"/>
      <c r="BH146" s="26"/>
      <c r="BI146" s="26"/>
      <c r="BJ146" s="26"/>
      <c r="BK146" s="26"/>
    </row>
    <row r="147" spans="1:63" ht="15.75" thickBot="1" x14ac:dyDescent="0.3">
      <c r="A147" s="93"/>
      <c r="B147" s="3623" t="s">
        <v>870</v>
      </c>
      <c r="C147" s="3616" t="s">
        <v>883</v>
      </c>
      <c r="D147" s="3587"/>
      <c r="E147" s="3575"/>
      <c r="F147" s="1201"/>
      <c r="G147" s="3575"/>
      <c r="H147" s="1201">
        <v>125.42</v>
      </c>
      <c r="I147" s="852"/>
      <c r="J147" s="782">
        <f t="shared" si="331"/>
        <v>125.42</v>
      </c>
      <c r="K147" s="3575"/>
      <c r="L147" s="1201">
        <v>370.84000000000003</v>
      </c>
      <c r="M147" s="902"/>
      <c r="N147" s="781">
        <f t="shared" si="332"/>
        <v>496.26000000000005</v>
      </c>
      <c r="O147" s="3575"/>
      <c r="P147" s="1201">
        <v>727.42000000000007</v>
      </c>
      <c r="Q147" s="852"/>
      <c r="R147" s="782">
        <f t="shared" si="333"/>
        <v>1223.68</v>
      </c>
      <c r="S147" s="3575"/>
      <c r="T147" s="1201">
        <v>437.34000000000003</v>
      </c>
      <c r="U147" s="852"/>
      <c r="V147" s="782">
        <f t="shared" si="334"/>
        <v>1661.02</v>
      </c>
      <c r="W147" s="3575"/>
      <c r="X147" s="1201">
        <v>495.94000000000005</v>
      </c>
      <c r="Y147" s="902"/>
      <c r="Z147" s="781">
        <f t="shared" si="335"/>
        <v>1660.7000000000003</v>
      </c>
      <c r="AA147" s="3591"/>
      <c r="AB147" s="3562">
        <f t="shared" si="336"/>
        <v>2156.9600000000005</v>
      </c>
      <c r="AC147" s="3575"/>
      <c r="AD147" s="1201">
        <v>1748.0400000000002</v>
      </c>
      <c r="AE147" s="852"/>
      <c r="AF147" s="782">
        <f t="shared" si="337"/>
        <v>3905.0000000000009</v>
      </c>
      <c r="AG147" s="3575"/>
      <c r="AH147" s="1201">
        <v>185.28</v>
      </c>
      <c r="AI147" s="852"/>
      <c r="AJ147" s="373">
        <f t="shared" si="323"/>
        <v>4090.2800000000011</v>
      </c>
      <c r="AK147" s="3575"/>
      <c r="AL147" s="1201">
        <v>1081.1199999999999</v>
      </c>
      <c r="AM147" s="902"/>
      <c r="AN147" s="618">
        <f t="shared" si="324"/>
        <v>3014.44</v>
      </c>
      <c r="AO147" s="852"/>
      <c r="AP147" s="373">
        <f t="shared" si="325"/>
        <v>5171.4000000000015</v>
      </c>
      <c r="AQ147" s="3575"/>
      <c r="AR147" s="1201"/>
      <c r="AS147" s="852"/>
      <c r="AT147" s="43">
        <f t="shared" si="326"/>
        <v>5171.4000000000015</v>
      </c>
      <c r="AU147" s="3575"/>
      <c r="AV147" s="1201">
        <v>811.83999999999992</v>
      </c>
      <c r="AW147" s="852"/>
      <c r="AX147" s="43">
        <f t="shared" si="327"/>
        <v>5983.2400000000016</v>
      </c>
      <c r="AY147" s="3575"/>
      <c r="AZ147" s="1201">
        <v>1729.9199999999998</v>
      </c>
      <c r="BA147" s="902"/>
      <c r="BB147" s="618">
        <f t="shared" si="328"/>
        <v>2541.7599999999998</v>
      </c>
      <c r="BC147" s="3591"/>
      <c r="BD147" s="3562">
        <f t="shared" si="329"/>
        <v>5556.2</v>
      </c>
      <c r="BE147" s="852"/>
      <c r="BF147" s="43">
        <f t="shared" si="330"/>
        <v>7713.1600000000017</v>
      </c>
      <c r="BG147" s="26"/>
      <c r="BH147" s="26"/>
      <c r="BI147" s="26"/>
      <c r="BJ147" s="26"/>
      <c r="BK147" s="26"/>
    </row>
    <row r="148" spans="1:63" ht="15.75" thickBot="1" x14ac:dyDescent="0.3">
      <c r="A148" s="93"/>
      <c r="B148" s="3623" t="s">
        <v>870</v>
      </c>
      <c r="C148" s="3616" t="s">
        <v>1151</v>
      </c>
      <c r="D148" s="159"/>
      <c r="E148" s="159"/>
      <c r="F148" s="1201">
        <v>190.92000000000002</v>
      </c>
      <c r="G148" s="159"/>
      <c r="H148" s="1201">
        <v>316.74</v>
      </c>
      <c r="I148" s="590"/>
      <c r="J148" s="782">
        <f t="shared" si="331"/>
        <v>507.66</v>
      </c>
      <c r="K148" s="159"/>
      <c r="L148" s="1201">
        <v>570.52</v>
      </c>
      <c r="M148" s="946"/>
      <c r="N148" s="781">
        <f t="shared" si="332"/>
        <v>1078.18</v>
      </c>
      <c r="O148" s="159"/>
      <c r="P148" s="1201">
        <v>258.86</v>
      </c>
      <c r="Q148" s="590"/>
      <c r="R148" s="782">
        <f t="shared" si="333"/>
        <v>1337.04</v>
      </c>
      <c r="S148" s="159"/>
      <c r="T148" s="1201">
        <v>576.0200000000001</v>
      </c>
      <c r="U148" s="590"/>
      <c r="V148" s="782">
        <f t="shared" si="334"/>
        <v>1913.06</v>
      </c>
      <c r="W148" s="159"/>
      <c r="X148" s="1201"/>
      <c r="Y148" s="946"/>
      <c r="Z148" s="781">
        <f t="shared" si="335"/>
        <v>834.88000000000011</v>
      </c>
      <c r="AA148" s="3627"/>
      <c r="AB148" s="3562">
        <f t="shared" si="336"/>
        <v>1913.0600000000002</v>
      </c>
      <c r="AC148" s="159"/>
      <c r="AD148" s="1201"/>
      <c r="AE148" s="590"/>
      <c r="AF148" s="782">
        <f t="shared" si="337"/>
        <v>1913.0600000000002</v>
      </c>
      <c r="AG148" s="159"/>
      <c r="AH148" s="1201"/>
      <c r="AI148" s="590"/>
      <c r="AJ148" s="373">
        <f t="shared" si="323"/>
        <v>1913.0600000000002</v>
      </c>
      <c r="AK148" s="159"/>
      <c r="AL148" s="1201"/>
      <c r="AM148" s="946"/>
      <c r="AN148" s="618">
        <f t="shared" si="324"/>
        <v>0</v>
      </c>
      <c r="AO148" s="590"/>
      <c r="AP148" s="373">
        <f t="shared" si="325"/>
        <v>1913.0600000000002</v>
      </c>
      <c r="AQ148" s="159"/>
      <c r="AR148" s="1201"/>
      <c r="AS148" s="590"/>
      <c r="AT148" s="43">
        <f t="shared" si="326"/>
        <v>1913.0600000000002</v>
      </c>
      <c r="AU148" s="159"/>
      <c r="AV148" s="1201">
        <v>130.42000000000002</v>
      </c>
      <c r="AW148" s="590"/>
      <c r="AX148" s="43">
        <f t="shared" si="327"/>
        <v>2043.4800000000002</v>
      </c>
      <c r="AY148" s="159"/>
      <c r="AZ148" s="1201">
        <v>254.26000000000002</v>
      </c>
      <c r="BA148" s="946"/>
      <c r="BB148" s="618">
        <f t="shared" si="328"/>
        <v>384.68000000000006</v>
      </c>
      <c r="BC148" s="3627"/>
      <c r="BD148" s="3562">
        <f t="shared" si="329"/>
        <v>384.68000000000006</v>
      </c>
      <c r="BE148" s="852"/>
      <c r="BF148" s="43">
        <f t="shared" si="330"/>
        <v>2297.7400000000002</v>
      </c>
      <c r="BG148" s="26"/>
      <c r="BH148" s="26"/>
      <c r="BI148" s="26"/>
      <c r="BJ148" s="26"/>
      <c r="BK148" s="26"/>
    </row>
    <row r="149" spans="1:63" ht="15.75" hidden="1" customHeight="1" thickBot="1" x14ac:dyDescent="0.35">
      <c r="A149" s="93"/>
      <c r="B149" s="4826" t="s">
        <v>870</v>
      </c>
      <c r="C149" s="4827" t="s">
        <v>2101</v>
      </c>
      <c r="D149" s="4828"/>
      <c r="E149" s="4828"/>
      <c r="F149" s="4806">
        <v>63.4</v>
      </c>
      <c r="G149" s="4828"/>
      <c r="H149" s="4806">
        <v>189.16000000000003</v>
      </c>
      <c r="I149" s="4829"/>
      <c r="J149" s="782">
        <f t="shared" si="331"/>
        <v>252.56000000000003</v>
      </c>
      <c r="K149" s="4828"/>
      <c r="L149" s="4806"/>
      <c r="M149" s="4830"/>
      <c r="N149" s="781">
        <f t="shared" si="332"/>
        <v>252.56000000000003</v>
      </c>
      <c r="O149" s="4828"/>
      <c r="P149" s="4806">
        <v>165.56</v>
      </c>
      <c r="Q149" s="4829"/>
      <c r="R149" s="782">
        <f t="shared" si="333"/>
        <v>418.12</v>
      </c>
      <c r="S149" s="4828"/>
      <c r="T149" s="4806">
        <v>40.950000000000003</v>
      </c>
      <c r="U149" s="4829"/>
      <c r="V149" s="782">
        <f t="shared" si="334"/>
        <v>459.07</v>
      </c>
      <c r="W149" s="4828"/>
      <c r="X149" s="4806"/>
      <c r="Y149" s="4830"/>
      <c r="Z149" s="781">
        <f t="shared" si="335"/>
        <v>206.51</v>
      </c>
      <c r="AA149" s="4831"/>
      <c r="AB149" s="3562">
        <f t="shared" si="336"/>
        <v>459.07000000000005</v>
      </c>
      <c r="AC149" s="4828"/>
      <c r="AD149" s="4806"/>
      <c r="AE149" s="4829"/>
      <c r="AF149" s="782">
        <f t="shared" si="337"/>
        <v>459.07000000000005</v>
      </c>
      <c r="AG149" s="4828"/>
      <c r="AH149" s="4806"/>
      <c r="AI149" s="4829"/>
      <c r="AJ149" s="373"/>
      <c r="AK149" s="4828"/>
      <c r="AL149" s="4806"/>
      <c r="AM149" s="4830"/>
      <c r="AN149" s="618"/>
      <c r="AO149" s="4829"/>
      <c r="AP149" s="373"/>
      <c r="AQ149" s="4828"/>
      <c r="AR149" s="4806"/>
      <c r="AS149" s="4829"/>
      <c r="AT149" s="43"/>
      <c r="AU149" s="4828"/>
      <c r="AV149" s="4806"/>
      <c r="AW149" s="4829"/>
      <c r="AX149" s="43"/>
      <c r="AY149" s="4828"/>
      <c r="AZ149" s="4806">
        <v>81.449999999999989</v>
      </c>
      <c r="BA149" s="4830"/>
      <c r="BB149" s="618">
        <f t="shared" si="328"/>
        <v>81.449999999999989</v>
      </c>
      <c r="BC149" s="4831"/>
      <c r="BD149" s="3562">
        <f t="shared" si="329"/>
        <v>81.449999999999989</v>
      </c>
      <c r="BE149" s="852"/>
      <c r="BF149" s="43">
        <f t="shared" si="330"/>
        <v>81.449999999999989</v>
      </c>
      <c r="BG149" s="26"/>
      <c r="BH149" s="26"/>
      <c r="BI149" s="26"/>
      <c r="BJ149" s="26"/>
      <c r="BK149" s="26"/>
    </row>
    <row r="150" spans="1:63" ht="15.75" hidden="1" customHeight="1" thickBot="1" x14ac:dyDescent="0.35">
      <c r="A150" s="93"/>
      <c r="B150" s="3623" t="s">
        <v>870</v>
      </c>
      <c r="C150" s="3616" t="s">
        <v>908</v>
      </c>
      <c r="D150" s="3616"/>
      <c r="E150" s="3575"/>
      <c r="F150" s="1201"/>
      <c r="G150" s="3575"/>
      <c r="H150" s="1201"/>
      <c r="I150" s="852"/>
      <c r="J150" s="782">
        <f t="shared" si="331"/>
        <v>0</v>
      </c>
      <c r="K150" s="3575"/>
      <c r="L150" s="1201"/>
      <c r="M150" s="902"/>
      <c r="N150" s="781">
        <f t="shared" si="332"/>
        <v>0</v>
      </c>
      <c r="O150" s="3575"/>
      <c r="P150" s="1201"/>
      <c r="Q150" s="852"/>
      <c r="R150" s="782">
        <f t="shared" si="333"/>
        <v>0</v>
      </c>
      <c r="S150" s="3575"/>
      <c r="T150" s="1201"/>
      <c r="U150" s="852"/>
      <c r="V150" s="782">
        <f t="shared" si="334"/>
        <v>0</v>
      </c>
      <c r="W150" s="3575"/>
      <c r="X150" s="1201"/>
      <c r="Y150" s="902"/>
      <c r="Z150" s="781">
        <f t="shared" si="335"/>
        <v>0</v>
      </c>
      <c r="AA150" s="3591"/>
      <c r="AB150" s="3562">
        <f t="shared" si="336"/>
        <v>0</v>
      </c>
      <c r="AC150" s="3575"/>
      <c r="AD150" s="1201"/>
      <c r="AE150" s="852"/>
      <c r="AF150" s="782">
        <f t="shared" si="337"/>
        <v>0</v>
      </c>
      <c r="AG150" s="3575"/>
      <c r="AH150" s="1201"/>
      <c r="AI150" s="852"/>
      <c r="AJ150" s="373">
        <f t="shared" si="323"/>
        <v>0</v>
      </c>
      <c r="AK150" s="3575"/>
      <c r="AL150" s="1201"/>
      <c r="AM150" s="902"/>
      <c r="AN150" s="618">
        <f t="shared" si="324"/>
        <v>0</v>
      </c>
      <c r="AO150" s="852"/>
      <c r="AP150" s="373">
        <f t="shared" si="325"/>
        <v>0</v>
      </c>
      <c r="AQ150" s="3575"/>
      <c r="AR150" s="1201"/>
      <c r="AS150" s="852"/>
      <c r="AT150" s="43">
        <f t="shared" si="326"/>
        <v>0</v>
      </c>
      <c r="AU150" s="3575"/>
      <c r="AV150" s="1201">
        <v>32.11</v>
      </c>
      <c r="AW150" s="852"/>
      <c r="AX150" s="43">
        <f t="shared" si="327"/>
        <v>32.11</v>
      </c>
      <c r="AY150" s="3575"/>
      <c r="AZ150" s="1201"/>
      <c r="BA150" s="902"/>
      <c r="BB150" s="618">
        <f t="shared" si="328"/>
        <v>32.11</v>
      </c>
      <c r="BC150" s="3591"/>
      <c r="BD150" s="3562">
        <f t="shared" si="329"/>
        <v>32.11</v>
      </c>
      <c r="BE150" s="852"/>
      <c r="BF150" s="43">
        <f t="shared" si="330"/>
        <v>32.11</v>
      </c>
      <c r="BG150" s="26"/>
      <c r="BH150" s="26"/>
      <c r="BI150" s="26"/>
      <c r="BJ150" s="26"/>
      <c r="BK150" s="26"/>
    </row>
    <row r="151" spans="1:63" ht="15.75" thickBot="1" x14ac:dyDescent="0.3">
      <c r="A151" s="93"/>
      <c r="B151" s="3623" t="s">
        <v>870</v>
      </c>
      <c r="C151" s="3616" t="s">
        <v>997</v>
      </c>
      <c r="D151" s="3587"/>
      <c r="E151" s="3575"/>
      <c r="F151" s="1201"/>
      <c r="G151" s="3575"/>
      <c r="H151" s="1201"/>
      <c r="I151" s="852"/>
      <c r="J151" s="782">
        <f t="shared" si="331"/>
        <v>0</v>
      </c>
      <c r="K151" s="3575"/>
      <c r="L151" s="1201">
        <v>185.56</v>
      </c>
      <c r="M151" s="902"/>
      <c r="N151" s="781">
        <f t="shared" si="332"/>
        <v>185.56</v>
      </c>
      <c r="O151" s="3575"/>
      <c r="P151" s="1201">
        <v>112.96000000000001</v>
      </c>
      <c r="Q151" s="852"/>
      <c r="R151" s="782">
        <f t="shared" si="333"/>
        <v>298.52</v>
      </c>
      <c r="S151" s="3575"/>
      <c r="T151" s="1201">
        <v>179.34</v>
      </c>
      <c r="U151" s="852"/>
      <c r="V151" s="782">
        <f t="shared" si="334"/>
        <v>477.86</v>
      </c>
      <c r="W151" s="3575"/>
      <c r="X151" s="1201"/>
      <c r="Y151" s="902"/>
      <c r="Z151" s="781">
        <f t="shared" si="335"/>
        <v>292.3</v>
      </c>
      <c r="AA151" s="3591"/>
      <c r="AB151" s="3562">
        <f t="shared" si="336"/>
        <v>477.86</v>
      </c>
      <c r="AC151" s="3575"/>
      <c r="AD151" s="1201"/>
      <c r="AE151" s="852"/>
      <c r="AF151" s="782">
        <f t="shared" si="337"/>
        <v>477.86</v>
      </c>
      <c r="AG151" s="3575"/>
      <c r="AH151" s="1201"/>
      <c r="AI151" s="852"/>
      <c r="AJ151" s="373">
        <f t="shared" si="323"/>
        <v>477.86</v>
      </c>
      <c r="AK151" s="3575"/>
      <c r="AL151" s="1201"/>
      <c r="AM151" s="902"/>
      <c r="AN151" s="618">
        <f t="shared" si="324"/>
        <v>0</v>
      </c>
      <c r="AO151" s="852"/>
      <c r="AP151" s="373">
        <f t="shared" si="325"/>
        <v>477.86</v>
      </c>
      <c r="AQ151" s="3575"/>
      <c r="AR151" s="1201">
        <v>176.72</v>
      </c>
      <c r="AS151" s="852"/>
      <c r="AT151" s="43">
        <f t="shared" si="326"/>
        <v>654.58000000000004</v>
      </c>
      <c r="AU151" s="3575"/>
      <c r="AV151" s="1201"/>
      <c r="AW151" s="852"/>
      <c r="AX151" s="43">
        <f t="shared" si="327"/>
        <v>654.58000000000004</v>
      </c>
      <c r="AY151" s="3575"/>
      <c r="AZ151" s="1201">
        <v>62.48</v>
      </c>
      <c r="BA151" s="902"/>
      <c r="BB151" s="618">
        <f t="shared" ref="BB151:BB215" si="338">AR151+AV151+AZ151</f>
        <v>239.2</v>
      </c>
      <c r="BC151" s="3591"/>
      <c r="BD151" s="3562">
        <f t="shared" si="329"/>
        <v>239.2</v>
      </c>
      <c r="BE151" s="852"/>
      <c r="BF151" s="43">
        <f t="shared" si="330"/>
        <v>717.06000000000006</v>
      </c>
      <c r="BG151" s="26"/>
      <c r="BH151" s="26"/>
      <c r="BI151" s="26"/>
      <c r="BJ151" s="26"/>
      <c r="BK151" s="26"/>
    </row>
    <row r="152" spans="1:63" ht="15.75" hidden="1" customHeight="1" thickBot="1" x14ac:dyDescent="0.35">
      <c r="A152" s="93"/>
      <c r="B152" s="3623" t="s">
        <v>870</v>
      </c>
      <c r="C152" s="4733" t="s">
        <v>905</v>
      </c>
      <c r="D152" s="4734"/>
      <c r="E152" s="4735"/>
      <c r="F152" s="4690"/>
      <c r="G152" s="4735"/>
      <c r="H152" s="4690"/>
      <c r="I152" s="4728"/>
      <c r="J152" s="782">
        <f t="shared" si="331"/>
        <v>0</v>
      </c>
      <c r="K152" s="4735"/>
      <c r="L152" s="4690"/>
      <c r="M152" s="4729"/>
      <c r="N152" s="781">
        <f t="shared" si="332"/>
        <v>0</v>
      </c>
      <c r="O152" s="4735"/>
      <c r="P152" s="4690"/>
      <c r="Q152" s="4728"/>
      <c r="R152" s="782">
        <f t="shared" si="333"/>
        <v>0</v>
      </c>
      <c r="S152" s="4735"/>
      <c r="T152" s="4690"/>
      <c r="U152" s="4728"/>
      <c r="V152" s="782">
        <f t="shared" si="334"/>
        <v>0</v>
      </c>
      <c r="W152" s="4735"/>
      <c r="X152" s="4690"/>
      <c r="Y152" s="4729"/>
      <c r="Z152" s="781">
        <f t="shared" si="335"/>
        <v>0</v>
      </c>
      <c r="AA152" s="4736"/>
      <c r="AB152" s="3562">
        <f t="shared" si="336"/>
        <v>0</v>
      </c>
      <c r="AC152" s="4735"/>
      <c r="AD152" s="4690"/>
      <c r="AE152" s="4728"/>
      <c r="AF152" s="782">
        <f t="shared" si="337"/>
        <v>0</v>
      </c>
      <c r="AG152" s="4735"/>
      <c r="AH152" s="4690"/>
      <c r="AI152" s="4728"/>
      <c r="AJ152" s="373"/>
      <c r="AK152" s="4735"/>
      <c r="AL152" s="4690"/>
      <c r="AM152" s="4729"/>
      <c r="AN152" s="618">
        <f t="shared" si="324"/>
        <v>0</v>
      </c>
      <c r="AO152" s="4728"/>
      <c r="AP152" s="373">
        <f t="shared" si="325"/>
        <v>0</v>
      </c>
      <c r="AQ152" s="4735"/>
      <c r="AR152" s="4690">
        <v>82.13</v>
      </c>
      <c r="AS152" s="4728"/>
      <c r="AT152" s="43">
        <f t="shared" si="326"/>
        <v>82.13</v>
      </c>
      <c r="AU152" s="4735"/>
      <c r="AV152" s="4690">
        <v>60.2</v>
      </c>
      <c r="AW152" s="4728"/>
      <c r="AX152" s="43">
        <f t="shared" si="327"/>
        <v>142.32999999999998</v>
      </c>
      <c r="AY152" s="4735"/>
      <c r="AZ152" s="4690"/>
      <c r="BA152" s="4729"/>
      <c r="BB152" s="618">
        <f t="shared" si="338"/>
        <v>142.32999999999998</v>
      </c>
      <c r="BC152" s="4736"/>
      <c r="BD152" s="3562">
        <f t="shared" si="329"/>
        <v>142.32999999999998</v>
      </c>
      <c r="BE152" s="852"/>
      <c r="BF152" s="43">
        <f t="shared" si="330"/>
        <v>142.32999999999998</v>
      </c>
      <c r="BG152" s="26"/>
      <c r="BH152" s="26"/>
      <c r="BI152" s="26"/>
      <c r="BJ152" s="26"/>
      <c r="BK152" s="26"/>
    </row>
    <row r="153" spans="1:63" ht="15.75" thickBot="1" x14ac:dyDescent="0.3">
      <c r="A153" s="93"/>
      <c r="B153" s="3623" t="s">
        <v>870</v>
      </c>
      <c r="C153" s="3625" t="s">
        <v>1156</v>
      </c>
      <c r="D153" s="3626"/>
      <c r="E153" s="3449"/>
      <c r="F153" s="2647"/>
      <c r="G153" s="3449"/>
      <c r="H153" s="2647">
        <v>60.76</v>
      </c>
      <c r="I153" s="2928"/>
      <c r="J153" s="782">
        <f t="shared" si="331"/>
        <v>60.76</v>
      </c>
      <c r="K153" s="3449"/>
      <c r="L153" s="2647"/>
      <c r="M153" s="2896"/>
      <c r="N153" s="781">
        <f t="shared" si="332"/>
        <v>60.76</v>
      </c>
      <c r="O153" s="3449"/>
      <c r="P153" s="2647"/>
      <c r="Q153" s="2928"/>
      <c r="R153" s="782">
        <f t="shared" si="333"/>
        <v>60.76</v>
      </c>
      <c r="S153" s="3449"/>
      <c r="T153" s="2647"/>
      <c r="U153" s="2928"/>
      <c r="V153" s="782">
        <f t="shared" si="334"/>
        <v>60.76</v>
      </c>
      <c r="W153" s="3449"/>
      <c r="X153" s="2647">
        <v>125.14</v>
      </c>
      <c r="Y153" s="2896"/>
      <c r="Z153" s="781">
        <f t="shared" si="335"/>
        <v>125.14</v>
      </c>
      <c r="AA153" s="3628"/>
      <c r="AB153" s="3562">
        <f t="shared" si="336"/>
        <v>185.9</v>
      </c>
      <c r="AC153" s="3449"/>
      <c r="AD153" s="2647"/>
      <c r="AE153" s="2928"/>
      <c r="AF153" s="782">
        <f t="shared" si="337"/>
        <v>185.9</v>
      </c>
      <c r="AG153" s="3449"/>
      <c r="AH153" s="2647"/>
      <c r="AI153" s="2928"/>
      <c r="AJ153" s="373">
        <f t="shared" si="323"/>
        <v>185.9</v>
      </c>
      <c r="AK153" s="3449"/>
      <c r="AL153" s="2647"/>
      <c r="AM153" s="2896"/>
      <c r="AN153" s="618">
        <f t="shared" si="324"/>
        <v>0</v>
      </c>
      <c r="AO153" s="2928"/>
      <c r="AP153" s="373">
        <f t="shared" si="325"/>
        <v>185.9</v>
      </c>
      <c r="AQ153" s="3449"/>
      <c r="AR153" s="2647">
        <v>100</v>
      </c>
      <c r="AS153" s="2928"/>
      <c r="AT153" s="43">
        <f t="shared" si="326"/>
        <v>285.89999999999998</v>
      </c>
      <c r="AU153" s="3449"/>
      <c r="AV153" s="2647"/>
      <c r="AW153" s="2928"/>
      <c r="AX153" s="43">
        <f t="shared" si="327"/>
        <v>285.89999999999998</v>
      </c>
      <c r="AY153" s="3449"/>
      <c r="AZ153" s="2647"/>
      <c r="BA153" s="2896"/>
      <c r="BB153" s="618">
        <f t="shared" si="338"/>
        <v>100</v>
      </c>
      <c r="BC153" s="3628"/>
      <c r="BD153" s="3562">
        <f t="shared" si="329"/>
        <v>100</v>
      </c>
      <c r="BE153" s="852"/>
      <c r="BF153" s="43">
        <f t="shared" si="330"/>
        <v>285.89999999999998</v>
      </c>
      <c r="BG153" s="26"/>
      <c r="BH153" s="26"/>
      <c r="BI153" s="26"/>
      <c r="BJ153" s="26"/>
      <c r="BK153" s="26"/>
    </row>
    <row r="154" spans="1:63" ht="15.75" hidden="1" customHeight="1" thickBot="1" x14ac:dyDescent="0.35">
      <c r="A154" s="93"/>
      <c r="B154" s="3623" t="s">
        <v>870</v>
      </c>
      <c r="C154" s="3616" t="s">
        <v>914</v>
      </c>
      <c r="D154" s="3587"/>
      <c r="E154" s="3575"/>
      <c r="F154" s="1201"/>
      <c r="G154" s="3575"/>
      <c r="H154" s="1201"/>
      <c r="I154" s="852"/>
      <c r="J154" s="782">
        <f t="shared" si="331"/>
        <v>0</v>
      </c>
      <c r="K154" s="3575"/>
      <c r="L154" s="1201"/>
      <c r="M154" s="902"/>
      <c r="N154" s="781">
        <f t="shared" si="332"/>
        <v>0</v>
      </c>
      <c r="O154" s="3575"/>
      <c r="P154" s="1201"/>
      <c r="Q154" s="852"/>
      <c r="R154" s="782">
        <f t="shared" si="333"/>
        <v>0</v>
      </c>
      <c r="S154" s="3575"/>
      <c r="T154" s="1201"/>
      <c r="U154" s="852"/>
      <c r="V154" s="782">
        <f t="shared" si="334"/>
        <v>0</v>
      </c>
      <c r="W154" s="3575"/>
      <c r="X154" s="1201"/>
      <c r="Y154" s="902"/>
      <c r="Z154" s="781">
        <f t="shared" si="335"/>
        <v>0</v>
      </c>
      <c r="AA154" s="3591"/>
      <c r="AB154" s="3562">
        <f t="shared" si="336"/>
        <v>0</v>
      </c>
      <c r="AC154" s="3575"/>
      <c r="AD154" s="1201">
        <v>39.979999999999997</v>
      </c>
      <c r="AE154" s="852"/>
      <c r="AF154" s="782">
        <f t="shared" si="337"/>
        <v>39.979999999999997</v>
      </c>
      <c r="AG154" s="3575"/>
      <c r="AH154" s="1201">
        <v>120.86</v>
      </c>
      <c r="AI154" s="852"/>
      <c r="AJ154" s="373">
        <f t="shared" si="323"/>
        <v>160.84</v>
      </c>
      <c r="AK154" s="3575"/>
      <c r="AL154" s="1201"/>
      <c r="AM154" s="902"/>
      <c r="AN154" s="618">
        <f t="shared" si="324"/>
        <v>160.84</v>
      </c>
      <c r="AO154" s="852"/>
      <c r="AP154" s="373">
        <f t="shared" si="325"/>
        <v>160.84</v>
      </c>
      <c r="AQ154" s="3575"/>
      <c r="AR154" s="1201"/>
      <c r="AS154" s="852"/>
      <c r="AT154" s="43">
        <f t="shared" si="326"/>
        <v>160.84</v>
      </c>
      <c r="AU154" s="3575"/>
      <c r="AV154" s="1201">
        <v>180.62</v>
      </c>
      <c r="AW154" s="852"/>
      <c r="AX154" s="43">
        <f t="shared" si="327"/>
        <v>341.46000000000004</v>
      </c>
      <c r="AY154" s="3575"/>
      <c r="AZ154" s="1201"/>
      <c r="BA154" s="902"/>
      <c r="BB154" s="618">
        <f t="shared" si="338"/>
        <v>180.62</v>
      </c>
      <c r="BC154" s="3591"/>
      <c r="BD154" s="3562">
        <f t="shared" si="329"/>
        <v>341.46000000000004</v>
      </c>
      <c r="BE154" s="852"/>
      <c r="BF154" s="43">
        <f t="shared" si="330"/>
        <v>341.46000000000004</v>
      </c>
      <c r="BG154" s="26"/>
      <c r="BH154" s="26"/>
      <c r="BI154" s="26"/>
      <c r="BJ154" s="26"/>
      <c r="BK154" s="26"/>
    </row>
    <row r="155" spans="1:63" ht="15.75" thickBot="1" x14ac:dyDescent="0.3">
      <c r="A155" s="93"/>
      <c r="B155" s="3623" t="s">
        <v>870</v>
      </c>
      <c r="C155" s="3616" t="s">
        <v>1152</v>
      </c>
      <c r="D155" s="3587"/>
      <c r="E155" s="3575"/>
      <c r="F155" s="1201">
        <v>40.54</v>
      </c>
      <c r="G155" s="3575"/>
      <c r="H155" s="1201"/>
      <c r="I155" s="852"/>
      <c r="J155" s="782">
        <f t="shared" si="331"/>
        <v>40.54</v>
      </c>
      <c r="K155" s="3575"/>
      <c r="L155" s="1201"/>
      <c r="M155" s="902"/>
      <c r="N155" s="781">
        <f t="shared" si="332"/>
        <v>40.54</v>
      </c>
      <c r="O155" s="3575"/>
      <c r="P155" s="1201"/>
      <c r="Q155" s="852"/>
      <c r="R155" s="782">
        <f t="shared" si="333"/>
        <v>40.54</v>
      </c>
      <c r="S155" s="3575"/>
      <c r="T155" s="1201"/>
      <c r="U155" s="852"/>
      <c r="V155" s="782">
        <f t="shared" si="334"/>
        <v>40.54</v>
      </c>
      <c r="W155" s="3575"/>
      <c r="X155" s="1201"/>
      <c r="Y155" s="902"/>
      <c r="Z155" s="781">
        <f t="shared" si="335"/>
        <v>0</v>
      </c>
      <c r="AA155" s="3591"/>
      <c r="AB155" s="3562">
        <f t="shared" si="336"/>
        <v>40.54</v>
      </c>
      <c r="AC155" s="3575"/>
      <c r="AD155" s="1201"/>
      <c r="AE155" s="852"/>
      <c r="AF155" s="782">
        <f t="shared" si="337"/>
        <v>40.54</v>
      </c>
      <c r="AG155" s="3575"/>
      <c r="AH155" s="1201"/>
      <c r="AI155" s="852"/>
      <c r="AJ155" s="373">
        <f t="shared" si="323"/>
        <v>40.54</v>
      </c>
      <c r="AK155" s="3575"/>
      <c r="AL155" s="1201">
        <v>95.860000000000014</v>
      </c>
      <c r="AM155" s="902"/>
      <c r="AN155" s="618">
        <f t="shared" si="324"/>
        <v>95.860000000000014</v>
      </c>
      <c r="AO155" s="852"/>
      <c r="AP155" s="373">
        <f t="shared" si="325"/>
        <v>136.4</v>
      </c>
      <c r="AQ155" s="3575"/>
      <c r="AR155" s="1201"/>
      <c r="AS155" s="852"/>
      <c r="AT155" s="43">
        <f t="shared" si="326"/>
        <v>136.4</v>
      </c>
      <c r="AU155" s="3575"/>
      <c r="AV155" s="1201"/>
      <c r="AW155" s="852"/>
      <c r="AX155" s="43">
        <f t="shared" si="327"/>
        <v>136.4</v>
      </c>
      <c r="AY155" s="3575"/>
      <c r="AZ155" s="1201"/>
      <c r="BA155" s="902"/>
      <c r="BB155" s="618">
        <f t="shared" si="338"/>
        <v>0</v>
      </c>
      <c r="BC155" s="3591"/>
      <c r="BD155" s="3562">
        <f t="shared" si="329"/>
        <v>95.860000000000014</v>
      </c>
      <c r="BE155" s="852"/>
      <c r="BF155" s="43">
        <f t="shared" si="330"/>
        <v>136.4</v>
      </c>
      <c r="BG155" s="26"/>
      <c r="BH155" s="26"/>
      <c r="BI155" s="26"/>
      <c r="BJ155" s="26"/>
      <c r="BK155" s="26"/>
    </row>
    <row r="156" spans="1:63" ht="15.75" hidden="1" customHeight="1" thickBot="1" x14ac:dyDescent="0.35">
      <c r="A156" s="93"/>
      <c r="B156" s="3623" t="s">
        <v>870</v>
      </c>
      <c r="C156" s="3625" t="s">
        <v>879</v>
      </c>
      <c r="D156" s="3626"/>
      <c r="E156" s="3449"/>
      <c r="F156" s="2647"/>
      <c r="G156" s="3449"/>
      <c r="H156" s="2647"/>
      <c r="I156" s="2928"/>
      <c r="J156" s="782">
        <f t="shared" si="331"/>
        <v>0</v>
      </c>
      <c r="K156" s="3449"/>
      <c r="L156" s="2647"/>
      <c r="M156" s="2896"/>
      <c r="N156" s="781">
        <f t="shared" si="332"/>
        <v>0</v>
      </c>
      <c r="O156" s="3449"/>
      <c r="P156" s="2647"/>
      <c r="Q156" s="2928"/>
      <c r="R156" s="782">
        <f t="shared" si="333"/>
        <v>0</v>
      </c>
      <c r="S156" s="3449"/>
      <c r="T156" s="2647"/>
      <c r="U156" s="2928"/>
      <c r="V156" s="782">
        <f t="shared" si="334"/>
        <v>0</v>
      </c>
      <c r="W156" s="3449"/>
      <c r="X156" s="2647"/>
      <c r="Y156" s="2896"/>
      <c r="Z156" s="781">
        <f t="shared" si="335"/>
        <v>0</v>
      </c>
      <c r="AA156" s="3628"/>
      <c r="AB156" s="3562">
        <f t="shared" si="336"/>
        <v>0</v>
      </c>
      <c r="AC156" s="3449"/>
      <c r="AD156" s="2647"/>
      <c r="AE156" s="2928"/>
      <c r="AF156" s="782">
        <f t="shared" si="337"/>
        <v>0</v>
      </c>
      <c r="AG156" s="3449"/>
      <c r="AH156" s="2647"/>
      <c r="AI156" s="2928"/>
      <c r="AJ156" s="373">
        <f t="shared" si="323"/>
        <v>0</v>
      </c>
      <c r="AK156" s="3449"/>
      <c r="AL156" s="2647"/>
      <c r="AM156" s="2896"/>
      <c r="AN156" s="618">
        <f t="shared" si="324"/>
        <v>0</v>
      </c>
      <c r="AO156" s="2928"/>
      <c r="AP156" s="373">
        <f t="shared" si="325"/>
        <v>0</v>
      </c>
      <c r="AQ156" s="3449"/>
      <c r="AR156" s="2647"/>
      <c r="AS156" s="2928"/>
      <c r="AT156" s="43">
        <f t="shared" si="326"/>
        <v>0</v>
      </c>
      <c r="AU156" s="3449"/>
      <c r="AV156" s="2647"/>
      <c r="AW156" s="2928"/>
      <c r="AX156" s="43">
        <f t="shared" si="327"/>
        <v>0</v>
      </c>
      <c r="AY156" s="3449"/>
      <c r="AZ156" s="2647"/>
      <c r="BA156" s="2896"/>
      <c r="BB156" s="618">
        <f t="shared" si="338"/>
        <v>0</v>
      </c>
      <c r="BC156" s="3628"/>
      <c r="BD156" s="3562">
        <f t="shared" si="329"/>
        <v>0</v>
      </c>
      <c r="BE156" s="852"/>
      <c r="BF156" s="43">
        <f t="shared" si="330"/>
        <v>0</v>
      </c>
      <c r="BG156" s="26"/>
      <c r="BH156" s="26"/>
      <c r="BI156" s="26"/>
      <c r="BJ156" s="26"/>
      <c r="BK156" s="26"/>
    </row>
    <row r="157" spans="1:63" ht="15.75" hidden="1" customHeight="1" thickBot="1" x14ac:dyDescent="0.35">
      <c r="A157" s="154"/>
      <c r="B157" s="3623" t="s">
        <v>870</v>
      </c>
      <c r="C157" s="3616" t="s">
        <v>1289</v>
      </c>
      <c r="D157" s="3616"/>
      <c r="E157" s="3575"/>
      <c r="F157" s="1201"/>
      <c r="G157" s="3575"/>
      <c r="H157" s="1201"/>
      <c r="I157" s="852"/>
      <c r="J157" s="782">
        <f t="shared" si="331"/>
        <v>0</v>
      </c>
      <c r="K157" s="3575"/>
      <c r="L157" s="1201"/>
      <c r="M157" s="902"/>
      <c r="N157" s="781">
        <f t="shared" si="332"/>
        <v>0</v>
      </c>
      <c r="O157" s="3575"/>
      <c r="P157" s="1201"/>
      <c r="Q157" s="852"/>
      <c r="R157" s="782">
        <f t="shared" si="333"/>
        <v>0</v>
      </c>
      <c r="S157" s="3575"/>
      <c r="T157" s="1201"/>
      <c r="U157" s="852"/>
      <c r="V157" s="782">
        <f t="shared" si="334"/>
        <v>0</v>
      </c>
      <c r="W157" s="3575"/>
      <c r="X157" s="1201"/>
      <c r="Y157" s="902"/>
      <c r="Z157" s="781">
        <f t="shared" si="335"/>
        <v>0</v>
      </c>
      <c r="AA157" s="3591"/>
      <c r="AB157" s="3562">
        <f t="shared" si="336"/>
        <v>0</v>
      </c>
      <c r="AC157" s="3575"/>
      <c r="AD157" s="1201"/>
      <c r="AE157" s="852"/>
      <c r="AF157" s="782">
        <f t="shared" si="337"/>
        <v>0</v>
      </c>
      <c r="AG157" s="3575"/>
      <c r="AH157" s="1201"/>
      <c r="AI157" s="852"/>
      <c r="AJ157" s="373">
        <f t="shared" si="323"/>
        <v>0</v>
      </c>
      <c r="AK157" s="3575"/>
      <c r="AL157" s="1201"/>
      <c r="AM157" s="902"/>
      <c r="AN157" s="618">
        <f t="shared" si="324"/>
        <v>0</v>
      </c>
      <c r="AO157" s="852"/>
      <c r="AP157" s="373">
        <f t="shared" si="325"/>
        <v>0</v>
      </c>
      <c r="AQ157" s="3575"/>
      <c r="AR157" s="1201"/>
      <c r="AS157" s="852"/>
      <c r="AT157" s="43">
        <f t="shared" si="326"/>
        <v>0</v>
      </c>
      <c r="AU157" s="3575"/>
      <c r="AV157" s="1201"/>
      <c r="AW157" s="852"/>
      <c r="AX157" s="43">
        <f t="shared" si="327"/>
        <v>0</v>
      </c>
      <c r="AY157" s="3575"/>
      <c r="AZ157" s="1201"/>
      <c r="BA157" s="902"/>
      <c r="BB157" s="618">
        <f t="shared" si="338"/>
        <v>0</v>
      </c>
      <c r="BC157" s="3591"/>
      <c r="BD157" s="3562">
        <f t="shared" si="329"/>
        <v>0</v>
      </c>
      <c r="BE157" s="852"/>
      <c r="BF157" s="43">
        <f t="shared" si="330"/>
        <v>0</v>
      </c>
      <c r="BG157" s="26"/>
      <c r="BH157" s="26"/>
      <c r="BI157" s="26"/>
      <c r="BJ157" s="26"/>
      <c r="BK157" s="26"/>
    </row>
    <row r="158" spans="1:63" ht="15.75" thickBot="1" x14ac:dyDescent="0.3">
      <c r="A158" s="154"/>
      <c r="B158" s="3623" t="s">
        <v>870</v>
      </c>
      <c r="C158" s="3625" t="s">
        <v>1154</v>
      </c>
      <c r="D158" s="3625"/>
      <c r="E158" s="3449"/>
      <c r="F158" s="2647">
        <v>126.92</v>
      </c>
      <c r="G158" s="3449"/>
      <c r="H158" s="2647">
        <v>63.56</v>
      </c>
      <c r="I158" s="2928"/>
      <c r="J158" s="782">
        <f t="shared" si="331"/>
        <v>190.48000000000002</v>
      </c>
      <c r="K158" s="3449"/>
      <c r="L158" s="2647"/>
      <c r="M158" s="2896"/>
      <c r="N158" s="781">
        <f t="shared" si="332"/>
        <v>190.48000000000002</v>
      </c>
      <c r="O158" s="3449"/>
      <c r="P158" s="2647">
        <v>63.74</v>
      </c>
      <c r="Q158" s="2928"/>
      <c r="R158" s="782">
        <f t="shared" si="333"/>
        <v>254.22000000000003</v>
      </c>
      <c r="S158" s="3449"/>
      <c r="T158" s="2647">
        <v>125.97999999999999</v>
      </c>
      <c r="U158" s="2928"/>
      <c r="V158" s="782">
        <f t="shared" si="334"/>
        <v>380.20000000000005</v>
      </c>
      <c r="W158" s="3449"/>
      <c r="X158" s="2647">
        <v>63.56</v>
      </c>
      <c r="Y158" s="2896"/>
      <c r="Z158" s="781">
        <f t="shared" si="335"/>
        <v>253.28</v>
      </c>
      <c r="AA158" s="3628"/>
      <c r="AB158" s="3562">
        <f t="shared" si="336"/>
        <v>443.76</v>
      </c>
      <c r="AC158" s="3449"/>
      <c r="AD158" s="2647"/>
      <c r="AE158" s="2928"/>
      <c r="AF158" s="782">
        <f t="shared" si="337"/>
        <v>443.76</v>
      </c>
      <c r="AG158" s="3449"/>
      <c r="AH158" s="2647"/>
      <c r="AI158" s="2928"/>
      <c r="AJ158" s="373">
        <f t="shared" si="323"/>
        <v>443.76</v>
      </c>
      <c r="AK158" s="3449"/>
      <c r="AL158" s="2647"/>
      <c r="AM158" s="2896"/>
      <c r="AN158" s="618">
        <f t="shared" si="324"/>
        <v>0</v>
      </c>
      <c r="AO158" s="2928"/>
      <c r="AP158" s="373">
        <f t="shared" si="325"/>
        <v>443.76</v>
      </c>
      <c r="AQ158" s="3449"/>
      <c r="AR158" s="2647"/>
      <c r="AS158" s="2928"/>
      <c r="AT158" s="43">
        <f t="shared" si="326"/>
        <v>443.76</v>
      </c>
      <c r="AU158" s="3449"/>
      <c r="AV158" s="2647"/>
      <c r="AW158" s="2928"/>
      <c r="AX158" s="43">
        <f t="shared" si="327"/>
        <v>443.76</v>
      </c>
      <c r="AY158" s="3449"/>
      <c r="AZ158" s="2647"/>
      <c r="BA158" s="2896"/>
      <c r="BB158" s="618">
        <f t="shared" si="338"/>
        <v>0</v>
      </c>
      <c r="BC158" s="3628"/>
      <c r="BD158" s="3562">
        <f t="shared" si="329"/>
        <v>0</v>
      </c>
      <c r="BE158" s="852"/>
      <c r="BF158" s="43">
        <f t="shared" si="330"/>
        <v>443.76</v>
      </c>
      <c r="BG158" s="26"/>
      <c r="BH158" s="26"/>
      <c r="BI158" s="26"/>
      <c r="BJ158" s="26"/>
      <c r="BK158" s="26"/>
    </row>
    <row r="159" spans="1:63" ht="15.75" thickBot="1" x14ac:dyDescent="0.3">
      <c r="A159" s="154"/>
      <c r="B159" s="3623" t="s">
        <v>870</v>
      </c>
      <c r="C159" s="3616" t="s">
        <v>1155</v>
      </c>
      <c r="D159" s="3616"/>
      <c r="E159" s="3575"/>
      <c r="F159" s="1201">
        <v>1802.5199999999995</v>
      </c>
      <c r="G159" s="3575"/>
      <c r="H159" s="1201">
        <v>1727.8400000000001</v>
      </c>
      <c r="I159" s="852"/>
      <c r="J159" s="782">
        <f t="shared" si="331"/>
        <v>3530.3599999999997</v>
      </c>
      <c r="K159" s="3575"/>
      <c r="L159" s="1201">
        <v>63.52</v>
      </c>
      <c r="M159" s="902"/>
      <c r="N159" s="781">
        <f t="shared" si="332"/>
        <v>3593.8799999999997</v>
      </c>
      <c r="O159" s="3575"/>
      <c r="P159" s="1201">
        <v>571.64</v>
      </c>
      <c r="Q159" s="852"/>
      <c r="R159" s="782">
        <f t="shared" si="333"/>
        <v>4165.5199999999995</v>
      </c>
      <c r="S159" s="3575"/>
      <c r="T159" s="1201">
        <v>697.56</v>
      </c>
      <c r="U159" s="852"/>
      <c r="V159" s="782">
        <f t="shared" si="334"/>
        <v>4863.08</v>
      </c>
      <c r="W159" s="3575"/>
      <c r="X159" s="1201">
        <v>1329.6000000000001</v>
      </c>
      <c r="Y159" s="902"/>
      <c r="Z159" s="781">
        <f t="shared" si="335"/>
        <v>2598.8000000000002</v>
      </c>
      <c r="AA159" s="3591"/>
      <c r="AB159" s="3562">
        <f t="shared" si="336"/>
        <v>6192.68</v>
      </c>
      <c r="AC159" s="3575"/>
      <c r="AD159" s="1201">
        <v>4023.360000000001</v>
      </c>
      <c r="AE159" s="852"/>
      <c r="AF159" s="782">
        <f t="shared" si="337"/>
        <v>10216.040000000001</v>
      </c>
      <c r="AG159" s="3575"/>
      <c r="AH159" s="1201">
        <v>1370.14</v>
      </c>
      <c r="AI159" s="852"/>
      <c r="AJ159" s="373">
        <f t="shared" si="323"/>
        <v>11586.18</v>
      </c>
      <c r="AK159" s="3575"/>
      <c r="AL159" s="1201">
        <v>1811.2199999999991</v>
      </c>
      <c r="AM159" s="902"/>
      <c r="AN159" s="618">
        <f t="shared" si="324"/>
        <v>7204.72</v>
      </c>
      <c r="AO159" s="852"/>
      <c r="AP159" s="373">
        <f t="shared" si="325"/>
        <v>13397.4</v>
      </c>
      <c r="AQ159" s="3575"/>
      <c r="AR159" s="1201"/>
      <c r="AS159" s="852"/>
      <c r="AT159" s="43">
        <f t="shared" si="326"/>
        <v>13397.4</v>
      </c>
      <c r="AU159" s="3575"/>
      <c r="AV159" s="1201">
        <v>973.66</v>
      </c>
      <c r="AW159" s="852"/>
      <c r="AX159" s="43">
        <f t="shared" si="327"/>
        <v>14371.06</v>
      </c>
      <c r="AY159" s="3575"/>
      <c r="AZ159" s="1201">
        <v>1531.5800000000002</v>
      </c>
      <c r="BA159" s="902"/>
      <c r="BB159" s="618">
        <f t="shared" si="338"/>
        <v>2505.2400000000002</v>
      </c>
      <c r="BC159" s="3591"/>
      <c r="BD159" s="3562">
        <f t="shared" si="329"/>
        <v>9709.9600000000009</v>
      </c>
      <c r="BE159" s="852"/>
      <c r="BF159" s="43">
        <f t="shared" si="330"/>
        <v>15902.64</v>
      </c>
      <c r="BG159" s="26"/>
      <c r="BH159" s="26"/>
      <c r="BI159" s="26"/>
      <c r="BJ159" s="26"/>
      <c r="BK159" s="26"/>
    </row>
    <row r="160" spans="1:63" ht="15.75" thickBot="1" x14ac:dyDescent="0.3">
      <c r="A160" s="93"/>
      <c r="B160" s="3623" t="s">
        <v>870</v>
      </c>
      <c r="C160" s="3616" t="s">
        <v>909</v>
      </c>
      <c r="D160" s="159"/>
      <c r="E160" s="159"/>
      <c r="F160" s="1201">
        <v>253.16000000000003</v>
      </c>
      <c r="G160" s="159"/>
      <c r="H160" s="1201"/>
      <c r="I160" s="590"/>
      <c r="J160" s="782">
        <f t="shared" si="331"/>
        <v>253.16000000000003</v>
      </c>
      <c r="K160" s="159"/>
      <c r="L160" s="1201"/>
      <c r="M160" s="946"/>
      <c r="N160" s="781">
        <f t="shared" si="332"/>
        <v>253.16000000000003</v>
      </c>
      <c r="O160" s="159"/>
      <c r="P160" s="1201"/>
      <c r="Q160" s="590"/>
      <c r="R160" s="782">
        <f t="shared" si="333"/>
        <v>253.16000000000003</v>
      </c>
      <c r="S160" s="159"/>
      <c r="T160" s="1201"/>
      <c r="U160" s="590"/>
      <c r="V160" s="782">
        <f t="shared" si="334"/>
        <v>253.16000000000003</v>
      </c>
      <c r="W160" s="159"/>
      <c r="X160" s="1201"/>
      <c r="Y160" s="946"/>
      <c r="Z160" s="781">
        <f t="shared" si="335"/>
        <v>0</v>
      </c>
      <c r="AA160" s="3627"/>
      <c r="AB160" s="3562">
        <f t="shared" si="336"/>
        <v>253.16000000000003</v>
      </c>
      <c r="AC160" s="159"/>
      <c r="AD160" s="1201"/>
      <c r="AE160" s="590"/>
      <c r="AF160" s="782">
        <f t="shared" si="337"/>
        <v>253.16000000000003</v>
      </c>
      <c r="AG160" s="159"/>
      <c r="AH160" s="1201">
        <v>285.33000000000004</v>
      </c>
      <c r="AI160" s="590"/>
      <c r="AJ160" s="373">
        <f t="shared" si="323"/>
        <v>538.49</v>
      </c>
      <c r="AK160" s="159"/>
      <c r="AL160" s="1201">
        <v>131.47999999999999</v>
      </c>
      <c r="AM160" s="946"/>
      <c r="AN160" s="618">
        <f t="shared" si="324"/>
        <v>416.81000000000006</v>
      </c>
      <c r="AO160" s="590"/>
      <c r="AP160" s="373">
        <f t="shared" si="325"/>
        <v>669.97</v>
      </c>
      <c r="AQ160" s="159"/>
      <c r="AR160" s="1201">
        <v>193.44</v>
      </c>
      <c r="AS160" s="590"/>
      <c r="AT160" s="43">
        <f t="shared" si="326"/>
        <v>863.41000000000008</v>
      </c>
      <c r="AU160" s="159"/>
      <c r="AV160" s="1201"/>
      <c r="AW160" s="590"/>
      <c r="AX160" s="43">
        <f t="shared" si="327"/>
        <v>863.41000000000008</v>
      </c>
      <c r="AY160" s="159"/>
      <c r="AZ160" s="1201"/>
      <c r="BA160" s="946"/>
      <c r="BB160" s="618">
        <f t="shared" si="338"/>
        <v>193.44</v>
      </c>
      <c r="BC160" s="3627"/>
      <c r="BD160" s="3562">
        <f t="shared" si="329"/>
        <v>610.25</v>
      </c>
      <c r="BE160" s="590"/>
      <c r="BF160" s="43">
        <f t="shared" si="330"/>
        <v>863.41000000000008</v>
      </c>
      <c r="BG160" s="26"/>
      <c r="BH160" s="26"/>
      <c r="BI160" s="26"/>
      <c r="BJ160" s="26"/>
      <c r="BK160" s="26"/>
    </row>
    <row r="161" spans="1:63" ht="15.75" thickBot="1" x14ac:dyDescent="0.3">
      <c r="A161" s="93"/>
      <c r="B161" s="3623" t="s">
        <v>870</v>
      </c>
      <c r="C161" s="3616" t="s">
        <v>884</v>
      </c>
      <c r="D161" s="3587"/>
      <c r="E161" s="3575"/>
      <c r="F161" s="1201">
        <v>4544.3099999999995</v>
      </c>
      <c r="G161" s="3575"/>
      <c r="H161" s="1201">
        <v>3683.9400000000005</v>
      </c>
      <c r="I161" s="852"/>
      <c r="J161" s="782">
        <f t="shared" si="331"/>
        <v>8228.25</v>
      </c>
      <c r="K161" s="3575"/>
      <c r="L161" s="1201">
        <v>5013.4799999999996</v>
      </c>
      <c r="M161" s="902"/>
      <c r="N161" s="781">
        <f t="shared" si="332"/>
        <v>13241.73</v>
      </c>
      <c r="O161" s="3575"/>
      <c r="P161" s="1201">
        <v>5173.2400000000007</v>
      </c>
      <c r="Q161" s="852"/>
      <c r="R161" s="782">
        <f t="shared" si="333"/>
        <v>18414.97</v>
      </c>
      <c r="S161" s="3575"/>
      <c r="T161" s="1201">
        <v>5236.17</v>
      </c>
      <c r="U161" s="852"/>
      <c r="V161" s="782">
        <f t="shared" si="334"/>
        <v>23651.14</v>
      </c>
      <c r="W161" s="3575"/>
      <c r="X161" s="1201">
        <v>4863.4500000000007</v>
      </c>
      <c r="Y161" s="902"/>
      <c r="Z161" s="781">
        <f t="shared" si="335"/>
        <v>15272.86</v>
      </c>
      <c r="AA161" s="3591"/>
      <c r="AB161" s="3562">
        <f t="shared" si="336"/>
        <v>28514.59</v>
      </c>
      <c r="AC161" s="3575"/>
      <c r="AD161" s="1201">
        <v>12198.93</v>
      </c>
      <c r="AE161" s="852"/>
      <c r="AF161" s="782">
        <f t="shared" si="337"/>
        <v>40713.520000000004</v>
      </c>
      <c r="AG161" s="3575"/>
      <c r="AH161" s="1201">
        <v>7534.6400000000012</v>
      </c>
      <c r="AI161" s="852"/>
      <c r="AJ161" s="373">
        <f t="shared" si="323"/>
        <v>48248.160000000003</v>
      </c>
      <c r="AK161" s="3575"/>
      <c r="AL161" s="1201">
        <v>8494.83</v>
      </c>
      <c r="AM161" s="902"/>
      <c r="AN161" s="618">
        <f t="shared" si="324"/>
        <v>28228.400000000001</v>
      </c>
      <c r="AO161" s="852"/>
      <c r="AP161" s="373">
        <f t="shared" si="325"/>
        <v>56742.990000000005</v>
      </c>
      <c r="AQ161" s="3575"/>
      <c r="AR161" s="1201">
        <v>10615.149999999998</v>
      </c>
      <c r="AS161" s="852"/>
      <c r="AT161" s="43">
        <f t="shared" si="326"/>
        <v>67358.14</v>
      </c>
      <c r="AU161" s="3575"/>
      <c r="AV161" s="1201">
        <v>6072.32</v>
      </c>
      <c r="AW161" s="852"/>
      <c r="AX161" s="43">
        <f t="shared" si="327"/>
        <v>73430.459999999992</v>
      </c>
      <c r="AY161" s="3575"/>
      <c r="AZ161" s="1201">
        <v>5573.04</v>
      </c>
      <c r="BA161" s="902"/>
      <c r="BB161" s="618">
        <f t="shared" si="338"/>
        <v>22260.51</v>
      </c>
      <c r="BC161" s="3591"/>
      <c r="BD161" s="3562">
        <f t="shared" si="329"/>
        <v>50488.91</v>
      </c>
      <c r="BE161" s="852"/>
      <c r="BF161" s="43">
        <f t="shared" si="330"/>
        <v>79003.499999999985</v>
      </c>
      <c r="BG161" s="26"/>
      <c r="BH161" s="26"/>
      <c r="BI161" s="26"/>
      <c r="BJ161" s="26"/>
      <c r="BK161" s="26"/>
    </row>
    <row r="162" spans="1:63" ht="15.75" thickBot="1" x14ac:dyDescent="0.3">
      <c r="A162" s="93"/>
      <c r="B162" s="3623" t="s">
        <v>870</v>
      </c>
      <c r="C162" s="3616" t="s">
        <v>1158</v>
      </c>
      <c r="D162" s="3587"/>
      <c r="E162" s="3575"/>
      <c r="F162" s="1201">
        <v>1559.26</v>
      </c>
      <c r="G162" s="3575"/>
      <c r="H162" s="1201">
        <v>1825.5500000000002</v>
      </c>
      <c r="I162" s="852"/>
      <c r="J162" s="782">
        <f t="shared" si="331"/>
        <v>3384.8100000000004</v>
      </c>
      <c r="K162" s="3575"/>
      <c r="L162" s="1201">
        <v>804.63999999999987</v>
      </c>
      <c r="M162" s="902"/>
      <c r="N162" s="781">
        <f t="shared" si="332"/>
        <v>4189.4500000000007</v>
      </c>
      <c r="O162" s="3575"/>
      <c r="P162" s="1201">
        <v>726.76</v>
      </c>
      <c r="Q162" s="852"/>
      <c r="R162" s="782">
        <f t="shared" si="333"/>
        <v>4916.2100000000009</v>
      </c>
      <c r="S162" s="3575"/>
      <c r="T162" s="1201">
        <v>1447.2400000000002</v>
      </c>
      <c r="U162" s="852"/>
      <c r="V162" s="782">
        <f t="shared" si="334"/>
        <v>6363.4500000000007</v>
      </c>
      <c r="W162" s="3575"/>
      <c r="X162" s="1201">
        <v>607.98</v>
      </c>
      <c r="Y162" s="902"/>
      <c r="Z162" s="781">
        <f t="shared" si="335"/>
        <v>2781.98</v>
      </c>
      <c r="AA162" s="3591"/>
      <c r="AB162" s="3562">
        <f t="shared" si="336"/>
        <v>6971.43</v>
      </c>
      <c r="AC162" s="3575"/>
      <c r="AD162" s="1201">
        <v>1188.3200000000002</v>
      </c>
      <c r="AE162" s="852"/>
      <c r="AF162" s="782">
        <f t="shared" si="337"/>
        <v>8159.75</v>
      </c>
      <c r="AG162" s="3575"/>
      <c r="AH162" s="1201">
        <v>614.15</v>
      </c>
      <c r="AI162" s="852"/>
      <c r="AJ162" s="373">
        <f t="shared" si="323"/>
        <v>8773.9</v>
      </c>
      <c r="AK162" s="3575"/>
      <c r="AL162" s="1201">
        <v>1312.9499999999998</v>
      </c>
      <c r="AM162" s="902"/>
      <c r="AN162" s="618">
        <f t="shared" si="324"/>
        <v>3115.42</v>
      </c>
      <c r="AO162" s="852"/>
      <c r="AP162" s="373">
        <f t="shared" si="325"/>
        <v>10086.849999999999</v>
      </c>
      <c r="AQ162" s="3575"/>
      <c r="AR162" s="1201">
        <v>893.05000000000007</v>
      </c>
      <c r="AS162" s="852"/>
      <c r="AT162" s="43">
        <f t="shared" si="326"/>
        <v>10979.899999999998</v>
      </c>
      <c r="AU162" s="3575"/>
      <c r="AV162" s="1201">
        <v>2012.5900000000001</v>
      </c>
      <c r="AW162" s="852"/>
      <c r="AX162" s="43">
        <f t="shared" si="327"/>
        <v>12992.489999999998</v>
      </c>
      <c r="AY162" s="3575"/>
      <c r="AZ162" s="1201">
        <v>584.04</v>
      </c>
      <c r="BA162" s="902"/>
      <c r="BB162" s="618">
        <f t="shared" si="338"/>
        <v>3489.6800000000003</v>
      </c>
      <c r="BC162" s="3591"/>
      <c r="BD162" s="3562">
        <f t="shared" si="329"/>
        <v>6605.1</v>
      </c>
      <c r="BE162" s="852"/>
      <c r="BF162" s="43">
        <f t="shared" si="330"/>
        <v>13576.529999999999</v>
      </c>
      <c r="BG162" s="26"/>
      <c r="BH162" s="26"/>
      <c r="BI162" s="26"/>
      <c r="BJ162" s="26"/>
      <c r="BK162" s="26"/>
    </row>
    <row r="163" spans="1:63" ht="15.75" customHeight="1" thickBot="1" x14ac:dyDescent="0.3">
      <c r="A163" s="93"/>
      <c r="B163" s="3620" t="s">
        <v>1003</v>
      </c>
      <c r="C163" s="3615" t="s">
        <v>1154</v>
      </c>
      <c r="D163" s="3580"/>
      <c r="E163" s="3595"/>
      <c r="F163" s="158"/>
      <c r="G163" s="3595"/>
      <c r="H163" s="158"/>
      <c r="I163" s="2927"/>
      <c r="J163" s="782">
        <f t="shared" si="331"/>
        <v>0</v>
      </c>
      <c r="K163" s="3595"/>
      <c r="L163" s="158"/>
      <c r="M163" s="3596"/>
      <c r="N163" s="781">
        <f t="shared" si="332"/>
        <v>0</v>
      </c>
      <c r="O163" s="3595"/>
      <c r="P163" s="158"/>
      <c r="Q163" s="2927"/>
      <c r="R163" s="782">
        <f t="shared" si="333"/>
        <v>0</v>
      </c>
      <c r="S163" s="3595"/>
      <c r="T163" s="158"/>
      <c r="U163" s="2927"/>
      <c r="V163" s="782">
        <f t="shared" si="334"/>
        <v>0</v>
      </c>
      <c r="W163" s="3595"/>
      <c r="X163" s="158">
        <v>63.52</v>
      </c>
      <c r="Y163" s="3596"/>
      <c r="Z163" s="781">
        <f t="shared" si="335"/>
        <v>63.52</v>
      </c>
      <c r="AA163" s="3597"/>
      <c r="AB163" s="3562">
        <f t="shared" si="336"/>
        <v>63.52</v>
      </c>
      <c r="AC163" s="3595"/>
      <c r="AD163" s="158"/>
      <c r="AE163" s="2927"/>
      <c r="AF163" s="782">
        <f t="shared" si="337"/>
        <v>63.52</v>
      </c>
      <c r="AG163" s="3595"/>
      <c r="AH163" s="158">
        <v>63.98</v>
      </c>
      <c r="AI163" s="2927"/>
      <c r="AJ163" s="373">
        <f t="shared" si="323"/>
        <v>127.5</v>
      </c>
      <c r="AK163" s="3595"/>
      <c r="AL163" s="158"/>
      <c r="AM163" s="3596"/>
      <c r="AN163" s="618">
        <f t="shared" si="324"/>
        <v>63.98</v>
      </c>
      <c r="AO163" s="2927"/>
      <c r="AP163" s="373">
        <f t="shared" si="325"/>
        <v>127.5</v>
      </c>
      <c r="AQ163" s="3595"/>
      <c r="AR163" s="158"/>
      <c r="AS163" s="2927"/>
      <c r="AT163" s="43">
        <f t="shared" si="326"/>
        <v>127.5</v>
      </c>
      <c r="AU163" s="3595"/>
      <c r="AV163" s="158"/>
      <c r="AW163" s="2927"/>
      <c r="AX163" s="43">
        <f t="shared" si="327"/>
        <v>127.5</v>
      </c>
      <c r="AY163" s="3595"/>
      <c r="AZ163" s="158"/>
      <c r="BA163" s="3596"/>
      <c r="BB163" s="618">
        <f t="shared" si="338"/>
        <v>0</v>
      </c>
      <c r="BC163" s="3597"/>
      <c r="BD163" s="3562">
        <f t="shared" si="329"/>
        <v>63.98</v>
      </c>
      <c r="BE163" s="2927"/>
      <c r="BF163" s="43">
        <f t="shared" si="330"/>
        <v>127.5</v>
      </c>
      <c r="BG163" s="26"/>
      <c r="BH163" s="26"/>
      <c r="BI163" s="26"/>
      <c r="BJ163" s="26"/>
      <c r="BK163" s="26"/>
    </row>
    <row r="164" spans="1:63" ht="15.75" customHeight="1" thickBot="1" x14ac:dyDescent="0.3">
      <c r="A164" s="93"/>
      <c r="B164" s="3623" t="s">
        <v>1003</v>
      </c>
      <c r="C164" s="3616" t="s">
        <v>1151</v>
      </c>
      <c r="D164" s="3587"/>
      <c r="E164" s="3575"/>
      <c r="F164" s="1201"/>
      <c r="G164" s="3575"/>
      <c r="H164" s="1201"/>
      <c r="I164" s="852"/>
      <c r="J164" s="782">
        <f t="shared" si="331"/>
        <v>0</v>
      </c>
      <c r="K164" s="3575"/>
      <c r="L164" s="1201"/>
      <c r="M164" s="902"/>
      <c r="N164" s="781">
        <f t="shared" si="332"/>
        <v>0</v>
      </c>
      <c r="O164" s="3575"/>
      <c r="P164" s="1201"/>
      <c r="Q164" s="852"/>
      <c r="R164" s="782">
        <f t="shared" si="333"/>
        <v>0</v>
      </c>
      <c r="S164" s="3575"/>
      <c r="T164" s="1201"/>
      <c r="U164" s="852"/>
      <c r="V164" s="782">
        <f t="shared" si="334"/>
        <v>0</v>
      </c>
      <c r="W164" s="3575"/>
      <c r="X164" s="1201"/>
      <c r="Y164" s="902"/>
      <c r="Z164" s="781">
        <f t="shared" si="335"/>
        <v>0</v>
      </c>
      <c r="AA164" s="3591"/>
      <c r="AB164" s="3562">
        <f t="shared" si="336"/>
        <v>0</v>
      </c>
      <c r="AC164" s="3575"/>
      <c r="AD164" s="1201"/>
      <c r="AE164" s="852"/>
      <c r="AF164" s="782">
        <f t="shared" si="337"/>
        <v>0</v>
      </c>
      <c r="AG164" s="3575"/>
      <c r="AH164" s="1201"/>
      <c r="AI164" s="852"/>
      <c r="AJ164" s="373">
        <f t="shared" si="323"/>
        <v>0</v>
      </c>
      <c r="AK164" s="3575"/>
      <c r="AL164" s="1201"/>
      <c r="AM164" s="902"/>
      <c r="AN164" s="618">
        <f t="shared" si="324"/>
        <v>0</v>
      </c>
      <c r="AO164" s="852"/>
      <c r="AP164" s="373">
        <f t="shared" si="325"/>
        <v>0</v>
      </c>
      <c r="AQ164" s="3575"/>
      <c r="AR164" s="1201"/>
      <c r="AS164" s="852"/>
      <c r="AT164" s="43">
        <f t="shared" si="326"/>
        <v>0</v>
      </c>
      <c r="AU164" s="3575"/>
      <c r="AV164" s="1201"/>
      <c r="AW164" s="852"/>
      <c r="AX164" s="43">
        <f t="shared" si="327"/>
        <v>0</v>
      </c>
      <c r="AY164" s="3575"/>
      <c r="AZ164" s="1201"/>
      <c r="BA164" s="902"/>
      <c r="BB164" s="618">
        <f t="shared" si="338"/>
        <v>0</v>
      </c>
      <c r="BC164" s="3591"/>
      <c r="BD164" s="3562">
        <f t="shared" si="329"/>
        <v>0</v>
      </c>
      <c r="BE164" s="852"/>
      <c r="BF164" s="43">
        <f t="shared" si="330"/>
        <v>0</v>
      </c>
      <c r="BG164" s="26"/>
      <c r="BH164" s="26"/>
      <c r="BI164" s="26"/>
      <c r="BJ164" s="26"/>
      <c r="BK164" s="26"/>
    </row>
    <row r="165" spans="1:63" ht="15.75" customHeight="1" thickBot="1" x14ac:dyDescent="0.3">
      <c r="A165" s="93"/>
      <c r="B165" s="3623" t="s">
        <v>1003</v>
      </c>
      <c r="C165" s="3616" t="s">
        <v>884</v>
      </c>
      <c r="D165" s="3587"/>
      <c r="E165" s="3575"/>
      <c r="F165" s="1201"/>
      <c r="G165" s="3575"/>
      <c r="H165" s="1201"/>
      <c r="I165" s="852"/>
      <c r="J165" s="782">
        <f t="shared" si="331"/>
        <v>0</v>
      </c>
      <c r="K165" s="3575"/>
      <c r="L165" s="1201"/>
      <c r="M165" s="902"/>
      <c r="N165" s="781">
        <f t="shared" si="332"/>
        <v>0</v>
      </c>
      <c r="O165" s="3575"/>
      <c r="P165" s="1201"/>
      <c r="Q165" s="852"/>
      <c r="R165" s="782">
        <f t="shared" si="333"/>
        <v>0</v>
      </c>
      <c r="S165" s="3575"/>
      <c r="T165" s="1201"/>
      <c r="U165" s="852"/>
      <c r="V165" s="782">
        <f t="shared" si="334"/>
        <v>0</v>
      </c>
      <c r="W165" s="3575"/>
      <c r="X165" s="1201">
        <v>1443.08</v>
      </c>
      <c r="Y165" s="902"/>
      <c r="Z165" s="781">
        <f t="shared" si="335"/>
        <v>1443.08</v>
      </c>
      <c r="AA165" s="3591"/>
      <c r="AB165" s="3562">
        <f t="shared" si="336"/>
        <v>1443.08</v>
      </c>
      <c r="AC165" s="3575"/>
      <c r="AD165" s="1201">
        <v>62.36</v>
      </c>
      <c r="AE165" s="852"/>
      <c r="AF165" s="782">
        <f t="shared" si="337"/>
        <v>1505.4399999999998</v>
      </c>
      <c r="AG165" s="3575"/>
      <c r="AH165" s="1201">
        <v>59.74</v>
      </c>
      <c r="AI165" s="852"/>
      <c r="AJ165" s="373">
        <f t="shared" si="323"/>
        <v>1565.1799999999998</v>
      </c>
      <c r="AK165" s="3575"/>
      <c r="AL165" s="1201"/>
      <c r="AM165" s="902"/>
      <c r="AN165" s="618">
        <f t="shared" si="324"/>
        <v>122.1</v>
      </c>
      <c r="AO165" s="852"/>
      <c r="AP165" s="373">
        <f t="shared" si="325"/>
        <v>1565.1799999999998</v>
      </c>
      <c r="AQ165" s="3575"/>
      <c r="AR165" s="1201"/>
      <c r="AS165" s="852"/>
      <c r="AT165" s="43">
        <f t="shared" si="326"/>
        <v>1565.1799999999998</v>
      </c>
      <c r="AU165" s="3575"/>
      <c r="AV165" s="1201"/>
      <c r="AW165" s="852"/>
      <c r="AX165" s="43">
        <f t="shared" si="327"/>
        <v>1565.1799999999998</v>
      </c>
      <c r="AY165" s="3575"/>
      <c r="AZ165" s="1201"/>
      <c r="BA165" s="902"/>
      <c r="BB165" s="618">
        <f t="shared" si="338"/>
        <v>0</v>
      </c>
      <c r="BC165" s="3591"/>
      <c r="BD165" s="3562">
        <f t="shared" si="329"/>
        <v>122.1</v>
      </c>
      <c r="BE165" s="852"/>
      <c r="BF165" s="43">
        <f t="shared" si="330"/>
        <v>1565.1799999999998</v>
      </c>
      <c r="BG165" s="26"/>
      <c r="BH165" s="26"/>
      <c r="BI165" s="26"/>
      <c r="BJ165" s="26"/>
      <c r="BK165" s="26"/>
    </row>
    <row r="166" spans="1:63" ht="15.75" customHeight="1" thickBot="1" x14ac:dyDescent="0.3">
      <c r="A166" s="93"/>
      <c r="B166" s="3623" t="s">
        <v>1003</v>
      </c>
      <c r="C166" s="3616" t="s">
        <v>1289</v>
      </c>
      <c r="D166" s="3587"/>
      <c r="E166" s="3575"/>
      <c r="F166" s="1201"/>
      <c r="G166" s="3575"/>
      <c r="H166" s="1201"/>
      <c r="I166" s="852"/>
      <c r="J166" s="782">
        <f t="shared" si="331"/>
        <v>0</v>
      </c>
      <c r="K166" s="3575"/>
      <c r="L166" s="1201"/>
      <c r="M166" s="902"/>
      <c r="N166" s="781">
        <f t="shared" si="332"/>
        <v>0</v>
      </c>
      <c r="O166" s="3575"/>
      <c r="P166" s="1201"/>
      <c r="Q166" s="852"/>
      <c r="R166" s="782">
        <f t="shared" si="333"/>
        <v>0</v>
      </c>
      <c r="S166" s="3575"/>
      <c r="T166" s="1201"/>
      <c r="U166" s="852"/>
      <c r="V166" s="782">
        <f t="shared" si="334"/>
        <v>0</v>
      </c>
      <c r="W166" s="3575"/>
      <c r="X166" s="1201"/>
      <c r="Y166" s="902"/>
      <c r="Z166" s="781">
        <f t="shared" si="335"/>
        <v>0</v>
      </c>
      <c r="AA166" s="3591"/>
      <c r="AB166" s="3562">
        <f t="shared" si="336"/>
        <v>0</v>
      </c>
      <c r="AC166" s="3575"/>
      <c r="AD166" s="1201"/>
      <c r="AE166" s="852"/>
      <c r="AF166" s="782">
        <f t="shared" si="337"/>
        <v>0</v>
      </c>
      <c r="AG166" s="3575"/>
      <c r="AH166" s="1201"/>
      <c r="AI166" s="852"/>
      <c r="AJ166" s="373">
        <f t="shared" si="323"/>
        <v>0</v>
      </c>
      <c r="AK166" s="3575"/>
      <c r="AL166" s="1201"/>
      <c r="AM166" s="902"/>
      <c r="AN166" s="618">
        <f t="shared" si="324"/>
        <v>0</v>
      </c>
      <c r="AO166" s="852"/>
      <c r="AP166" s="373">
        <f t="shared" si="325"/>
        <v>0</v>
      </c>
      <c r="AQ166" s="3575"/>
      <c r="AR166" s="1201"/>
      <c r="AS166" s="852"/>
      <c r="AT166" s="43">
        <f t="shared" si="326"/>
        <v>0</v>
      </c>
      <c r="AU166" s="3575"/>
      <c r="AV166" s="1201"/>
      <c r="AW166" s="852"/>
      <c r="AX166" s="43">
        <f t="shared" si="327"/>
        <v>0</v>
      </c>
      <c r="AY166" s="3575"/>
      <c r="AZ166" s="1201"/>
      <c r="BA166" s="902"/>
      <c r="BB166" s="618">
        <f t="shared" si="338"/>
        <v>0</v>
      </c>
      <c r="BC166" s="3591"/>
      <c r="BD166" s="3562">
        <f t="shared" si="329"/>
        <v>0</v>
      </c>
      <c r="BE166" s="852"/>
      <c r="BF166" s="43">
        <f t="shared" si="330"/>
        <v>0</v>
      </c>
      <c r="BG166" s="26"/>
      <c r="BH166" s="26"/>
      <c r="BI166" s="26"/>
      <c r="BJ166" s="26"/>
      <c r="BK166" s="26"/>
    </row>
    <row r="167" spans="1:63" ht="15.75" customHeight="1" thickBot="1" x14ac:dyDescent="0.3">
      <c r="A167" s="93"/>
      <c r="B167" s="3623" t="s">
        <v>1003</v>
      </c>
      <c r="C167" s="3616" t="s">
        <v>914</v>
      </c>
      <c r="D167" s="3587"/>
      <c r="E167" s="3575"/>
      <c r="F167" s="1201"/>
      <c r="G167" s="3575"/>
      <c r="H167" s="1201"/>
      <c r="I167" s="852"/>
      <c r="J167" s="782">
        <f t="shared" si="331"/>
        <v>0</v>
      </c>
      <c r="K167" s="3575"/>
      <c r="L167" s="1201"/>
      <c r="M167" s="902"/>
      <c r="N167" s="781">
        <f t="shared" si="332"/>
        <v>0</v>
      </c>
      <c r="O167" s="3575"/>
      <c r="P167" s="1201"/>
      <c r="Q167" s="852"/>
      <c r="R167" s="782">
        <f t="shared" si="333"/>
        <v>0</v>
      </c>
      <c r="S167" s="3575"/>
      <c r="T167" s="1201"/>
      <c r="U167" s="852"/>
      <c r="V167" s="782">
        <f t="shared" si="334"/>
        <v>0</v>
      </c>
      <c r="W167" s="3575"/>
      <c r="X167" s="1201"/>
      <c r="Y167" s="902"/>
      <c r="Z167" s="781">
        <f t="shared" si="335"/>
        <v>0</v>
      </c>
      <c r="AA167" s="3591"/>
      <c r="AB167" s="3562">
        <f t="shared" si="336"/>
        <v>0</v>
      </c>
      <c r="AC167" s="3575"/>
      <c r="AD167" s="1201"/>
      <c r="AE167" s="852"/>
      <c r="AF167" s="782">
        <f t="shared" si="337"/>
        <v>0</v>
      </c>
      <c r="AG167" s="3575"/>
      <c r="AH167" s="1201"/>
      <c r="AI167" s="852"/>
      <c r="AJ167" s="373">
        <f t="shared" si="323"/>
        <v>0</v>
      </c>
      <c r="AK167" s="3575"/>
      <c r="AL167" s="1201"/>
      <c r="AM167" s="902"/>
      <c r="AN167" s="618">
        <f t="shared" si="324"/>
        <v>0</v>
      </c>
      <c r="AO167" s="852"/>
      <c r="AP167" s="373">
        <f t="shared" si="325"/>
        <v>0</v>
      </c>
      <c r="AQ167" s="3575"/>
      <c r="AR167" s="1201"/>
      <c r="AS167" s="852"/>
      <c r="AT167" s="43">
        <f t="shared" si="326"/>
        <v>0</v>
      </c>
      <c r="AU167" s="3575"/>
      <c r="AV167" s="1201"/>
      <c r="AW167" s="852"/>
      <c r="AX167" s="43">
        <f t="shared" si="327"/>
        <v>0</v>
      </c>
      <c r="AY167" s="3575"/>
      <c r="AZ167" s="1201"/>
      <c r="BA167" s="902"/>
      <c r="BB167" s="618">
        <f t="shared" si="338"/>
        <v>0</v>
      </c>
      <c r="BC167" s="3591"/>
      <c r="BD167" s="3562">
        <f t="shared" si="329"/>
        <v>0</v>
      </c>
      <c r="BE167" s="852"/>
      <c r="BF167" s="43">
        <f t="shared" si="330"/>
        <v>0</v>
      </c>
      <c r="BG167" s="26"/>
      <c r="BH167" s="26"/>
      <c r="BI167" s="26"/>
      <c r="BJ167" s="26"/>
      <c r="BK167" s="26"/>
    </row>
    <row r="168" spans="1:63" ht="15.75" thickBot="1" x14ac:dyDescent="0.3">
      <c r="A168" s="93"/>
      <c r="B168" s="3623" t="s">
        <v>1003</v>
      </c>
      <c r="C168" s="3629" t="s">
        <v>951</v>
      </c>
      <c r="D168" s="3630"/>
      <c r="E168" s="3631"/>
      <c r="F168" s="2492"/>
      <c r="G168" s="3631"/>
      <c r="H168" s="2492">
        <v>184.8</v>
      </c>
      <c r="I168" s="2493"/>
      <c r="J168" s="782">
        <f t="shared" si="331"/>
        <v>184.8</v>
      </c>
      <c r="K168" s="3631"/>
      <c r="L168" s="2492"/>
      <c r="M168" s="2495"/>
      <c r="N168" s="781">
        <f t="shared" si="332"/>
        <v>184.8</v>
      </c>
      <c r="O168" s="3631"/>
      <c r="P168" s="2492"/>
      <c r="Q168" s="2493"/>
      <c r="R168" s="782">
        <f t="shared" si="333"/>
        <v>184.8</v>
      </c>
      <c r="S168" s="3631"/>
      <c r="T168" s="2492"/>
      <c r="U168" s="2493"/>
      <c r="V168" s="782">
        <f t="shared" si="334"/>
        <v>184.8</v>
      </c>
      <c r="W168" s="3631"/>
      <c r="X168" s="2492"/>
      <c r="Y168" s="2495"/>
      <c r="Z168" s="781">
        <f t="shared" si="335"/>
        <v>0</v>
      </c>
      <c r="AA168" s="3632"/>
      <c r="AB168" s="3562">
        <f t="shared" si="336"/>
        <v>184.8</v>
      </c>
      <c r="AC168" s="3631"/>
      <c r="AD168" s="2492"/>
      <c r="AE168" s="2493"/>
      <c r="AF168" s="782">
        <f t="shared" si="337"/>
        <v>184.8</v>
      </c>
      <c r="AG168" s="3631"/>
      <c r="AH168" s="2492">
        <v>247.88</v>
      </c>
      <c r="AI168" s="2493"/>
      <c r="AJ168" s="373">
        <f t="shared" si="323"/>
        <v>432.68</v>
      </c>
      <c r="AK168" s="3631"/>
      <c r="AL168" s="2492"/>
      <c r="AM168" s="2495"/>
      <c r="AN168" s="618">
        <f t="shared" si="324"/>
        <v>247.88</v>
      </c>
      <c r="AO168" s="2493"/>
      <c r="AP168" s="373">
        <f t="shared" si="325"/>
        <v>432.68</v>
      </c>
      <c r="AQ168" s="3631"/>
      <c r="AR168" s="2492"/>
      <c r="AS168" s="2493"/>
      <c r="AT168" s="43">
        <f t="shared" si="326"/>
        <v>432.68</v>
      </c>
      <c r="AU168" s="3631"/>
      <c r="AV168" s="2492"/>
      <c r="AW168" s="2493"/>
      <c r="AX168" s="43">
        <f t="shared" si="327"/>
        <v>432.68</v>
      </c>
      <c r="AY168" s="3631"/>
      <c r="AZ168" s="2492"/>
      <c r="BA168" s="2495"/>
      <c r="BB168" s="618">
        <f t="shared" si="338"/>
        <v>0</v>
      </c>
      <c r="BC168" s="3632"/>
      <c r="BD168" s="3562">
        <f t="shared" si="329"/>
        <v>247.88</v>
      </c>
      <c r="BE168" s="2493"/>
      <c r="BF168" s="43">
        <f t="shared" si="330"/>
        <v>432.68</v>
      </c>
      <c r="BG168" s="26"/>
      <c r="BH168" s="26"/>
      <c r="BI168" s="26"/>
      <c r="BJ168" s="26"/>
      <c r="BK168" s="26"/>
    </row>
    <row r="169" spans="1:63" ht="15.75" hidden="1" customHeight="1" thickBot="1" x14ac:dyDescent="0.35">
      <c r="A169" s="93"/>
      <c r="B169" s="3623" t="s">
        <v>1003</v>
      </c>
      <c r="C169" s="3616" t="s">
        <v>909</v>
      </c>
      <c r="D169" s="159"/>
      <c r="E169" s="159"/>
      <c r="F169" s="1201"/>
      <c r="G169" s="159"/>
      <c r="H169" s="1201"/>
      <c r="I169" s="590"/>
      <c r="J169" s="782">
        <f t="shared" si="331"/>
        <v>0</v>
      </c>
      <c r="K169" s="159"/>
      <c r="L169" s="1201"/>
      <c r="M169" s="946"/>
      <c r="N169" s="781">
        <f t="shared" si="332"/>
        <v>0</v>
      </c>
      <c r="O169" s="159"/>
      <c r="P169" s="1201"/>
      <c r="Q169" s="590"/>
      <c r="R169" s="782">
        <f t="shared" si="333"/>
        <v>0</v>
      </c>
      <c r="S169" s="159"/>
      <c r="T169" s="1201"/>
      <c r="U169" s="590"/>
      <c r="V169" s="782">
        <f t="shared" si="334"/>
        <v>0</v>
      </c>
      <c r="W169" s="159"/>
      <c r="X169" s="1201"/>
      <c r="Y169" s="946"/>
      <c r="Z169" s="781">
        <f t="shared" si="335"/>
        <v>0</v>
      </c>
      <c r="AA169" s="3627"/>
      <c r="AB169" s="3562">
        <f t="shared" si="336"/>
        <v>0</v>
      </c>
      <c r="AC169" s="159"/>
      <c r="AD169" s="1201"/>
      <c r="AE169" s="590"/>
      <c r="AF169" s="782">
        <f t="shared" si="337"/>
        <v>0</v>
      </c>
      <c r="AG169" s="159"/>
      <c r="AH169" s="1201"/>
      <c r="AI169" s="590"/>
      <c r="AJ169" s="373">
        <f t="shared" si="323"/>
        <v>0</v>
      </c>
      <c r="AK169" s="159"/>
      <c r="AL169" s="1201"/>
      <c r="AM169" s="946"/>
      <c r="AN169" s="618">
        <f t="shared" si="324"/>
        <v>0</v>
      </c>
      <c r="AO169" s="590"/>
      <c r="AP169" s="373">
        <f t="shared" si="325"/>
        <v>0</v>
      </c>
      <c r="AQ169" s="159"/>
      <c r="AR169" s="1201"/>
      <c r="AS169" s="590"/>
      <c r="AT169" s="43">
        <f t="shared" si="326"/>
        <v>0</v>
      </c>
      <c r="AU169" s="159"/>
      <c r="AV169" s="1201"/>
      <c r="AW169" s="590"/>
      <c r="AX169" s="43">
        <f t="shared" si="327"/>
        <v>0</v>
      </c>
      <c r="AY169" s="159"/>
      <c r="AZ169" s="1201"/>
      <c r="BA169" s="946"/>
      <c r="BB169" s="618">
        <f t="shared" si="338"/>
        <v>0</v>
      </c>
      <c r="BC169" s="3627"/>
      <c r="BD169" s="3562">
        <f t="shared" si="329"/>
        <v>0</v>
      </c>
      <c r="BE169" s="590"/>
      <c r="BF169" s="43">
        <f t="shared" si="330"/>
        <v>0</v>
      </c>
      <c r="BG169" s="26"/>
      <c r="BH169" s="26"/>
      <c r="BI169" s="26"/>
      <c r="BJ169" s="26"/>
      <c r="BK169" s="26"/>
    </row>
    <row r="170" spans="1:63" ht="15.75" hidden="1" customHeight="1" thickBot="1" x14ac:dyDescent="0.35">
      <c r="A170" s="93"/>
      <c r="B170" s="3623" t="s">
        <v>1003</v>
      </c>
      <c r="C170" s="3616" t="s">
        <v>1155</v>
      </c>
      <c r="D170" s="159"/>
      <c r="E170" s="159"/>
      <c r="F170" s="1201"/>
      <c r="G170" s="159"/>
      <c r="H170" s="1201"/>
      <c r="I170" s="590"/>
      <c r="J170" s="782">
        <f t="shared" si="331"/>
        <v>0</v>
      </c>
      <c r="K170" s="159"/>
      <c r="L170" s="1201"/>
      <c r="M170" s="946"/>
      <c r="N170" s="781">
        <f t="shared" si="332"/>
        <v>0</v>
      </c>
      <c r="O170" s="159"/>
      <c r="P170" s="1201"/>
      <c r="Q170" s="590"/>
      <c r="R170" s="782">
        <f t="shared" si="333"/>
        <v>0</v>
      </c>
      <c r="S170" s="159"/>
      <c r="T170" s="1201"/>
      <c r="U170" s="590"/>
      <c r="V170" s="782">
        <f t="shared" si="334"/>
        <v>0</v>
      </c>
      <c r="W170" s="159"/>
      <c r="X170" s="1201"/>
      <c r="Y170" s="946"/>
      <c r="Z170" s="781">
        <f t="shared" si="335"/>
        <v>0</v>
      </c>
      <c r="AA170" s="3627"/>
      <c r="AB170" s="3562">
        <f t="shared" si="336"/>
        <v>0</v>
      </c>
      <c r="AC170" s="159"/>
      <c r="AD170" s="1201"/>
      <c r="AE170" s="590"/>
      <c r="AF170" s="782">
        <f t="shared" si="337"/>
        <v>0</v>
      </c>
      <c r="AG170" s="159"/>
      <c r="AH170" s="1201"/>
      <c r="AI170" s="590"/>
      <c r="AJ170" s="373">
        <f t="shared" si="323"/>
        <v>0</v>
      </c>
      <c r="AK170" s="159"/>
      <c r="AL170" s="1201"/>
      <c r="AM170" s="946"/>
      <c r="AN170" s="618">
        <f t="shared" si="324"/>
        <v>0</v>
      </c>
      <c r="AO170" s="590"/>
      <c r="AP170" s="373">
        <f t="shared" si="325"/>
        <v>0</v>
      </c>
      <c r="AQ170" s="159"/>
      <c r="AR170" s="1201"/>
      <c r="AS170" s="590"/>
      <c r="AT170" s="43">
        <f t="shared" si="326"/>
        <v>0</v>
      </c>
      <c r="AU170" s="159"/>
      <c r="AV170" s="1201"/>
      <c r="AW170" s="590"/>
      <c r="AX170" s="43">
        <f t="shared" si="327"/>
        <v>0</v>
      </c>
      <c r="AY170" s="159"/>
      <c r="AZ170" s="1201"/>
      <c r="BA170" s="946"/>
      <c r="BB170" s="618">
        <f t="shared" si="338"/>
        <v>0</v>
      </c>
      <c r="BC170" s="3627"/>
      <c r="BD170" s="3562">
        <f t="shared" si="329"/>
        <v>0</v>
      </c>
      <c r="BE170" s="590"/>
      <c r="BF170" s="43">
        <f t="shared" si="330"/>
        <v>0</v>
      </c>
      <c r="BG170" s="26"/>
      <c r="BH170" s="26"/>
      <c r="BI170" s="26"/>
      <c r="BJ170" s="26"/>
      <c r="BK170" s="26"/>
    </row>
    <row r="171" spans="1:63" ht="15.75" hidden="1" customHeight="1" thickBot="1" x14ac:dyDescent="0.35">
      <c r="A171" s="93"/>
      <c r="B171" s="3624" t="s">
        <v>1003</v>
      </c>
      <c r="C171" s="3619" t="s">
        <v>1158</v>
      </c>
      <c r="D171" s="893"/>
      <c r="E171" s="893"/>
      <c r="F171" s="109"/>
      <c r="G171" s="893"/>
      <c r="H171" s="109"/>
      <c r="I171" s="3420"/>
      <c r="J171" s="782">
        <f t="shared" si="331"/>
        <v>0</v>
      </c>
      <c r="K171" s="893"/>
      <c r="L171" s="109"/>
      <c r="M171" s="3421"/>
      <c r="N171" s="781">
        <f t="shared" si="332"/>
        <v>0</v>
      </c>
      <c r="O171" s="893"/>
      <c r="P171" s="109"/>
      <c r="Q171" s="3420"/>
      <c r="R171" s="782">
        <f t="shared" si="333"/>
        <v>0</v>
      </c>
      <c r="S171" s="893"/>
      <c r="T171" s="109"/>
      <c r="U171" s="3420"/>
      <c r="V171" s="782">
        <f t="shared" si="334"/>
        <v>0</v>
      </c>
      <c r="W171" s="893"/>
      <c r="X171" s="109"/>
      <c r="Y171" s="3421"/>
      <c r="Z171" s="781">
        <f t="shared" si="335"/>
        <v>0</v>
      </c>
      <c r="AA171" s="3633"/>
      <c r="AB171" s="3562">
        <f t="shared" si="336"/>
        <v>0</v>
      </c>
      <c r="AC171" s="893"/>
      <c r="AD171" s="109"/>
      <c r="AE171" s="3420"/>
      <c r="AF171" s="782">
        <f t="shared" si="337"/>
        <v>0</v>
      </c>
      <c r="AG171" s="893"/>
      <c r="AH171" s="109"/>
      <c r="AI171" s="3420"/>
      <c r="AJ171" s="373">
        <f t="shared" si="323"/>
        <v>0</v>
      </c>
      <c r="AK171" s="893"/>
      <c r="AL171" s="109"/>
      <c r="AM171" s="3421"/>
      <c r="AN171" s="618">
        <f t="shared" si="324"/>
        <v>0</v>
      </c>
      <c r="AO171" s="3420"/>
      <c r="AP171" s="373">
        <f t="shared" si="325"/>
        <v>0</v>
      </c>
      <c r="AQ171" s="893"/>
      <c r="AR171" s="109"/>
      <c r="AS171" s="3420"/>
      <c r="AT171" s="43">
        <f t="shared" si="326"/>
        <v>0</v>
      </c>
      <c r="AU171" s="893"/>
      <c r="AV171" s="109"/>
      <c r="AW171" s="3420"/>
      <c r="AX171" s="43">
        <f t="shared" si="327"/>
        <v>0</v>
      </c>
      <c r="AY171" s="893"/>
      <c r="AZ171" s="109"/>
      <c r="BA171" s="3421"/>
      <c r="BB171" s="618">
        <f t="shared" si="338"/>
        <v>0</v>
      </c>
      <c r="BC171" s="3633"/>
      <c r="BD171" s="3562">
        <f t="shared" si="329"/>
        <v>0</v>
      </c>
      <c r="BE171" s="3420"/>
      <c r="BF171" s="43">
        <f t="shared" si="330"/>
        <v>0</v>
      </c>
      <c r="BG171" s="26"/>
      <c r="BH171" s="26"/>
      <c r="BI171" s="26"/>
      <c r="BJ171" s="26"/>
      <c r="BK171" s="26"/>
    </row>
    <row r="172" spans="1:63" ht="15.75" thickBot="1" x14ac:dyDescent="0.3">
      <c r="A172" s="117"/>
      <c r="B172" s="3620" t="s">
        <v>871</v>
      </c>
      <c r="C172" s="3615" t="s">
        <v>1156</v>
      </c>
      <c r="D172" s="3580"/>
      <c r="E172" s="3595"/>
      <c r="F172" s="158"/>
      <c r="G172" s="3595"/>
      <c r="H172" s="158">
        <v>495.78</v>
      </c>
      <c r="I172" s="2927"/>
      <c r="J172" s="782">
        <f t="shared" si="331"/>
        <v>495.78</v>
      </c>
      <c r="K172" s="3595"/>
      <c r="L172" s="158">
        <v>363.68</v>
      </c>
      <c r="M172" s="3596"/>
      <c r="N172" s="781">
        <f t="shared" si="332"/>
        <v>859.46</v>
      </c>
      <c r="O172" s="3595"/>
      <c r="P172" s="158">
        <v>60.82</v>
      </c>
      <c r="Q172" s="2927"/>
      <c r="R172" s="782">
        <f t="shared" si="333"/>
        <v>920.28000000000009</v>
      </c>
      <c r="S172" s="3595"/>
      <c r="T172" s="158">
        <v>247.58</v>
      </c>
      <c r="U172" s="2927"/>
      <c r="V172" s="782">
        <f t="shared" si="334"/>
        <v>1167.8600000000001</v>
      </c>
      <c r="W172" s="3595"/>
      <c r="X172" s="158">
        <v>58.24</v>
      </c>
      <c r="Y172" s="3596"/>
      <c r="Z172" s="781">
        <f t="shared" si="335"/>
        <v>366.64000000000004</v>
      </c>
      <c r="AA172" s="3597"/>
      <c r="AB172" s="3562">
        <f t="shared" si="336"/>
        <v>1226.1000000000001</v>
      </c>
      <c r="AC172" s="3595"/>
      <c r="AD172" s="158">
        <v>190.73999999999998</v>
      </c>
      <c r="AE172" s="2927"/>
      <c r="AF172" s="782">
        <f t="shared" si="337"/>
        <v>1416.8400000000001</v>
      </c>
      <c r="AG172" s="3595"/>
      <c r="AH172" s="158">
        <v>61.94</v>
      </c>
      <c r="AI172" s="2927"/>
      <c r="AJ172" s="373">
        <f t="shared" si="323"/>
        <v>1478.7800000000002</v>
      </c>
      <c r="AK172" s="3595"/>
      <c r="AL172" s="158">
        <v>1012.9100000000001</v>
      </c>
      <c r="AM172" s="3596"/>
      <c r="AN172" s="618">
        <f t="shared" si="324"/>
        <v>1265.5900000000001</v>
      </c>
      <c r="AO172" s="2927"/>
      <c r="AP172" s="373">
        <f t="shared" si="325"/>
        <v>2491.6900000000005</v>
      </c>
      <c r="AQ172" s="3595"/>
      <c r="AR172" s="158">
        <v>437.58</v>
      </c>
      <c r="AS172" s="2927"/>
      <c r="AT172" s="43">
        <f t="shared" si="326"/>
        <v>2929.2700000000004</v>
      </c>
      <c r="AU172" s="3595"/>
      <c r="AV172" s="158">
        <v>863.45999999999992</v>
      </c>
      <c r="AW172" s="2927"/>
      <c r="AX172" s="43">
        <f t="shared" si="327"/>
        <v>3792.7300000000005</v>
      </c>
      <c r="AY172" s="3595"/>
      <c r="AZ172" s="158">
        <v>850.54000000000019</v>
      </c>
      <c r="BA172" s="3596"/>
      <c r="BB172" s="618">
        <f t="shared" si="338"/>
        <v>2151.58</v>
      </c>
      <c r="BC172" s="3597"/>
      <c r="BD172" s="3562">
        <f t="shared" si="329"/>
        <v>3417.17</v>
      </c>
      <c r="BE172" s="2927"/>
      <c r="BF172" s="43">
        <f t="shared" si="330"/>
        <v>4643.2700000000004</v>
      </c>
      <c r="BG172" s="26"/>
      <c r="BH172" s="26"/>
      <c r="BI172" s="26"/>
      <c r="BJ172" s="26"/>
      <c r="BK172" s="26"/>
    </row>
    <row r="173" spans="1:63" ht="15.75" hidden="1" customHeight="1" thickBot="1" x14ac:dyDescent="0.35">
      <c r="A173" s="117"/>
      <c r="B173" s="3620" t="s">
        <v>871</v>
      </c>
      <c r="C173" s="3622" t="s">
        <v>1157</v>
      </c>
      <c r="D173" s="3599"/>
      <c r="E173" s="3600"/>
      <c r="F173" s="1202"/>
      <c r="G173" s="3600"/>
      <c r="H173" s="1202"/>
      <c r="I173" s="3601"/>
      <c r="J173" s="782">
        <f t="shared" si="331"/>
        <v>0</v>
      </c>
      <c r="K173" s="3600"/>
      <c r="L173" s="1202"/>
      <c r="M173" s="3602"/>
      <c r="N173" s="781">
        <f t="shared" si="332"/>
        <v>0</v>
      </c>
      <c r="O173" s="3600"/>
      <c r="P173" s="1202"/>
      <c r="Q173" s="3601"/>
      <c r="R173" s="782">
        <f t="shared" si="333"/>
        <v>0</v>
      </c>
      <c r="S173" s="3600"/>
      <c r="T173" s="1202"/>
      <c r="U173" s="3601"/>
      <c r="V173" s="782">
        <f t="shared" si="334"/>
        <v>0</v>
      </c>
      <c r="W173" s="3600"/>
      <c r="X173" s="1202"/>
      <c r="Y173" s="3602"/>
      <c r="Z173" s="781">
        <f t="shared" si="335"/>
        <v>0</v>
      </c>
      <c r="AA173" s="3603"/>
      <c r="AB173" s="3562">
        <f t="shared" si="336"/>
        <v>0</v>
      </c>
      <c r="AC173" s="3600"/>
      <c r="AD173" s="1202"/>
      <c r="AE173" s="3601"/>
      <c r="AF173" s="782">
        <f t="shared" si="337"/>
        <v>0</v>
      </c>
      <c r="AG173" s="3600"/>
      <c r="AH173" s="1202"/>
      <c r="AI173" s="3601"/>
      <c r="AJ173" s="373">
        <f t="shared" si="323"/>
        <v>0</v>
      </c>
      <c r="AK173" s="3600"/>
      <c r="AL173" s="1202"/>
      <c r="AM173" s="3602"/>
      <c r="AN173" s="618">
        <f t="shared" si="324"/>
        <v>0</v>
      </c>
      <c r="AO173" s="3601"/>
      <c r="AP173" s="373">
        <f t="shared" si="325"/>
        <v>0</v>
      </c>
      <c r="AQ173" s="3600"/>
      <c r="AR173" s="1202"/>
      <c r="AS173" s="3601"/>
      <c r="AT173" s="43">
        <f t="shared" si="326"/>
        <v>0</v>
      </c>
      <c r="AU173" s="3600"/>
      <c r="AV173" s="1202"/>
      <c r="AW173" s="3601"/>
      <c r="AX173" s="43">
        <f t="shared" si="327"/>
        <v>0</v>
      </c>
      <c r="AY173" s="3600"/>
      <c r="AZ173" s="1202"/>
      <c r="BA173" s="3602"/>
      <c r="BB173" s="618">
        <f t="shared" si="338"/>
        <v>0</v>
      </c>
      <c r="BC173" s="3603"/>
      <c r="BD173" s="3562">
        <f t="shared" si="329"/>
        <v>0</v>
      </c>
      <c r="BE173" s="3601"/>
      <c r="BF173" s="43">
        <f t="shared" si="330"/>
        <v>0</v>
      </c>
      <c r="BG173" s="26"/>
      <c r="BH173" s="26"/>
      <c r="BI173" s="26"/>
      <c r="BJ173" s="26"/>
      <c r="BK173" s="26"/>
    </row>
    <row r="174" spans="1:63" ht="15.75" thickBot="1" x14ac:dyDescent="0.3">
      <c r="A174" s="93"/>
      <c r="B174" s="3623" t="s">
        <v>871</v>
      </c>
      <c r="C174" s="3616" t="s">
        <v>883</v>
      </c>
      <c r="D174" s="3587"/>
      <c r="E174" s="3575"/>
      <c r="F174" s="1201">
        <v>62.34</v>
      </c>
      <c r="G174" s="3575"/>
      <c r="H174" s="1201">
        <v>349.26</v>
      </c>
      <c r="I174" s="852"/>
      <c r="J174" s="782">
        <f t="shared" si="331"/>
        <v>411.6</v>
      </c>
      <c r="K174" s="3575"/>
      <c r="L174" s="1201">
        <v>182.94</v>
      </c>
      <c r="M174" s="902"/>
      <c r="N174" s="781">
        <f t="shared" si="332"/>
        <v>594.54</v>
      </c>
      <c r="O174" s="3575"/>
      <c r="P174" s="1201"/>
      <c r="Q174" s="852"/>
      <c r="R174" s="782">
        <f t="shared" si="333"/>
        <v>594.54</v>
      </c>
      <c r="S174" s="3575"/>
      <c r="T174" s="1201"/>
      <c r="U174" s="852"/>
      <c r="V174" s="782">
        <f t="shared" si="334"/>
        <v>594.54</v>
      </c>
      <c r="W174" s="3575"/>
      <c r="X174" s="1201"/>
      <c r="Y174" s="902"/>
      <c r="Z174" s="781">
        <f t="shared" si="335"/>
        <v>0</v>
      </c>
      <c r="AA174" s="3591"/>
      <c r="AB174" s="3562">
        <f t="shared" si="336"/>
        <v>594.54</v>
      </c>
      <c r="AC174" s="3575"/>
      <c r="AD174" s="1201">
        <v>192.32</v>
      </c>
      <c r="AE174" s="852"/>
      <c r="AF174" s="782">
        <f t="shared" si="337"/>
        <v>786.8599999999999</v>
      </c>
      <c r="AG174" s="3575"/>
      <c r="AH174" s="1201"/>
      <c r="AI174" s="852"/>
      <c r="AJ174" s="373">
        <f t="shared" si="323"/>
        <v>786.8599999999999</v>
      </c>
      <c r="AK174" s="3575"/>
      <c r="AL174" s="1201">
        <v>57.32</v>
      </c>
      <c r="AM174" s="902"/>
      <c r="AN174" s="618">
        <f t="shared" si="324"/>
        <v>249.64</v>
      </c>
      <c r="AO174" s="852"/>
      <c r="AP174" s="373">
        <f t="shared" si="325"/>
        <v>844.18</v>
      </c>
      <c r="AQ174" s="3575"/>
      <c r="AR174" s="1201">
        <v>308.5</v>
      </c>
      <c r="AS174" s="852"/>
      <c r="AT174" s="43">
        <f t="shared" si="326"/>
        <v>1152.6799999999998</v>
      </c>
      <c r="AU174" s="3575"/>
      <c r="AV174" s="1201">
        <v>332.37</v>
      </c>
      <c r="AW174" s="852"/>
      <c r="AX174" s="43">
        <f t="shared" si="327"/>
        <v>1485.0499999999997</v>
      </c>
      <c r="AY174" s="3575"/>
      <c r="AZ174" s="1201">
        <v>688.99</v>
      </c>
      <c r="BA174" s="902"/>
      <c r="BB174" s="618">
        <f t="shared" si="338"/>
        <v>1329.8600000000001</v>
      </c>
      <c r="BC174" s="3591"/>
      <c r="BD174" s="3562">
        <f t="shared" si="329"/>
        <v>1579.5</v>
      </c>
      <c r="BE174" s="852"/>
      <c r="BF174" s="43">
        <f t="shared" si="330"/>
        <v>2174.04</v>
      </c>
      <c r="BG174" s="26"/>
      <c r="BH174" s="26"/>
      <c r="BI174" s="26"/>
      <c r="BJ174" s="26"/>
      <c r="BK174" s="26"/>
    </row>
    <row r="175" spans="1:63" ht="15.75" thickBot="1" x14ac:dyDescent="0.3">
      <c r="A175" s="93"/>
      <c r="B175" s="3623" t="s">
        <v>871</v>
      </c>
      <c r="C175" s="3616" t="s">
        <v>905</v>
      </c>
      <c r="D175" s="3626"/>
      <c r="E175" s="3449"/>
      <c r="F175" s="2647"/>
      <c r="G175" s="3449"/>
      <c r="H175" s="2647">
        <v>300.5</v>
      </c>
      <c r="I175" s="2928"/>
      <c r="J175" s="782">
        <f t="shared" si="331"/>
        <v>300.5</v>
      </c>
      <c r="K175" s="3449"/>
      <c r="L175" s="2647"/>
      <c r="M175" s="2896"/>
      <c r="N175" s="781">
        <f t="shared" si="332"/>
        <v>300.5</v>
      </c>
      <c r="O175" s="3449"/>
      <c r="P175" s="2647">
        <v>57.54</v>
      </c>
      <c r="Q175" s="2928"/>
      <c r="R175" s="782">
        <f t="shared" si="333"/>
        <v>358.04</v>
      </c>
      <c r="S175" s="3449"/>
      <c r="T175" s="2647"/>
      <c r="U175" s="2928"/>
      <c r="V175" s="782">
        <f t="shared" si="334"/>
        <v>358.04</v>
      </c>
      <c r="W175" s="3449"/>
      <c r="X175" s="2647"/>
      <c r="Y175" s="2896"/>
      <c r="Z175" s="781">
        <f t="shared" si="335"/>
        <v>57.54</v>
      </c>
      <c r="AA175" s="3628"/>
      <c r="AB175" s="3562">
        <f t="shared" si="336"/>
        <v>358.04</v>
      </c>
      <c r="AC175" s="3449"/>
      <c r="AD175" s="2647"/>
      <c r="AE175" s="2928"/>
      <c r="AF175" s="782">
        <f t="shared" si="337"/>
        <v>358.04</v>
      </c>
      <c r="AG175" s="3449"/>
      <c r="AH175" s="2647"/>
      <c r="AI175" s="2928"/>
      <c r="AJ175" s="373">
        <f t="shared" si="323"/>
        <v>358.04</v>
      </c>
      <c r="AK175" s="3449"/>
      <c r="AL175" s="2647"/>
      <c r="AM175" s="2896"/>
      <c r="AN175" s="618">
        <f t="shared" si="324"/>
        <v>0</v>
      </c>
      <c r="AO175" s="2928"/>
      <c r="AP175" s="373">
        <f t="shared" si="325"/>
        <v>358.04</v>
      </c>
      <c r="AQ175" s="3449"/>
      <c r="AR175" s="2647">
        <v>140.68</v>
      </c>
      <c r="AS175" s="2928"/>
      <c r="AT175" s="43">
        <f t="shared" si="326"/>
        <v>498.72</v>
      </c>
      <c r="AU175" s="3449"/>
      <c r="AV175" s="2647">
        <v>687.06000000000006</v>
      </c>
      <c r="AW175" s="2928"/>
      <c r="AX175" s="43">
        <f t="shared" si="327"/>
        <v>1185.7800000000002</v>
      </c>
      <c r="AY175" s="3449"/>
      <c r="AZ175" s="2647">
        <v>432.4</v>
      </c>
      <c r="BA175" s="2896"/>
      <c r="BB175" s="618">
        <f t="shared" si="338"/>
        <v>1260.1399999999999</v>
      </c>
      <c r="BC175" s="3628"/>
      <c r="BD175" s="3562">
        <f t="shared" si="329"/>
        <v>1260.1399999999999</v>
      </c>
      <c r="BE175" s="2928"/>
      <c r="BF175" s="43">
        <f t="shared" si="330"/>
        <v>1618.1800000000003</v>
      </c>
      <c r="BG175" s="26"/>
      <c r="BH175" s="26"/>
      <c r="BI175" s="26"/>
      <c r="BJ175" s="26"/>
      <c r="BK175" s="26"/>
    </row>
    <row r="176" spans="1:63" ht="15.75" thickBot="1" x14ac:dyDescent="0.3">
      <c r="A176" s="154"/>
      <c r="B176" s="3623" t="s">
        <v>871</v>
      </c>
      <c r="C176" s="3616" t="s">
        <v>997</v>
      </c>
      <c r="D176" s="3616"/>
      <c r="E176" s="3575"/>
      <c r="F176" s="1201"/>
      <c r="G176" s="3575"/>
      <c r="H176" s="1201">
        <v>116.72</v>
      </c>
      <c r="I176" s="852"/>
      <c r="J176" s="782">
        <f t="shared" si="331"/>
        <v>116.72</v>
      </c>
      <c r="K176" s="3575"/>
      <c r="L176" s="1201"/>
      <c r="M176" s="902"/>
      <c r="N176" s="781">
        <f t="shared" si="332"/>
        <v>116.72</v>
      </c>
      <c r="O176" s="3575"/>
      <c r="P176" s="1201"/>
      <c r="Q176" s="852"/>
      <c r="R176" s="782">
        <f t="shared" si="333"/>
        <v>116.72</v>
      </c>
      <c r="S176" s="3575"/>
      <c r="T176" s="1201"/>
      <c r="U176" s="852"/>
      <c r="V176" s="782">
        <f t="shared" si="334"/>
        <v>116.72</v>
      </c>
      <c r="W176" s="3575"/>
      <c r="X176" s="1201"/>
      <c r="Y176" s="902"/>
      <c r="Z176" s="781">
        <f t="shared" si="335"/>
        <v>0</v>
      </c>
      <c r="AA176" s="3591"/>
      <c r="AB176" s="3562">
        <f t="shared" si="336"/>
        <v>116.72</v>
      </c>
      <c r="AC176" s="3575"/>
      <c r="AD176" s="1201"/>
      <c r="AE176" s="852"/>
      <c r="AF176" s="782">
        <f t="shared" si="337"/>
        <v>116.72</v>
      </c>
      <c r="AG176" s="3575"/>
      <c r="AH176" s="1201"/>
      <c r="AI176" s="852"/>
      <c r="AJ176" s="373">
        <f t="shared" si="323"/>
        <v>116.72</v>
      </c>
      <c r="AK176" s="3575"/>
      <c r="AL176" s="1201"/>
      <c r="AM176" s="902"/>
      <c r="AN176" s="618">
        <f t="shared" si="324"/>
        <v>0</v>
      </c>
      <c r="AO176" s="852"/>
      <c r="AP176" s="373">
        <f t="shared" si="325"/>
        <v>116.72</v>
      </c>
      <c r="AQ176" s="3575"/>
      <c r="AR176" s="1201">
        <v>64.959999999999994</v>
      </c>
      <c r="AS176" s="852"/>
      <c r="AT176" s="43">
        <f t="shared" si="326"/>
        <v>181.68</v>
      </c>
      <c r="AU176" s="3575"/>
      <c r="AV176" s="1201"/>
      <c r="AW176" s="852"/>
      <c r="AX176" s="43">
        <f t="shared" si="327"/>
        <v>181.68</v>
      </c>
      <c r="AY176" s="3575"/>
      <c r="AZ176" s="1201"/>
      <c r="BA176" s="902"/>
      <c r="BB176" s="618">
        <f t="shared" si="338"/>
        <v>64.959999999999994</v>
      </c>
      <c r="BC176" s="3591"/>
      <c r="BD176" s="3562">
        <f t="shared" si="329"/>
        <v>64.959999999999994</v>
      </c>
      <c r="BE176" s="852"/>
      <c r="BF176" s="43">
        <f t="shared" si="330"/>
        <v>181.68</v>
      </c>
      <c r="BG176" s="26"/>
      <c r="BH176" s="26"/>
      <c r="BI176" s="26"/>
      <c r="BJ176" s="26"/>
      <c r="BK176" s="26"/>
    </row>
    <row r="177" spans="1:63" ht="15.75" hidden="1" customHeight="1" thickBot="1" x14ac:dyDescent="0.35">
      <c r="A177" s="93"/>
      <c r="B177" s="3623" t="s">
        <v>871</v>
      </c>
      <c r="C177" s="3616" t="s">
        <v>914</v>
      </c>
      <c r="D177" s="3587"/>
      <c r="E177" s="3575"/>
      <c r="F177" s="1201"/>
      <c r="G177" s="3575"/>
      <c r="H177" s="1201"/>
      <c r="I177" s="852"/>
      <c r="J177" s="782">
        <f t="shared" si="331"/>
        <v>0</v>
      </c>
      <c r="K177" s="3575"/>
      <c r="L177" s="1201"/>
      <c r="M177" s="902"/>
      <c r="N177" s="781">
        <f t="shared" si="332"/>
        <v>0</v>
      </c>
      <c r="O177" s="3575"/>
      <c r="P177" s="1201"/>
      <c r="Q177" s="852"/>
      <c r="R177" s="782">
        <f t="shared" si="333"/>
        <v>0</v>
      </c>
      <c r="S177" s="3575"/>
      <c r="T177" s="1201"/>
      <c r="U177" s="852"/>
      <c r="V177" s="782">
        <f t="shared" si="334"/>
        <v>0</v>
      </c>
      <c r="W177" s="3575"/>
      <c r="X177" s="1201"/>
      <c r="Y177" s="902"/>
      <c r="Z177" s="781">
        <f t="shared" si="335"/>
        <v>0</v>
      </c>
      <c r="AA177" s="3591"/>
      <c r="AB177" s="3562">
        <f t="shared" si="336"/>
        <v>0</v>
      </c>
      <c r="AC177" s="3575"/>
      <c r="AD177" s="1201"/>
      <c r="AE177" s="852"/>
      <c r="AF177" s="782">
        <f t="shared" si="337"/>
        <v>0</v>
      </c>
      <c r="AG177" s="3575"/>
      <c r="AH177" s="1201"/>
      <c r="AI177" s="852"/>
      <c r="AJ177" s="373">
        <f t="shared" si="323"/>
        <v>0</v>
      </c>
      <c r="AK177" s="3575"/>
      <c r="AL177" s="1201"/>
      <c r="AM177" s="902"/>
      <c r="AN177" s="618">
        <f t="shared" si="324"/>
        <v>0</v>
      </c>
      <c r="AO177" s="852"/>
      <c r="AP177" s="373">
        <f t="shared" ref="AP177:AP206" si="339">AJ177+AL177</f>
        <v>0</v>
      </c>
      <c r="AQ177" s="3575"/>
      <c r="AR177" s="1201">
        <v>125.5</v>
      </c>
      <c r="AS177" s="852"/>
      <c r="AT177" s="43">
        <f t="shared" si="326"/>
        <v>125.5</v>
      </c>
      <c r="AU177" s="3575"/>
      <c r="AV177" s="1201"/>
      <c r="AW177" s="852"/>
      <c r="AX177" s="43">
        <f t="shared" si="327"/>
        <v>125.5</v>
      </c>
      <c r="AY177" s="3575"/>
      <c r="AZ177" s="1201"/>
      <c r="BA177" s="902"/>
      <c r="BB177" s="618">
        <f t="shared" si="338"/>
        <v>125.5</v>
      </c>
      <c r="BC177" s="3591"/>
      <c r="BD177" s="3562">
        <f t="shared" si="329"/>
        <v>125.5</v>
      </c>
      <c r="BE177" s="852"/>
      <c r="BF177" s="43">
        <f t="shared" si="330"/>
        <v>125.5</v>
      </c>
      <c r="BG177" s="26"/>
      <c r="BH177" s="26"/>
      <c r="BI177" s="26"/>
      <c r="BJ177" s="26"/>
      <c r="BK177" s="26"/>
    </row>
    <row r="178" spans="1:63" ht="15.75" thickBot="1" x14ac:dyDescent="0.3">
      <c r="A178" s="154"/>
      <c r="B178" s="3623" t="s">
        <v>871</v>
      </c>
      <c r="C178" s="3616" t="s">
        <v>1332</v>
      </c>
      <c r="D178" s="3616"/>
      <c r="E178" s="3575"/>
      <c r="F178" s="1201">
        <v>461.16</v>
      </c>
      <c r="G178" s="3575"/>
      <c r="H178" s="1201">
        <v>127.47999999999999</v>
      </c>
      <c r="I178" s="852"/>
      <c r="J178" s="782">
        <f t="shared" si="331"/>
        <v>588.64</v>
      </c>
      <c r="K178" s="3575"/>
      <c r="L178" s="1201"/>
      <c r="M178" s="902"/>
      <c r="N178" s="781">
        <f t="shared" si="332"/>
        <v>588.64</v>
      </c>
      <c r="O178" s="3575"/>
      <c r="P178" s="1201"/>
      <c r="Q178" s="852"/>
      <c r="R178" s="782">
        <f t="shared" si="333"/>
        <v>588.64</v>
      </c>
      <c r="S178" s="3575"/>
      <c r="T178" s="1201"/>
      <c r="U178" s="852"/>
      <c r="V178" s="782">
        <f t="shared" si="334"/>
        <v>588.64</v>
      </c>
      <c r="W178" s="3575"/>
      <c r="X178" s="1201"/>
      <c r="Y178" s="902"/>
      <c r="Z178" s="781">
        <f t="shared" si="335"/>
        <v>0</v>
      </c>
      <c r="AA178" s="3591"/>
      <c r="AB178" s="3562">
        <f t="shared" si="336"/>
        <v>588.64</v>
      </c>
      <c r="AC178" s="3575"/>
      <c r="AD178" s="1201"/>
      <c r="AE178" s="852"/>
      <c r="AF178" s="782">
        <f t="shared" si="337"/>
        <v>588.64</v>
      </c>
      <c r="AG178" s="3575"/>
      <c r="AH178" s="1201"/>
      <c r="AI178" s="852"/>
      <c r="AJ178" s="373">
        <f t="shared" si="323"/>
        <v>588.64</v>
      </c>
      <c r="AK178" s="3575"/>
      <c r="AL178" s="1201"/>
      <c r="AM178" s="902"/>
      <c r="AN178" s="618">
        <f t="shared" si="324"/>
        <v>0</v>
      </c>
      <c r="AO178" s="852"/>
      <c r="AP178" s="373">
        <f t="shared" si="339"/>
        <v>588.64</v>
      </c>
      <c r="AQ178" s="3575"/>
      <c r="AR178" s="1201">
        <v>55.42</v>
      </c>
      <c r="AS178" s="852"/>
      <c r="AT178" s="43">
        <f t="shared" si="326"/>
        <v>644.05999999999995</v>
      </c>
      <c r="AU178" s="3575"/>
      <c r="AV178" s="1201"/>
      <c r="AW178" s="852"/>
      <c r="AX178" s="43">
        <f t="shared" si="327"/>
        <v>644.05999999999995</v>
      </c>
      <c r="AY178" s="3575"/>
      <c r="AZ178" s="1201"/>
      <c r="BA178" s="902"/>
      <c r="BB178" s="618">
        <f t="shared" si="338"/>
        <v>55.42</v>
      </c>
      <c r="BC178" s="3591"/>
      <c r="BD178" s="3562">
        <f t="shared" si="329"/>
        <v>55.42</v>
      </c>
      <c r="BE178" s="852"/>
      <c r="BF178" s="43">
        <f t="shared" si="330"/>
        <v>644.05999999999995</v>
      </c>
      <c r="BG178" s="26"/>
      <c r="BH178" s="26"/>
      <c r="BI178" s="26"/>
      <c r="BJ178" s="26"/>
      <c r="BK178" s="26"/>
    </row>
    <row r="179" spans="1:63" ht="15.75" thickBot="1" x14ac:dyDescent="0.3">
      <c r="A179" s="93"/>
      <c r="B179" s="3623" t="s">
        <v>871</v>
      </c>
      <c r="C179" s="3616" t="s">
        <v>908</v>
      </c>
      <c r="D179" s="159"/>
      <c r="E179" s="159"/>
      <c r="F179" s="1201">
        <v>466.65000000000003</v>
      </c>
      <c r="G179" s="159"/>
      <c r="H179" s="1201"/>
      <c r="I179" s="590"/>
      <c r="J179" s="782">
        <f t="shared" si="331"/>
        <v>466.65000000000003</v>
      </c>
      <c r="K179" s="159"/>
      <c r="L179" s="1201"/>
      <c r="M179" s="946"/>
      <c r="N179" s="781">
        <f t="shared" si="332"/>
        <v>466.65000000000003</v>
      </c>
      <c r="O179" s="159"/>
      <c r="P179" s="1201"/>
      <c r="Q179" s="590"/>
      <c r="R179" s="782">
        <f t="shared" si="333"/>
        <v>466.65000000000003</v>
      </c>
      <c r="S179" s="159"/>
      <c r="T179" s="1201"/>
      <c r="U179" s="590"/>
      <c r="V179" s="782">
        <f t="shared" si="334"/>
        <v>466.65000000000003</v>
      </c>
      <c r="W179" s="159"/>
      <c r="X179" s="1201"/>
      <c r="Y179" s="946"/>
      <c r="Z179" s="781">
        <f t="shared" si="335"/>
        <v>0</v>
      </c>
      <c r="AA179" s="3627"/>
      <c r="AB179" s="3562">
        <f t="shared" si="336"/>
        <v>466.65000000000003</v>
      </c>
      <c r="AC179" s="159"/>
      <c r="AD179" s="1201">
        <v>183.01999999999998</v>
      </c>
      <c r="AE179" s="590"/>
      <c r="AF179" s="782">
        <f t="shared" si="337"/>
        <v>649.67000000000007</v>
      </c>
      <c r="AG179" s="159"/>
      <c r="AH179" s="1201"/>
      <c r="AI179" s="590"/>
      <c r="AJ179" s="373">
        <f t="shared" si="323"/>
        <v>649.67000000000007</v>
      </c>
      <c r="AK179" s="159"/>
      <c r="AL179" s="1201"/>
      <c r="AM179" s="946"/>
      <c r="AN179" s="618">
        <f t="shared" si="324"/>
        <v>183.01999999999998</v>
      </c>
      <c r="AO179" s="590"/>
      <c r="AP179" s="373">
        <f t="shared" si="339"/>
        <v>649.67000000000007</v>
      </c>
      <c r="AQ179" s="159"/>
      <c r="AR179" s="1201"/>
      <c r="AS179" s="590"/>
      <c r="AT179" s="43">
        <f t="shared" si="326"/>
        <v>649.67000000000007</v>
      </c>
      <c r="AU179" s="159"/>
      <c r="AV179" s="1201">
        <v>81.88</v>
      </c>
      <c r="AW179" s="590"/>
      <c r="AX179" s="43">
        <f t="shared" si="327"/>
        <v>731.55000000000007</v>
      </c>
      <c r="AY179" s="159"/>
      <c r="AZ179" s="1201">
        <v>373.19000000000005</v>
      </c>
      <c r="BA179" s="946"/>
      <c r="BB179" s="618">
        <f t="shared" si="338"/>
        <v>455.07000000000005</v>
      </c>
      <c r="BC179" s="3627"/>
      <c r="BD179" s="3562">
        <f t="shared" ref="BD179:BD215" si="340">AN179+BB179</f>
        <v>638.09</v>
      </c>
      <c r="BE179" s="590"/>
      <c r="BF179" s="43">
        <f t="shared" si="330"/>
        <v>1104.7400000000002</v>
      </c>
      <c r="BG179" s="26"/>
      <c r="BH179" s="26"/>
      <c r="BI179" s="26"/>
      <c r="BJ179" s="26"/>
      <c r="BK179" s="26"/>
    </row>
    <row r="180" spans="1:63" ht="15.75" thickBot="1" x14ac:dyDescent="0.3">
      <c r="A180" s="93"/>
      <c r="B180" s="3623" t="s">
        <v>871</v>
      </c>
      <c r="C180" s="3616" t="s">
        <v>951</v>
      </c>
      <c r="D180" s="3587"/>
      <c r="E180" s="3575"/>
      <c r="F180" s="1201"/>
      <c r="G180" s="3575"/>
      <c r="H180" s="1201">
        <v>557.69999999999993</v>
      </c>
      <c r="I180" s="852"/>
      <c r="J180" s="782">
        <f t="shared" si="331"/>
        <v>557.69999999999993</v>
      </c>
      <c r="K180" s="3575"/>
      <c r="L180" s="1201">
        <v>63.14</v>
      </c>
      <c r="M180" s="902"/>
      <c r="N180" s="781">
        <f t="shared" si="332"/>
        <v>620.83999999999992</v>
      </c>
      <c r="O180" s="3575"/>
      <c r="P180" s="1201"/>
      <c r="Q180" s="852"/>
      <c r="R180" s="782">
        <f t="shared" si="333"/>
        <v>620.83999999999992</v>
      </c>
      <c r="S180" s="3575"/>
      <c r="T180" s="1201"/>
      <c r="U180" s="852"/>
      <c r="V180" s="782">
        <f t="shared" si="334"/>
        <v>620.83999999999992</v>
      </c>
      <c r="W180" s="3575"/>
      <c r="X180" s="1201"/>
      <c r="Y180" s="902"/>
      <c r="Z180" s="781">
        <f t="shared" si="335"/>
        <v>0</v>
      </c>
      <c r="AA180" s="3591"/>
      <c r="AB180" s="3562">
        <f t="shared" si="336"/>
        <v>620.83999999999992</v>
      </c>
      <c r="AC180" s="3575"/>
      <c r="AD180" s="1201"/>
      <c r="AE180" s="852"/>
      <c r="AF180" s="782">
        <f t="shared" si="337"/>
        <v>620.83999999999992</v>
      </c>
      <c r="AG180" s="3575"/>
      <c r="AH180" s="1201">
        <v>934.34000000000015</v>
      </c>
      <c r="AI180" s="852"/>
      <c r="AJ180" s="373">
        <f t="shared" si="323"/>
        <v>1555.18</v>
      </c>
      <c r="AK180" s="3575"/>
      <c r="AL180" s="1201"/>
      <c r="AM180" s="902"/>
      <c r="AN180" s="618">
        <f t="shared" ref="AN180:AN207" si="341">AD180+AH180+AL180</f>
        <v>934.34000000000015</v>
      </c>
      <c r="AO180" s="852"/>
      <c r="AP180" s="373">
        <f t="shared" si="339"/>
        <v>1555.18</v>
      </c>
      <c r="AQ180" s="3575"/>
      <c r="AR180" s="1201"/>
      <c r="AS180" s="852"/>
      <c r="AT180" s="43">
        <f t="shared" si="326"/>
        <v>1555.18</v>
      </c>
      <c r="AU180" s="3575"/>
      <c r="AV180" s="1201"/>
      <c r="AW180" s="852"/>
      <c r="AX180" s="43">
        <f t="shared" si="327"/>
        <v>1555.18</v>
      </c>
      <c r="AY180" s="3575"/>
      <c r="AZ180" s="1201"/>
      <c r="BA180" s="902"/>
      <c r="BB180" s="618">
        <f t="shared" si="338"/>
        <v>0</v>
      </c>
      <c r="BC180" s="3591"/>
      <c r="BD180" s="3562">
        <f t="shared" si="340"/>
        <v>934.34000000000015</v>
      </c>
      <c r="BE180" s="852"/>
      <c r="BF180" s="43">
        <f t="shared" si="330"/>
        <v>1555.18</v>
      </c>
      <c r="BG180" s="26"/>
      <c r="BH180" s="26"/>
      <c r="BI180" s="26"/>
      <c r="BJ180" s="26"/>
      <c r="BK180" s="26"/>
    </row>
    <row r="181" spans="1:63" ht="15.75" hidden="1" customHeight="1" thickBot="1" x14ac:dyDescent="0.35">
      <c r="A181" s="93"/>
      <c r="B181" s="3623" t="s">
        <v>871</v>
      </c>
      <c r="C181" s="3616" t="s">
        <v>1530</v>
      </c>
      <c r="D181" s="3587"/>
      <c r="E181" s="3575"/>
      <c r="F181" s="1201"/>
      <c r="G181" s="3575"/>
      <c r="H181" s="1201"/>
      <c r="I181" s="852"/>
      <c r="J181" s="782">
        <f t="shared" si="331"/>
        <v>0</v>
      </c>
      <c r="K181" s="3575"/>
      <c r="L181" s="1201"/>
      <c r="M181" s="902"/>
      <c r="N181" s="781">
        <f t="shared" si="332"/>
        <v>0</v>
      </c>
      <c r="O181" s="3575"/>
      <c r="P181" s="1201"/>
      <c r="Q181" s="852"/>
      <c r="R181" s="782">
        <f t="shared" si="333"/>
        <v>0</v>
      </c>
      <c r="S181" s="3575"/>
      <c r="T181" s="1201"/>
      <c r="U181" s="852"/>
      <c r="V181" s="782">
        <f t="shared" si="334"/>
        <v>0</v>
      </c>
      <c r="W181" s="3575"/>
      <c r="X181" s="1201"/>
      <c r="Y181" s="902"/>
      <c r="Z181" s="781">
        <f t="shared" si="335"/>
        <v>0</v>
      </c>
      <c r="AA181" s="3591"/>
      <c r="AB181" s="3562">
        <f t="shared" si="336"/>
        <v>0</v>
      </c>
      <c r="AC181" s="3575"/>
      <c r="AD181" s="1201"/>
      <c r="AE181" s="852"/>
      <c r="AF181" s="782">
        <f t="shared" si="337"/>
        <v>0</v>
      </c>
      <c r="AG181" s="3575"/>
      <c r="AH181" s="1201"/>
      <c r="AI181" s="852"/>
      <c r="AJ181" s="373">
        <f t="shared" si="323"/>
        <v>0</v>
      </c>
      <c r="AK181" s="3575"/>
      <c r="AL181" s="1201"/>
      <c r="AM181" s="902"/>
      <c r="AN181" s="618">
        <f t="shared" si="341"/>
        <v>0</v>
      </c>
      <c r="AO181" s="852"/>
      <c r="AP181" s="373">
        <f t="shared" si="339"/>
        <v>0</v>
      </c>
      <c r="AQ181" s="3575"/>
      <c r="AR181" s="1201"/>
      <c r="AS181" s="852"/>
      <c r="AT181" s="43">
        <f t="shared" si="326"/>
        <v>0</v>
      </c>
      <c r="AU181" s="3575"/>
      <c r="AV181" s="1201"/>
      <c r="AW181" s="852"/>
      <c r="AX181" s="43">
        <f t="shared" si="327"/>
        <v>0</v>
      </c>
      <c r="AY181" s="3575"/>
      <c r="AZ181" s="1201"/>
      <c r="BA181" s="902"/>
      <c r="BB181" s="618">
        <f t="shared" si="338"/>
        <v>0</v>
      </c>
      <c r="BC181" s="3591"/>
      <c r="BD181" s="3562">
        <f t="shared" si="340"/>
        <v>0</v>
      </c>
      <c r="BE181" s="852"/>
      <c r="BF181" s="43">
        <f t="shared" si="330"/>
        <v>0</v>
      </c>
      <c r="BG181" s="26"/>
      <c r="BH181" s="26"/>
      <c r="BI181" s="26"/>
      <c r="BJ181" s="26"/>
      <c r="BK181" s="26"/>
    </row>
    <row r="182" spans="1:63" ht="15.75" hidden="1" customHeight="1" thickBot="1" x14ac:dyDescent="0.35">
      <c r="A182" s="93"/>
      <c r="B182" s="3623" t="s">
        <v>871</v>
      </c>
      <c r="C182" s="3616" t="s">
        <v>1465</v>
      </c>
      <c r="D182" s="3587"/>
      <c r="E182" s="3575"/>
      <c r="F182" s="1201"/>
      <c r="G182" s="3575"/>
      <c r="H182" s="1201"/>
      <c r="I182" s="852"/>
      <c r="J182" s="782">
        <f t="shared" si="331"/>
        <v>0</v>
      </c>
      <c r="K182" s="3575"/>
      <c r="L182" s="1201"/>
      <c r="M182" s="902"/>
      <c r="N182" s="781">
        <f t="shared" si="332"/>
        <v>0</v>
      </c>
      <c r="O182" s="3575"/>
      <c r="P182" s="1201"/>
      <c r="Q182" s="852"/>
      <c r="R182" s="782">
        <f t="shared" si="333"/>
        <v>0</v>
      </c>
      <c r="S182" s="3575"/>
      <c r="T182" s="1201"/>
      <c r="U182" s="852"/>
      <c r="V182" s="782">
        <f t="shared" si="334"/>
        <v>0</v>
      </c>
      <c r="W182" s="3575"/>
      <c r="X182" s="1201"/>
      <c r="Y182" s="902"/>
      <c r="Z182" s="781">
        <f t="shared" si="335"/>
        <v>0</v>
      </c>
      <c r="AA182" s="3591"/>
      <c r="AB182" s="3562">
        <f t="shared" si="336"/>
        <v>0</v>
      </c>
      <c r="AC182" s="3575"/>
      <c r="AD182" s="1201"/>
      <c r="AE182" s="852"/>
      <c r="AF182" s="782">
        <f t="shared" si="337"/>
        <v>0</v>
      </c>
      <c r="AG182" s="3575"/>
      <c r="AH182" s="1201"/>
      <c r="AI182" s="852"/>
      <c r="AJ182" s="373">
        <f t="shared" si="323"/>
        <v>0</v>
      </c>
      <c r="AK182" s="3575"/>
      <c r="AL182" s="1201"/>
      <c r="AM182" s="902"/>
      <c r="AN182" s="618">
        <f t="shared" si="341"/>
        <v>0</v>
      </c>
      <c r="AO182" s="852"/>
      <c r="AP182" s="373">
        <f t="shared" si="339"/>
        <v>0</v>
      </c>
      <c r="AQ182" s="3575"/>
      <c r="AR182" s="1201"/>
      <c r="AS182" s="852"/>
      <c r="AT182" s="43">
        <f t="shared" si="326"/>
        <v>0</v>
      </c>
      <c r="AU182" s="3575"/>
      <c r="AV182" s="1201"/>
      <c r="AW182" s="852"/>
      <c r="AX182" s="43">
        <f t="shared" si="327"/>
        <v>0</v>
      </c>
      <c r="AY182" s="3575"/>
      <c r="AZ182" s="1201"/>
      <c r="BA182" s="902"/>
      <c r="BB182" s="618">
        <f t="shared" si="338"/>
        <v>0</v>
      </c>
      <c r="BC182" s="3591"/>
      <c r="BD182" s="3562">
        <f t="shared" si="340"/>
        <v>0</v>
      </c>
      <c r="BE182" s="852"/>
      <c r="BF182" s="43">
        <f t="shared" si="330"/>
        <v>0</v>
      </c>
      <c r="BG182" s="26"/>
      <c r="BH182" s="26"/>
      <c r="BI182" s="26"/>
      <c r="BJ182" s="26"/>
      <c r="BK182" s="26"/>
    </row>
    <row r="183" spans="1:63" ht="15.75" hidden="1" customHeight="1" thickBot="1" x14ac:dyDescent="0.35">
      <c r="A183" s="93"/>
      <c r="B183" s="3623" t="s">
        <v>871</v>
      </c>
      <c r="C183" s="3616" t="s">
        <v>1529</v>
      </c>
      <c r="D183" s="3587"/>
      <c r="E183" s="3575"/>
      <c r="F183" s="1201"/>
      <c r="G183" s="3575"/>
      <c r="H183" s="1201"/>
      <c r="I183" s="852"/>
      <c r="J183" s="782">
        <f t="shared" si="331"/>
        <v>0</v>
      </c>
      <c r="K183" s="3575"/>
      <c r="L183" s="1201"/>
      <c r="M183" s="902"/>
      <c r="N183" s="781">
        <f t="shared" si="332"/>
        <v>0</v>
      </c>
      <c r="O183" s="3575"/>
      <c r="P183" s="1201"/>
      <c r="Q183" s="852"/>
      <c r="R183" s="782">
        <f t="shared" si="333"/>
        <v>0</v>
      </c>
      <c r="S183" s="3575"/>
      <c r="T183" s="1201"/>
      <c r="U183" s="852"/>
      <c r="V183" s="782">
        <f t="shared" si="334"/>
        <v>0</v>
      </c>
      <c r="W183" s="3575"/>
      <c r="X183" s="1201"/>
      <c r="Y183" s="902"/>
      <c r="Z183" s="781">
        <f t="shared" si="335"/>
        <v>0</v>
      </c>
      <c r="AA183" s="3591"/>
      <c r="AB183" s="3562">
        <f t="shared" si="336"/>
        <v>0</v>
      </c>
      <c r="AC183" s="3575"/>
      <c r="AD183" s="1201"/>
      <c r="AE183" s="852"/>
      <c r="AF183" s="782">
        <f t="shared" si="337"/>
        <v>0</v>
      </c>
      <c r="AG183" s="3575"/>
      <c r="AH183" s="1201"/>
      <c r="AI183" s="852"/>
      <c r="AJ183" s="373">
        <f t="shared" si="323"/>
        <v>0</v>
      </c>
      <c r="AK183" s="3575"/>
      <c r="AL183" s="1201"/>
      <c r="AM183" s="902"/>
      <c r="AN183" s="618">
        <f t="shared" si="341"/>
        <v>0</v>
      </c>
      <c r="AO183" s="852"/>
      <c r="AP183" s="373">
        <f t="shared" si="339"/>
        <v>0</v>
      </c>
      <c r="AQ183" s="3575"/>
      <c r="AR183" s="1201"/>
      <c r="AS183" s="852"/>
      <c r="AT183" s="43">
        <f t="shared" si="326"/>
        <v>0</v>
      </c>
      <c r="AU183" s="3575"/>
      <c r="AV183" s="1201"/>
      <c r="AW183" s="852"/>
      <c r="AX183" s="43">
        <f t="shared" si="327"/>
        <v>0</v>
      </c>
      <c r="AY183" s="3575"/>
      <c r="AZ183" s="1201"/>
      <c r="BA183" s="902"/>
      <c r="BB183" s="618">
        <f t="shared" si="338"/>
        <v>0</v>
      </c>
      <c r="BC183" s="3591"/>
      <c r="BD183" s="3562">
        <f t="shared" si="340"/>
        <v>0</v>
      </c>
      <c r="BE183" s="852"/>
      <c r="BF183" s="43">
        <f t="shared" si="330"/>
        <v>0</v>
      </c>
      <c r="BG183" s="26"/>
      <c r="BH183" s="26"/>
      <c r="BI183" s="26"/>
      <c r="BJ183" s="26"/>
      <c r="BK183" s="26"/>
    </row>
    <row r="184" spans="1:63" ht="15.75" thickBot="1" x14ac:dyDescent="0.3">
      <c r="A184" s="93"/>
      <c r="B184" s="3623" t="s">
        <v>871</v>
      </c>
      <c r="C184" s="3616" t="s">
        <v>1154</v>
      </c>
      <c r="D184" s="159"/>
      <c r="E184" s="159"/>
      <c r="F184" s="1201">
        <v>3242.89</v>
      </c>
      <c r="G184" s="159"/>
      <c r="H184" s="1201">
        <v>6082.54</v>
      </c>
      <c r="I184" s="590"/>
      <c r="J184" s="782">
        <f t="shared" si="331"/>
        <v>9325.43</v>
      </c>
      <c r="K184" s="159"/>
      <c r="L184" s="1201">
        <v>5628.0299999999988</v>
      </c>
      <c r="M184" s="946"/>
      <c r="N184" s="781">
        <f t="shared" si="332"/>
        <v>14953.46</v>
      </c>
      <c r="O184" s="159"/>
      <c r="P184" s="1201">
        <v>9016.16</v>
      </c>
      <c r="Q184" s="590"/>
      <c r="R184" s="782">
        <f t="shared" si="333"/>
        <v>23969.62</v>
      </c>
      <c r="S184" s="159"/>
      <c r="T184" s="1201">
        <v>10555.499999999998</v>
      </c>
      <c r="U184" s="590"/>
      <c r="V184" s="782">
        <f t="shared" si="334"/>
        <v>34525.119999999995</v>
      </c>
      <c r="W184" s="159"/>
      <c r="X184" s="1201">
        <v>9723.43</v>
      </c>
      <c r="Y184" s="946"/>
      <c r="Z184" s="781">
        <f t="shared" si="335"/>
        <v>29295.089999999997</v>
      </c>
      <c r="AA184" s="3627"/>
      <c r="AB184" s="3562">
        <f t="shared" si="336"/>
        <v>44248.549999999996</v>
      </c>
      <c r="AC184" s="159"/>
      <c r="AD184" s="1201">
        <v>2640.4500000000003</v>
      </c>
      <c r="AE184" s="590"/>
      <c r="AF184" s="782">
        <f t="shared" si="337"/>
        <v>46888.999999999993</v>
      </c>
      <c r="AG184" s="159"/>
      <c r="AH184" s="1201">
        <v>2340.5000000000005</v>
      </c>
      <c r="AI184" s="590"/>
      <c r="AJ184" s="373">
        <f t="shared" si="323"/>
        <v>49229.499999999993</v>
      </c>
      <c r="AK184" s="159"/>
      <c r="AL184" s="1201">
        <v>2136.37</v>
      </c>
      <c r="AM184" s="946"/>
      <c r="AN184" s="618">
        <f t="shared" si="341"/>
        <v>7117.3200000000006</v>
      </c>
      <c r="AO184" s="590"/>
      <c r="AP184" s="373">
        <f t="shared" si="339"/>
        <v>51365.869999999995</v>
      </c>
      <c r="AQ184" s="159"/>
      <c r="AR184" s="1201">
        <v>4184.92</v>
      </c>
      <c r="AS184" s="590"/>
      <c r="AT184" s="43">
        <f t="shared" si="326"/>
        <v>55550.789999999994</v>
      </c>
      <c r="AU184" s="159"/>
      <c r="AV184" s="1201">
        <v>7144.16</v>
      </c>
      <c r="AW184" s="590"/>
      <c r="AX184" s="43">
        <f t="shared" si="327"/>
        <v>62694.95</v>
      </c>
      <c r="AY184" s="159"/>
      <c r="AZ184" s="1201">
        <v>8528.6999999999989</v>
      </c>
      <c r="BA184" s="946"/>
      <c r="BB184" s="618">
        <f t="shared" si="338"/>
        <v>19857.78</v>
      </c>
      <c r="BC184" s="3627"/>
      <c r="BD184" s="3562">
        <f t="shared" si="340"/>
        <v>26975.1</v>
      </c>
      <c r="BE184" s="590"/>
      <c r="BF184" s="43">
        <f t="shared" si="330"/>
        <v>71223.649999999994</v>
      </c>
      <c r="BG184" s="26"/>
      <c r="BH184" s="26"/>
      <c r="BI184" s="26"/>
      <c r="BJ184" s="26"/>
      <c r="BK184" s="26"/>
    </row>
    <row r="185" spans="1:63" ht="15.75" thickBot="1" x14ac:dyDescent="0.3">
      <c r="A185" s="93"/>
      <c r="B185" s="3623" t="s">
        <v>871</v>
      </c>
      <c r="C185" s="3616" t="s">
        <v>909</v>
      </c>
      <c r="D185" s="159"/>
      <c r="E185" s="159"/>
      <c r="F185" s="1201">
        <v>2388.84</v>
      </c>
      <c r="G185" s="159"/>
      <c r="H185" s="1201">
        <v>1637.2599999999998</v>
      </c>
      <c r="I185" s="590"/>
      <c r="J185" s="782">
        <f t="shared" si="331"/>
        <v>4026.1</v>
      </c>
      <c r="K185" s="159"/>
      <c r="L185" s="1201">
        <v>2158.02</v>
      </c>
      <c r="M185" s="946"/>
      <c r="N185" s="781">
        <f t="shared" si="332"/>
        <v>6184.12</v>
      </c>
      <c r="O185" s="159"/>
      <c r="P185" s="1201">
        <v>2393.17</v>
      </c>
      <c r="Q185" s="590"/>
      <c r="R185" s="782">
        <f t="shared" si="333"/>
        <v>8577.2900000000009</v>
      </c>
      <c r="S185" s="159"/>
      <c r="T185" s="1201">
        <v>1326.42</v>
      </c>
      <c r="U185" s="590"/>
      <c r="V185" s="782">
        <f t="shared" si="334"/>
        <v>9903.7100000000009</v>
      </c>
      <c r="W185" s="159"/>
      <c r="X185" s="1201">
        <v>1257.1299999999999</v>
      </c>
      <c r="Y185" s="946"/>
      <c r="Z185" s="781">
        <f t="shared" si="335"/>
        <v>4976.72</v>
      </c>
      <c r="AA185" s="3627"/>
      <c r="AB185" s="3562">
        <f t="shared" si="336"/>
        <v>11160.84</v>
      </c>
      <c r="AC185" s="159"/>
      <c r="AD185" s="1201">
        <v>653.20000000000005</v>
      </c>
      <c r="AE185" s="590"/>
      <c r="AF185" s="782">
        <f t="shared" si="337"/>
        <v>11814.04</v>
      </c>
      <c r="AG185" s="159"/>
      <c r="AH185" s="1201">
        <v>1596.17</v>
      </c>
      <c r="AI185" s="590"/>
      <c r="AJ185" s="373">
        <f t="shared" si="323"/>
        <v>13410.210000000001</v>
      </c>
      <c r="AK185" s="159"/>
      <c r="AL185" s="1201">
        <v>1603.98</v>
      </c>
      <c r="AM185" s="946"/>
      <c r="AN185" s="618">
        <f t="shared" si="341"/>
        <v>3853.35</v>
      </c>
      <c r="AO185" s="590"/>
      <c r="AP185" s="373">
        <f t="shared" si="339"/>
        <v>15014.19</v>
      </c>
      <c r="AQ185" s="159"/>
      <c r="AR185" s="1201">
        <v>1728.0500000000002</v>
      </c>
      <c r="AS185" s="590"/>
      <c r="AT185" s="43">
        <f t="shared" si="326"/>
        <v>16742.240000000002</v>
      </c>
      <c r="AU185" s="159"/>
      <c r="AV185" s="1201">
        <v>2406.33</v>
      </c>
      <c r="AW185" s="590"/>
      <c r="AX185" s="43">
        <f t="shared" si="327"/>
        <v>19148.57</v>
      </c>
      <c r="AY185" s="159"/>
      <c r="AZ185" s="1201">
        <v>8212.5900000000038</v>
      </c>
      <c r="BA185" s="946"/>
      <c r="BB185" s="618">
        <f t="shared" si="338"/>
        <v>12346.970000000005</v>
      </c>
      <c r="BC185" s="3627"/>
      <c r="BD185" s="3562">
        <f t="shared" si="340"/>
        <v>16200.320000000005</v>
      </c>
      <c r="BE185" s="590"/>
      <c r="BF185" s="43">
        <f t="shared" si="330"/>
        <v>27361.160000000003</v>
      </c>
      <c r="BG185" s="26"/>
      <c r="BH185" s="26"/>
      <c r="BI185" s="26"/>
      <c r="BJ185" s="26"/>
      <c r="BK185" s="26"/>
    </row>
    <row r="186" spans="1:63" ht="15.75" thickBot="1" x14ac:dyDescent="0.3">
      <c r="A186" s="93"/>
      <c r="B186" s="3623" t="s">
        <v>871</v>
      </c>
      <c r="C186" s="3616" t="s">
        <v>2101</v>
      </c>
      <c r="D186" s="159"/>
      <c r="E186" s="159"/>
      <c r="F186" s="1201"/>
      <c r="G186" s="159"/>
      <c r="H186" s="1201"/>
      <c r="I186" s="590"/>
      <c r="J186" s="782">
        <f t="shared" si="331"/>
        <v>0</v>
      </c>
      <c r="K186" s="159"/>
      <c r="L186" s="1201"/>
      <c r="M186" s="946"/>
      <c r="N186" s="781">
        <f t="shared" si="332"/>
        <v>0</v>
      </c>
      <c r="O186" s="159"/>
      <c r="P186" s="1201"/>
      <c r="Q186" s="590"/>
      <c r="R186" s="782">
        <f t="shared" si="333"/>
        <v>0</v>
      </c>
      <c r="S186" s="159"/>
      <c r="T186" s="1201">
        <v>187.36</v>
      </c>
      <c r="U186" s="590"/>
      <c r="V186" s="782">
        <f t="shared" si="334"/>
        <v>187.36</v>
      </c>
      <c r="W186" s="159"/>
      <c r="X186" s="1201">
        <v>558.38</v>
      </c>
      <c r="Y186" s="946"/>
      <c r="Z186" s="781">
        <f t="shared" si="335"/>
        <v>745.74</v>
      </c>
      <c r="AA186" s="3627"/>
      <c r="AB186" s="3562">
        <f t="shared" si="336"/>
        <v>745.74</v>
      </c>
      <c r="AC186" s="159"/>
      <c r="AD186" s="1201"/>
      <c r="AE186" s="590"/>
      <c r="AF186" s="782">
        <f t="shared" si="337"/>
        <v>745.74</v>
      </c>
      <c r="AG186" s="159"/>
      <c r="AH186" s="1201"/>
      <c r="AI186" s="590"/>
      <c r="AJ186" s="373">
        <f t="shared" ref="AJ186:AJ204" si="342">AF186+AH186</f>
        <v>745.74</v>
      </c>
      <c r="AK186" s="159"/>
      <c r="AL186" s="1201"/>
      <c r="AM186" s="946"/>
      <c r="AN186" s="618">
        <f t="shared" si="341"/>
        <v>0</v>
      </c>
      <c r="AO186" s="590"/>
      <c r="AP186" s="373">
        <f t="shared" si="339"/>
        <v>745.74</v>
      </c>
      <c r="AQ186" s="159"/>
      <c r="AR186" s="1201"/>
      <c r="AS186" s="590"/>
      <c r="AT186" s="43">
        <f t="shared" ref="AT186:AT213" si="343">AP186+AR186</f>
        <v>745.74</v>
      </c>
      <c r="AU186" s="159"/>
      <c r="AV186" s="1201">
        <v>82.43</v>
      </c>
      <c r="AW186" s="590"/>
      <c r="AX186" s="43">
        <f t="shared" ref="AX186:AX216" si="344">AT186+AV186</f>
        <v>828.17000000000007</v>
      </c>
      <c r="AY186" s="159"/>
      <c r="AZ186" s="1201"/>
      <c r="BA186" s="946"/>
      <c r="BB186" s="618">
        <f t="shared" si="338"/>
        <v>82.43</v>
      </c>
      <c r="BC186" s="3627"/>
      <c r="BD186" s="3562">
        <f t="shared" si="340"/>
        <v>82.43</v>
      </c>
      <c r="BE186" s="590"/>
      <c r="BF186" s="43">
        <f t="shared" ref="BF186:BF215" si="345">AX186+AZ186</f>
        <v>828.17000000000007</v>
      </c>
      <c r="BG186" s="26"/>
      <c r="BH186" s="26"/>
      <c r="BI186" s="26"/>
      <c r="BJ186" s="26"/>
      <c r="BK186" s="26"/>
    </row>
    <row r="187" spans="1:63" ht="15.75" hidden="1" customHeight="1" thickBot="1" x14ac:dyDescent="0.35">
      <c r="A187" s="93"/>
      <c r="B187" s="3623" t="s">
        <v>871</v>
      </c>
      <c r="C187" s="3616" t="s">
        <v>1151</v>
      </c>
      <c r="D187" s="3587"/>
      <c r="E187" s="3575"/>
      <c r="F187" s="1201"/>
      <c r="G187" s="3575"/>
      <c r="H187" s="1201"/>
      <c r="I187" s="852"/>
      <c r="J187" s="782">
        <f t="shared" si="331"/>
        <v>0</v>
      </c>
      <c r="K187" s="3575"/>
      <c r="L187" s="1201"/>
      <c r="M187" s="902"/>
      <c r="N187" s="781">
        <f t="shared" si="332"/>
        <v>0</v>
      </c>
      <c r="O187" s="3575"/>
      <c r="P187" s="1201"/>
      <c r="Q187" s="852"/>
      <c r="R187" s="782">
        <f t="shared" si="333"/>
        <v>0</v>
      </c>
      <c r="S187" s="3575"/>
      <c r="T187" s="1201"/>
      <c r="U187" s="852"/>
      <c r="V187" s="782">
        <f t="shared" si="334"/>
        <v>0</v>
      </c>
      <c r="W187" s="3575"/>
      <c r="X187" s="1201"/>
      <c r="Y187" s="902"/>
      <c r="Z187" s="781">
        <f t="shared" si="335"/>
        <v>0</v>
      </c>
      <c r="AA187" s="3591"/>
      <c r="AB187" s="3562">
        <f t="shared" si="336"/>
        <v>0</v>
      </c>
      <c r="AC187" s="3575"/>
      <c r="AD187" s="1201"/>
      <c r="AE187" s="852"/>
      <c r="AF187" s="782">
        <f t="shared" si="337"/>
        <v>0</v>
      </c>
      <c r="AG187" s="3575"/>
      <c r="AH187" s="1201"/>
      <c r="AI187" s="852"/>
      <c r="AJ187" s="373">
        <f t="shared" si="342"/>
        <v>0</v>
      </c>
      <c r="AK187" s="3575"/>
      <c r="AL187" s="1201"/>
      <c r="AM187" s="902"/>
      <c r="AN187" s="618">
        <f t="shared" si="341"/>
        <v>0</v>
      </c>
      <c r="AO187" s="852"/>
      <c r="AP187" s="373">
        <f t="shared" si="339"/>
        <v>0</v>
      </c>
      <c r="AQ187" s="3575"/>
      <c r="AR187" s="1201"/>
      <c r="AS187" s="852"/>
      <c r="AT187" s="43">
        <f t="shared" si="343"/>
        <v>0</v>
      </c>
      <c r="AU187" s="3575"/>
      <c r="AV187" s="1201">
        <v>131.38</v>
      </c>
      <c r="AW187" s="852"/>
      <c r="AX187" s="43">
        <f t="shared" si="344"/>
        <v>131.38</v>
      </c>
      <c r="AY187" s="3575"/>
      <c r="AZ187" s="1201"/>
      <c r="BA187" s="902"/>
      <c r="BB187" s="618">
        <f t="shared" si="338"/>
        <v>131.38</v>
      </c>
      <c r="BC187" s="3591"/>
      <c r="BD187" s="3562">
        <f t="shared" si="340"/>
        <v>131.38</v>
      </c>
      <c r="BE187" s="852"/>
      <c r="BF187" s="43">
        <f t="shared" si="345"/>
        <v>131.38</v>
      </c>
      <c r="BG187" s="26"/>
      <c r="BH187" s="26"/>
      <c r="BI187" s="26"/>
      <c r="BJ187" s="26"/>
      <c r="BK187" s="26"/>
    </row>
    <row r="188" spans="1:63" ht="15.75" hidden="1" customHeight="1" thickBot="1" x14ac:dyDescent="0.35">
      <c r="A188" s="93"/>
      <c r="B188" s="3623" t="s">
        <v>871</v>
      </c>
      <c r="C188" s="4436" t="s">
        <v>1979</v>
      </c>
      <c r="D188" s="4437"/>
      <c r="E188" s="4438"/>
      <c r="F188" s="4439"/>
      <c r="G188" s="4438"/>
      <c r="H188" s="4439">
        <v>114.39</v>
      </c>
      <c r="I188" s="4440"/>
      <c r="J188" s="782">
        <f t="shared" si="331"/>
        <v>114.39</v>
      </c>
      <c r="K188" s="4438"/>
      <c r="L188" s="4439"/>
      <c r="M188" s="4441"/>
      <c r="N188" s="781">
        <f t="shared" si="332"/>
        <v>114.39</v>
      </c>
      <c r="O188" s="4438"/>
      <c r="P188" s="4439"/>
      <c r="Q188" s="4440"/>
      <c r="R188" s="782">
        <f t="shared" si="333"/>
        <v>114.39</v>
      </c>
      <c r="S188" s="4438"/>
      <c r="T188" s="4439"/>
      <c r="U188" s="4440"/>
      <c r="V188" s="782">
        <f t="shared" si="334"/>
        <v>114.39</v>
      </c>
      <c r="W188" s="4438"/>
      <c r="X188" s="4439"/>
      <c r="Y188" s="4441"/>
      <c r="Z188" s="781">
        <f t="shared" si="335"/>
        <v>0</v>
      </c>
      <c r="AA188" s="4442"/>
      <c r="AB188" s="3562">
        <f t="shared" si="336"/>
        <v>114.39</v>
      </c>
      <c r="AC188" s="4438"/>
      <c r="AD188" s="4439"/>
      <c r="AE188" s="4440"/>
      <c r="AF188" s="782">
        <f t="shared" si="337"/>
        <v>114.39</v>
      </c>
      <c r="AG188" s="4438"/>
      <c r="AH188" s="4439">
        <v>185.19</v>
      </c>
      <c r="AI188" s="4440"/>
      <c r="AJ188" s="373">
        <f t="shared" si="342"/>
        <v>299.58</v>
      </c>
      <c r="AK188" s="4438"/>
      <c r="AL188" s="4439"/>
      <c r="AM188" s="4441"/>
      <c r="AN188" s="618">
        <f t="shared" si="341"/>
        <v>185.19</v>
      </c>
      <c r="AO188" s="4440"/>
      <c r="AP188" s="373">
        <f t="shared" si="339"/>
        <v>299.58</v>
      </c>
      <c r="AQ188" s="4438"/>
      <c r="AR188" s="4439">
        <v>121.22</v>
      </c>
      <c r="AS188" s="4440"/>
      <c r="AT188" s="43">
        <f t="shared" si="343"/>
        <v>420.79999999999995</v>
      </c>
      <c r="AU188" s="4438"/>
      <c r="AV188" s="4439"/>
      <c r="AW188" s="4440"/>
      <c r="AX188" s="43">
        <f t="shared" si="344"/>
        <v>420.79999999999995</v>
      </c>
      <c r="AY188" s="4438"/>
      <c r="AZ188" s="4439"/>
      <c r="BA188" s="4441"/>
      <c r="BB188" s="618">
        <f t="shared" si="338"/>
        <v>121.22</v>
      </c>
      <c r="BC188" s="4442"/>
      <c r="BD188" s="3562">
        <f t="shared" si="340"/>
        <v>306.40999999999997</v>
      </c>
      <c r="BE188" s="4440"/>
      <c r="BF188" s="43">
        <f t="shared" si="345"/>
        <v>420.79999999999995</v>
      </c>
      <c r="BG188" s="26"/>
      <c r="BH188" s="26"/>
      <c r="BI188" s="26"/>
      <c r="BJ188" s="26"/>
      <c r="BK188" s="26"/>
    </row>
    <row r="189" spans="1:63" ht="15.75" hidden="1" customHeight="1" thickBot="1" x14ac:dyDescent="0.35">
      <c r="A189" s="93"/>
      <c r="B189" s="3623" t="s">
        <v>871</v>
      </c>
      <c r="C189" s="3616" t="s">
        <v>1155</v>
      </c>
      <c r="D189" s="3587"/>
      <c r="E189" s="3575"/>
      <c r="F189" s="1201"/>
      <c r="G189" s="3575"/>
      <c r="H189" s="1201"/>
      <c r="I189" s="852"/>
      <c r="J189" s="782">
        <f t="shared" si="331"/>
        <v>0</v>
      </c>
      <c r="K189" s="3575"/>
      <c r="L189" s="1201"/>
      <c r="M189" s="902"/>
      <c r="N189" s="781">
        <f t="shared" si="332"/>
        <v>0</v>
      </c>
      <c r="O189" s="3575"/>
      <c r="P189" s="1201"/>
      <c r="Q189" s="852"/>
      <c r="R189" s="782">
        <f t="shared" si="333"/>
        <v>0</v>
      </c>
      <c r="S189" s="3575"/>
      <c r="T189" s="1201"/>
      <c r="U189" s="852"/>
      <c r="V189" s="782">
        <f t="shared" si="334"/>
        <v>0</v>
      </c>
      <c r="W189" s="3575"/>
      <c r="X189" s="1201"/>
      <c r="Y189" s="902"/>
      <c r="Z189" s="781">
        <f t="shared" si="335"/>
        <v>0</v>
      </c>
      <c r="AA189" s="3591"/>
      <c r="AB189" s="3562">
        <f t="shared" si="336"/>
        <v>0</v>
      </c>
      <c r="AC189" s="3575"/>
      <c r="AD189" s="1201"/>
      <c r="AE189" s="852"/>
      <c r="AF189" s="782">
        <f t="shared" si="337"/>
        <v>0</v>
      </c>
      <c r="AG189" s="3575"/>
      <c r="AH189" s="1201"/>
      <c r="AI189" s="852"/>
      <c r="AJ189" s="373">
        <f t="shared" si="342"/>
        <v>0</v>
      </c>
      <c r="AK189" s="3575"/>
      <c r="AL189" s="1201"/>
      <c r="AM189" s="902"/>
      <c r="AN189" s="618">
        <f t="shared" si="341"/>
        <v>0</v>
      </c>
      <c r="AO189" s="852"/>
      <c r="AP189" s="373">
        <f t="shared" si="339"/>
        <v>0</v>
      </c>
      <c r="AQ189" s="3575"/>
      <c r="AR189" s="1201"/>
      <c r="AS189" s="852"/>
      <c r="AT189" s="43">
        <f t="shared" si="343"/>
        <v>0</v>
      </c>
      <c r="AU189" s="3575"/>
      <c r="AV189" s="1201"/>
      <c r="AW189" s="852"/>
      <c r="AX189" s="43">
        <f t="shared" si="344"/>
        <v>0</v>
      </c>
      <c r="AY189" s="3575"/>
      <c r="AZ189" s="1201"/>
      <c r="BA189" s="902"/>
      <c r="BB189" s="618">
        <f t="shared" si="338"/>
        <v>0</v>
      </c>
      <c r="BC189" s="3591"/>
      <c r="BD189" s="3562">
        <f t="shared" si="340"/>
        <v>0</v>
      </c>
      <c r="BE189" s="852"/>
      <c r="BF189" s="43">
        <f t="shared" si="345"/>
        <v>0</v>
      </c>
      <c r="BG189" s="26"/>
      <c r="BH189" s="26"/>
      <c r="BI189" s="26"/>
      <c r="BJ189" s="26"/>
      <c r="BK189" s="26"/>
    </row>
    <row r="190" spans="1:63" ht="15.75" thickBot="1" x14ac:dyDescent="0.3">
      <c r="A190" s="93"/>
      <c r="B190" s="3623" t="s">
        <v>871</v>
      </c>
      <c r="C190" s="3616" t="s">
        <v>884</v>
      </c>
      <c r="D190" s="3587"/>
      <c r="E190" s="3575"/>
      <c r="F190" s="1201">
        <v>1553.8</v>
      </c>
      <c r="G190" s="3575"/>
      <c r="H190" s="1201">
        <v>118.03999999999999</v>
      </c>
      <c r="I190" s="852"/>
      <c r="J190" s="782">
        <f t="shared" si="331"/>
        <v>1671.84</v>
      </c>
      <c r="K190" s="3575"/>
      <c r="L190" s="1201">
        <v>786.96</v>
      </c>
      <c r="M190" s="902"/>
      <c r="N190" s="781">
        <f t="shared" si="332"/>
        <v>2458.8000000000002</v>
      </c>
      <c r="O190" s="3575"/>
      <c r="P190" s="1201">
        <v>959.27999999999986</v>
      </c>
      <c r="Q190" s="852"/>
      <c r="R190" s="782">
        <f t="shared" si="333"/>
        <v>3418.08</v>
      </c>
      <c r="S190" s="3575"/>
      <c r="T190" s="1201">
        <v>64.16</v>
      </c>
      <c r="U190" s="852"/>
      <c r="V190" s="782">
        <f t="shared" si="334"/>
        <v>3482.24</v>
      </c>
      <c r="W190" s="3575"/>
      <c r="X190" s="1201"/>
      <c r="Y190" s="902"/>
      <c r="Z190" s="781">
        <f t="shared" si="335"/>
        <v>1023.4399999999998</v>
      </c>
      <c r="AA190" s="3591"/>
      <c r="AB190" s="3562">
        <f t="shared" si="336"/>
        <v>3482.24</v>
      </c>
      <c r="AC190" s="3575"/>
      <c r="AD190" s="1201">
        <v>1248.6500000000001</v>
      </c>
      <c r="AE190" s="852"/>
      <c r="AF190" s="782">
        <f t="shared" si="337"/>
        <v>4730.8899999999994</v>
      </c>
      <c r="AG190" s="3575"/>
      <c r="AH190" s="1201">
        <v>39.85</v>
      </c>
      <c r="AI190" s="852"/>
      <c r="AJ190" s="373">
        <f t="shared" si="342"/>
        <v>4770.74</v>
      </c>
      <c r="AK190" s="3575"/>
      <c r="AL190" s="1201">
        <v>729.93999999999994</v>
      </c>
      <c r="AM190" s="902"/>
      <c r="AN190" s="618">
        <f t="shared" si="341"/>
        <v>2018.44</v>
      </c>
      <c r="AO190" s="852"/>
      <c r="AP190" s="373">
        <f t="shared" si="339"/>
        <v>5500.6799999999994</v>
      </c>
      <c r="AQ190" s="3575"/>
      <c r="AR190" s="1201">
        <v>645.76</v>
      </c>
      <c r="AS190" s="852"/>
      <c r="AT190" s="43">
        <f t="shared" si="343"/>
        <v>6146.44</v>
      </c>
      <c r="AU190" s="3575"/>
      <c r="AV190" s="1201">
        <v>690.54</v>
      </c>
      <c r="AW190" s="852"/>
      <c r="AX190" s="43">
        <f t="shared" si="344"/>
        <v>6836.98</v>
      </c>
      <c r="AY190" s="3575"/>
      <c r="AZ190" s="1201">
        <v>920.21999999999991</v>
      </c>
      <c r="BA190" s="902"/>
      <c r="BB190" s="618">
        <f t="shared" si="338"/>
        <v>2256.52</v>
      </c>
      <c r="BC190" s="3591"/>
      <c r="BD190" s="3562">
        <f t="shared" si="340"/>
        <v>4274.96</v>
      </c>
      <c r="BE190" s="852"/>
      <c r="BF190" s="43">
        <f t="shared" si="345"/>
        <v>7757.2</v>
      </c>
      <c r="BG190" s="26"/>
      <c r="BH190" s="26"/>
      <c r="BI190" s="26"/>
      <c r="BJ190" s="26"/>
      <c r="BK190" s="26"/>
    </row>
    <row r="191" spans="1:63" ht="15.75" thickBot="1" x14ac:dyDescent="0.3">
      <c r="A191" s="154"/>
      <c r="B191" s="3623" t="s">
        <v>871</v>
      </c>
      <c r="C191" s="3616" t="s">
        <v>1158</v>
      </c>
      <c r="D191" s="3587"/>
      <c r="E191" s="3575"/>
      <c r="F191" s="1201">
        <v>1478.66</v>
      </c>
      <c r="G191" s="3575"/>
      <c r="H191" s="1201">
        <v>6974.48</v>
      </c>
      <c r="I191" s="852"/>
      <c r="J191" s="782">
        <f t="shared" si="331"/>
        <v>8453.14</v>
      </c>
      <c r="K191" s="3575"/>
      <c r="L191" s="1201">
        <v>3928.4800000000005</v>
      </c>
      <c r="M191" s="902"/>
      <c r="N191" s="781">
        <f t="shared" si="332"/>
        <v>12381.619999999999</v>
      </c>
      <c r="O191" s="3575"/>
      <c r="P191" s="1201">
        <v>6099.73</v>
      </c>
      <c r="Q191" s="852"/>
      <c r="R191" s="782">
        <f t="shared" si="333"/>
        <v>18481.349999999999</v>
      </c>
      <c r="S191" s="3575"/>
      <c r="T191" s="1201">
        <v>4633.2500000000009</v>
      </c>
      <c r="U191" s="852"/>
      <c r="V191" s="782">
        <f t="shared" si="334"/>
        <v>23114.6</v>
      </c>
      <c r="W191" s="3575"/>
      <c r="X191" s="1201">
        <v>4740.5</v>
      </c>
      <c r="Y191" s="902"/>
      <c r="Z191" s="781">
        <f t="shared" si="335"/>
        <v>15473.48</v>
      </c>
      <c r="AA191" s="3591"/>
      <c r="AB191" s="3562">
        <f t="shared" si="336"/>
        <v>27855.1</v>
      </c>
      <c r="AC191" s="3575"/>
      <c r="AD191" s="1201">
        <v>4397.7600000000011</v>
      </c>
      <c r="AE191" s="852"/>
      <c r="AF191" s="782">
        <f t="shared" si="337"/>
        <v>32252.86</v>
      </c>
      <c r="AG191" s="3575"/>
      <c r="AH191" s="1201">
        <v>4163.4500000000016</v>
      </c>
      <c r="AI191" s="852"/>
      <c r="AJ191" s="373">
        <f t="shared" si="342"/>
        <v>36416.310000000005</v>
      </c>
      <c r="AK191" s="3575"/>
      <c r="AL191" s="1201">
        <v>3943.8000000000011</v>
      </c>
      <c r="AM191" s="902"/>
      <c r="AN191" s="618">
        <f t="shared" si="341"/>
        <v>12505.010000000004</v>
      </c>
      <c r="AO191" s="852"/>
      <c r="AP191" s="373">
        <f t="shared" si="339"/>
        <v>40360.110000000008</v>
      </c>
      <c r="AQ191" s="3575"/>
      <c r="AR191" s="1201">
        <v>6510.62</v>
      </c>
      <c r="AS191" s="852"/>
      <c r="AT191" s="43">
        <f t="shared" si="343"/>
        <v>46870.73000000001</v>
      </c>
      <c r="AU191" s="3575"/>
      <c r="AV191" s="1201">
        <v>4972.5600000000004</v>
      </c>
      <c r="AW191" s="852"/>
      <c r="AX191" s="43">
        <f t="shared" si="344"/>
        <v>51843.290000000008</v>
      </c>
      <c r="AY191" s="3575"/>
      <c r="AZ191" s="1201">
        <v>4257.66</v>
      </c>
      <c r="BA191" s="902"/>
      <c r="BB191" s="618">
        <f t="shared" si="338"/>
        <v>15740.84</v>
      </c>
      <c r="BC191" s="3591"/>
      <c r="BD191" s="3562">
        <f t="shared" si="340"/>
        <v>28245.850000000006</v>
      </c>
      <c r="BE191" s="852"/>
      <c r="BF191" s="43">
        <f t="shared" si="345"/>
        <v>56100.950000000012</v>
      </c>
      <c r="BG191" s="26"/>
      <c r="BH191" s="26"/>
      <c r="BI191" s="26"/>
      <c r="BJ191" s="26"/>
      <c r="BK191" s="26"/>
    </row>
    <row r="192" spans="1:63" ht="15.75" thickBot="1" x14ac:dyDescent="0.3">
      <c r="A192" s="154"/>
      <c r="B192" s="3624" t="s">
        <v>871</v>
      </c>
      <c r="C192" s="3619" t="s">
        <v>1289</v>
      </c>
      <c r="D192" s="3589"/>
      <c r="E192" s="3592"/>
      <c r="F192" s="109">
        <v>550.80000000000007</v>
      </c>
      <c r="G192" s="3592"/>
      <c r="H192" s="109">
        <v>1271.58</v>
      </c>
      <c r="I192" s="2930"/>
      <c r="J192" s="782">
        <f t="shared" si="331"/>
        <v>1822.38</v>
      </c>
      <c r="K192" s="3592"/>
      <c r="L192" s="109">
        <v>517.29</v>
      </c>
      <c r="M192" s="3593"/>
      <c r="N192" s="781">
        <f t="shared" si="332"/>
        <v>2339.67</v>
      </c>
      <c r="O192" s="3592"/>
      <c r="P192" s="109">
        <v>996.20000000000016</v>
      </c>
      <c r="Q192" s="2930"/>
      <c r="R192" s="782">
        <f t="shared" si="333"/>
        <v>3335.8700000000003</v>
      </c>
      <c r="S192" s="3592"/>
      <c r="T192" s="109">
        <v>260.81</v>
      </c>
      <c r="U192" s="2930"/>
      <c r="V192" s="782">
        <f t="shared" si="334"/>
        <v>3596.6800000000003</v>
      </c>
      <c r="W192" s="3592"/>
      <c r="X192" s="109">
        <v>1275.9900000000002</v>
      </c>
      <c r="Y192" s="3593"/>
      <c r="Z192" s="781">
        <f t="shared" si="335"/>
        <v>2533.0000000000005</v>
      </c>
      <c r="AA192" s="3594"/>
      <c r="AB192" s="3562">
        <f t="shared" si="336"/>
        <v>4872.67</v>
      </c>
      <c r="AC192" s="3592"/>
      <c r="AD192" s="109">
        <v>1436.6799999999998</v>
      </c>
      <c r="AE192" s="2930"/>
      <c r="AF192" s="782">
        <f t="shared" si="337"/>
        <v>6309.35</v>
      </c>
      <c r="AG192" s="3592"/>
      <c r="AH192" s="109">
        <v>1030.8200000000002</v>
      </c>
      <c r="AI192" s="2930"/>
      <c r="AJ192" s="373">
        <f t="shared" si="342"/>
        <v>7340.17</v>
      </c>
      <c r="AK192" s="3592"/>
      <c r="AL192" s="109">
        <v>3230.6899999999991</v>
      </c>
      <c r="AM192" s="3593"/>
      <c r="AN192" s="618">
        <f t="shared" si="341"/>
        <v>5698.1899999999987</v>
      </c>
      <c r="AO192" s="2930"/>
      <c r="AP192" s="373">
        <f t="shared" si="339"/>
        <v>10570.859999999999</v>
      </c>
      <c r="AQ192" s="3592"/>
      <c r="AR192" s="109">
        <v>1111.52</v>
      </c>
      <c r="AS192" s="2930"/>
      <c r="AT192" s="43">
        <f t="shared" si="343"/>
        <v>11682.38</v>
      </c>
      <c r="AU192" s="3592"/>
      <c r="AV192" s="109">
        <v>1046.6200000000001</v>
      </c>
      <c r="AW192" s="2930"/>
      <c r="AX192" s="43">
        <f t="shared" si="344"/>
        <v>12729</v>
      </c>
      <c r="AY192" s="3592"/>
      <c r="AZ192" s="109">
        <v>1559.98</v>
      </c>
      <c r="BA192" s="3593"/>
      <c r="BB192" s="618">
        <f t="shared" si="338"/>
        <v>3718.1200000000003</v>
      </c>
      <c r="BC192" s="3594"/>
      <c r="BD192" s="3562">
        <f t="shared" si="340"/>
        <v>9416.31</v>
      </c>
      <c r="BE192" s="2930"/>
      <c r="BF192" s="43">
        <f t="shared" si="345"/>
        <v>14288.98</v>
      </c>
      <c r="BG192" s="26"/>
      <c r="BH192" s="26"/>
      <c r="BI192" s="26"/>
      <c r="BJ192" s="26"/>
      <c r="BK192" s="26"/>
    </row>
    <row r="193" spans="1:63" ht="15.75" thickBot="1" x14ac:dyDescent="0.3">
      <c r="A193" s="154"/>
      <c r="B193" s="3620" t="s">
        <v>872</v>
      </c>
      <c r="C193" s="3615" t="s">
        <v>951</v>
      </c>
      <c r="D193" s="3580"/>
      <c r="E193" s="3595"/>
      <c r="F193" s="158"/>
      <c r="G193" s="3595"/>
      <c r="H193" s="158">
        <v>57.6</v>
      </c>
      <c r="I193" s="2927"/>
      <c r="J193" s="782">
        <f t="shared" si="331"/>
        <v>57.6</v>
      </c>
      <c r="K193" s="3595"/>
      <c r="L193" s="158"/>
      <c r="M193" s="3596"/>
      <c r="N193" s="781">
        <f t="shared" si="332"/>
        <v>57.6</v>
      </c>
      <c r="O193" s="3595"/>
      <c r="P193" s="158"/>
      <c r="Q193" s="2927"/>
      <c r="R193" s="782">
        <f t="shared" si="333"/>
        <v>57.6</v>
      </c>
      <c r="S193" s="3595"/>
      <c r="T193" s="158"/>
      <c r="U193" s="2927"/>
      <c r="V193" s="782">
        <f t="shared" si="334"/>
        <v>57.6</v>
      </c>
      <c r="W193" s="3595"/>
      <c r="X193" s="158"/>
      <c r="Y193" s="3596"/>
      <c r="Z193" s="781">
        <f t="shared" si="335"/>
        <v>0</v>
      </c>
      <c r="AA193" s="3597"/>
      <c r="AB193" s="3562">
        <f t="shared" si="336"/>
        <v>57.6</v>
      </c>
      <c r="AC193" s="3595"/>
      <c r="AD193" s="158"/>
      <c r="AE193" s="2927"/>
      <c r="AF193" s="782">
        <f t="shared" si="337"/>
        <v>57.6</v>
      </c>
      <c r="AG193" s="3595"/>
      <c r="AH193" s="158">
        <v>433.49999999999994</v>
      </c>
      <c r="AI193" s="2927"/>
      <c r="AJ193" s="373">
        <f t="shared" si="342"/>
        <v>491.09999999999997</v>
      </c>
      <c r="AK193" s="3595"/>
      <c r="AL193" s="158"/>
      <c r="AM193" s="3596"/>
      <c r="AN193" s="618">
        <f t="shared" si="341"/>
        <v>433.49999999999994</v>
      </c>
      <c r="AO193" s="2927"/>
      <c r="AP193" s="373">
        <f t="shared" si="339"/>
        <v>491.09999999999997</v>
      </c>
      <c r="AQ193" s="3595"/>
      <c r="AR193" s="158"/>
      <c r="AS193" s="2927"/>
      <c r="AT193" s="43">
        <f t="shared" si="343"/>
        <v>491.09999999999997</v>
      </c>
      <c r="AU193" s="3595"/>
      <c r="AV193" s="158"/>
      <c r="AW193" s="2927"/>
      <c r="AX193" s="43">
        <f t="shared" si="344"/>
        <v>491.09999999999997</v>
      </c>
      <c r="AY193" s="3595"/>
      <c r="AZ193" s="158"/>
      <c r="BA193" s="3596"/>
      <c r="BB193" s="618">
        <f t="shared" si="338"/>
        <v>0</v>
      </c>
      <c r="BC193" s="3597"/>
      <c r="BD193" s="3562">
        <f t="shared" si="340"/>
        <v>433.49999999999994</v>
      </c>
      <c r="BE193" s="2927"/>
      <c r="BF193" s="43">
        <f t="shared" si="345"/>
        <v>491.09999999999997</v>
      </c>
      <c r="BG193" s="26"/>
      <c r="BH193" s="26"/>
      <c r="BI193" s="26"/>
      <c r="BJ193" s="26"/>
      <c r="BK193" s="26"/>
    </row>
    <row r="194" spans="1:63" ht="20.25" customHeight="1" thickBot="1" x14ac:dyDescent="0.3">
      <c r="A194" s="154"/>
      <c r="B194" s="3623" t="s">
        <v>872</v>
      </c>
      <c r="C194" s="3616" t="s">
        <v>997</v>
      </c>
      <c r="D194" s="3587"/>
      <c r="E194" s="3575"/>
      <c r="F194" s="1201">
        <v>756.89</v>
      </c>
      <c r="G194" s="3575"/>
      <c r="H194" s="1201">
        <v>368.26</v>
      </c>
      <c r="I194" s="852"/>
      <c r="J194" s="782">
        <f t="shared" si="331"/>
        <v>1125.1500000000001</v>
      </c>
      <c r="K194" s="3575"/>
      <c r="L194" s="1201">
        <v>525.28</v>
      </c>
      <c r="M194" s="902"/>
      <c r="N194" s="781">
        <f t="shared" si="332"/>
        <v>1650.43</v>
      </c>
      <c r="O194" s="3575"/>
      <c r="P194" s="1201">
        <v>355.22</v>
      </c>
      <c r="Q194" s="852"/>
      <c r="R194" s="782">
        <f t="shared" si="333"/>
        <v>2005.65</v>
      </c>
      <c r="S194" s="3575"/>
      <c r="T194" s="1201">
        <v>554.47</v>
      </c>
      <c r="U194" s="852"/>
      <c r="V194" s="782">
        <f t="shared" si="334"/>
        <v>2560.12</v>
      </c>
      <c r="W194" s="3575"/>
      <c r="X194" s="1201">
        <v>1177.52</v>
      </c>
      <c r="Y194" s="902"/>
      <c r="Z194" s="781">
        <f t="shared" si="335"/>
        <v>2087.21</v>
      </c>
      <c r="AA194" s="3591"/>
      <c r="AB194" s="3562">
        <f t="shared" si="336"/>
        <v>3737.6400000000003</v>
      </c>
      <c r="AC194" s="3575"/>
      <c r="AD194" s="1201">
        <v>711</v>
      </c>
      <c r="AE194" s="852"/>
      <c r="AF194" s="782">
        <f t="shared" si="337"/>
        <v>4448.6400000000003</v>
      </c>
      <c r="AG194" s="3575"/>
      <c r="AH194" s="1201">
        <v>39.729999999999997</v>
      </c>
      <c r="AI194" s="852"/>
      <c r="AJ194" s="373">
        <f t="shared" si="342"/>
        <v>4488.37</v>
      </c>
      <c r="AK194" s="3575"/>
      <c r="AL194" s="1201">
        <v>906.32000000000016</v>
      </c>
      <c r="AM194" s="902"/>
      <c r="AN194" s="618">
        <f t="shared" si="341"/>
        <v>1657.0500000000002</v>
      </c>
      <c r="AO194" s="852"/>
      <c r="AP194" s="373">
        <f t="shared" si="339"/>
        <v>5394.6900000000005</v>
      </c>
      <c r="AQ194" s="3575"/>
      <c r="AR194" s="1201">
        <v>775.00000000000011</v>
      </c>
      <c r="AS194" s="852"/>
      <c r="AT194" s="43">
        <f t="shared" si="343"/>
        <v>6169.6900000000005</v>
      </c>
      <c r="AU194" s="3575"/>
      <c r="AV194" s="1201">
        <v>254.14000000000001</v>
      </c>
      <c r="AW194" s="852"/>
      <c r="AX194" s="43">
        <f t="shared" si="344"/>
        <v>6423.8300000000008</v>
      </c>
      <c r="AY194" s="3575"/>
      <c r="AZ194" s="1201">
        <v>344.85</v>
      </c>
      <c r="BA194" s="902"/>
      <c r="BB194" s="618">
        <f t="shared" si="338"/>
        <v>1373.9900000000002</v>
      </c>
      <c r="BC194" s="3591"/>
      <c r="BD194" s="3562">
        <f t="shared" si="340"/>
        <v>3031.0400000000004</v>
      </c>
      <c r="BE194" s="852"/>
      <c r="BF194" s="43">
        <f t="shared" si="345"/>
        <v>6768.6800000000012</v>
      </c>
      <c r="BG194" s="26"/>
      <c r="BH194" s="26"/>
      <c r="BI194" s="26"/>
      <c r="BJ194" s="26"/>
      <c r="BK194" s="26"/>
    </row>
    <row r="195" spans="1:63" ht="20.25" hidden="1" customHeight="1" thickBot="1" x14ac:dyDescent="0.35">
      <c r="A195" s="154"/>
      <c r="B195" s="3623" t="s">
        <v>872</v>
      </c>
      <c r="C195" s="3616" t="s">
        <v>1636</v>
      </c>
      <c r="D195" s="3587"/>
      <c r="E195" s="3575"/>
      <c r="F195" s="1201"/>
      <c r="G195" s="3575"/>
      <c r="H195" s="1201"/>
      <c r="I195" s="852"/>
      <c r="J195" s="782">
        <f t="shared" si="331"/>
        <v>0</v>
      </c>
      <c r="K195" s="3575"/>
      <c r="L195" s="1201"/>
      <c r="M195" s="902"/>
      <c r="N195" s="781">
        <f t="shared" si="332"/>
        <v>0</v>
      </c>
      <c r="O195" s="3575"/>
      <c r="P195" s="1201"/>
      <c r="Q195" s="852"/>
      <c r="R195" s="782">
        <f t="shared" si="333"/>
        <v>0</v>
      </c>
      <c r="S195" s="3575"/>
      <c r="T195" s="1201"/>
      <c r="U195" s="852"/>
      <c r="V195" s="782">
        <f t="shared" si="334"/>
        <v>0</v>
      </c>
      <c r="W195" s="3575"/>
      <c r="X195" s="1201"/>
      <c r="Y195" s="902"/>
      <c r="Z195" s="781">
        <f t="shared" si="335"/>
        <v>0</v>
      </c>
      <c r="AA195" s="3591"/>
      <c r="AB195" s="3562">
        <f t="shared" si="336"/>
        <v>0</v>
      </c>
      <c r="AC195" s="3575"/>
      <c r="AD195" s="1201"/>
      <c r="AE195" s="852"/>
      <c r="AF195" s="782">
        <f t="shared" si="337"/>
        <v>0</v>
      </c>
      <c r="AG195" s="3575"/>
      <c r="AH195" s="1201"/>
      <c r="AI195" s="852"/>
      <c r="AJ195" s="373">
        <f t="shared" si="342"/>
        <v>0</v>
      </c>
      <c r="AK195" s="3575"/>
      <c r="AL195" s="1201"/>
      <c r="AM195" s="902"/>
      <c r="AN195" s="618">
        <f t="shared" si="341"/>
        <v>0</v>
      </c>
      <c r="AO195" s="852"/>
      <c r="AP195" s="373">
        <f t="shared" si="339"/>
        <v>0</v>
      </c>
      <c r="AQ195" s="3575"/>
      <c r="AR195" s="1201"/>
      <c r="AS195" s="852"/>
      <c r="AT195" s="43">
        <f t="shared" si="343"/>
        <v>0</v>
      </c>
      <c r="AU195" s="3575"/>
      <c r="AV195" s="1201"/>
      <c r="AW195" s="852"/>
      <c r="AX195" s="43">
        <f t="shared" si="344"/>
        <v>0</v>
      </c>
      <c r="AY195" s="3575"/>
      <c r="AZ195" s="1201"/>
      <c r="BA195" s="902"/>
      <c r="BB195" s="618">
        <f t="shared" si="338"/>
        <v>0</v>
      </c>
      <c r="BC195" s="3591"/>
      <c r="BD195" s="3562">
        <f t="shared" si="340"/>
        <v>0</v>
      </c>
      <c r="BE195" s="852"/>
      <c r="BF195" s="43">
        <f t="shared" si="345"/>
        <v>0</v>
      </c>
      <c r="BG195" s="26"/>
      <c r="BH195" s="26"/>
      <c r="BI195" s="26"/>
      <c r="BJ195" s="26"/>
      <c r="BK195" s="26"/>
    </row>
    <row r="196" spans="1:63" ht="19.5" customHeight="1" thickBot="1" x14ac:dyDescent="0.3">
      <c r="A196" s="154"/>
      <c r="B196" s="3623" t="s">
        <v>872</v>
      </c>
      <c r="C196" s="3616" t="s">
        <v>905</v>
      </c>
      <c r="D196" s="3616"/>
      <c r="E196" s="3575"/>
      <c r="F196" s="1201">
        <v>481.32</v>
      </c>
      <c r="G196" s="3575"/>
      <c r="H196" s="1201">
        <v>251.24</v>
      </c>
      <c r="I196" s="852"/>
      <c r="J196" s="782">
        <f t="shared" si="331"/>
        <v>732.56</v>
      </c>
      <c r="K196" s="3575"/>
      <c r="L196" s="1201">
        <v>502.02</v>
      </c>
      <c r="M196" s="902"/>
      <c r="N196" s="781">
        <f t="shared" si="332"/>
        <v>1234.58</v>
      </c>
      <c r="O196" s="3575"/>
      <c r="P196" s="1201">
        <v>302.06</v>
      </c>
      <c r="Q196" s="852"/>
      <c r="R196" s="782">
        <f t="shared" si="333"/>
        <v>1536.6399999999999</v>
      </c>
      <c r="S196" s="3575"/>
      <c r="T196" s="1201">
        <v>123.38</v>
      </c>
      <c r="U196" s="852"/>
      <c r="V196" s="782">
        <f t="shared" si="334"/>
        <v>1660.02</v>
      </c>
      <c r="W196" s="3575"/>
      <c r="X196" s="1201">
        <v>186.73999999999998</v>
      </c>
      <c r="Y196" s="902"/>
      <c r="Z196" s="781">
        <f t="shared" si="335"/>
        <v>612.17999999999995</v>
      </c>
      <c r="AA196" s="3591"/>
      <c r="AB196" s="3562">
        <f t="shared" si="336"/>
        <v>1846.7599999999998</v>
      </c>
      <c r="AC196" s="3575"/>
      <c r="AD196" s="1201">
        <v>289.92</v>
      </c>
      <c r="AE196" s="852"/>
      <c r="AF196" s="782">
        <f t="shared" si="337"/>
        <v>2136.6799999999998</v>
      </c>
      <c r="AG196" s="3575"/>
      <c r="AH196" s="1201"/>
      <c r="AI196" s="852"/>
      <c r="AJ196" s="373">
        <f t="shared" si="342"/>
        <v>2136.6799999999998</v>
      </c>
      <c r="AK196" s="3575"/>
      <c r="AL196" s="1201">
        <v>492.53999999999996</v>
      </c>
      <c r="AM196" s="902"/>
      <c r="AN196" s="618">
        <f t="shared" si="341"/>
        <v>782.46</v>
      </c>
      <c r="AO196" s="852"/>
      <c r="AP196" s="373">
        <f t="shared" si="339"/>
        <v>2629.22</v>
      </c>
      <c r="AQ196" s="3575"/>
      <c r="AR196" s="1201">
        <v>419.46000000000004</v>
      </c>
      <c r="AS196" s="852"/>
      <c r="AT196" s="43">
        <f t="shared" si="343"/>
        <v>3048.68</v>
      </c>
      <c r="AU196" s="3575"/>
      <c r="AV196" s="1201"/>
      <c r="AW196" s="852"/>
      <c r="AX196" s="43">
        <f t="shared" si="344"/>
        <v>3048.68</v>
      </c>
      <c r="AY196" s="3575"/>
      <c r="AZ196" s="1201">
        <v>546</v>
      </c>
      <c r="BA196" s="902"/>
      <c r="BB196" s="618">
        <f t="shared" si="338"/>
        <v>965.46</v>
      </c>
      <c r="BC196" s="3591"/>
      <c r="BD196" s="3562">
        <f t="shared" si="340"/>
        <v>1747.92</v>
      </c>
      <c r="BE196" s="852"/>
      <c r="BF196" s="43">
        <f t="shared" si="345"/>
        <v>3594.68</v>
      </c>
      <c r="BG196" s="26"/>
      <c r="BH196" s="26"/>
      <c r="BI196" s="26"/>
      <c r="BJ196" s="26"/>
      <c r="BK196" s="26"/>
    </row>
    <row r="197" spans="1:63" ht="15.75" hidden="1" customHeight="1" thickBot="1" x14ac:dyDescent="0.35">
      <c r="A197" s="154"/>
      <c r="B197" s="3623" t="s">
        <v>872</v>
      </c>
      <c r="C197" s="3616" t="s">
        <v>1643</v>
      </c>
      <c r="D197" s="3587"/>
      <c r="E197" s="3575"/>
      <c r="F197" s="1201"/>
      <c r="G197" s="3575"/>
      <c r="H197" s="1201"/>
      <c r="I197" s="852"/>
      <c r="J197" s="782">
        <f t="shared" si="331"/>
        <v>0</v>
      </c>
      <c r="K197" s="3575"/>
      <c r="L197" s="1201"/>
      <c r="M197" s="902"/>
      <c r="N197" s="781">
        <f t="shared" si="332"/>
        <v>0</v>
      </c>
      <c r="O197" s="3575"/>
      <c r="P197" s="1201"/>
      <c r="Q197" s="852"/>
      <c r="R197" s="782">
        <f t="shared" si="333"/>
        <v>0</v>
      </c>
      <c r="S197" s="3575"/>
      <c r="T197" s="1201"/>
      <c r="U197" s="852"/>
      <c r="V197" s="782">
        <f t="shared" si="334"/>
        <v>0</v>
      </c>
      <c r="W197" s="3575"/>
      <c r="X197" s="1201"/>
      <c r="Y197" s="902"/>
      <c r="Z197" s="781">
        <f t="shared" si="335"/>
        <v>0</v>
      </c>
      <c r="AA197" s="3591"/>
      <c r="AB197" s="3562">
        <f t="shared" si="336"/>
        <v>0</v>
      </c>
      <c r="AC197" s="3575"/>
      <c r="AD197" s="1201"/>
      <c r="AE197" s="852"/>
      <c r="AF197" s="782">
        <f t="shared" si="337"/>
        <v>0</v>
      </c>
      <c r="AG197" s="3575"/>
      <c r="AH197" s="1201"/>
      <c r="AI197" s="852"/>
      <c r="AJ197" s="373">
        <f t="shared" si="342"/>
        <v>0</v>
      </c>
      <c r="AK197" s="3575"/>
      <c r="AL197" s="1201"/>
      <c r="AM197" s="902"/>
      <c r="AN197" s="618">
        <f t="shared" si="341"/>
        <v>0</v>
      </c>
      <c r="AO197" s="852"/>
      <c r="AP197" s="373">
        <f t="shared" si="339"/>
        <v>0</v>
      </c>
      <c r="AQ197" s="3575"/>
      <c r="AR197" s="1201"/>
      <c r="AS197" s="852"/>
      <c r="AT197" s="43">
        <f t="shared" si="343"/>
        <v>0</v>
      </c>
      <c r="AU197" s="3575"/>
      <c r="AV197" s="1201"/>
      <c r="AW197" s="852"/>
      <c r="AX197" s="43">
        <f t="shared" si="344"/>
        <v>0</v>
      </c>
      <c r="AY197" s="3575"/>
      <c r="AZ197" s="1201"/>
      <c r="BA197" s="902"/>
      <c r="BB197" s="618">
        <f t="shared" si="338"/>
        <v>0</v>
      </c>
      <c r="BC197" s="3591"/>
      <c r="BD197" s="3562">
        <f t="shared" si="340"/>
        <v>0</v>
      </c>
      <c r="BE197" s="852"/>
      <c r="BF197" s="43">
        <f t="shared" si="345"/>
        <v>0</v>
      </c>
      <c r="BG197" s="26"/>
      <c r="BH197" s="26"/>
      <c r="BI197" s="26"/>
      <c r="BJ197" s="26"/>
      <c r="BK197" s="26"/>
    </row>
    <row r="198" spans="1:63" ht="15.75" thickBot="1" x14ac:dyDescent="0.3">
      <c r="A198" s="154"/>
      <c r="B198" s="3623" t="s">
        <v>872</v>
      </c>
      <c r="C198" s="3616" t="s">
        <v>883</v>
      </c>
      <c r="D198" s="3587"/>
      <c r="E198" s="3575"/>
      <c r="F198" s="1201">
        <v>499.24</v>
      </c>
      <c r="G198" s="3575"/>
      <c r="H198" s="1201">
        <v>489.58000000000004</v>
      </c>
      <c r="I198" s="852"/>
      <c r="J198" s="782">
        <f t="shared" si="331"/>
        <v>988.82</v>
      </c>
      <c r="K198" s="3575"/>
      <c r="L198" s="1201">
        <v>431.18</v>
      </c>
      <c r="M198" s="902"/>
      <c r="N198" s="781">
        <f t="shared" si="332"/>
        <v>1420</v>
      </c>
      <c r="O198" s="3575"/>
      <c r="P198" s="1201">
        <v>353.12</v>
      </c>
      <c r="Q198" s="852"/>
      <c r="R198" s="782">
        <f t="shared" si="333"/>
        <v>1773.12</v>
      </c>
      <c r="S198" s="3575"/>
      <c r="T198" s="1201">
        <v>1111.52</v>
      </c>
      <c r="U198" s="852"/>
      <c r="V198" s="782">
        <f t="shared" si="334"/>
        <v>2884.64</v>
      </c>
      <c r="W198" s="3575"/>
      <c r="X198" s="1201">
        <v>560.68000000000006</v>
      </c>
      <c r="Y198" s="902"/>
      <c r="Z198" s="781">
        <f t="shared" si="335"/>
        <v>2025.32</v>
      </c>
      <c r="AA198" s="3591"/>
      <c r="AB198" s="3562">
        <f t="shared" si="336"/>
        <v>3445.3199999999997</v>
      </c>
      <c r="AC198" s="3575"/>
      <c r="AD198" s="1201">
        <v>546.56999999999994</v>
      </c>
      <c r="AE198" s="852"/>
      <c r="AF198" s="782">
        <f t="shared" si="337"/>
        <v>3991.8899999999994</v>
      </c>
      <c r="AG198" s="3575"/>
      <c r="AH198" s="1201">
        <v>1267.3300000000002</v>
      </c>
      <c r="AI198" s="852"/>
      <c r="AJ198" s="373">
        <f t="shared" si="342"/>
        <v>5259.2199999999993</v>
      </c>
      <c r="AK198" s="3575"/>
      <c r="AL198" s="1201">
        <v>880.46</v>
      </c>
      <c r="AM198" s="902"/>
      <c r="AN198" s="618">
        <f t="shared" si="341"/>
        <v>2694.36</v>
      </c>
      <c r="AO198" s="852"/>
      <c r="AP198" s="373">
        <f t="shared" si="339"/>
        <v>6139.6799999999994</v>
      </c>
      <c r="AQ198" s="3575"/>
      <c r="AR198" s="1201">
        <v>769.52</v>
      </c>
      <c r="AS198" s="852"/>
      <c r="AT198" s="43">
        <f t="shared" si="343"/>
        <v>6909.1999999999989</v>
      </c>
      <c r="AU198" s="3575"/>
      <c r="AV198" s="1201">
        <v>362.7</v>
      </c>
      <c r="AW198" s="852"/>
      <c r="AX198" s="43">
        <f t="shared" si="344"/>
        <v>7271.8999999999987</v>
      </c>
      <c r="AY198" s="3575"/>
      <c r="AZ198" s="1201">
        <v>624.48</v>
      </c>
      <c r="BA198" s="902"/>
      <c r="BB198" s="618">
        <f t="shared" si="338"/>
        <v>1756.7</v>
      </c>
      <c r="BC198" s="3591"/>
      <c r="BD198" s="3562">
        <f t="shared" si="340"/>
        <v>4451.0600000000004</v>
      </c>
      <c r="BE198" s="852"/>
      <c r="BF198" s="43">
        <f t="shared" si="345"/>
        <v>7896.3799999999992</v>
      </c>
      <c r="BG198" s="26"/>
      <c r="BH198" s="26"/>
      <c r="BI198" s="26"/>
      <c r="BJ198" s="26"/>
      <c r="BK198" s="26"/>
    </row>
    <row r="199" spans="1:63" ht="15.75" thickBot="1" x14ac:dyDescent="0.3">
      <c r="A199" s="154"/>
      <c r="B199" s="3623" t="s">
        <v>872</v>
      </c>
      <c r="C199" s="3616" t="s">
        <v>1157</v>
      </c>
      <c r="D199" s="3587"/>
      <c r="E199" s="3575"/>
      <c r="F199" s="1201">
        <v>252.2</v>
      </c>
      <c r="G199" s="3575"/>
      <c r="H199" s="1201">
        <v>186.76</v>
      </c>
      <c r="I199" s="852"/>
      <c r="J199" s="782">
        <f t="shared" si="331"/>
        <v>438.96</v>
      </c>
      <c r="K199" s="3575"/>
      <c r="L199" s="1201">
        <v>60.04</v>
      </c>
      <c r="M199" s="902"/>
      <c r="N199" s="781">
        <f t="shared" si="332"/>
        <v>499</v>
      </c>
      <c r="O199" s="3575"/>
      <c r="P199" s="1201">
        <v>176.26</v>
      </c>
      <c r="Q199" s="852"/>
      <c r="R199" s="782">
        <f t="shared" si="333"/>
        <v>675.26</v>
      </c>
      <c r="S199" s="3575"/>
      <c r="T199" s="1201">
        <v>122.66</v>
      </c>
      <c r="U199" s="852"/>
      <c r="V199" s="782">
        <f t="shared" si="334"/>
        <v>797.92</v>
      </c>
      <c r="W199" s="3575"/>
      <c r="X199" s="1201">
        <v>250.32</v>
      </c>
      <c r="Y199" s="902"/>
      <c r="Z199" s="781">
        <f t="shared" si="335"/>
        <v>549.24</v>
      </c>
      <c r="AA199" s="3591"/>
      <c r="AB199" s="3562">
        <f t="shared" si="336"/>
        <v>1048.24</v>
      </c>
      <c r="AC199" s="3575"/>
      <c r="AD199" s="1201"/>
      <c r="AE199" s="852"/>
      <c r="AF199" s="782">
        <f t="shared" si="337"/>
        <v>1048.24</v>
      </c>
      <c r="AG199" s="3575"/>
      <c r="AH199" s="1201"/>
      <c r="AI199" s="852"/>
      <c r="AJ199" s="373">
        <f t="shared" si="342"/>
        <v>1048.24</v>
      </c>
      <c r="AK199" s="3575"/>
      <c r="AL199" s="1201"/>
      <c r="AM199" s="902"/>
      <c r="AN199" s="618">
        <f t="shared" si="341"/>
        <v>0</v>
      </c>
      <c r="AO199" s="852"/>
      <c r="AP199" s="373">
        <f t="shared" si="339"/>
        <v>1048.24</v>
      </c>
      <c r="AQ199" s="3575"/>
      <c r="AR199" s="1201">
        <v>185.46</v>
      </c>
      <c r="AS199" s="852"/>
      <c r="AT199" s="43">
        <f t="shared" si="343"/>
        <v>1233.7</v>
      </c>
      <c r="AU199" s="3575"/>
      <c r="AV199" s="1201"/>
      <c r="AW199" s="852"/>
      <c r="AX199" s="43">
        <f t="shared" si="344"/>
        <v>1233.7</v>
      </c>
      <c r="AY199" s="3575"/>
      <c r="AZ199" s="1201"/>
      <c r="BA199" s="902"/>
      <c r="BB199" s="618">
        <f t="shared" si="338"/>
        <v>185.46</v>
      </c>
      <c r="BC199" s="3591"/>
      <c r="BD199" s="3562">
        <f t="shared" si="340"/>
        <v>185.46</v>
      </c>
      <c r="BE199" s="852"/>
      <c r="BF199" s="43">
        <f t="shared" si="345"/>
        <v>1233.7</v>
      </c>
      <c r="BG199" s="26"/>
      <c r="BH199" s="26"/>
      <c r="BI199" s="26"/>
      <c r="BJ199" s="26"/>
      <c r="BK199" s="26"/>
    </row>
    <row r="200" spans="1:63" ht="20.25" customHeight="1" thickBot="1" x14ac:dyDescent="0.3">
      <c r="A200" s="154"/>
      <c r="B200" s="3623" t="s">
        <v>872</v>
      </c>
      <c r="C200" s="3616" t="s">
        <v>1156</v>
      </c>
      <c r="D200" s="3587"/>
      <c r="E200" s="3575"/>
      <c r="F200" s="1201">
        <v>1166.21</v>
      </c>
      <c r="G200" s="3575"/>
      <c r="H200" s="1201">
        <v>1573.5600000000002</v>
      </c>
      <c r="I200" s="852"/>
      <c r="J200" s="782">
        <f t="shared" ref="J200:J264" si="346">F200+H200</f>
        <v>2739.7700000000004</v>
      </c>
      <c r="K200" s="3575"/>
      <c r="L200" s="1201">
        <v>1386.56</v>
      </c>
      <c r="M200" s="902"/>
      <c r="N200" s="781">
        <f t="shared" ref="N200:N264" si="347">J200+L200</f>
        <v>4126.33</v>
      </c>
      <c r="O200" s="3575"/>
      <c r="P200" s="1201">
        <v>1005.6700000000001</v>
      </c>
      <c r="Q200" s="852"/>
      <c r="R200" s="782">
        <f t="shared" ref="R200:R264" si="348">N200+P200</f>
        <v>5132</v>
      </c>
      <c r="S200" s="3575"/>
      <c r="T200" s="1201">
        <v>1812.4</v>
      </c>
      <c r="U200" s="852"/>
      <c r="V200" s="782">
        <f t="shared" ref="V200:V264" si="349">R200+T200</f>
        <v>6944.4</v>
      </c>
      <c r="W200" s="3575"/>
      <c r="X200" s="1201">
        <v>809.02</v>
      </c>
      <c r="Y200" s="902"/>
      <c r="Z200" s="781">
        <f t="shared" ref="Z200:Z264" si="350">P200+T200+X200</f>
        <v>3627.09</v>
      </c>
      <c r="AA200" s="3591"/>
      <c r="AB200" s="3562">
        <f t="shared" ref="AB200:AB264" si="351">N200+Z200</f>
        <v>7753.42</v>
      </c>
      <c r="AC200" s="3575"/>
      <c r="AD200" s="1201">
        <v>796.43999999999994</v>
      </c>
      <c r="AE200" s="852"/>
      <c r="AF200" s="782">
        <f t="shared" ref="AF200:AF264" si="352">AB200+AD200</f>
        <v>8549.86</v>
      </c>
      <c r="AG200" s="3575"/>
      <c r="AH200" s="1201">
        <v>165.21</v>
      </c>
      <c r="AI200" s="852"/>
      <c r="AJ200" s="373">
        <f t="shared" si="342"/>
        <v>8715.07</v>
      </c>
      <c r="AK200" s="3575"/>
      <c r="AL200" s="1201">
        <v>1049.3699999999999</v>
      </c>
      <c r="AM200" s="902"/>
      <c r="AN200" s="618">
        <f t="shared" si="341"/>
        <v>2011.02</v>
      </c>
      <c r="AO200" s="852"/>
      <c r="AP200" s="373">
        <f t="shared" si="339"/>
        <v>9764.4399999999987</v>
      </c>
      <c r="AQ200" s="3575"/>
      <c r="AR200" s="1201">
        <v>1399.73</v>
      </c>
      <c r="AS200" s="852"/>
      <c r="AT200" s="43">
        <f t="shared" si="343"/>
        <v>11164.169999999998</v>
      </c>
      <c r="AU200" s="3575"/>
      <c r="AV200" s="1201">
        <v>1069.0700000000002</v>
      </c>
      <c r="AW200" s="852"/>
      <c r="AX200" s="43">
        <f t="shared" si="344"/>
        <v>12233.239999999998</v>
      </c>
      <c r="AY200" s="3575"/>
      <c r="AZ200" s="1201">
        <v>569.04</v>
      </c>
      <c r="BA200" s="902"/>
      <c r="BB200" s="618">
        <f t="shared" si="338"/>
        <v>3037.84</v>
      </c>
      <c r="BC200" s="3591"/>
      <c r="BD200" s="3562">
        <f t="shared" si="340"/>
        <v>5048.8600000000006</v>
      </c>
      <c r="BE200" s="852"/>
      <c r="BF200" s="43">
        <f t="shared" si="345"/>
        <v>12802.279999999999</v>
      </c>
      <c r="BG200" s="26"/>
      <c r="BH200" s="26"/>
      <c r="BI200" s="26"/>
      <c r="BJ200" s="26"/>
      <c r="BK200" s="26"/>
    </row>
    <row r="201" spans="1:63" ht="19.5" customHeight="1" thickBot="1" x14ac:dyDescent="0.3">
      <c r="A201" s="154"/>
      <c r="B201" s="3623" t="s">
        <v>872</v>
      </c>
      <c r="C201" s="3616" t="s">
        <v>1332</v>
      </c>
      <c r="D201" s="3616"/>
      <c r="E201" s="3575"/>
      <c r="F201" s="1201"/>
      <c r="G201" s="3575"/>
      <c r="H201" s="1201"/>
      <c r="I201" s="852"/>
      <c r="J201" s="782">
        <f t="shared" si="346"/>
        <v>0</v>
      </c>
      <c r="K201" s="3575"/>
      <c r="L201" s="1201">
        <v>123.7</v>
      </c>
      <c r="M201" s="902"/>
      <c r="N201" s="781">
        <f t="shared" si="347"/>
        <v>123.7</v>
      </c>
      <c r="O201" s="3575"/>
      <c r="P201" s="1201">
        <v>677.18</v>
      </c>
      <c r="Q201" s="852"/>
      <c r="R201" s="782">
        <f t="shared" si="348"/>
        <v>800.88</v>
      </c>
      <c r="S201" s="3575"/>
      <c r="T201" s="1201">
        <v>186.22</v>
      </c>
      <c r="U201" s="852"/>
      <c r="V201" s="782">
        <f t="shared" si="349"/>
        <v>987.1</v>
      </c>
      <c r="W201" s="3575"/>
      <c r="X201" s="1201">
        <v>1233.23</v>
      </c>
      <c r="Y201" s="902"/>
      <c r="Z201" s="781">
        <f t="shared" si="350"/>
        <v>2096.63</v>
      </c>
      <c r="AA201" s="3591"/>
      <c r="AB201" s="3562">
        <f t="shared" si="351"/>
        <v>2220.33</v>
      </c>
      <c r="AC201" s="3575"/>
      <c r="AD201" s="1201">
        <v>661.85</v>
      </c>
      <c r="AE201" s="852"/>
      <c r="AF201" s="782">
        <f t="shared" si="352"/>
        <v>2882.18</v>
      </c>
      <c r="AG201" s="3575"/>
      <c r="AH201" s="1201">
        <v>191.98000000000002</v>
      </c>
      <c r="AI201" s="852"/>
      <c r="AJ201" s="373">
        <f t="shared" si="342"/>
        <v>3074.16</v>
      </c>
      <c r="AK201" s="3575"/>
      <c r="AL201" s="1201">
        <v>526.78</v>
      </c>
      <c r="AM201" s="902"/>
      <c r="AN201" s="618">
        <f t="shared" si="341"/>
        <v>1380.6100000000001</v>
      </c>
      <c r="AO201" s="852"/>
      <c r="AP201" s="373">
        <f t="shared" si="339"/>
        <v>3600.9399999999996</v>
      </c>
      <c r="AQ201" s="3575"/>
      <c r="AR201" s="1201">
        <v>231.32000000000002</v>
      </c>
      <c r="AS201" s="852"/>
      <c r="AT201" s="43">
        <f t="shared" si="343"/>
        <v>3832.2599999999998</v>
      </c>
      <c r="AU201" s="3575"/>
      <c r="AV201" s="1201">
        <v>559.91</v>
      </c>
      <c r="AW201" s="852"/>
      <c r="AX201" s="43">
        <f t="shared" si="344"/>
        <v>4392.17</v>
      </c>
      <c r="AY201" s="3575"/>
      <c r="AZ201" s="1201"/>
      <c r="BA201" s="902"/>
      <c r="BB201" s="618">
        <f t="shared" si="338"/>
        <v>791.23</v>
      </c>
      <c r="BC201" s="3591"/>
      <c r="BD201" s="3562">
        <f t="shared" si="340"/>
        <v>2171.84</v>
      </c>
      <c r="BE201" s="852"/>
      <c r="BF201" s="43">
        <f t="shared" si="345"/>
        <v>4392.17</v>
      </c>
      <c r="BG201" s="26"/>
      <c r="BH201" s="26"/>
      <c r="BI201" s="26"/>
      <c r="BJ201" s="26"/>
      <c r="BK201" s="26"/>
    </row>
    <row r="202" spans="1:63" ht="15.75" thickBot="1" x14ac:dyDescent="0.3">
      <c r="A202" s="154"/>
      <c r="B202" s="3623" t="s">
        <v>872</v>
      </c>
      <c r="C202" s="3616" t="s">
        <v>1002</v>
      </c>
      <c r="D202" s="205"/>
      <c r="E202" s="205"/>
      <c r="F202" s="1134">
        <v>510.86</v>
      </c>
      <c r="G202" s="205"/>
      <c r="H202" s="1134">
        <v>432.36</v>
      </c>
      <c r="I202" s="590"/>
      <c r="J202" s="782">
        <f t="shared" si="346"/>
        <v>943.22</v>
      </c>
      <c r="K202" s="205"/>
      <c r="L202" s="1134">
        <v>372.38</v>
      </c>
      <c r="M202" s="946"/>
      <c r="N202" s="781">
        <f t="shared" si="347"/>
        <v>1315.6</v>
      </c>
      <c r="O202" s="205"/>
      <c r="P202" s="1134">
        <v>124.16</v>
      </c>
      <c r="Q202" s="590"/>
      <c r="R202" s="782">
        <f t="shared" si="348"/>
        <v>1439.76</v>
      </c>
      <c r="S202" s="205"/>
      <c r="T202" s="1134"/>
      <c r="U202" s="590"/>
      <c r="V202" s="782">
        <f t="shared" si="349"/>
        <v>1439.76</v>
      </c>
      <c r="W202" s="205"/>
      <c r="X202" s="1134"/>
      <c r="Y202" s="946"/>
      <c r="Z202" s="781">
        <f t="shared" si="350"/>
        <v>124.16</v>
      </c>
      <c r="AA202" s="3627"/>
      <c r="AB202" s="3562">
        <f t="shared" si="351"/>
        <v>1439.76</v>
      </c>
      <c r="AC202" s="205"/>
      <c r="AD202" s="1134">
        <v>1316.0699999999997</v>
      </c>
      <c r="AE202" s="590"/>
      <c r="AF202" s="782">
        <f t="shared" si="352"/>
        <v>2755.83</v>
      </c>
      <c r="AG202" s="205"/>
      <c r="AH202" s="1134">
        <v>774.27</v>
      </c>
      <c r="AI202" s="590"/>
      <c r="AJ202" s="373">
        <f t="shared" si="342"/>
        <v>3530.1</v>
      </c>
      <c r="AK202" s="205"/>
      <c r="AL202" s="1134">
        <v>782.41999999999985</v>
      </c>
      <c r="AM202" s="946"/>
      <c r="AN202" s="618">
        <f t="shared" si="341"/>
        <v>2872.7599999999993</v>
      </c>
      <c r="AO202" s="590"/>
      <c r="AP202" s="373">
        <f t="shared" si="339"/>
        <v>4312.5199999999995</v>
      </c>
      <c r="AQ202" s="205"/>
      <c r="AR202" s="1134">
        <v>126.24</v>
      </c>
      <c r="AS202" s="590"/>
      <c r="AT202" s="43">
        <f t="shared" si="343"/>
        <v>4438.7599999999993</v>
      </c>
      <c r="AU202" s="205"/>
      <c r="AV202" s="1134">
        <v>180.76</v>
      </c>
      <c r="AW202" s="590"/>
      <c r="AX202" s="43">
        <f t="shared" si="344"/>
        <v>4619.5199999999995</v>
      </c>
      <c r="AY202" s="205"/>
      <c r="AZ202" s="1134"/>
      <c r="BA202" s="946"/>
      <c r="BB202" s="618">
        <f t="shared" si="338"/>
        <v>307</v>
      </c>
      <c r="BC202" s="3627"/>
      <c r="BD202" s="3562">
        <f t="shared" si="340"/>
        <v>3179.7599999999993</v>
      </c>
      <c r="BE202" s="590"/>
      <c r="BF202" s="43">
        <f t="shared" si="345"/>
        <v>4619.5199999999995</v>
      </c>
      <c r="BG202" s="26"/>
      <c r="BH202" s="26"/>
      <c r="BI202" s="26"/>
      <c r="BJ202" s="26"/>
      <c r="BK202" s="26"/>
    </row>
    <row r="203" spans="1:63" ht="15.75" hidden="1" customHeight="1" thickBot="1" x14ac:dyDescent="0.35">
      <c r="A203" s="154"/>
      <c r="B203" s="3623" t="s">
        <v>872</v>
      </c>
      <c r="C203" s="3625" t="s">
        <v>1151</v>
      </c>
      <c r="D203" s="3001"/>
      <c r="E203" s="3001"/>
      <c r="F203" s="2716"/>
      <c r="G203" s="3001"/>
      <c r="H203" s="2716"/>
      <c r="I203" s="3021"/>
      <c r="J203" s="782">
        <f t="shared" si="346"/>
        <v>0</v>
      </c>
      <c r="K203" s="3001"/>
      <c r="L203" s="2716"/>
      <c r="M203" s="3402"/>
      <c r="N203" s="781">
        <f t="shared" si="347"/>
        <v>0</v>
      </c>
      <c r="O203" s="3001"/>
      <c r="P203" s="2716"/>
      <c r="Q203" s="3021"/>
      <c r="R203" s="782">
        <f t="shared" si="348"/>
        <v>0</v>
      </c>
      <c r="S203" s="3001"/>
      <c r="T203" s="2716"/>
      <c r="U203" s="3021"/>
      <c r="V203" s="782">
        <f t="shared" si="349"/>
        <v>0</v>
      </c>
      <c r="W203" s="3001"/>
      <c r="X203" s="2716"/>
      <c r="Y203" s="3402"/>
      <c r="Z203" s="781">
        <f t="shared" si="350"/>
        <v>0</v>
      </c>
      <c r="AA203" s="3634"/>
      <c r="AB203" s="3562">
        <f t="shared" si="351"/>
        <v>0</v>
      </c>
      <c r="AC203" s="3001"/>
      <c r="AD203" s="2716"/>
      <c r="AE203" s="3021"/>
      <c r="AF203" s="782">
        <f t="shared" si="352"/>
        <v>0</v>
      </c>
      <c r="AG203" s="3001"/>
      <c r="AH203" s="2716"/>
      <c r="AI203" s="3021"/>
      <c r="AJ203" s="373">
        <f t="shared" si="342"/>
        <v>0</v>
      </c>
      <c r="AK203" s="3001"/>
      <c r="AL203" s="2716"/>
      <c r="AM203" s="3402"/>
      <c r="AN203" s="618">
        <f t="shared" si="341"/>
        <v>0</v>
      </c>
      <c r="AO203" s="3021"/>
      <c r="AP203" s="373">
        <f t="shared" si="339"/>
        <v>0</v>
      </c>
      <c r="AQ203" s="3001"/>
      <c r="AR203" s="2716"/>
      <c r="AS203" s="3021"/>
      <c r="AT203" s="43">
        <f t="shared" si="343"/>
        <v>0</v>
      </c>
      <c r="AU203" s="3001"/>
      <c r="AV203" s="2716"/>
      <c r="AW203" s="3021"/>
      <c r="AX203" s="43">
        <f t="shared" si="344"/>
        <v>0</v>
      </c>
      <c r="AY203" s="3001"/>
      <c r="AZ203" s="2716"/>
      <c r="BA203" s="3402"/>
      <c r="BB203" s="618">
        <f t="shared" si="338"/>
        <v>0</v>
      </c>
      <c r="BC203" s="3634"/>
      <c r="BD203" s="3562">
        <f t="shared" si="340"/>
        <v>0</v>
      </c>
      <c r="BE203" s="3021"/>
      <c r="BF203" s="43">
        <f t="shared" si="345"/>
        <v>0</v>
      </c>
      <c r="BG203" s="26"/>
      <c r="BH203" s="26"/>
      <c r="BI203" s="26"/>
      <c r="BJ203" s="26"/>
      <c r="BK203" s="26"/>
    </row>
    <row r="204" spans="1:63" ht="15.75" hidden="1" customHeight="1" thickBot="1" x14ac:dyDescent="0.35">
      <c r="A204" s="154"/>
      <c r="B204" s="3623" t="s">
        <v>872</v>
      </c>
      <c r="C204" s="3616" t="s">
        <v>909</v>
      </c>
      <c r="D204" s="205"/>
      <c r="E204" s="205"/>
      <c r="F204" s="1134"/>
      <c r="G204" s="205"/>
      <c r="H204" s="1134"/>
      <c r="I204" s="590"/>
      <c r="J204" s="782">
        <f t="shared" si="346"/>
        <v>0</v>
      </c>
      <c r="K204" s="205"/>
      <c r="L204" s="1134"/>
      <c r="M204" s="946"/>
      <c r="N204" s="781">
        <f t="shared" si="347"/>
        <v>0</v>
      </c>
      <c r="O204" s="205"/>
      <c r="P204" s="1134"/>
      <c r="Q204" s="590"/>
      <c r="R204" s="782">
        <f t="shared" si="348"/>
        <v>0</v>
      </c>
      <c r="S204" s="205"/>
      <c r="T204" s="1134"/>
      <c r="U204" s="590"/>
      <c r="V204" s="782">
        <f t="shared" si="349"/>
        <v>0</v>
      </c>
      <c r="W204" s="205"/>
      <c r="X204" s="1134"/>
      <c r="Y204" s="946"/>
      <c r="Z204" s="781">
        <f t="shared" si="350"/>
        <v>0</v>
      </c>
      <c r="AA204" s="3627"/>
      <c r="AB204" s="3562">
        <f t="shared" si="351"/>
        <v>0</v>
      </c>
      <c r="AC204" s="205"/>
      <c r="AD204" s="1134"/>
      <c r="AE204" s="590"/>
      <c r="AF204" s="782">
        <f t="shared" si="352"/>
        <v>0</v>
      </c>
      <c r="AG204" s="205"/>
      <c r="AH204" s="1134"/>
      <c r="AI204" s="590"/>
      <c r="AJ204" s="373">
        <f t="shared" si="342"/>
        <v>0</v>
      </c>
      <c r="AK204" s="205"/>
      <c r="AL204" s="1134"/>
      <c r="AM204" s="946"/>
      <c r="AN204" s="618">
        <f t="shared" si="341"/>
        <v>0</v>
      </c>
      <c r="AO204" s="590"/>
      <c r="AP204" s="373">
        <f t="shared" si="339"/>
        <v>0</v>
      </c>
      <c r="AQ204" s="205"/>
      <c r="AR204" s="1134"/>
      <c r="AS204" s="590"/>
      <c r="AT204" s="43">
        <f t="shared" si="343"/>
        <v>0</v>
      </c>
      <c r="AU204" s="205"/>
      <c r="AV204" s="1134"/>
      <c r="AW204" s="590"/>
      <c r="AX204" s="43">
        <f t="shared" si="344"/>
        <v>0</v>
      </c>
      <c r="AY204" s="205"/>
      <c r="AZ204" s="1134"/>
      <c r="BA204" s="946"/>
      <c r="BB204" s="618">
        <f t="shared" si="338"/>
        <v>0</v>
      </c>
      <c r="BC204" s="3627"/>
      <c r="BD204" s="3562">
        <f t="shared" si="340"/>
        <v>0</v>
      </c>
      <c r="BE204" s="590"/>
      <c r="BF204" s="43">
        <f t="shared" si="345"/>
        <v>0</v>
      </c>
      <c r="BG204" s="26"/>
      <c r="BH204" s="26"/>
      <c r="BI204" s="26"/>
      <c r="BJ204" s="26"/>
      <c r="BK204" s="26"/>
    </row>
    <row r="205" spans="1:63" ht="15.75" hidden="1" customHeight="1" thickBot="1" x14ac:dyDescent="0.35">
      <c r="A205" s="154"/>
      <c r="B205" s="3623" t="s">
        <v>872</v>
      </c>
      <c r="C205" s="3616" t="s">
        <v>1155</v>
      </c>
      <c r="D205" s="205"/>
      <c r="E205" s="205"/>
      <c r="F205" s="1134"/>
      <c r="G205" s="205"/>
      <c r="H205" s="1134"/>
      <c r="I205" s="590"/>
      <c r="J205" s="782">
        <f t="shared" si="346"/>
        <v>0</v>
      </c>
      <c r="K205" s="205"/>
      <c r="L205" s="1134"/>
      <c r="M205" s="946"/>
      <c r="N205" s="781">
        <f t="shared" si="347"/>
        <v>0</v>
      </c>
      <c r="O205" s="205"/>
      <c r="P205" s="1134"/>
      <c r="Q205" s="590"/>
      <c r="R205" s="782">
        <f t="shared" si="348"/>
        <v>0</v>
      </c>
      <c r="S205" s="205"/>
      <c r="T205" s="1134"/>
      <c r="U205" s="590"/>
      <c r="V205" s="782">
        <f t="shared" si="349"/>
        <v>0</v>
      </c>
      <c r="W205" s="205"/>
      <c r="X205" s="1134"/>
      <c r="Y205" s="946"/>
      <c r="Z205" s="781">
        <f t="shared" si="350"/>
        <v>0</v>
      </c>
      <c r="AA205" s="3627"/>
      <c r="AB205" s="3562">
        <f t="shared" si="351"/>
        <v>0</v>
      </c>
      <c r="AC205" s="205"/>
      <c r="AD205" s="1134"/>
      <c r="AE205" s="590"/>
      <c r="AF205" s="782">
        <f t="shared" si="352"/>
        <v>0</v>
      </c>
      <c r="AG205" s="205"/>
      <c r="AH205" s="1134"/>
      <c r="AI205" s="590"/>
      <c r="AJ205" s="782">
        <f t="shared" ref="AJ205:AJ216" si="353">AF205+AH205</f>
        <v>0</v>
      </c>
      <c r="AK205" s="205"/>
      <c r="AL205" s="1134"/>
      <c r="AM205" s="946"/>
      <c r="AN205" s="618">
        <f t="shared" si="341"/>
        <v>0</v>
      </c>
      <c r="AO205" s="590"/>
      <c r="AP205" s="373">
        <f t="shared" si="339"/>
        <v>0</v>
      </c>
      <c r="AQ205" s="205"/>
      <c r="AR205" s="1134"/>
      <c r="AS205" s="590"/>
      <c r="AT205" s="43">
        <f t="shared" si="343"/>
        <v>0</v>
      </c>
      <c r="AU205" s="205"/>
      <c r="AV205" s="1134"/>
      <c r="AW205" s="590"/>
      <c r="AX205" s="43">
        <f t="shared" si="344"/>
        <v>0</v>
      </c>
      <c r="AY205" s="205"/>
      <c r="AZ205" s="1134"/>
      <c r="BA205" s="946"/>
      <c r="BB205" s="618">
        <f t="shared" si="338"/>
        <v>0</v>
      </c>
      <c r="BC205" s="3627"/>
      <c r="BD205" s="3562">
        <f t="shared" si="340"/>
        <v>0</v>
      </c>
      <c r="BE205" s="590"/>
      <c r="BF205" s="43">
        <f t="shared" si="345"/>
        <v>0</v>
      </c>
      <c r="BG205" s="26"/>
      <c r="BH205" s="26"/>
      <c r="BI205" s="26"/>
      <c r="BJ205" s="26"/>
      <c r="BK205" s="26"/>
    </row>
    <row r="206" spans="1:63" ht="15.75" thickBot="1" x14ac:dyDescent="0.3">
      <c r="A206" s="154"/>
      <c r="B206" s="3623" t="s">
        <v>872</v>
      </c>
      <c r="C206" s="3616" t="s">
        <v>1154</v>
      </c>
      <c r="D206" s="3616"/>
      <c r="E206" s="3575"/>
      <c r="F206" s="1201">
        <v>509.86</v>
      </c>
      <c r="G206" s="3575"/>
      <c r="H206" s="1201"/>
      <c r="I206" s="852"/>
      <c r="J206" s="782">
        <f t="shared" si="346"/>
        <v>509.86</v>
      </c>
      <c r="K206" s="3575"/>
      <c r="L206" s="1201"/>
      <c r="M206" s="902"/>
      <c r="N206" s="781">
        <f t="shared" si="347"/>
        <v>509.86</v>
      </c>
      <c r="O206" s="3575"/>
      <c r="P206" s="1201"/>
      <c r="Q206" s="852"/>
      <c r="R206" s="782">
        <f t="shared" si="348"/>
        <v>509.86</v>
      </c>
      <c r="S206" s="3575"/>
      <c r="T206" s="1201"/>
      <c r="U206" s="852"/>
      <c r="V206" s="782">
        <f t="shared" si="349"/>
        <v>509.86</v>
      </c>
      <c r="W206" s="3575"/>
      <c r="X206" s="1201"/>
      <c r="Y206" s="902"/>
      <c r="Z206" s="781">
        <f t="shared" si="350"/>
        <v>0</v>
      </c>
      <c r="AA206" s="3591"/>
      <c r="AB206" s="3562">
        <f t="shared" si="351"/>
        <v>509.86</v>
      </c>
      <c r="AC206" s="3575"/>
      <c r="AD206" s="1201"/>
      <c r="AE206" s="852"/>
      <c r="AF206" s="782">
        <f t="shared" si="352"/>
        <v>509.86</v>
      </c>
      <c r="AG206" s="3575"/>
      <c r="AH206" s="1201"/>
      <c r="AI206" s="852"/>
      <c r="AJ206" s="782">
        <f t="shared" si="353"/>
        <v>509.86</v>
      </c>
      <c r="AK206" s="3575"/>
      <c r="AL206" s="1201"/>
      <c r="AM206" s="902"/>
      <c r="AN206" s="618">
        <f t="shared" si="341"/>
        <v>0</v>
      </c>
      <c r="AO206" s="852"/>
      <c r="AP206" s="373">
        <f t="shared" si="339"/>
        <v>509.86</v>
      </c>
      <c r="AQ206" s="3575"/>
      <c r="AR206" s="1201"/>
      <c r="AS206" s="852"/>
      <c r="AT206" s="43">
        <f t="shared" si="343"/>
        <v>509.86</v>
      </c>
      <c r="AU206" s="3575"/>
      <c r="AV206" s="1201"/>
      <c r="AW206" s="852"/>
      <c r="AX206" s="43">
        <f t="shared" si="344"/>
        <v>509.86</v>
      </c>
      <c r="AY206" s="3575"/>
      <c r="AZ206" s="1201">
        <v>64.64</v>
      </c>
      <c r="BA206" s="902"/>
      <c r="BB206" s="618">
        <f t="shared" si="338"/>
        <v>64.64</v>
      </c>
      <c r="BC206" s="3591"/>
      <c r="BD206" s="3562">
        <f t="shared" si="340"/>
        <v>64.64</v>
      </c>
      <c r="BE206" s="852"/>
      <c r="BF206" s="43">
        <f t="shared" si="345"/>
        <v>574.5</v>
      </c>
      <c r="BG206" s="26"/>
      <c r="BH206" s="26"/>
      <c r="BI206" s="26"/>
      <c r="BJ206" s="26"/>
      <c r="BK206" s="26"/>
    </row>
    <row r="207" spans="1:63" ht="15.75" hidden="1" customHeight="1" thickBot="1" x14ac:dyDescent="0.35">
      <c r="A207" s="154"/>
      <c r="B207" s="3623" t="s">
        <v>872</v>
      </c>
      <c r="C207" s="3616" t="s">
        <v>1289</v>
      </c>
      <c r="D207" s="3616"/>
      <c r="E207" s="3575"/>
      <c r="F207" s="1201"/>
      <c r="G207" s="3575"/>
      <c r="H207" s="1201"/>
      <c r="I207" s="852"/>
      <c r="J207" s="782">
        <f t="shared" si="346"/>
        <v>0</v>
      </c>
      <c r="K207" s="3575"/>
      <c r="L207" s="1201"/>
      <c r="M207" s="902"/>
      <c r="N207" s="781">
        <f t="shared" si="347"/>
        <v>0</v>
      </c>
      <c r="O207" s="3575"/>
      <c r="P207" s="1201"/>
      <c r="Q207" s="852"/>
      <c r="R207" s="782">
        <f t="shared" si="348"/>
        <v>0</v>
      </c>
      <c r="S207" s="3575"/>
      <c r="T207" s="1201"/>
      <c r="U207" s="852"/>
      <c r="V207" s="782">
        <f t="shared" si="349"/>
        <v>0</v>
      </c>
      <c r="W207" s="3575"/>
      <c r="X207" s="1201"/>
      <c r="Y207" s="902"/>
      <c r="Z207" s="781">
        <f t="shared" si="350"/>
        <v>0</v>
      </c>
      <c r="AA207" s="3591"/>
      <c r="AB207" s="3562">
        <f t="shared" si="351"/>
        <v>0</v>
      </c>
      <c r="AC207" s="3575"/>
      <c r="AD207" s="1201"/>
      <c r="AE207" s="852"/>
      <c r="AF207" s="782">
        <f t="shared" si="352"/>
        <v>0</v>
      </c>
      <c r="AG207" s="3575"/>
      <c r="AH207" s="1201"/>
      <c r="AI207" s="852"/>
      <c r="AJ207" s="782">
        <f t="shared" si="353"/>
        <v>0</v>
      </c>
      <c r="AK207" s="3575"/>
      <c r="AL207" s="1201"/>
      <c r="AM207" s="902"/>
      <c r="AN207" s="618">
        <f t="shared" si="341"/>
        <v>0</v>
      </c>
      <c r="AO207" s="852"/>
      <c r="AP207" s="782">
        <f t="shared" ref="AP207:AP216" si="354">AJ207+AL207</f>
        <v>0</v>
      </c>
      <c r="AQ207" s="3575"/>
      <c r="AR207" s="1201"/>
      <c r="AS207" s="852"/>
      <c r="AT207" s="43">
        <f t="shared" si="343"/>
        <v>0</v>
      </c>
      <c r="AU207" s="3575"/>
      <c r="AV207" s="1201"/>
      <c r="AW207" s="852"/>
      <c r="AX207" s="43">
        <f t="shared" si="344"/>
        <v>0</v>
      </c>
      <c r="AY207" s="3575"/>
      <c r="AZ207" s="1201"/>
      <c r="BA207" s="902"/>
      <c r="BB207" s="618">
        <f t="shared" si="338"/>
        <v>0</v>
      </c>
      <c r="BC207" s="3591"/>
      <c r="BD207" s="3562">
        <f t="shared" si="340"/>
        <v>0</v>
      </c>
      <c r="BE207" s="852"/>
      <c r="BF207" s="43">
        <f t="shared" si="345"/>
        <v>0</v>
      </c>
      <c r="BG207" s="26"/>
      <c r="BH207" s="26"/>
      <c r="BI207" s="26"/>
      <c r="BJ207" s="26"/>
      <c r="BK207" s="26"/>
    </row>
    <row r="208" spans="1:63" ht="15.75" thickBot="1" x14ac:dyDescent="0.3">
      <c r="A208" s="154"/>
      <c r="B208" s="3624" t="s">
        <v>872</v>
      </c>
      <c r="C208" s="3619" t="s">
        <v>1158</v>
      </c>
      <c r="D208" s="3619"/>
      <c r="E208" s="3592"/>
      <c r="F208" s="109">
        <v>529.61999999999989</v>
      </c>
      <c r="G208" s="3592"/>
      <c r="H208" s="109">
        <v>662.66000000000008</v>
      </c>
      <c r="I208" s="2930"/>
      <c r="J208" s="782">
        <f t="shared" si="346"/>
        <v>1192.28</v>
      </c>
      <c r="K208" s="3592"/>
      <c r="L208" s="109">
        <v>626.24</v>
      </c>
      <c r="M208" s="3593"/>
      <c r="N208" s="781">
        <f t="shared" si="347"/>
        <v>1818.52</v>
      </c>
      <c r="O208" s="3592"/>
      <c r="P208" s="109">
        <v>81.64</v>
      </c>
      <c r="Q208" s="2930"/>
      <c r="R208" s="782">
        <f t="shared" si="348"/>
        <v>1900.16</v>
      </c>
      <c r="S208" s="3592"/>
      <c r="T208" s="109">
        <v>920.01</v>
      </c>
      <c r="U208" s="2930"/>
      <c r="V208" s="782">
        <f t="shared" si="349"/>
        <v>2820.17</v>
      </c>
      <c r="W208" s="3592"/>
      <c r="X208" s="109">
        <v>1260.1399999999999</v>
      </c>
      <c r="Y208" s="3593"/>
      <c r="Z208" s="781">
        <f t="shared" si="350"/>
        <v>2261.79</v>
      </c>
      <c r="AA208" s="3594"/>
      <c r="AB208" s="3562">
        <f t="shared" si="351"/>
        <v>4080.31</v>
      </c>
      <c r="AC208" s="3592"/>
      <c r="AD208" s="109">
        <v>196.82</v>
      </c>
      <c r="AE208" s="2930"/>
      <c r="AF208" s="782">
        <f t="shared" si="352"/>
        <v>4277.13</v>
      </c>
      <c r="AG208" s="3592"/>
      <c r="AH208" s="109"/>
      <c r="AI208" s="2930"/>
      <c r="AJ208" s="589">
        <f t="shared" si="353"/>
        <v>4277.13</v>
      </c>
      <c r="AK208" s="3592"/>
      <c r="AL208" s="109"/>
      <c r="AM208" s="3593"/>
      <c r="AN208" s="488">
        <f t="shared" ref="AN208:AN216" si="355">AD208+AH208+AL208</f>
        <v>196.82</v>
      </c>
      <c r="AO208" s="2930"/>
      <c r="AP208" s="589">
        <f t="shared" si="354"/>
        <v>4277.13</v>
      </c>
      <c r="AQ208" s="3592"/>
      <c r="AR208" s="109"/>
      <c r="AS208" s="2930"/>
      <c r="AT208" s="43">
        <f t="shared" si="343"/>
        <v>4277.13</v>
      </c>
      <c r="AU208" s="3592"/>
      <c r="AV208" s="109">
        <v>130.19999999999999</v>
      </c>
      <c r="AW208" s="2930"/>
      <c r="AX208" s="43">
        <f t="shared" si="344"/>
        <v>4407.33</v>
      </c>
      <c r="AY208" s="3592"/>
      <c r="AZ208" s="109">
        <v>569.86</v>
      </c>
      <c r="BA208" s="3593"/>
      <c r="BB208" s="618">
        <f t="shared" si="338"/>
        <v>700.06</v>
      </c>
      <c r="BC208" s="3594"/>
      <c r="BD208" s="3562">
        <f t="shared" si="340"/>
        <v>896.87999999999988</v>
      </c>
      <c r="BE208" s="2930"/>
      <c r="BF208" s="43">
        <f t="shared" si="345"/>
        <v>4977.1899999999996</v>
      </c>
      <c r="BG208" s="26"/>
      <c r="BH208" s="26"/>
      <c r="BI208" s="26"/>
      <c r="BJ208" s="26"/>
      <c r="BK208" s="26"/>
    </row>
    <row r="209" spans="1:63" ht="15.75" thickBot="1" x14ac:dyDescent="0.3">
      <c r="A209" s="154"/>
      <c r="B209" s="5494" t="s">
        <v>2276</v>
      </c>
      <c r="C209" s="3670" t="s">
        <v>876</v>
      </c>
      <c r="D209" s="3670"/>
      <c r="E209" s="3607"/>
      <c r="F209" s="3608"/>
      <c r="G209" s="3607"/>
      <c r="H209" s="3608"/>
      <c r="I209" s="3609"/>
      <c r="J209" s="782">
        <f t="shared" si="346"/>
        <v>0</v>
      </c>
      <c r="K209" s="3607"/>
      <c r="L209" s="3608">
        <v>2413.7600000000002</v>
      </c>
      <c r="M209" s="3610"/>
      <c r="N209" s="781">
        <f t="shared" si="347"/>
        <v>2413.7600000000002</v>
      </c>
      <c r="O209" s="3607"/>
      <c r="P209" s="3608">
        <v>1332.1200000000001</v>
      </c>
      <c r="Q209" s="3609"/>
      <c r="R209" s="782">
        <f t="shared" si="348"/>
        <v>3745.88</v>
      </c>
      <c r="S209" s="3607"/>
      <c r="T209" s="3608">
        <v>74.930000000000007</v>
      </c>
      <c r="U209" s="3609"/>
      <c r="V209" s="782">
        <f t="shared" si="349"/>
        <v>3820.81</v>
      </c>
      <c r="W209" s="3607"/>
      <c r="X209" s="3608"/>
      <c r="Y209" s="3610"/>
      <c r="Z209" s="781">
        <f t="shared" si="350"/>
        <v>1407.0500000000002</v>
      </c>
      <c r="AA209" s="3612"/>
      <c r="AB209" s="3562">
        <f t="shared" si="351"/>
        <v>3820.8100000000004</v>
      </c>
      <c r="AC209" s="3607"/>
      <c r="AD209" s="3608"/>
      <c r="AE209" s="3609"/>
      <c r="AF209" s="782">
        <f t="shared" si="352"/>
        <v>3820.8100000000004</v>
      </c>
      <c r="AG209" s="3607"/>
      <c r="AH209" s="3608"/>
      <c r="AI209" s="3609"/>
      <c r="AJ209" s="3611"/>
      <c r="AK209" s="3607"/>
      <c r="AL209" s="3608"/>
      <c r="AM209" s="3610"/>
      <c r="AN209" s="3437"/>
      <c r="AO209" s="3609"/>
      <c r="AP209" s="3611"/>
      <c r="AQ209" s="3607"/>
      <c r="AR209" s="3608"/>
      <c r="AS209" s="3609"/>
      <c r="AT209" s="43"/>
      <c r="AU209" s="3607"/>
      <c r="AV209" s="3608"/>
      <c r="AW209" s="3609"/>
      <c r="AX209" s="43"/>
      <c r="AY209" s="3607"/>
      <c r="AZ209" s="3608"/>
      <c r="BA209" s="3610"/>
      <c r="BB209" s="618"/>
      <c r="BC209" s="3612"/>
      <c r="BD209" s="5495"/>
      <c r="BE209" s="3609"/>
      <c r="BF209" s="43"/>
      <c r="BG209" s="26"/>
      <c r="BH209" s="26"/>
      <c r="BI209" s="26"/>
      <c r="BJ209" s="26"/>
      <c r="BK209" s="26"/>
    </row>
    <row r="210" spans="1:63" ht="15.75" thickBot="1" x14ac:dyDescent="0.3">
      <c r="A210" s="154"/>
      <c r="B210" s="5494" t="s">
        <v>2276</v>
      </c>
      <c r="C210" s="3670" t="s">
        <v>885</v>
      </c>
      <c r="D210" s="3670"/>
      <c r="E210" s="3607"/>
      <c r="F210" s="3608"/>
      <c r="G210" s="3607"/>
      <c r="H210" s="3608"/>
      <c r="I210" s="3609"/>
      <c r="J210" s="782">
        <f t="shared" si="346"/>
        <v>0</v>
      </c>
      <c r="K210" s="3607"/>
      <c r="L210" s="3608">
        <v>2699.1199999999994</v>
      </c>
      <c r="M210" s="3610"/>
      <c r="N210" s="781">
        <f t="shared" si="347"/>
        <v>2699.1199999999994</v>
      </c>
      <c r="O210" s="3607"/>
      <c r="P210" s="3608">
        <v>9269.260000000002</v>
      </c>
      <c r="Q210" s="3609"/>
      <c r="R210" s="782">
        <f t="shared" si="348"/>
        <v>11968.380000000001</v>
      </c>
      <c r="S210" s="3607"/>
      <c r="T210" s="3608"/>
      <c r="U210" s="3609"/>
      <c r="V210" s="782">
        <f t="shared" si="349"/>
        <v>11968.380000000001</v>
      </c>
      <c r="W210" s="3607"/>
      <c r="X210" s="3608"/>
      <c r="Y210" s="3610"/>
      <c r="Z210" s="781">
        <f t="shared" si="350"/>
        <v>9269.260000000002</v>
      </c>
      <c r="AA210" s="3612"/>
      <c r="AB210" s="3562">
        <f t="shared" si="351"/>
        <v>11968.380000000001</v>
      </c>
      <c r="AC210" s="3607"/>
      <c r="AD210" s="3608"/>
      <c r="AE210" s="3609"/>
      <c r="AF210" s="782">
        <f t="shared" si="352"/>
        <v>11968.380000000001</v>
      </c>
      <c r="AG210" s="3607"/>
      <c r="AH210" s="3608"/>
      <c r="AI210" s="3609"/>
      <c r="AJ210" s="3611"/>
      <c r="AK210" s="3607"/>
      <c r="AL210" s="3608"/>
      <c r="AM210" s="3610"/>
      <c r="AN210" s="3437"/>
      <c r="AO210" s="3609"/>
      <c r="AP210" s="3611"/>
      <c r="AQ210" s="3607"/>
      <c r="AR210" s="3608"/>
      <c r="AS210" s="3609"/>
      <c r="AT210" s="43"/>
      <c r="AU210" s="3607"/>
      <c r="AV210" s="3608"/>
      <c r="AW210" s="3609"/>
      <c r="AX210" s="43"/>
      <c r="AY210" s="3607"/>
      <c r="AZ210" s="3608"/>
      <c r="BA210" s="3610"/>
      <c r="BB210" s="618"/>
      <c r="BC210" s="3612"/>
      <c r="BD210" s="5495"/>
      <c r="BE210" s="3609"/>
      <c r="BF210" s="43"/>
      <c r="BG210" s="26"/>
      <c r="BH210" s="26"/>
      <c r="BI210" s="26"/>
      <c r="BJ210" s="26"/>
      <c r="BK210" s="26"/>
    </row>
    <row r="211" spans="1:63" ht="15.75" thickBot="1" x14ac:dyDescent="0.3">
      <c r="A211" s="154"/>
      <c r="B211" s="3620" t="s">
        <v>873</v>
      </c>
      <c r="C211" s="3615" t="s">
        <v>876</v>
      </c>
      <c r="D211" s="3615"/>
      <c r="E211" s="3595"/>
      <c r="F211" s="158">
        <v>56.5</v>
      </c>
      <c r="G211" s="3595"/>
      <c r="H211" s="158">
        <v>53.82</v>
      </c>
      <c r="I211" s="2927"/>
      <c r="J211" s="782">
        <f t="shared" si="346"/>
        <v>110.32</v>
      </c>
      <c r="K211" s="3595"/>
      <c r="L211" s="158">
        <v>2294.2400000000007</v>
      </c>
      <c r="M211" s="3596"/>
      <c r="N211" s="781">
        <f t="shared" si="347"/>
        <v>2404.5600000000009</v>
      </c>
      <c r="O211" s="3595"/>
      <c r="P211" s="158">
        <v>955.5</v>
      </c>
      <c r="Q211" s="2927"/>
      <c r="R211" s="782">
        <f t="shared" si="348"/>
        <v>3360.0600000000009</v>
      </c>
      <c r="S211" s="3595"/>
      <c r="T211" s="158"/>
      <c r="U211" s="2927"/>
      <c r="V211" s="782">
        <f t="shared" si="349"/>
        <v>3360.0600000000009</v>
      </c>
      <c r="W211" s="3595"/>
      <c r="X211" s="158"/>
      <c r="Y211" s="3596"/>
      <c r="Z211" s="781">
        <f t="shared" si="350"/>
        <v>955.5</v>
      </c>
      <c r="AA211" s="3597"/>
      <c r="AB211" s="3562">
        <f t="shared" si="351"/>
        <v>3360.0600000000009</v>
      </c>
      <c r="AC211" s="3595"/>
      <c r="AD211" s="158"/>
      <c r="AE211" s="2927"/>
      <c r="AF211" s="782">
        <f t="shared" si="352"/>
        <v>3360.0600000000009</v>
      </c>
      <c r="AG211" s="3595"/>
      <c r="AH211" s="158"/>
      <c r="AI211" s="2927"/>
      <c r="AJ211" s="373">
        <f t="shared" si="353"/>
        <v>3360.0600000000009</v>
      </c>
      <c r="AK211" s="3595"/>
      <c r="AL211" s="158"/>
      <c r="AM211" s="3596"/>
      <c r="AN211" s="618">
        <f t="shared" si="355"/>
        <v>0</v>
      </c>
      <c r="AO211" s="2927"/>
      <c r="AP211" s="373">
        <f t="shared" si="354"/>
        <v>3360.0600000000009</v>
      </c>
      <c r="AQ211" s="3595"/>
      <c r="AR211" s="158"/>
      <c r="AS211" s="2927"/>
      <c r="AT211" s="43">
        <f t="shared" si="343"/>
        <v>3360.0600000000009</v>
      </c>
      <c r="AU211" s="3595"/>
      <c r="AV211" s="158"/>
      <c r="AW211" s="2927"/>
      <c r="AX211" s="43">
        <f t="shared" si="344"/>
        <v>3360.0600000000009</v>
      </c>
      <c r="AY211" s="3595"/>
      <c r="AZ211" s="158"/>
      <c r="BA211" s="3596"/>
      <c r="BB211" s="618">
        <f t="shared" si="338"/>
        <v>0</v>
      </c>
      <c r="BC211" s="3597"/>
      <c r="BD211" s="3562">
        <f t="shared" si="340"/>
        <v>0</v>
      </c>
      <c r="BE211" s="2927"/>
      <c r="BF211" s="43">
        <f t="shared" si="345"/>
        <v>3360.0600000000009</v>
      </c>
      <c r="BG211" s="26"/>
      <c r="BH211" s="26"/>
      <c r="BI211" s="26"/>
      <c r="BJ211" s="26"/>
      <c r="BK211" s="26"/>
    </row>
    <row r="212" spans="1:63" ht="15.75" thickBot="1" x14ac:dyDescent="0.3">
      <c r="A212" s="154"/>
      <c r="B212" s="5494" t="s">
        <v>873</v>
      </c>
      <c r="C212" s="3670" t="s">
        <v>885</v>
      </c>
      <c r="D212" s="3670"/>
      <c r="E212" s="3607"/>
      <c r="F212" s="3608"/>
      <c r="G212" s="3607"/>
      <c r="H212" s="3608"/>
      <c r="I212" s="3609"/>
      <c r="J212" s="782">
        <f t="shared" si="346"/>
        <v>0</v>
      </c>
      <c r="K212" s="3607"/>
      <c r="L212" s="3608">
        <v>838.88000000000011</v>
      </c>
      <c r="M212" s="3610"/>
      <c r="N212" s="781">
        <f t="shared" si="347"/>
        <v>838.88000000000011</v>
      </c>
      <c r="O212" s="3607"/>
      <c r="P212" s="3608"/>
      <c r="Q212" s="3609"/>
      <c r="R212" s="782">
        <f t="shared" si="348"/>
        <v>838.88000000000011</v>
      </c>
      <c r="S212" s="3607"/>
      <c r="T212" s="3608"/>
      <c r="U212" s="3609"/>
      <c r="V212" s="782">
        <f t="shared" si="349"/>
        <v>838.88000000000011</v>
      </c>
      <c r="W212" s="3607"/>
      <c r="X212" s="3608"/>
      <c r="Y212" s="3610"/>
      <c r="Z212" s="781">
        <f t="shared" si="350"/>
        <v>0</v>
      </c>
      <c r="AA212" s="3612"/>
      <c r="AB212" s="3562">
        <f t="shared" si="351"/>
        <v>838.88000000000011</v>
      </c>
      <c r="AC212" s="3607"/>
      <c r="AD212" s="3608"/>
      <c r="AE212" s="3609"/>
      <c r="AF212" s="782">
        <f t="shared" si="352"/>
        <v>838.88000000000011</v>
      </c>
      <c r="AG212" s="3607"/>
      <c r="AH212" s="3608"/>
      <c r="AI212" s="3609"/>
      <c r="AJ212" s="3611"/>
      <c r="AK212" s="3607"/>
      <c r="AL212" s="3608"/>
      <c r="AM212" s="3610"/>
      <c r="AN212" s="3437"/>
      <c r="AO212" s="3609"/>
      <c r="AP212" s="3611"/>
      <c r="AQ212" s="3607"/>
      <c r="AR212" s="3608"/>
      <c r="AS212" s="3609"/>
      <c r="AT212" s="43"/>
      <c r="AU212" s="3607"/>
      <c r="AV212" s="3608"/>
      <c r="AW212" s="3609"/>
      <c r="AX212" s="43"/>
      <c r="AY212" s="3607"/>
      <c r="AZ212" s="3608"/>
      <c r="BA212" s="3610"/>
      <c r="BB212" s="618"/>
      <c r="BC212" s="3612"/>
      <c r="BD212" s="5495"/>
      <c r="BE212" s="3609"/>
      <c r="BF212" s="43"/>
      <c r="BG212" s="26"/>
      <c r="BH212" s="26"/>
      <c r="BI212" s="26"/>
      <c r="BJ212" s="26"/>
      <c r="BK212" s="26"/>
    </row>
    <row r="213" spans="1:63" ht="15.75" thickBot="1" x14ac:dyDescent="0.3">
      <c r="A213" s="93"/>
      <c r="B213" s="3624" t="s">
        <v>873</v>
      </c>
      <c r="C213" s="3619" t="s">
        <v>864</v>
      </c>
      <c r="D213" s="3619"/>
      <c r="E213" s="3592"/>
      <c r="F213" s="109"/>
      <c r="G213" s="3592"/>
      <c r="H213" s="109"/>
      <c r="I213" s="2930"/>
      <c r="J213" s="782">
        <f t="shared" si="346"/>
        <v>0</v>
      </c>
      <c r="K213" s="3592"/>
      <c r="L213" s="109"/>
      <c r="M213" s="3593"/>
      <c r="N213" s="781">
        <f t="shared" si="347"/>
        <v>0</v>
      </c>
      <c r="O213" s="3592"/>
      <c r="P213" s="109"/>
      <c r="Q213" s="2930"/>
      <c r="R213" s="782">
        <f t="shared" si="348"/>
        <v>0</v>
      </c>
      <c r="S213" s="3592"/>
      <c r="T213" s="109"/>
      <c r="U213" s="2930"/>
      <c r="V213" s="782">
        <f t="shared" si="349"/>
        <v>0</v>
      </c>
      <c r="W213" s="3592"/>
      <c r="X213" s="109"/>
      <c r="Y213" s="3593"/>
      <c r="Z213" s="781">
        <f t="shared" si="350"/>
        <v>0</v>
      </c>
      <c r="AA213" s="3594"/>
      <c r="AB213" s="3562">
        <f t="shared" si="351"/>
        <v>0</v>
      </c>
      <c r="AC213" s="3592"/>
      <c r="AD213" s="109"/>
      <c r="AE213" s="2930"/>
      <c r="AF213" s="782">
        <f t="shared" si="352"/>
        <v>0</v>
      </c>
      <c r="AG213" s="3592"/>
      <c r="AH213" s="109"/>
      <c r="AI213" s="2930"/>
      <c r="AJ213" s="589">
        <f t="shared" si="353"/>
        <v>0</v>
      </c>
      <c r="AK213" s="3592"/>
      <c r="AL213" s="109"/>
      <c r="AM213" s="3593"/>
      <c r="AN213" s="488">
        <f t="shared" si="355"/>
        <v>0</v>
      </c>
      <c r="AO213" s="2930"/>
      <c r="AP213" s="589">
        <f t="shared" si="354"/>
        <v>0</v>
      </c>
      <c r="AQ213" s="3592"/>
      <c r="AR213" s="109"/>
      <c r="AS213" s="2930"/>
      <c r="AT213" s="43">
        <f t="shared" si="343"/>
        <v>0</v>
      </c>
      <c r="AU213" s="3592"/>
      <c r="AV213" s="109"/>
      <c r="AW213" s="2930"/>
      <c r="AX213" s="43">
        <f t="shared" si="344"/>
        <v>0</v>
      </c>
      <c r="AY213" s="3592"/>
      <c r="AZ213" s="109"/>
      <c r="BA213" s="3593"/>
      <c r="BB213" s="618">
        <f t="shared" si="338"/>
        <v>0</v>
      </c>
      <c r="BC213" s="3594"/>
      <c r="BD213" s="3562">
        <f t="shared" si="340"/>
        <v>0</v>
      </c>
      <c r="BE213" s="2930"/>
      <c r="BF213" s="43">
        <f t="shared" si="345"/>
        <v>0</v>
      </c>
      <c r="BG213" s="26"/>
      <c r="BH213" s="26"/>
      <c r="BI213" s="26"/>
      <c r="BJ213" s="26"/>
      <c r="BK213" s="26"/>
    </row>
    <row r="214" spans="1:63" ht="15.75" thickBot="1" x14ac:dyDescent="0.3">
      <c r="A214" s="93"/>
      <c r="B214" s="3635" t="s">
        <v>77</v>
      </c>
      <c r="C214" s="3622" t="s">
        <v>1875</v>
      </c>
      <c r="D214" s="3622"/>
      <c r="E214" s="3600"/>
      <c r="F214" s="1202">
        <f>F10</f>
        <v>0</v>
      </c>
      <c r="G214" s="3600"/>
      <c r="H214" s="1202">
        <f>H10</f>
        <v>0</v>
      </c>
      <c r="I214" s="3601"/>
      <c r="J214" s="782">
        <f t="shared" si="346"/>
        <v>0</v>
      </c>
      <c r="K214" s="3600"/>
      <c r="L214" s="1202">
        <f>L10</f>
        <v>0</v>
      </c>
      <c r="M214" s="3602"/>
      <c r="N214" s="781">
        <f t="shared" si="347"/>
        <v>0</v>
      </c>
      <c r="O214" s="3600"/>
      <c r="P214" s="1202">
        <f>P10</f>
        <v>64.099999999999994</v>
      </c>
      <c r="Q214" s="3601"/>
      <c r="R214" s="782">
        <f t="shared" si="348"/>
        <v>64.099999999999994</v>
      </c>
      <c r="S214" s="3600"/>
      <c r="T214" s="1202">
        <f>T10</f>
        <v>1485.1599999999999</v>
      </c>
      <c r="U214" s="3601"/>
      <c r="V214" s="782">
        <f t="shared" si="349"/>
        <v>1549.2599999999998</v>
      </c>
      <c r="W214" s="3600"/>
      <c r="X214" s="1202">
        <f>X10</f>
        <v>693.72</v>
      </c>
      <c r="Y214" s="3602"/>
      <c r="Z214" s="781">
        <f t="shared" si="350"/>
        <v>2242.9799999999996</v>
      </c>
      <c r="AA214" s="3603"/>
      <c r="AB214" s="3562">
        <f t="shared" si="351"/>
        <v>2242.9799999999996</v>
      </c>
      <c r="AC214" s="3600"/>
      <c r="AD214" s="1202">
        <f>AD10</f>
        <v>0</v>
      </c>
      <c r="AE214" s="3601"/>
      <c r="AF214" s="782">
        <f t="shared" si="352"/>
        <v>2242.9799999999996</v>
      </c>
      <c r="AG214" s="3600"/>
      <c r="AH214" s="1202">
        <f>AH10</f>
        <v>0</v>
      </c>
      <c r="AI214" s="3601"/>
      <c r="AJ214" s="572">
        <f t="shared" si="353"/>
        <v>2242.9799999999996</v>
      </c>
      <c r="AK214" s="3600"/>
      <c r="AL214" s="1202">
        <f>AL10</f>
        <v>0</v>
      </c>
      <c r="AM214" s="3602"/>
      <c r="AN214" s="487">
        <f t="shared" si="355"/>
        <v>0</v>
      </c>
      <c r="AO214" s="3601"/>
      <c r="AP214" s="572">
        <f t="shared" si="354"/>
        <v>2242.9799999999996</v>
      </c>
      <c r="AQ214" s="3600"/>
      <c r="AR214" s="1202">
        <f>AR10</f>
        <v>0</v>
      </c>
      <c r="AS214" s="3601"/>
      <c r="AT214" s="572">
        <f t="shared" ref="AT214:AT216" si="356">AP214+AR214</f>
        <v>2242.9799999999996</v>
      </c>
      <c r="AU214" s="3600"/>
      <c r="AV214" s="1202">
        <f>AV10</f>
        <v>0</v>
      </c>
      <c r="AW214" s="3601"/>
      <c r="AX214" s="572">
        <f t="shared" si="344"/>
        <v>2242.9799999999996</v>
      </c>
      <c r="AY214" s="3600"/>
      <c r="AZ214" s="1202">
        <f>AZ10</f>
        <v>0</v>
      </c>
      <c r="BA214" s="3602"/>
      <c r="BB214" s="618">
        <f t="shared" si="338"/>
        <v>0</v>
      </c>
      <c r="BC214" s="3603"/>
      <c r="BD214" s="3562">
        <f t="shared" si="340"/>
        <v>0</v>
      </c>
      <c r="BE214" s="3601"/>
      <c r="BF214" s="43">
        <f t="shared" si="345"/>
        <v>2242.9799999999996</v>
      </c>
      <c r="BG214" s="26"/>
      <c r="BH214" s="26"/>
      <c r="BI214" s="26"/>
      <c r="BJ214" s="26"/>
      <c r="BK214" s="26"/>
    </row>
    <row r="215" spans="1:63" x14ac:dyDescent="0.25">
      <c r="A215" s="93"/>
      <c r="B215" s="3636" t="s">
        <v>553</v>
      </c>
      <c r="C215" s="205"/>
      <c r="D215" s="205"/>
      <c r="E215" s="854"/>
      <c r="F215" s="1134">
        <f>F11</f>
        <v>0</v>
      </c>
      <c r="G215" s="854"/>
      <c r="H215" s="1134">
        <f>H11</f>
        <v>0</v>
      </c>
      <c r="I215" s="852"/>
      <c r="J215" s="782">
        <f t="shared" si="346"/>
        <v>0</v>
      </c>
      <c r="K215" s="854"/>
      <c r="L215" s="1134">
        <f>L11</f>
        <v>0</v>
      </c>
      <c r="M215" s="902"/>
      <c r="N215" s="781">
        <f t="shared" si="347"/>
        <v>0</v>
      </c>
      <c r="O215" s="854"/>
      <c r="P215" s="1134">
        <f>P11</f>
        <v>0</v>
      </c>
      <c r="Q215" s="852"/>
      <c r="R215" s="782">
        <f t="shared" si="348"/>
        <v>0</v>
      </c>
      <c r="S215" s="854"/>
      <c r="T215" s="1134">
        <f>T11</f>
        <v>0</v>
      </c>
      <c r="U215" s="852"/>
      <c r="V215" s="782">
        <f t="shared" si="349"/>
        <v>0</v>
      </c>
      <c r="W215" s="854"/>
      <c r="X215" s="1134">
        <f>X11</f>
        <v>0</v>
      </c>
      <c r="Y215" s="902"/>
      <c r="Z215" s="781">
        <f t="shared" si="350"/>
        <v>0</v>
      </c>
      <c r="AA215" s="3591"/>
      <c r="AB215" s="3562">
        <f t="shared" si="351"/>
        <v>0</v>
      </c>
      <c r="AC215" s="854"/>
      <c r="AD215" s="1134">
        <f>AD11</f>
        <v>0</v>
      </c>
      <c r="AE215" s="852"/>
      <c r="AF215" s="782">
        <f t="shared" si="352"/>
        <v>0</v>
      </c>
      <c r="AG215" s="854"/>
      <c r="AH215" s="1134">
        <f>AH11</f>
        <v>0</v>
      </c>
      <c r="AI215" s="852"/>
      <c r="AJ215" s="782">
        <f t="shared" si="353"/>
        <v>0</v>
      </c>
      <c r="AK215" s="854"/>
      <c r="AL215" s="1134">
        <f>AL11</f>
        <v>0</v>
      </c>
      <c r="AM215" s="902"/>
      <c r="AN215" s="781">
        <f t="shared" si="355"/>
        <v>0</v>
      </c>
      <c r="AO215" s="852"/>
      <c r="AP215" s="782">
        <f t="shared" si="354"/>
        <v>0</v>
      </c>
      <c r="AQ215" s="854"/>
      <c r="AR215" s="1134">
        <f>AR11</f>
        <v>0</v>
      </c>
      <c r="AS215" s="852"/>
      <c r="AT215" s="782">
        <f t="shared" si="356"/>
        <v>0</v>
      </c>
      <c r="AU215" s="854"/>
      <c r="AV215" s="1134">
        <f>AV11</f>
        <v>0</v>
      </c>
      <c r="AW215" s="852"/>
      <c r="AX215" s="782">
        <f t="shared" si="344"/>
        <v>0</v>
      </c>
      <c r="AY215" s="854"/>
      <c r="AZ215" s="1134">
        <f>AZ11</f>
        <v>0</v>
      </c>
      <c r="BA215" s="902"/>
      <c r="BB215" s="618">
        <f t="shared" si="338"/>
        <v>0</v>
      </c>
      <c r="BC215" s="3591"/>
      <c r="BD215" s="3562">
        <f t="shared" si="340"/>
        <v>0</v>
      </c>
      <c r="BE215" s="852"/>
      <c r="BF215" s="43">
        <f t="shared" si="345"/>
        <v>0</v>
      </c>
      <c r="BG215" s="26"/>
      <c r="BH215" s="26"/>
      <c r="BI215" s="26"/>
      <c r="BJ215" s="26"/>
      <c r="BK215" s="26"/>
    </row>
    <row r="216" spans="1:63" x14ac:dyDescent="0.25">
      <c r="A216" s="93"/>
      <c r="B216" s="3637" t="s">
        <v>33</v>
      </c>
      <c r="C216" s="813"/>
      <c r="D216" s="457">
        <f>+D12</f>
        <v>500000</v>
      </c>
      <c r="E216" s="457">
        <f>+E12</f>
        <v>42500</v>
      </c>
      <c r="F216" s="457">
        <f>SUM(F86:F215)</f>
        <v>33332.799999999996</v>
      </c>
      <c r="G216" s="457">
        <f>+G12</f>
        <v>44000</v>
      </c>
      <c r="H216" s="457">
        <f>SUM(H86:H215)</f>
        <v>39367.020000000004</v>
      </c>
      <c r="I216" s="376">
        <f>E216+G216</f>
        <v>86500</v>
      </c>
      <c r="J216" s="782">
        <f t="shared" si="346"/>
        <v>72699.820000000007</v>
      </c>
      <c r="K216" s="457">
        <f>+K12</f>
        <v>42500</v>
      </c>
      <c r="L216" s="457">
        <f>SUM(L86:L215)</f>
        <v>37508.06</v>
      </c>
      <c r="M216" s="378">
        <f>E216+G216+K216</f>
        <v>129000</v>
      </c>
      <c r="N216" s="781">
        <f t="shared" si="347"/>
        <v>110207.88</v>
      </c>
      <c r="O216" s="457">
        <f>+O12</f>
        <v>44000</v>
      </c>
      <c r="P216" s="457">
        <f>SUM(P86:P215)</f>
        <v>44197.29</v>
      </c>
      <c r="Q216" s="376">
        <f>M216+O216</f>
        <v>173000</v>
      </c>
      <c r="R216" s="782">
        <f t="shared" si="348"/>
        <v>154405.17000000001</v>
      </c>
      <c r="S216" s="457">
        <f>+S12</f>
        <v>44000</v>
      </c>
      <c r="T216" s="457">
        <f>SUM(T86:T215)</f>
        <v>42211.700000000012</v>
      </c>
      <c r="U216" s="376">
        <f>Q216+S216</f>
        <v>217000</v>
      </c>
      <c r="V216" s="782">
        <f t="shared" si="349"/>
        <v>196616.87000000002</v>
      </c>
      <c r="W216" s="457">
        <f>+W12</f>
        <v>25000</v>
      </c>
      <c r="X216" s="457">
        <f>SUM(X86:X215)</f>
        <v>37026.69</v>
      </c>
      <c r="Y216" s="378">
        <f t="shared" ref="Y216" si="357">O216+S216+W216</f>
        <v>113000</v>
      </c>
      <c r="Z216" s="781">
        <f t="shared" si="350"/>
        <v>123435.68000000002</v>
      </c>
      <c r="AA216" s="3565">
        <f>M216+Y216</f>
        <v>242000</v>
      </c>
      <c r="AB216" s="3562">
        <f t="shared" si="351"/>
        <v>233643.56000000003</v>
      </c>
      <c r="AC216" s="457">
        <f>+AC12</f>
        <v>45500</v>
      </c>
      <c r="AD216" s="457">
        <f>SUM(AD86:AD215)</f>
        <v>37048.140000000007</v>
      </c>
      <c r="AE216" s="376">
        <f>AA216+AC216</f>
        <v>287500</v>
      </c>
      <c r="AF216" s="782">
        <f t="shared" si="352"/>
        <v>270691.7</v>
      </c>
      <c r="AG216" s="457">
        <f>+AG12</f>
        <v>44000</v>
      </c>
      <c r="AH216" s="457">
        <f>SUM(AH86:AH215)</f>
        <v>30159.91</v>
      </c>
      <c r="AI216" s="376">
        <f>AE216+AG216</f>
        <v>331500</v>
      </c>
      <c r="AJ216" s="376">
        <f t="shared" si="353"/>
        <v>300851.61</v>
      </c>
      <c r="AK216" s="457">
        <f>+AK12</f>
        <v>45500</v>
      </c>
      <c r="AL216" s="457">
        <f>SUM(AL86:AL215)</f>
        <v>37390.06</v>
      </c>
      <c r="AM216" s="378">
        <f t="shared" ref="AM216" si="358">AC216+AG216+AK216</f>
        <v>135000</v>
      </c>
      <c r="AN216" s="378">
        <f t="shared" si="355"/>
        <v>104598.11</v>
      </c>
      <c r="AO216" s="376">
        <f t="shared" ref="AO216" si="359">AI216+AK216</f>
        <v>377000</v>
      </c>
      <c r="AP216" s="376">
        <f t="shared" si="354"/>
        <v>338241.67</v>
      </c>
      <c r="AQ216" s="457">
        <f>+AQ12</f>
        <v>45500</v>
      </c>
      <c r="AR216" s="457">
        <f>SUM(AR86:AR215)</f>
        <v>37025.609999999993</v>
      </c>
      <c r="AS216" s="376">
        <f>AO216+AQ216</f>
        <v>422500</v>
      </c>
      <c r="AT216" s="376">
        <f t="shared" si="356"/>
        <v>375267.27999999997</v>
      </c>
      <c r="AU216" s="457">
        <f>+AU12</f>
        <v>40500</v>
      </c>
      <c r="AV216" s="457">
        <f>SUM(AV86:AV215)</f>
        <v>32967.39</v>
      </c>
      <c r="AW216" s="376">
        <f>AS216+AU216</f>
        <v>463000</v>
      </c>
      <c r="AX216" s="376">
        <f t="shared" si="344"/>
        <v>408234.67</v>
      </c>
      <c r="AY216" s="457">
        <f>+AY12</f>
        <v>45500</v>
      </c>
      <c r="AZ216" s="457">
        <f>SUM(AZ86:AZ215)</f>
        <v>44837.420000000013</v>
      </c>
      <c r="BA216" s="378">
        <f t="shared" ref="BA216" si="360">AQ216+AU216+AY216</f>
        <v>131500</v>
      </c>
      <c r="BB216" s="378">
        <f t="shared" ref="BB216" si="361">AR216+AV216+AZ216</f>
        <v>114830.42000000001</v>
      </c>
      <c r="BC216" s="3565">
        <f>AM216+BA216</f>
        <v>266500</v>
      </c>
      <c r="BD216" s="3565">
        <f>AN216+BB216</f>
        <v>219428.53000000003</v>
      </c>
      <c r="BE216" s="376">
        <f>AW216+AY216</f>
        <v>508500</v>
      </c>
      <c r="BF216" s="376">
        <f t="shared" ref="BF216" si="362">AX216+AZ216</f>
        <v>453072.08999999997</v>
      </c>
      <c r="BG216" s="26"/>
      <c r="BH216" s="26"/>
      <c r="BI216" s="26"/>
      <c r="BJ216" s="26"/>
      <c r="BK216" s="26"/>
    </row>
    <row r="217" spans="1:63" x14ac:dyDescent="0.25">
      <c r="A217" s="154"/>
      <c r="B217" s="3638" t="s">
        <v>632</v>
      </c>
      <c r="C217" s="1682"/>
      <c r="D217" s="1682"/>
      <c r="E217" s="1682"/>
      <c r="F217" s="1682"/>
      <c r="G217" s="1682"/>
      <c r="H217" s="1682"/>
      <c r="I217" s="1682"/>
      <c r="J217" s="782">
        <f t="shared" si="346"/>
        <v>0</v>
      </c>
      <c r="K217" s="1682"/>
      <c r="L217" s="1682"/>
      <c r="M217" s="26"/>
      <c r="N217" s="781">
        <f t="shared" si="347"/>
        <v>0</v>
      </c>
      <c r="O217" s="1682"/>
      <c r="P217" s="1682"/>
      <c r="Q217" s="26"/>
      <c r="R217" s="782">
        <f t="shared" si="348"/>
        <v>0</v>
      </c>
      <c r="S217" s="1682"/>
      <c r="T217" s="1682"/>
      <c r="U217" s="26"/>
      <c r="V217" s="782">
        <f t="shared" si="349"/>
        <v>0</v>
      </c>
      <c r="W217" s="1682"/>
      <c r="X217" s="1682"/>
      <c r="Y217" s="26"/>
      <c r="Z217" s="781">
        <f t="shared" si="350"/>
        <v>0</v>
      </c>
      <c r="AA217" s="26"/>
      <c r="AB217" s="3562">
        <f t="shared" si="351"/>
        <v>0</v>
      </c>
      <c r="AC217" s="26"/>
      <c r="AD217" s="26"/>
      <c r="AE217" s="26"/>
      <c r="AF217" s="782">
        <f t="shared" si="352"/>
        <v>0</v>
      </c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</row>
    <row r="218" spans="1:63" x14ac:dyDescent="0.25">
      <c r="A218" s="93"/>
      <c r="B218" s="3639" t="s">
        <v>1948</v>
      </c>
      <c r="C218" s="205" t="s">
        <v>50</v>
      </c>
      <c r="D218" s="205"/>
      <c r="E218" s="3640"/>
      <c r="F218" s="1134"/>
      <c r="G218" s="3640"/>
      <c r="H218" s="1134"/>
      <c r="I218" s="3641"/>
      <c r="J218" s="782">
        <f t="shared" si="346"/>
        <v>0</v>
      </c>
      <c r="K218" s="3640"/>
      <c r="L218" s="1134"/>
      <c r="M218" s="3642"/>
      <c r="N218" s="781">
        <f t="shared" si="347"/>
        <v>0</v>
      </c>
      <c r="O218" s="3640"/>
      <c r="P218" s="1134"/>
      <c r="Q218" s="3641"/>
      <c r="R218" s="782">
        <f t="shared" si="348"/>
        <v>0</v>
      </c>
      <c r="S218" s="3640"/>
      <c r="T218" s="1134"/>
      <c r="U218" s="3641"/>
      <c r="V218" s="782">
        <f t="shared" si="349"/>
        <v>0</v>
      </c>
      <c r="W218" s="3640"/>
      <c r="X218" s="1134"/>
      <c r="Y218" s="3642"/>
      <c r="Z218" s="781">
        <f t="shared" si="350"/>
        <v>0</v>
      </c>
      <c r="AA218" s="3643"/>
      <c r="AB218" s="3562">
        <f t="shared" si="351"/>
        <v>0</v>
      </c>
      <c r="AC218" s="3640"/>
      <c r="AD218" s="1134"/>
      <c r="AE218" s="3641"/>
      <c r="AF218" s="782">
        <f t="shared" si="352"/>
        <v>0</v>
      </c>
      <c r="AG218" s="3640"/>
      <c r="AH218" s="1134"/>
      <c r="AI218" s="3641"/>
      <c r="AJ218" s="782"/>
      <c r="AK218" s="3640"/>
      <c r="AL218" s="1134"/>
      <c r="AM218" s="3642"/>
      <c r="AN218" s="781"/>
      <c r="AO218" s="3641"/>
      <c r="AP218" s="782"/>
      <c r="AQ218" s="3640"/>
      <c r="AR218" s="1134"/>
      <c r="AS218" s="3641"/>
      <c r="AT218" s="782"/>
      <c r="AU218" s="3640"/>
      <c r="AV218" s="1134"/>
      <c r="AW218" s="3641"/>
      <c r="AX218" s="782"/>
      <c r="AY218" s="3640"/>
      <c r="AZ218" s="1134"/>
      <c r="BA218" s="3642"/>
      <c r="BB218" s="781"/>
      <c r="BC218" s="3643"/>
      <c r="BD218" s="3562"/>
      <c r="BE218" s="3641"/>
      <c r="BF218" s="782"/>
      <c r="BG218" s="26"/>
      <c r="BH218" s="26"/>
      <c r="BI218" s="26"/>
      <c r="BJ218" s="26"/>
      <c r="BK218" s="26"/>
    </row>
    <row r="219" spans="1:63" x14ac:dyDescent="0.25">
      <c r="A219" s="93"/>
      <c r="B219" s="3644" t="s">
        <v>696</v>
      </c>
      <c r="C219" s="205" t="s">
        <v>50</v>
      </c>
      <c r="D219" s="159"/>
      <c r="E219" s="3640"/>
      <c r="F219" s="1134"/>
      <c r="G219" s="3640"/>
      <c r="H219" s="1134"/>
      <c r="I219" s="3641"/>
      <c r="J219" s="782">
        <f t="shared" si="346"/>
        <v>0</v>
      </c>
      <c r="K219" s="3640"/>
      <c r="L219" s="1134"/>
      <c r="M219" s="3642"/>
      <c r="N219" s="781">
        <f t="shared" si="347"/>
        <v>0</v>
      </c>
      <c r="O219" s="3640"/>
      <c r="P219" s="1134"/>
      <c r="Q219" s="3641"/>
      <c r="R219" s="782">
        <f t="shared" si="348"/>
        <v>0</v>
      </c>
      <c r="S219" s="3640"/>
      <c r="T219" s="1134"/>
      <c r="U219" s="3641"/>
      <c r="V219" s="782">
        <f t="shared" si="349"/>
        <v>0</v>
      </c>
      <c r="W219" s="3640"/>
      <c r="X219" s="1134"/>
      <c r="Y219" s="3642"/>
      <c r="Z219" s="781">
        <f t="shared" si="350"/>
        <v>0</v>
      </c>
      <c r="AA219" s="3643"/>
      <c r="AB219" s="3562">
        <f t="shared" si="351"/>
        <v>0</v>
      </c>
      <c r="AC219" s="3640"/>
      <c r="AD219" s="1134"/>
      <c r="AE219" s="3641"/>
      <c r="AF219" s="782">
        <f t="shared" si="352"/>
        <v>0</v>
      </c>
      <c r="AG219" s="3640"/>
      <c r="AH219" s="1134"/>
      <c r="AI219" s="3641"/>
      <c r="AJ219" s="782">
        <f t="shared" ref="AJ219:AJ230" si="363">AF219+AH219</f>
        <v>0</v>
      </c>
      <c r="AK219" s="3640"/>
      <c r="AL219" s="1134"/>
      <c r="AM219" s="3642"/>
      <c r="AN219" s="781">
        <f t="shared" ref="AN219:AN231" si="364">AD219+AH219+AL219</f>
        <v>0</v>
      </c>
      <c r="AO219" s="3641"/>
      <c r="AP219" s="782">
        <f t="shared" ref="AP219:AP231" si="365">AJ219+AL219</f>
        <v>0</v>
      </c>
      <c r="AQ219" s="3640"/>
      <c r="AR219" s="1134"/>
      <c r="AS219" s="3641"/>
      <c r="AT219" s="782">
        <f t="shared" ref="AT219:AT230" si="366">AP219+AR219</f>
        <v>0</v>
      </c>
      <c r="AU219" s="3640"/>
      <c r="AV219" s="1134"/>
      <c r="AW219" s="3641"/>
      <c r="AX219" s="782">
        <f t="shared" ref="AX219:AX232" si="367">AT219+AV219</f>
        <v>0</v>
      </c>
      <c r="AY219" s="3640"/>
      <c r="AZ219" s="1134"/>
      <c r="BA219" s="3642"/>
      <c r="BB219" s="781">
        <f t="shared" ref="BB219" si="368">AR219+AV219+AZ219</f>
        <v>0</v>
      </c>
      <c r="BC219" s="3643"/>
      <c r="BD219" s="3562">
        <f t="shared" ref="BD219" si="369">AN219+BB219</f>
        <v>0</v>
      </c>
      <c r="BE219" s="3641"/>
      <c r="BF219" s="782">
        <f t="shared" ref="BF219" si="370">AX219+AZ219</f>
        <v>0</v>
      </c>
      <c r="BG219" s="26"/>
      <c r="BH219" s="26"/>
      <c r="BI219" s="26"/>
      <c r="BJ219" s="26"/>
      <c r="BK219" s="26"/>
    </row>
    <row r="220" spans="1:63" x14ac:dyDescent="0.25">
      <c r="A220" s="93"/>
      <c r="B220" s="3639" t="s">
        <v>1131</v>
      </c>
      <c r="C220" s="205" t="s">
        <v>50</v>
      </c>
      <c r="D220" s="159"/>
      <c r="E220" s="3640"/>
      <c r="F220" s="1134"/>
      <c r="G220" s="3640"/>
      <c r="H220" s="1134"/>
      <c r="I220" s="3641"/>
      <c r="J220" s="782">
        <f t="shared" si="346"/>
        <v>0</v>
      </c>
      <c r="K220" s="3640"/>
      <c r="L220" s="1134"/>
      <c r="M220" s="3642"/>
      <c r="N220" s="781">
        <f t="shared" si="347"/>
        <v>0</v>
      </c>
      <c r="O220" s="3640"/>
      <c r="P220" s="1134"/>
      <c r="Q220" s="3641"/>
      <c r="R220" s="782">
        <f t="shared" si="348"/>
        <v>0</v>
      </c>
      <c r="S220" s="3640"/>
      <c r="T220" s="1134"/>
      <c r="U220" s="3641"/>
      <c r="V220" s="782">
        <f t="shared" si="349"/>
        <v>0</v>
      </c>
      <c r="W220" s="3640"/>
      <c r="X220" s="1134"/>
      <c r="Y220" s="3642"/>
      <c r="Z220" s="781">
        <f t="shared" si="350"/>
        <v>0</v>
      </c>
      <c r="AA220" s="3643"/>
      <c r="AB220" s="3562">
        <f t="shared" si="351"/>
        <v>0</v>
      </c>
      <c r="AC220" s="3640"/>
      <c r="AD220" s="1134"/>
      <c r="AE220" s="3641"/>
      <c r="AF220" s="782">
        <f t="shared" si="352"/>
        <v>0</v>
      </c>
      <c r="AG220" s="3640"/>
      <c r="AH220" s="1134"/>
      <c r="AI220" s="3641"/>
      <c r="AJ220" s="782"/>
      <c r="AK220" s="3640"/>
      <c r="AL220" s="1134"/>
      <c r="AM220" s="3642"/>
      <c r="AN220" s="781">
        <f t="shared" si="364"/>
        <v>0</v>
      </c>
      <c r="AO220" s="3641"/>
      <c r="AP220" s="782">
        <f t="shared" si="365"/>
        <v>0</v>
      </c>
      <c r="AQ220" s="3640"/>
      <c r="AR220" s="1134"/>
      <c r="AS220" s="3641"/>
      <c r="AT220" s="782">
        <f t="shared" si="366"/>
        <v>0</v>
      </c>
      <c r="AU220" s="3640"/>
      <c r="AV220" s="1134"/>
      <c r="AW220" s="3641"/>
      <c r="AX220" s="782">
        <f t="shared" si="367"/>
        <v>0</v>
      </c>
      <c r="AY220" s="3640"/>
      <c r="AZ220" s="1134"/>
      <c r="BA220" s="3642"/>
      <c r="BB220" s="781"/>
      <c r="BC220" s="3643"/>
      <c r="BD220" s="3562"/>
      <c r="BE220" s="3641"/>
      <c r="BF220" s="782"/>
      <c r="BG220" s="26"/>
      <c r="BH220" s="26"/>
      <c r="BI220" s="26"/>
      <c r="BJ220" s="26"/>
      <c r="BK220" s="26"/>
    </row>
    <row r="221" spans="1:63" x14ac:dyDescent="0.25">
      <c r="A221" s="93"/>
      <c r="B221" s="3644" t="s">
        <v>696</v>
      </c>
      <c r="C221" s="205" t="s">
        <v>50</v>
      </c>
      <c r="D221" s="159"/>
      <c r="E221" s="3640"/>
      <c r="F221" s="1134">
        <v>40.54</v>
      </c>
      <c r="G221" s="3640"/>
      <c r="H221" s="1134"/>
      <c r="I221" s="3641"/>
      <c r="J221" s="782">
        <f t="shared" si="346"/>
        <v>40.54</v>
      </c>
      <c r="K221" s="3640"/>
      <c r="L221" s="1134"/>
      <c r="M221" s="3642"/>
      <c r="N221" s="781">
        <f t="shared" si="347"/>
        <v>40.54</v>
      </c>
      <c r="O221" s="3640"/>
      <c r="P221" s="1134"/>
      <c r="Q221" s="3641"/>
      <c r="R221" s="782">
        <f t="shared" si="348"/>
        <v>40.54</v>
      </c>
      <c r="S221" s="3640"/>
      <c r="T221" s="1134"/>
      <c r="U221" s="3641"/>
      <c r="V221" s="782">
        <f t="shared" si="349"/>
        <v>40.54</v>
      </c>
      <c r="W221" s="3640"/>
      <c r="X221" s="1134"/>
      <c r="Y221" s="3642"/>
      <c r="Z221" s="781">
        <f t="shared" si="350"/>
        <v>0</v>
      </c>
      <c r="AA221" s="3643"/>
      <c r="AB221" s="3562">
        <f t="shared" si="351"/>
        <v>40.54</v>
      </c>
      <c r="AC221" s="3640"/>
      <c r="AD221" s="1134"/>
      <c r="AE221" s="3641"/>
      <c r="AF221" s="782">
        <f t="shared" si="352"/>
        <v>40.54</v>
      </c>
      <c r="AG221" s="3640"/>
      <c r="AH221" s="1134"/>
      <c r="AI221" s="3641"/>
      <c r="AJ221" s="782">
        <f t="shared" si="363"/>
        <v>40.54</v>
      </c>
      <c r="AK221" s="3640"/>
      <c r="AL221" s="1134">
        <v>95.860000000000014</v>
      </c>
      <c r="AM221" s="3642"/>
      <c r="AN221" s="781">
        <f t="shared" si="364"/>
        <v>95.860000000000014</v>
      </c>
      <c r="AO221" s="3641"/>
      <c r="AP221" s="782">
        <f t="shared" si="365"/>
        <v>136.4</v>
      </c>
      <c r="AQ221" s="3640"/>
      <c r="AR221" s="1134"/>
      <c r="AS221" s="3641"/>
      <c r="AT221" s="782">
        <f t="shared" si="366"/>
        <v>136.4</v>
      </c>
      <c r="AU221" s="3640"/>
      <c r="AV221" s="1134"/>
      <c r="AW221" s="3641"/>
      <c r="AX221" s="782">
        <f t="shared" si="367"/>
        <v>136.4</v>
      </c>
      <c r="AY221" s="3640"/>
      <c r="AZ221" s="1134"/>
      <c r="BA221" s="3642"/>
      <c r="BB221" s="781">
        <f t="shared" ref="BB221:BB230" si="371">AR221+AV221+AZ221</f>
        <v>0</v>
      </c>
      <c r="BC221" s="3643"/>
      <c r="BD221" s="3562">
        <f t="shared" ref="BD221:BD230" si="372">AN221+BB221</f>
        <v>95.860000000000014</v>
      </c>
      <c r="BE221" s="3641"/>
      <c r="BF221" s="782">
        <f t="shared" ref="BF221:BF230" si="373">AX221+AZ221</f>
        <v>136.4</v>
      </c>
      <c r="BG221" s="26"/>
      <c r="BH221" s="26"/>
      <c r="BI221" s="26"/>
      <c r="BJ221" s="26"/>
      <c r="BK221" s="26"/>
    </row>
    <row r="222" spans="1:63" x14ac:dyDescent="0.25">
      <c r="A222" s="93"/>
      <c r="B222" s="3639" t="s">
        <v>1472</v>
      </c>
      <c r="C222" s="205" t="s">
        <v>50</v>
      </c>
      <c r="D222" s="205"/>
      <c r="E222" s="3640"/>
      <c r="F222" s="1134"/>
      <c r="G222" s="3640"/>
      <c r="H222" s="1134"/>
      <c r="I222" s="3641"/>
      <c r="J222" s="782">
        <f t="shared" si="346"/>
        <v>0</v>
      </c>
      <c r="K222" s="3640"/>
      <c r="L222" s="1134"/>
      <c r="M222" s="3642"/>
      <c r="N222" s="781">
        <f t="shared" si="347"/>
        <v>0</v>
      </c>
      <c r="O222" s="3640"/>
      <c r="P222" s="1134"/>
      <c r="Q222" s="3641"/>
      <c r="R222" s="782">
        <f t="shared" si="348"/>
        <v>0</v>
      </c>
      <c r="S222" s="3640"/>
      <c r="T222" s="1134"/>
      <c r="U222" s="3641"/>
      <c r="V222" s="782">
        <f t="shared" si="349"/>
        <v>0</v>
      </c>
      <c r="W222" s="3640"/>
      <c r="X222" s="1134"/>
      <c r="Y222" s="3642"/>
      <c r="Z222" s="781">
        <f t="shared" si="350"/>
        <v>0</v>
      </c>
      <c r="AA222" s="3643"/>
      <c r="AB222" s="3562">
        <f t="shared" si="351"/>
        <v>0</v>
      </c>
      <c r="AC222" s="3640"/>
      <c r="AD222" s="1134"/>
      <c r="AE222" s="3641"/>
      <c r="AF222" s="782">
        <f t="shared" si="352"/>
        <v>0</v>
      </c>
      <c r="AG222" s="3640"/>
      <c r="AH222" s="1134"/>
      <c r="AI222" s="3641"/>
      <c r="AJ222" s="782"/>
      <c r="AK222" s="3640"/>
      <c r="AL222" s="1134"/>
      <c r="AM222" s="3642"/>
      <c r="AN222" s="781">
        <f t="shared" si="364"/>
        <v>0</v>
      </c>
      <c r="AO222" s="3641"/>
      <c r="AP222" s="782">
        <f t="shared" si="365"/>
        <v>0</v>
      </c>
      <c r="AQ222" s="3640"/>
      <c r="AR222" s="1134"/>
      <c r="AS222" s="3641"/>
      <c r="AT222" s="782">
        <f t="shared" si="366"/>
        <v>0</v>
      </c>
      <c r="AU222" s="3640"/>
      <c r="AV222" s="1134"/>
      <c r="AW222" s="3641"/>
      <c r="AX222" s="782">
        <f t="shared" si="367"/>
        <v>0</v>
      </c>
      <c r="AY222" s="3640"/>
      <c r="AZ222" s="1134"/>
      <c r="BA222" s="3642"/>
      <c r="BB222" s="781"/>
      <c r="BC222" s="3643"/>
      <c r="BD222" s="3562"/>
      <c r="BE222" s="3641"/>
      <c r="BF222" s="782"/>
      <c r="BG222" s="26"/>
      <c r="BH222" s="26"/>
      <c r="BI222" s="26"/>
      <c r="BJ222" s="26"/>
      <c r="BK222" s="26"/>
    </row>
    <row r="223" spans="1:63" x14ac:dyDescent="0.25">
      <c r="A223" s="93"/>
      <c r="B223" s="3644" t="s">
        <v>696</v>
      </c>
      <c r="C223" s="205" t="s">
        <v>50</v>
      </c>
      <c r="D223" s="159"/>
      <c r="E223" s="3640"/>
      <c r="F223" s="1134"/>
      <c r="G223" s="3640"/>
      <c r="H223" s="1134"/>
      <c r="I223" s="3641"/>
      <c r="J223" s="782">
        <f t="shared" si="346"/>
        <v>0</v>
      </c>
      <c r="K223" s="3640"/>
      <c r="L223" s="1134"/>
      <c r="M223" s="3642"/>
      <c r="N223" s="781">
        <f t="shared" si="347"/>
        <v>0</v>
      </c>
      <c r="O223" s="3640"/>
      <c r="P223" s="1134">
        <v>38.94</v>
      </c>
      <c r="Q223" s="3641"/>
      <c r="R223" s="782">
        <f t="shared" si="348"/>
        <v>38.94</v>
      </c>
      <c r="S223" s="3640"/>
      <c r="T223" s="1134"/>
      <c r="U223" s="3641"/>
      <c r="V223" s="782">
        <f t="shared" si="349"/>
        <v>38.94</v>
      </c>
      <c r="W223" s="3640"/>
      <c r="X223" s="1134"/>
      <c r="Y223" s="3642"/>
      <c r="Z223" s="781">
        <f t="shared" si="350"/>
        <v>38.94</v>
      </c>
      <c r="AA223" s="3643"/>
      <c r="AB223" s="3562">
        <f t="shared" si="351"/>
        <v>38.94</v>
      </c>
      <c r="AC223" s="3640"/>
      <c r="AD223" s="1134"/>
      <c r="AE223" s="3641"/>
      <c r="AF223" s="782">
        <f t="shared" si="352"/>
        <v>38.94</v>
      </c>
      <c r="AG223" s="3640"/>
      <c r="AH223" s="1134"/>
      <c r="AI223" s="3641"/>
      <c r="AJ223" s="782">
        <f t="shared" si="363"/>
        <v>38.94</v>
      </c>
      <c r="AK223" s="3640"/>
      <c r="AL223" s="1134"/>
      <c r="AM223" s="3642"/>
      <c r="AN223" s="781">
        <f t="shared" si="364"/>
        <v>0</v>
      </c>
      <c r="AO223" s="3641"/>
      <c r="AP223" s="782">
        <f t="shared" si="365"/>
        <v>38.94</v>
      </c>
      <c r="AQ223" s="3640"/>
      <c r="AR223" s="1134"/>
      <c r="AS223" s="3641"/>
      <c r="AT223" s="782">
        <f t="shared" si="366"/>
        <v>38.94</v>
      </c>
      <c r="AU223" s="3640"/>
      <c r="AV223" s="1134"/>
      <c r="AW223" s="3641"/>
      <c r="AX223" s="782">
        <f t="shared" si="367"/>
        <v>38.94</v>
      </c>
      <c r="AY223" s="3640"/>
      <c r="AZ223" s="1134"/>
      <c r="BA223" s="3642"/>
      <c r="BB223" s="781">
        <f t="shared" si="371"/>
        <v>0</v>
      </c>
      <c r="BC223" s="3643"/>
      <c r="BD223" s="3562">
        <f t="shared" si="372"/>
        <v>0</v>
      </c>
      <c r="BE223" s="3641"/>
      <c r="BF223" s="782">
        <f t="shared" si="373"/>
        <v>38.94</v>
      </c>
      <c r="BG223" s="26"/>
      <c r="BH223" s="26"/>
      <c r="BI223" s="26"/>
      <c r="BJ223" s="26"/>
      <c r="BK223" s="26"/>
    </row>
    <row r="224" spans="1:63" x14ac:dyDescent="0.25">
      <c r="A224" s="93"/>
      <c r="B224" s="3639" t="s">
        <v>1929</v>
      </c>
      <c r="C224" s="205" t="s">
        <v>50</v>
      </c>
      <c r="D224" s="2656"/>
      <c r="E224" s="4094"/>
      <c r="F224" s="2716"/>
      <c r="G224" s="4094"/>
      <c r="H224" s="2716"/>
      <c r="I224" s="4095"/>
      <c r="J224" s="782">
        <f t="shared" si="346"/>
        <v>0</v>
      </c>
      <c r="K224" s="4094"/>
      <c r="L224" s="2716"/>
      <c r="M224" s="4096"/>
      <c r="N224" s="781">
        <f t="shared" si="347"/>
        <v>0</v>
      </c>
      <c r="O224" s="4094"/>
      <c r="P224" s="2716"/>
      <c r="Q224" s="4095"/>
      <c r="R224" s="782">
        <f t="shared" si="348"/>
        <v>0</v>
      </c>
      <c r="S224" s="4094"/>
      <c r="T224" s="2716"/>
      <c r="U224" s="4095"/>
      <c r="V224" s="782">
        <f t="shared" si="349"/>
        <v>0</v>
      </c>
      <c r="W224" s="4094"/>
      <c r="X224" s="2716"/>
      <c r="Y224" s="4096"/>
      <c r="Z224" s="781">
        <f t="shared" si="350"/>
        <v>0</v>
      </c>
      <c r="AA224" s="4097"/>
      <c r="AB224" s="3562">
        <f t="shared" si="351"/>
        <v>0</v>
      </c>
      <c r="AC224" s="4094"/>
      <c r="AD224" s="2716"/>
      <c r="AE224" s="4095"/>
      <c r="AF224" s="782">
        <f t="shared" si="352"/>
        <v>0</v>
      </c>
      <c r="AG224" s="4094"/>
      <c r="AH224" s="2716"/>
      <c r="AI224" s="4095"/>
      <c r="AJ224" s="782"/>
      <c r="AK224" s="4094"/>
      <c r="AL224" s="2716"/>
      <c r="AM224" s="4096"/>
      <c r="AN224" s="781">
        <f t="shared" si="364"/>
        <v>0</v>
      </c>
      <c r="AO224" s="4095"/>
      <c r="AP224" s="782">
        <f t="shared" si="365"/>
        <v>0</v>
      </c>
      <c r="AQ224" s="4094"/>
      <c r="AR224" s="2716"/>
      <c r="AS224" s="4095"/>
      <c r="AT224" s="782">
        <f t="shared" si="366"/>
        <v>0</v>
      </c>
      <c r="AU224" s="4094"/>
      <c r="AV224" s="2716"/>
      <c r="AW224" s="4095"/>
      <c r="AX224" s="782">
        <f t="shared" si="367"/>
        <v>0</v>
      </c>
      <c r="AY224" s="4094"/>
      <c r="AZ224" s="2716"/>
      <c r="BA224" s="4096"/>
      <c r="BB224" s="781"/>
      <c r="BC224" s="3643"/>
      <c r="BD224" s="3562"/>
      <c r="BE224" s="3641"/>
      <c r="BF224" s="782"/>
      <c r="BG224" s="26"/>
      <c r="BH224" s="26"/>
      <c r="BI224" s="26"/>
      <c r="BJ224" s="26"/>
      <c r="BK224" s="26"/>
    </row>
    <row r="225" spans="1:63" x14ac:dyDescent="0.25">
      <c r="A225" s="93"/>
      <c r="B225" s="4093" t="s">
        <v>696</v>
      </c>
      <c r="C225" s="205" t="s">
        <v>50</v>
      </c>
      <c r="D225" s="2656"/>
      <c r="E225" s="4094"/>
      <c r="F225" s="2716"/>
      <c r="G225" s="4094"/>
      <c r="H225" s="2716"/>
      <c r="I225" s="4095"/>
      <c r="J225" s="782">
        <f t="shared" si="346"/>
        <v>0</v>
      </c>
      <c r="K225" s="4094"/>
      <c r="L225" s="2716"/>
      <c r="M225" s="4096"/>
      <c r="N225" s="781">
        <f t="shared" si="347"/>
        <v>0</v>
      </c>
      <c r="O225" s="4094"/>
      <c r="P225" s="2716"/>
      <c r="Q225" s="4095"/>
      <c r="R225" s="782">
        <f t="shared" si="348"/>
        <v>0</v>
      </c>
      <c r="S225" s="4094"/>
      <c r="T225" s="2716"/>
      <c r="U225" s="4095"/>
      <c r="V225" s="782">
        <f t="shared" si="349"/>
        <v>0</v>
      </c>
      <c r="W225" s="4094"/>
      <c r="X225" s="2716"/>
      <c r="Y225" s="4096"/>
      <c r="Z225" s="781">
        <f t="shared" si="350"/>
        <v>0</v>
      </c>
      <c r="AA225" s="4097"/>
      <c r="AB225" s="3562">
        <f t="shared" si="351"/>
        <v>0</v>
      </c>
      <c r="AC225" s="4094"/>
      <c r="AD225" s="2716"/>
      <c r="AE225" s="4095"/>
      <c r="AF225" s="782">
        <f t="shared" si="352"/>
        <v>0</v>
      </c>
      <c r="AG225" s="4094"/>
      <c r="AH225" s="2716"/>
      <c r="AI225" s="4095"/>
      <c r="AJ225" s="782">
        <f t="shared" si="363"/>
        <v>0</v>
      </c>
      <c r="AK225" s="4094"/>
      <c r="AL225" s="2716"/>
      <c r="AM225" s="4096"/>
      <c r="AN225" s="781">
        <f t="shared" si="364"/>
        <v>0</v>
      </c>
      <c r="AO225" s="4095"/>
      <c r="AP225" s="782">
        <f t="shared" si="365"/>
        <v>0</v>
      </c>
      <c r="AQ225" s="4094"/>
      <c r="AR225" s="2716"/>
      <c r="AS225" s="4095"/>
      <c r="AT225" s="782">
        <f t="shared" si="366"/>
        <v>0</v>
      </c>
      <c r="AU225" s="4094"/>
      <c r="AV225" s="2716"/>
      <c r="AW225" s="4095"/>
      <c r="AX225" s="782">
        <f t="shared" si="367"/>
        <v>0</v>
      </c>
      <c r="AY225" s="4094"/>
      <c r="AZ225" s="2716"/>
      <c r="BA225" s="4096"/>
      <c r="BB225" s="781">
        <f t="shared" si="371"/>
        <v>0</v>
      </c>
      <c r="BC225" s="3643"/>
      <c r="BD225" s="3562">
        <f t="shared" si="372"/>
        <v>0</v>
      </c>
      <c r="BE225" s="3641"/>
      <c r="BF225" s="782">
        <f t="shared" si="373"/>
        <v>0</v>
      </c>
      <c r="BG225" s="26"/>
      <c r="BH225" s="26"/>
      <c r="BI225" s="26"/>
      <c r="BJ225" s="26"/>
      <c r="BK225" s="26"/>
    </row>
    <row r="226" spans="1:63" x14ac:dyDescent="0.25">
      <c r="A226" s="93"/>
      <c r="B226" s="3639" t="s">
        <v>1978</v>
      </c>
      <c r="C226" s="4429"/>
      <c r="D226" s="4348"/>
      <c r="E226" s="4430"/>
      <c r="F226" s="4406"/>
      <c r="G226" s="4430"/>
      <c r="H226" s="4406"/>
      <c r="I226" s="4431"/>
      <c r="J226" s="782">
        <f t="shared" si="346"/>
        <v>0</v>
      </c>
      <c r="K226" s="4430"/>
      <c r="L226" s="4406"/>
      <c r="M226" s="4433"/>
      <c r="N226" s="781">
        <f t="shared" si="347"/>
        <v>0</v>
      </c>
      <c r="O226" s="4430"/>
      <c r="P226" s="4406"/>
      <c r="Q226" s="4431"/>
      <c r="R226" s="782">
        <f t="shared" si="348"/>
        <v>0</v>
      </c>
      <c r="S226" s="4430"/>
      <c r="T226" s="4406"/>
      <c r="U226" s="4431"/>
      <c r="V226" s="782">
        <f t="shared" si="349"/>
        <v>0</v>
      </c>
      <c r="W226" s="4430"/>
      <c r="X226" s="4406"/>
      <c r="Y226" s="4433"/>
      <c r="Z226" s="781">
        <f t="shared" si="350"/>
        <v>0</v>
      </c>
      <c r="AA226" s="4435"/>
      <c r="AB226" s="3562">
        <f t="shared" si="351"/>
        <v>0</v>
      </c>
      <c r="AC226" s="4430"/>
      <c r="AD226" s="4406"/>
      <c r="AE226" s="4431"/>
      <c r="AF226" s="782">
        <f t="shared" si="352"/>
        <v>0</v>
      </c>
      <c r="AG226" s="4430"/>
      <c r="AH226" s="4406"/>
      <c r="AI226" s="4431"/>
      <c r="AJ226" s="4432"/>
      <c r="AK226" s="4430"/>
      <c r="AL226" s="4406"/>
      <c r="AM226" s="4433"/>
      <c r="AN226" s="781">
        <f t="shared" si="364"/>
        <v>0</v>
      </c>
      <c r="AO226" s="4431"/>
      <c r="AP226" s="782">
        <f t="shared" si="365"/>
        <v>0</v>
      </c>
      <c r="AQ226" s="4430"/>
      <c r="AR226" s="4406"/>
      <c r="AS226" s="4431"/>
      <c r="AT226" s="782">
        <f t="shared" si="366"/>
        <v>0</v>
      </c>
      <c r="AU226" s="4430"/>
      <c r="AV226" s="4406"/>
      <c r="AW226" s="4431"/>
      <c r="AX226" s="782">
        <f t="shared" si="367"/>
        <v>0</v>
      </c>
      <c r="AY226" s="4430"/>
      <c r="AZ226" s="4406"/>
      <c r="BA226" s="4433"/>
      <c r="BB226" s="781"/>
      <c r="BC226" s="3643"/>
      <c r="BD226" s="3562"/>
      <c r="BE226" s="3641"/>
      <c r="BF226" s="782"/>
      <c r="BG226" s="26"/>
      <c r="BH226" s="26"/>
      <c r="BI226" s="26"/>
      <c r="BJ226" s="26"/>
      <c r="BK226" s="26"/>
    </row>
    <row r="227" spans="1:63" x14ac:dyDescent="0.25">
      <c r="A227" s="93"/>
      <c r="B227" s="4428" t="s">
        <v>696</v>
      </c>
      <c r="C227" s="4429"/>
      <c r="D227" s="4348"/>
      <c r="E227" s="4430"/>
      <c r="F227" s="4406"/>
      <c r="G227" s="4430"/>
      <c r="H227" s="4406">
        <v>114.39</v>
      </c>
      <c r="I227" s="4431"/>
      <c r="J227" s="782">
        <f t="shared" si="346"/>
        <v>114.39</v>
      </c>
      <c r="K227" s="4430"/>
      <c r="L227" s="4406"/>
      <c r="M227" s="4433"/>
      <c r="N227" s="781">
        <f t="shared" si="347"/>
        <v>114.39</v>
      </c>
      <c r="O227" s="4430"/>
      <c r="P227" s="4406"/>
      <c r="Q227" s="4431"/>
      <c r="R227" s="782">
        <f t="shared" si="348"/>
        <v>114.39</v>
      </c>
      <c r="S227" s="4430"/>
      <c r="T227" s="4406"/>
      <c r="U227" s="4431"/>
      <c r="V227" s="782">
        <f t="shared" si="349"/>
        <v>114.39</v>
      </c>
      <c r="W227" s="4430"/>
      <c r="X227" s="4406"/>
      <c r="Y227" s="4433"/>
      <c r="Z227" s="781">
        <f t="shared" si="350"/>
        <v>0</v>
      </c>
      <c r="AA227" s="4435"/>
      <c r="AB227" s="3562">
        <f t="shared" si="351"/>
        <v>114.39</v>
      </c>
      <c r="AC227" s="4430"/>
      <c r="AD227" s="4406"/>
      <c r="AE227" s="4431"/>
      <c r="AF227" s="782">
        <f t="shared" si="352"/>
        <v>114.39</v>
      </c>
      <c r="AG227" s="4430"/>
      <c r="AH227" s="4406">
        <v>185.19</v>
      </c>
      <c r="AI227" s="4431"/>
      <c r="AJ227" s="782">
        <f t="shared" si="363"/>
        <v>299.58</v>
      </c>
      <c r="AK227" s="4430"/>
      <c r="AL227" s="4406"/>
      <c r="AM227" s="4433"/>
      <c r="AN227" s="781">
        <f t="shared" si="364"/>
        <v>185.19</v>
      </c>
      <c r="AO227" s="4431"/>
      <c r="AP227" s="782">
        <f t="shared" si="365"/>
        <v>299.58</v>
      </c>
      <c r="AQ227" s="4430"/>
      <c r="AR227" s="4406">
        <v>121.22</v>
      </c>
      <c r="AS227" s="4431"/>
      <c r="AT227" s="782">
        <f t="shared" si="366"/>
        <v>420.79999999999995</v>
      </c>
      <c r="AU227" s="4430"/>
      <c r="AV227" s="4406"/>
      <c r="AW227" s="4431"/>
      <c r="AX227" s="782">
        <f t="shared" si="367"/>
        <v>420.79999999999995</v>
      </c>
      <c r="AY227" s="4430"/>
      <c r="AZ227" s="4406"/>
      <c r="BA227" s="4433"/>
      <c r="BB227" s="781">
        <f t="shared" si="371"/>
        <v>121.22</v>
      </c>
      <c r="BC227" s="3643"/>
      <c r="BD227" s="3562">
        <f t="shared" si="372"/>
        <v>306.40999999999997</v>
      </c>
      <c r="BE227" s="3641"/>
      <c r="BF227" s="782">
        <f t="shared" si="373"/>
        <v>420.79999999999995</v>
      </c>
      <c r="BG227" s="26"/>
      <c r="BH227" s="26"/>
      <c r="BI227" s="26"/>
      <c r="BJ227" s="26"/>
      <c r="BK227" s="26"/>
    </row>
    <row r="228" spans="1:63" x14ac:dyDescent="0.25">
      <c r="A228" s="93"/>
      <c r="B228" s="3639" t="s">
        <v>2331</v>
      </c>
      <c r="C228" s="205" t="s">
        <v>50</v>
      </c>
      <c r="D228" s="205"/>
      <c r="E228" s="3640"/>
      <c r="F228" s="1134"/>
      <c r="G228" s="3640"/>
      <c r="H228" s="1134"/>
      <c r="I228" s="3641"/>
      <c r="J228" s="782">
        <f t="shared" si="346"/>
        <v>0</v>
      </c>
      <c r="K228" s="3640"/>
      <c r="L228" s="1134"/>
      <c r="M228" s="3642"/>
      <c r="N228" s="781">
        <f t="shared" si="347"/>
        <v>0</v>
      </c>
      <c r="O228" s="3640"/>
      <c r="P228" s="1134"/>
      <c r="Q228" s="3641"/>
      <c r="R228" s="782">
        <f t="shared" si="348"/>
        <v>0</v>
      </c>
      <c r="S228" s="3640"/>
      <c r="T228" s="1134"/>
      <c r="U228" s="3641"/>
      <c r="V228" s="782">
        <f t="shared" si="349"/>
        <v>0</v>
      </c>
      <c r="W228" s="3640"/>
      <c r="X228" s="1134"/>
      <c r="Y228" s="3642"/>
      <c r="Z228" s="781">
        <f t="shared" si="350"/>
        <v>0</v>
      </c>
      <c r="AA228" s="3643"/>
      <c r="AB228" s="3562">
        <f t="shared" si="351"/>
        <v>0</v>
      </c>
      <c r="AC228" s="3640"/>
      <c r="AD228" s="1134"/>
      <c r="AE228" s="3641"/>
      <c r="AF228" s="782">
        <f t="shared" si="352"/>
        <v>0</v>
      </c>
      <c r="AG228" s="3640"/>
      <c r="AH228" s="1134"/>
      <c r="AI228" s="3641"/>
      <c r="AJ228" s="782"/>
      <c r="AK228" s="3640"/>
      <c r="AL228" s="1134"/>
      <c r="AM228" s="3642"/>
      <c r="AN228" s="781">
        <f t="shared" si="364"/>
        <v>0</v>
      </c>
      <c r="AO228" s="3641"/>
      <c r="AP228" s="782">
        <f t="shared" si="365"/>
        <v>0</v>
      </c>
      <c r="AQ228" s="3640"/>
      <c r="AR228" s="1134"/>
      <c r="AS228" s="3641"/>
      <c r="AT228" s="782">
        <f t="shared" si="366"/>
        <v>0</v>
      </c>
      <c r="AU228" s="3640"/>
      <c r="AV228" s="1134"/>
      <c r="AW228" s="3641"/>
      <c r="AX228" s="782">
        <f t="shared" si="367"/>
        <v>0</v>
      </c>
      <c r="AY228" s="3640"/>
      <c r="AZ228" s="1134"/>
      <c r="BA228" s="3642"/>
      <c r="BB228" s="781"/>
      <c r="BC228" s="3643"/>
      <c r="BD228" s="3562"/>
      <c r="BE228" s="3641"/>
      <c r="BF228" s="782"/>
      <c r="BG228" s="26"/>
      <c r="BH228" s="26"/>
      <c r="BI228" s="26"/>
      <c r="BJ228" s="26"/>
      <c r="BK228" s="26"/>
    </row>
    <row r="229" spans="1:63" x14ac:dyDescent="0.25">
      <c r="A229" s="93"/>
      <c r="B229" s="3644" t="s">
        <v>696</v>
      </c>
      <c r="C229" s="159" t="s">
        <v>50</v>
      </c>
      <c r="D229" s="159"/>
      <c r="E229" s="3640"/>
      <c r="F229" s="1134"/>
      <c r="G229" s="3640"/>
      <c r="H229" s="1134"/>
      <c r="I229" s="3641"/>
      <c r="J229" s="782">
        <f t="shared" si="346"/>
        <v>0</v>
      </c>
      <c r="K229" s="3640"/>
      <c r="L229" s="1134"/>
      <c r="M229" s="3642"/>
      <c r="N229" s="781">
        <f t="shared" si="347"/>
        <v>0</v>
      </c>
      <c r="O229" s="3640"/>
      <c r="P229" s="1134"/>
      <c r="Q229" s="3641"/>
      <c r="R229" s="782">
        <f t="shared" si="348"/>
        <v>0</v>
      </c>
      <c r="S229" s="3640"/>
      <c r="T229" s="1134">
        <v>158.79</v>
      </c>
      <c r="U229" s="3641"/>
      <c r="V229" s="782">
        <f t="shared" si="349"/>
        <v>158.79</v>
      </c>
      <c r="W229" s="3640"/>
      <c r="X229" s="1134">
        <v>39.89</v>
      </c>
      <c r="Y229" s="3642"/>
      <c r="Z229" s="781">
        <f t="shared" si="350"/>
        <v>198.68</v>
      </c>
      <c r="AA229" s="3643"/>
      <c r="AB229" s="3562">
        <f t="shared" si="351"/>
        <v>198.68</v>
      </c>
      <c r="AC229" s="3640"/>
      <c r="AD229" s="1134"/>
      <c r="AE229" s="3641"/>
      <c r="AF229" s="782">
        <f t="shared" si="352"/>
        <v>198.68</v>
      </c>
      <c r="AG229" s="3640"/>
      <c r="AH229" s="1134"/>
      <c r="AI229" s="3641"/>
      <c r="AJ229" s="782">
        <f t="shared" si="363"/>
        <v>198.68</v>
      </c>
      <c r="AK229" s="3640"/>
      <c r="AL229" s="1134"/>
      <c r="AM229" s="3642"/>
      <c r="AN229" s="781">
        <f t="shared" si="364"/>
        <v>0</v>
      </c>
      <c r="AO229" s="3641"/>
      <c r="AP229" s="782">
        <f t="shared" si="365"/>
        <v>198.68</v>
      </c>
      <c r="AQ229" s="3640"/>
      <c r="AR229" s="1134"/>
      <c r="AS229" s="3641"/>
      <c r="AT229" s="782">
        <f t="shared" si="366"/>
        <v>198.68</v>
      </c>
      <c r="AU229" s="3640"/>
      <c r="AV229" s="1134"/>
      <c r="AW229" s="3641"/>
      <c r="AX229" s="782">
        <f t="shared" si="367"/>
        <v>198.68</v>
      </c>
      <c r="AY229" s="3640"/>
      <c r="AZ229" s="1134"/>
      <c r="BA229" s="3642"/>
      <c r="BB229" s="781">
        <f t="shared" si="371"/>
        <v>0</v>
      </c>
      <c r="BC229" s="3643"/>
      <c r="BD229" s="3562">
        <f t="shared" si="372"/>
        <v>0</v>
      </c>
      <c r="BE229" s="3641"/>
      <c r="BF229" s="782">
        <f t="shared" si="373"/>
        <v>198.68</v>
      </c>
      <c r="BG229" s="26"/>
      <c r="BH229" s="26"/>
      <c r="BI229" s="26"/>
      <c r="BJ229" s="26"/>
      <c r="BK229" s="26"/>
    </row>
    <row r="230" spans="1:63" ht="21.2" customHeight="1" x14ac:dyDescent="0.25">
      <c r="A230" s="154"/>
      <c r="B230" s="3639" t="s">
        <v>1947</v>
      </c>
      <c r="C230" s="205" t="s">
        <v>50</v>
      </c>
      <c r="D230" s="159"/>
      <c r="E230" s="3640"/>
      <c r="F230" s="1134"/>
      <c r="G230" s="3640"/>
      <c r="H230" s="1134"/>
      <c r="I230" s="3641"/>
      <c r="J230" s="782">
        <f t="shared" si="346"/>
        <v>0</v>
      </c>
      <c r="K230" s="3640"/>
      <c r="L230" s="1134"/>
      <c r="M230" s="3642"/>
      <c r="N230" s="781">
        <f t="shared" si="347"/>
        <v>0</v>
      </c>
      <c r="O230" s="3640"/>
      <c r="P230" s="1134"/>
      <c r="Q230" s="3641"/>
      <c r="R230" s="782">
        <f t="shared" si="348"/>
        <v>0</v>
      </c>
      <c r="S230" s="3640"/>
      <c r="T230" s="1134"/>
      <c r="U230" s="3641"/>
      <c r="V230" s="782">
        <f t="shared" si="349"/>
        <v>0</v>
      </c>
      <c r="W230" s="3640"/>
      <c r="X230" s="1134"/>
      <c r="Y230" s="3642"/>
      <c r="Z230" s="781">
        <f t="shared" si="350"/>
        <v>0</v>
      </c>
      <c r="AA230" s="3643"/>
      <c r="AB230" s="3562">
        <f t="shared" si="351"/>
        <v>0</v>
      </c>
      <c r="AC230" s="3640"/>
      <c r="AD230" s="1134">
        <v>40.049999999999997</v>
      </c>
      <c r="AE230" s="3641"/>
      <c r="AF230" s="782">
        <f t="shared" si="352"/>
        <v>40.049999999999997</v>
      </c>
      <c r="AG230" s="3640"/>
      <c r="AH230" s="1134"/>
      <c r="AI230" s="3641"/>
      <c r="AJ230" s="782">
        <f t="shared" si="363"/>
        <v>40.049999999999997</v>
      </c>
      <c r="AK230" s="3640"/>
      <c r="AL230" s="1134"/>
      <c r="AM230" s="3642"/>
      <c r="AN230" s="781">
        <f t="shared" si="364"/>
        <v>40.049999999999997</v>
      </c>
      <c r="AO230" s="3641"/>
      <c r="AP230" s="782">
        <f t="shared" si="365"/>
        <v>40.049999999999997</v>
      </c>
      <c r="AQ230" s="3640"/>
      <c r="AR230" s="1134"/>
      <c r="AS230" s="3641"/>
      <c r="AT230" s="782">
        <f t="shared" si="366"/>
        <v>40.049999999999997</v>
      </c>
      <c r="AU230" s="3640"/>
      <c r="AV230" s="1134"/>
      <c r="AW230" s="3641"/>
      <c r="AX230" s="782">
        <f t="shared" si="367"/>
        <v>40.049999999999997</v>
      </c>
      <c r="AY230" s="3640"/>
      <c r="AZ230" s="1134"/>
      <c r="BA230" s="3642"/>
      <c r="BB230" s="781">
        <f t="shared" si="371"/>
        <v>0</v>
      </c>
      <c r="BC230" s="3643"/>
      <c r="BD230" s="3562">
        <f t="shared" si="372"/>
        <v>40.049999999999997</v>
      </c>
      <c r="BE230" s="3641"/>
      <c r="BF230" s="782">
        <f t="shared" si="373"/>
        <v>40.049999999999997</v>
      </c>
      <c r="BG230" s="26"/>
      <c r="BH230" s="26"/>
      <c r="BI230" s="26"/>
      <c r="BJ230" s="26"/>
      <c r="BK230" s="26"/>
    </row>
    <row r="231" spans="1:63" x14ac:dyDescent="0.25">
      <c r="A231" s="154"/>
      <c r="B231" s="3644" t="s">
        <v>696</v>
      </c>
      <c r="C231" s="159" t="s">
        <v>50</v>
      </c>
      <c r="D231" s="159"/>
      <c r="E231" s="3640"/>
      <c r="F231" s="1134"/>
      <c r="G231" s="3640"/>
      <c r="H231" s="1134"/>
      <c r="I231" s="3641"/>
      <c r="J231" s="782">
        <f t="shared" si="346"/>
        <v>0</v>
      </c>
      <c r="K231" s="3640"/>
      <c r="L231" s="1134"/>
      <c r="M231" s="3642"/>
      <c r="N231" s="781">
        <f t="shared" si="347"/>
        <v>0</v>
      </c>
      <c r="O231" s="3640"/>
      <c r="P231" s="1134"/>
      <c r="Q231" s="3641"/>
      <c r="R231" s="782">
        <f t="shared" si="348"/>
        <v>0</v>
      </c>
      <c r="S231" s="3640"/>
      <c r="T231" s="1134"/>
      <c r="U231" s="3641"/>
      <c r="V231" s="782">
        <f t="shared" si="349"/>
        <v>0</v>
      </c>
      <c r="W231" s="3640"/>
      <c r="X231" s="1134"/>
      <c r="Y231" s="3642"/>
      <c r="Z231" s="781">
        <f t="shared" si="350"/>
        <v>0</v>
      </c>
      <c r="AA231" s="3643"/>
      <c r="AB231" s="3562">
        <f t="shared" si="351"/>
        <v>0</v>
      </c>
      <c r="AC231" s="3640"/>
      <c r="AD231" s="1134"/>
      <c r="AE231" s="3641"/>
      <c r="AF231" s="782">
        <f t="shared" si="352"/>
        <v>0</v>
      </c>
      <c r="AG231" s="3640"/>
      <c r="AH231" s="1134"/>
      <c r="AI231" s="3641"/>
      <c r="AJ231" s="782">
        <f t="shared" ref="AJ231:AJ232" si="374">AF231+AH231</f>
        <v>0</v>
      </c>
      <c r="AK231" s="3640"/>
      <c r="AL231" s="1134"/>
      <c r="AM231" s="3642"/>
      <c r="AN231" s="781">
        <f t="shared" si="364"/>
        <v>0</v>
      </c>
      <c r="AO231" s="3641"/>
      <c r="AP231" s="782">
        <f t="shared" si="365"/>
        <v>0</v>
      </c>
      <c r="AQ231" s="3640"/>
      <c r="AR231" s="1134"/>
      <c r="AS231" s="3641"/>
      <c r="AT231" s="782">
        <f t="shared" ref="AT231:AT232" si="375">AP231+AR231</f>
        <v>0</v>
      </c>
      <c r="AU231" s="3640"/>
      <c r="AV231" s="1134"/>
      <c r="AW231" s="3641"/>
      <c r="AX231" s="782">
        <f t="shared" si="367"/>
        <v>0</v>
      </c>
      <c r="AY231" s="3640"/>
      <c r="AZ231" s="1134"/>
      <c r="BA231" s="3642"/>
      <c r="BB231" s="781">
        <f t="shared" ref="BB231" si="376">AR231+AV231+AZ231</f>
        <v>0</v>
      </c>
      <c r="BC231" s="3643"/>
      <c r="BD231" s="3562">
        <f t="shared" ref="BD231" si="377">AN231+BB231</f>
        <v>0</v>
      </c>
      <c r="BE231" s="3641"/>
      <c r="BF231" s="782">
        <f t="shared" ref="BF231:BF232" si="378">AX231+AZ231</f>
        <v>0</v>
      </c>
      <c r="BG231" s="26"/>
      <c r="BH231" s="26"/>
      <c r="BI231" s="26"/>
      <c r="BJ231" s="26"/>
      <c r="BK231" s="26"/>
    </row>
    <row r="232" spans="1:63" ht="20.25" customHeight="1" x14ac:dyDescent="0.25">
      <c r="A232" s="154"/>
      <c r="B232" s="3645" t="s">
        <v>2</v>
      </c>
      <c r="C232" s="159" t="s">
        <v>50</v>
      </c>
      <c r="D232" s="1201">
        <f>+D9</f>
        <v>60000.000000000007</v>
      </c>
      <c r="E232" s="1201">
        <f>+E9</f>
        <v>5454.545454545455</v>
      </c>
      <c r="F232" s="457">
        <f>SUM(F218:F231)</f>
        <v>40.54</v>
      </c>
      <c r="G232" s="1201">
        <f>+G9</f>
        <v>5454.545454545455</v>
      </c>
      <c r="H232" s="457">
        <f>SUM(H218:H231)</f>
        <v>114.39</v>
      </c>
      <c r="I232" s="782">
        <f>E232+G232</f>
        <v>10909.09090909091</v>
      </c>
      <c r="J232" s="782">
        <f t="shared" si="346"/>
        <v>154.93</v>
      </c>
      <c r="K232" s="1201">
        <f>+K9</f>
        <v>5454.545454545455</v>
      </c>
      <c r="L232" s="457">
        <f>SUM(L218:L231)</f>
        <v>0</v>
      </c>
      <c r="M232" s="781">
        <f>E232+G232+K232</f>
        <v>16363.636363636364</v>
      </c>
      <c r="N232" s="781">
        <f t="shared" si="347"/>
        <v>154.93</v>
      </c>
      <c r="O232" s="1201">
        <f>+O9</f>
        <v>5454.545454545455</v>
      </c>
      <c r="P232" s="457">
        <f>SUM(P218:P231)</f>
        <v>38.94</v>
      </c>
      <c r="Q232" s="782">
        <f>M232+O232</f>
        <v>21818.18181818182</v>
      </c>
      <c r="R232" s="782">
        <f t="shared" si="348"/>
        <v>193.87</v>
      </c>
      <c r="S232" s="1201">
        <f>+S9</f>
        <v>5454.545454545455</v>
      </c>
      <c r="T232" s="457">
        <f>SUM(T218:T231)</f>
        <v>158.79</v>
      </c>
      <c r="U232" s="782">
        <f>Q232+S232</f>
        <v>27272.727272727276</v>
      </c>
      <c r="V232" s="782">
        <f t="shared" si="349"/>
        <v>352.65999999999997</v>
      </c>
      <c r="W232" s="1201">
        <f>+W9</f>
        <v>0</v>
      </c>
      <c r="X232" s="457">
        <f>SUM(X218:X231)</f>
        <v>39.89</v>
      </c>
      <c r="Y232" s="781">
        <f>O232+S232+W232</f>
        <v>10909.09090909091</v>
      </c>
      <c r="Z232" s="781">
        <f t="shared" si="350"/>
        <v>237.62</v>
      </c>
      <c r="AA232" s="3562">
        <f>M232+Y232</f>
        <v>27272.727272727272</v>
      </c>
      <c r="AB232" s="3562">
        <f t="shared" si="351"/>
        <v>392.55</v>
      </c>
      <c r="AC232" s="1201">
        <f>+AC9</f>
        <v>5000</v>
      </c>
      <c r="AD232" s="457">
        <f>SUM(AD218:AD231)</f>
        <v>40.049999999999997</v>
      </c>
      <c r="AE232" s="782">
        <f>AA232+AC232</f>
        <v>32272.727272727272</v>
      </c>
      <c r="AF232" s="782">
        <f t="shared" si="352"/>
        <v>432.6</v>
      </c>
      <c r="AG232" s="1201">
        <f>+AG9</f>
        <v>5000</v>
      </c>
      <c r="AH232" s="457">
        <f>SUM(AH218:AH231)</f>
        <v>185.19</v>
      </c>
      <c r="AI232" s="782">
        <f>AE232+AG232</f>
        <v>37272.727272727272</v>
      </c>
      <c r="AJ232" s="376">
        <f t="shared" si="374"/>
        <v>617.79</v>
      </c>
      <c r="AK232" s="1201">
        <f>+AK9</f>
        <v>5000</v>
      </c>
      <c r="AL232" s="457">
        <f>SUM(AL218:AL231)</f>
        <v>95.860000000000014</v>
      </c>
      <c r="AM232" s="781">
        <f>AC232+AG232+AK232</f>
        <v>15000</v>
      </c>
      <c r="AN232" s="378">
        <f>AD232+AH232+AL232</f>
        <v>321.10000000000002</v>
      </c>
      <c r="AO232" s="782">
        <f t="shared" ref="AO232:AP232" si="379">AI232+AK232</f>
        <v>42272.727272727272</v>
      </c>
      <c r="AP232" s="376">
        <f t="shared" si="379"/>
        <v>713.65</v>
      </c>
      <c r="AQ232" s="1201">
        <f>+AQ9</f>
        <v>5000</v>
      </c>
      <c r="AR232" s="457">
        <f>SUM(AR218:AR231)</f>
        <v>121.22</v>
      </c>
      <c r="AS232" s="782">
        <f>AO232+AQ232</f>
        <v>47272.727272727272</v>
      </c>
      <c r="AT232" s="376">
        <f t="shared" si="375"/>
        <v>834.87</v>
      </c>
      <c r="AU232" s="1201">
        <f>+AU9</f>
        <v>5000</v>
      </c>
      <c r="AV232" s="457">
        <f>SUM(AV218:AV231)</f>
        <v>0</v>
      </c>
      <c r="AW232" s="782">
        <f>AS232+AU232</f>
        <v>52272.727272727272</v>
      </c>
      <c r="AX232" s="376">
        <f t="shared" si="367"/>
        <v>834.87</v>
      </c>
      <c r="AY232" s="1201">
        <f>+AY9</f>
        <v>5000</v>
      </c>
      <c r="AZ232" s="457">
        <f>SUM(AZ218:AZ231)</f>
        <v>0</v>
      </c>
      <c r="BA232" s="781">
        <f>AQ232+AU232+AY232</f>
        <v>15000</v>
      </c>
      <c r="BB232" s="378">
        <f>AR232+AV232+AZ232</f>
        <v>121.22</v>
      </c>
      <c r="BC232" s="3562">
        <f t="shared" ref="BC232" si="380">AM232+BA232</f>
        <v>30000</v>
      </c>
      <c r="BD232" s="3565">
        <f>AN232+BB232</f>
        <v>442.32000000000005</v>
      </c>
      <c r="BE232" s="782">
        <f>AW232+AY232</f>
        <v>57272.727272727272</v>
      </c>
      <c r="BF232" s="376">
        <f t="shared" si="378"/>
        <v>834.87</v>
      </c>
      <c r="BG232" s="26"/>
      <c r="BH232" s="26"/>
      <c r="BI232" s="26"/>
      <c r="BJ232" s="26"/>
      <c r="BK232" s="26"/>
    </row>
    <row r="233" spans="1:63" ht="20.25" customHeight="1" x14ac:dyDescent="0.25">
      <c r="A233" s="154"/>
      <c r="B233" s="3646"/>
      <c r="C233" s="642"/>
      <c r="D233" s="642"/>
      <c r="E233" s="642"/>
      <c r="F233" s="1345"/>
      <c r="G233" s="642"/>
      <c r="H233" s="1345"/>
      <c r="I233" s="874"/>
      <c r="J233" s="782">
        <f t="shared" si="346"/>
        <v>0</v>
      </c>
      <c r="K233" s="642"/>
      <c r="L233" s="1345"/>
      <c r="M233" s="875"/>
      <c r="N233" s="781">
        <f t="shared" si="347"/>
        <v>0</v>
      </c>
      <c r="O233" s="642"/>
      <c r="P233" s="1345"/>
      <c r="Q233" s="874"/>
      <c r="R233" s="782">
        <f t="shared" si="348"/>
        <v>0</v>
      </c>
      <c r="S233" s="642"/>
      <c r="T233" s="1345"/>
      <c r="U233" s="874"/>
      <c r="V233" s="782">
        <f t="shared" si="349"/>
        <v>0</v>
      </c>
      <c r="W233" s="642"/>
      <c r="X233" s="1345"/>
      <c r="Y233" s="875"/>
      <c r="Z233" s="781">
        <f t="shared" si="350"/>
        <v>0</v>
      </c>
      <c r="AA233" s="3648"/>
      <c r="AB233" s="3562">
        <f t="shared" si="351"/>
        <v>0</v>
      </c>
      <c r="AC233" s="642"/>
      <c r="AD233" s="1345"/>
      <c r="AE233" s="874"/>
      <c r="AF233" s="782">
        <f t="shared" si="352"/>
        <v>0</v>
      </c>
      <c r="AG233" s="642"/>
      <c r="AH233" s="1345"/>
      <c r="AI233" s="874"/>
      <c r="AJ233" s="3647"/>
      <c r="AK233" s="642"/>
      <c r="AL233" s="1345"/>
      <c r="AM233" s="875"/>
      <c r="AN233" s="1725"/>
      <c r="AO233" s="874"/>
      <c r="AP233" s="3647"/>
      <c r="AQ233" s="642"/>
      <c r="AR233" s="1345"/>
      <c r="AS233" s="874"/>
      <c r="AT233" s="3647"/>
      <c r="AU233" s="642"/>
      <c r="AV233" s="1345"/>
      <c r="AW233" s="874"/>
      <c r="AX233" s="3647"/>
      <c r="AY233" s="642"/>
      <c r="AZ233" s="1345"/>
      <c r="BA233" s="875"/>
      <c r="BB233" s="1725"/>
      <c r="BC233" s="3648"/>
      <c r="BD233" s="3649"/>
      <c r="BE233" s="874"/>
      <c r="BF233" s="3647"/>
      <c r="BG233" s="26"/>
      <c r="BH233" s="26"/>
      <c r="BI233" s="26"/>
      <c r="BJ233" s="26"/>
      <c r="BK233" s="26"/>
    </row>
    <row r="234" spans="1:63" ht="40.5" customHeight="1" x14ac:dyDescent="0.25">
      <c r="A234" s="154"/>
      <c r="B234" s="3650" t="s">
        <v>320</v>
      </c>
      <c r="C234" s="3561" t="s">
        <v>850</v>
      </c>
      <c r="D234" s="3561"/>
      <c r="E234" s="3561"/>
      <c r="F234" s="3561"/>
      <c r="G234" s="3561"/>
      <c r="H234" s="3561"/>
      <c r="I234" s="3651"/>
      <c r="J234" s="782">
        <f t="shared" si="346"/>
        <v>0</v>
      </c>
      <c r="K234" s="3561"/>
      <c r="L234" s="3561"/>
      <c r="M234" s="3652"/>
      <c r="N234" s="781">
        <f t="shared" si="347"/>
        <v>0</v>
      </c>
      <c r="O234" s="3561"/>
      <c r="P234" s="3561"/>
      <c r="Q234" s="3651"/>
      <c r="R234" s="782">
        <f t="shared" si="348"/>
        <v>0</v>
      </c>
      <c r="S234" s="3561"/>
      <c r="T234" s="3561"/>
      <c r="U234" s="3651"/>
      <c r="V234" s="782">
        <f t="shared" si="349"/>
        <v>0</v>
      </c>
      <c r="W234" s="3561"/>
      <c r="X234" s="3561"/>
      <c r="Y234" s="3652"/>
      <c r="Z234" s="781">
        <f t="shared" si="350"/>
        <v>0</v>
      </c>
      <c r="AA234" s="3653"/>
      <c r="AB234" s="3562">
        <f t="shared" si="351"/>
        <v>0</v>
      </c>
      <c r="AC234" s="3561"/>
      <c r="AD234" s="3561"/>
      <c r="AE234" s="3651"/>
      <c r="AF234" s="782">
        <f t="shared" si="352"/>
        <v>0</v>
      </c>
      <c r="AG234" s="3561"/>
      <c r="AH234" s="3561"/>
      <c r="AI234" s="3651"/>
      <c r="AJ234" s="3651"/>
      <c r="AK234" s="3561"/>
      <c r="AL234" s="3561"/>
      <c r="AM234" s="3652"/>
      <c r="AN234" s="3652"/>
      <c r="AO234" s="3651"/>
      <c r="AP234" s="3651"/>
      <c r="AQ234" s="3561"/>
      <c r="AR234" s="3561"/>
      <c r="AS234" s="3651"/>
      <c r="AT234" s="3651"/>
      <c r="AU234" s="3561"/>
      <c r="AV234" s="3561"/>
      <c r="AW234" s="3651"/>
      <c r="AX234" s="3651"/>
      <c r="AY234" s="3561"/>
      <c r="AZ234" s="3561"/>
      <c r="BA234" s="3652"/>
      <c r="BB234" s="3652"/>
      <c r="BC234" s="3653"/>
      <c r="BD234" s="3653"/>
      <c r="BE234" s="3651"/>
      <c r="BF234" s="3651"/>
      <c r="BG234" s="26"/>
      <c r="BH234" s="26"/>
      <c r="BI234" s="26"/>
      <c r="BJ234" s="26"/>
      <c r="BK234" s="26"/>
    </row>
    <row r="235" spans="1:63" ht="20.25" customHeight="1" x14ac:dyDescent="0.25">
      <c r="A235" s="154"/>
      <c r="B235" s="3654" t="s">
        <v>858</v>
      </c>
      <c r="C235" s="3616" t="s">
        <v>876</v>
      </c>
      <c r="D235" s="3616"/>
      <c r="E235" s="3655"/>
      <c r="F235" s="1134"/>
      <c r="G235" s="3655"/>
      <c r="H235" s="1134"/>
      <c r="I235" s="3656"/>
      <c r="J235" s="782">
        <f t="shared" si="346"/>
        <v>0</v>
      </c>
      <c r="K235" s="3655"/>
      <c r="L235" s="1134"/>
      <c r="M235" s="3657"/>
      <c r="N235" s="781">
        <f t="shared" si="347"/>
        <v>0</v>
      </c>
      <c r="O235" s="3655"/>
      <c r="P235" s="1134"/>
      <c r="Q235" s="3656"/>
      <c r="R235" s="782">
        <f t="shared" si="348"/>
        <v>0</v>
      </c>
      <c r="S235" s="3655"/>
      <c r="T235" s="1134"/>
      <c r="U235" s="3656"/>
      <c r="V235" s="782">
        <f t="shared" si="349"/>
        <v>0</v>
      </c>
      <c r="W235" s="3655"/>
      <c r="X235" s="1134"/>
      <c r="Y235" s="3657"/>
      <c r="Z235" s="781">
        <f t="shared" si="350"/>
        <v>0</v>
      </c>
      <c r="AA235" s="3658"/>
      <c r="AB235" s="3562">
        <f t="shared" si="351"/>
        <v>0</v>
      </c>
      <c r="AC235" s="3655"/>
      <c r="AD235" s="1134"/>
      <c r="AE235" s="3656"/>
      <c r="AF235" s="782">
        <f t="shared" si="352"/>
        <v>0</v>
      </c>
      <c r="AG235" s="3655"/>
      <c r="AH235" s="1134"/>
      <c r="AI235" s="3656"/>
      <c r="AJ235" s="782">
        <f>AF235+AH235</f>
        <v>0</v>
      </c>
      <c r="AK235" s="3655"/>
      <c r="AL235" s="1134"/>
      <c r="AM235" s="3657"/>
      <c r="AN235" s="446">
        <f t="shared" ref="AN235:AN273" si="381">AD235+AH235+AL235</f>
        <v>0</v>
      </c>
      <c r="AO235" s="3656"/>
      <c r="AP235" s="782">
        <f t="shared" ref="AO235:AP276" si="382">AJ235+AL235</f>
        <v>0</v>
      </c>
      <c r="AQ235" s="3655"/>
      <c r="AR235" s="1134"/>
      <c r="AS235" s="3656"/>
      <c r="AT235" s="782">
        <f>AP235+AR235</f>
        <v>0</v>
      </c>
      <c r="AU235" s="3655"/>
      <c r="AV235" s="1134"/>
      <c r="AW235" s="3656"/>
      <c r="AX235" s="782">
        <f>AT235+AV235</f>
        <v>0</v>
      </c>
      <c r="AY235" s="3655"/>
      <c r="AZ235" s="1134"/>
      <c r="BA235" s="3657"/>
      <c r="BB235" s="446">
        <f t="shared" ref="BB235:BB270" si="383">AR235+AV235+AZ235</f>
        <v>0</v>
      </c>
      <c r="BC235" s="3658"/>
      <c r="BD235" s="3562">
        <f t="shared" ref="BD235:BD272" si="384">AN235+BB235</f>
        <v>0</v>
      </c>
      <c r="BE235" s="3656"/>
      <c r="BF235" s="782">
        <f>AX235+AZ235</f>
        <v>0</v>
      </c>
      <c r="BG235" s="26"/>
      <c r="BH235" s="26"/>
      <c r="BI235" s="26"/>
      <c r="BJ235" s="26"/>
      <c r="BK235" s="26"/>
    </row>
    <row r="236" spans="1:63" ht="15.75" thickBot="1" x14ac:dyDescent="0.3">
      <c r="A236" s="154"/>
      <c r="B236" s="4832" t="s">
        <v>858</v>
      </c>
      <c r="C236" s="4833" t="s">
        <v>885</v>
      </c>
      <c r="D236" s="4833"/>
      <c r="E236" s="4834"/>
      <c r="F236" s="4835"/>
      <c r="G236" s="4834"/>
      <c r="H236" s="4835"/>
      <c r="I236" s="4836"/>
      <c r="J236" s="782">
        <f t="shared" si="346"/>
        <v>0</v>
      </c>
      <c r="K236" s="4834"/>
      <c r="L236" s="4835"/>
      <c r="M236" s="4838"/>
      <c r="N236" s="781">
        <f t="shared" si="347"/>
        <v>0</v>
      </c>
      <c r="O236" s="4834"/>
      <c r="P236" s="4835"/>
      <c r="Q236" s="4836"/>
      <c r="R236" s="782">
        <f t="shared" si="348"/>
        <v>0</v>
      </c>
      <c r="S236" s="4834"/>
      <c r="T236" s="4835"/>
      <c r="U236" s="4836"/>
      <c r="V236" s="782">
        <f t="shared" si="349"/>
        <v>0</v>
      </c>
      <c r="W236" s="4834"/>
      <c r="X236" s="4835"/>
      <c r="Y236" s="4838"/>
      <c r="Z236" s="781">
        <f t="shared" si="350"/>
        <v>0</v>
      </c>
      <c r="AA236" s="4840"/>
      <c r="AB236" s="3562">
        <f t="shared" si="351"/>
        <v>0</v>
      </c>
      <c r="AC236" s="4834"/>
      <c r="AD236" s="4835"/>
      <c r="AE236" s="4836"/>
      <c r="AF236" s="782">
        <f t="shared" si="352"/>
        <v>0</v>
      </c>
      <c r="AG236" s="4834"/>
      <c r="AH236" s="4835"/>
      <c r="AI236" s="4836"/>
      <c r="AJ236" s="4837">
        <f t="shared" ref="AJ236:AJ272" si="385">AF236+AH236</f>
        <v>0</v>
      </c>
      <c r="AK236" s="4834"/>
      <c r="AL236" s="4835"/>
      <c r="AM236" s="4838"/>
      <c r="AN236" s="4839">
        <f t="shared" si="381"/>
        <v>0</v>
      </c>
      <c r="AO236" s="4836"/>
      <c r="AP236" s="4837">
        <f t="shared" si="382"/>
        <v>0</v>
      </c>
      <c r="AQ236" s="4834"/>
      <c r="AR236" s="4835"/>
      <c r="AS236" s="4836"/>
      <c r="AT236" s="4837">
        <f t="shared" ref="AT236:AT267" si="386">AP236+AR236</f>
        <v>0</v>
      </c>
      <c r="AU236" s="4834"/>
      <c r="AV236" s="4835"/>
      <c r="AW236" s="4836"/>
      <c r="AX236" s="4837">
        <f t="shared" ref="AX236:AX267" si="387">AT236+AV236</f>
        <v>0</v>
      </c>
      <c r="AY236" s="4834"/>
      <c r="AZ236" s="4835">
        <v>3717.4</v>
      </c>
      <c r="BA236" s="4838"/>
      <c r="BB236" s="4839">
        <f t="shared" si="383"/>
        <v>3717.4</v>
      </c>
      <c r="BC236" s="4840"/>
      <c r="BD236" s="4841">
        <f t="shared" si="384"/>
        <v>3717.4</v>
      </c>
      <c r="BE236" s="4836"/>
      <c r="BF236" s="4837">
        <f t="shared" ref="BF236:BF270" si="388">AX236+AZ236</f>
        <v>3717.4</v>
      </c>
      <c r="BG236" s="26"/>
      <c r="BH236" s="26"/>
      <c r="BI236" s="26"/>
      <c r="BJ236" s="26"/>
      <c r="BK236" s="26"/>
    </row>
    <row r="237" spans="1:63" ht="15.75" thickBot="1" x14ac:dyDescent="0.3">
      <c r="A237" s="154"/>
      <c r="B237" s="3678" t="s">
        <v>2118</v>
      </c>
      <c r="C237" s="3679" t="s">
        <v>876</v>
      </c>
      <c r="D237" s="3679"/>
      <c r="E237" s="3680"/>
      <c r="F237" s="3052">
        <v>125.06</v>
      </c>
      <c r="G237" s="3680"/>
      <c r="H237" s="3052"/>
      <c r="I237" s="3681"/>
      <c r="J237" s="782">
        <f t="shared" si="346"/>
        <v>125.06</v>
      </c>
      <c r="K237" s="3680"/>
      <c r="L237" s="3052">
        <v>1703.7999999999997</v>
      </c>
      <c r="M237" s="4842"/>
      <c r="N237" s="781">
        <f t="shared" si="347"/>
        <v>1828.8599999999997</v>
      </c>
      <c r="O237" s="3680"/>
      <c r="P237" s="3052">
        <v>318.7</v>
      </c>
      <c r="Q237" s="3681"/>
      <c r="R237" s="782">
        <f t="shared" si="348"/>
        <v>2147.5599999999995</v>
      </c>
      <c r="S237" s="3680"/>
      <c r="T237" s="3052">
        <v>40.93</v>
      </c>
      <c r="U237" s="3681"/>
      <c r="V237" s="782">
        <f t="shared" si="349"/>
        <v>2188.4899999999993</v>
      </c>
      <c r="W237" s="3680"/>
      <c r="X237" s="3052">
        <v>192.64</v>
      </c>
      <c r="Y237" s="4842"/>
      <c r="Z237" s="781">
        <f t="shared" si="350"/>
        <v>552.27</v>
      </c>
      <c r="AA237" s="4843"/>
      <c r="AB237" s="3562">
        <f t="shared" si="351"/>
        <v>2381.1299999999997</v>
      </c>
      <c r="AC237" s="3680"/>
      <c r="AD237" s="3052"/>
      <c r="AE237" s="3681"/>
      <c r="AF237" s="782">
        <f t="shared" si="352"/>
        <v>2381.1299999999997</v>
      </c>
      <c r="AG237" s="3680"/>
      <c r="AH237" s="3052"/>
      <c r="AI237" s="3681"/>
      <c r="AJ237" s="3053"/>
      <c r="AK237" s="3680"/>
      <c r="AL237" s="3052"/>
      <c r="AM237" s="4842"/>
      <c r="AN237" s="1085"/>
      <c r="AO237" s="3681"/>
      <c r="AP237" s="3053"/>
      <c r="AQ237" s="3680"/>
      <c r="AR237" s="3052"/>
      <c r="AS237" s="3681"/>
      <c r="AT237" s="3053"/>
      <c r="AU237" s="3680"/>
      <c r="AV237" s="3052"/>
      <c r="AW237" s="3681"/>
      <c r="AX237" s="4243"/>
      <c r="AY237" s="3680"/>
      <c r="AZ237" s="3052">
        <v>2939.4700000000003</v>
      </c>
      <c r="BA237" s="4842"/>
      <c r="BB237" s="4839">
        <f t="shared" si="383"/>
        <v>2939.4700000000003</v>
      </c>
      <c r="BC237" s="4843"/>
      <c r="BD237" s="4841">
        <f t="shared" si="384"/>
        <v>2939.4700000000003</v>
      </c>
      <c r="BE237" s="3681"/>
      <c r="BF237" s="4837">
        <f t="shared" si="388"/>
        <v>2939.4700000000003</v>
      </c>
      <c r="BG237" s="26"/>
      <c r="BH237" s="26"/>
      <c r="BI237" s="26"/>
      <c r="BJ237" s="26"/>
      <c r="BK237" s="26"/>
    </row>
    <row r="238" spans="1:63" x14ac:dyDescent="0.25">
      <c r="A238" s="154"/>
      <c r="B238" s="4329" t="s">
        <v>857</v>
      </c>
      <c r="C238" s="3622" t="s">
        <v>1149</v>
      </c>
      <c r="D238" s="3622"/>
      <c r="E238" s="3676"/>
      <c r="F238" s="1306">
        <v>2606.42</v>
      </c>
      <c r="G238" s="3676"/>
      <c r="H238" s="1306">
        <v>3329.1699999999996</v>
      </c>
      <c r="I238" s="3677"/>
      <c r="J238" s="782">
        <f t="shared" si="346"/>
        <v>5935.59</v>
      </c>
      <c r="K238" s="3676"/>
      <c r="L238" s="1306">
        <v>2553.2999999999997</v>
      </c>
      <c r="M238" s="4770"/>
      <c r="N238" s="781">
        <f t="shared" si="347"/>
        <v>8488.89</v>
      </c>
      <c r="O238" s="3676"/>
      <c r="P238" s="1306">
        <v>2770.58</v>
      </c>
      <c r="Q238" s="3677"/>
      <c r="R238" s="782">
        <f t="shared" si="348"/>
        <v>11259.47</v>
      </c>
      <c r="S238" s="3676"/>
      <c r="T238" s="1306">
        <v>1418.6100000000001</v>
      </c>
      <c r="U238" s="3677"/>
      <c r="V238" s="782">
        <f t="shared" si="349"/>
        <v>12678.08</v>
      </c>
      <c r="W238" s="3676"/>
      <c r="X238" s="1306">
        <v>763.62000000000012</v>
      </c>
      <c r="Y238" s="4770"/>
      <c r="Z238" s="781">
        <f t="shared" si="350"/>
        <v>4952.8100000000004</v>
      </c>
      <c r="AA238" s="4772"/>
      <c r="AB238" s="3562">
        <f t="shared" si="351"/>
        <v>13441.7</v>
      </c>
      <c r="AC238" s="3676"/>
      <c r="AD238" s="1306"/>
      <c r="AE238" s="3677"/>
      <c r="AF238" s="782">
        <f t="shared" si="352"/>
        <v>13441.7</v>
      </c>
      <c r="AG238" s="3676"/>
      <c r="AH238" s="1306"/>
      <c r="AI238" s="3677"/>
      <c r="AJ238" s="572">
        <f t="shared" si="385"/>
        <v>13441.7</v>
      </c>
      <c r="AK238" s="3676"/>
      <c r="AL238" s="1306">
        <v>3012.9300000000007</v>
      </c>
      <c r="AM238" s="4770"/>
      <c r="AN238" s="4771">
        <f t="shared" si="381"/>
        <v>3012.9300000000007</v>
      </c>
      <c r="AO238" s="3677"/>
      <c r="AP238" s="572">
        <f t="shared" si="382"/>
        <v>16454.63</v>
      </c>
      <c r="AQ238" s="3676"/>
      <c r="AR238" s="1306">
        <v>3426.1200000000003</v>
      </c>
      <c r="AS238" s="3677"/>
      <c r="AT238" s="572">
        <f t="shared" si="386"/>
        <v>19880.75</v>
      </c>
      <c r="AU238" s="3676"/>
      <c r="AV238" s="1306">
        <v>3574.9399999999996</v>
      </c>
      <c r="AW238" s="3677"/>
      <c r="AX238" s="62">
        <f t="shared" si="387"/>
        <v>23455.69</v>
      </c>
      <c r="AY238" s="3676"/>
      <c r="AZ238" s="1306">
        <v>5975.59</v>
      </c>
      <c r="BA238" s="4770"/>
      <c r="BB238" s="4771">
        <f t="shared" si="383"/>
        <v>12976.65</v>
      </c>
      <c r="BC238" s="4772"/>
      <c r="BD238" s="3604">
        <f t="shared" si="384"/>
        <v>15989.58</v>
      </c>
      <c r="BE238" s="3677"/>
      <c r="BF238" s="572">
        <f t="shared" si="388"/>
        <v>29431.279999999999</v>
      </c>
      <c r="BG238" s="26"/>
      <c r="BH238" s="26"/>
      <c r="BI238" s="26"/>
      <c r="BJ238" s="26"/>
      <c r="BK238" s="26"/>
    </row>
    <row r="239" spans="1:63" x14ac:dyDescent="0.25">
      <c r="A239" s="154"/>
      <c r="B239" s="850" t="s">
        <v>857</v>
      </c>
      <c r="C239" s="4773" t="s">
        <v>876</v>
      </c>
      <c r="D239" s="4773"/>
      <c r="E239" s="4774"/>
      <c r="F239" s="4775">
        <v>3109.04</v>
      </c>
      <c r="G239" s="4774"/>
      <c r="H239" s="4775">
        <v>4506.4000000000005</v>
      </c>
      <c r="I239" s="4776"/>
      <c r="J239" s="782">
        <f t="shared" si="346"/>
        <v>7615.4400000000005</v>
      </c>
      <c r="K239" s="4774"/>
      <c r="L239" s="4775">
        <v>4565.2899999999991</v>
      </c>
      <c r="M239" s="4777"/>
      <c r="N239" s="781">
        <f t="shared" si="347"/>
        <v>12180.73</v>
      </c>
      <c r="O239" s="4774"/>
      <c r="P239" s="4775">
        <v>6944.8000000000011</v>
      </c>
      <c r="Q239" s="4776"/>
      <c r="R239" s="782">
        <f t="shared" si="348"/>
        <v>19125.53</v>
      </c>
      <c r="S239" s="4774"/>
      <c r="T239" s="4775">
        <v>5187.9499999999989</v>
      </c>
      <c r="U239" s="4776"/>
      <c r="V239" s="782">
        <f t="shared" si="349"/>
        <v>24313.479999999996</v>
      </c>
      <c r="W239" s="4774"/>
      <c r="X239" s="4775">
        <v>2448.8000000000002</v>
      </c>
      <c r="Y239" s="4777"/>
      <c r="Z239" s="781">
        <f t="shared" si="350"/>
        <v>14581.55</v>
      </c>
      <c r="AA239" s="4780"/>
      <c r="AB239" s="3562">
        <f t="shared" si="351"/>
        <v>26762.28</v>
      </c>
      <c r="AC239" s="4774"/>
      <c r="AD239" s="4775">
        <v>11434.650000000003</v>
      </c>
      <c r="AE239" s="4776"/>
      <c r="AF239" s="782">
        <f t="shared" si="352"/>
        <v>38196.93</v>
      </c>
      <c r="AG239" s="4774"/>
      <c r="AH239" s="4775">
        <v>129.6</v>
      </c>
      <c r="AI239" s="4776"/>
      <c r="AJ239" s="4778">
        <f t="shared" si="385"/>
        <v>38326.53</v>
      </c>
      <c r="AK239" s="4774"/>
      <c r="AL239" s="4775">
        <v>5503.0200000000013</v>
      </c>
      <c r="AM239" s="4777"/>
      <c r="AN239" s="4779">
        <f t="shared" si="381"/>
        <v>17067.270000000004</v>
      </c>
      <c r="AO239" s="4776"/>
      <c r="AP239" s="4778">
        <f t="shared" si="382"/>
        <v>43829.55</v>
      </c>
      <c r="AQ239" s="4774"/>
      <c r="AR239" s="4775">
        <v>5785.7599999999984</v>
      </c>
      <c r="AS239" s="4776"/>
      <c r="AT239" s="4778">
        <f t="shared" si="386"/>
        <v>49615.31</v>
      </c>
      <c r="AU239" s="4774"/>
      <c r="AV239" s="4775">
        <v>5430.1399999999976</v>
      </c>
      <c r="AW239" s="4776"/>
      <c r="AX239" s="39">
        <f t="shared" si="387"/>
        <v>55045.45</v>
      </c>
      <c r="AY239" s="4774"/>
      <c r="AZ239" s="4775">
        <v>5447.7900000000018</v>
      </c>
      <c r="BA239" s="3657"/>
      <c r="BB239" s="4771">
        <f t="shared" si="383"/>
        <v>16663.689999999999</v>
      </c>
      <c r="BC239" s="3658"/>
      <c r="BD239" s="3604">
        <f t="shared" si="384"/>
        <v>33730.960000000006</v>
      </c>
      <c r="BE239" s="3656"/>
      <c r="BF239" s="572">
        <f t="shared" si="388"/>
        <v>60493.24</v>
      </c>
      <c r="BG239" s="26"/>
      <c r="BH239" s="26"/>
      <c r="BI239" s="26"/>
      <c r="BJ239" s="26"/>
      <c r="BK239" s="26"/>
    </row>
    <row r="240" spans="1:63" x14ac:dyDescent="0.25">
      <c r="A240" s="154"/>
      <c r="B240" s="850" t="s">
        <v>857</v>
      </c>
      <c r="C240" s="4773" t="s">
        <v>885</v>
      </c>
      <c r="D240" s="4773"/>
      <c r="E240" s="4774"/>
      <c r="F240" s="4775">
        <v>4228.2300000000005</v>
      </c>
      <c r="G240" s="4774"/>
      <c r="H240" s="4775">
        <v>6571.0600000000022</v>
      </c>
      <c r="I240" s="4776"/>
      <c r="J240" s="782">
        <f t="shared" si="346"/>
        <v>10799.290000000003</v>
      </c>
      <c r="K240" s="4774"/>
      <c r="L240" s="4775">
        <v>9076.2199999999993</v>
      </c>
      <c r="M240" s="4777"/>
      <c r="N240" s="781">
        <f t="shared" si="347"/>
        <v>19875.510000000002</v>
      </c>
      <c r="O240" s="4774"/>
      <c r="P240" s="4775">
        <v>7564.7600000000011</v>
      </c>
      <c r="Q240" s="4776"/>
      <c r="R240" s="782">
        <f t="shared" si="348"/>
        <v>27440.270000000004</v>
      </c>
      <c r="S240" s="4774"/>
      <c r="T240" s="4775">
        <v>3975.4000000000005</v>
      </c>
      <c r="U240" s="4776"/>
      <c r="V240" s="782">
        <f t="shared" si="349"/>
        <v>31415.670000000006</v>
      </c>
      <c r="W240" s="4774"/>
      <c r="X240" s="4775">
        <v>12348.01</v>
      </c>
      <c r="Y240" s="4777"/>
      <c r="Z240" s="781">
        <f t="shared" si="350"/>
        <v>23888.170000000002</v>
      </c>
      <c r="AA240" s="4780"/>
      <c r="AB240" s="3562">
        <f t="shared" si="351"/>
        <v>43763.680000000008</v>
      </c>
      <c r="AC240" s="4774"/>
      <c r="AD240" s="4775">
        <v>7630.3</v>
      </c>
      <c r="AE240" s="4776"/>
      <c r="AF240" s="782">
        <f t="shared" si="352"/>
        <v>51393.98000000001</v>
      </c>
      <c r="AG240" s="4774"/>
      <c r="AH240" s="4775">
        <v>311.24</v>
      </c>
      <c r="AI240" s="4776"/>
      <c r="AJ240" s="4778">
        <f t="shared" si="385"/>
        <v>51705.220000000008</v>
      </c>
      <c r="AK240" s="4774"/>
      <c r="AL240" s="4775">
        <v>6930.2100000000019</v>
      </c>
      <c r="AM240" s="4777"/>
      <c r="AN240" s="4779">
        <f t="shared" si="381"/>
        <v>14871.750000000002</v>
      </c>
      <c r="AO240" s="4776"/>
      <c r="AP240" s="4778">
        <f t="shared" si="382"/>
        <v>58635.430000000008</v>
      </c>
      <c r="AQ240" s="4774"/>
      <c r="AR240" s="4775">
        <v>3874.2000000000007</v>
      </c>
      <c r="AS240" s="4776"/>
      <c r="AT240" s="4778">
        <f t="shared" si="386"/>
        <v>62509.630000000005</v>
      </c>
      <c r="AU240" s="4774"/>
      <c r="AV240" s="4775">
        <v>4200.03</v>
      </c>
      <c r="AW240" s="4776"/>
      <c r="AX240" s="39">
        <f t="shared" si="387"/>
        <v>66709.66</v>
      </c>
      <c r="AY240" s="4774"/>
      <c r="AZ240" s="4775">
        <v>8463.7199999999993</v>
      </c>
      <c r="BA240" s="3657"/>
      <c r="BB240" s="4771">
        <f t="shared" si="383"/>
        <v>16537.95</v>
      </c>
      <c r="BC240" s="3658"/>
      <c r="BD240" s="3604">
        <f t="shared" si="384"/>
        <v>31409.700000000004</v>
      </c>
      <c r="BE240" s="3656"/>
      <c r="BF240" s="572">
        <f t="shared" si="388"/>
        <v>75173.38</v>
      </c>
      <c r="BG240" s="26"/>
      <c r="BH240" s="26"/>
      <c r="BI240" s="26"/>
      <c r="BJ240" s="26"/>
      <c r="BK240" s="26"/>
    </row>
    <row r="241" spans="1:63" ht="20.25" customHeight="1" x14ac:dyDescent="0.25">
      <c r="A241" s="154"/>
      <c r="B241" s="850" t="s">
        <v>857</v>
      </c>
      <c r="C241" s="4773" t="s">
        <v>1004</v>
      </c>
      <c r="D241" s="4773"/>
      <c r="E241" s="4774"/>
      <c r="F241" s="4775"/>
      <c r="G241" s="4774"/>
      <c r="H241" s="4775"/>
      <c r="I241" s="4776"/>
      <c r="J241" s="782">
        <f t="shared" si="346"/>
        <v>0</v>
      </c>
      <c r="K241" s="4774"/>
      <c r="L241" s="4775"/>
      <c r="M241" s="4777"/>
      <c r="N241" s="781">
        <f t="shared" si="347"/>
        <v>0</v>
      </c>
      <c r="O241" s="4774"/>
      <c r="P241" s="4775"/>
      <c r="Q241" s="4776"/>
      <c r="R241" s="782">
        <f t="shared" si="348"/>
        <v>0</v>
      </c>
      <c r="S241" s="4774"/>
      <c r="T241" s="4775"/>
      <c r="U241" s="4776"/>
      <c r="V241" s="782">
        <f t="shared" si="349"/>
        <v>0</v>
      </c>
      <c r="W241" s="4774"/>
      <c r="X241" s="4775"/>
      <c r="Y241" s="4777"/>
      <c r="Z241" s="781">
        <f t="shared" si="350"/>
        <v>0</v>
      </c>
      <c r="AA241" s="4780"/>
      <c r="AB241" s="3562">
        <f t="shared" si="351"/>
        <v>0</v>
      </c>
      <c r="AC241" s="4774"/>
      <c r="AD241" s="4775"/>
      <c r="AE241" s="4776"/>
      <c r="AF241" s="782">
        <f t="shared" si="352"/>
        <v>0</v>
      </c>
      <c r="AG241" s="4774"/>
      <c r="AH241" s="4775"/>
      <c r="AI241" s="4776"/>
      <c r="AJ241" s="4778">
        <f t="shared" si="385"/>
        <v>0</v>
      </c>
      <c r="AK241" s="4774"/>
      <c r="AL241" s="4775"/>
      <c r="AM241" s="4777"/>
      <c r="AN241" s="4779">
        <f t="shared" si="381"/>
        <v>0</v>
      </c>
      <c r="AO241" s="4776"/>
      <c r="AP241" s="4778">
        <f t="shared" si="382"/>
        <v>0</v>
      </c>
      <c r="AQ241" s="4774"/>
      <c r="AR241" s="4775"/>
      <c r="AS241" s="4776"/>
      <c r="AT241" s="4778">
        <f t="shared" si="386"/>
        <v>0</v>
      </c>
      <c r="AU241" s="4774"/>
      <c r="AV241" s="4775"/>
      <c r="AW241" s="4776"/>
      <c r="AX241" s="39">
        <f t="shared" si="387"/>
        <v>0</v>
      </c>
      <c r="AY241" s="4774"/>
      <c r="AZ241" s="4775"/>
      <c r="BA241" s="3657"/>
      <c r="BB241" s="4771">
        <f t="shared" si="383"/>
        <v>0</v>
      </c>
      <c r="BC241" s="3658"/>
      <c r="BD241" s="3604">
        <f t="shared" si="384"/>
        <v>0</v>
      </c>
      <c r="BE241" s="3656"/>
      <c r="BF241" s="572">
        <f t="shared" si="388"/>
        <v>0</v>
      </c>
      <c r="BG241" s="26"/>
      <c r="BH241" s="26"/>
      <c r="BI241" s="26"/>
      <c r="BJ241" s="26"/>
      <c r="BK241" s="26"/>
    </row>
    <row r="242" spans="1:63" x14ac:dyDescent="0.25">
      <c r="A242" s="154"/>
      <c r="B242" s="850" t="s">
        <v>857</v>
      </c>
      <c r="C242" s="4773" t="s">
        <v>1390</v>
      </c>
      <c r="D242" s="4773"/>
      <c r="E242" s="4774"/>
      <c r="F242" s="4775"/>
      <c r="G242" s="4774"/>
      <c r="H242" s="4775"/>
      <c r="I242" s="4776"/>
      <c r="J242" s="782">
        <f t="shared" si="346"/>
        <v>0</v>
      </c>
      <c r="K242" s="4774"/>
      <c r="L242" s="4775"/>
      <c r="M242" s="4777"/>
      <c r="N242" s="781">
        <f t="shared" si="347"/>
        <v>0</v>
      </c>
      <c r="O242" s="4774"/>
      <c r="P242" s="4775"/>
      <c r="Q242" s="4776"/>
      <c r="R242" s="782">
        <f t="shared" si="348"/>
        <v>0</v>
      </c>
      <c r="S242" s="4774"/>
      <c r="T242" s="4775"/>
      <c r="U242" s="4776"/>
      <c r="V242" s="782">
        <f t="shared" si="349"/>
        <v>0</v>
      </c>
      <c r="W242" s="4774"/>
      <c r="X242" s="4775"/>
      <c r="Y242" s="4777"/>
      <c r="Z242" s="781">
        <f t="shared" si="350"/>
        <v>0</v>
      </c>
      <c r="AA242" s="4780"/>
      <c r="AB242" s="3562">
        <f t="shared" si="351"/>
        <v>0</v>
      </c>
      <c r="AC242" s="4774"/>
      <c r="AD242" s="4775"/>
      <c r="AE242" s="4776"/>
      <c r="AF242" s="782">
        <f t="shared" si="352"/>
        <v>0</v>
      </c>
      <c r="AG242" s="4774"/>
      <c r="AH242" s="4775"/>
      <c r="AI242" s="4776"/>
      <c r="AJ242" s="4778">
        <f t="shared" si="385"/>
        <v>0</v>
      </c>
      <c r="AK242" s="4774"/>
      <c r="AL242" s="4775"/>
      <c r="AM242" s="4777"/>
      <c r="AN242" s="4779">
        <f t="shared" si="381"/>
        <v>0</v>
      </c>
      <c r="AO242" s="4776"/>
      <c r="AP242" s="4778">
        <f t="shared" si="382"/>
        <v>0</v>
      </c>
      <c r="AQ242" s="4774"/>
      <c r="AR242" s="4775"/>
      <c r="AS242" s="4776"/>
      <c r="AT242" s="4778">
        <f t="shared" si="386"/>
        <v>0</v>
      </c>
      <c r="AU242" s="4774"/>
      <c r="AV242" s="4775"/>
      <c r="AW242" s="4776"/>
      <c r="AX242" s="39">
        <f t="shared" si="387"/>
        <v>0</v>
      </c>
      <c r="AY242" s="4774"/>
      <c r="AZ242" s="4775"/>
      <c r="BA242" s="3657"/>
      <c r="BB242" s="4771">
        <f t="shared" si="383"/>
        <v>0</v>
      </c>
      <c r="BC242" s="3658"/>
      <c r="BD242" s="3604">
        <f t="shared" si="384"/>
        <v>0</v>
      </c>
      <c r="BE242" s="3656"/>
      <c r="BF242" s="572">
        <f t="shared" si="388"/>
        <v>0</v>
      </c>
      <c r="BG242" s="26"/>
      <c r="BH242" s="26"/>
      <c r="BI242" s="26"/>
      <c r="BJ242" s="26"/>
      <c r="BK242" s="26"/>
    </row>
    <row r="243" spans="1:63" ht="15.75" thickBot="1" x14ac:dyDescent="0.3">
      <c r="A243" s="154"/>
      <c r="B243" s="2919" t="s">
        <v>857</v>
      </c>
      <c r="C243" s="3619" t="s">
        <v>1005</v>
      </c>
      <c r="D243" s="3619"/>
      <c r="E243" s="3667"/>
      <c r="F243" s="234"/>
      <c r="G243" s="3667"/>
      <c r="H243" s="234"/>
      <c r="I243" s="3668"/>
      <c r="J243" s="782">
        <f t="shared" si="346"/>
        <v>0</v>
      </c>
      <c r="K243" s="3667"/>
      <c r="L243" s="234">
        <v>1526.6800000000003</v>
      </c>
      <c r="M243" s="4781"/>
      <c r="N243" s="781">
        <f t="shared" si="347"/>
        <v>1526.6800000000003</v>
      </c>
      <c r="O243" s="3667"/>
      <c r="P243" s="234"/>
      <c r="Q243" s="3668"/>
      <c r="R243" s="782">
        <f t="shared" si="348"/>
        <v>1526.6800000000003</v>
      </c>
      <c r="S243" s="3667"/>
      <c r="T243" s="234">
        <v>1616.32</v>
      </c>
      <c r="U243" s="3668"/>
      <c r="V243" s="782">
        <f t="shared" si="349"/>
        <v>3143</v>
      </c>
      <c r="W243" s="3667"/>
      <c r="X243" s="234"/>
      <c r="Y243" s="4781"/>
      <c r="Z243" s="781">
        <f t="shared" si="350"/>
        <v>1616.32</v>
      </c>
      <c r="AA243" s="4782"/>
      <c r="AB243" s="3562">
        <f t="shared" si="351"/>
        <v>3143</v>
      </c>
      <c r="AC243" s="3667"/>
      <c r="AD243" s="234"/>
      <c r="AE243" s="3668"/>
      <c r="AF243" s="782">
        <f t="shared" si="352"/>
        <v>3143</v>
      </c>
      <c r="AG243" s="3667"/>
      <c r="AH243" s="234"/>
      <c r="AI243" s="3668"/>
      <c r="AJ243" s="589">
        <f t="shared" si="385"/>
        <v>3143</v>
      </c>
      <c r="AK243" s="3667"/>
      <c r="AL243" s="234">
        <v>1044.4599999999998</v>
      </c>
      <c r="AM243" s="4781"/>
      <c r="AN243" s="1080">
        <f t="shared" si="381"/>
        <v>1044.4599999999998</v>
      </c>
      <c r="AO243" s="3668"/>
      <c r="AP243" s="589">
        <f t="shared" si="382"/>
        <v>4187.46</v>
      </c>
      <c r="AQ243" s="3667"/>
      <c r="AR243" s="234">
        <v>921.08999999999992</v>
      </c>
      <c r="AS243" s="3668"/>
      <c r="AT243" s="589">
        <f t="shared" si="386"/>
        <v>5108.55</v>
      </c>
      <c r="AU243" s="3667"/>
      <c r="AV243" s="234">
        <v>42.67</v>
      </c>
      <c r="AW243" s="3668"/>
      <c r="AX243" s="44">
        <f t="shared" si="387"/>
        <v>5151.22</v>
      </c>
      <c r="AY243" s="3667"/>
      <c r="AZ243" s="234"/>
      <c r="BA243" s="3657"/>
      <c r="BB243" s="4771">
        <f t="shared" si="383"/>
        <v>963.75999999999988</v>
      </c>
      <c r="BC243" s="3658"/>
      <c r="BD243" s="3604">
        <f t="shared" si="384"/>
        <v>2008.2199999999998</v>
      </c>
      <c r="BE243" s="3656"/>
      <c r="BF243" s="572">
        <f t="shared" si="388"/>
        <v>5151.22</v>
      </c>
      <c r="BG243" s="26"/>
      <c r="BH243" s="26"/>
      <c r="BI243" s="26"/>
      <c r="BJ243" s="26"/>
      <c r="BK243" s="26"/>
    </row>
    <row r="244" spans="1:63" x14ac:dyDescent="0.25">
      <c r="A244" s="154"/>
      <c r="B244" s="5500" t="s">
        <v>952</v>
      </c>
      <c r="C244" s="3670" t="s">
        <v>876</v>
      </c>
      <c r="D244" s="3670"/>
      <c r="E244" s="3671"/>
      <c r="F244" s="2298"/>
      <c r="G244" s="3671"/>
      <c r="H244" s="2298"/>
      <c r="I244" s="3672"/>
      <c r="J244" s="5554"/>
      <c r="K244" s="3671"/>
      <c r="L244" s="2298"/>
      <c r="M244" s="5605"/>
      <c r="N244" s="5555"/>
      <c r="O244" s="3671"/>
      <c r="P244" s="2298"/>
      <c r="Q244" s="3672"/>
      <c r="R244" s="5554"/>
      <c r="S244" s="3671"/>
      <c r="T244" s="2298"/>
      <c r="U244" s="3672"/>
      <c r="V244" s="5554"/>
      <c r="W244" s="3671"/>
      <c r="X244" s="2298">
        <v>848.38</v>
      </c>
      <c r="Y244" s="5605"/>
      <c r="Z244" s="781">
        <f t="shared" si="350"/>
        <v>848.38</v>
      </c>
      <c r="AA244" s="5606"/>
      <c r="AB244" s="3562">
        <f t="shared" si="351"/>
        <v>848.38</v>
      </c>
      <c r="AC244" s="3671"/>
      <c r="AD244" s="2298"/>
      <c r="AE244" s="3672"/>
      <c r="AF244" s="5554"/>
      <c r="AG244" s="3671"/>
      <c r="AH244" s="2298"/>
      <c r="AI244" s="3672"/>
      <c r="AJ244" s="3611"/>
      <c r="AK244" s="3671"/>
      <c r="AL244" s="2298"/>
      <c r="AM244" s="5605"/>
      <c r="AN244" s="5607"/>
      <c r="AO244" s="3672"/>
      <c r="AP244" s="3611"/>
      <c r="AQ244" s="3671"/>
      <c r="AR244" s="2298"/>
      <c r="AS244" s="3672"/>
      <c r="AT244" s="3611"/>
      <c r="AU244" s="3671"/>
      <c r="AV244" s="2298"/>
      <c r="AW244" s="3672"/>
      <c r="AX244" s="5608"/>
      <c r="AY244" s="3671"/>
      <c r="AZ244" s="2298"/>
      <c r="BA244" s="5609"/>
      <c r="BB244" s="4771"/>
      <c r="BC244" s="5610"/>
      <c r="BD244" s="3604"/>
      <c r="BE244" s="5611"/>
      <c r="BF244" s="572"/>
      <c r="BG244" s="26"/>
      <c r="BH244" s="26"/>
      <c r="BI244" s="26"/>
      <c r="BJ244" s="26"/>
      <c r="BK244" s="26"/>
    </row>
    <row r="245" spans="1:63" ht="15.75" thickBot="1" x14ac:dyDescent="0.3">
      <c r="A245" s="154"/>
      <c r="B245" s="3669" t="s">
        <v>952</v>
      </c>
      <c r="C245" s="3670" t="s">
        <v>885</v>
      </c>
      <c r="D245" s="3670"/>
      <c r="E245" s="3671"/>
      <c r="F245" s="2298"/>
      <c r="G245" s="3671"/>
      <c r="H245" s="2298"/>
      <c r="I245" s="3672"/>
      <c r="J245" s="782">
        <f t="shared" si="346"/>
        <v>0</v>
      </c>
      <c r="K245" s="3671"/>
      <c r="L245" s="2298"/>
      <c r="M245" s="4770"/>
      <c r="N245" s="781">
        <f t="shared" si="347"/>
        <v>0</v>
      </c>
      <c r="O245" s="3671"/>
      <c r="P245" s="2298">
        <v>3376.12</v>
      </c>
      <c r="Q245" s="3677"/>
      <c r="R245" s="782">
        <f t="shared" si="348"/>
        <v>3376.12</v>
      </c>
      <c r="S245" s="3671"/>
      <c r="T245" s="2298"/>
      <c r="U245" s="3677"/>
      <c r="V245" s="782">
        <f t="shared" si="349"/>
        <v>3376.12</v>
      </c>
      <c r="W245" s="3671"/>
      <c r="X245" s="2298">
        <v>744.69999999999993</v>
      </c>
      <c r="Y245" s="4770"/>
      <c r="Z245" s="781">
        <f t="shared" si="350"/>
        <v>4120.82</v>
      </c>
      <c r="AA245" s="4772"/>
      <c r="AB245" s="3562">
        <f t="shared" si="351"/>
        <v>4120.82</v>
      </c>
      <c r="AC245" s="3671"/>
      <c r="AD245" s="2298"/>
      <c r="AE245" s="3677"/>
      <c r="AF245" s="782">
        <f t="shared" si="352"/>
        <v>4120.82</v>
      </c>
      <c r="AG245" s="3671"/>
      <c r="AH245" s="2298">
        <v>24.44</v>
      </c>
      <c r="AI245" s="3677"/>
      <c r="AJ245" s="572">
        <f t="shared" si="385"/>
        <v>4145.2599999999993</v>
      </c>
      <c r="AK245" s="3671"/>
      <c r="AL245" s="2298"/>
      <c r="AM245" s="4770"/>
      <c r="AN245" s="4771">
        <f t="shared" si="381"/>
        <v>24.44</v>
      </c>
      <c r="AO245" s="3677"/>
      <c r="AP245" s="572">
        <f t="shared" si="382"/>
        <v>4145.2599999999993</v>
      </c>
      <c r="AQ245" s="3671"/>
      <c r="AR245" s="2298"/>
      <c r="AS245" s="3677"/>
      <c r="AT245" s="572">
        <f t="shared" si="386"/>
        <v>4145.2599999999993</v>
      </c>
      <c r="AU245" s="3671"/>
      <c r="AV245" s="2298">
        <v>2360.6799999999998</v>
      </c>
      <c r="AW245" s="3677"/>
      <c r="AX245" s="572">
        <f t="shared" si="387"/>
        <v>6505.9399999999987</v>
      </c>
      <c r="AY245" s="3671"/>
      <c r="AZ245" s="2298"/>
      <c r="BA245" s="3657"/>
      <c r="BB245" s="4771">
        <f t="shared" si="383"/>
        <v>2360.6799999999998</v>
      </c>
      <c r="BC245" s="3658"/>
      <c r="BD245" s="3604">
        <f t="shared" si="384"/>
        <v>2385.12</v>
      </c>
      <c r="BE245" s="3656"/>
      <c r="BF245" s="572">
        <f t="shared" si="388"/>
        <v>6505.9399999999987</v>
      </c>
      <c r="BG245" s="26"/>
      <c r="BH245" s="26"/>
      <c r="BI245" s="26"/>
      <c r="BJ245" s="26"/>
      <c r="BK245" s="26"/>
    </row>
    <row r="246" spans="1:63" x14ac:dyDescent="0.25">
      <c r="A246" s="154"/>
      <c r="B246" s="2915" t="s">
        <v>1564</v>
      </c>
      <c r="C246" s="3615" t="s">
        <v>876</v>
      </c>
      <c r="D246" s="3615"/>
      <c r="E246" s="3663"/>
      <c r="F246" s="275">
        <v>1715.5</v>
      </c>
      <c r="G246" s="3663"/>
      <c r="H246" s="275"/>
      <c r="I246" s="3664"/>
      <c r="J246" s="782">
        <f t="shared" si="346"/>
        <v>1715.5</v>
      </c>
      <c r="K246" s="3663"/>
      <c r="L246" s="275"/>
      <c r="M246" s="3657"/>
      <c r="N246" s="781">
        <f t="shared" si="347"/>
        <v>1715.5</v>
      </c>
      <c r="O246" s="3663"/>
      <c r="P246" s="275">
        <v>2099.58</v>
      </c>
      <c r="Q246" s="3656"/>
      <c r="R246" s="782">
        <f t="shared" si="348"/>
        <v>3815.08</v>
      </c>
      <c r="S246" s="3663"/>
      <c r="T246" s="275">
        <v>130.27999999999997</v>
      </c>
      <c r="U246" s="3656"/>
      <c r="V246" s="782">
        <f t="shared" si="349"/>
        <v>3945.3599999999997</v>
      </c>
      <c r="W246" s="3663"/>
      <c r="X246" s="275"/>
      <c r="Y246" s="3657"/>
      <c r="Z246" s="781">
        <f t="shared" si="350"/>
        <v>2229.8599999999997</v>
      </c>
      <c r="AA246" s="3658"/>
      <c r="AB246" s="3562">
        <f t="shared" si="351"/>
        <v>3945.3599999999997</v>
      </c>
      <c r="AC246" s="3663"/>
      <c r="AD246" s="275">
        <v>2508.9099999999989</v>
      </c>
      <c r="AE246" s="3656"/>
      <c r="AF246" s="782">
        <f t="shared" si="352"/>
        <v>6454.2699999999986</v>
      </c>
      <c r="AG246" s="3663"/>
      <c r="AH246" s="275">
        <v>15.37</v>
      </c>
      <c r="AI246" s="3656"/>
      <c r="AJ246" s="782">
        <f t="shared" si="385"/>
        <v>6469.6399999999985</v>
      </c>
      <c r="AK246" s="3663"/>
      <c r="AL246" s="275"/>
      <c r="AM246" s="3657"/>
      <c r="AN246" s="446">
        <f t="shared" si="381"/>
        <v>2524.2799999999988</v>
      </c>
      <c r="AO246" s="3656"/>
      <c r="AP246" s="782">
        <f t="shared" si="382"/>
        <v>6469.6399999999985</v>
      </c>
      <c r="AQ246" s="3663"/>
      <c r="AR246" s="275"/>
      <c r="AS246" s="3656"/>
      <c r="AT246" s="782">
        <f t="shared" si="386"/>
        <v>6469.6399999999985</v>
      </c>
      <c r="AU246" s="3663"/>
      <c r="AV246" s="275"/>
      <c r="AW246" s="3656"/>
      <c r="AX246" s="782">
        <f t="shared" si="387"/>
        <v>6469.6399999999985</v>
      </c>
      <c r="AY246" s="3663"/>
      <c r="AZ246" s="275"/>
      <c r="BA246" s="3657"/>
      <c r="BB246" s="4771">
        <f t="shared" si="383"/>
        <v>0</v>
      </c>
      <c r="BC246" s="3658"/>
      <c r="BD246" s="3604">
        <f t="shared" si="384"/>
        <v>2524.2799999999988</v>
      </c>
      <c r="BE246" s="3656"/>
      <c r="BF246" s="572">
        <f t="shared" si="388"/>
        <v>6469.6399999999985</v>
      </c>
      <c r="BG246" s="26"/>
      <c r="BH246" s="26"/>
      <c r="BI246" s="26"/>
      <c r="BJ246" s="26"/>
      <c r="BK246" s="26"/>
    </row>
    <row r="247" spans="1:63" x14ac:dyDescent="0.25">
      <c r="A247" s="154"/>
      <c r="B247" s="5439" t="s">
        <v>1564</v>
      </c>
      <c r="C247" s="3670" t="s">
        <v>1005</v>
      </c>
      <c r="D247" s="3670"/>
      <c r="E247" s="3671"/>
      <c r="F247" s="2298"/>
      <c r="G247" s="3671"/>
      <c r="H247" s="2298"/>
      <c r="I247" s="3672"/>
      <c r="J247" s="782">
        <f t="shared" si="346"/>
        <v>0</v>
      </c>
      <c r="K247" s="3671"/>
      <c r="L247" s="2298"/>
      <c r="M247" s="5549"/>
      <c r="N247" s="781">
        <f t="shared" si="347"/>
        <v>0</v>
      </c>
      <c r="O247" s="3671"/>
      <c r="P247" s="2298"/>
      <c r="Q247" s="5550"/>
      <c r="R247" s="782">
        <f t="shared" si="348"/>
        <v>0</v>
      </c>
      <c r="S247" s="3671"/>
      <c r="T247" s="2298">
        <v>970.64</v>
      </c>
      <c r="U247" s="5550"/>
      <c r="V247" s="782">
        <f t="shared" si="349"/>
        <v>970.64</v>
      </c>
      <c r="W247" s="3671"/>
      <c r="X247" s="2298">
        <v>79.55</v>
      </c>
      <c r="Y247" s="5549"/>
      <c r="Z247" s="781">
        <f t="shared" si="350"/>
        <v>1050.19</v>
      </c>
      <c r="AA247" s="5552"/>
      <c r="AB247" s="3562">
        <f t="shared" si="351"/>
        <v>1050.19</v>
      </c>
      <c r="AC247" s="3671"/>
      <c r="AD247" s="2298"/>
      <c r="AE247" s="5550"/>
      <c r="AF247" s="782">
        <f t="shared" si="352"/>
        <v>1050.19</v>
      </c>
      <c r="AG247" s="3671"/>
      <c r="AH247" s="2298"/>
      <c r="AI247" s="5550"/>
      <c r="AJ247" s="5444"/>
      <c r="AK247" s="3671"/>
      <c r="AL247" s="2298"/>
      <c r="AM247" s="5549"/>
      <c r="AN247" s="5551"/>
      <c r="AO247" s="5550"/>
      <c r="AP247" s="5444"/>
      <c r="AQ247" s="3671"/>
      <c r="AR247" s="2298"/>
      <c r="AS247" s="5550"/>
      <c r="AT247" s="5444"/>
      <c r="AU247" s="3671"/>
      <c r="AV247" s="2298"/>
      <c r="AW247" s="5550"/>
      <c r="AX247" s="5444"/>
      <c r="AY247" s="3671"/>
      <c r="AZ247" s="2298"/>
      <c r="BA247" s="5549"/>
      <c r="BB247" s="4771"/>
      <c r="BC247" s="5552"/>
      <c r="BD247" s="3604"/>
      <c r="BE247" s="5550"/>
      <c r="BF247" s="572"/>
      <c r="BG247" s="26"/>
      <c r="BH247" s="26"/>
      <c r="BI247" s="26"/>
      <c r="BJ247" s="26"/>
      <c r="BK247" s="26"/>
    </row>
    <row r="248" spans="1:63" ht="15.75" thickBot="1" x14ac:dyDescent="0.3">
      <c r="A248" s="154"/>
      <c r="B248" s="2919" t="s">
        <v>1564</v>
      </c>
      <c r="C248" s="3619" t="s">
        <v>885</v>
      </c>
      <c r="D248" s="3619"/>
      <c r="E248" s="3667"/>
      <c r="F248" s="234">
        <v>4419.5600000000004</v>
      </c>
      <c r="G248" s="3667"/>
      <c r="H248" s="234">
        <v>65.599999999999994</v>
      </c>
      <c r="I248" s="3668"/>
      <c r="J248" s="782">
        <f t="shared" si="346"/>
        <v>4485.1600000000008</v>
      </c>
      <c r="K248" s="3667"/>
      <c r="L248" s="234"/>
      <c r="M248" s="3657"/>
      <c r="N248" s="781">
        <f t="shared" si="347"/>
        <v>4485.1600000000008</v>
      </c>
      <c r="O248" s="3667"/>
      <c r="P248" s="234">
        <v>3889.9</v>
      </c>
      <c r="Q248" s="3656"/>
      <c r="R248" s="782">
        <f t="shared" si="348"/>
        <v>8375.0600000000013</v>
      </c>
      <c r="S248" s="3667"/>
      <c r="T248" s="234">
        <v>8653.24</v>
      </c>
      <c r="U248" s="3656"/>
      <c r="V248" s="782">
        <f t="shared" si="349"/>
        <v>17028.300000000003</v>
      </c>
      <c r="W248" s="3667"/>
      <c r="X248" s="234"/>
      <c r="Y248" s="3657"/>
      <c r="Z248" s="781">
        <f t="shared" si="350"/>
        <v>12543.14</v>
      </c>
      <c r="AA248" s="3658"/>
      <c r="AB248" s="3562">
        <f t="shared" si="351"/>
        <v>17028.3</v>
      </c>
      <c r="AC248" s="3667"/>
      <c r="AD248" s="234">
        <v>4623.7000000000007</v>
      </c>
      <c r="AE248" s="3656"/>
      <c r="AF248" s="782">
        <f t="shared" si="352"/>
        <v>21652</v>
      </c>
      <c r="AG248" s="3667"/>
      <c r="AH248" s="234"/>
      <c r="AI248" s="3656"/>
      <c r="AJ248" s="782">
        <f t="shared" si="385"/>
        <v>21652</v>
      </c>
      <c r="AK248" s="3667"/>
      <c r="AL248" s="234"/>
      <c r="AM248" s="3657"/>
      <c r="AN248" s="446">
        <f t="shared" si="381"/>
        <v>4623.7000000000007</v>
      </c>
      <c r="AO248" s="3656"/>
      <c r="AP248" s="782">
        <f t="shared" si="382"/>
        <v>21652</v>
      </c>
      <c r="AQ248" s="3667"/>
      <c r="AR248" s="234"/>
      <c r="AS248" s="3656"/>
      <c r="AT248" s="782">
        <f t="shared" si="386"/>
        <v>21652</v>
      </c>
      <c r="AU248" s="3667"/>
      <c r="AV248" s="234"/>
      <c r="AW248" s="3656"/>
      <c r="AX248" s="782">
        <f t="shared" si="387"/>
        <v>21652</v>
      </c>
      <c r="AY248" s="3667"/>
      <c r="AZ248" s="234"/>
      <c r="BA248" s="3657"/>
      <c r="BB248" s="4771">
        <f t="shared" si="383"/>
        <v>0</v>
      </c>
      <c r="BC248" s="3658"/>
      <c r="BD248" s="3604">
        <f t="shared" si="384"/>
        <v>4623.7000000000007</v>
      </c>
      <c r="BE248" s="3656"/>
      <c r="BF248" s="572">
        <f t="shared" si="388"/>
        <v>21652</v>
      </c>
      <c r="BG248" s="26"/>
      <c r="BH248" s="26"/>
      <c r="BI248" s="26"/>
      <c r="BJ248" s="26"/>
      <c r="BK248" s="26"/>
    </row>
    <row r="249" spans="1:63" ht="15.75" customHeight="1" thickBot="1" x14ac:dyDescent="0.3">
      <c r="A249" s="154"/>
      <c r="B249" s="3669" t="s">
        <v>859</v>
      </c>
      <c r="C249" s="3670" t="s">
        <v>1390</v>
      </c>
      <c r="D249" s="3670"/>
      <c r="E249" s="3671"/>
      <c r="F249" s="2298"/>
      <c r="G249" s="3671"/>
      <c r="H249" s="2298"/>
      <c r="I249" s="3672"/>
      <c r="J249" s="782">
        <f t="shared" si="346"/>
        <v>0</v>
      </c>
      <c r="K249" s="3671"/>
      <c r="L249" s="2298">
        <v>63.38</v>
      </c>
      <c r="M249" s="3657"/>
      <c r="N249" s="781">
        <f t="shared" si="347"/>
        <v>63.38</v>
      </c>
      <c r="O249" s="3671"/>
      <c r="P249" s="2298"/>
      <c r="Q249" s="3656"/>
      <c r="R249" s="782">
        <f t="shared" si="348"/>
        <v>63.38</v>
      </c>
      <c r="S249" s="3671"/>
      <c r="T249" s="2298"/>
      <c r="U249" s="3656"/>
      <c r="V249" s="782">
        <f t="shared" si="349"/>
        <v>63.38</v>
      </c>
      <c r="W249" s="3671"/>
      <c r="X249" s="2298"/>
      <c r="Y249" s="3657"/>
      <c r="Z249" s="781">
        <f t="shared" si="350"/>
        <v>0</v>
      </c>
      <c r="AA249" s="3658"/>
      <c r="AB249" s="3562">
        <f t="shared" si="351"/>
        <v>63.38</v>
      </c>
      <c r="AC249" s="3671"/>
      <c r="AD249" s="2298"/>
      <c r="AE249" s="3656"/>
      <c r="AF249" s="782">
        <f t="shared" si="352"/>
        <v>63.38</v>
      </c>
      <c r="AG249" s="3671"/>
      <c r="AH249" s="2298"/>
      <c r="AI249" s="3656"/>
      <c r="AJ249" s="782">
        <f t="shared" si="385"/>
        <v>63.38</v>
      </c>
      <c r="AK249" s="3671"/>
      <c r="AL249" s="2298"/>
      <c r="AM249" s="3657"/>
      <c r="AN249" s="446">
        <f t="shared" si="381"/>
        <v>0</v>
      </c>
      <c r="AO249" s="3656"/>
      <c r="AP249" s="782">
        <f t="shared" si="382"/>
        <v>63.38</v>
      </c>
      <c r="AQ249" s="3671"/>
      <c r="AR249" s="2298"/>
      <c r="AS249" s="3656"/>
      <c r="AT249" s="782">
        <f t="shared" si="386"/>
        <v>63.38</v>
      </c>
      <c r="AU249" s="3671"/>
      <c r="AV249" s="2298"/>
      <c r="AW249" s="3656"/>
      <c r="AX249" s="782">
        <f t="shared" si="387"/>
        <v>63.38</v>
      </c>
      <c r="AY249" s="3671"/>
      <c r="AZ249" s="2298"/>
      <c r="BA249" s="3657"/>
      <c r="BB249" s="4771">
        <f t="shared" si="383"/>
        <v>0</v>
      </c>
      <c r="BC249" s="3658"/>
      <c r="BD249" s="3604">
        <f t="shared" si="384"/>
        <v>0</v>
      </c>
      <c r="BE249" s="3656"/>
      <c r="BF249" s="572">
        <f t="shared" si="388"/>
        <v>63.38</v>
      </c>
      <c r="BG249" s="26"/>
      <c r="BH249" s="26"/>
      <c r="BI249" s="26"/>
      <c r="BJ249" s="26"/>
      <c r="BK249" s="26"/>
    </row>
    <row r="250" spans="1:63" x14ac:dyDescent="0.25">
      <c r="A250" s="154"/>
      <c r="B250" s="2915" t="s">
        <v>859</v>
      </c>
      <c r="C250" s="3615" t="s">
        <v>876</v>
      </c>
      <c r="D250" s="3615"/>
      <c r="E250" s="3663"/>
      <c r="F250" s="275"/>
      <c r="G250" s="3663"/>
      <c r="H250" s="275">
        <v>1910</v>
      </c>
      <c r="I250" s="3664"/>
      <c r="J250" s="782">
        <f t="shared" si="346"/>
        <v>1910</v>
      </c>
      <c r="K250" s="3663"/>
      <c r="L250" s="275">
        <v>1992.2999999999997</v>
      </c>
      <c r="M250" s="3657"/>
      <c r="N250" s="781">
        <f t="shared" si="347"/>
        <v>3902.2999999999997</v>
      </c>
      <c r="O250" s="3663"/>
      <c r="P250" s="275">
        <v>1914.2300000000005</v>
      </c>
      <c r="Q250" s="3656"/>
      <c r="R250" s="782">
        <f t="shared" si="348"/>
        <v>5816.5300000000007</v>
      </c>
      <c r="S250" s="3663"/>
      <c r="T250" s="275">
        <v>255.96</v>
      </c>
      <c r="U250" s="3656"/>
      <c r="V250" s="782">
        <f t="shared" si="349"/>
        <v>6072.4900000000007</v>
      </c>
      <c r="W250" s="3663"/>
      <c r="X250" s="275"/>
      <c r="Y250" s="3657"/>
      <c r="Z250" s="781">
        <f t="shared" si="350"/>
        <v>2170.1900000000005</v>
      </c>
      <c r="AA250" s="3658"/>
      <c r="AB250" s="3562">
        <f t="shared" si="351"/>
        <v>6072.49</v>
      </c>
      <c r="AC250" s="3663"/>
      <c r="AD250" s="275"/>
      <c r="AE250" s="3656"/>
      <c r="AF250" s="782">
        <f t="shared" si="352"/>
        <v>6072.49</v>
      </c>
      <c r="AG250" s="3663"/>
      <c r="AH250" s="275">
        <v>78.19</v>
      </c>
      <c r="AI250" s="3656"/>
      <c r="AJ250" s="782">
        <f t="shared" si="385"/>
        <v>6150.6799999999994</v>
      </c>
      <c r="AK250" s="3663"/>
      <c r="AL250" s="275"/>
      <c r="AM250" s="3657"/>
      <c r="AN250" s="446">
        <f t="shared" si="381"/>
        <v>78.19</v>
      </c>
      <c r="AO250" s="3656"/>
      <c r="AP250" s="782">
        <f t="shared" si="382"/>
        <v>6150.6799999999994</v>
      </c>
      <c r="AQ250" s="3663"/>
      <c r="AR250" s="275">
        <v>1792.2799999999997</v>
      </c>
      <c r="AS250" s="3656"/>
      <c r="AT250" s="782">
        <f t="shared" si="386"/>
        <v>7942.9599999999991</v>
      </c>
      <c r="AU250" s="3663"/>
      <c r="AV250" s="275"/>
      <c r="AW250" s="3656"/>
      <c r="AX250" s="782">
        <f t="shared" si="387"/>
        <v>7942.9599999999991</v>
      </c>
      <c r="AY250" s="3663"/>
      <c r="AZ250" s="275"/>
      <c r="BA250" s="3657"/>
      <c r="BB250" s="4771">
        <f t="shared" si="383"/>
        <v>1792.2799999999997</v>
      </c>
      <c r="BC250" s="3658"/>
      <c r="BD250" s="3604">
        <f t="shared" si="384"/>
        <v>1870.4699999999998</v>
      </c>
      <c r="BE250" s="3656"/>
      <c r="BF250" s="572">
        <f t="shared" si="388"/>
        <v>7942.9599999999991</v>
      </c>
      <c r="BG250" s="26"/>
      <c r="BH250" s="26"/>
      <c r="BI250" s="26"/>
      <c r="BJ250" s="26"/>
      <c r="BK250" s="26"/>
    </row>
    <row r="251" spans="1:63" x14ac:dyDescent="0.25">
      <c r="A251" s="154"/>
      <c r="B251" s="850" t="s">
        <v>859</v>
      </c>
      <c r="C251" s="3625" t="s">
        <v>885</v>
      </c>
      <c r="D251" s="3625"/>
      <c r="E251" s="3665"/>
      <c r="F251" s="2716"/>
      <c r="G251" s="3665"/>
      <c r="H251" s="2716">
        <v>4479.3000000000011</v>
      </c>
      <c r="I251" s="3666"/>
      <c r="J251" s="782">
        <f t="shared" si="346"/>
        <v>4479.3000000000011</v>
      </c>
      <c r="K251" s="3665"/>
      <c r="L251" s="2716">
        <v>567.8599999999999</v>
      </c>
      <c r="M251" s="3657"/>
      <c r="N251" s="781">
        <f t="shared" si="347"/>
        <v>5047.1600000000008</v>
      </c>
      <c r="O251" s="3665"/>
      <c r="P251" s="2716">
        <v>5297.44</v>
      </c>
      <c r="Q251" s="3656"/>
      <c r="R251" s="782">
        <f t="shared" si="348"/>
        <v>10344.6</v>
      </c>
      <c r="S251" s="3665"/>
      <c r="T251" s="2716">
        <v>3852.24</v>
      </c>
      <c r="U251" s="3656"/>
      <c r="V251" s="782">
        <f t="shared" si="349"/>
        <v>14196.84</v>
      </c>
      <c r="W251" s="3665"/>
      <c r="X251" s="2716"/>
      <c r="Y251" s="3657"/>
      <c r="Z251" s="781">
        <f t="shared" si="350"/>
        <v>9149.68</v>
      </c>
      <c r="AA251" s="3658"/>
      <c r="AB251" s="3562">
        <f t="shared" si="351"/>
        <v>14196.84</v>
      </c>
      <c r="AC251" s="3665"/>
      <c r="AD251" s="2716"/>
      <c r="AE251" s="3656"/>
      <c r="AF251" s="782">
        <f t="shared" si="352"/>
        <v>14196.84</v>
      </c>
      <c r="AG251" s="3665"/>
      <c r="AH251" s="2716">
        <v>63.74</v>
      </c>
      <c r="AI251" s="3656"/>
      <c r="AJ251" s="782">
        <f t="shared" si="385"/>
        <v>14260.58</v>
      </c>
      <c r="AK251" s="3665"/>
      <c r="AL251" s="2716"/>
      <c r="AM251" s="3657"/>
      <c r="AN251" s="446">
        <f t="shared" si="381"/>
        <v>63.74</v>
      </c>
      <c r="AO251" s="3656"/>
      <c r="AP251" s="782">
        <f t="shared" si="382"/>
        <v>14260.58</v>
      </c>
      <c r="AQ251" s="3665"/>
      <c r="AR251" s="2716">
        <v>3819.6399999999994</v>
      </c>
      <c r="AS251" s="3656"/>
      <c r="AT251" s="782">
        <f t="shared" si="386"/>
        <v>18080.22</v>
      </c>
      <c r="AU251" s="3665"/>
      <c r="AV251" s="2716"/>
      <c r="AW251" s="3656"/>
      <c r="AX251" s="782">
        <f t="shared" si="387"/>
        <v>18080.22</v>
      </c>
      <c r="AY251" s="3665"/>
      <c r="AZ251" s="2716"/>
      <c r="BA251" s="3657"/>
      <c r="BB251" s="4771">
        <f t="shared" si="383"/>
        <v>3819.6399999999994</v>
      </c>
      <c r="BC251" s="3658"/>
      <c r="BD251" s="3604">
        <f t="shared" si="384"/>
        <v>3883.3799999999992</v>
      </c>
      <c r="BE251" s="3656"/>
      <c r="BF251" s="572">
        <f t="shared" si="388"/>
        <v>18080.22</v>
      </c>
      <c r="BG251" s="26"/>
      <c r="BH251" s="26"/>
      <c r="BI251" s="26"/>
      <c r="BJ251" s="26"/>
      <c r="BK251" s="26"/>
    </row>
    <row r="252" spans="1:63" ht="15" customHeight="1" x14ac:dyDescent="0.25">
      <c r="A252" s="154"/>
      <c r="B252" s="850" t="s">
        <v>859</v>
      </c>
      <c r="C252" s="3625" t="s">
        <v>1004</v>
      </c>
      <c r="D252" s="3625"/>
      <c r="E252" s="3665"/>
      <c r="F252" s="2716"/>
      <c r="G252" s="3665"/>
      <c r="H252" s="2716"/>
      <c r="I252" s="3666"/>
      <c r="J252" s="782">
        <f t="shared" si="346"/>
        <v>0</v>
      </c>
      <c r="K252" s="3665"/>
      <c r="L252" s="2716"/>
      <c r="M252" s="3657"/>
      <c r="N252" s="781">
        <f t="shared" si="347"/>
        <v>0</v>
      </c>
      <c r="O252" s="3665"/>
      <c r="P252" s="2716"/>
      <c r="Q252" s="3656"/>
      <c r="R252" s="782">
        <f t="shared" si="348"/>
        <v>0</v>
      </c>
      <c r="S252" s="3665"/>
      <c r="T252" s="2716"/>
      <c r="U252" s="3656"/>
      <c r="V252" s="782">
        <f t="shared" si="349"/>
        <v>0</v>
      </c>
      <c r="W252" s="3665"/>
      <c r="X252" s="2716"/>
      <c r="Y252" s="3657"/>
      <c r="Z252" s="781">
        <f t="shared" si="350"/>
        <v>0</v>
      </c>
      <c r="AA252" s="3658"/>
      <c r="AB252" s="3562">
        <f t="shared" si="351"/>
        <v>0</v>
      </c>
      <c r="AC252" s="3665"/>
      <c r="AD252" s="2716"/>
      <c r="AE252" s="3656"/>
      <c r="AF252" s="782">
        <f t="shared" si="352"/>
        <v>0</v>
      </c>
      <c r="AG252" s="3665"/>
      <c r="AH252" s="2716"/>
      <c r="AI252" s="3656"/>
      <c r="AJ252" s="782">
        <f t="shared" si="385"/>
        <v>0</v>
      </c>
      <c r="AK252" s="3665"/>
      <c r="AL252" s="2716"/>
      <c r="AM252" s="3657"/>
      <c r="AN252" s="446">
        <f t="shared" si="381"/>
        <v>0</v>
      </c>
      <c r="AO252" s="3656"/>
      <c r="AP252" s="782">
        <f t="shared" si="382"/>
        <v>0</v>
      </c>
      <c r="AQ252" s="3665"/>
      <c r="AR252" s="2716"/>
      <c r="AS252" s="3656"/>
      <c r="AT252" s="782">
        <f t="shared" si="386"/>
        <v>0</v>
      </c>
      <c r="AU252" s="3665"/>
      <c r="AV252" s="2716"/>
      <c r="AW252" s="3656"/>
      <c r="AX252" s="782">
        <f t="shared" si="387"/>
        <v>0</v>
      </c>
      <c r="AY252" s="3665"/>
      <c r="AZ252" s="2716"/>
      <c r="BA252" s="3657"/>
      <c r="BB252" s="4771">
        <f t="shared" si="383"/>
        <v>0</v>
      </c>
      <c r="BC252" s="3658"/>
      <c r="BD252" s="3604">
        <f t="shared" si="384"/>
        <v>0</v>
      </c>
      <c r="BE252" s="3656"/>
      <c r="BF252" s="572">
        <f t="shared" si="388"/>
        <v>0</v>
      </c>
      <c r="BG252" s="26"/>
      <c r="BH252" s="26"/>
      <c r="BI252" s="26"/>
      <c r="BJ252" s="26"/>
      <c r="BK252" s="26"/>
    </row>
    <row r="253" spans="1:63" x14ac:dyDescent="0.25">
      <c r="A253" s="154"/>
      <c r="B253" s="850" t="s">
        <v>859</v>
      </c>
      <c r="C253" s="3625" t="s">
        <v>1005</v>
      </c>
      <c r="D253" s="3625"/>
      <c r="E253" s="3665"/>
      <c r="F253" s="2716"/>
      <c r="G253" s="3665"/>
      <c r="H253" s="2716"/>
      <c r="I253" s="3666"/>
      <c r="J253" s="782">
        <f t="shared" si="346"/>
        <v>0</v>
      </c>
      <c r="K253" s="3665"/>
      <c r="L253" s="2716"/>
      <c r="M253" s="3657"/>
      <c r="N253" s="781">
        <f t="shared" si="347"/>
        <v>0</v>
      </c>
      <c r="O253" s="3665"/>
      <c r="P253" s="2716"/>
      <c r="Q253" s="3656"/>
      <c r="R253" s="782">
        <f t="shared" si="348"/>
        <v>0</v>
      </c>
      <c r="S253" s="3665"/>
      <c r="T253" s="2716">
        <v>502.64</v>
      </c>
      <c r="U253" s="3656"/>
      <c r="V253" s="782">
        <f t="shared" si="349"/>
        <v>502.64</v>
      </c>
      <c r="W253" s="3665"/>
      <c r="X253" s="2716"/>
      <c r="Y253" s="3657"/>
      <c r="Z253" s="781">
        <f t="shared" si="350"/>
        <v>502.64</v>
      </c>
      <c r="AA253" s="3658"/>
      <c r="AB253" s="3562">
        <f t="shared" si="351"/>
        <v>502.64</v>
      </c>
      <c r="AC253" s="3665"/>
      <c r="AD253" s="2716"/>
      <c r="AE253" s="3656"/>
      <c r="AF253" s="782">
        <f t="shared" si="352"/>
        <v>502.64</v>
      </c>
      <c r="AG253" s="3665"/>
      <c r="AH253" s="2716"/>
      <c r="AI253" s="3656"/>
      <c r="AJ253" s="782">
        <f t="shared" si="385"/>
        <v>502.64</v>
      </c>
      <c r="AK253" s="3665"/>
      <c r="AL253" s="2716"/>
      <c r="AM253" s="3657"/>
      <c r="AN253" s="446">
        <f t="shared" si="381"/>
        <v>0</v>
      </c>
      <c r="AO253" s="3656"/>
      <c r="AP253" s="782">
        <f t="shared" si="382"/>
        <v>502.64</v>
      </c>
      <c r="AQ253" s="3665"/>
      <c r="AR253" s="2716">
        <v>750.72</v>
      </c>
      <c r="AS253" s="3656"/>
      <c r="AT253" s="782">
        <f t="shared" si="386"/>
        <v>1253.3600000000001</v>
      </c>
      <c r="AU253" s="3665"/>
      <c r="AV253" s="2716"/>
      <c r="AW253" s="3656"/>
      <c r="AX253" s="782">
        <f t="shared" si="387"/>
        <v>1253.3600000000001</v>
      </c>
      <c r="AY253" s="3665"/>
      <c r="AZ253" s="2716">
        <v>66.7</v>
      </c>
      <c r="BA253" s="3657"/>
      <c r="BB253" s="4771">
        <f t="shared" si="383"/>
        <v>817.42000000000007</v>
      </c>
      <c r="BC253" s="3658"/>
      <c r="BD253" s="3604">
        <f t="shared" si="384"/>
        <v>817.42000000000007</v>
      </c>
      <c r="BE253" s="3656"/>
      <c r="BF253" s="572">
        <f t="shared" si="388"/>
        <v>1320.0600000000002</v>
      </c>
      <c r="BG253" s="26"/>
      <c r="BH253" s="26"/>
      <c r="BI253" s="26"/>
      <c r="BJ253" s="26"/>
      <c r="BK253" s="26"/>
    </row>
    <row r="254" spans="1:63" ht="15.75" thickBot="1" x14ac:dyDescent="0.3">
      <c r="A254" s="154"/>
      <c r="B254" s="2919" t="s">
        <v>859</v>
      </c>
      <c r="C254" s="3619" t="s">
        <v>1149</v>
      </c>
      <c r="D254" s="3619"/>
      <c r="E254" s="3667"/>
      <c r="F254" s="234"/>
      <c r="G254" s="3667"/>
      <c r="H254" s="234"/>
      <c r="I254" s="3668"/>
      <c r="J254" s="782">
        <f t="shared" si="346"/>
        <v>0</v>
      </c>
      <c r="K254" s="3667"/>
      <c r="L254" s="234"/>
      <c r="M254" s="3657"/>
      <c r="N254" s="781">
        <f t="shared" si="347"/>
        <v>0</v>
      </c>
      <c r="O254" s="3667"/>
      <c r="P254" s="234"/>
      <c r="Q254" s="3656"/>
      <c r="R254" s="782">
        <f t="shared" si="348"/>
        <v>0</v>
      </c>
      <c r="S254" s="3667"/>
      <c r="T254" s="234"/>
      <c r="U254" s="3656"/>
      <c r="V254" s="782">
        <f t="shared" si="349"/>
        <v>0</v>
      </c>
      <c r="W254" s="3667"/>
      <c r="X254" s="234"/>
      <c r="Y254" s="3657"/>
      <c r="Z254" s="781">
        <f t="shared" si="350"/>
        <v>0</v>
      </c>
      <c r="AA254" s="3658"/>
      <c r="AB254" s="3562">
        <f t="shared" si="351"/>
        <v>0</v>
      </c>
      <c r="AC254" s="3667"/>
      <c r="AD254" s="234"/>
      <c r="AE254" s="3656"/>
      <c r="AF254" s="782">
        <f t="shared" si="352"/>
        <v>0</v>
      </c>
      <c r="AG254" s="3667"/>
      <c r="AH254" s="234"/>
      <c r="AI254" s="3656"/>
      <c r="AJ254" s="782">
        <f t="shared" si="385"/>
        <v>0</v>
      </c>
      <c r="AK254" s="3667"/>
      <c r="AL254" s="234"/>
      <c r="AM254" s="3657"/>
      <c r="AN254" s="446">
        <f t="shared" si="381"/>
        <v>0</v>
      </c>
      <c r="AO254" s="3656"/>
      <c r="AP254" s="782">
        <f t="shared" si="382"/>
        <v>0</v>
      </c>
      <c r="AQ254" s="3667"/>
      <c r="AR254" s="234"/>
      <c r="AS254" s="3656"/>
      <c r="AT254" s="782">
        <f t="shared" si="386"/>
        <v>0</v>
      </c>
      <c r="AU254" s="3667"/>
      <c r="AV254" s="234"/>
      <c r="AW254" s="3656"/>
      <c r="AX254" s="782">
        <f t="shared" si="387"/>
        <v>0</v>
      </c>
      <c r="AY254" s="3667"/>
      <c r="AZ254" s="234"/>
      <c r="BA254" s="3657"/>
      <c r="BB254" s="4771">
        <f t="shared" si="383"/>
        <v>0</v>
      </c>
      <c r="BC254" s="3658"/>
      <c r="BD254" s="3604">
        <f t="shared" si="384"/>
        <v>0</v>
      </c>
      <c r="BE254" s="3656"/>
      <c r="BF254" s="572">
        <f t="shared" si="388"/>
        <v>0</v>
      </c>
      <c r="BG254" s="26"/>
      <c r="BH254" s="26"/>
      <c r="BI254" s="26"/>
      <c r="BJ254" s="26"/>
      <c r="BK254" s="26"/>
    </row>
    <row r="255" spans="1:63" x14ac:dyDescent="0.25">
      <c r="A255" s="154"/>
      <c r="B255" s="3673" t="s">
        <v>860</v>
      </c>
      <c r="C255" s="3622" t="s">
        <v>876</v>
      </c>
      <c r="D255" s="3622"/>
      <c r="E255" s="3558"/>
      <c r="F255" s="1306">
        <v>2609.8000000000002</v>
      </c>
      <c r="G255" s="3558"/>
      <c r="H255" s="1306">
        <v>2898.2400000000007</v>
      </c>
      <c r="I255" s="3674"/>
      <c r="J255" s="782">
        <f t="shared" si="346"/>
        <v>5508.0400000000009</v>
      </c>
      <c r="K255" s="3558"/>
      <c r="L255" s="1306">
        <v>2377.2700000000004</v>
      </c>
      <c r="M255" s="446"/>
      <c r="N255" s="781">
        <f t="shared" si="347"/>
        <v>7885.3100000000013</v>
      </c>
      <c r="O255" s="3558"/>
      <c r="P255" s="1306">
        <v>2915.21</v>
      </c>
      <c r="Q255" s="367"/>
      <c r="R255" s="782">
        <f t="shared" si="348"/>
        <v>10800.52</v>
      </c>
      <c r="S255" s="3558"/>
      <c r="T255" s="1306">
        <v>2740.0700000000011</v>
      </c>
      <c r="U255" s="367"/>
      <c r="V255" s="782">
        <f t="shared" si="349"/>
        <v>13540.590000000002</v>
      </c>
      <c r="W255" s="3558"/>
      <c r="X255" s="1306">
        <v>2562.77</v>
      </c>
      <c r="Y255" s="446"/>
      <c r="Z255" s="781">
        <f t="shared" si="350"/>
        <v>8218.0500000000011</v>
      </c>
      <c r="AA255" s="3675"/>
      <c r="AB255" s="3562">
        <f t="shared" si="351"/>
        <v>16103.360000000002</v>
      </c>
      <c r="AC255" s="3558"/>
      <c r="AD255" s="1306">
        <v>1664.46</v>
      </c>
      <c r="AE255" s="367"/>
      <c r="AF255" s="782">
        <f t="shared" si="352"/>
        <v>17767.820000000003</v>
      </c>
      <c r="AG255" s="3558"/>
      <c r="AH255" s="1306">
        <v>3044.6000000000004</v>
      </c>
      <c r="AI255" s="367"/>
      <c r="AJ255" s="782">
        <f t="shared" si="385"/>
        <v>20812.420000000006</v>
      </c>
      <c r="AK255" s="3558"/>
      <c r="AL255" s="1306">
        <v>1882.89</v>
      </c>
      <c r="AM255" s="446"/>
      <c r="AN255" s="446">
        <f t="shared" si="381"/>
        <v>6591.9500000000007</v>
      </c>
      <c r="AO255" s="367"/>
      <c r="AP255" s="782">
        <f t="shared" si="382"/>
        <v>22695.310000000005</v>
      </c>
      <c r="AQ255" s="3558"/>
      <c r="AR255" s="1306">
        <v>2432.6799999999994</v>
      </c>
      <c r="AS255" s="367"/>
      <c r="AT255" s="782">
        <f t="shared" si="386"/>
        <v>25127.990000000005</v>
      </c>
      <c r="AU255" s="3558"/>
      <c r="AV255" s="1306">
        <v>6228.5399999999981</v>
      </c>
      <c r="AW255" s="367"/>
      <c r="AX255" s="782">
        <f t="shared" si="387"/>
        <v>31356.530000000002</v>
      </c>
      <c r="AY255" s="3558"/>
      <c r="AZ255" s="1306">
        <v>5170.2799999999988</v>
      </c>
      <c r="BA255" s="446"/>
      <c r="BB255" s="4771">
        <f t="shared" si="383"/>
        <v>13831.499999999996</v>
      </c>
      <c r="BC255" s="3675"/>
      <c r="BD255" s="3604">
        <f t="shared" si="384"/>
        <v>20423.449999999997</v>
      </c>
      <c r="BE255" s="367"/>
      <c r="BF255" s="572">
        <f t="shared" si="388"/>
        <v>36526.81</v>
      </c>
      <c r="BG255" s="26"/>
      <c r="BH255" s="26"/>
      <c r="BI255" s="26"/>
      <c r="BJ255" s="26"/>
      <c r="BK255" s="26"/>
    </row>
    <row r="256" spans="1:63" x14ac:dyDescent="0.25">
      <c r="A256" s="154"/>
      <c r="B256" s="3654" t="s">
        <v>860</v>
      </c>
      <c r="C256" s="3616" t="s">
        <v>885</v>
      </c>
      <c r="D256" s="3616"/>
      <c r="E256" s="397"/>
      <c r="F256" s="1134">
        <v>8887.68</v>
      </c>
      <c r="G256" s="397"/>
      <c r="H256" s="1134">
        <v>2634.16</v>
      </c>
      <c r="I256" s="367"/>
      <c r="J256" s="782">
        <f t="shared" si="346"/>
        <v>11521.84</v>
      </c>
      <c r="K256" s="397"/>
      <c r="L256" s="1134">
        <v>8169.0199999999977</v>
      </c>
      <c r="M256" s="446"/>
      <c r="N256" s="781">
        <f t="shared" si="347"/>
        <v>19690.859999999997</v>
      </c>
      <c r="O256" s="397"/>
      <c r="P256" s="1134">
        <v>12550.800000000003</v>
      </c>
      <c r="Q256" s="367"/>
      <c r="R256" s="782">
        <f t="shared" si="348"/>
        <v>32241.66</v>
      </c>
      <c r="S256" s="397"/>
      <c r="T256" s="1134">
        <v>12782.630000000001</v>
      </c>
      <c r="U256" s="367"/>
      <c r="V256" s="782">
        <f t="shared" si="349"/>
        <v>45024.29</v>
      </c>
      <c r="W256" s="397"/>
      <c r="X256" s="1134">
        <v>13437.280000000006</v>
      </c>
      <c r="Y256" s="446"/>
      <c r="Z256" s="781">
        <f t="shared" si="350"/>
        <v>38770.710000000006</v>
      </c>
      <c r="AA256" s="3675"/>
      <c r="AB256" s="3562">
        <f t="shared" si="351"/>
        <v>58461.570000000007</v>
      </c>
      <c r="AC256" s="397"/>
      <c r="AD256" s="1134">
        <v>688.44</v>
      </c>
      <c r="AE256" s="367"/>
      <c r="AF256" s="782">
        <f t="shared" si="352"/>
        <v>59150.010000000009</v>
      </c>
      <c r="AG256" s="397"/>
      <c r="AH256" s="1134">
        <v>744.72</v>
      </c>
      <c r="AI256" s="367"/>
      <c r="AJ256" s="782">
        <f t="shared" si="385"/>
        <v>59894.73000000001</v>
      </c>
      <c r="AK256" s="397"/>
      <c r="AL256" s="1134">
        <v>6650.8600000000015</v>
      </c>
      <c r="AM256" s="446"/>
      <c r="AN256" s="446">
        <f t="shared" si="381"/>
        <v>8084.0200000000013</v>
      </c>
      <c r="AO256" s="367"/>
      <c r="AP256" s="782">
        <f t="shared" si="382"/>
        <v>66545.590000000011</v>
      </c>
      <c r="AQ256" s="397"/>
      <c r="AR256" s="1134">
        <v>5250.4900000000025</v>
      </c>
      <c r="AS256" s="367"/>
      <c r="AT256" s="782">
        <f t="shared" si="386"/>
        <v>71796.080000000016</v>
      </c>
      <c r="AU256" s="397"/>
      <c r="AV256" s="1134">
        <v>5634.82</v>
      </c>
      <c r="AW256" s="367"/>
      <c r="AX256" s="782">
        <f t="shared" si="387"/>
        <v>77430.900000000023</v>
      </c>
      <c r="AY256" s="397"/>
      <c r="AZ256" s="1134">
        <v>11073.86</v>
      </c>
      <c r="BA256" s="446"/>
      <c r="BB256" s="4771">
        <f t="shared" si="383"/>
        <v>21959.170000000002</v>
      </c>
      <c r="BC256" s="3675"/>
      <c r="BD256" s="3604">
        <f t="shared" si="384"/>
        <v>30043.190000000002</v>
      </c>
      <c r="BE256" s="367"/>
      <c r="BF256" s="572">
        <f t="shared" si="388"/>
        <v>88504.760000000024</v>
      </c>
      <c r="BG256" s="26"/>
      <c r="BH256" s="26"/>
      <c r="BI256" s="26"/>
      <c r="BJ256" s="26"/>
      <c r="BK256" s="26"/>
    </row>
    <row r="257" spans="1:63" x14ac:dyDescent="0.25">
      <c r="A257" s="154"/>
      <c r="B257" s="3654" t="s">
        <v>860</v>
      </c>
      <c r="C257" s="3616" t="s">
        <v>1149</v>
      </c>
      <c r="D257" s="3616"/>
      <c r="E257" s="3655"/>
      <c r="F257" s="1134">
        <v>14131.059999999992</v>
      </c>
      <c r="G257" s="3655"/>
      <c r="H257" s="1134">
        <v>6163.3799999999992</v>
      </c>
      <c r="I257" s="3656"/>
      <c r="J257" s="782">
        <f t="shared" si="346"/>
        <v>20294.439999999991</v>
      </c>
      <c r="K257" s="3655"/>
      <c r="L257" s="1134">
        <v>4807.3</v>
      </c>
      <c r="M257" s="3657"/>
      <c r="N257" s="781">
        <f t="shared" si="347"/>
        <v>25101.739999999991</v>
      </c>
      <c r="O257" s="3655"/>
      <c r="P257" s="1134">
        <v>11289.410000000002</v>
      </c>
      <c r="Q257" s="3656"/>
      <c r="R257" s="782">
        <f t="shared" si="348"/>
        <v>36391.149999999994</v>
      </c>
      <c r="S257" s="3655"/>
      <c r="T257" s="1134">
        <v>9006</v>
      </c>
      <c r="U257" s="3656"/>
      <c r="V257" s="782">
        <f t="shared" si="349"/>
        <v>45397.149999999994</v>
      </c>
      <c r="W257" s="3655"/>
      <c r="X257" s="1134">
        <v>8734.58</v>
      </c>
      <c r="Y257" s="3657"/>
      <c r="Z257" s="781">
        <f t="shared" si="350"/>
        <v>29029.990000000005</v>
      </c>
      <c r="AA257" s="3658"/>
      <c r="AB257" s="3562">
        <f t="shared" si="351"/>
        <v>54131.729999999996</v>
      </c>
      <c r="AC257" s="3655"/>
      <c r="AD257" s="1134">
        <v>7111.8199999999988</v>
      </c>
      <c r="AE257" s="3656"/>
      <c r="AF257" s="782">
        <f t="shared" si="352"/>
        <v>61243.549999999996</v>
      </c>
      <c r="AG257" s="3655"/>
      <c r="AH257" s="1134">
        <v>3798.27</v>
      </c>
      <c r="AI257" s="3656"/>
      <c r="AJ257" s="782">
        <f t="shared" si="385"/>
        <v>65041.819999999992</v>
      </c>
      <c r="AK257" s="3655"/>
      <c r="AL257" s="1134">
        <v>9699.6000000000022</v>
      </c>
      <c r="AM257" s="3657"/>
      <c r="AN257" s="446">
        <f t="shared" si="381"/>
        <v>20609.690000000002</v>
      </c>
      <c r="AO257" s="3656"/>
      <c r="AP257" s="782">
        <f t="shared" si="382"/>
        <v>74741.42</v>
      </c>
      <c r="AQ257" s="3655"/>
      <c r="AR257" s="1134">
        <v>11362.95</v>
      </c>
      <c r="AS257" s="3656"/>
      <c r="AT257" s="782">
        <f t="shared" si="386"/>
        <v>86104.37</v>
      </c>
      <c r="AU257" s="3655"/>
      <c r="AV257" s="1134">
        <v>12260.820000000003</v>
      </c>
      <c r="AW257" s="3656"/>
      <c r="AX257" s="782">
        <f t="shared" si="387"/>
        <v>98365.19</v>
      </c>
      <c r="AY257" s="3655"/>
      <c r="AZ257" s="1134">
        <v>12275.069999999996</v>
      </c>
      <c r="BA257" s="3657"/>
      <c r="BB257" s="4771">
        <f t="shared" si="383"/>
        <v>35898.839999999997</v>
      </c>
      <c r="BC257" s="3658"/>
      <c r="BD257" s="3604">
        <f t="shared" si="384"/>
        <v>56508.53</v>
      </c>
      <c r="BE257" s="3656"/>
      <c r="BF257" s="572">
        <f t="shared" si="388"/>
        <v>110640.26</v>
      </c>
      <c r="BG257" s="26"/>
      <c r="BH257" s="26"/>
      <c r="BI257" s="26"/>
      <c r="BJ257" s="26"/>
      <c r="BK257" s="26"/>
    </row>
    <row r="258" spans="1:63" x14ac:dyDescent="0.25">
      <c r="A258" s="154"/>
      <c r="B258" s="3654" t="s">
        <v>860</v>
      </c>
      <c r="C258" s="3616" t="s">
        <v>1004</v>
      </c>
      <c r="D258" s="3616"/>
      <c r="E258" s="3655"/>
      <c r="F258" s="1134"/>
      <c r="G258" s="3655"/>
      <c r="H258" s="1134"/>
      <c r="I258" s="3656"/>
      <c r="J258" s="782">
        <f t="shared" si="346"/>
        <v>0</v>
      </c>
      <c r="K258" s="3655"/>
      <c r="L258" s="1134"/>
      <c r="M258" s="3657"/>
      <c r="N258" s="781">
        <f t="shared" si="347"/>
        <v>0</v>
      </c>
      <c r="O258" s="3655"/>
      <c r="P258" s="1134"/>
      <c r="Q258" s="3656"/>
      <c r="R258" s="782">
        <f t="shared" si="348"/>
        <v>0</v>
      </c>
      <c r="S258" s="3655"/>
      <c r="T258" s="1134">
        <v>42.09</v>
      </c>
      <c r="U258" s="3656"/>
      <c r="V258" s="782">
        <f t="shared" si="349"/>
        <v>42.09</v>
      </c>
      <c r="W258" s="3655"/>
      <c r="X258" s="1134"/>
      <c r="Y258" s="3657"/>
      <c r="Z258" s="781">
        <f t="shared" si="350"/>
        <v>42.09</v>
      </c>
      <c r="AA258" s="3658"/>
      <c r="AB258" s="3562">
        <f t="shared" si="351"/>
        <v>42.09</v>
      </c>
      <c r="AC258" s="3655"/>
      <c r="AD258" s="1134"/>
      <c r="AE258" s="3656"/>
      <c r="AF258" s="782">
        <f t="shared" si="352"/>
        <v>42.09</v>
      </c>
      <c r="AG258" s="3655"/>
      <c r="AH258" s="1134">
        <v>978.90000000000009</v>
      </c>
      <c r="AI258" s="3656"/>
      <c r="AJ258" s="782">
        <f t="shared" si="385"/>
        <v>1020.9900000000001</v>
      </c>
      <c r="AK258" s="3655"/>
      <c r="AL258" s="1134"/>
      <c r="AM258" s="3657"/>
      <c r="AN258" s="446">
        <f t="shared" si="381"/>
        <v>978.90000000000009</v>
      </c>
      <c r="AO258" s="3656"/>
      <c r="AP258" s="782">
        <f t="shared" si="382"/>
        <v>1020.9900000000001</v>
      </c>
      <c r="AQ258" s="3655"/>
      <c r="AR258" s="1134"/>
      <c r="AS258" s="3656"/>
      <c r="AT258" s="782">
        <f t="shared" si="386"/>
        <v>1020.9900000000001</v>
      </c>
      <c r="AU258" s="3655"/>
      <c r="AV258" s="1134">
        <v>1034.1999999999998</v>
      </c>
      <c r="AW258" s="3656"/>
      <c r="AX258" s="782">
        <f t="shared" si="387"/>
        <v>2055.19</v>
      </c>
      <c r="AY258" s="3655"/>
      <c r="AZ258" s="1134">
        <v>127.24</v>
      </c>
      <c r="BA258" s="3657"/>
      <c r="BB258" s="4771">
        <f t="shared" si="383"/>
        <v>1161.4399999999998</v>
      </c>
      <c r="BC258" s="3658"/>
      <c r="BD258" s="3604">
        <f t="shared" si="384"/>
        <v>2140.34</v>
      </c>
      <c r="BE258" s="3656"/>
      <c r="BF258" s="572">
        <f t="shared" si="388"/>
        <v>2182.4299999999998</v>
      </c>
      <c r="BG258" s="26"/>
      <c r="BH258" s="26"/>
      <c r="BI258" s="26"/>
      <c r="BJ258" s="26"/>
      <c r="BK258" s="26"/>
    </row>
    <row r="259" spans="1:63" x14ac:dyDescent="0.25">
      <c r="A259" s="154"/>
      <c r="B259" s="3654" t="s">
        <v>860</v>
      </c>
      <c r="C259" s="3616" t="s">
        <v>1005</v>
      </c>
      <c r="D259" s="3616"/>
      <c r="E259" s="3655"/>
      <c r="F259" s="1134">
        <v>883.94</v>
      </c>
      <c r="G259" s="3655"/>
      <c r="H259" s="1134">
        <v>304.10000000000002</v>
      </c>
      <c r="I259" s="3656"/>
      <c r="J259" s="782">
        <f t="shared" si="346"/>
        <v>1188.04</v>
      </c>
      <c r="K259" s="3655"/>
      <c r="L259" s="1134"/>
      <c r="M259" s="3657"/>
      <c r="N259" s="781">
        <f t="shared" si="347"/>
        <v>1188.04</v>
      </c>
      <c r="O259" s="3655"/>
      <c r="P259" s="1134"/>
      <c r="Q259" s="3656"/>
      <c r="R259" s="782">
        <f t="shared" si="348"/>
        <v>1188.04</v>
      </c>
      <c r="S259" s="3655"/>
      <c r="T259" s="1134">
        <v>259.26000000000005</v>
      </c>
      <c r="U259" s="3656"/>
      <c r="V259" s="782">
        <f t="shared" si="349"/>
        <v>1447.3</v>
      </c>
      <c r="W259" s="3655"/>
      <c r="X259" s="1134">
        <v>1347.9700000000003</v>
      </c>
      <c r="Y259" s="3657"/>
      <c r="Z259" s="781">
        <f t="shared" si="350"/>
        <v>1607.2300000000002</v>
      </c>
      <c r="AA259" s="3658"/>
      <c r="AB259" s="3562">
        <f t="shared" si="351"/>
        <v>2795.2700000000004</v>
      </c>
      <c r="AC259" s="3655"/>
      <c r="AD259" s="1134"/>
      <c r="AE259" s="3656"/>
      <c r="AF259" s="782">
        <f t="shared" si="352"/>
        <v>2795.2700000000004</v>
      </c>
      <c r="AG259" s="3655"/>
      <c r="AH259" s="1134"/>
      <c r="AI259" s="3656"/>
      <c r="AJ259" s="782">
        <f t="shared" si="385"/>
        <v>2795.2700000000004</v>
      </c>
      <c r="AK259" s="3655"/>
      <c r="AL259" s="1134"/>
      <c r="AM259" s="3657"/>
      <c r="AN259" s="446">
        <f t="shared" si="381"/>
        <v>0</v>
      </c>
      <c r="AO259" s="3656"/>
      <c r="AP259" s="782">
        <f t="shared" si="382"/>
        <v>2795.2700000000004</v>
      </c>
      <c r="AQ259" s="3655"/>
      <c r="AR259" s="1134"/>
      <c r="AS259" s="3656"/>
      <c r="AT259" s="782">
        <f t="shared" si="386"/>
        <v>2795.2700000000004</v>
      </c>
      <c r="AU259" s="3655"/>
      <c r="AV259" s="1134">
        <v>1620.3600000000001</v>
      </c>
      <c r="AW259" s="3656"/>
      <c r="AX259" s="782">
        <f t="shared" si="387"/>
        <v>4415.630000000001</v>
      </c>
      <c r="AY259" s="3655"/>
      <c r="AZ259" s="1134"/>
      <c r="BA259" s="3657"/>
      <c r="BB259" s="4771">
        <f t="shared" si="383"/>
        <v>1620.3600000000001</v>
      </c>
      <c r="BC259" s="3658"/>
      <c r="BD259" s="3604">
        <f t="shared" si="384"/>
        <v>1620.3600000000001</v>
      </c>
      <c r="BE259" s="3656"/>
      <c r="BF259" s="572">
        <f t="shared" si="388"/>
        <v>4415.630000000001</v>
      </c>
      <c r="BG259" s="26"/>
      <c r="BH259" s="26"/>
      <c r="BI259" s="26"/>
      <c r="BJ259" s="26"/>
      <c r="BK259" s="26"/>
    </row>
    <row r="260" spans="1:63" ht="15.75" thickBot="1" x14ac:dyDescent="0.3">
      <c r="A260" s="154"/>
      <c r="B260" s="3659" t="s">
        <v>860</v>
      </c>
      <c r="C260" s="3660" t="s">
        <v>1390</v>
      </c>
      <c r="D260" s="3660"/>
      <c r="E260" s="3661"/>
      <c r="F260" s="2979"/>
      <c r="G260" s="3661"/>
      <c r="H260" s="2979"/>
      <c r="I260" s="3662"/>
      <c r="J260" s="782">
        <f t="shared" si="346"/>
        <v>0</v>
      </c>
      <c r="K260" s="3661"/>
      <c r="L260" s="2979">
        <v>579.20000000000005</v>
      </c>
      <c r="M260" s="3657"/>
      <c r="N260" s="781">
        <f t="shared" si="347"/>
        <v>579.20000000000005</v>
      </c>
      <c r="O260" s="3661"/>
      <c r="P260" s="2979"/>
      <c r="Q260" s="3656"/>
      <c r="R260" s="782">
        <f t="shared" si="348"/>
        <v>579.20000000000005</v>
      </c>
      <c r="S260" s="3661"/>
      <c r="T260" s="2979"/>
      <c r="U260" s="3656"/>
      <c r="V260" s="782">
        <f t="shared" si="349"/>
        <v>579.20000000000005</v>
      </c>
      <c r="W260" s="3661"/>
      <c r="X260" s="2979"/>
      <c r="Y260" s="3657"/>
      <c r="Z260" s="781">
        <f t="shared" si="350"/>
        <v>0</v>
      </c>
      <c r="AA260" s="3658"/>
      <c r="AB260" s="3562">
        <f t="shared" si="351"/>
        <v>579.20000000000005</v>
      </c>
      <c r="AC260" s="3661"/>
      <c r="AD260" s="2979"/>
      <c r="AE260" s="3656"/>
      <c r="AF260" s="782">
        <f t="shared" si="352"/>
        <v>579.20000000000005</v>
      </c>
      <c r="AG260" s="3661"/>
      <c r="AH260" s="2979"/>
      <c r="AI260" s="3656"/>
      <c r="AJ260" s="782">
        <f t="shared" si="385"/>
        <v>579.20000000000005</v>
      </c>
      <c r="AK260" s="3661"/>
      <c r="AL260" s="2979"/>
      <c r="AM260" s="3657"/>
      <c r="AN260" s="446">
        <f t="shared" si="381"/>
        <v>0</v>
      </c>
      <c r="AO260" s="3656"/>
      <c r="AP260" s="782">
        <f t="shared" si="382"/>
        <v>579.20000000000005</v>
      </c>
      <c r="AQ260" s="3661"/>
      <c r="AR260" s="2979"/>
      <c r="AS260" s="3656"/>
      <c r="AT260" s="782">
        <f t="shared" si="386"/>
        <v>579.20000000000005</v>
      </c>
      <c r="AU260" s="3661"/>
      <c r="AV260" s="2979"/>
      <c r="AW260" s="3656"/>
      <c r="AX260" s="782">
        <f t="shared" si="387"/>
        <v>579.20000000000005</v>
      </c>
      <c r="AY260" s="3661"/>
      <c r="AZ260" s="2979"/>
      <c r="BA260" s="3657"/>
      <c r="BB260" s="4771">
        <f t="shared" si="383"/>
        <v>0</v>
      </c>
      <c r="BC260" s="3658"/>
      <c r="BD260" s="3604">
        <f t="shared" si="384"/>
        <v>0</v>
      </c>
      <c r="BE260" s="3656"/>
      <c r="BF260" s="572">
        <f t="shared" si="388"/>
        <v>579.20000000000005</v>
      </c>
      <c r="BG260" s="26"/>
      <c r="BH260" s="26"/>
      <c r="BI260" s="26"/>
      <c r="BJ260" s="26"/>
      <c r="BK260" s="26"/>
    </row>
    <row r="261" spans="1:63" x14ac:dyDescent="0.25">
      <c r="A261" s="154"/>
      <c r="B261" s="2915" t="s">
        <v>861</v>
      </c>
      <c r="C261" s="3615" t="s">
        <v>876</v>
      </c>
      <c r="D261" s="3615"/>
      <c r="E261" s="3663"/>
      <c r="F261" s="275"/>
      <c r="G261" s="3663"/>
      <c r="H261" s="275">
        <v>5044.369999999999</v>
      </c>
      <c r="I261" s="3664"/>
      <c r="J261" s="782">
        <f t="shared" si="346"/>
        <v>5044.369999999999</v>
      </c>
      <c r="K261" s="3663"/>
      <c r="L261" s="275">
        <v>2981.4500000000003</v>
      </c>
      <c r="M261" s="3657"/>
      <c r="N261" s="781">
        <f t="shared" si="347"/>
        <v>8025.82</v>
      </c>
      <c r="O261" s="3663"/>
      <c r="P261" s="275">
        <v>3391.0299999999993</v>
      </c>
      <c r="Q261" s="3656"/>
      <c r="R261" s="782">
        <f t="shared" si="348"/>
        <v>11416.849999999999</v>
      </c>
      <c r="S261" s="3663"/>
      <c r="T261" s="275">
        <v>3725.8200000000006</v>
      </c>
      <c r="U261" s="3656"/>
      <c r="V261" s="782">
        <f t="shared" si="349"/>
        <v>15142.669999999998</v>
      </c>
      <c r="W261" s="3663"/>
      <c r="X261" s="275">
        <v>95.160000000000011</v>
      </c>
      <c r="Y261" s="3657"/>
      <c r="Z261" s="781">
        <f t="shared" si="350"/>
        <v>7212.01</v>
      </c>
      <c r="AA261" s="3658"/>
      <c r="AB261" s="3562">
        <f t="shared" si="351"/>
        <v>15237.83</v>
      </c>
      <c r="AC261" s="3663"/>
      <c r="AD261" s="275">
        <v>2033.9599999999991</v>
      </c>
      <c r="AE261" s="3656"/>
      <c r="AF261" s="782">
        <f t="shared" si="352"/>
        <v>17271.79</v>
      </c>
      <c r="AG261" s="3663"/>
      <c r="AH261" s="275">
        <v>57.82</v>
      </c>
      <c r="AI261" s="3656"/>
      <c r="AJ261" s="782">
        <f t="shared" si="385"/>
        <v>17329.61</v>
      </c>
      <c r="AK261" s="3663"/>
      <c r="AL261" s="275">
        <v>3863.8500000000004</v>
      </c>
      <c r="AM261" s="3657"/>
      <c r="AN261" s="446">
        <f t="shared" si="381"/>
        <v>5955.6299999999992</v>
      </c>
      <c r="AO261" s="3656"/>
      <c r="AP261" s="782">
        <f t="shared" si="382"/>
        <v>21193.46</v>
      </c>
      <c r="AQ261" s="3663"/>
      <c r="AR261" s="275">
        <v>2458.8399999999997</v>
      </c>
      <c r="AS261" s="3656"/>
      <c r="AT261" s="782">
        <f t="shared" si="386"/>
        <v>23652.3</v>
      </c>
      <c r="AU261" s="3663"/>
      <c r="AV261" s="275">
        <v>4053.6099999999997</v>
      </c>
      <c r="AW261" s="3656"/>
      <c r="AX261" s="782">
        <f t="shared" si="387"/>
        <v>27705.91</v>
      </c>
      <c r="AY261" s="3663"/>
      <c r="AZ261" s="275">
        <v>2934.5399999999995</v>
      </c>
      <c r="BA261" s="3657"/>
      <c r="BB261" s="4771">
        <f t="shared" si="383"/>
        <v>9446.989999999998</v>
      </c>
      <c r="BC261" s="3658"/>
      <c r="BD261" s="3604">
        <f t="shared" si="384"/>
        <v>15402.619999999997</v>
      </c>
      <c r="BE261" s="3656"/>
      <c r="BF261" s="572">
        <f t="shared" si="388"/>
        <v>30640.45</v>
      </c>
      <c r="BG261" s="26"/>
      <c r="BH261" s="26"/>
      <c r="BI261" s="26"/>
      <c r="BJ261" s="26"/>
      <c r="BK261" s="26"/>
    </row>
    <row r="262" spans="1:63" x14ac:dyDescent="0.25">
      <c r="A262" s="93"/>
      <c r="B262" s="850" t="s">
        <v>861</v>
      </c>
      <c r="C262" s="3625" t="s">
        <v>885</v>
      </c>
      <c r="D262" s="3625"/>
      <c r="E262" s="3665"/>
      <c r="F262" s="2716">
        <v>1950.9600000000003</v>
      </c>
      <c r="G262" s="3665"/>
      <c r="H262" s="2716">
        <v>5315.61</v>
      </c>
      <c r="I262" s="3666"/>
      <c r="J262" s="782">
        <f t="shared" si="346"/>
        <v>7266.57</v>
      </c>
      <c r="K262" s="3665"/>
      <c r="L262" s="2716">
        <v>8540.5599999999977</v>
      </c>
      <c r="M262" s="3657"/>
      <c r="N262" s="781">
        <f t="shared" si="347"/>
        <v>15807.129999999997</v>
      </c>
      <c r="O262" s="3665"/>
      <c r="P262" s="2716">
        <v>12128.730000000001</v>
      </c>
      <c r="Q262" s="3656"/>
      <c r="R262" s="782">
        <f t="shared" si="348"/>
        <v>27935.86</v>
      </c>
      <c r="S262" s="3665"/>
      <c r="T262" s="2716">
        <v>7920.03</v>
      </c>
      <c r="U262" s="3656"/>
      <c r="V262" s="782">
        <f t="shared" si="349"/>
        <v>35855.89</v>
      </c>
      <c r="W262" s="3665"/>
      <c r="X262" s="2716">
        <v>7240.1899999999978</v>
      </c>
      <c r="Y262" s="3657"/>
      <c r="Z262" s="781">
        <f t="shared" si="350"/>
        <v>27288.95</v>
      </c>
      <c r="AA262" s="3658"/>
      <c r="AB262" s="3562">
        <f t="shared" si="351"/>
        <v>43096.08</v>
      </c>
      <c r="AC262" s="3665"/>
      <c r="AD262" s="2716">
        <v>2469.6400000000003</v>
      </c>
      <c r="AE262" s="3656"/>
      <c r="AF262" s="782">
        <f t="shared" si="352"/>
        <v>45565.72</v>
      </c>
      <c r="AG262" s="3665"/>
      <c r="AH262" s="2716"/>
      <c r="AI262" s="3656"/>
      <c r="AJ262" s="782">
        <f t="shared" si="385"/>
        <v>45565.72</v>
      </c>
      <c r="AK262" s="3665"/>
      <c r="AL262" s="2716">
        <v>4754.3899999999994</v>
      </c>
      <c r="AM262" s="3657"/>
      <c r="AN262" s="446">
        <f t="shared" si="381"/>
        <v>7224.03</v>
      </c>
      <c r="AO262" s="3656"/>
      <c r="AP262" s="782">
        <f t="shared" si="382"/>
        <v>50320.11</v>
      </c>
      <c r="AQ262" s="3665"/>
      <c r="AR262" s="2716">
        <v>4396.9899999999989</v>
      </c>
      <c r="AS262" s="3656"/>
      <c r="AT262" s="782">
        <f t="shared" si="386"/>
        <v>54717.1</v>
      </c>
      <c r="AU262" s="3665"/>
      <c r="AV262" s="2716">
        <v>1449.3400000000004</v>
      </c>
      <c r="AW262" s="3656"/>
      <c r="AX262" s="782">
        <f t="shared" si="387"/>
        <v>56166.44</v>
      </c>
      <c r="AY262" s="3665"/>
      <c r="AZ262" s="2716">
        <v>3645.5499999999993</v>
      </c>
      <c r="BA262" s="3657"/>
      <c r="BB262" s="4771">
        <f t="shared" si="383"/>
        <v>9491.8799999999974</v>
      </c>
      <c r="BC262" s="3658"/>
      <c r="BD262" s="3604">
        <f t="shared" si="384"/>
        <v>16715.909999999996</v>
      </c>
      <c r="BE262" s="3656"/>
      <c r="BF262" s="572">
        <f t="shared" si="388"/>
        <v>59811.990000000005</v>
      </c>
      <c r="BG262" s="26"/>
      <c r="BH262" s="26"/>
      <c r="BI262" s="26"/>
      <c r="BJ262" s="26"/>
      <c r="BK262" s="26"/>
    </row>
    <row r="263" spans="1:63" x14ac:dyDescent="0.25">
      <c r="A263" s="154"/>
      <c r="B263" s="850" t="s">
        <v>861</v>
      </c>
      <c r="C263" s="3625" t="s">
        <v>1149</v>
      </c>
      <c r="D263" s="3625"/>
      <c r="E263" s="3665"/>
      <c r="F263" s="2716">
        <v>2155.3900000000003</v>
      </c>
      <c r="G263" s="3665"/>
      <c r="H263" s="2716">
        <v>10114.569999999998</v>
      </c>
      <c r="I263" s="3666"/>
      <c r="J263" s="782">
        <f t="shared" si="346"/>
        <v>12269.96</v>
      </c>
      <c r="K263" s="3665"/>
      <c r="L263" s="2716">
        <v>9903.4400000000023</v>
      </c>
      <c r="M263" s="3657"/>
      <c r="N263" s="781">
        <f t="shared" si="347"/>
        <v>22173.4</v>
      </c>
      <c r="O263" s="3665"/>
      <c r="P263" s="2716">
        <v>7580.22</v>
      </c>
      <c r="Q263" s="3656"/>
      <c r="R263" s="782">
        <f t="shared" si="348"/>
        <v>29753.620000000003</v>
      </c>
      <c r="S263" s="3665"/>
      <c r="T263" s="2716">
        <v>9293.1999999999971</v>
      </c>
      <c r="U263" s="3656"/>
      <c r="V263" s="782">
        <f t="shared" si="349"/>
        <v>39046.82</v>
      </c>
      <c r="W263" s="3665"/>
      <c r="X263" s="2716">
        <v>3702.84</v>
      </c>
      <c r="Y263" s="3657"/>
      <c r="Z263" s="781">
        <f t="shared" si="350"/>
        <v>20576.259999999998</v>
      </c>
      <c r="AA263" s="3658"/>
      <c r="AB263" s="3562">
        <f t="shared" si="351"/>
        <v>42749.66</v>
      </c>
      <c r="AC263" s="3665"/>
      <c r="AD263" s="2716">
        <v>15211.889999999996</v>
      </c>
      <c r="AE263" s="3656"/>
      <c r="AF263" s="782">
        <f t="shared" si="352"/>
        <v>57961.55</v>
      </c>
      <c r="AG263" s="3665"/>
      <c r="AH263" s="2716">
        <v>63.66</v>
      </c>
      <c r="AI263" s="3656"/>
      <c r="AJ263" s="782">
        <f t="shared" si="385"/>
        <v>58025.210000000006</v>
      </c>
      <c r="AK263" s="3665"/>
      <c r="AL263" s="2716">
        <v>9978.9400000000023</v>
      </c>
      <c r="AM263" s="3657"/>
      <c r="AN263" s="446">
        <f t="shared" si="381"/>
        <v>25254.489999999998</v>
      </c>
      <c r="AO263" s="3656"/>
      <c r="AP263" s="782">
        <f t="shared" si="382"/>
        <v>68004.150000000009</v>
      </c>
      <c r="AQ263" s="3665"/>
      <c r="AR263" s="2716">
        <v>11094.81</v>
      </c>
      <c r="AS263" s="3656"/>
      <c r="AT263" s="782">
        <f t="shared" si="386"/>
        <v>79098.960000000006</v>
      </c>
      <c r="AU263" s="3665"/>
      <c r="AV263" s="2716">
        <v>7065.4400000000023</v>
      </c>
      <c r="AW263" s="3656"/>
      <c r="AX263" s="782">
        <f t="shared" si="387"/>
        <v>86164.400000000009</v>
      </c>
      <c r="AY263" s="3665"/>
      <c r="AZ263" s="2716">
        <v>13521.100000000002</v>
      </c>
      <c r="BA263" s="3657"/>
      <c r="BB263" s="4771">
        <f t="shared" si="383"/>
        <v>31681.350000000002</v>
      </c>
      <c r="BC263" s="3658"/>
      <c r="BD263" s="3604">
        <f t="shared" si="384"/>
        <v>56935.839999999997</v>
      </c>
      <c r="BE263" s="3656"/>
      <c r="BF263" s="572">
        <f t="shared" si="388"/>
        <v>99685.500000000015</v>
      </c>
      <c r="BG263" s="26"/>
      <c r="BH263" s="26"/>
      <c r="BI263" s="26"/>
      <c r="BJ263" s="26"/>
      <c r="BK263" s="26"/>
    </row>
    <row r="264" spans="1:63" x14ac:dyDescent="0.25">
      <c r="A264" s="154"/>
      <c r="B264" s="850" t="s">
        <v>861</v>
      </c>
      <c r="C264" s="3625" t="s">
        <v>1004</v>
      </c>
      <c r="D264" s="3625"/>
      <c r="E264" s="3665"/>
      <c r="F264" s="2716"/>
      <c r="G264" s="3665"/>
      <c r="H264" s="2716"/>
      <c r="I264" s="3666"/>
      <c r="J264" s="782">
        <f t="shared" si="346"/>
        <v>0</v>
      </c>
      <c r="K264" s="3665"/>
      <c r="L264" s="2716"/>
      <c r="M264" s="3657"/>
      <c r="N264" s="781">
        <f t="shared" si="347"/>
        <v>0</v>
      </c>
      <c r="O264" s="3665"/>
      <c r="P264" s="2716"/>
      <c r="Q264" s="3656"/>
      <c r="R264" s="782">
        <f t="shared" si="348"/>
        <v>0</v>
      </c>
      <c r="S264" s="3665"/>
      <c r="T264" s="2716"/>
      <c r="U264" s="3656"/>
      <c r="V264" s="782">
        <f t="shared" si="349"/>
        <v>0</v>
      </c>
      <c r="W264" s="3665"/>
      <c r="X264" s="2716"/>
      <c r="Y264" s="3657"/>
      <c r="Z264" s="781">
        <f t="shared" si="350"/>
        <v>0</v>
      </c>
      <c r="AA264" s="3658"/>
      <c r="AB264" s="3562">
        <f t="shared" si="351"/>
        <v>0</v>
      </c>
      <c r="AC264" s="3665"/>
      <c r="AD264" s="2716">
        <v>503.5</v>
      </c>
      <c r="AE264" s="3656"/>
      <c r="AF264" s="782">
        <f t="shared" si="352"/>
        <v>503.5</v>
      </c>
      <c r="AG264" s="3665"/>
      <c r="AH264" s="2716"/>
      <c r="AI264" s="3656"/>
      <c r="AJ264" s="782">
        <f t="shared" si="385"/>
        <v>503.5</v>
      </c>
      <c r="AK264" s="3665"/>
      <c r="AL264" s="2716"/>
      <c r="AM264" s="3657"/>
      <c r="AN264" s="446">
        <f t="shared" si="381"/>
        <v>503.5</v>
      </c>
      <c r="AO264" s="3656"/>
      <c r="AP264" s="782">
        <f t="shared" si="382"/>
        <v>503.5</v>
      </c>
      <c r="AQ264" s="3665"/>
      <c r="AR264" s="2716">
        <v>502.94</v>
      </c>
      <c r="AS264" s="3656"/>
      <c r="AT264" s="782">
        <f t="shared" si="386"/>
        <v>1006.44</v>
      </c>
      <c r="AU264" s="3665"/>
      <c r="AV264" s="2716"/>
      <c r="AW264" s="3656"/>
      <c r="AX264" s="782">
        <f t="shared" si="387"/>
        <v>1006.44</v>
      </c>
      <c r="AY264" s="3665"/>
      <c r="AZ264" s="2716">
        <v>129.5</v>
      </c>
      <c r="BA264" s="3657"/>
      <c r="BB264" s="4771">
        <f t="shared" si="383"/>
        <v>632.44000000000005</v>
      </c>
      <c r="BC264" s="3658"/>
      <c r="BD264" s="3604">
        <f t="shared" si="384"/>
        <v>1135.94</v>
      </c>
      <c r="BE264" s="3656"/>
      <c r="BF264" s="572">
        <f t="shared" si="388"/>
        <v>1135.94</v>
      </c>
      <c r="BG264" s="26"/>
      <c r="BH264" s="26"/>
      <c r="BI264" s="26"/>
      <c r="BJ264" s="26"/>
      <c r="BK264" s="26"/>
    </row>
    <row r="265" spans="1:63" ht="15.75" thickBot="1" x14ac:dyDescent="0.3">
      <c r="A265" s="93"/>
      <c r="B265" s="2919" t="s">
        <v>861</v>
      </c>
      <c r="C265" s="3619" t="s">
        <v>1005</v>
      </c>
      <c r="D265" s="3619"/>
      <c r="E265" s="3667"/>
      <c r="F265" s="234"/>
      <c r="G265" s="3667"/>
      <c r="H265" s="234">
        <v>562.61999999999989</v>
      </c>
      <c r="I265" s="3668"/>
      <c r="J265" s="782">
        <f t="shared" ref="J265:J328" si="389">F265+H265</f>
        <v>562.61999999999989</v>
      </c>
      <c r="K265" s="3667"/>
      <c r="L265" s="234"/>
      <c r="M265" s="3657"/>
      <c r="N265" s="781">
        <f t="shared" ref="N265:N328" si="390">J265+L265</f>
        <v>562.61999999999989</v>
      </c>
      <c r="O265" s="3667"/>
      <c r="P265" s="234"/>
      <c r="Q265" s="3656"/>
      <c r="R265" s="782">
        <f t="shared" ref="R265:R328" si="391">N265+P265</f>
        <v>562.61999999999989</v>
      </c>
      <c r="S265" s="3667"/>
      <c r="T265" s="234"/>
      <c r="U265" s="3656"/>
      <c r="V265" s="782">
        <f t="shared" ref="V265:V328" si="392">R265+T265</f>
        <v>562.61999999999989</v>
      </c>
      <c r="W265" s="3667"/>
      <c r="X265" s="234">
        <v>1176.4400000000003</v>
      </c>
      <c r="Y265" s="3657"/>
      <c r="Z265" s="781">
        <f t="shared" ref="Z265:Z328" si="393">P265+T265+X265</f>
        <v>1176.4400000000003</v>
      </c>
      <c r="AA265" s="3658"/>
      <c r="AB265" s="3562">
        <f t="shared" ref="AB265:AB328" si="394">N265+Z265</f>
        <v>1739.0600000000002</v>
      </c>
      <c r="AC265" s="3667"/>
      <c r="AD265" s="234"/>
      <c r="AE265" s="3656"/>
      <c r="AF265" s="782">
        <f t="shared" ref="AF265:AF328" si="395">AB265+AD265</f>
        <v>1739.0600000000002</v>
      </c>
      <c r="AG265" s="3667"/>
      <c r="AH265" s="234"/>
      <c r="AI265" s="3656"/>
      <c r="AJ265" s="782">
        <f t="shared" si="385"/>
        <v>1739.0600000000002</v>
      </c>
      <c r="AK265" s="3667"/>
      <c r="AL265" s="234"/>
      <c r="AM265" s="3657"/>
      <c r="AN265" s="446">
        <f t="shared" si="381"/>
        <v>0</v>
      </c>
      <c r="AO265" s="3656"/>
      <c r="AP265" s="782">
        <f t="shared" si="382"/>
        <v>1739.0600000000002</v>
      </c>
      <c r="AQ265" s="3667"/>
      <c r="AR265" s="234"/>
      <c r="AS265" s="3656"/>
      <c r="AT265" s="782">
        <f t="shared" si="386"/>
        <v>1739.0600000000002</v>
      </c>
      <c r="AU265" s="3667"/>
      <c r="AV265" s="234"/>
      <c r="AW265" s="3656"/>
      <c r="AX265" s="782">
        <f t="shared" si="387"/>
        <v>1739.0600000000002</v>
      </c>
      <c r="AY265" s="3667"/>
      <c r="AZ265" s="234"/>
      <c r="BA265" s="3657"/>
      <c r="BB265" s="4771">
        <f t="shared" si="383"/>
        <v>0</v>
      </c>
      <c r="BC265" s="3658"/>
      <c r="BD265" s="3604">
        <f t="shared" si="384"/>
        <v>0</v>
      </c>
      <c r="BE265" s="3656"/>
      <c r="BF265" s="572">
        <f t="shared" si="388"/>
        <v>1739.0600000000002</v>
      </c>
      <c r="BG265" s="26"/>
      <c r="BH265" s="26"/>
      <c r="BI265" s="26"/>
      <c r="BJ265" s="26"/>
      <c r="BK265" s="26"/>
    </row>
    <row r="266" spans="1:63" x14ac:dyDescent="0.25">
      <c r="A266" s="93"/>
      <c r="B266" s="3673" t="s">
        <v>862</v>
      </c>
      <c r="C266" s="3622" t="s">
        <v>876</v>
      </c>
      <c r="D266" s="3622"/>
      <c r="E266" s="3676"/>
      <c r="F266" s="1306">
        <v>1500.1899999999998</v>
      </c>
      <c r="G266" s="3676"/>
      <c r="H266" s="1306">
        <v>1775.9399999999998</v>
      </c>
      <c r="I266" s="3677"/>
      <c r="J266" s="782">
        <f t="shared" si="389"/>
        <v>3276.1299999999997</v>
      </c>
      <c r="K266" s="3676"/>
      <c r="L266" s="1306">
        <v>1770.86</v>
      </c>
      <c r="M266" s="3657"/>
      <c r="N266" s="781">
        <f t="shared" si="390"/>
        <v>5046.99</v>
      </c>
      <c r="O266" s="3676"/>
      <c r="P266" s="1306"/>
      <c r="Q266" s="3656"/>
      <c r="R266" s="782">
        <f t="shared" si="391"/>
        <v>5046.99</v>
      </c>
      <c r="S266" s="3676"/>
      <c r="T266" s="1306"/>
      <c r="U266" s="3656"/>
      <c r="V266" s="782">
        <f t="shared" si="392"/>
        <v>5046.99</v>
      </c>
      <c r="W266" s="3676"/>
      <c r="X266" s="1306">
        <v>1043.68</v>
      </c>
      <c r="Y266" s="3657"/>
      <c r="Z266" s="781">
        <f t="shared" si="393"/>
        <v>1043.68</v>
      </c>
      <c r="AA266" s="3658"/>
      <c r="AB266" s="3562">
        <f t="shared" si="394"/>
        <v>6090.67</v>
      </c>
      <c r="AC266" s="3676"/>
      <c r="AD266" s="1306"/>
      <c r="AE266" s="3656"/>
      <c r="AF266" s="782">
        <f t="shared" si="395"/>
        <v>6090.67</v>
      </c>
      <c r="AG266" s="3676"/>
      <c r="AH266" s="1306">
        <v>15.22</v>
      </c>
      <c r="AI266" s="3656"/>
      <c r="AJ266" s="782">
        <f t="shared" si="385"/>
        <v>6105.89</v>
      </c>
      <c r="AK266" s="3676"/>
      <c r="AL266" s="1306">
        <v>2248.0099999999998</v>
      </c>
      <c r="AM266" s="3657"/>
      <c r="AN266" s="446">
        <f t="shared" si="381"/>
        <v>2263.2299999999996</v>
      </c>
      <c r="AO266" s="3656"/>
      <c r="AP266" s="782">
        <f t="shared" si="382"/>
        <v>8353.9</v>
      </c>
      <c r="AQ266" s="3676"/>
      <c r="AR266" s="1306">
        <v>1557.98</v>
      </c>
      <c r="AS266" s="3656"/>
      <c r="AT266" s="782">
        <f t="shared" si="386"/>
        <v>9911.8799999999992</v>
      </c>
      <c r="AU266" s="3676"/>
      <c r="AV266" s="1306">
        <v>1373.02</v>
      </c>
      <c r="AW266" s="3656"/>
      <c r="AX266" s="782">
        <f t="shared" si="387"/>
        <v>11284.9</v>
      </c>
      <c r="AY266" s="3676"/>
      <c r="AZ266" s="1306"/>
      <c r="BA266" s="3657"/>
      <c r="BB266" s="4771">
        <f t="shared" si="383"/>
        <v>2931</v>
      </c>
      <c r="BC266" s="3658"/>
      <c r="BD266" s="3604">
        <f t="shared" si="384"/>
        <v>5194.2299999999996</v>
      </c>
      <c r="BE266" s="3656"/>
      <c r="BF266" s="572">
        <f t="shared" si="388"/>
        <v>11284.9</v>
      </c>
      <c r="BG266" s="26"/>
      <c r="BH266" s="26"/>
      <c r="BI266" s="26"/>
      <c r="BJ266" s="26"/>
      <c r="BK266" s="26"/>
    </row>
    <row r="267" spans="1:63" x14ac:dyDescent="0.25">
      <c r="A267" s="93"/>
      <c r="B267" s="3654" t="s">
        <v>862</v>
      </c>
      <c r="C267" s="3616" t="s">
        <v>885</v>
      </c>
      <c r="D267" s="3616"/>
      <c r="E267" s="3655"/>
      <c r="F267" s="1134">
        <v>1812.8199999999997</v>
      </c>
      <c r="G267" s="3655"/>
      <c r="H267" s="1134">
        <v>2023.8499999999997</v>
      </c>
      <c r="I267" s="3656"/>
      <c r="J267" s="782">
        <f t="shared" si="389"/>
        <v>3836.6699999999992</v>
      </c>
      <c r="K267" s="3655"/>
      <c r="L267" s="1134"/>
      <c r="M267" s="3657"/>
      <c r="N267" s="781">
        <f t="shared" si="390"/>
        <v>3836.6699999999992</v>
      </c>
      <c r="O267" s="3655"/>
      <c r="P267" s="1134"/>
      <c r="Q267" s="3656"/>
      <c r="R267" s="782">
        <f t="shared" si="391"/>
        <v>3836.6699999999992</v>
      </c>
      <c r="S267" s="3655"/>
      <c r="T267" s="1134">
        <v>2510.62</v>
      </c>
      <c r="U267" s="3656"/>
      <c r="V267" s="782">
        <f t="shared" si="392"/>
        <v>6347.2899999999991</v>
      </c>
      <c r="W267" s="3655"/>
      <c r="X267" s="1134">
        <v>3095.3999999999996</v>
      </c>
      <c r="Y267" s="3657"/>
      <c r="Z267" s="781">
        <f t="shared" si="393"/>
        <v>5606.0199999999995</v>
      </c>
      <c r="AA267" s="3658"/>
      <c r="AB267" s="3562">
        <f t="shared" si="394"/>
        <v>9442.6899999999987</v>
      </c>
      <c r="AC267" s="3655"/>
      <c r="AD267" s="1134"/>
      <c r="AE267" s="3656"/>
      <c r="AF267" s="782">
        <f t="shared" si="395"/>
        <v>9442.6899999999987</v>
      </c>
      <c r="AG267" s="3655"/>
      <c r="AH267" s="1134"/>
      <c r="AI267" s="3656"/>
      <c r="AJ267" s="782">
        <f t="shared" si="385"/>
        <v>9442.6899999999987</v>
      </c>
      <c r="AK267" s="3655"/>
      <c r="AL267" s="1134">
        <v>647.38</v>
      </c>
      <c r="AM267" s="3657"/>
      <c r="AN267" s="446">
        <f t="shared" si="381"/>
        <v>647.38</v>
      </c>
      <c r="AO267" s="3656"/>
      <c r="AP267" s="782">
        <f t="shared" si="382"/>
        <v>10090.069999999998</v>
      </c>
      <c r="AQ267" s="3655"/>
      <c r="AR267" s="1134">
        <v>1597.0900000000001</v>
      </c>
      <c r="AS267" s="3656"/>
      <c r="AT267" s="782">
        <f t="shared" si="386"/>
        <v>11687.159999999998</v>
      </c>
      <c r="AU267" s="3655"/>
      <c r="AV267" s="1134"/>
      <c r="AW267" s="3656"/>
      <c r="AX267" s="782">
        <f t="shared" si="387"/>
        <v>11687.159999999998</v>
      </c>
      <c r="AY267" s="3655"/>
      <c r="AZ267" s="1134">
        <v>1798.7300000000002</v>
      </c>
      <c r="BA267" s="3657"/>
      <c r="BB267" s="4771">
        <f t="shared" si="383"/>
        <v>3395.8200000000006</v>
      </c>
      <c r="BC267" s="3658"/>
      <c r="BD267" s="3604">
        <f t="shared" si="384"/>
        <v>4043.2000000000007</v>
      </c>
      <c r="BE267" s="3656"/>
      <c r="BF267" s="572">
        <f t="shared" si="388"/>
        <v>13485.889999999998</v>
      </c>
      <c r="BG267" s="26"/>
      <c r="BH267" s="26"/>
      <c r="BI267" s="26"/>
      <c r="BJ267" s="26"/>
      <c r="BK267" s="26"/>
    </row>
    <row r="268" spans="1:63" x14ac:dyDescent="0.25">
      <c r="A268" s="154"/>
      <c r="B268" s="3654" t="s">
        <v>862</v>
      </c>
      <c r="C268" s="3616" t="s">
        <v>1149</v>
      </c>
      <c r="D268" s="3616"/>
      <c r="E268" s="3655"/>
      <c r="F268" s="1134">
        <v>8244.4799999999977</v>
      </c>
      <c r="G268" s="3655"/>
      <c r="H268" s="1134">
        <v>9649.5299999999952</v>
      </c>
      <c r="I268" s="3656"/>
      <c r="J268" s="782">
        <f t="shared" si="389"/>
        <v>17894.009999999995</v>
      </c>
      <c r="K268" s="3655"/>
      <c r="L268" s="1134">
        <v>11997.7</v>
      </c>
      <c r="M268" s="3657"/>
      <c r="N268" s="781">
        <f t="shared" si="390"/>
        <v>29891.709999999995</v>
      </c>
      <c r="O268" s="3655"/>
      <c r="P268" s="1134">
        <v>70.990000000000009</v>
      </c>
      <c r="Q268" s="3656"/>
      <c r="R268" s="782">
        <f t="shared" si="391"/>
        <v>29962.699999999997</v>
      </c>
      <c r="S268" s="3655"/>
      <c r="T268" s="1134">
        <v>10838.53</v>
      </c>
      <c r="U268" s="3656"/>
      <c r="V268" s="782">
        <f t="shared" si="392"/>
        <v>40801.229999999996</v>
      </c>
      <c r="W268" s="3655"/>
      <c r="X268" s="1134">
        <v>8827.9800000000014</v>
      </c>
      <c r="Y268" s="3657"/>
      <c r="Z268" s="781">
        <f t="shared" si="393"/>
        <v>19737.5</v>
      </c>
      <c r="AA268" s="3658"/>
      <c r="AB268" s="3562">
        <f t="shared" si="394"/>
        <v>49629.209999999992</v>
      </c>
      <c r="AC268" s="3655"/>
      <c r="AD268" s="1134">
        <v>8195.2000000000007</v>
      </c>
      <c r="AE268" s="3656"/>
      <c r="AF268" s="782">
        <f t="shared" si="395"/>
        <v>57824.409999999989</v>
      </c>
      <c r="AG268" s="3655"/>
      <c r="AH268" s="1134">
        <v>1487.46</v>
      </c>
      <c r="AI268" s="3656"/>
      <c r="AJ268" s="782">
        <f t="shared" si="385"/>
        <v>59311.869999999988</v>
      </c>
      <c r="AK268" s="3655"/>
      <c r="AL268" s="1134">
        <v>9575.2900000000009</v>
      </c>
      <c r="AM268" s="3657"/>
      <c r="AN268" s="446">
        <f t="shared" si="381"/>
        <v>19257.95</v>
      </c>
      <c r="AO268" s="3656"/>
      <c r="AP268" s="782">
        <f t="shared" si="382"/>
        <v>68887.159999999989</v>
      </c>
      <c r="AQ268" s="3655"/>
      <c r="AR268" s="1134">
        <v>9671.7299999999977</v>
      </c>
      <c r="AS268" s="3656"/>
      <c r="AT268" s="782">
        <f>AP268+AR268</f>
        <v>78558.889999999985</v>
      </c>
      <c r="AU268" s="3655"/>
      <c r="AV268" s="1134">
        <v>1823.8900000000003</v>
      </c>
      <c r="AW268" s="3656"/>
      <c r="AX268" s="782">
        <f>AT268+AV268</f>
        <v>80382.779999999984</v>
      </c>
      <c r="AY268" s="3655"/>
      <c r="AZ268" s="1134">
        <v>6921.8799999999974</v>
      </c>
      <c r="BA268" s="3657"/>
      <c r="BB268" s="4771">
        <f t="shared" si="383"/>
        <v>18417.499999999996</v>
      </c>
      <c r="BC268" s="3658"/>
      <c r="BD268" s="3604">
        <f t="shared" si="384"/>
        <v>37675.449999999997</v>
      </c>
      <c r="BE268" s="3656"/>
      <c r="BF268" s="572">
        <f t="shared" si="388"/>
        <v>87304.659999999974</v>
      </c>
      <c r="BG268" s="26"/>
      <c r="BH268" s="26"/>
      <c r="BI268" s="26"/>
      <c r="BJ268" s="26"/>
      <c r="BK268" s="26"/>
    </row>
    <row r="269" spans="1:63" ht="15.75" thickBot="1" x14ac:dyDescent="0.3">
      <c r="A269" s="154"/>
      <c r="B269" s="3659" t="s">
        <v>862</v>
      </c>
      <c r="C269" s="3660" t="s">
        <v>1005</v>
      </c>
      <c r="D269" s="3660"/>
      <c r="E269" s="3661"/>
      <c r="F269" s="2979">
        <v>1631.08</v>
      </c>
      <c r="G269" s="3661"/>
      <c r="H269" s="2979"/>
      <c r="I269" s="3662"/>
      <c r="J269" s="782">
        <f t="shared" si="389"/>
        <v>1631.08</v>
      </c>
      <c r="K269" s="3661"/>
      <c r="L269" s="2979"/>
      <c r="M269" s="3657"/>
      <c r="N269" s="781">
        <f t="shared" si="390"/>
        <v>1631.08</v>
      </c>
      <c r="O269" s="3661"/>
      <c r="P269" s="2979"/>
      <c r="Q269" s="3656"/>
      <c r="R269" s="782">
        <f t="shared" si="391"/>
        <v>1631.08</v>
      </c>
      <c r="S269" s="3661"/>
      <c r="T269" s="2979">
        <v>1183.4699999999998</v>
      </c>
      <c r="U269" s="3656"/>
      <c r="V269" s="782">
        <f t="shared" si="392"/>
        <v>2814.5499999999997</v>
      </c>
      <c r="W269" s="3661"/>
      <c r="X269" s="2979"/>
      <c r="Y269" s="3657"/>
      <c r="Z269" s="781">
        <f t="shared" si="393"/>
        <v>1183.4699999999998</v>
      </c>
      <c r="AA269" s="3658"/>
      <c r="AB269" s="3562">
        <f t="shared" si="394"/>
        <v>2814.5499999999997</v>
      </c>
      <c r="AC269" s="3661"/>
      <c r="AD269" s="2979"/>
      <c r="AE269" s="3656"/>
      <c r="AF269" s="782">
        <f t="shared" si="395"/>
        <v>2814.5499999999997</v>
      </c>
      <c r="AG269" s="3661"/>
      <c r="AH269" s="2979"/>
      <c r="AI269" s="3656"/>
      <c r="AJ269" s="782">
        <f t="shared" si="385"/>
        <v>2814.5499999999997</v>
      </c>
      <c r="AK269" s="3661"/>
      <c r="AL269" s="2979"/>
      <c r="AM269" s="3657"/>
      <c r="AN269" s="446">
        <f t="shared" si="381"/>
        <v>0</v>
      </c>
      <c r="AO269" s="3656"/>
      <c r="AP269" s="782">
        <f t="shared" si="382"/>
        <v>2814.5499999999997</v>
      </c>
      <c r="AQ269" s="3661"/>
      <c r="AR269" s="2979"/>
      <c r="AS269" s="3656"/>
      <c r="AT269" s="782">
        <f t="shared" ref="AT269:AT273" si="396">AP269+AR269</f>
        <v>2814.5499999999997</v>
      </c>
      <c r="AU269" s="3661"/>
      <c r="AV269" s="2979"/>
      <c r="AW269" s="3656"/>
      <c r="AX269" s="782">
        <f t="shared" ref="AX269:AX273" si="397">AT269+AV269</f>
        <v>2814.5499999999997</v>
      </c>
      <c r="AY269" s="3661"/>
      <c r="AZ269" s="2979"/>
      <c r="BA269" s="3657"/>
      <c r="BB269" s="4771">
        <f t="shared" si="383"/>
        <v>0</v>
      </c>
      <c r="BC269" s="3658"/>
      <c r="BD269" s="3604">
        <f t="shared" si="384"/>
        <v>0</v>
      </c>
      <c r="BE269" s="3656"/>
      <c r="BF269" s="572">
        <f t="shared" si="388"/>
        <v>2814.5499999999997</v>
      </c>
      <c r="BG269" s="26"/>
      <c r="BH269" s="26"/>
      <c r="BI269" s="26"/>
      <c r="BJ269" s="26"/>
      <c r="BK269" s="26"/>
    </row>
    <row r="270" spans="1:63" ht="15.75" thickBot="1" x14ac:dyDescent="0.3">
      <c r="A270" s="93"/>
      <c r="B270" s="3678" t="s">
        <v>863</v>
      </c>
      <c r="C270" s="3679" t="s">
        <v>876</v>
      </c>
      <c r="D270" s="3679"/>
      <c r="E270" s="3680"/>
      <c r="F270" s="3052"/>
      <c r="G270" s="3680"/>
      <c r="H270" s="3052"/>
      <c r="I270" s="3681"/>
      <c r="J270" s="782">
        <f t="shared" si="389"/>
        <v>0</v>
      </c>
      <c r="K270" s="3680"/>
      <c r="L270" s="3052"/>
      <c r="M270" s="3657"/>
      <c r="N270" s="781">
        <f t="shared" si="390"/>
        <v>0</v>
      </c>
      <c r="O270" s="3680"/>
      <c r="P270" s="3052"/>
      <c r="Q270" s="3656"/>
      <c r="R270" s="782">
        <f t="shared" si="391"/>
        <v>0</v>
      </c>
      <c r="S270" s="3680"/>
      <c r="T270" s="3052"/>
      <c r="U270" s="3656"/>
      <c r="V270" s="782">
        <f t="shared" si="392"/>
        <v>0</v>
      </c>
      <c r="W270" s="3680"/>
      <c r="X270" s="3052"/>
      <c r="Y270" s="3657"/>
      <c r="Z270" s="781">
        <f t="shared" si="393"/>
        <v>0</v>
      </c>
      <c r="AA270" s="3658"/>
      <c r="AB270" s="3562">
        <f t="shared" si="394"/>
        <v>0</v>
      </c>
      <c r="AC270" s="3680"/>
      <c r="AD270" s="3052"/>
      <c r="AE270" s="3656"/>
      <c r="AF270" s="782">
        <f t="shared" si="395"/>
        <v>0</v>
      </c>
      <c r="AG270" s="3680"/>
      <c r="AH270" s="3052"/>
      <c r="AI270" s="3656"/>
      <c r="AJ270" s="782">
        <f t="shared" si="385"/>
        <v>0</v>
      </c>
      <c r="AK270" s="3680"/>
      <c r="AL270" s="3052">
        <v>1460.9100000000005</v>
      </c>
      <c r="AM270" s="3657"/>
      <c r="AN270" s="446">
        <f t="shared" si="381"/>
        <v>1460.9100000000005</v>
      </c>
      <c r="AO270" s="3656"/>
      <c r="AP270" s="782">
        <f t="shared" si="382"/>
        <v>1460.9100000000005</v>
      </c>
      <c r="AQ270" s="3680"/>
      <c r="AR270" s="3052">
        <v>181.37</v>
      </c>
      <c r="AS270" s="3656"/>
      <c r="AT270" s="782">
        <f t="shared" si="396"/>
        <v>1642.2800000000007</v>
      </c>
      <c r="AU270" s="3680"/>
      <c r="AV270" s="3052">
        <v>64.36</v>
      </c>
      <c r="AW270" s="3656"/>
      <c r="AX270" s="782">
        <f t="shared" si="397"/>
        <v>1706.6400000000006</v>
      </c>
      <c r="AY270" s="3680"/>
      <c r="AZ270" s="3052"/>
      <c r="BA270" s="3657"/>
      <c r="BB270" s="4771">
        <f t="shared" si="383"/>
        <v>245.73000000000002</v>
      </c>
      <c r="BC270" s="3658"/>
      <c r="BD270" s="3604">
        <f t="shared" si="384"/>
        <v>1706.6400000000006</v>
      </c>
      <c r="BE270" s="3656"/>
      <c r="BF270" s="572">
        <f t="shared" si="388"/>
        <v>1706.6400000000006</v>
      </c>
      <c r="BG270" s="26"/>
      <c r="BH270" s="26"/>
      <c r="BI270" s="26"/>
      <c r="BJ270" s="26"/>
      <c r="BK270" s="26"/>
    </row>
    <row r="271" spans="1:63" x14ac:dyDescent="0.25">
      <c r="A271" s="93"/>
      <c r="B271" s="3673" t="s">
        <v>77</v>
      </c>
      <c r="C271" s="3622"/>
      <c r="D271" s="3622"/>
      <c r="E271" s="1202">
        <f>+E17</f>
        <v>0</v>
      </c>
      <c r="F271" s="1202">
        <f>F17</f>
        <v>0</v>
      </c>
      <c r="G271" s="1202">
        <f>+G17</f>
        <v>0</v>
      </c>
      <c r="H271" s="1202">
        <f>H17</f>
        <v>0</v>
      </c>
      <c r="I271" s="572">
        <f>E271+G271</f>
        <v>0</v>
      </c>
      <c r="J271" s="782">
        <f t="shared" si="389"/>
        <v>0</v>
      </c>
      <c r="K271" s="1202">
        <f>+K17</f>
        <v>0</v>
      </c>
      <c r="L271" s="1202">
        <f>L17</f>
        <v>0</v>
      </c>
      <c r="M271" s="446">
        <f>E271+G271+K271</f>
        <v>0</v>
      </c>
      <c r="N271" s="781">
        <f t="shared" si="390"/>
        <v>0</v>
      </c>
      <c r="O271" s="1202">
        <f>+O17</f>
        <v>0</v>
      </c>
      <c r="P271" s="1202">
        <f>P17</f>
        <v>0</v>
      </c>
      <c r="Q271" s="782">
        <f>M271+O271</f>
        <v>0</v>
      </c>
      <c r="R271" s="782">
        <f t="shared" si="391"/>
        <v>0</v>
      </c>
      <c r="S271" s="1202">
        <f>+S17</f>
        <v>0</v>
      </c>
      <c r="T271" s="1202">
        <f>T17</f>
        <v>0</v>
      </c>
      <c r="U271" s="782">
        <f>Q271+S271</f>
        <v>0</v>
      </c>
      <c r="V271" s="782">
        <f t="shared" si="392"/>
        <v>0</v>
      </c>
      <c r="W271" s="1202">
        <f>+W17</f>
        <v>0</v>
      </c>
      <c r="X271" s="1202">
        <f>X17</f>
        <v>0</v>
      </c>
      <c r="Y271" s="781">
        <f>O271+S271+W271</f>
        <v>0</v>
      </c>
      <c r="Z271" s="781">
        <f t="shared" si="393"/>
        <v>0</v>
      </c>
      <c r="AA271" s="3562">
        <f>M271+Y271</f>
        <v>0</v>
      </c>
      <c r="AB271" s="3562">
        <f t="shared" si="394"/>
        <v>0</v>
      </c>
      <c r="AC271" s="1202">
        <f>+AC17</f>
        <v>0</v>
      </c>
      <c r="AD271" s="1202">
        <f>AD17</f>
        <v>0</v>
      </c>
      <c r="AE271" s="782">
        <f>AA271+AC271</f>
        <v>0</v>
      </c>
      <c r="AF271" s="782">
        <f t="shared" si="395"/>
        <v>0</v>
      </c>
      <c r="AG271" s="1202">
        <f>+AG17</f>
        <v>0</v>
      </c>
      <c r="AH271" s="1202">
        <f>AH17</f>
        <v>0</v>
      </c>
      <c r="AI271" s="782">
        <f>AE271+AG271</f>
        <v>0</v>
      </c>
      <c r="AJ271" s="782">
        <f t="shared" si="385"/>
        <v>0</v>
      </c>
      <c r="AK271" s="1202">
        <f>+AK17</f>
        <v>0</v>
      </c>
      <c r="AL271" s="1202">
        <f>AL17</f>
        <v>0</v>
      </c>
      <c r="AM271" s="781">
        <f>AC271+AG271+AK271</f>
        <v>0</v>
      </c>
      <c r="AN271" s="446">
        <f t="shared" si="381"/>
        <v>0</v>
      </c>
      <c r="AO271" s="782">
        <f t="shared" si="382"/>
        <v>0</v>
      </c>
      <c r="AP271" s="782">
        <f t="shared" si="382"/>
        <v>0</v>
      </c>
      <c r="AQ271" s="1202">
        <f>+AQ17</f>
        <v>0</v>
      </c>
      <c r="AR271" s="1202">
        <f>AR17</f>
        <v>0</v>
      </c>
      <c r="AS271" s="782">
        <f>AO271+AQ271</f>
        <v>0</v>
      </c>
      <c r="AT271" s="782">
        <f t="shared" si="396"/>
        <v>0</v>
      </c>
      <c r="AU271" s="1202">
        <f>+AU17</f>
        <v>0</v>
      </c>
      <c r="AV271" s="1202">
        <f>AV17</f>
        <v>0</v>
      </c>
      <c r="AW271" s="782">
        <f>AS271+AU271</f>
        <v>0</v>
      </c>
      <c r="AX271" s="782">
        <f t="shared" si="397"/>
        <v>0</v>
      </c>
      <c r="AY271" s="1202">
        <f>+AY17</f>
        <v>0</v>
      </c>
      <c r="AZ271" s="1202">
        <f>AZ17</f>
        <v>0</v>
      </c>
      <c r="BA271" s="781">
        <f>AQ271+AU271+AY271</f>
        <v>0</v>
      </c>
      <c r="BB271" s="446">
        <f t="shared" ref="BB271:BB273" si="398">AR271+AV271+AZ271</f>
        <v>0</v>
      </c>
      <c r="BC271" s="3562">
        <f t="shared" ref="BC271:BC272" si="399">AM271+BA271</f>
        <v>0</v>
      </c>
      <c r="BD271" s="3562">
        <f t="shared" si="384"/>
        <v>0</v>
      </c>
      <c r="BE271" s="782">
        <f>AW271+AY271</f>
        <v>0</v>
      </c>
      <c r="BF271" s="782">
        <f t="shared" ref="BF271:BF273" si="400">AX271+AZ271</f>
        <v>0</v>
      </c>
      <c r="BG271" s="26"/>
      <c r="BH271" s="26"/>
      <c r="BI271" s="26"/>
      <c r="BJ271" s="26"/>
      <c r="BK271" s="26"/>
    </row>
    <row r="272" spans="1:63" x14ac:dyDescent="0.25">
      <c r="A272" s="93"/>
      <c r="B272" s="3654" t="s">
        <v>1178</v>
      </c>
      <c r="C272" s="159"/>
      <c r="D272" s="159"/>
      <c r="E272" s="1202">
        <f>+E18</f>
        <v>0</v>
      </c>
      <c r="F272" s="366">
        <f>F18</f>
        <v>0</v>
      </c>
      <c r="G272" s="1202">
        <f>+G18</f>
        <v>0</v>
      </c>
      <c r="H272" s="366">
        <f>H18</f>
        <v>0</v>
      </c>
      <c r="I272" s="367">
        <f t="shared" ref="I272:I273" si="401">E272+G272</f>
        <v>0</v>
      </c>
      <c r="J272" s="782">
        <f t="shared" si="389"/>
        <v>0</v>
      </c>
      <c r="K272" s="1202">
        <f>+K18</f>
        <v>0</v>
      </c>
      <c r="L272" s="366">
        <f>L18</f>
        <v>0</v>
      </c>
      <c r="M272" s="446">
        <f>E272+G272+K272</f>
        <v>0</v>
      </c>
      <c r="N272" s="781">
        <f t="shared" si="390"/>
        <v>0</v>
      </c>
      <c r="O272" s="1202">
        <f>+O18</f>
        <v>0</v>
      </c>
      <c r="P272" s="366">
        <f>P18</f>
        <v>0</v>
      </c>
      <c r="Q272" s="367">
        <f t="shared" ref="Q272:Q273" si="402">M272+O272</f>
        <v>0</v>
      </c>
      <c r="R272" s="782">
        <f t="shared" si="391"/>
        <v>0</v>
      </c>
      <c r="S272" s="1202">
        <f>+S18</f>
        <v>0</v>
      </c>
      <c r="T272" s="366">
        <f>T18</f>
        <v>0</v>
      </c>
      <c r="U272" s="367">
        <f t="shared" ref="U272:U273" si="403">Q272+S272</f>
        <v>0</v>
      </c>
      <c r="V272" s="782">
        <f t="shared" si="392"/>
        <v>0</v>
      </c>
      <c r="W272" s="1202">
        <f>+W18</f>
        <v>0</v>
      </c>
      <c r="X272" s="366">
        <f>X18</f>
        <v>0</v>
      </c>
      <c r="Y272" s="781">
        <f>O272+S272+W272</f>
        <v>0</v>
      </c>
      <c r="Z272" s="781">
        <f t="shared" si="393"/>
        <v>0</v>
      </c>
      <c r="AA272" s="3675">
        <f>M272+Y272</f>
        <v>0</v>
      </c>
      <c r="AB272" s="3562">
        <f t="shared" si="394"/>
        <v>0</v>
      </c>
      <c r="AC272" s="1202">
        <f>+AC18</f>
        <v>0</v>
      </c>
      <c r="AD272" s="366">
        <f>AD18</f>
        <v>0</v>
      </c>
      <c r="AE272" s="367">
        <f t="shared" ref="AE272:AE273" si="404">AA272+AC272</f>
        <v>0</v>
      </c>
      <c r="AF272" s="782">
        <f t="shared" si="395"/>
        <v>0</v>
      </c>
      <c r="AG272" s="1202">
        <f>+AG18</f>
        <v>0</v>
      </c>
      <c r="AH272" s="366">
        <f>AH18</f>
        <v>0</v>
      </c>
      <c r="AI272" s="367">
        <f t="shared" ref="AI272:AI273" si="405">AE272+AG272</f>
        <v>0</v>
      </c>
      <c r="AJ272" s="782">
        <f t="shared" si="385"/>
        <v>0</v>
      </c>
      <c r="AK272" s="1202">
        <f>+AK18</f>
        <v>0</v>
      </c>
      <c r="AL272" s="366">
        <f>AL18</f>
        <v>0</v>
      </c>
      <c r="AM272" s="781">
        <f>AC272+AG272+AK272</f>
        <v>0</v>
      </c>
      <c r="AN272" s="446">
        <f t="shared" si="381"/>
        <v>0</v>
      </c>
      <c r="AO272" s="367">
        <f t="shared" si="382"/>
        <v>0</v>
      </c>
      <c r="AP272" s="367">
        <f t="shared" si="382"/>
        <v>0</v>
      </c>
      <c r="AQ272" s="1202">
        <f>+AQ18</f>
        <v>0</v>
      </c>
      <c r="AR272" s="366">
        <f>AR18</f>
        <v>0</v>
      </c>
      <c r="AS272" s="367">
        <f t="shared" ref="AS272:AS273" si="406">AO272+AQ272</f>
        <v>0</v>
      </c>
      <c r="AT272" s="367">
        <f t="shared" si="396"/>
        <v>0</v>
      </c>
      <c r="AU272" s="1202">
        <f>+AU18</f>
        <v>0</v>
      </c>
      <c r="AV272" s="366">
        <f>AV18</f>
        <v>0</v>
      </c>
      <c r="AW272" s="367">
        <f t="shared" ref="AW272:AW273" si="407">AS272+AU272</f>
        <v>0</v>
      </c>
      <c r="AX272" s="367">
        <f t="shared" si="397"/>
        <v>0</v>
      </c>
      <c r="AY272" s="1202">
        <f>+AY18</f>
        <v>0</v>
      </c>
      <c r="AZ272" s="366">
        <f>AZ18</f>
        <v>0</v>
      </c>
      <c r="BA272" s="781">
        <f>AQ272+AU272+AY272</f>
        <v>0</v>
      </c>
      <c r="BB272" s="446">
        <f t="shared" si="398"/>
        <v>0</v>
      </c>
      <c r="BC272" s="3562">
        <f t="shared" si="399"/>
        <v>0</v>
      </c>
      <c r="BD272" s="3562">
        <f t="shared" si="384"/>
        <v>0</v>
      </c>
      <c r="BE272" s="367">
        <f t="shared" ref="BE272:BE273" si="408">AW272+AY272</f>
        <v>0</v>
      </c>
      <c r="BF272" s="367">
        <f t="shared" si="400"/>
        <v>0</v>
      </c>
      <c r="BG272" s="26"/>
      <c r="BH272" s="26"/>
      <c r="BI272" s="26"/>
      <c r="BJ272" s="26"/>
      <c r="BK272" s="26"/>
    </row>
    <row r="273" spans="1:63" x14ac:dyDescent="0.25">
      <c r="A273" s="93"/>
      <c r="B273" s="449" t="s">
        <v>92</v>
      </c>
      <c r="C273" s="813" t="s">
        <v>50</v>
      </c>
      <c r="D273" s="457">
        <f>+D19</f>
        <v>900000</v>
      </c>
      <c r="E273" s="457">
        <f>+E19</f>
        <v>76000</v>
      </c>
      <c r="F273" s="457">
        <f>SUM(F235:F272)</f>
        <v>60011.209999999992</v>
      </c>
      <c r="G273" s="457">
        <f>+G19</f>
        <v>79000</v>
      </c>
      <c r="H273" s="457">
        <f>SUM(H235:H272)</f>
        <v>67347.899999999994</v>
      </c>
      <c r="I273" s="376">
        <f t="shared" si="401"/>
        <v>155000</v>
      </c>
      <c r="J273" s="782">
        <f t="shared" si="389"/>
        <v>127359.10999999999</v>
      </c>
      <c r="K273" s="457">
        <f>+K19</f>
        <v>76000</v>
      </c>
      <c r="L273" s="457">
        <f>SUM(L235:L272)</f>
        <v>73175.62999999999</v>
      </c>
      <c r="M273" s="378">
        <f>E273+G273+K273</f>
        <v>231000</v>
      </c>
      <c r="N273" s="781">
        <f t="shared" si="390"/>
        <v>200534.74</v>
      </c>
      <c r="O273" s="457">
        <f>+O19</f>
        <v>79000</v>
      </c>
      <c r="P273" s="457">
        <f>SUM(P235:P272)</f>
        <v>84102.500000000015</v>
      </c>
      <c r="Q273" s="376">
        <f t="shared" si="402"/>
        <v>310000</v>
      </c>
      <c r="R273" s="782">
        <f t="shared" si="391"/>
        <v>284637.24</v>
      </c>
      <c r="S273" s="457">
        <f>+S19</f>
        <v>79000</v>
      </c>
      <c r="T273" s="457">
        <f>SUM(T235:T272)</f>
        <v>86905.93</v>
      </c>
      <c r="U273" s="376">
        <f t="shared" si="403"/>
        <v>389000</v>
      </c>
      <c r="V273" s="782">
        <f t="shared" si="392"/>
        <v>371543.17</v>
      </c>
      <c r="W273" s="457">
        <f>+W19</f>
        <v>47500</v>
      </c>
      <c r="X273" s="457">
        <f>SUM(X235:X272)</f>
        <v>68689.990000000005</v>
      </c>
      <c r="Y273" s="378">
        <f t="shared" ref="Y273" si="409">O273+S273+W273</f>
        <v>205500</v>
      </c>
      <c r="Z273" s="781">
        <f t="shared" si="393"/>
        <v>239698.41999999998</v>
      </c>
      <c r="AA273" s="3565">
        <f>M273+Y273</f>
        <v>436500</v>
      </c>
      <c r="AB273" s="3562">
        <f t="shared" si="394"/>
        <v>440233.16</v>
      </c>
      <c r="AC273" s="457">
        <f>+AC19</f>
        <v>80000</v>
      </c>
      <c r="AD273" s="457">
        <f>SUM(AD235:AD272)</f>
        <v>64076.469999999987</v>
      </c>
      <c r="AE273" s="376">
        <f t="shared" si="404"/>
        <v>516500</v>
      </c>
      <c r="AF273" s="782">
        <f t="shared" si="395"/>
        <v>504309.62999999995</v>
      </c>
      <c r="AG273" s="457">
        <f>+AG19</f>
        <v>77500</v>
      </c>
      <c r="AH273" s="457">
        <f>SUM(AH235:AH272)</f>
        <v>10813.23</v>
      </c>
      <c r="AI273" s="376">
        <f t="shared" si="405"/>
        <v>594000</v>
      </c>
      <c r="AJ273" s="376">
        <f t="shared" ref="AJ273" si="410">AF273+AH273</f>
        <v>515122.85999999993</v>
      </c>
      <c r="AK273" s="457">
        <f>+AK19</f>
        <v>80000</v>
      </c>
      <c r="AL273" s="457">
        <f>SUM(AL235:AL272)</f>
        <v>67252.740000000005</v>
      </c>
      <c r="AM273" s="378">
        <f t="shared" ref="AM273" si="411">AC273+AG273+AK273</f>
        <v>237500</v>
      </c>
      <c r="AN273" s="378">
        <f t="shared" si="381"/>
        <v>142142.44</v>
      </c>
      <c r="AO273" s="376">
        <f t="shared" si="382"/>
        <v>674000</v>
      </c>
      <c r="AP273" s="376">
        <f t="shared" si="382"/>
        <v>582375.6</v>
      </c>
      <c r="AQ273" s="457">
        <f>+AQ19</f>
        <v>80000</v>
      </c>
      <c r="AR273" s="457">
        <f>SUM(AR235:AR272)</f>
        <v>70877.679999999993</v>
      </c>
      <c r="AS273" s="376">
        <f t="shared" si="406"/>
        <v>754000</v>
      </c>
      <c r="AT273" s="376">
        <f t="shared" si="396"/>
        <v>653253.28</v>
      </c>
      <c r="AU273" s="457">
        <f>+AU19</f>
        <v>72500</v>
      </c>
      <c r="AV273" s="457">
        <f>SUM(AV235:AV272)</f>
        <v>58216.86</v>
      </c>
      <c r="AW273" s="376">
        <f t="shared" si="407"/>
        <v>826500</v>
      </c>
      <c r="AX273" s="376">
        <f t="shared" si="397"/>
        <v>711470.14</v>
      </c>
      <c r="AY273" s="457">
        <f>+AY19</f>
        <v>80000</v>
      </c>
      <c r="AZ273" s="457">
        <f>SUM(AZ235:AZ272)</f>
        <v>84208.419999999984</v>
      </c>
      <c r="BA273" s="378">
        <f t="shared" ref="BA273" si="412">AQ273+AU273+AY273</f>
        <v>232500</v>
      </c>
      <c r="BB273" s="378">
        <f t="shared" si="398"/>
        <v>213302.95999999996</v>
      </c>
      <c r="BC273" s="3565">
        <f>AM273+BA273</f>
        <v>470000</v>
      </c>
      <c r="BD273" s="3565">
        <f>AN273+BB273</f>
        <v>355445.39999999997</v>
      </c>
      <c r="BE273" s="376">
        <f t="shared" si="408"/>
        <v>906500</v>
      </c>
      <c r="BF273" s="376">
        <f t="shared" si="400"/>
        <v>795678.56</v>
      </c>
      <c r="BG273" s="26"/>
      <c r="BH273" s="26"/>
      <c r="BI273" s="26"/>
      <c r="BJ273" s="26"/>
      <c r="BK273" s="26"/>
    </row>
    <row r="274" spans="1:63" ht="20.25" customHeight="1" x14ac:dyDescent="0.25">
      <c r="A274" s="93"/>
      <c r="B274" s="449" t="s">
        <v>633</v>
      </c>
      <c r="C274" s="642"/>
      <c r="D274" s="642"/>
      <c r="E274" s="457"/>
      <c r="F274" s="642"/>
      <c r="G274" s="457"/>
      <c r="H274" s="642"/>
      <c r="I274" s="376"/>
      <c r="J274" s="782">
        <f t="shared" si="389"/>
        <v>0</v>
      </c>
      <c r="K274" s="457"/>
      <c r="L274" s="642"/>
      <c r="M274" s="378"/>
      <c r="N274" s="781">
        <f t="shared" si="390"/>
        <v>0</v>
      </c>
      <c r="O274" s="457"/>
      <c r="P274" s="642"/>
      <c r="Q274" s="376"/>
      <c r="R274" s="782">
        <f t="shared" si="391"/>
        <v>0</v>
      </c>
      <c r="S274" s="457"/>
      <c r="T274" s="642"/>
      <c r="U274" s="376"/>
      <c r="V274" s="782">
        <f t="shared" si="392"/>
        <v>0</v>
      </c>
      <c r="W274" s="457"/>
      <c r="X274" s="642"/>
      <c r="Y274" s="378"/>
      <c r="Z274" s="781">
        <f t="shared" si="393"/>
        <v>0</v>
      </c>
      <c r="AA274" s="3565"/>
      <c r="AB274" s="3562">
        <f t="shared" si="394"/>
        <v>0</v>
      </c>
      <c r="AC274" s="457"/>
      <c r="AD274" s="642"/>
      <c r="AE274" s="376"/>
      <c r="AF274" s="782">
        <f t="shared" si="395"/>
        <v>0</v>
      </c>
      <c r="AG274" s="457"/>
      <c r="AH274" s="642"/>
      <c r="AI274" s="376"/>
      <c r="AJ274" s="874"/>
      <c r="AK274" s="457"/>
      <c r="AL274" s="642"/>
      <c r="AM274" s="378"/>
      <c r="AN274" s="875"/>
      <c r="AO274" s="376"/>
      <c r="AP274" s="874"/>
      <c r="AQ274" s="457"/>
      <c r="AR274" s="642"/>
      <c r="AS274" s="376"/>
      <c r="AT274" s="874"/>
      <c r="AU274" s="457"/>
      <c r="AV274" s="642"/>
      <c r="AW274" s="376"/>
      <c r="AX274" s="874"/>
      <c r="AY274" s="457"/>
      <c r="AZ274" s="642"/>
      <c r="BA274" s="378"/>
      <c r="BB274" s="875"/>
      <c r="BC274" s="3565"/>
      <c r="BD274" s="3648"/>
      <c r="BE274" s="376"/>
      <c r="BF274" s="874"/>
      <c r="BG274" s="26"/>
      <c r="BH274" s="26"/>
      <c r="BI274" s="26"/>
      <c r="BJ274" s="26"/>
      <c r="BK274" s="26"/>
    </row>
    <row r="275" spans="1:63" ht="20.25" customHeight="1" x14ac:dyDescent="0.25">
      <c r="A275" s="93"/>
      <c r="B275" s="3682" t="s">
        <v>2090</v>
      </c>
      <c r="C275" s="159" t="s">
        <v>50</v>
      </c>
      <c r="D275" s="159"/>
      <c r="E275" s="3683"/>
      <c r="F275" s="1201"/>
      <c r="G275" s="3683"/>
      <c r="H275" s="1201"/>
      <c r="I275" s="3684"/>
      <c r="J275" s="782">
        <f t="shared" si="389"/>
        <v>0</v>
      </c>
      <c r="K275" s="3683"/>
      <c r="L275" s="1201"/>
      <c r="M275" s="3685"/>
      <c r="N275" s="781">
        <f t="shared" si="390"/>
        <v>0</v>
      </c>
      <c r="O275" s="3683"/>
      <c r="P275" s="1201"/>
      <c r="Q275" s="3684"/>
      <c r="R275" s="782">
        <f t="shared" si="391"/>
        <v>0</v>
      </c>
      <c r="S275" s="3683"/>
      <c r="T275" s="1201"/>
      <c r="U275" s="3684"/>
      <c r="V275" s="782">
        <f t="shared" si="392"/>
        <v>0</v>
      </c>
      <c r="W275" s="3683"/>
      <c r="X275" s="1201"/>
      <c r="Y275" s="3685"/>
      <c r="Z275" s="781">
        <f t="shared" si="393"/>
        <v>0</v>
      </c>
      <c r="AA275" s="3686"/>
      <c r="AB275" s="3562">
        <f t="shared" si="394"/>
        <v>0</v>
      </c>
      <c r="AC275" s="3683"/>
      <c r="AD275" s="1201"/>
      <c r="AE275" s="3684"/>
      <c r="AF275" s="782">
        <f t="shared" si="395"/>
        <v>0</v>
      </c>
      <c r="AG275" s="3683"/>
      <c r="AH275" s="1201"/>
      <c r="AI275" s="3684"/>
      <c r="AJ275" s="782">
        <f t="shared" ref="AJ275:AJ278" si="413">AF275+AH275</f>
        <v>0</v>
      </c>
      <c r="AK275" s="3683"/>
      <c r="AL275" s="1201"/>
      <c r="AM275" s="3685"/>
      <c r="AN275" s="781">
        <f t="shared" ref="AN275:AN277" si="414">AD275+AH275+AL275</f>
        <v>0</v>
      </c>
      <c r="AO275" s="3684"/>
      <c r="AP275" s="782">
        <f t="shared" si="382"/>
        <v>0</v>
      </c>
      <c r="AQ275" s="3683"/>
      <c r="AR275" s="1201">
        <v>53.43</v>
      </c>
      <c r="AS275" s="3684"/>
      <c r="AT275" s="782">
        <f t="shared" ref="AT275:AT278" si="415">AP275+AR275</f>
        <v>53.43</v>
      </c>
      <c r="AU275" s="3683"/>
      <c r="AV275" s="1201"/>
      <c r="AW275" s="3684"/>
      <c r="AX275" s="782">
        <f t="shared" ref="AX275:AX278" si="416">AT275+AV275</f>
        <v>53.43</v>
      </c>
      <c r="AY275" s="3683"/>
      <c r="AZ275" s="1201"/>
      <c r="BA275" s="3685"/>
      <c r="BB275" s="781">
        <f t="shared" ref="BB275:BB277" si="417">AR275+AV275+AZ275</f>
        <v>53.43</v>
      </c>
      <c r="BC275" s="3686"/>
      <c r="BD275" s="3562">
        <f t="shared" ref="BD275:BD277" si="418">AN275+BB275</f>
        <v>53.43</v>
      </c>
      <c r="BE275" s="3684"/>
      <c r="BF275" s="782">
        <f t="shared" ref="BF275:BF278" si="419">AX275+AZ275</f>
        <v>53.43</v>
      </c>
      <c r="BG275" s="26"/>
      <c r="BH275" s="26"/>
      <c r="BI275" s="26"/>
      <c r="BJ275" s="26"/>
      <c r="BK275" s="26"/>
    </row>
    <row r="276" spans="1:63" ht="20.25" customHeight="1" x14ac:dyDescent="0.25">
      <c r="A276" s="199"/>
      <c r="B276" s="3682" t="s">
        <v>1358</v>
      </c>
      <c r="C276" s="159" t="s">
        <v>50</v>
      </c>
      <c r="D276" s="159"/>
      <c r="E276" s="3683"/>
      <c r="F276" s="1201"/>
      <c r="G276" s="3683"/>
      <c r="H276" s="1201"/>
      <c r="I276" s="3684"/>
      <c r="J276" s="782">
        <f t="shared" si="389"/>
        <v>0</v>
      </c>
      <c r="K276" s="3683"/>
      <c r="L276" s="1201"/>
      <c r="M276" s="3685"/>
      <c r="N276" s="781">
        <f t="shared" si="390"/>
        <v>0</v>
      </c>
      <c r="O276" s="3683"/>
      <c r="P276" s="1201"/>
      <c r="Q276" s="3684"/>
      <c r="R276" s="782">
        <f t="shared" si="391"/>
        <v>0</v>
      </c>
      <c r="S276" s="3683"/>
      <c r="T276" s="1201"/>
      <c r="U276" s="3684"/>
      <c r="V276" s="782">
        <f t="shared" si="392"/>
        <v>0</v>
      </c>
      <c r="W276" s="3683"/>
      <c r="X276" s="1201">
        <v>24.51</v>
      </c>
      <c r="Y276" s="3685"/>
      <c r="Z276" s="781">
        <f t="shared" si="393"/>
        <v>24.51</v>
      </c>
      <c r="AA276" s="3686"/>
      <c r="AB276" s="3562">
        <f t="shared" si="394"/>
        <v>24.51</v>
      </c>
      <c r="AC276" s="3683"/>
      <c r="AD276" s="1201"/>
      <c r="AE276" s="3684"/>
      <c r="AF276" s="782">
        <f t="shared" si="395"/>
        <v>24.51</v>
      </c>
      <c r="AG276" s="3683"/>
      <c r="AH276" s="1201"/>
      <c r="AI276" s="3684"/>
      <c r="AJ276" s="782">
        <f t="shared" si="413"/>
        <v>24.51</v>
      </c>
      <c r="AK276" s="3683"/>
      <c r="AL276" s="1201"/>
      <c r="AM276" s="3685"/>
      <c r="AN276" s="781">
        <f t="shared" si="414"/>
        <v>0</v>
      </c>
      <c r="AO276" s="3684"/>
      <c r="AP276" s="782">
        <f t="shared" si="382"/>
        <v>24.51</v>
      </c>
      <c r="AQ276" s="3683"/>
      <c r="AR276" s="1201"/>
      <c r="AS276" s="3684"/>
      <c r="AT276" s="782">
        <f t="shared" si="415"/>
        <v>24.51</v>
      </c>
      <c r="AU276" s="3683"/>
      <c r="AV276" s="1201"/>
      <c r="AW276" s="3684"/>
      <c r="AX276" s="782">
        <f t="shared" si="416"/>
        <v>24.51</v>
      </c>
      <c r="AY276" s="3683"/>
      <c r="AZ276" s="1201"/>
      <c r="BA276" s="3685"/>
      <c r="BB276" s="781">
        <f t="shared" si="417"/>
        <v>0</v>
      </c>
      <c r="BC276" s="3686"/>
      <c r="BD276" s="3562">
        <f t="shared" si="418"/>
        <v>0</v>
      </c>
      <c r="BE276" s="3684"/>
      <c r="BF276" s="782">
        <f t="shared" si="419"/>
        <v>24.51</v>
      </c>
      <c r="BG276" s="26"/>
      <c r="BH276" s="26"/>
      <c r="BI276" s="26"/>
      <c r="BJ276" s="26"/>
      <c r="BK276" s="26"/>
    </row>
    <row r="277" spans="1:63" ht="20.25" customHeight="1" x14ac:dyDescent="0.25">
      <c r="A277" s="199"/>
      <c r="B277" s="3682" t="s">
        <v>1117</v>
      </c>
      <c r="C277" s="159" t="s">
        <v>50</v>
      </c>
      <c r="D277" s="159"/>
      <c r="E277" s="3683"/>
      <c r="F277" s="1201"/>
      <c r="G277" s="3683"/>
      <c r="H277" s="1201"/>
      <c r="I277" s="3684"/>
      <c r="J277" s="782">
        <f t="shared" si="389"/>
        <v>0</v>
      </c>
      <c r="K277" s="3683"/>
      <c r="L277" s="1201"/>
      <c r="M277" s="3685"/>
      <c r="N277" s="781">
        <f t="shared" si="390"/>
        <v>0</v>
      </c>
      <c r="O277" s="3683"/>
      <c r="P277" s="1201"/>
      <c r="Q277" s="3684"/>
      <c r="R277" s="782">
        <f t="shared" si="391"/>
        <v>0</v>
      </c>
      <c r="S277" s="3683"/>
      <c r="T277" s="1201"/>
      <c r="U277" s="3684"/>
      <c r="V277" s="782">
        <f t="shared" si="392"/>
        <v>0</v>
      </c>
      <c r="W277" s="3683"/>
      <c r="X277" s="1201">
        <v>25.39</v>
      </c>
      <c r="Y277" s="3685"/>
      <c r="Z277" s="781">
        <f t="shared" si="393"/>
        <v>25.39</v>
      </c>
      <c r="AA277" s="3686"/>
      <c r="AB277" s="3562">
        <f t="shared" si="394"/>
        <v>25.39</v>
      </c>
      <c r="AC277" s="3683"/>
      <c r="AD277" s="1201"/>
      <c r="AE277" s="3684"/>
      <c r="AF277" s="782">
        <f t="shared" si="395"/>
        <v>25.39</v>
      </c>
      <c r="AG277" s="3683"/>
      <c r="AH277" s="1201"/>
      <c r="AI277" s="3684"/>
      <c r="AJ277" s="782">
        <f t="shared" si="413"/>
        <v>25.39</v>
      </c>
      <c r="AK277" s="3683"/>
      <c r="AL277" s="1201"/>
      <c r="AM277" s="3685"/>
      <c r="AN277" s="781">
        <f t="shared" si="414"/>
        <v>0</v>
      </c>
      <c r="AO277" s="3684"/>
      <c r="AP277" s="782">
        <f t="shared" ref="AO277:AP278" si="420">AJ277+AL277</f>
        <v>25.39</v>
      </c>
      <c r="AQ277" s="3683"/>
      <c r="AR277" s="1201"/>
      <c r="AS277" s="3684"/>
      <c r="AT277" s="782">
        <f t="shared" si="415"/>
        <v>25.39</v>
      </c>
      <c r="AU277" s="3683"/>
      <c r="AV277" s="1201"/>
      <c r="AW277" s="3684"/>
      <c r="AX277" s="782">
        <f t="shared" si="416"/>
        <v>25.39</v>
      </c>
      <c r="AY277" s="3683"/>
      <c r="AZ277" s="1201"/>
      <c r="BA277" s="3685"/>
      <c r="BB277" s="781">
        <f t="shared" si="417"/>
        <v>0</v>
      </c>
      <c r="BC277" s="3686"/>
      <c r="BD277" s="3562">
        <f t="shared" si="418"/>
        <v>0</v>
      </c>
      <c r="BE277" s="3684"/>
      <c r="BF277" s="782">
        <f t="shared" si="419"/>
        <v>25.39</v>
      </c>
      <c r="BG277" s="26"/>
      <c r="BH277" s="26"/>
      <c r="BI277" s="26"/>
      <c r="BJ277" s="26"/>
      <c r="BK277" s="26"/>
    </row>
    <row r="278" spans="1:63" x14ac:dyDescent="0.25">
      <c r="A278" s="199"/>
      <c r="B278" s="3639" t="s">
        <v>2</v>
      </c>
      <c r="C278" s="813" t="s">
        <v>50</v>
      </c>
      <c r="D278" s="457">
        <f>+D16</f>
        <v>5000.0000000000009</v>
      </c>
      <c r="E278" s="457">
        <f>+E16</f>
        <v>454.54545454545456</v>
      </c>
      <c r="F278" s="3687">
        <f>SUM(F275:F277)</f>
        <v>0</v>
      </c>
      <c r="G278" s="457">
        <f>+G16</f>
        <v>454.54545454545456</v>
      </c>
      <c r="H278" s="3687">
        <f>SUM(H275:H277)</f>
        <v>0</v>
      </c>
      <c r="I278" s="376">
        <f>+I16</f>
        <v>909.09090909090912</v>
      </c>
      <c r="J278" s="782">
        <f t="shared" si="389"/>
        <v>0</v>
      </c>
      <c r="K278" s="457">
        <f>+K16</f>
        <v>454.54545454545456</v>
      </c>
      <c r="L278" s="3687">
        <f>SUM(L275:L277)</f>
        <v>0</v>
      </c>
      <c r="M278" s="3689">
        <f>E278+G278+K278</f>
        <v>1363.6363636363637</v>
      </c>
      <c r="N278" s="781">
        <f t="shared" si="390"/>
        <v>0</v>
      </c>
      <c r="O278" s="457">
        <f>+O16</f>
        <v>454.54545454545456</v>
      </c>
      <c r="P278" s="3687">
        <f>SUM(P275:P277)</f>
        <v>0</v>
      </c>
      <c r="Q278" s="376">
        <f>+Q16</f>
        <v>1818.1818181818182</v>
      </c>
      <c r="R278" s="782">
        <f t="shared" si="391"/>
        <v>0</v>
      </c>
      <c r="S278" s="457">
        <f>+S16</f>
        <v>454.54545454545456</v>
      </c>
      <c r="T278" s="3687">
        <f>SUM(T275:T277)</f>
        <v>0</v>
      </c>
      <c r="U278" s="376">
        <f>+U16</f>
        <v>2272.727272727273</v>
      </c>
      <c r="V278" s="782">
        <f t="shared" si="392"/>
        <v>0</v>
      </c>
      <c r="W278" s="457">
        <f>+W16</f>
        <v>0</v>
      </c>
      <c r="X278" s="3687">
        <f>SUM(X275:X277)</f>
        <v>49.900000000000006</v>
      </c>
      <c r="Y278" s="378">
        <f>+Y16</f>
        <v>909.09090909090912</v>
      </c>
      <c r="Z278" s="781">
        <f t="shared" si="393"/>
        <v>49.900000000000006</v>
      </c>
      <c r="AA278" s="3565">
        <f>+AA16</f>
        <v>2272.727272727273</v>
      </c>
      <c r="AB278" s="3562">
        <f t="shared" si="394"/>
        <v>49.900000000000006</v>
      </c>
      <c r="AC278" s="457">
        <f>+AC16</f>
        <v>500</v>
      </c>
      <c r="AD278" s="3687">
        <f>SUM(AD275:AD277)</f>
        <v>0</v>
      </c>
      <c r="AE278" s="376">
        <f>+AE16</f>
        <v>2772.727272727273</v>
      </c>
      <c r="AF278" s="782">
        <f t="shared" si="395"/>
        <v>49.900000000000006</v>
      </c>
      <c r="AG278" s="457">
        <f>+AG16</f>
        <v>500</v>
      </c>
      <c r="AH278" s="3687">
        <f>SUM(AH275:AH277)</f>
        <v>0</v>
      </c>
      <c r="AI278" s="376">
        <f>+AI16</f>
        <v>3272.727272727273</v>
      </c>
      <c r="AJ278" s="3688">
        <f t="shared" si="413"/>
        <v>49.900000000000006</v>
      </c>
      <c r="AK278" s="457">
        <f>+AK16</f>
        <v>500</v>
      </c>
      <c r="AL278" s="3687">
        <f>SUM(AL275:AL277)</f>
        <v>0</v>
      </c>
      <c r="AM278" s="378">
        <f>+AM16</f>
        <v>1500</v>
      </c>
      <c r="AN278" s="3689">
        <f>AD278+AH278+AL278</f>
        <v>0</v>
      </c>
      <c r="AO278" s="376">
        <f t="shared" si="420"/>
        <v>3772.727272727273</v>
      </c>
      <c r="AP278" s="3688">
        <f t="shared" si="420"/>
        <v>49.900000000000006</v>
      </c>
      <c r="AQ278" s="457">
        <f>+AQ16</f>
        <v>500</v>
      </c>
      <c r="AR278" s="3687">
        <f>SUM(AR275:AR277)</f>
        <v>53.43</v>
      </c>
      <c r="AS278" s="376">
        <f>+AS16</f>
        <v>4272.727272727273</v>
      </c>
      <c r="AT278" s="3688">
        <f t="shared" si="415"/>
        <v>103.33000000000001</v>
      </c>
      <c r="AU278" s="457">
        <f>+AU16</f>
        <v>500</v>
      </c>
      <c r="AV278" s="3687">
        <f>SUM(AV275:AV277)</f>
        <v>0</v>
      </c>
      <c r="AW278" s="376">
        <f>+AW16</f>
        <v>4772.727272727273</v>
      </c>
      <c r="AX278" s="3688">
        <f t="shared" si="416"/>
        <v>103.33000000000001</v>
      </c>
      <c r="AY278" s="457">
        <f>+AY16</f>
        <v>500</v>
      </c>
      <c r="AZ278" s="3687">
        <f>SUM(AZ275:AZ277)</f>
        <v>0</v>
      </c>
      <c r="BA278" s="378">
        <f>+BA16</f>
        <v>1500</v>
      </c>
      <c r="BB278" s="3689">
        <f>AR278+AV278+AZ278</f>
        <v>53.43</v>
      </c>
      <c r="BC278" s="3565">
        <f>AM278+BA278</f>
        <v>3000</v>
      </c>
      <c r="BD278" s="3565">
        <f>AN278+BB278</f>
        <v>53.43</v>
      </c>
      <c r="BE278" s="376">
        <f>+BE16</f>
        <v>5272.727272727273</v>
      </c>
      <c r="BF278" s="3688">
        <f t="shared" si="419"/>
        <v>103.33000000000001</v>
      </c>
      <c r="BG278" s="26"/>
      <c r="BH278" s="26"/>
      <c r="BI278" s="26"/>
      <c r="BJ278" s="26"/>
      <c r="BK278" s="26"/>
    </row>
    <row r="279" spans="1:63" ht="21" hidden="1" customHeight="1" x14ac:dyDescent="0.3">
      <c r="A279" s="199"/>
      <c r="B279" s="3646"/>
      <c r="C279" s="642"/>
      <c r="D279" s="642"/>
      <c r="E279" s="457"/>
      <c r="F279" s="1345"/>
      <c r="G279" s="457"/>
      <c r="H279" s="1345"/>
      <c r="I279" s="376"/>
      <c r="J279" s="782">
        <f t="shared" si="389"/>
        <v>0</v>
      </c>
      <c r="K279" s="457"/>
      <c r="L279" s="1345"/>
      <c r="M279" s="378"/>
      <c r="N279" s="781">
        <f t="shared" si="390"/>
        <v>0</v>
      </c>
      <c r="O279" s="457"/>
      <c r="P279" s="1345"/>
      <c r="Q279" s="376"/>
      <c r="R279" s="782">
        <f t="shared" si="391"/>
        <v>0</v>
      </c>
      <c r="S279" s="457"/>
      <c r="T279" s="1345"/>
      <c r="U279" s="376"/>
      <c r="V279" s="782">
        <f t="shared" si="392"/>
        <v>0</v>
      </c>
      <c r="W279" s="457"/>
      <c r="X279" s="1345"/>
      <c r="Y279" s="378"/>
      <c r="Z279" s="781">
        <f t="shared" si="393"/>
        <v>0</v>
      </c>
      <c r="AA279" s="3565"/>
      <c r="AB279" s="3562">
        <f t="shared" si="394"/>
        <v>0</v>
      </c>
      <c r="AC279" s="457"/>
      <c r="AD279" s="1345"/>
      <c r="AE279" s="376"/>
      <c r="AF279" s="782">
        <f t="shared" si="395"/>
        <v>0</v>
      </c>
      <c r="AG279" s="457"/>
      <c r="AH279" s="1345"/>
      <c r="AI279" s="376"/>
      <c r="AJ279" s="3647"/>
      <c r="AK279" s="457"/>
      <c r="AL279" s="1345"/>
      <c r="AM279" s="378"/>
      <c r="AN279" s="1725"/>
      <c r="AO279" s="376"/>
      <c r="AP279" s="3647"/>
      <c r="AQ279" s="457"/>
      <c r="AR279" s="1345"/>
      <c r="AS279" s="376"/>
      <c r="AT279" s="3647"/>
      <c r="AU279" s="457"/>
      <c r="AV279" s="1345"/>
      <c r="AW279" s="376"/>
      <c r="AX279" s="3647"/>
      <c r="AY279" s="457"/>
      <c r="AZ279" s="1345"/>
      <c r="BA279" s="378"/>
      <c r="BB279" s="1725"/>
      <c r="BC279" s="3565"/>
      <c r="BD279" s="3649"/>
      <c r="BE279" s="376"/>
      <c r="BF279" s="3647"/>
      <c r="BG279" s="26"/>
      <c r="BH279" s="26"/>
      <c r="BI279" s="26"/>
      <c r="BJ279" s="26"/>
      <c r="BK279" s="26"/>
    </row>
    <row r="280" spans="1:63" x14ac:dyDescent="0.25">
      <c r="A280" s="199"/>
      <c r="B280" s="3650" t="s">
        <v>321</v>
      </c>
      <c r="C280" s="3561" t="s">
        <v>1159</v>
      </c>
      <c r="D280" s="3561"/>
      <c r="E280" s="3561"/>
      <c r="F280" s="3561"/>
      <c r="G280" s="3561"/>
      <c r="H280" s="3561"/>
      <c r="I280" s="3651"/>
      <c r="J280" s="782">
        <f t="shared" si="389"/>
        <v>0</v>
      </c>
      <c r="K280" s="3561"/>
      <c r="L280" s="3561"/>
      <c r="M280" s="3652"/>
      <c r="N280" s="781">
        <f t="shared" si="390"/>
        <v>0</v>
      </c>
      <c r="O280" s="3561"/>
      <c r="P280" s="3561"/>
      <c r="Q280" s="3651"/>
      <c r="R280" s="782">
        <f t="shared" si="391"/>
        <v>0</v>
      </c>
      <c r="S280" s="3561"/>
      <c r="T280" s="3561"/>
      <c r="U280" s="3651"/>
      <c r="V280" s="782">
        <f t="shared" si="392"/>
        <v>0</v>
      </c>
      <c r="W280" s="3561"/>
      <c r="X280" s="3561"/>
      <c r="Y280" s="3652"/>
      <c r="Z280" s="781">
        <f t="shared" si="393"/>
        <v>0</v>
      </c>
      <c r="AA280" s="3653"/>
      <c r="AB280" s="3562">
        <f t="shared" si="394"/>
        <v>0</v>
      </c>
      <c r="AC280" s="3561"/>
      <c r="AD280" s="3561"/>
      <c r="AE280" s="3651"/>
      <c r="AF280" s="782">
        <f t="shared" si="395"/>
        <v>0</v>
      </c>
      <c r="AG280" s="3561"/>
      <c r="AH280" s="3561"/>
      <c r="AI280" s="3651"/>
      <c r="AJ280" s="3651"/>
      <c r="AK280" s="3561"/>
      <c r="AL280" s="3561"/>
      <c r="AM280" s="3652"/>
      <c r="AN280" s="3652"/>
      <c r="AO280" s="3651"/>
      <c r="AP280" s="3651"/>
      <c r="AQ280" s="3561"/>
      <c r="AR280" s="3561"/>
      <c r="AS280" s="3651"/>
      <c r="AT280" s="3651"/>
      <c r="AU280" s="3561"/>
      <c r="AV280" s="3561"/>
      <c r="AW280" s="3651"/>
      <c r="AX280" s="3651"/>
      <c r="AY280" s="3561"/>
      <c r="AZ280" s="3561"/>
      <c r="BA280" s="3652"/>
      <c r="BB280" s="3652"/>
      <c r="BC280" s="3653"/>
      <c r="BD280" s="3653"/>
      <c r="BE280" s="3651"/>
      <c r="BF280" s="3651"/>
      <c r="BG280" s="26"/>
      <c r="BH280" s="26"/>
      <c r="BI280" s="26"/>
      <c r="BJ280" s="26"/>
      <c r="BK280" s="26"/>
    </row>
    <row r="281" spans="1:63" x14ac:dyDescent="0.25">
      <c r="A281" s="199"/>
      <c r="B281" s="3587" t="s">
        <v>948</v>
      </c>
      <c r="C281" s="3587" t="s">
        <v>904</v>
      </c>
      <c r="D281" s="3587"/>
      <c r="E281" s="5918"/>
      <c r="F281" s="1201"/>
      <c r="G281" s="5918"/>
      <c r="H281" s="1201"/>
      <c r="I281" s="5939"/>
      <c r="J281" s="782">
        <f t="shared" si="389"/>
        <v>0</v>
      </c>
      <c r="K281" s="5918"/>
      <c r="L281" s="1201"/>
      <c r="M281" s="5883"/>
      <c r="N281" s="781">
        <f t="shared" si="390"/>
        <v>0</v>
      </c>
      <c r="O281" s="5918"/>
      <c r="P281" s="1201"/>
      <c r="Q281" s="5939"/>
      <c r="R281" s="782">
        <f t="shared" si="391"/>
        <v>0</v>
      </c>
      <c r="S281" s="5918"/>
      <c r="T281" s="1201"/>
      <c r="U281" s="5939"/>
      <c r="V281" s="782">
        <f t="shared" si="392"/>
        <v>0</v>
      </c>
      <c r="W281" s="5918"/>
      <c r="X281" s="1201"/>
      <c r="Y281" s="5883"/>
      <c r="Z281" s="781">
        <f t="shared" si="393"/>
        <v>0</v>
      </c>
      <c r="AA281" s="5890"/>
      <c r="AB281" s="3562">
        <f t="shared" si="394"/>
        <v>0</v>
      </c>
      <c r="AC281" s="5915"/>
      <c r="AD281" s="4312"/>
      <c r="AE281" s="5939"/>
      <c r="AF281" s="782">
        <f t="shared" si="395"/>
        <v>0</v>
      </c>
      <c r="AG281" s="5915"/>
      <c r="AH281" s="4312"/>
      <c r="AI281" s="5923"/>
      <c r="AJ281" s="782">
        <f t="shared" ref="AJ281:AJ352" si="421">AF281+AH281</f>
        <v>0</v>
      </c>
      <c r="AK281" s="5915"/>
      <c r="AL281" s="4312"/>
      <c r="AM281" s="5883"/>
      <c r="AN281" s="781">
        <f t="shared" ref="AN281:AN377" si="422">AD281+AH281+AL281</f>
        <v>0</v>
      </c>
      <c r="AO281" s="5939"/>
      <c r="AP281" s="782">
        <f t="shared" ref="AO281:AP392" si="423">AJ281+AL281</f>
        <v>0</v>
      </c>
      <c r="AQ281" s="5915"/>
      <c r="AR281" s="4312"/>
      <c r="AS281" s="5923"/>
      <c r="AT281" s="782">
        <f t="shared" ref="AT281:AT391" si="424">AP281+AR281</f>
        <v>0</v>
      </c>
      <c r="AU281" s="5915"/>
      <c r="AV281" s="4312"/>
      <c r="AW281" s="5923"/>
      <c r="AX281" s="782">
        <f t="shared" ref="AX281:AX391" si="425">AT281+AV281</f>
        <v>0</v>
      </c>
      <c r="AY281" s="5915"/>
      <c r="AZ281" s="4312"/>
      <c r="BA281" s="5883"/>
      <c r="BB281" s="781">
        <f t="shared" ref="BB281:BB347" si="426">AR281+AV281+AZ281</f>
        <v>0</v>
      </c>
      <c r="BC281" s="5890"/>
      <c r="BD281" s="3562">
        <f t="shared" ref="BD281:BD376" si="427">AN281+BB281</f>
        <v>0</v>
      </c>
      <c r="BE281" s="5923"/>
      <c r="BF281" s="782">
        <f t="shared" ref="BF281:BF391" si="428">AX281+AZ281</f>
        <v>0</v>
      </c>
      <c r="BG281" s="26"/>
      <c r="BH281" s="26"/>
      <c r="BI281" s="26"/>
      <c r="BJ281" s="26"/>
      <c r="BK281" s="26"/>
    </row>
    <row r="282" spans="1:63" x14ac:dyDescent="0.25">
      <c r="A282" s="199"/>
      <c r="B282" s="3587" t="s">
        <v>948</v>
      </c>
      <c r="C282" s="3587" t="s">
        <v>903</v>
      </c>
      <c r="D282" s="3587"/>
      <c r="E282" s="5918"/>
      <c r="F282" s="1201">
        <v>1041.23</v>
      </c>
      <c r="G282" s="5918"/>
      <c r="H282" s="1201">
        <v>945.81</v>
      </c>
      <c r="I282" s="5939"/>
      <c r="J282" s="782">
        <f t="shared" si="389"/>
        <v>1987.04</v>
      </c>
      <c r="K282" s="5918"/>
      <c r="L282" s="1201">
        <v>517.20000000000005</v>
      </c>
      <c r="M282" s="5883"/>
      <c r="N282" s="781">
        <f t="shared" si="390"/>
        <v>2504.2399999999998</v>
      </c>
      <c r="O282" s="5918"/>
      <c r="P282" s="1201">
        <v>63.48</v>
      </c>
      <c r="Q282" s="5939"/>
      <c r="R282" s="782">
        <f t="shared" si="391"/>
        <v>2567.7199999999998</v>
      </c>
      <c r="S282" s="5918"/>
      <c r="T282" s="1201">
        <v>65.319999999999993</v>
      </c>
      <c r="U282" s="5939"/>
      <c r="V282" s="782">
        <f t="shared" si="392"/>
        <v>2633.04</v>
      </c>
      <c r="W282" s="5918"/>
      <c r="X282" s="1201">
        <v>651.56999999999994</v>
      </c>
      <c r="Y282" s="5883"/>
      <c r="Z282" s="781">
        <f t="shared" si="393"/>
        <v>780.36999999999989</v>
      </c>
      <c r="AA282" s="5890"/>
      <c r="AB282" s="3562">
        <f t="shared" si="394"/>
        <v>3284.6099999999997</v>
      </c>
      <c r="AC282" s="5915"/>
      <c r="AD282" s="4312"/>
      <c r="AE282" s="5939"/>
      <c r="AF282" s="782">
        <f t="shared" si="395"/>
        <v>3284.6099999999997</v>
      </c>
      <c r="AG282" s="5915"/>
      <c r="AH282" s="4312">
        <v>63.6</v>
      </c>
      <c r="AI282" s="5924"/>
      <c r="AJ282" s="782">
        <f t="shared" si="421"/>
        <v>3348.2099999999996</v>
      </c>
      <c r="AK282" s="5915"/>
      <c r="AL282" s="4312"/>
      <c r="AM282" s="5883"/>
      <c r="AN282" s="781">
        <f t="shared" si="422"/>
        <v>63.6</v>
      </c>
      <c r="AO282" s="5939"/>
      <c r="AP282" s="782">
        <f t="shared" si="423"/>
        <v>3348.2099999999996</v>
      </c>
      <c r="AQ282" s="5915"/>
      <c r="AR282" s="4312">
        <v>1946.1200000000003</v>
      </c>
      <c r="AS282" s="5924"/>
      <c r="AT282" s="782">
        <f t="shared" si="424"/>
        <v>5294.33</v>
      </c>
      <c r="AU282" s="5915"/>
      <c r="AV282" s="4312">
        <v>1544.5499999999997</v>
      </c>
      <c r="AW282" s="5924"/>
      <c r="AX282" s="782">
        <f t="shared" si="425"/>
        <v>6838.8799999999992</v>
      </c>
      <c r="AY282" s="5915"/>
      <c r="AZ282" s="4312"/>
      <c r="BA282" s="5883"/>
      <c r="BB282" s="781">
        <f t="shared" si="426"/>
        <v>3490.67</v>
      </c>
      <c r="BC282" s="5890"/>
      <c r="BD282" s="3562">
        <f t="shared" si="427"/>
        <v>3554.27</v>
      </c>
      <c r="BE282" s="5924"/>
      <c r="BF282" s="782">
        <f t="shared" si="428"/>
        <v>6838.8799999999992</v>
      </c>
      <c r="BG282" s="26"/>
      <c r="BH282" s="26"/>
      <c r="BI282" s="26"/>
      <c r="BJ282" s="26"/>
      <c r="BK282" s="26"/>
    </row>
    <row r="283" spans="1:63" x14ac:dyDescent="0.25">
      <c r="A283" s="199"/>
      <c r="B283" s="3587" t="s">
        <v>1653</v>
      </c>
      <c r="C283" s="3587" t="s">
        <v>903</v>
      </c>
      <c r="D283" s="3587"/>
      <c r="E283" s="5918"/>
      <c r="F283" s="1201">
        <v>156.06</v>
      </c>
      <c r="G283" s="5918"/>
      <c r="H283" s="1201">
        <v>206.14</v>
      </c>
      <c r="I283" s="5939"/>
      <c r="J283" s="782">
        <f t="shared" si="389"/>
        <v>362.2</v>
      </c>
      <c r="K283" s="5918"/>
      <c r="L283" s="1201">
        <v>515.82000000000005</v>
      </c>
      <c r="M283" s="5883"/>
      <c r="N283" s="781">
        <f t="shared" si="390"/>
        <v>878.02</v>
      </c>
      <c r="O283" s="5918"/>
      <c r="P283" s="1201">
        <v>162.96</v>
      </c>
      <c r="Q283" s="5939"/>
      <c r="R283" s="782">
        <f t="shared" si="391"/>
        <v>1040.98</v>
      </c>
      <c r="S283" s="5918"/>
      <c r="T283" s="1201"/>
      <c r="U283" s="5939"/>
      <c r="V283" s="782">
        <f t="shared" si="392"/>
        <v>1040.98</v>
      </c>
      <c r="W283" s="5918"/>
      <c r="X283" s="1201">
        <v>339.33</v>
      </c>
      <c r="Y283" s="5883"/>
      <c r="Z283" s="781">
        <f t="shared" si="393"/>
        <v>502.28999999999996</v>
      </c>
      <c r="AA283" s="5890"/>
      <c r="AB283" s="3562">
        <f t="shared" si="394"/>
        <v>1380.31</v>
      </c>
      <c r="AC283" s="5915"/>
      <c r="AD283" s="4312"/>
      <c r="AE283" s="5939"/>
      <c r="AF283" s="782">
        <f t="shared" si="395"/>
        <v>1380.31</v>
      </c>
      <c r="AG283" s="5915"/>
      <c r="AH283" s="4312"/>
      <c r="AI283" s="5924"/>
      <c r="AJ283" s="782">
        <f t="shared" si="421"/>
        <v>1380.31</v>
      </c>
      <c r="AK283" s="5915"/>
      <c r="AL283" s="4312"/>
      <c r="AM283" s="5883"/>
      <c r="AN283" s="781">
        <f t="shared" si="422"/>
        <v>0</v>
      </c>
      <c r="AO283" s="5939"/>
      <c r="AP283" s="782">
        <f t="shared" si="423"/>
        <v>1380.31</v>
      </c>
      <c r="AQ283" s="5915"/>
      <c r="AR283" s="4312">
        <v>953.68</v>
      </c>
      <c r="AS283" s="5924"/>
      <c r="AT283" s="782">
        <f t="shared" si="424"/>
        <v>2333.9899999999998</v>
      </c>
      <c r="AU283" s="5915"/>
      <c r="AV283" s="4312">
        <v>250.26</v>
      </c>
      <c r="AW283" s="5924"/>
      <c r="AX283" s="782">
        <f t="shared" si="425"/>
        <v>2584.25</v>
      </c>
      <c r="AY283" s="5915"/>
      <c r="AZ283" s="4312"/>
      <c r="BA283" s="5883"/>
      <c r="BB283" s="781">
        <f t="shared" si="426"/>
        <v>1203.94</v>
      </c>
      <c r="BC283" s="5890"/>
      <c r="BD283" s="3562">
        <f t="shared" si="427"/>
        <v>1203.94</v>
      </c>
      <c r="BE283" s="5924"/>
      <c r="BF283" s="782">
        <f t="shared" si="428"/>
        <v>2584.25</v>
      </c>
      <c r="BG283" s="26"/>
      <c r="BH283" s="26"/>
      <c r="BI283" s="26"/>
      <c r="BJ283" s="26"/>
      <c r="BK283" s="26"/>
    </row>
    <row r="284" spans="1:63" x14ac:dyDescent="0.25">
      <c r="A284" s="199"/>
      <c r="B284" s="4734" t="s">
        <v>2093</v>
      </c>
      <c r="C284" s="4734" t="s">
        <v>903</v>
      </c>
      <c r="D284" s="4734"/>
      <c r="E284" s="5955"/>
      <c r="F284" s="4690"/>
      <c r="G284" s="5955"/>
      <c r="H284" s="4690"/>
      <c r="I284" s="5940"/>
      <c r="J284" s="782">
        <f t="shared" si="389"/>
        <v>0</v>
      </c>
      <c r="K284" s="5955"/>
      <c r="L284" s="4690"/>
      <c r="M284" s="5884"/>
      <c r="N284" s="781">
        <f t="shared" si="390"/>
        <v>0</v>
      </c>
      <c r="O284" s="5955"/>
      <c r="P284" s="4690"/>
      <c r="Q284" s="5940"/>
      <c r="R284" s="782">
        <f t="shared" si="391"/>
        <v>0</v>
      </c>
      <c r="S284" s="5955"/>
      <c r="T284" s="4690"/>
      <c r="U284" s="5940"/>
      <c r="V284" s="782">
        <f t="shared" si="392"/>
        <v>0</v>
      </c>
      <c r="W284" s="5955"/>
      <c r="X284" s="4690"/>
      <c r="Y284" s="5884"/>
      <c r="Z284" s="781">
        <f t="shared" si="393"/>
        <v>0</v>
      </c>
      <c r="AA284" s="5891"/>
      <c r="AB284" s="3562">
        <f t="shared" si="394"/>
        <v>0</v>
      </c>
      <c r="AC284" s="5916"/>
      <c r="AD284" s="4690"/>
      <c r="AE284" s="5940"/>
      <c r="AF284" s="782">
        <f t="shared" si="395"/>
        <v>0</v>
      </c>
      <c r="AG284" s="5916"/>
      <c r="AH284" s="4690"/>
      <c r="AI284" s="5924"/>
      <c r="AJ284" s="4692"/>
      <c r="AK284" s="5916"/>
      <c r="AL284" s="4690"/>
      <c r="AM284" s="5884"/>
      <c r="AN284" s="4694"/>
      <c r="AO284" s="5940"/>
      <c r="AP284" s="4692"/>
      <c r="AQ284" s="5916"/>
      <c r="AR284" s="4690">
        <v>295.81999999999994</v>
      </c>
      <c r="AS284" s="5924"/>
      <c r="AT284" s="782">
        <f t="shared" si="424"/>
        <v>295.81999999999994</v>
      </c>
      <c r="AU284" s="5916"/>
      <c r="AV284" s="4690"/>
      <c r="AW284" s="5924"/>
      <c r="AX284" s="782">
        <f t="shared" si="425"/>
        <v>295.81999999999994</v>
      </c>
      <c r="AY284" s="5916"/>
      <c r="AZ284" s="4690"/>
      <c r="BA284" s="5884"/>
      <c r="BB284" s="781">
        <f t="shared" si="426"/>
        <v>295.81999999999994</v>
      </c>
      <c r="BC284" s="5891"/>
      <c r="BD284" s="3562">
        <f t="shared" si="427"/>
        <v>295.81999999999994</v>
      </c>
      <c r="BE284" s="5924"/>
      <c r="BF284" s="782">
        <f t="shared" si="428"/>
        <v>295.81999999999994</v>
      </c>
      <c r="BG284" s="26"/>
      <c r="BH284" s="26"/>
      <c r="BI284" s="26"/>
      <c r="BJ284" s="26"/>
      <c r="BK284" s="26"/>
    </row>
    <row r="285" spans="1:63" x14ac:dyDescent="0.25">
      <c r="A285" s="199"/>
      <c r="B285" s="3587" t="s">
        <v>1310</v>
      </c>
      <c r="C285" s="3587" t="s">
        <v>904</v>
      </c>
      <c r="D285" s="3587"/>
      <c r="E285" s="5918"/>
      <c r="F285" s="1201"/>
      <c r="G285" s="5918"/>
      <c r="H285" s="1201"/>
      <c r="I285" s="5939"/>
      <c r="J285" s="782">
        <f t="shared" si="389"/>
        <v>0</v>
      </c>
      <c r="K285" s="5918"/>
      <c r="L285" s="1201">
        <v>227.01</v>
      </c>
      <c r="M285" s="5883"/>
      <c r="N285" s="781">
        <f t="shared" si="390"/>
        <v>227.01</v>
      </c>
      <c r="O285" s="5918"/>
      <c r="P285" s="1201">
        <v>112.10999999999999</v>
      </c>
      <c r="Q285" s="5939"/>
      <c r="R285" s="782">
        <f t="shared" si="391"/>
        <v>339.12</v>
      </c>
      <c r="S285" s="5918"/>
      <c r="T285" s="1201"/>
      <c r="U285" s="5939"/>
      <c r="V285" s="782">
        <f t="shared" si="392"/>
        <v>339.12</v>
      </c>
      <c r="W285" s="5918"/>
      <c r="X285" s="1201">
        <v>251.82</v>
      </c>
      <c r="Y285" s="5883"/>
      <c r="Z285" s="781">
        <f t="shared" si="393"/>
        <v>363.92999999999995</v>
      </c>
      <c r="AA285" s="5890"/>
      <c r="AB285" s="3562">
        <f t="shared" si="394"/>
        <v>590.93999999999994</v>
      </c>
      <c r="AC285" s="5915"/>
      <c r="AD285" s="4312"/>
      <c r="AE285" s="5939"/>
      <c r="AF285" s="782">
        <f t="shared" si="395"/>
        <v>590.93999999999994</v>
      </c>
      <c r="AG285" s="5915"/>
      <c r="AH285" s="4312"/>
      <c r="AI285" s="5924"/>
      <c r="AJ285" s="782">
        <f t="shared" si="421"/>
        <v>590.93999999999994</v>
      </c>
      <c r="AK285" s="5915"/>
      <c r="AL285" s="4312"/>
      <c r="AM285" s="5883"/>
      <c r="AN285" s="781">
        <f t="shared" si="422"/>
        <v>0</v>
      </c>
      <c r="AO285" s="5939"/>
      <c r="AP285" s="782">
        <f t="shared" si="423"/>
        <v>590.93999999999994</v>
      </c>
      <c r="AQ285" s="5915"/>
      <c r="AR285" s="4312"/>
      <c r="AS285" s="5924"/>
      <c r="AT285" s="782">
        <f t="shared" si="424"/>
        <v>590.93999999999994</v>
      </c>
      <c r="AU285" s="5915"/>
      <c r="AV285" s="4312"/>
      <c r="AW285" s="5924"/>
      <c r="AX285" s="782">
        <f t="shared" si="425"/>
        <v>590.93999999999994</v>
      </c>
      <c r="AY285" s="5915"/>
      <c r="AZ285" s="4312"/>
      <c r="BA285" s="5883"/>
      <c r="BB285" s="781">
        <f t="shared" si="426"/>
        <v>0</v>
      </c>
      <c r="BC285" s="5890"/>
      <c r="BD285" s="3562">
        <f t="shared" si="427"/>
        <v>0</v>
      </c>
      <c r="BE285" s="5924"/>
      <c r="BF285" s="782">
        <f t="shared" si="428"/>
        <v>590.93999999999994</v>
      </c>
      <c r="BG285" s="26"/>
      <c r="BH285" s="26"/>
      <c r="BI285" s="26"/>
      <c r="BJ285" s="26"/>
      <c r="BK285" s="26"/>
    </row>
    <row r="286" spans="1:63" x14ac:dyDescent="0.25">
      <c r="A286" s="199"/>
      <c r="B286" s="3587" t="s">
        <v>1310</v>
      </c>
      <c r="C286" s="3587" t="s">
        <v>903</v>
      </c>
      <c r="D286" s="3587"/>
      <c r="E286" s="5918"/>
      <c r="F286" s="1201"/>
      <c r="G286" s="5918"/>
      <c r="H286" s="1201"/>
      <c r="I286" s="5939"/>
      <c r="J286" s="782">
        <f t="shared" si="389"/>
        <v>0</v>
      </c>
      <c r="K286" s="5918"/>
      <c r="L286" s="1201">
        <v>482.14000000000004</v>
      </c>
      <c r="M286" s="5883"/>
      <c r="N286" s="781">
        <f t="shared" si="390"/>
        <v>482.14000000000004</v>
      </c>
      <c r="O286" s="5918"/>
      <c r="P286" s="1201"/>
      <c r="Q286" s="5939"/>
      <c r="R286" s="782">
        <f t="shared" si="391"/>
        <v>482.14000000000004</v>
      </c>
      <c r="S286" s="5918"/>
      <c r="T286" s="1201"/>
      <c r="U286" s="5939"/>
      <c r="V286" s="782">
        <f t="shared" si="392"/>
        <v>482.14000000000004</v>
      </c>
      <c r="W286" s="5918"/>
      <c r="X286" s="1201">
        <v>235.59</v>
      </c>
      <c r="Y286" s="5883"/>
      <c r="Z286" s="781">
        <f t="shared" si="393"/>
        <v>235.59</v>
      </c>
      <c r="AA286" s="5890"/>
      <c r="AB286" s="3562">
        <f t="shared" si="394"/>
        <v>717.73</v>
      </c>
      <c r="AC286" s="5915"/>
      <c r="AD286" s="4312"/>
      <c r="AE286" s="5939"/>
      <c r="AF286" s="782">
        <f t="shared" si="395"/>
        <v>717.73</v>
      </c>
      <c r="AG286" s="5915"/>
      <c r="AH286" s="4312"/>
      <c r="AI286" s="5924"/>
      <c r="AJ286" s="782">
        <f t="shared" si="421"/>
        <v>717.73</v>
      </c>
      <c r="AK286" s="5915"/>
      <c r="AL286" s="4312"/>
      <c r="AM286" s="5883"/>
      <c r="AN286" s="781">
        <f t="shared" si="422"/>
        <v>0</v>
      </c>
      <c r="AO286" s="5939"/>
      <c r="AP286" s="782">
        <f t="shared" si="423"/>
        <v>717.73</v>
      </c>
      <c r="AQ286" s="5915"/>
      <c r="AR286" s="4312"/>
      <c r="AS286" s="5924"/>
      <c r="AT286" s="782">
        <f t="shared" si="424"/>
        <v>717.73</v>
      </c>
      <c r="AU286" s="5915"/>
      <c r="AV286" s="4312"/>
      <c r="AW286" s="5924"/>
      <c r="AX286" s="782">
        <f t="shared" si="425"/>
        <v>717.73</v>
      </c>
      <c r="AY286" s="5915"/>
      <c r="AZ286" s="4312">
        <v>1285.21</v>
      </c>
      <c r="BA286" s="5883"/>
      <c r="BB286" s="781">
        <f t="shared" si="426"/>
        <v>1285.21</v>
      </c>
      <c r="BC286" s="5890"/>
      <c r="BD286" s="3562">
        <f t="shared" si="427"/>
        <v>1285.21</v>
      </c>
      <c r="BE286" s="5924"/>
      <c r="BF286" s="782">
        <f t="shared" si="428"/>
        <v>2002.94</v>
      </c>
      <c r="BG286" s="26"/>
      <c r="BH286" s="26"/>
      <c r="BI286" s="26"/>
      <c r="BJ286" s="26"/>
      <c r="BK286" s="26"/>
    </row>
    <row r="287" spans="1:63" x14ac:dyDescent="0.25">
      <c r="A287" s="199"/>
      <c r="B287" s="3587" t="s">
        <v>1132</v>
      </c>
      <c r="C287" s="3587" t="s">
        <v>1359</v>
      </c>
      <c r="D287" s="3587"/>
      <c r="E287" s="5918"/>
      <c r="F287" s="1201">
        <v>2660.71</v>
      </c>
      <c r="G287" s="5918"/>
      <c r="H287" s="1201">
        <v>2825.5800000000004</v>
      </c>
      <c r="I287" s="5939"/>
      <c r="J287" s="782">
        <f t="shared" si="389"/>
        <v>5486.2900000000009</v>
      </c>
      <c r="K287" s="5918"/>
      <c r="L287" s="1201">
        <v>2325.63</v>
      </c>
      <c r="M287" s="5883"/>
      <c r="N287" s="781">
        <f t="shared" si="390"/>
        <v>7811.920000000001</v>
      </c>
      <c r="O287" s="5918"/>
      <c r="P287" s="1201">
        <v>2399.52</v>
      </c>
      <c r="Q287" s="5939"/>
      <c r="R287" s="782">
        <f t="shared" si="391"/>
        <v>10211.44</v>
      </c>
      <c r="S287" s="5918"/>
      <c r="T287" s="1201">
        <v>1168.8400000000001</v>
      </c>
      <c r="U287" s="5939"/>
      <c r="V287" s="782">
        <f t="shared" si="392"/>
        <v>11380.28</v>
      </c>
      <c r="W287" s="5918"/>
      <c r="X287" s="1201">
        <v>394.95000000000005</v>
      </c>
      <c r="Y287" s="5883"/>
      <c r="Z287" s="781">
        <f t="shared" si="393"/>
        <v>3963.3100000000004</v>
      </c>
      <c r="AA287" s="5890"/>
      <c r="AB287" s="3562">
        <f t="shared" si="394"/>
        <v>11775.230000000001</v>
      </c>
      <c r="AC287" s="5915"/>
      <c r="AD287" s="4312"/>
      <c r="AE287" s="5939"/>
      <c r="AF287" s="782">
        <f t="shared" si="395"/>
        <v>11775.230000000001</v>
      </c>
      <c r="AG287" s="5915"/>
      <c r="AH287" s="4312">
        <v>133.44999999999999</v>
      </c>
      <c r="AI287" s="5924"/>
      <c r="AJ287" s="782">
        <f t="shared" si="421"/>
        <v>11908.680000000002</v>
      </c>
      <c r="AK287" s="5915"/>
      <c r="AL287" s="4312">
        <v>2853.1600000000003</v>
      </c>
      <c r="AM287" s="5883"/>
      <c r="AN287" s="781">
        <f t="shared" si="422"/>
        <v>2986.61</v>
      </c>
      <c r="AO287" s="5939"/>
      <c r="AP287" s="782">
        <f t="shared" si="423"/>
        <v>14761.840000000002</v>
      </c>
      <c r="AQ287" s="5915"/>
      <c r="AR287" s="4312">
        <v>2081.46</v>
      </c>
      <c r="AS287" s="5924"/>
      <c r="AT287" s="782">
        <f t="shared" si="424"/>
        <v>16843.300000000003</v>
      </c>
      <c r="AU287" s="5915"/>
      <c r="AV287" s="4312">
        <v>2829.2000000000003</v>
      </c>
      <c r="AW287" s="5924"/>
      <c r="AX287" s="782">
        <f t="shared" si="425"/>
        <v>19672.500000000004</v>
      </c>
      <c r="AY287" s="5915"/>
      <c r="AZ287" s="4312">
        <v>2731.17</v>
      </c>
      <c r="BA287" s="5883"/>
      <c r="BB287" s="781">
        <f t="shared" si="426"/>
        <v>7641.83</v>
      </c>
      <c r="BC287" s="5890"/>
      <c r="BD287" s="3562">
        <f t="shared" si="427"/>
        <v>10628.44</v>
      </c>
      <c r="BE287" s="5924"/>
      <c r="BF287" s="782">
        <f t="shared" si="428"/>
        <v>22403.670000000006</v>
      </c>
      <c r="BG287" s="26"/>
      <c r="BH287" s="26"/>
      <c r="BI287" s="26"/>
      <c r="BJ287" s="26"/>
      <c r="BK287" s="26"/>
    </row>
    <row r="288" spans="1:63" x14ac:dyDescent="0.25">
      <c r="A288" s="199"/>
      <c r="B288" s="3626" t="s">
        <v>1132</v>
      </c>
      <c r="C288" s="3626" t="s">
        <v>904</v>
      </c>
      <c r="D288" s="3626"/>
      <c r="E288" s="5919"/>
      <c r="F288" s="2647"/>
      <c r="G288" s="5919"/>
      <c r="H288" s="2647"/>
      <c r="I288" s="5941"/>
      <c r="J288" s="782">
        <f t="shared" si="389"/>
        <v>0</v>
      </c>
      <c r="K288" s="5919"/>
      <c r="L288" s="2647">
        <v>127.02</v>
      </c>
      <c r="M288" s="5885"/>
      <c r="N288" s="781">
        <f t="shared" si="390"/>
        <v>127.02</v>
      </c>
      <c r="O288" s="5919"/>
      <c r="P288" s="2647"/>
      <c r="Q288" s="5941"/>
      <c r="R288" s="782">
        <f t="shared" si="391"/>
        <v>127.02</v>
      </c>
      <c r="S288" s="5919"/>
      <c r="T288" s="2647"/>
      <c r="U288" s="5941"/>
      <c r="V288" s="782">
        <f t="shared" si="392"/>
        <v>127.02</v>
      </c>
      <c r="W288" s="5919"/>
      <c r="X288" s="2647"/>
      <c r="Y288" s="5885"/>
      <c r="Z288" s="781">
        <f t="shared" si="393"/>
        <v>0</v>
      </c>
      <c r="AA288" s="5892"/>
      <c r="AB288" s="3562">
        <f t="shared" si="394"/>
        <v>127.02</v>
      </c>
      <c r="AC288" s="5915"/>
      <c r="AD288" s="4312"/>
      <c r="AE288" s="5941"/>
      <c r="AF288" s="782">
        <f t="shared" si="395"/>
        <v>127.02</v>
      </c>
      <c r="AG288" s="5915"/>
      <c r="AH288" s="4312"/>
      <c r="AI288" s="5924"/>
      <c r="AJ288" s="782">
        <f t="shared" si="421"/>
        <v>127.02</v>
      </c>
      <c r="AK288" s="5915"/>
      <c r="AL288" s="4312"/>
      <c r="AM288" s="5885"/>
      <c r="AN288" s="781">
        <f t="shared" si="422"/>
        <v>0</v>
      </c>
      <c r="AO288" s="5941"/>
      <c r="AP288" s="782">
        <f t="shared" si="423"/>
        <v>127.02</v>
      </c>
      <c r="AQ288" s="5915"/>
      <c r="AR288" s="4312"/>
      <c r="AS288" s="5924"/>
      <c r="AT288" s="782">
        <f t="shared" si="424"/>
        <v>127.02</v>
      </c>
      <c r="AU288" s="5915"/>
      <c r="AV288" s="4312"/>
      <c r="AW288" s="5924"/>
      <c r="AX288" s="782">
        <f t="shared" si="425"/>
        <v>127.02</v>
      </c>
      <c r="AY288" s="5915"/>
      <c r="AZ288" s="4312"/>
      <c r="BA288" s="5885"/>
      <c r="BB288" s="781">
        <f t="shared" si="426"/>
        <v>0</v>
      </c>
      <c r="BC288" s="5892"/>
      <c r="BD288" s="3562">
        <f t="shared" si="427"/>
        <v>0</v>
      </c>
      <c r="BE288" s="5924"/>
      <c r="BF288" s="782">
        <f t="shared" si="428"/>
        <v>127.02</v>
      </c>
      <c r="BG288" s="26"/>
      <c r="BH288" s="26"/>
      <c r="BI288" s="26"/>
      <c r="BJ288" s="26"/>
      <c r="BK288" s="26"/>
    </row>
    <row r="289" spans="1:63" x14ac:dyDescent="0.25">
      <c r="A289" s="199"/>
      <c r="B289" s="5498" t="s">
        <v>1717</v>
      </c>
      <c r="C289" s="5498" t="s">
        <v>904</v>
      </c>
      <c r="D289" s="5498"/>
      <c r="E289" s="5922"/>
      <c r="F289" s="5499"/>
      <c r="G289" s="5922"/>
      <c r="H289" s="5499"/>
      <c r="I289" s="5942"/>
      <c r="J289" s="782">
        <f t="shared" si="389"/>
        <v>0</v>
      </c>
      <c r="K289" s="5922"/>
      <c r="L289" s="5499">
        <v>245.12</v>
      </c>
      <c r="M289" s="5886"/>
      <c r="N289" s="781">
        <f t="shared" si="390"/>
        <v>245.12</v>
      </c>
      <c r="O289" s="5922"/>
      <c r="P289" s="5499">
        <v>239.31000000000003</v>
      </c>
      <c r="Q289" s="5942"/>
      <c r="R289" s="782">
        <f t="shared" si="391"/>
        <v>484.43000000000006</v>
      </c>
      <c r="S289" s="5922"/>
      <c r="T289" s="5499">
        <v>188.86</v>
      </c>
      <c r="U289" s="5942"/>
      <c r="V289" s="782">
        <f t="shared" si="392"/>
        <v>673.29000000000008</v>
      </c>
      <c r="W289" s="5922"/>
      <c r="X289" s="5499">
        <v>499.31999999999994</v>
      </c>
      <c r="Y289" s="5886"/>
      <c r="Z289" s="781">
        <f t="shared" si="393"/>
        <v>927.49</v>
      </c>
      <c r="AA289" s="5893"/>
      <c r="AB289" s="3562">
        <f t="shared" si="394"/>
        <v>1172.6100000000001</v>
      </c>
      <c r="AC289" s="5917"/>
      <c r="AD289" s="5499"/>
      <c r="AE289" s="5942"/>
      <c r="AF289" s="782">
        <f t="shared" si="395"/>
        <v>1172.6100000000001</v>
      </c>
      <c r="AG289" s="5917"/>
      <c r="AH289" s="5499"/>
      <c r="AI289" s="5924"/>
      <c r="AJ289" s="5444"/>
      <c r="AK289" s="5917"/>
      <c r="AL289" s="5499"/>
      <c r="AM289" s="5886"/>
      <c r="AN289" s="5450"/>
      <c r="AO289" s="5942"/>
      <c r="AP289" s="5444"/>
      <c r="AQ289" s="5917"/>
      <c r="AR289" s="5499"/>
      <c r="AS289" s="5924"/>
      <c r="AT289" s="5444"/>
      <c r="AU289" s="5917"/>
      <c r="AV289" s="5499"/>
      <c r="AW289" s="5924"/>
      <c r="AX289" s="5444"/>
      <c r="AY289" s="5917"/>
      <c r="AZ289" s="5499"/>
      <c r="BA289" s="5886"/>
      <c r="BB289" s="5450"/>
      <c r="BC289" s="5893"/>
      <c r="BD289" s="5495"/>
      <c r="BE289" s="5924"/>
      <c r="BF289" s="5444"/>
      <c r="BG289" s="26"/>
      <c r="BH289" s="26"/>
      <c r="BI289" s="26"/>
      <c r="BJ289" s="26"/>
      <c r="BK289" s="26"/>
    </row>
    <row r="290" spans="1:63" x14ac:dyDescent="0.25">
      <c r="A290" s="199"/>
      <c r="B290" s="3630" t="s">
        <v>1717</v>
      </c>
      <c r="C290" s="3630" t="s">
        <v>903</v>
      </c>
      <c r="D290" s="3630"/>
      <c r="E290" s="5920"/>
      <c r="F290" s="2492">
        <v>33.78</v>
      </c>
      <c r="G290" s="5920"/>
      <c r="H290" s="2492"/>
      <c r="I290" s="5943"/>
      <c r="J290" s="782">
        <f t="shared" si="389"/>
        <v>33.78</v>
      </c>
      <c r="K290" s="5920"/>
      <c r="L290" s="2492">
        <v>1062.9100000000001</v>
      </c>
      <c r="M290" s="5887"/>
      <c r="N290" s="781">
        <f t="shared" si="390"/>
        <v>1096.69</v>
      </c>
      <c r="O290" s="5920"/>
      <c r="P290" s="2492">
        <v>41.68</v>
      </c>
      <c r="Q290" s="5943"/>
      <c r="R290" s="782">
        <f t="shared" si="391"/>
        <v>1138.3700000000001</v>
      </c>
      <c r="S290" s="5920"/>
      <c r="T290" s="2492">
        <v>749.45999999999992</v>
      </c>
      <c r="U290" s="5943"/>
      <c r="V290" s="782">
        <f t="shared" si="392"/>
        <v>1887.83</v>
      </c>
      <c r="W290" s="5920"/>
      <c r="X290" s="2492">
        <v>320.70999999999998</v>
      </c>
      <c r="Y290" s="5887"/>
      <c r="Z290" s="781">
        <f t="shared" si="393"/>
        <v>1111.8499999999999</v>
      </c>
      <c r="AA290" s="5894"/>
      <c r="AB290" s="3562">
        <f t="shared" si="394"/>
        <v>2208.54</v>
      </c>
      <c r="AC290" s="5915"/>
      <c r="AD290" s="4312">
        <v>128.13999999999999</v>
      </c>
      <c r="AE290" s="5943"/>
      <c r="AF290" s="782">
        <f t="shared" si="395"/>
        <v>2336.6799999999998</v>
      </c>
      <c r="AG290" s="5915"/>
      <c r="AH290" s="4312">
        <v>188.3</v>
      </c>
      <c r="AI290" s="5924"/>
      <c r="AJ290" s="782">
        <f t="shared" si="421"/>
        <v>2524.98</v>
      </c>
      <c r="AK290" s="5915"/>
      <c r="AL290" s="4312"/>
      <c r="AM290" s="5887"/>
      <c r="AN290" s="781">
        <f t="shared" si="422"/>
        <v>316.44</v>
      </c>
      <c r="AO290" s="5943"/>
      <c r="AP290" s="782">
        <f t="shared" si="423"/>
        <v>2524.98</v>
      </c>
      <c r="AQ290" s="5915"/>
      <c r="AR290" s="4312"/>
      <c r="AS290" s="5924"/>
      <c r="AT290" s="782">
        <f t="shared" si="424"/>
        <v>2524.98</v>
      </c>
      <c r="AU290" s="5915"/>
      <c r="AV290" s="4312"/>
      <c r="AW290" s="5924"/>
      <c r="AX290" s="782">
        <f t="shared" si="425"/>
        <v>2524.98</v>
      </c>
      <c r="AY290" s="5915"/>
      <c r="AZ290" s="4312">
        <v>1390.34</v>
      </c>
      <c r="BA290" s="5887"/>
      <c r="BB290" s="781">
        <f t="shared" si="426"/>
        <v>1390.34</v>
      </c>
      <c r="BC290" s="5894"/>
      <c r="BD290" s="3562">
        <f t="shared" si="427"/>
        <v>1706.78</v>
      </c>
      <c r="BE290" s="5924"/>
      <c r="BF290" s="782">
        <f t="shared" si="428"/>
        <v>3915.3199999999997</v>
      </c>
      <c r="BG290" s="26"/>
      <c r="BH290" s="26"/>
      <c r="BI290" s="26"/>
      <c r="BJ290" s="26"/>
      <c r="BK290" s="26"/>
    </row>
    <row r="291" spans="1:63" x14ac:dyDescent="0.25">
      <c r="A291" s="199"/>
      <c r="B291" s="3654" t="s">
        <v>1197</v>
      </c>
      <c r="C291" s="3587" t="s">
        <v>903</v>
      </c>
      <c r="D291" s="3587"/>
      <c r="E291" s="5918"/>
      <c r="F291" s="1201">
        <v>547.42999999999995</v>
      </c>
      <c r="G291" s="5918"/>
      <c r="H291" s="1201">
        <v>1131.1100000000001</v>
      </c>
      <c r="I291" s="5939"/>
      <c r="J291" s="782">
        <f t="shared" si="389"/>
        <v>1678.54</v>
      </c>
      <c r="K291" s="5918"/>
      <c r="L291" s="1201">
        <v>885.1400000000001</v>
      </c>
      <c r="M291" s="5883"/>
      <c r="N291" s="781">
        <f t="shared" si="390"/>
        <v>2563.6800000000003</v>
      </c>
      <c r="O291" s="5918"/>
      <c r="P291" s="1201">
        <v>225.07</v>
      </c>
      <c r="Q291" s="5939"/>
      <c r="R291" s="782">
        <f t="shared" si="391"/>
        <v>2788.7500000000005</v>
      </c>
      <c r="S291" s="5918"/>
      <c r="T291" s="1201">
        <v>305.78000000000003</v>
      </c>
      <c r="U291" s="5939"/>
      <c r="V291" s="782">
        <f t="shared" si="392"/>
        <v>3094.5300000000007</v>
      </c>
      <c r="W291" s="5918"/>
      <c r="X291" s="1201">
        <v>311.08</v>
      </c>
      <c r="Y291" s="5883"/>
      <c r="Z291" s="781">
        <f t="shared" si="393"/>
        <v>841.93000000000006</v>
      </c>
      <c r="AA291" s="5890"/>
      <c r="AB291" s="3562">
        <f t="shared" si="394"/>
        <v>3405.6100000000006</v>
      </c>
      <c r="AC291" s="5915"/>
      <c r="AD291" s="4312">
        <v>1526.35</v>
      </c>
      <c r="AE291" s="5939"/>
      <c r="AF291" s="782">
        <f t="shared" si="395"/>
        <v>4931.9600000000009</v>
      </c>
      <c r="AG291" s="5915"/>
      <c r="AH291" s="4312">
        <v>91.98</v>
      </c>
      <c r="AI291" s="5924"/>
      <c r="AJ291" s="782">
        <f t="shared" si="421"/>
        <v>5023.9400000000005</v>
      </c>
      <c r="AK291" s="5915"/>
      <c r="AL291" s="4312">
        <v>129.69999999999999</v>
      </c>
      <c r="AM291" s="5883"/>
      <c r="AN291" s="781">
        <f t="shared" si="422"/>
        <v>1748.03</v>
      </c>
      <c r="AO291" s="5939"/>
      <c r="AP291" s="782">
        <f t="shared" si="423"/>
        <v>5153.6400000000003</v>
      </c>
      <c r="AQ291" s="5915"/>
      <c r="AR291" s="4312">
        <v>1549.4199999999996</v>
      </c>
      <c r="AS291" s="5924"/>
      <c r="AT291" s="782">
        <f t="shared" si="424"/>
        <v>6703.0599999999995</v>
      </c>
      <c r="AU291" s="5915"/>
      <c r="AV291" s="4312">
        <v>1346.88</v>
      </c>
      <c r="AW291" s="5924"/>
      <c r="AX291" s="782">
        <f t="shared" si="425"/>
        <v>8049.94</v>
      </c>
      <c r="AY291" s="5915"/>
      <c r="AZ291" s="4312">
        <v>655.17000000000007</v>
      </c>
      <c r="BA291" s="5883"/>
      <c r="BB291" s="781">
        <f t="shared" si="426"/>
        <v>3551.47</v>
      </c>
      <c r="BC291" s="5890"/>
      <c r="BD291" s="3562">
        <f t="shared" si="427"/>
        <v>5299.5</v>
      </c>
      <c r="BE291" s="5924"/>
      <c r="BF291" s="782">
        <f t="shared" si="428"/>
        <v>8705.11</v>
      </c>
      <c r="BG291" s="26"/>
      <c r="BH291" s="26"/>
      <c r="BI291" s="26"/>
      <c r="BJ291" s="26"/>
      <c r="BK291" s="26"/>
    </row>
    <row r="292" spans="1:63" x14ac:dyDescent="0.25">
      <c r="A292" s="199"/>
      <c r="B292" s="5496" t="s">
        <v>1197</v>
      </c>
      <c r="C292" s="5498" t="s">
        <v>2282</v>
      </c>
      <c r="D292" s="5498"/>
      <c r="E292" s="5922"/>
      <c r="F292" s="5499"/>
      <c r="G292" s="5922"/>
      <c r="H292" s="5499"/>
      <c r="I292" s="5942"/>
      <c r="J292" s="782">
        <f t="shared" si="389"/>
        <v>0</v>
      </c>
      <c r="K292" s="5922"/>
      <c r="L292" s="5499"/>
      <c r="M292" s="5886"/>
      <c r="N292" s="781">
        <f t="shared" si="390"/>
        <v>0</v>
      </c>
      <c r="O292" s="5922"/>
      <c r="P292" s="5499">
        <v>758.98</v>
      </c>
      <c r="Q292" s="5942"/>
      <c r="R292" s="782">
        <f t="shared" si="391"/>
        <v>758.98</v>
      </c>
      <c r="S292" s="5922"/>
      <c r="T292" s="5499"/>
      <c r="U292" s="5942"/>
      <c r="V292" s="782">
        <f t="shared" si="392"/>
        <v>758.98</v>
      </c>
      <c r="W292" s="5922"/>
      <c r="X292" s="5499">
        <v>635.87999999999988</v>
      </c>
      <c r="Y292" s="5886"/>
      <c r="Z292" s="781">
        <f t="shared" si="393"/>
        <v>1394.86</v>
      </c>
      <c r="AA292" s="5893"/>
      <c r="AB292" s="3562">
        <f t="shared" si="394"/>
        <v>1394.86</v>
      </c>
      <c r="AC292" s="5917"/>
      <c r="AD292" s="5499"/>
      <c r="AE292" s="5942"/>
      <c r="AF292" s="782">
        <f t="shared" si="395"/>
        <v>1394.86</v>
      </c>
      <c r="AG292" s="5917"/>
      <c r="AH292" s="5499"/>
      <c r="AI292" s="5924"/>
      <c r="AJ292" s="5444"/>
      <c r="AK292" s="5917"/>
      <c r="AL292" s="5499"/>
      <c r="AM292" s="5886"/>
      <c r="AN292" s="5450"/>
      <c r="AO292" s="5942"/>
      <c r="AP292" s="5444"/>
      <c r="AQ292" s="5917"/>
      <c r="AR292" s="5499"/>
      <c r="AS292" s="5924"/>
      <c r="AT292" s="5444"/>
      <c r="AU292" s="5917"/>
      <c r="AV292" s="5499"/>
      <c r="AW292" s="5924"/>
      <c r="AX292" s="5444"/>
      <c r="AY292" s="5917"/>
      <c r="AZ292" s="5499"/>
      <c r="BA292" s="5886"/>
      <c r="BB292" s="5450"/>
      <c r="BC292" s="5893"/>
      <c r="BD292" s="5495"/>
      <c r="BE292" s="5924"/>
      <c r="BF292" s="5444"/>
      <c r="BG292" s="26"/>
      <c r="BH292" s="26"/>
      <c r="BI292" s="26"/>
      <c r="BJ292" s="26"/>
      <c r="BK292" s="26"/>
    </row>
    <row r="293" spans="1:63" x14ac:dyDescent="0.25">
      <c r="A293" s="199"/>
      <c r="B293" s="3654" t="s">
        <v>1312</v>
      </c>
      <c r="C293" s="3587" t="s">
        <v>1311</v>
      </c>
      <c r="D293" s="3587"/>
      <c r="E293" s="5918"/>
      <c r="F293" s="1201">
        <v>1133.94</v>
      </c>
      <c r="G293" s="5918"/>
      <c r="H293" s="1201">
        <v>178.74</v>
      </c>
      <c r="I293" s="5939"/>
      <c r="J293" s="782">
        <f t="shared" si="389"/>
        <v>1312.68</v>
      </c>
      <c r="K293" s="5918"/>
      <c r="L293" s="1201">
        <v>701.65000000000009</v>
      </c>
      <c r="M293" s="5883"/>
      <c r="N293" s="781">
        <f t="shared" si="390"/>
        <v>2014.3300000000002</v>
      </c>
      <c r="O293" s="5918"/>
      <c r="P293" s="1201">
        <v>516.93000000000006</v>
      </c>
      <c r="Q293" s="5939"/>
      <c r="R293" s="782">
        <f t="shared" si="391"/>
        <v>2531.2600000000002</v>
      </c>
      <c r="S293" s="5918"/>
      <c r="T293" s="1201">
        <v>221.07</v>
      </c>
      <c r="U293" s="5939"/>
      <c r="V293" s="782">
        <f t="shared" si="392"/>
        <v>2752.3300000000004</v>
      </c>
      <c r="W293" s="5918"/>
      <c r="X293" s="1201">
        <v>290.77</v>
      </c>
      <c r="Y293" s="5883"/>
      <c r="Z293" s="781">
        <f t="shared" si="393"/>
        <v>1028.77</v>
      </c>
      <c r="AA293" s="5890"/>
      <c r="AB293" s="3562">
        <f t="shared" si="394"/>
        <v>3043.1000000000004</v>
      </c>
      <c r="AC293" s="5915"/>
      <c r="AD293" s="4312">
        <v>840.25</v>
      </c>
      <c r="AE293" s="5939"/>
      <c r="AF293" s="782">
        <f t="shared" si="395"/>
        <v>3883.3500000000004</v>
      </c>
      <c r="AG293" s="5915"/>
      <c r="AH293" s="4312">
        <v>24.94</v>
      </c>
      <c r="AI293" s="5924"/>
      <c r="AJ293" s="782">
        <f t="shared" si="421"/>
        <v>3908.2900000000004</v>
      </c>
      <c r="AK293" s="5915"/>
      <c r="AL293" s="4312"/>
      <c r="AM293" s="5883"/>
      <c r="AN293" s="781">
        <f t="shared" si="422"/>
        <v>865.19</v>
      </c>
      <c r="AO293" s="5939"/>
      <c r="AP293" s="782">
        <f t="shared" si="423"/>
        <v>3908.2900000000004</v>
      </c>
      <c r="AQ293" s="5915"/>
      <c r="AR293" s="4312">
        <v>510.78999999999996</v>
      </c>
      <c r="AS293" s="5924"/>
      <c r="AT293" s="782">
        <f t="shared" si="424"/>
        <v>4419.08</v>
      </c>
      <c r="AU293" s="5915"/>
      <c r="AV293" s="4312">
        <v>1239.29</v>
      </c>
      <c r="AW293" s="5924"/>
      <c r="AX293" s="782">
        <f t="shared" si="425"/>
        <v>5658.37</v>
      </c>
      <c r="AY293" s="5915"/>
      <c r="AZ293" s="4312">
        <v>1776.6000000000001</v>
      </c>
      <c r="BA293" s="5883"/>
      <c r="BB293" s="781">
        <f t="shared" si="426"/>
        <v>3526.6800000000003</v>
      </c>
      <c r="BC293" s="5890"/>
      <c r="BD293" s="3562">
        <f t="shared" si="427"/>
        <v>4391.8700000000008</v>
      </c>
      <c r="BE293" s="5924"/>
      <c r="BF293" s="782">
        <f t="shared" si="428"/>
        <v>7434.97</v>
      </c>
      <c r="BG293" s="26"/>
      <c r="BH293" s="26"/>
      <c r="BI293" s="26"/>
      <c r="BJ293" s="26"/>
      <c r="BK293" s="26"/>
    </row>
    <row r="294" spans="1:63" x14ac:dyDescent="0.25">
      <c r="A294" s="199"/>
      <c r="B294" s="5496" t="s">
        <v>1312</v>
      </c>
      <c r="C294" s="5498" t="s">
        <v>2282</v>
      </c>
      <c r="D294" s="5498"/>
      <c r="E294" s="5922"/>
      <c r="F294" s="5499"/>
      <c r="G294" s="5922"/>
      <c r="H294" s="5499"/>
      <c r="I294" s="5942"/>
      <c r="J294" s="782">
        <f t="shared" si="389"/>
        <v>0</v>
      </c>
      <c r="K294" s="5922"/>
      <c r="L294" s="5499"/>
      <c r="M294" s="5886"/>
      <c r="N294" s="781">
        <f t="shared" si="390"/>
        <v>0</v>
      </c>
      <c r="O294" s="5922"/>
      <c r="P294" s="5499">
        <v>776.49999999999989</v>
      </c>
      <c r="Q294" s="5942"/>
      <c r="R294" s="782">
        <f t="shared" si="391"/>
        <v>776.49999999999989</v>
      </c>
      <c r="S294" s="5922"/>
      <c r="T294" s="5499"/>
      <c r="U294" s="5942"/>
      <c r="V294" s="782">
        <f t="shared" si="392"/>
        <v>776.49999999999989</v>
      </c>
      <c r="W294" s="5922"/>
      <c r="X294" s="5499">
        <v>444.9</v>
      </c>
      <c r="Y294" s="5886"/>
      <c r="Z294" s="781">
        <f t="shared" si="393"/>
        <v>1221.3999999999999</v>
      </c>
      <c r="AA294" s="5893"/>
      <c r="AB294" s="3562">
        <f t="shared" si="394"/>
        <v>1221.3999999999999</v>
      </c>
      <c r="AC294" s="5917"/>
      <c r="AD294" s="5499"/>
      <c r="AE294" s="5942"/>
      <c r="AF294" s="782">
        <f t="shared" si="395"/>
        <v>1221.3999999999999</v>
      </c>
      <c r="AG294" s="5917"/>
      <c r="AH294" s="5499"/>
      <c r="AI294" s="5924"/>
      <c r="AJ294" s="5444"/>
      <c r="AK294" s="5917"/>
      <c r="AL294" s="5499"/>
      <c r="AM294" s="5886"/>
      <c r="AN294" s="5450"/>
      <c r="AO294" s="5942"/>
      <c r="AP294" s="5444"/>
      <c r="AQ294" s="5917"/>
      <c r="AR294" s="5499"/>
      <c r="AS294" s="5924"/>
      <c r="AT294" s="5444"/>
      <c r="AU294" s="5917"/>
      <c r="AV294" s="5499"/>
      <c r="AW294" s="5924"/>
      <c r="AX294" s="5444"/>
      <c r="AY294" s="5917"/>
      <c r="AZ294" s="5499"/>
      <c r="BA294" s="5886"/>
      <c r="BB294" s="5450"/>
      <c r="BC294" s="5893"/>
      <c r="BD294" s="5495"/>
      <c r="BE294" s="5924"/>
      <c r="BF294" s="5444"/>
      <c r="BG294" s="26"/>
      <c r="BH294" s="26"/>
      <c r="BI294" s="26"/>
      <c r="BJ294" s="26"/>
      <c r="BK294" s="26"/>
    </row>
    <row r="295" spans="1:63" x14ac:dyDescent="0.25">
      <c r="A295" s="199"/>
      <c r="B295" s="3654" t="s">
        <v>1640</v>
      </c>
      <c r="C295" s="3587" t="s">
        <v>1311</v>
      </c>
      <c r="D295" s="3587"/>
      <c r="E295" s="5918"/>
      <c r="F295" s="1201"/>
      <c r="G295" s="5918"/>
      <c r="H295" s="1201"/>
      <c r="I295" s="5939"/>
      <c r="J295" s="782">
        <f t="shared" si="389"/>
        <v>0</v>
      </c>
      <c r="K295" s="5918"/>
      <c r="L295" s="1201"/>
      <c r="M295" s="5883"/>
      <c r="N295" s="781">
        <f t="shared" si="390"/>
        <v>0</v>
      </c>
      <c r="O295" s="5918"/>
      <c r="P295" s="1201"/>
      <c r="Q295" s="5939"/>
      <c r="R295" s="782">
        <f t="shared" si="391"/>
        <v>0</v>
      </c>
      <c r="S295" s="5918"/>
      <c r="T295" s="1201"/>
      <c r="U295" s="5939"/>
      <c r="V295" s="782">
        <f t="shared" si="392"/>
        <v>0</v>
      </c>
      <c r="W295" s="5918"/>
      <c r="X295" s="1201"/>
      <c r="Y295" s="5883"/>
      <c r="Z295" s="781">
        <f t="shared" si="393"/>
        <v>0</v>
      </c>
      <c r="AA295" s="5890"/>
      <c r="AB295" s="3562">
        <f t="shared" si="394"/>
        <v>0</v>
      </c>
      <c r="AC295" s="5915"/>
      <c r="AD295" s="4312">
        <v>116.53999999999999</v>
      </c>
      <c r="AE295" s="5939"/>
      <c r="AF295" s="782">
        <f t="shared" si="395"/>
        <v>116.53999999999999</v>
      </c>
      <c r="AG295" s="5915"/>
      <c r="AH295" s="4312"/>
      <c r="AI295" s="5924"/>
      <c r="AJ295" s="782">
        <f t="shared" si="421"/>
        <v>116.53999999999999</v>
      </c>
      <c r="AK295" s="5915"/>
      <c r="AL295" s="4312"/>
      <c r="AM295" s="5883"/>
      <c r="AN295" s="781">
        <f t="shared" si="422"/>
        <v>116.53999999999999</v>
      </c>
      <c r="AO295" s="5939"/>
      <c r="AP295" s="782">
        <f t="shared" si="423"/>
        <v>116.53999999999999</v>
      </c>
      <c r="AQ295" s="5915"/>
      <c r="AR295" s="4312"/>
      <c r="AS295" s="5924"/>
      <c r="AT295" s="782">
        <f t="shared" si="424"/>
        <v>116.53999999999999</v>
      </c>
      <c r="AU295" s="5915"/>
      <c r="AV295" s="4312"/>
      <c r="AW295" s="5924"/>
      <c r="AX295" s="782">
        <f t="shared" si="425"/>
        <v>116.53999999999999</v>
      </c>
      <c r="AY295" s="5915"/>
      <c r="AZ295" s="4312"/>
      <c r="BA295" s="5883"/>
      <c r="BB295" s="781">
        <f t="shared" si="426"/>
        <v>0</v>
      </c>
      <c r="BC295" s="5890"/>
      <c r="BD295" s="3562">
        <f t="shared" si="427"/>
        <v>116.53999999999999</v>
      </c>
      <c r="BE295" s="5924"/>
      <c r="BF295" s="782">
        <f t="shared" si="428"/>
        <v>116.53999999999999</v>
      </c>
      <c r="BG295" s="26"/>
      <c r="BH295" s="26"/>
      <c r="BI295" s="26"/>
      <c r="BJ295" s="26"/>
      <c r="BK295" s="26"/>
    </row>
    <row r="296" spans="1:63" x14ac:dyDescent="0.25">
      <c r="A296" s="199"/>
      <c r="B296" s="3654" t="s">
        <v>886</v>
      </c>
      <c r="C296" s="3587" t="s">
        <v>1888</v>
      </c>
      <c r="D296" s="3587"/>
      <c r="E296" s="5918"/>
      <c r="F296" s="1201"/>
      <c r="G296" s="5918"/>
      <c r="H296" s="1201">
        <v>128.36000000000001</v>
      </c>
      <c r="I296" s="5939"/>
      <c r="J296" s="782">
        <f t="shared" si="389"/>
        <v>128.36000000000001</v>
      </c>
      <c r="K296" s="5918"/>
      <c r="L296" s="1201"/>
      <c r="M296" s="5883"/>
      <c r="N296" s="781">
        <f t="shared" si="390"/>
        <v>128.36000000000001</v>
      </c>
      <c r="O296" s="5918"/>
      <c r="P296" s="1201"/>
      <c r="Q296" s="5939"/>
      <c r="R296" s="782">
        <f t="shared" si="391"/>
        <v>128.36000000000001</v>
      </c>
      <c r="S296" s="5918"/>
      <c r="T296" s="1201">
        <v>196.88</v>
      </c>
      <c r="U296" s="5939"/>
      <c r="V296" s="782">
        <f t="shared" si="392"/>
        <v>325.24</v>
      </c>
      <c r="W296" s="5918"/>
      <c r="X296" s="1201">
        <v>516.64</v>
      </c>
      <c r="Y296" s="5883"/>
      <c r="Z296" s="781">
        <f t="shared" si="393"/>
        <v>713.52</v>
      </c>
      <c r="AA296" s="5890"/>
      <c r="AB296" s="3562">
        <f t="shared" si="394"/>
        <v>841.88</v>
      </c>
      <c r="AC296" s="5915"/>
      <c r="AD296" s="4312"/>
      <c r="AE296" s="5939"/>
      <c r="AF296" s="782">
        <f t="shared" si="395"/>
        <v>841.88</v>
      </c>
      <c r="AG296" s="5915"/>
      <c r="AH296" s="4312"/>
      <c r="AI296" s="5924"/>
      <c r="AJ296" s="782">
        <f t="shared" si="421"/>
        <v>841.88</v>
      </c>
      <c r="AK296" s="5915"/>
      <c r="AL296" s="4312"/>
      <c r="AM296" s="5883"/>
      <c r="AN296" s="781">
        <f t="shared" si="422"/>
        <v>0</v>
      </c>
      <c r="AO296" s="5939"/>
      <c r="AP296" s="782">
        <f t="shared" si="423"/>
        <v>841.88</v>
      </c>
      <c r="AQ296" s="5915"/>
      <c r="AR296" s="4312">
        <v>64.539999999999992</v>
      </c>
      <c r="AS296" s="5924"/>
      <c r="AT296" s="782">
        <f t="shared" si="424"/>
        <v>906.42</v>
      </c>
      <c r="AU296" s="5915"/>
      <c r="AV296" s="4312"/>
      <c r="AW296" s="5924"/>
      <c r="AX296" s="782">
        <f t="shared" si="425"/>
        <v>906.42</v>
      </c>
      <c r="AY296" s="5915"/>
      <c r="AZ296" s="4312">
        <v>127.24000000000001</v>
      </c>
      <c r="BA296" s="5883"/>
      <c r="BB296" s="781">
        <f t="shared" si="426"/>
        <v>191.78</v>
      </c>
      <c r="BC296" s="5890"/>
      <c r="BD296" s="3562">
        <f t="shared" si="427"/>
        <v>191.78</v>
      </c>
      <c r="BE296" s="5924"/>
      <c r="BF296" s="782">
        <f t="shared" si="428"/>
        <v>1033.6599999999999</v>
      </c>
      <c r="BG296" s="26"/>
      <c r="BH296" s="26"/>
      <c r="BI296" s="26"/>
      <c r="BJ296" s="26"/>
      <c r="BK296" s="26"/>
    </row>
    <row r="297" spans="1:63" x14ac:dyDescent="0.25">
      <c r="A297" s="199"/>
      <c r="B297" s="3654" t="s">
        <v>886</v>
      </c>
      <c r="C297" s="3587" t="s">
        <v>1990</v>
      </c>
      <c r="D297" s="3587"/>
      <c r="E297" s="5918"/>
      <c r="F297" s="1201"/>
      <c r="G297" s="5918"/>
      <c r="H297" s="1201">
        <v>353.88</v>
      </c>
      <c r="I297" s="5939"/>
      <c r="J297" s="782">
        <f t="shared" si="389"/>
        <v>353.88</v>
      </c>
      <c r="K297" s="5918"/>
      <c r="L297" s="1201"/>
      <c r="M297" s="5883"/>
      <c r="N297" s="781">
        <f t="shared" si="390"/>
        <v>353.88</v>
      </c>
      <c r="O297" s="5918"/>
      <c r="P297" s="1201">
        <v>849.06999999999994</v>
      </c>
      <c r="Q297" s="5939"/>
      <c r="R297" s="782">
        <f t="shared" si="391"/>
        <v>1202.9499999999998</v>
      </c>
      <c r="S297" s="5918"/>
      <c r="T297" s="1201">
        <v>424.89</v>
      </c>
      <c r="U297" s="5939"/>
      <c r="V297" s="782">
        <f t="shared" si="392"/>
        <v>1627.8399999999997</v>
      </c>
      <c r="W297" s="5918"/>
      <c r="X297" s="1201">
        <v>1542.91</v>
      </c>
      <c r="Y297" s="5883"/>
      <c r="Z297" s="781">
        <f t="shared" si="393"/>
        <v>2816.87</v>
      </c>
      <c r="AA297" s="5890"/>
      <c r="AB297" s="3562">
        <f t="shared" si="394"/>
        <v>3170.75</v>
      </c>
      <c r="AC297" s="5915"/>
      <c r="AD297" s="4312"/>
      <c r="AE297" s="5939"/>
      <c r="AF297" s="782">
        <f t="shared" si="395"/>
        <v>3170.75</v>
      </c>
      <c r="AG297" s="5915"/>
      <c r="AH297" s="4312"/>
      <c r="AI297" s="5924"/>
      <c r="AJ297" s="782">
        <f t="shared" si="421"/>
        <v>3170.75</v>
      </c>
      <c r="AK297" s="5915"/>
      <c r="AL297" s="4312">
        <v>564.58000000000004</v>
      </c>
      <c r="AM297" s="5883"/>
      <c r="AN297" s="781">
        <f t="shared" si="422"/>
        <v>564.58000000000004</v>
      </c>
      <c r="AO297" s="5939"/>
      <c r="AP297" s="782">
        <f t="shared" si="423"/>
        <v>3735.33</v>
      </c>
      <c r="AQ297" s="5915"/>
      <c r="AR297" s="4312">
        <v>463.39</v>
      </c>
      <c r="AS297" s="5924"/>
      <c r="AT297" s="782">
        <f t="shared" si="424"/>
        <v>4198.72</v>
      </c>
      <c r="AU297" s="5915"/>
      <c r="AV297" s="4312">
        <v>393.40000000000009</v>
      </c>
      <c r="AW297" s="5924"/>
      <c r="AX297" s="782">
        <f t="shared" si="425"/>
        <v>4592.1200000000008</v>
      </c>
      <c r="AY297" s="5915"/>
      <c r="AZ297" s="4312">
        <v>126.44</v>
      </c>
      <c r="BA297" s="5883"/>
      <c r="BB297" s="781">
        <f t="shared" si="426"/>
        <v>983.23</v>
      </c>
      <c r="BC297" s="5890"/>
      <c r="BD297" s="3562">
        <f t="shared" si="427"/>
        <v>1547.81</v>
      </c>
      <c r="BE297" s="5924"/>
      <c r="BF297" s="782">
        <f t="shared" si="428"/>
        <v>4718.5600000000004</v>
      </c>
      <c r="BG297" s="26"/>
      <c r="BH297" s="26"/>
      <c r="BI297" s="26"/>
      <c r="BJ297" s="26"/>
      <c r="BK297" s="26"/>
    </row>
    <row r="298" spans="1:63" x14ac:dyDescent="0.25">
      <c r="A298" s="199"/>
      <c r="B298" s="3654" t="s">
        <v>886</v>
      </c>
      <c r="C298" s="3587" t="s">
        <v>894</v>
      </c>
      <c r="D298" s="3587"/>
      <c r="E298" s="5918"/>
      <c r="F298" s="1201">
        <v>2731.0299999999997</v>
      </c>
      <c r="G298" s="5918"/>
      <c r="H298" s="1201">
        <v>5850.84</v>
      </c>
      <c r="I298" s="5939"/>
      <c r="J298" s="782">
        <f t="shared" si="389"/>
        <v>8581.869999999999</v>
      </c>
      <c r="K298" s="5918"/>
      <c r="L298" s="1201">
        <v>3031.92</v>
      </c>
      <c r="M298" s="5883"/>
      <c r="N298" s="781">
        <f t="shared" si="390"/>
        <v>11613.789999999999</v>
      </c>
      <c r="O298" s="5918"/>
      <c r="P298" s="1201">
        <v>4260.8999999999996</v>
      </c>
      <c r="Q298" s="5939"/>
      <c r="R298" s="782">
        <f t="shared" si="391"/>
        <v>15874.689999999999</v>
      </c>
      <c r="S298" s="5918"/>
      <c r="T298" s="1201">
        <v>2532.96</v>
      </c>
      <c r="U298" s="5939"/>
      <c r="V298" s="782">
        <f t="shared" si="392"/>
        <v>18407.649999999998</v>
      </c>
      <c r="W298" s="5918"/>
      <c r="X298" s="1201">
        <v>2181.5300000000002</v>
      </c>
      <c r="Y298" s="5883"/>
      <c r="Z298" s="781">
        <f t="shared" si="393"/>
        <v>8975.39</v>
      </c>
      <c r="AA298" s="5890"/>
      <c r="AB298" s="3562">
        <f t="shared" si="394"/>
        <v>20589.18</v>
      </c>
      <c r="AC298" s="5915"/>
      <c r="AD298" s="4312">
        <v>2606.5700000000006</v>
      </c>
      <c r="AE298" s="5939"/>
      <c r="AF298" s="782">
        <f t="shared" si="395"/>
        <v>23195.75</v>
      </c>
      <c r="AG298" s="5915"/>
      <c r="AH298" s="4312">
        <v>32.29</v>
      </c>
      <c r="AI298" s="5924"/>
      <c r="AJ298" s="782">
        <f t="shared" si="421"/>
        <v>23228.04</v>
      </c>
      <c r="AK298" s="5915"/>
      <c r="AL298" s="4312">
        <v>4884.6999999999989</v>
      </c>
      <c r="AM298" s="5883"/>
      <c r="AN298" s="781">
        <f t="shared" si="422"/>
        <v>7523.5599999999995</v>
      </c>
      <c r="AO298" s="5939"/>
      <c r="AP298" s="782">
        <f t="shared" si="423"/>
        <v>28112.739999999998</v>
      </c>
      <c r="AQ298" s="5915"/>
      <c r="AR298" s="4312">
        <v>2281.7999999999997</v>
      </c>
      <c r="AS298" s="5924"/>
      <c r="AT298" s="782">
        <f t="shared" si="424"/>
        <v>30394.539999999997</v>
      </c>
      <c r="AU298" s="5915"/>
      <c r="AV298" s="4312">
        <v>3026.6699999999996</v>
      </c>
      <c r="AW298" s="5924"/>
      <c r="AX298" s="782">
        <f t="shared" si="425"/>
        <v>33421.21</v>
      </c>
      <c r="AY298" s="5915"/>
      <c r="AZ298" s="4312">
        <v>3169.4800000000005</v>
      </c>
      <c r="BA298" s="5883"/>
      <c r="BB298" s="781">
        <f t="shared" si="426"/>
        <v>8477.9500000000007</v>
      </c>
      <c r="BC298" s="5890"/>
      <c r="BD298" s="3562">
        <f t="shared" si="427"/>
        <v>16001.51</v>
      </c>
      <c r="BE298" s="5924"/>
      <c r="BF298" s="782">
        <f t="shared" si="428"/>
        <v>36590.69</v>
      </c>
      <c r="BG298" s="26"/>
      <c r="BH298" s="26"/>
      <c r="BI298" s="26"/>
      <c r="BJ298" s="26"/>
      <c r="BK298" s="26"/>
    </row>
    <row r="299" spans="1:63" x14ac:dyDescent="0.25">
      <c r="A299" s="199"/>
      <c r="B299" s="3654" t="s">
        <v>886</v>
      </c>
      <c r="C299" s="3587" t="s">
        <v>893</v>
      </c>
      <c r="D299" s="3587"/>
      <c r="E299" s="5918"/>
      <c r="F299" s="1201">
        <v>513.47</v>
      </c>
      <c r="G299" s="5918"/>
      <c r="H299" s="1201">
        <v>349.44</v>
      </c>
      <c r="I299" s="5939"/>
      <c r="J299" s="782">
        <f t="shared" si="389"/>
        <v>862.91000000000008</v>
      </c>
      <c r="K299" s="5918"/>
      <c r="L299" s="1201">
        <v>58.78</v>
      </c>
      <c r="M299" s="5883"/>
      <c r="N299" s="781">
        <f t="shared" si="390"/>
        <v>921.69</v>
      </c>
      <c r="O299" s="5918"/>
      <c r="P299" s="1201">
        <v>734.57</v>
      </c>
      <c r="Q299" s="5939"/>
      <c r="R299" s="782">
        <f t="shared" si="391"/>
        <v>1656.2600000000002</v>
      </c>
      <c r="S299" s="5918"/>
      <c r="T299" s="1201">
        <v>472.59999999999997</v>
      </c>
      <c r="U299" s="5939"/>
      <c r="V299" s="782">
        <f t="shared" si="392"/>
        <v>2128.86</v>
      </c>
      <c r="W299" s="5918"/>
      <c r="X299" s="1201">
        <v>228.60000000000002</v>
      </c>
      <c r="Y299" s="5883"/>
      <c r="Z299" s="781">
        <f t="shared" si="393"/>
        <v>1435.77</v>
      </c>
      <c r="AA299" s="5890"/>
      <c r="AB299" s="3562">
        <f t="shared" si="394"/>
        <v>2357.46</v>
      </c>
      <c r="AC299" s="5915"/>
      <c r="AD299" s="4312">
        <v>127.78</v>
      </c>
      <c r="AE299" s="5939"/>
      <c r="AF299" s="782">
        <f t="shared" si="395"/>
        <v>2485.2400000000002</v>
      </c>
      <c r="AG299" s="5915"/>
      <c r="AH299" s="4312"/>
      <c r="AI299" s="5924"/>
      <c r="AJ299" s="782">
        <f t="shared" si="421"/>
        <v>2485.2400000000002</v>
      </c>
      <c r="AK299" s="5915"/>
      <c r="AL299" s="4312">
        <v>1274.21</v>
      </c>
      <c r="AM299" s="5883"/>
      <c r="AN299" s="781">
        <f t="shared" si="422"/>
        <v>1401.99</v>
      </c>
      <c r="AO299" s="5939"/>
      <c r="AP299" s="782">
        <f t="shared" si="423"/>
        <v>3759.4500000000003</v>
      </c>
      <c r="AQ299" s="5915"/>
      <c r="AR299" s="4312">
        <v>757.14</v>
      </c>
      <c r="AS299" s="5924"/>
      <c r="AT299" s="782">
        <f t="shared" si="424"/>
        <v>4516.59</v>
      </c>
      <c r="AU299" s="5915"/>
      <c r="AV299" s="4312">
        <v>504.85999999999996</v>
      </c>
      <c r="AW299" s="5924"/>
      <c r="AX299" s="782">
        <f t="shared" si="425"/>
        <v>5021.45</v>
      </c>
      <c r="AY299" s="5915"/>
      <c r="AZ299" s="4312">
        <v>1545.6999999999998</v>
      </c>
      <c r="BA299" s="5883"/>
      <c r="BB299" s="781">
        <f t="shared" si="426"/>
        <v>2807.7</v>
      </c>
      <c r="BC299" s="5890"/>
      <c r="BD299" s="3562">
        <f t="shared" si="427"/>
        <v>4209.6899999999996</v>
      </c>
      <c r="BE299" s="5924"/>
      <c r="BF299" s="782">
        <f t="shared" si="428"/>
        <v>6567.15</v>
      </c>
      <c r="BG299" s="26"/>
      <c r="BH299" s="26"/>
      <c r="BI299" s="26"/>
      <c r="BJ299" s="26"/>
      <c r="BK299" s="26"/>
    </row>
    <row r="300" spans="1:63" x14ac:dyDescent="0.25">
      <c r="A300" s="199"/>
      <c r="B300" s="3654" t="s">
        <v>886</v>
      </c>
      <c r="C300" s="3587" t="s">
        <v>1876</v>
      </c>
      <c r="D300" s="3587"/>
      <c r="E300" s="5918"/>
      <c r="F300" s="1201">
        <v>104.92</v>
      </c>
      <c r="G300" s="5918"/>
      <c r="H300" s="1201">
        <v>478.81000000000006</v>
      </c>
      <c r="I300" s="5939"/>
      <c r="J300" s="782">
        <f t="shared" si="389"/>
        <v>583.73</v>
      </c>
      <c r="K300" s="5918"/>
      <c r="L300" s="1201">
        <v>126.32</v>
      </c>
      <c r="M300" s="5883"/>
      <c r="N300" s="781">
        <f t="shared" si="390"/>
        <v>710.05</v>
      </c>
      <c r="O300" s="5918"/>
      <c r="P300" s="1201">
        <v>158.66</v>
      </c>
      <c r="Q300" s="5939"/>
      <c r="R300" s="782">
        <f t="shared" si="391"/>
        <v>868.70999999999992</v>
      </c>
      <c r="S300" s="5918"/>
      <c r="T300" s="1201">
        <v>65.680000000000007</v>
      </c>
      <c r="U300" s="5939"/>
      <c r="V300" s="782">
        <f t="shared" si="392"/>
        <v>934.38999999999987</v>
      </c>
      <c r="W300" s="5918"/>
      <c r="X300" s="1201"/>
      <c r="Y300" s="5883"/>
      <c r="Z300" s="781">
        <f t="shared" si="393"/>
        <v>224.34</v>
      </c>
      <c r="AA300" s="5890"/>
      <c r="AB300" s="3562">
        <f t="shared" si="394"/>
        <v>934.39</v>
      </c>
      <c r="AC300" s="5915"/>
      <c r="AD300" s="4312"/>
      <c r="AE300" s="5939"/>
      <c r="AF300" s="782">
        <f t="shared" si="395"/>
        <v>934.39</v>
      </c>
      <c r="AG300" s="5915"/>
      <c r="AH300" s="4312">
        <v>62.54</v>
      </c>
      <c r="AI300" s="5924"/>
      <c r="AJ300" s="782">
        <f t="shared" si="421"/>
        <v>996.93</v>
      </c>
      <c r="AK300" s="5915"/>
      <c r="AL300" s="4312">
        <v>177.35</v>
      </c>
      <c r="AM300" s="5883"/>
      <c r="AN300" s="781">
        <f t="shared" si="422"/>
        <v>239.89</v>
      </c>
      <c r="AO300" s="5939"/>
      <c r="AP300" s="782">
        <f t="shared" si="423"/>
        <v>1174.28</v>
      </c>
      <c r="AQ300" s="5915"/>
      <c r="AR300" s="4312">
        <v>272.59999999999997</v>
      </c>
      <c r="AS300" s="5924"/>
      <c r="AT300" s="782">
        <f t="shared" si="424"/>
        <v>1446.8799999999999</v>
      </c>
      <c r="AU300" s="5915"/>
      <c r="AV300" s="4312">
        <v>378.53999999999996</v>
      </c>
      <c r="AW300" s="5924"/>
      <c r="AX300" s="782">
        <f t="shared" si="425"/>
        <v>1825.4199999999998</v>
      </c>
      <c r="AY300" s="5915"/>
      <c r="AZ300" s="4312">
        <v>456.85</v>
      </c>
      <c r="BA300" s="5883"/>
      <c r="BB300" s="781">
        <f t="shared" si="426"/>
        <v>1107.9899999999998</v>
      </c>
      <c r="BC300" s="5890"/>
      <c r="BD300" s="3562">
        <f t="shared" si="427"/>
        <v>1347.8799999999997</v>
      </c>
      <c r="BE300" s="5924"/>
      <c r="BF300" s="782">
        <f t="shared" si="428"/>
        <v>2282.27</v>
      </c>
      <c r="BG300" s="26"/>
      <c r="BH300" s="26"/>
      <c r="BI300" s="26"/>
      <c r="BJ300" s="26"/>
      <c r="BK300" s="26"/>
    </row>
    <row r="301" spans="1:63" x14ac:dyDescent="0.25">
      <c r="A301" s="199"/>
      <c r="B301" s="3659" t="s">
        <v>886</v>
      </c>
      <c r="C301" s="3690" t="s">
        <v>1877</v>
      </c>
      <c r="D301" s="3690"/>
      <c r="E301" s="5918"/>
      <c r="F301" s="1201">
        <v>596.51</v>
      </c>
      <c r="G301" s="5918"/>
      <c r="H301" s="1201">
        <v>913.68999999999994</v>
      </c>
      <c r="I301" s="5939"/>
      <c r="J301" s="782">
        <f t="shared" si="389"/>
        <v>1510.1999999999998</v>
      </c>
      <c r="K301" s="5918"/>
      <c r="L301" s="1201">
        <v>289.84000000000003</v>
      </c>
      <c r="M301" s="5883"/>
      <c r="N301" s="781">
        <f t="shared" si="390"/>
        <v>1800.04</v>
      </c>
      <c r="O301" s="5918"/>
      <c r="P301" s="1201">
        <v>647.90000000000009</v>
      </c>
      <c r="Q301" s="5939"/>
      <c r="R301" s="782">
        <f t="shared" si="391"/>
        <v>2447.94</v>
      </c>
      <c r="S301" s="5918"/>
      <c r="T301" s="1201">
        <v>737.03</v>
      </c>
      <c r="U301" s="5939"/>
      <c r="V301" s="782">
        <f t="shared" si="392"/>
        <v>3184.9700000000003</v>
      </c>
      <c r="W301" s="5918"/>
      <c r="X301" s="1201">
        <v>500.15</v>
      </c>
      <c r="Y301" s="5883"/>
      <c r="Z301" s="781">
        <f t="shared" si="393"/>
        <v>1885.08</v>
      </c>
      <c r="AA301" s="5890"/>
      <c r="AB301" s="3562">
        <f t="shared" si="394"/>
        <v>3685.12</v>
      </c>
      <c r="AC301" s="5915"/>
      <c r="AD301" s="4312"/>
      <c r="AE301" s="5939"/>
      <c r="AF301" s="782">
        <f t="shared" si="395"/>
        <v>3685.12</v>
      </c>
      <c r="AG301" s="5915"/>
      <c r="AH301" s="4312">
        <v>96.39</v>
      </c>
      <c r="AI301" s="5924"/>
      <c r="AJ301" s="782">
        <f t="shared" si="421"/>
        <v>3781.5099999999998</v>
      </c>
      <c r="AK301" s="5915"/>
      <c r="AL301" s="4312">
        <v>676.59</v>
      </c>
      <c r="AM301" s="5883"/>
      <c r="AN301" s="781">
        <f t="shared" si="422"/>
        <v>772.98</v>
      </c>
      <c r="AO301" s="5939"/>
      <c r="AP301" s="782">
        <f t="shared" si="423"/>
        <v>4458.0999999999995</v>
      </c>
      <c r="AQ301" s="5915"/>
      <c r="AR301" s="4312">
        <v>591.23</v>
      </c>
      <c r="AS301" s="5924"/>
      <c r="AT301" s="782">
        <f t="shared" si="424"/>
        <v>5049.33</v>
      </c>
      <c r="AU301" s="5915"/>
      <c r="AV301" s="4312">
        <v>670.11</v>
      </c>
      <c r="AW301" s="5924"/>
      <c r="AX301" s="782">
        <f t="shared" si="425"/>
        <v>5719.44</v>
      </c>
      <c r="AY301" s="5915"/>
      <c r="AZ301" s="4312">
        <v>856.25</v>
      </c>
      <c r="BA301" s="5883"/>
      <c r="BB301" s="781">
        <f t="shared" si="426"/>
        <v>2117.59</v>
      </c>
      <c r="BC301" s="5890"/>
      <c r="BD301" s="3562">
        <f t="shared" si="427"/>
        <v>2890.57</v>
      </c>
      <c r="BE301" s="5924"/>
      <c r="BF301" s="782">
        <f t="shared" si="428"/>
        <v>6575.69</v>
      </c>
      <c r="BG301" s="26"/>
      <c r="BH301" s="26"/>
      <c r="BI301" s="26"/>
      <c r="BJ301" s="26"/>
      <c r="BK301" s="26"/>
    </row>
    <row r="302" spans="1:63" x14ac:dyDescent="0.25">
      <c r="A302" s="199"/>
      <c r="B302" s="3659" t="s">
        <v>1916</v>
      </c>
      <c r="C302" s="3606" t="s">
        <v>1915</v>
      </c>
      <c r="D302" s="4076"/>
      <c r="E302" s="5956"/>
      <c r="F302" s="2647"/>
      <c r="G302" s="5956"/>
      <c r="H302" s="2647">
        <v>310.14999999999998</v>
      </c>
      <c r="I302" s="5960"/>
      <c r="J302" s="782">
        <f t="shared" si="389"/>
        <v>310.14999999999998</v>
      </c>
      <c r="K302" s="5956"/>
      <c r="L302" s="2647"/>
      <c r="M302" s="5885"/>
      <c r="N302" s="781">
        <f t="shared" si="390"/>
        <v>310.14999999999998</v>
      </c>
      <c r="O302" s="5956"/>
      <c r="P302" s="2647"/>
      <c r="Q302" s="5941"/>
      <c r="R302" s="782">
        <f t="shared" si="391"/>
        <v>310.14999999999998</v>
      </c>
      <c r="S302" s="5956"/>
      <c r="T302" s="2647"/>
      <c r="U302" s="5941"/>
      <c r="V302" s="782">
        <f t="shared" si="392"/>
        <v>310.14999999999998</v>
      </c>
      <c r="W302" s="5956"/>
      <c r="X302" s="2647">
        <v>364.15</v>
      </c>
      <c r="Y302" s="5885"/>
      <c r="Z302" s="781">
        <f t="shared" si="393"/>
        <v>364.15</v>
      </c>
      <c r="AA302" s="5892"/>
      <c r="AB302" s="3562">
        <f t="shared" si="394"/>
        <v>674.3</v>
      </c>
      <c r="AC302" s="5915"/>
      <c r="AD302" s="4312">
        <v>260.12</v>
      </c>
      <c r="AE302" s="5941"/>
      <c r="AF302" s="782">
        <f t="shared" si="395"/>
        <v>934.42</v>
      </c>
      <c r="AG302" s="5915"/>
      <c r="AH302" s="4312">
        <v>254.44</v>
      </c>
      <c r="AI302" s="5924"/>
      <c r="AJ302" s="782">
        <f t="shared" si="421"/>
        <v>1188.8599999999999</v>
      </c>
      <c r="AK302" s="5915"/>
      <c r="AL302" s="4312"/>
      <c r="AM302" s="5885"/>
      <c r="AN302" s="781">
        <f t="shared" si="422"/>
        <v>514.55999999999995</v>
      </c>
      <c r="AO302" s="5941"/>
      <c r="AP302" s="782">
        <f t="shared" si="423"/>
        <v>1188.8599999999999</v>
      </c>
      <c r="AQ302" s="5915"/>
      <c r="AR302" s="4312">
        <v>454.44</v>
      </c>
      <c r="AS302" s="5924"/>
      <c r="AT302" s="782">
        <f t="shared" si="424"/>
        <v>1643.3</v>
      </c>
      <c r="AU302" s="5915"/>
      <c r="AV302" s="4312">
        <v>463.28999999999996</v>
      </c>
      <c r="AW302" s="5924"/>
      <c r="AX302" s="782">
        <f t="shared" si="425"/>
        <v>2106.59</v>
      </c>
      <c r="AY302" s="5915"/>
      <c r="AZ302" s="4312">
        <v>859.31999999999994</v>
      </c>
      <c r="BA302" s="5885"/>
      <c r="BB302" s="781">
        <f t="shared" si="426"/>
        <v>1777.05</v>
      </c>
      <c r="BC302" s="5892"/>
      <c r="BD302" s="3562">
        <f t="shared" si="427"/>
        <v>2291.6099999999997</v>
      </c>
      <c r="BE302" s="5924"/>
      <c r="BF302" s="782">
        <f t="shared" si="428"/>
        <v>2965.91</v>
      </c>
      <c r="BG302" s="26"/>
      <c r="BH302" s="26"/>
      <c r="BI302" s="26"/>
      <c r="BJ302" s="26"/>
      <c r="BK302" s="26"/>
    </row>
    <row r="303" spans="1:63" x14ac:dyDescent="0.25">
      <c r="A303" s="199"/>
      <c r="B303" s="3659" t="s">
        <v>1916</v>
      </c>
      <c r="C303" s="3606" t="s">
        <v>1917</v>
      </c>
      <c r="D303" s="4076"/>
      <c r="E303" s="5956"/>
      <c r="F303" s="2647"/>
      <c r="G303" s="5956"/>
      <c r="H303" s="2647">
        <v>3373.38</v>
      </c>
      <c r="I303" s="5960"/>
      <c r="J303" s="782">
        <f t="shared" si="389"/>
        <v>3373.38</v>
      </c>
      <c r="K303" s="5956"/>
      <c r="L303" s="2647">
        <v>1831.25</v>
      </c>
      <c r="M303" s="5885"/>
      <c r="N303" s="781">
        <f t="shared" si="390"/>
        <v>5204.63</v>
      </c>
      <c r="O303" s="5956"/>
      <c r="P303" s="2647">
        <v>394.27</v>
      </c>
      <c r="Q303" s="5941"/>
      <c r="R303" s="782">
        <f t="shared" si="391"/>
        <v>5598.9</v>
      </c>
      <c r="S303" s="5956"/>
      <c r="T303" s="2647">
        <v>2858.48</v>
      </c>
      <c r="U303" s="5941"/>
      <c r="V303" s="782">
        <f t="shared" si="392"/>
        <v>8457.3799999999992</v>
      </c>
      <c r="W303" s="5956"/>
      <c r="X303" s="2647">
        <v>2223.29</v>
      </c>
      <c r="Y303" s="5885"/>
      <c r="Z303" s="781">
        <f t="shared" si="393"/>
        <v>5476.04</v>
      </c>
      <c r="AA303" s="5892"/>
      <c r="AB303" s="3562">
        <f t="shared" si="394"/>
        <v>10680.67</v>
      </c>
      <c r="AC303" s="5915"/>
      <c r="AD303" s="4312">
        <v>2910.7799999999997</v>
      </c>
      <c r="AE303" s="5941"/>
      <c r="AF303" s="782">
        <f t="shared" si="395"/>
        <v>13591.45</v>
      </c>
      <c r="AG303" s="5915"/>
      <c r="AH303" s="4312"/>
      <c r="AI303" s="5924"/>
      <c r="AJ303" s="782">
        <f t="shared" si="421"/>
        <v>13591.45</v>
      </c>
      <c r="AK303" s="5915"/>
      <c r="AL303" s="4312"/>
      <c r="AM303" s="5885"/>
      <c r="AN303" s="781">
        <f t="shared" si="422"/>
        <v>2910.7799999999997</v>
      </c>
      <c r="AO303" s="5941"/>
      <c r="AP303" s="782">
        <f t="shared" si="423"/>
        <v>13591.45</v>
      </c>
      <c r="AQ303" s="5915"/>
      <c r="AR303" s="4312">
        <v>3514.2299999999996</v>
      </c>
      <c r="AS303" s="5924"/>
      <c r="AT303" s="782">
        <f t="shared" si="424"/>
        <v>17105.68</v>
      </c>
      <c r="AU303" s="5915"/>
      <c r="AV303" s="4312">
        <v>98.81</v>
      </c>
      <c r="AW303" s="5924"/>
      <c r="AX303" s="782">
        <f t="shared" si="425"/>
        <v>17204.490000000002</v>
      </c>
      <c r="AY303" s="5915"/>
      <c r="AZ303" s="4312">
        <v>2484.25</v>
      </c>
      <c r="BA303" s="5885"/>
      <c r="BB303" s="781">
        <f t="shared" si="426"/>
        <v>6097.2899999999991</v>
      </c>
      <c r="BC303" s="5892"/>
      <c r="BD303" s="3562">
        <f t="shared" si="427"/>
        <v>9008.07</v>
      </c>
      <c r="BE303" s="5924"/>
      <c r="BF303" s="782">
        <f t="shared" si="428"/>
        <v>19688.740000000002</v>
      </c>
      <c r="BG303" s="26"/>
      <c r="BH303" s="26"/>
      <c r="BI303" s="26"/>
      <c r="BJ303" s="26"/>
      <c r="BK303" s="26"/>
    </row>
    <row r="304" spans="1:63" x14ac:dyDescent="0.25">
      <c r="A304" s="199"/>
      <c r="B304" s="3659" t="s">
        <v>1916</v>
      </c>
      <c r="C304" s="3606" t="s">
        <v>1958</v>
      </c>
      <c r="D304" s="4076"/>
      <c r="E304" s="5956"/>
      <c r="F304" s="4312"/>
      <c r="G304" s="5956"/>
      <c r="H304" s="4312">
        <v>243.01</v>
      </c>
      <c r="I304" s="5960"/>
      <c r="J304" s="782">
        <f t="shared" si="389"/>
        <v>243.01</v>
      </c>
      <c r="K304" s="5956"/>
      <c r="L304" s="4312">
        <v>124.98</v>
      </c>
      <c r="M304" s="5888"/>
      <c r="N304" s="781">
        <f t="shared" si="390"/>
        <v>367.99</v>
      </c>
      <c r="O304" s="5956"/>
      <c r="P304" s="4312"/>
      <c r="Q304" s="5944"/>
      <c r="R304" s="782">
        <f t="shared" si="391"/>
        <v>367.99</v>
      </c>
      <c r="S304" s="5956"/>
      <c r="T304" s="4312"/>
      <c r="U304" s="5944"/>
      <c r="V304" s="782">
        <f t="shared" si="392"/>
        <v>367.99</v>
      </c>
      <c r="W304" s="5956"/>
      <c r="X304" s="4312">
        <v>101.68</v>
      </c>
      <c r="Y304" s="5888"/>
      <c r="Z304" s="781">
        <f t="shared" si="393"/>
        <v>101.68</v>
      </c>
      <c r="AA304" s="5895"/>
      <c r="AB304" s="3562">
        <f t="shared" si="394"/>
        <v>469.67</v>
      </c>
      <c r="AC304" s="5915"/>
      <c r="AD304" s="4312">
        <v>188.64</v>
      </c>
      <c r="AE304" s="5944"/>
      <c r="AF304" s="782">
        <f t="shared" si="395"/>
        <v>658.31</v>
      </c>
      <c r="AG304" s="5915"/>
      <c r="AH304" s="4312">
        <v>60.98</v>
      </c>
      <c r="AI304" s="5924"/>
      <c r="AJ304" s="782">
        <f t="shared" si="421"/>
        <v>719.29</v>
      </c>
      <c r="AK304" s="5915"/>
      <c r="AL304" s="4312"/>
      <c r="AM304" s="5888"/>
      <c r="AN304" s="781">
        <f t="shared" si="422"/>
        <v>249.61999999999998</v>
      </c>
      <c r="AO304" s="5944"/>
      <c r="AP304" s="782">
        <f t="shared" si="423"/>
        <v>719.29</v>
      </c>
      <c r="AQ304" s="5915"/>
      <c r="AR304" s="4312"/>
      <c r="AS304" s="5924"/>
      <c r="AT304" s="782">
        <f t="shared" si="424"/>
        <v>719.29</v>
      </c>
      <c r="AU304" s="5915"/>
      <c r="AV304" s="4312"/>
      <c r="AW304" s="5924"/>
      <c r="AX304" s="782">
        <f t="shared" si="425"/>
        <v>719.29</v>
      </c>
      <c r="AY304" s="5915"/>
      <c r="AZ304" s="4312"/>
      <c r="BA304" s="5888"/>
      <c r="BB304" s="781">
        <f t="shared" si="426"/>
        <v>0</v>
      </c>
      <c r="BC304" s="5895"/>
      <c r="BD304" s="3562">
        <f t="shared" si="427"/>
        <v>249.61999999999998</v>
      </c>
      <c r="BE304" s="5924"/>
      <c r="BF304" s="782">
        <f t="shared" si="428"/>
        <v>719.29</v>
      </c>
      <c r="BG304" s="26"/>
      <c r="BH304" s="26"/>
      <c r="BI304" s="26"/>
      <c r="BJ304" s="26"/>
      <c r="BK304" s="26"/>
    </row>
    <row r="305" spans="1:63" ht="15.75" thickBot="1" x14ac:dyDescent="0.3">
      <c r="A305" s="199"/>
      <c r="B305" s="3659" t="s">
        <v>1916</v>
      </c>
      <c r="C305" s="3606" t="s">
        <v>1918</v>
      </c>
      <c r="D305" s="4076"/>
      <c r="E305" s="5956"/>
      <c r="F305" s="2647"/>
      <c r="G305" s="5956"/>
      <c r="H305" s="2647">
        <v>310.84000000000003</v>
      </c>
      <c r="I305" s="5960"/>
      <c r="J305" s="782">
        <f t="shared" si="389"/>
        <v>310.84000000000003</v>
      </c>
      <c r="K305" s="5956"/>
      <c r="L305" s="2647">
        <v>524.6</v>
      </c>
      <c r="M305" s="5885"/>
      <c r="N305" s="781">
        <f t="shared" si="390"/>
        <v>835.44</v>
      </c>
      <c r="O305" s="5956"/>
      <c r="P305" s="2647"/>
      <c r="Q305" s="5941"/>
      <c r="R305" s="782">
        <f t="shared" si="391"/>
        <v>835.44</v>
      </c>
      <c r="S305" s="5956"/>
      <c r="T305" s="2647">
        <v>642.05999999999995</v>
      </c>
      <c r="U305" s="5941"/>
      <c r="V305" s="782">
        <f t="shared" si="392"/>
        <v>1477.5</v>
      </c>
      <c r="W305" s="5956"/>
      <c r="X305" s="2647">
        <v>335.31</v>
      </c>
      <c r="Y305" s="5885"/>
      <c r="Z305" s="781">
        <f t="shared" si="393"/>
        <v>977.36999999999989</v>
      </c>
      <c r="AA305" s="5892"/>
      <c r="AB305" s="3562">
        <f t="shared" si="394"/>
        <v>1812.81</v>
      </c>
      <c r="AC305" s="5915"/>
      <c r="AD305" s="4312">
        <v>545.70000000000005</v>
      </c>
      <c r="AE305" s="5941"/>
      <c r="AF305" s="782">
        <f t="shared" si="395"/>
        <v>2358.5100000000002</v>
      </c>
      <c r="AG305" s="5915"/>
      <c r="AH305" s="4312">
        <v>103.64</v>
      </c>
      <c r="AI305" s="5924"/>
      <c r="AJ305" s="782">
        <f t="shared" si="421"/>
        <v>2462.15</v>
      </c>
      <c r="AK305" s="5915"/>
      <c r="AL305" s="4312"/>
      <c r="AM305" s="5885"/>
      <c r="AN305" s="781">
        <f t="shared" si="422"/>
        <v>649.34</v>
      </c>
      <c r="AO305" s="5941"/>
      <c r="AP305" s="782">
        <f t="shared" si="423"/>
        <v>2462.15</v>
      </c>
      <c r="AQ305" s="5915"/>
      <c r="AR305" s="4312">
        <v>435.95</v>
      </c>
      <c r="AS305" s="5924"/>
      <c r="AT305" s="782">
        <f t="shared" si="424"/>
        <v>2898.1</v>
      </c>
      <c r="AU305" s="5915"/>
      <c r="AV305" s="4312"/>
      <c r="AW305" s="5924"/>
      <c r="AX305" s="782">
        <f t="shared" si="425"/>
        <v>2898.1</v>
      </c>
      <c r="AY305" s="5915"/>
      <c r="AZ305" s="4312">
        <v>1000.01</v>
      </c>
      <c r="BA305" s="5885"/>
      <c r="BB305" s="781">
        <f t="shared" si="426"/>
        <v>1435.96</v>
      </c>
      <c r="BC305" s="5892"/>
      <c r="BD305" s="3562">
        <f t="shared" si="427"/>
        <v>2085.3000000000002</v>
      </c>
      <c r="BE305" s="5924"/>
      <c r="BF305" s="782">
        <f t="shared" si="428"/>
        <v>3898.1099999999997</v>
      </c>
      <c r="BG305" s="26"/>
      <c r="BH305" s="26"/>
      <c r="BI305" s="26"/>
      <c r="BJ305" s="26"/>
      <c r="BK305" s="26"/>
    </row>
    <row r="306" spans="1:63" x14ac:dyDescent="0.25">
      <c r="A306" s="199"/>
      <c r="B306" s="2915" t="s">
        <v>887</v>
      </c>
      <c r="C306" s="3580" t="s">
        <v>895</v>
      </c>
      <c r="D306" s="3691"/>
      <c r="E306" s="5956"/>
      <c r="F306" s="1201">
        <v>990.2</v>
      </c>
      <c r="G306" s="5956"/>
      <c r="H306" s="1201">
        <v>1750.8999999999999</v>
      </c>
      <c r="I306" s="5960"/>
      <c r="J306" s="782">
        <f t="shared" si="389"/>
        <v>2741.1</v>
      </c>
      <c r="K306" s="5956"/>
      <c r="L306" s="1201">
        <v>3443.93</v>
      </c>
      <c r="M306" s="5883"/>
      <c r="N306" s="781">
        <f t="shared" si="390"/>
        <v>6185.03</v>
      </c>
      <c r="O306" s="5956"/>
      <c r="P306" s="1201">
        <v>1068.31</v>
      </c>
      <c r="Q306" s="5939"/>
      <c r="R306" s="782">
        <f t="shared" si="391"/>
        <v>7253.34</v>
      </c>
      <c r="S306" s="5956"/>
      <c r="T306" s="1201">
        <v>820.36000000000013</v>
      </c>
      <c r="U306" s="5939"/>
      <c r="V306" s="782">
        <f t="shared" si="392"/>
        <v>8073.7000000000007</v>
      </c>
      <c r="W306" s="5956"/>
      <c r="X306" s="1201">
        <v>65.87</v>
      </c>
      <c r="Y306" s="5883"/>
      <c r="Z306" s="781">
        <f t="shared" si="393"/>
        <v>1954.54</v>
      </c>
      <c r="AA306" s="5890"/>
      <c r="AB306" s="3562">
        <f t="shared" si="394"/>
        <v>8139.57</v>
      </c>
      <c r="AC306" s="5915"/>
      <c r="AD306" s="1323">
        <v>1320.6599999999999</v>
      </c>
      <c r="AE306" s="5939"/>
      <c r="AF306" s="782">
        <f t="shared" si="395"/>
        <v>9460.23</v>
      </c>
      <c r="AG306" s="5915"/>
      <c r="AH306" s="1323">
        <v>61.6</v>
      </c>
      <c r="AI306" s="5924"/>
      <c r="AJ306" s="782">
        <f t="shared" si="421"/>
        <v>9521.83</v>
      </c>
      <c r="AK306" s="5915"/>
      <c r="AL306" s="1323">
        <v>1379.73</v>
      </c>
      <c r="AM306" s="5883"/>
      <c r="AN306" s="781">
        <f t="shared" si="422"/>
        <v>2761.99</v>
      </c>
      <c r="AO306" s="5939"/>
      <c r="AP306" s="782">
        <f t="shared" si="423"/>
        <v>10901.56</v>
      </c>
      <c r="AQ306" s="5915"/>
      <c r="AR306" s="1323">
        <v>873.01</v>
      </c>
      <c r="AS306" s="5924"/>
      <c r="AT306" s="782">
        <f t="shared" si="424"/>
        <v>11774.57</v>
      </c>
      <c r="AU306" s="5915"/>
      <c r="AV306" s="1323">
        <v>2569.4</v>
      </c>
      <c r="AW306" s="5924"/>
      <c r="AX306" s="782">
        <f t="shared" si="425"/>
        <v>14343.97</v>
      </c>
      <c r="AY306" s="5915"/>
      <c r="AZ306" s="1323">
        <v>2274.69</v>
      </c>
      <c r="BA306" s="5883"/>
      <c r="BB306" s="781">
        <f t="shared" si="426"/>
        <v>5717.1</v>
      </c>
      <c r="BC306" s="5890"/>
      <c r="BD306" s="3562">
        <f t="shared" si="427"/>
        <v>8479.09</v>
      </c>
      <c r="BE306" s="5924"/>
      <c r="BF306" s="782">
        <f t="shared" si="428"/>
        <v>16618.66</v>
      </c>
      <c r="BG306" s="26"/>
      <c r="BH306" s="26"/>
      <c r="BI306" s="26"/>
      <c r="BJ306" s="26"/>
      <c r="BK306" s="26"/>
    </row>
    <row r="307" spans="1:63" x14ac:dyDescent="0.25">
      <c r="A307" s="199"/>
      <c r="B307" s="850" t="s">
        <v>887</v>
      </c>
      <c r="C307" s="3626" t="s">
        <v>998</v>
      </c>
      <c r="D307" s="3693"/>
      <c r="E307" s="5956"/>
      <c r="F307" s="1201">
        <v>2145.7000000000003</v>
      </c>
      <c r="G307" s="5956"/>
      <c r="H307" s="1201">
        <v>4487.2999999999993</v>
      </c>
      <c r="I307" s="5960"/>
      <c r="J307" s="782">
        <f t="shared" si="389"/>
        <v>6633</v>
      </c>
      <c r="K307" s="5956"/>
      <c r="L307" s="1201">
        <v>2164.86</v>
      </c>
      <c r="M307" s="5883"/>
      <c r="N307" s="781">
        <f t="shared" si="390"/>
        <v>8797.86</v>
      </c>
      <c r="O307" s="5956"/>
      <c r="P307" s="1201">
        <v>2932.91</v>
      </c>
      <c r="Q307" s="5939"/>
      <c r="R307" s="782">
        <f t="shared" si="391"/>
        <v>11730.77</v>
      </c>
      <c r="S307" s="5956"/>
      <c r="T307" s="1201">
        <v>1853.04</v>
      </c>
      <c r="U307" s="5939"/>
      <c r="V307" s="782">
        <f t="shared" si="392"/>
        <v>13583.810000000001</v>
      </c>
      <c r="W307" s="5956"/>
      <c r="X307" s="1201">
        <v>1054.3899999999999</v>
      </c>
      <c r="Y307" s="5883"/>
      <c r="Z307" s="781">
        <f t="shared" si="393"/>
        <v>5840.34</v>
      </c>
      <c r="AA307" s="5890"/>
      <c r="AB307" s="3562">
        <f t="shared" si="394"/>
        <v>14638.2</v>
      </c>
      <c r="AC307" s="5915"/>
      <c r="AD307" s="1324">
        <v>2926.78</v>
      </c>
      <c r="AE307" s="5939"/>
      <c r="AF307" s="782">
        <f t="shared" si="395"/>
        <v>17564.98</v>
      </c>
      <c r="AG307" s="5915"/>
      <c r="AH307" s="1324">
        <v>223.36</v>
      </c>
      <c r="AI307" s="5924"/>
      <c r="AJ307" s="782">
        <f t="shared" si="421"/>
        <v>17788.34</v>
      </c>
      <c r="AK307" s="5915"/>
      <c r="AL307" s="1324">
        <v>1216.8999999999999</v>
      </c>
      <c r="AM307" s="5883"/>
      <c r="AN307" s="781">
        <f t="shared" si="422"/>
        <v>4367.04</v>
      </c>
      <c r="AO307" s="5939"/>
      <c r="AP307" s="782">
        <f t="shared" si="423"/>
        <v>19005.240000000002</v>
      </c>
      <c r="AQ307" s="5915"/>
      <c r="AR307" s="1324">
        <v>2114.0400000000004</v>
      </c>
      <c r="AS307" s="5924"/>
      <c r="AT307" s="782">
        <f t="shared" si="424"/>
        <v>21119.280000000002</v>
      </c>
      <c r="AU307" s="5915"/>
      <c r="AV307" s="1324">
        <v>4217.83</v>
      </c>
      <c r="AW307" s="5924"/>
      <c r="AX307" s="782">
        <f t="shared" si="425"/>
        <v>25337.11</v>
      </c>
      <c r="AY307" s="5915"/>
      <c r="AZ307" s="1324">
        <v>4399.8499999999995</v>
      </c>
      <c r="BA307" s="5883"/>
      <c r="BB307" s="781">
        <f t="shared" si="426"/>
        <v>10731.720000000001</v>
      </c>
      <c r="BC307" s="5890"/>
      <c r="BD307" s="3562">
        <f t="shared" si="427"/>
        <v>15098.760000000002</v>
      </c>
      <c r="BE307" s="5924"/>
      <c r="BF307" s="782">
        <f t="shared" si="428"/>
        <v>29736.959999999999</v>
      </c>
      <c r="BG307" s="26"/>
      <c r="BH307" s="26"/>
      <c r="BI307" s="26"/>
      <c r="BJ307" s="26"/>
      <c r="BK307" s="26"/>
    </row>
    <row r="308" spans="1:63" x14ac:dyDescent="0.25">
      <c r="A308" s="199"/>
      <c r="B308" s="850" t="s">
        <v>887</v>
      </c>
      <c r="C308" s="3626" t="s">
        <v>896</v>
      </c>
      <c r="D308" s="3693"/>
      <c r="E308" s="5956"/>
      <c r="F308" s="1201"/>
      <c r="G308" s="5956"/>
      <c r="H308" s="1201"/>
      <c r="I308" s="5960"/>
      <c r="J308" s="782">
        <f t="shared" si="389"/>
        <v>0</v>
      </c>
      <c r="K308" s="5956"/>
      <c r="L308" s="1201"/>
      <c r="M308" s="5883"/>
      <c r="N308" s="781">
        <f t="shared" si="390"/>
        <v>0</v>
      </c>
      <c r="O308" s="5956"/>
      <c r="P308" s="1201"/>
      <c r="Q308" s="5939"/>
      <c r="R308" s="782">
        <f t="shared" si="391"/>
        <v>0</v>
      </c>
      <c r="S308" s="5956"/>
      <c r="T308" s="1201"/>
      <c r="U308" s="5939"/>
      <c r="V308" s="782">
        <f t="shared" si="392"/>
        <v>0</v>
      </c>
      <c r="W308" s="5956"/>
      <c r="X308" s="1201"/>
      <c r="Y308" s="5883"/>
      <c r="Z308" s="781">
        <f t="shared" si="393"/>
        <v>0</v>
      </c>
      <c r="AA308" s="5890"/>
      <c r="AB308" s="3562">
        <f t="shared" si="394"/>
        <v>0</v>
      </c>
      <c r="AC308" s="5915"/>
      <c r="AD308" s="1324"/>
      <c r="AE308" s="5939"/>
      <c r="AF308" s="782">
        <f t="shared" si="395"/>
        <v>0</v>
      </c>
      <c r="AG308" s="5915"/>
      <c r="AH308" s="1324"/>
      <c r="AI308" s="5924"/>
      <c r="AJ308" s="782">
        <f t="shared" si="421"/>
        <v>0</v>
      </c>
      <c r="AK308" s="5915"/>
      <c r="AL308" s="1324"/>
      <c r="AM308" s="5883"/>
      <c r="AN308" s="781">
        <f t="shared" si="422"/>
        <v>0</v>
      </c>
      <c r="AO308" s="5939"/>
      <c r="AP308" s="782">
        <f t="shared" si="423"/>
        <v>0</v>
      </c>
      <c r="AQ308" s="5915"/>
      <c r="AR308" s="1324"/>
      <c r="AS308" s="5924"/>
      <c r="AT308" s="782">
        <f t="shared" si="424"/>
        <v>0</v>
      </c>
      <c r="AU308" s="5915"/>
      <c r="AV308" s="1324">
        <v>63.78</v>
      </c>
      <c r="AW308" s="5924"/>
      <c r="AX308" s="782">
        <f t="shared" si="425"/>
        <v>63.78</v>
      </c>
      <c r="AY308" s="5915"/>
      <c r="AZ308" s="1324"/>
      <c r="BA308" s="5883"/>
      <c r="BB308" s="781">
        <f t="shared" si="426"/>
        <v>63.78</v>
      </c>
      <c r="BC308" s="5890"/>
      <c r="BD308" s="3562">
        <f t="shared" si="427"/>
        <v>63.78</v>
      </c>
      <c r="BE308" s="5924"/>
      <c r="BF308" s="782">
        <f t="shared" si="428"/>
        <v>63.78</v>
      </c>
      <c r="BG308" s="26"/>
      <c r="BH308" s="26"/>
      <c r="BI308" s="26"/>
      <c r="BJ308" s="26"/>
      <c r="BK308" s="26"/>
    </row>
    <row r="309" spans="1:63" x14ac:dyDescent="0.25">
      <c r="A309" s="199"/>
      <c r="B309" s="850" t="s">
        <v>887</v>
      </c>
      <c r="C309" s="3626" t="s">
        <v>1857</v>
      </c>
      <c r="D309" s="3693"/>
      <c r="E309" s="5956"/>
      <c r="F309" s="2647">
        <v>4937.1499999999996</v>
      </c>
      <c r="G309" s="5956"/>
      <c r="H309" s="2647">
        <v>5008.1299999999992</v>
      </c>
      <c r="I309" s="5960"/>
      <c r="J309" s="782">
        <f t="shared" si="389"/>
        <v>9945.2799999999988</v>
      </c>
      <c r="K309" s="5956"/>
      <c r="L309" s="2647">
        <v>5285.079999999999</v>
      </c>
      <c r="M309" s="5885"/>
      <c r="N309" s="781">
        <f t="shared" si="390"/>
        <v>15230.359999999997</v>
      </c>
      <c r="O309" s="5956"/>
      <c r="P309" s="2647">
        <v>6037.9100000000017</v>
      </c>
      <c r="Q309" s="5941"/>
      <c r="R309" s="782">
        <f t="shared" si="391"/>
        <v>21268.269999999997</v>
      </c>
      <c r="S309" s="5956"/>
      <c r="T309" s="2647">
        <v>4357.25</v>
      </c>
      <c r="U309" s="5941"/>
      <c r="V309" s="782">
        <f t="shared" si="392"/>
        <v>25625.519999999997</v>
      </c>
      <c r="W309" s="5956"/>
      <c r="X309" s="2647">
        <v>3735.7300000000005</v>
      </c>
      <c r="Y309" s="5885"/>
      <c r="Z309" s="781">
        <f t="shared" si="393"/>
        <v>14130.890000000003</v>
      </c>
      <c r="AA309" s="5892"/>
      <c r="AB309" s="3562">
        <f t="shared" si="394"/>
        <v>29361.25</v>
      </c>
      <c r="AC309" s="5915"/>
      <c r="AD309" s="1324">
        <v>5939.57</v>
      </c>
      <c r="AE309" s="5941"/>
      <c r="AF309" s="782">
        <f t="shared" si="395"/>
        <v>35300.82</v>
      </c>
      <c r="AG309" s="5915"/>
      <c r="AH309" s="1324">
        <v>1408.79</v>
      </c>
      <c r="AI309" s="5924"/>
      <c r="AJ309" s="782">
        <f t="shared" si="421"/>
        <v>36709.61</v>
      </c>
      <c r="AK309" s="5915"/>
      <c r="AL309" s="1324">
        <v>2139.14</v>
      </c>
      <c r="AM309" s="5885"/>
      <c r="AN309" s="781">
        <f t="shared" si="422"/>
        <v>9487.5</v>
      </c>
      <c r="AO309" s="5941"/>
      <c r="AP309" s="782">
        <f t="shared" si="423"/>
        <v>38848.75</v>
      </c>
      <c r="AQ309" s="5915"/>
      <c r="AR309" s="1324">
        <v>3032.2400000000002</v>
      </c>
      <c r="AS309" s="5924"/>
      <c r="AT309" s="782">
        <f t="shared" si="424"/>
        <v>41880.99</v>
      </c>
      <c r="AU309" s="5915"/>
      <c r="AV309" s="1324">
        <v>6692.4500000000007</v>
      </c>
      <c r="AW309" s="5924"/>
      <c r="AX309" s="782">
        <f t="shared" si="425"/>
        <v>48573.440000000002</v>
      </c>
      <c r="AY309" s="5915"/>
      <c r="AZ309" s="1324">
        <v>5959.1599999999989</v>
      </c>
      <c r="BA309" s="5885"/>
      <c r="BB309" s="781">
        <f t="shared" si="426"/>
        <v>15683.849999999999</v>
      </c>
      <c r="BC309" s="5892"/>
      <c r="BD309" s="3562">
        <f t="shared" si="427"/>
        <v>25171.35</v>
      </c>
      <c r="BE309" s="5924"/>
      <c r="BF309" s="782">
        <f t="shared" si="428"/>
        <v>54532.6</v>
      </c>
      <c r="BG309" s="26"/>
      <c r="BH309" s="26"/>
      <c r="BI309" s="26"/>
      <c r="BJ309" s="26"/>
      <c r="BK309" s="26"/>
    </row>
    <row r="310" spans="1:63" x14ac:dyDescent="0.25">
      <c r="A310" s="199"/>
      <c r="B310" s="850" t="s">
        <v>887</v>
      </c>
      <c r="C310" s="3626" t="s">
        <v>1860</v>
      </c>
      <c r="D310" s="3693"/>
      <c r="E310" s="5956"/>
      <c r="F310" s="2647">
        <v>450.64</v>
      </c>
      <c r="G310" s="5956"/>
      <c r="H310" s="2647">
        <v>1366.79</v>
      </c>
      <c r="I310" s="5960"/>
      <c r="J310" s="782">
        <f t="shared" si="389"/>
        <v>1817.4299999999998</v>
      </c>
      <c r="K310" s="5956"/>
      <c r="L310" s="2647">
        <v>1074.3</v>
      </c>
      <c r="M310" s="5885"/>
      <c r="N310" s="781">
        <f t="shared" si="390"/>
        <v>2891.7299999999996</v>
      </c>
      <c r="O310" s="5956"/>
      <c r="P310" s="2647">
        <v>1324.22</v>
      </c>
      <c r="Q310" s="5941"/>
      <c r="R310" s="782">
        <f t="shared" si="391"/>
        <v>4215.95</v>
      </c>
      <c r="S310" s="5956"/>
      <c r="T310" s="2647">
        <v>373.9</v>
      </c>
      <c r="U310" s="5941"/>
      <c r="V310" s="782">
        <f t="shared" si="392"/>
        <v>4589.8499999999995</v>
      </c>
      <c r="W310" s="5956"/>
      <c r="X310" s="2647">
        <v>1022.26</v>
      </c>
      <c r="Y310" s="5885"/>
      <c r="Z310" s="781">
        <f t="shared" si="393"/>
        <v>2720.38</v>
      </c>
      <c r="AA310" s="5892"/>
      <c r="AB310" s="3562">
        <f t="shared" si="394"/>
        <v>5612.11</v>
      </c>
      <c r="AC310" s="5915"/>
      <c r="AD310" s="1324">
        <v>626.42999999999995</v>
      </c>
      <c r="AE310" s="5941"/>
      <c r="AF310" s="782">
        <f t="shared" si="395"/>
        <v>6238.54</v>
      </c>
      <c r="AG310" s="5915"/>
      <c r="AH310" s="1324">
        <v>61.2</v>
      </c>
      <c r="AI310" s="5924"/>
      <c r="AJ310" s="782">
        <f t="shared" si="421"/>
        <v>6299.74</v>
      </c>
      <c r="AK310" s="5915"/>
      <c r="AL310" s="1324">
        <v>962.28</v>
      </c>
      <c r="AM310" s="5885"/>
      <c r="AN310" s="781">
        <f t="shared" si="422"/>
        <v>1649.9099999999999</v>
      </c>
      <c r="AO310" s="5941"/>
      <c r="AP310" s="782">
        <f t="shared" si="423"/>
        <v>7262.0199999999995</v>
      </c>
      <c r="AQ310" s="5915"/>
      <c r="AR310" s="1324">
        <v>1386.98</v>
      </c>
      <c r="AS310" s="5924"/>
      <c r="AT310" s="782">
        <f t="shared" si="424"/>
        <v>8649</v>
      </c>
      <c r="AU310" s="5915"/>
      <c r="AV310" s="1324">
        <v>773.75000000000011</v>
      </c>
      <c r="AW310" s="5924"/>
      <c r="AX310" s="782">
        <f t="shared" si="425"/>
        <v>9422.75</v>
      </c>
      <c r="AY310" s="5915"/>
      <c r="AZ310" s="1324">
        <v>807.51</v>
      </c>
      <c r="BA310" s="5885"/>
      <c r="BB310" s="781">
        <f t="shared" si="426"/>
        <v>2968.24</v>
      </c>
      <c r="BC310" s="5892"/>
      <c r="BD310" s="3562">
        <f t="shared" si="427"/>
        <v>4618.1499999999996</v>
      </c>
      <c r="BE310" s="5924"/>
      <c r="BF310" s="782">
        <f t="shared" si="428"/>
        <v>10230.26</v>
      </c>
      <c r="BG310" s="26"/>
      <c r="BH310" s="26"/>
      <c r="BI310" s="26"/>
      <c r="BJ310" s="26"/>
      <c r="BK310" s="26"/>
    </row>
    <row r="311" spans="1:63" x14ac:dyDescent="0.25">
      <c r="A311" s="199"/>
      <c r="B311" s="850" t="s">
        <v>887</v>
      </c>
      <c r="C311" s="3626" t="s">
        <v>897</v>
      </c>
      <c r="D311" s="3693"/>
      <c r="E311" s="5956"/>
      <c r="F311" s="1201">
        <v>187</v>
      </c>
      <c r="G311" s="5956"/>
      <c r="H311" s="1201">
        <v>63.74</v>
      </c>
      <c r="I311" s="5960"/>
      <c r="J311" s="782">
        <f t="shared" si="389"/>
        <v>250.74</v>
      </c>
      <c r="K311" s="5956"/>
      <c r="L311" s="1201">
        <v>124</v>
      </c>
      <c r="M311" s="5883"/>
      <c r="N311" s="781">
        <f t="shared" si="390"/>
        <v>374.74</v>
      </c>
      <c r="O311" s="5956"/>
      <c r="P311" s="1201"/>
      <c r="Q311" s="5939"/>
      <c r="R311" s="782">
        <f t="shared" si="391"/>
        <v>374.74</v>
      </c>
      <c r="S311" s="5956"/>
      <c r="T311" s="1201"/>
      <c r="U311" s="5939"/>
      <c r="V311" s="782">
        <f t="shared" si="392"/>
        <v>374.74</v>
      </c>
      <c r="W311" s="5956"/>
      <c r="X311" s="1201"/>
      <c r="Y311" s="5883"/>
      <c r="Z311" s="781">
        <f t="shared" si="393"/>
        <v>0</v>
      </c>
      <c r="AA311" s="5890"/>
      <c r="AB311" s="3562">
        <f t="shared" si="394"/>
        <v>374.74</v>
      </c>
      <c r="AC311" s="5915"/>
      <c r="AD311" s="1324">
        <v>194.62</v>
      </c>
      <c r="AE311" s="5939"/>
      <c r="AF311" s="782">
        <f t="shared" si="395"/>
        <v>569.36</v>
      </c>
      <c r="AG311" s="5915"/>
      <c r="AH311" s="1324">
        <v>65</v>
      </c>
      <c r="AI311" s="5924"/>
      <c r="AJ311" s="782">
        <f t="shared" si="421"/>
        <v>634.36</v>
      </c>
      <c r="AK311" s="5915"/>
      <c r="AL311" s="1324"/>
      <c r="AM311" s="5883"/>
      <c r="AN311" s="781">
        <f t="shared" si="422"/>
        <v>259.62</v>
      </c>
      <c r="AO311" s="5939"/>
      <c r="AP311" s="782">
        <f t="shared" si="423"/>
        <v>634.36</v>
      </c>
      <c r="AQ311" s="5915"/>
      <c r="AR311" s="1324">
        <v>64.28</v>
      </c>
      <c r="AS311" s="5924"/>
      <c r="AT311" s="782">
        <f t="shared" si="424"/>
        <v>698.64</v>
      </c>
      <c r="AU311" s="5915"/>
      <c r="AV311" s="1324"/>
      <c r="AW311" s="5924"/>
      <c r="AX311" s="782">
        <f t="shared" si="425"/>
        <v>698.64</v>
      </c>
      <c r="AY311" s="5915"/>
      <c r="AZ311" s="1324"/>
      <c r="BA311" s="5883"/>
      <c r="BB311" s="781">
        <f t="shared" si="426"/>
        <v>64.28</v>
      </c>
      <c r="BC311" s="5890"/>
      <c r="BD311" s="3562">
        <f t="shared" si="427"/>
        <v>323.89999999999998</v>
      </c>
      <c r="BE311" s="5924"/>
      <c r="BF311" s="782">
        <f t="shared" si="428"/>
        <v>698.64</v>
      </c>
      <c r="BG311" s="26"/>
      <c r="BH311" s="26"/>
      <c r="BI311" s="26"/>
      <c r="BJ311" s="26"/>
      <c r="BK311" s="26"/>
    </row>
    <row r="312" spans="1:63" ht="15.75" thickBot="1" x14ac:dyDescent="0.3">
      <c r="A312" s="199"/>
      <c r="B312" s="2919" t="s">
        <v>887</v>
      </c>
      <c r="C312" s="3589" t="s">
        <v>2224</v>
      </c>
      <c r="D312" s="3694"/>
      <c r="E312" s="5956"/>
      <c r="F312" s="1201">
        <v>123.78</v>
      </c>
      <c r="G312" s="5956"/>
      <c r="H312" s="1201"/>
      <c r="I312" s="5960"/>
      <c r="J312" s="782">
        <f t="shared" si="389"/>
        <v>123.78</v>
      </c>
      <c r="K312" s="5956"/>
      <c r="L312" s="1201">
        <v>319.10000000000002</v>
      </c>
      <c r="M312" s="5883"/>
      <c r="N312" s="781">
        <f t="shared" si="390"/>
        <v>442.88</v>
      </c>
      <c r="O312" s="5956"/>
      <c r="P312" s="1201"/>
      <c r="Q312" s="5939"/>
      <c r="R312" s="782">
        <f t="shared" si="391"/>
        <v>442.88</v>
      </c>
      <c r="S312" s="5956"/>
      <c r="T312" s="1201"/>
      <c r="U312" s="5939"/>
      <c r="V312" s="782">
        <f t="shared" si="392"/>
        <v>442.88</v>
      </c>
      <c r="W312" s="5956"/>
      <c r="X312" s="1201"/>
      <c r="Y312" s="5883"/>
      <c r="Z312" s="781">
        <f t="shared" si="393"/>
        <v>0</v>
      </c>
      <c r="AA312" s="5890"/>
      <c r="AB312" s="3562">
        <f t="shared" si="394"/>
        <v>442.88</v>
      </c>
      <c r="AC312" s="5915"/>
      <c r="AD312" s="3695"/>
      <c r="AE312" s="5939"/>
      <c r="AF312" s="782">
        <f t="shared" si="395"/>
        <v>442.88</v>
      </c>
      <c r="AG312" s="5915"/>
      <c r="AH312" s="3695"/>
      <c r="AI312" s="5924"/>
      <c r="AJ312" s="782">
        <f t="shared" si="421"/>
        <v>442.88</v>
      </c>
      <c r="AK312" s="5915"/>
      <c r="AL312" s="3695"/>
      <c r="AM312" s="5883"/>
      <c r="AN312" s="781">
        <f t="shared" si="422"/>
        <v>0</v>
      </c>
      <c r="AO312" s="5939"/>
      <c r="AP312" s="782">
        <f t="shared" si="423"/>
        <v>442.88</v>
      </c>
      <c r="AQ312" s="5915"/>
      <c r="AR312" s="3695"/>
      <c r="AS312" s="5924"/>
      <c r="AT312" s="782">
        <f t="shared" si="424"/>
        <v>442.88</v>
      </c>
      <c r="AU312" s="5915"/>
      <c r="AV312" s="3695"/>
      <c r="AW312" s="5924"/>
      <c r="AX312" s="782">
        <f t="shared" si="425"/>
        <v>442.88</v>
      </c>
      <c r="AY312" s="5915"/>
      <c r="AZ312" s="3695">
        <v>185.16</v>
      </c>
      <c r="BA312" s="5883"/>
      <c r="BB312" s="781">
        <f t="shared" si="426"/>
        <v>185.16</v>
      </c>
      <c r="BC312" s="5890"/>
      <c r="BD312" s="3562">
        <f t="shared" si="427"/>
        <v>185.16</v>
      </c>
      <c r="BE312" s="5924"/>
      <c r="BF312" s="782">
        <f t="shared" si="428"/>
        <v>628.04</v>
      </c>
      <c r="BG312" s="26"/>
      <c r="BH312" s="26"/>
      <c r="BI312" s="26"/>
      <c r="BJ312" s="26"/>
      <c r="BK312" s="26"/>
    </row>
    <row r="313" spans="1:63" x14ac:dyDescent="0.25">
      <c r="A313" s="199"/>
      <c r="B313" s="3673" t="s">
        <v>889</v>
      </c>
      <c r="C313" s="3622" t="s">
        <v>915</v>
      </c>
      <c r="D313" s="3599"/>
      <c r="E313" s="5918"/>
      <c r="F313" s="1201">
        <v>62</v>
      </c>
      <c r="G313" s="5918"/>
      <c r="H313" s="1201"/>
      <c r="I313" s="5939"/>
      <c r="J313" s="782">
        <f t="shared" si="389"/>
        <v>62</v>
      </c>
      <c r="K313" s="5918"/>
      <c r="L313" s="1201">
        <v>63.68</v>
      </c>
      <c r="M313" s="5883"/>
      <c r="N313" s="781">
        <f t="shared" si="390"/>
        <v>125.68</v>
      </c>
      <c r="O313" s="5918"/>
      <c r="P313" s="1201"/>
      <c r="Q313" s="5939"/>
      <c r="R313" s="782">
        <f t="shared" si="391"/>
        <v>125.68</v>
      </c>
      <c r="S313" s="5918"/>
      <c r="T313" s="1201"/>
      <c r="U313" s="5939"/>
      <c r="V313" s="782">
        <f t="shared" si="392"/>
        <v>125.68</v>
      </c>
      <c r="W313" s="5918"/>
      <c r="X313" s="1201"/>
      <c r="Y313" s="5883"/>
      <c r="Z313" s="781">
        <f t="shared" si="393"/>
        <v>0</v>
      </c>
      <c r="AA313" s="5890"/>
      <c r="AB313" s="3562">
        <f t="shared" si="394"/>
        <v>125.68</v>
      </c>
      <c r="AC313" s="5918"/>
      <c r="AD313" s="1202"/>
      <c r="AE313" s="5939"/>
      <c r="AF313" s="782">
        <f t="shared" si="395"/>
        <v>125.68</v>
      </c>
      <c r="AG313" s="5918"/>
      <c r="AH313" s="1202"/>
      <c r="AI313" s="5924"/>
      <c r="AJ313" s="782">
        <f t="shared" si="421"/>
        <v>125.68</v>
      </c>
      <c r="AK313" s="5918"/>
      <c r="AL313" s="1202"/>
      <c r="AM313" s="5883"/>
      <c r="AN313" s="781">
        <f t="shared" si="422"/>
        <v>0</v>
      </c>
      <c r="AO313" s="5939"/>
      <c r="AP313" s="782">
        <f t="shared" si="423"/>
        <v>125.68</v>
      </c>
      <c r="AQ313" s="5918"/>
      <c r="AR313" s="1202"/>
      <c r="AS313" s="5924"/>
      <c r="AT313" s="782">
        <f t="shared" si="424"/>
        <v>125.68</v>
      </c>
      <c r="AU313" s="5918"/>
      <c r="AV313" s="1202">
        <v>63.44</v>
      </c>
      <c r="AW313" s="5924"/>
      <c r="AX313" s="782">
        <f t="shared" si="425"/>
        <v>189.12</v>
      </c>
      <c r="AY313" s="5918"/>
      <c r="AZ313" s="1202">
        <v>193.68</v>
      </c>
      <c r="BA313" s="5883"/>
      <c r="BB313" s="781">
        <f t="shared" si="426"/>
        <v>257.12</v>
      </c>
      <c r="BC313" s="5890"/>
      <c r="BD313" s="3562">
        <f t="shared" si="427"/>
        <v>257.12</v>
      </c>
      <c r="BE313" s="5924"/>
      <c r="BF313" s="782">
        <f t="shared" si="428"/>
        <v>382.8</v>
      </c>
      <c r="BG313" s="26"/>
      <c r="BH313" s="26"/>
      <c r="BI313" s="26"/>
      <c r="BJ313" s="26"/>
      <c r="BK313" s="26"/>
    </row>
    <row r="314" spans="1:63" x14ac:dyDescent="0.25">
      <c r="A314" s="199"/>
      <c r="B314" s="3696" t="s">
        <v>889</v>
      </c>
      <c r="C314" s="3625" t="s">
        <v>1858</v>
      </c>
      <c r="D314" s="3626"/>
      <c r="E314" s="5919"/>
      <c r="F314" s="2647">
        <v>1902.35</v>
      </c>
      <c r="G314" s="5919"/>
      <c r="H314" s="2647">
        <v>1243.0299999999997</v>
      </c>
      <c r="I314" s="5941"/>
      <c r="J314" s="782">
        <f t="shared" si="389"/>
        <v>3145.3799999999997</v>
      </c>
      <c r="K314" s="5919"/>
      <c r="L314" s="2647">
        <v>1535.8000000000002</v>
      </c>
      <c r="M314" s="5885"/>
      <c r="N314" s="781">
        <f t="shared" si="390"/>
        <v>4681.18</v>
      </c>
      <c r="O314" s="5919"/>
      <c r="P314" s="2647">
        <v>2442.44</v>
      </c>
      <c r="Q314" s="5941"/>
      <c r="R314" s="782">
        <f t="shared" si="391"/>
        <v>7123.6200000000008</v>
      </c>
      <c r="S314" s="5919"/>
      <c r="T314" s="2647">
        <v>531.89</v>
      </c>
      <c r="U314" s="5941"/>
      <c r="V314" s="782">
        <f t="shared" si="392"/>
        <v>7655.5100000000011</v>
      </c>
      <c r="W314" s="5919"/>
      <c r="X314" s="2647">
        <v>1034.72</v>
      </c>
      <c r="Y314" s="5885"/>
      <c r="Z314" s="781">
        <f t="shared" si="393"/>
        <v>4009.05</v>
      </c>
      <c r="AA314" s="5892"/>
      <c r="AB314" s="3562">
        <f t="shared" si="394"/>
        <v>8690.23</v>
      </c>
      <c r="AC314" s="5919"/>
      <c r="AD314" s="2647">
        <v>386.34000000000003</v>
      </c>
      <c r="AE314" s="5941"/>
      <c r="AF314" s="782">
        <f t="shared" si="395"/>
        <v>9076.57</v>
      </c>
      <c r="AG314" s="5919"/>
      <c r="AH314" s="2647">
        <v>714.44</v>
      </c>
      <c r="AI314" s="5924"/>
      <c r="AJ314" s="782">
        <f t="shared" si="421"/>
        <v>9791.01</v>
      </c>
      <c r="AK314" s="5919"/>
      <c r="AL314" s="2647">
        <v>1202.04</v>
      </c>
      <c r="AM314" s="5885"/>
      <c r="AN314" s="781">
        <f t="shared" si="422"/>
        <v>2302.8200000000002</v>
      </c>
      <c r="AO314" s="5941"/>
      <c r="AP314" s="782">
        <f t="shared" si="423"/>
        <v>10993.05</v>
      </c>
      <c r="AQ314" s="5919"/>
      <c r="AR314" s="2647">
        <v>1506.35</v>
      </c>
      <c r="AS314" s="5924"/>
      <c r="AT314" s="782">
        <f t="shared" si="424"/>
        <v>12499.4</v>
      </c>
      <c r="AU314" s="5919"/>
      <c r="AV314" s="2647">
        <v>711.94999999999993</v>
      </c>
      <c r="AW314" s="5924"/>
      <c r="AX314" s="782">
        <f t="shared" si="425"/>
        <v>13211.35</v>
      </c>
      <c r="AY314" s="5919"/>
      <c r="AZ314" s="2647">
        <v>1369.45</v>
      </c>
      <c r="BA314" s="5885"/>
      <c r="BB314" s="781">
        <f t="shared" si="426"/>
        <v>3587.75</v>
      </c>
      <c r="BC314" s="5892"/>
      <c r="BD314" s="3562">
        <f t="shared" si="427"/>
        <v>5890.57</v>
      </c>
      <c r="BE314" s="5924"/>
      <c r="BF314" s="782">
        <f t="shared" si="428"/>
        <v>14580.800000000001</v>
      </c>
      <c r="BG314" s="26"/>
      <c r="BH314" s="26"/>
      <c r="BI314" s="26"/>
      <c r="BJ314" s="26"/>
      <c r="BK314" s="26"/>
    </row>
    <row r="315" spans="1:63" s="93" customFormat="1" x14ac:dyDescent="0.25">
      <c r="A315" s="199"/>
      <c r="B315" s="3696" t="s">
        <v>889</v>
      </c>
      <c r="C315" s="3625" t="s">
        <v>1861</v>
      </c>
      <c r="D315" s="3626"/>
      <c r="E315" s="5919"/>
      <c r="F315" s="2647">
        <v>743.06</v>
      </c>
      <c r="G315" s="5919"/>
      <c r="H315" s="2647">
        <v>436.43000000000006</v>
      </c>
      <c r="I315" s="5941"/>
      <c r="J315" s="782">
        <f t="shared" si="389"/>
        <v>1179.49</v>
      </c>
      <c r="K315" s="5919"/>
      <c r="L315" s="2647">
        <v>736.32999999999993</v>
      </c>
      <c r="M315" s="5885"/>
      <c r="N315" s="781">
        <f t="shared" si="390"/>
        <v>1915.82</v>
      </c>
      <c r="O315" s="5919"/>
      <c r="P315" s="2647">
        <v>1337.73</v>
      </c>
      <c r="Q315" s="5941"/>
      <c r="R315" s="782">
        <f t="shared" si="391"/>
        <v>3253.55</v>
      </c>
      <c r="S315" s="5919"/>
      <c r="T315" s="2647"/>
      <c r="U315" s="5941"/>
      <c r="V315" s="782">
        <f t="shared" si="392"/>
        <v>3253.55</v>
      </c>
      <c r="W315" s="5919"/>
      <c r="X315" s="2647">
        <v>536.23</v>
      </c>
      <c r="Y315" s="5885"/>
      <c r="Z315" s="781">
        <f t="shared" si="393"/>
        <v>1873.96</v>
      </c>
      <c r="AA315" s="5892"/>
      <c r="AB315" s="3562">
        <f t="shared" si="394"/>
        <v>3789.7799999999997</v>
      </c>
      <c r="AC315" s="5919"/>
      <c r="AD315" s="2647">
        <v>326.10000000000002</v>
      </c>
      <c r="AE315" s="5941"/>
      <c r="AF315" s="782">
        <f t="shared" si="395"/>
        <v>4115.88</v>
      </c>
      <c r="AG315" s="5919"/>
      <c r="AH315" s="2647">
        <v>129.71</v>
      </c>
      <c r="AI315" s="5924"/>
      <c r="AJ315" s="782">
        <f t="shared" si="421"/>
        <v>4245.59</v>
      </c>
      <c r="AK315" s="5919"/>
      <c r="AL315" s="2647">
        <v>633.66999999999996</v>
      </c>
      <c r="AM315" s="5885"/>
      <c r="AN315" s="781">
        <f t="shared" si="422"/>
        <v>1089.48</v>
      </c>
      <c r="AO315" s="5941"/>
      <c r="AP315" s="782">
        <f t="shared" si="423"/>
        <v>4879.26</v>
      </c>
      <c r="AQ315" s="5919"/>
      <c r="AR315" s="2647">
        <v>442.3</v>
      </c>
      <c r="AS315" s="5924"/>
      <c r="AT315" s="782">
        <f t="shared" si="424"/>
        <v>5321.56</v>
      </c>
      <c r="AU315" s="5919"/>
      <c r="AV315" s="2647">
        <v>514.04999999999995</v>
      </c>
      <c r="AW315" s="5924"/>
      <c r="AX315" s="782">
        <f t="shared" si="425"/>
        <v>5835.6100000000006</v>
      </c>
      <c r="AY315" s="5919"/>
      <c r="AZ315" s="2647">
        <v>263.23</v>
      </c>
      <c r="BA315" s="5885"/>
      <c r="BB315" s="781">
        <f t="shared" si="426"/>
        <v>1219.58</v>
      </c>
      <c r="BC315" s="5892"/>
      <c r="BD315" s="3562">
        <f t="shared" si="427"/>
        <v>2309.06</v>
      </c>
      <c r="BE315" s="5924"/>
      <c r="BF315" s="782">
        <f t="shared" si="428"/>
        <v>6098.84</v>
      </c>
      <c r="BG315" s="26"/>
      <c r="BH315" s="26"/>
      <c r="BI315" s="26"/>
      <c r="BJ315" s="26"/>
      <c r="BK315" s="26"/>
    </row>
    <row r="316" spans="1:63" x14ac:dyDescent="0.25">
      <c r="A316" s="199"/>
      <c r="B316" s="3654" t="s">
        <v>889</v>
      </c>
      <c r="C316" s="3616" t="s">
        <v>899</v>
      </c>
      <c r="D316" s="3587"/>
      <c r="E316" s="5918"/>
      <c r="F316" s="1201"/>
      <c r="G316" s="5918"/>
      <c r="H316" s="1201"/>
      <c r="I316" s="5939"/>
      <c r="J316" s="782">
        <f t="shared" si="389"/>
        <v>0</v>
      </c>
      <c r="K316" s="5918"/>
      <c r="L316" s="1201"/>
      <c r="M316" s="5883"/>
      <c r="N316" s="781">
        <f t="shared" si="390"/>
        <v>0</v>
      </c>
      <c r="O316" s="5918"/>
      <c r="P316" s="1201"/>
      <c r="Q316" s="5939"/>
      <c r="R316" s="782">
        <f t="shared" si="391"/>
        <v>0</v>
      </c>
      <c r="S316" s="5918"/>
      <c r="T316" s="1201"/>
      <c r="U316" s="5939"/>
      <c r="V316" s="782">
        <f t="shared" si="392"/>
        <v>0</v>
      </c>
      <c r="W316" s="5918"/>
      <c r="X316" s="1201"/>
      <c r="Y316" s="5883"/>
      <c r="Z316" s="781">
        <f t="shared" si="393"/>
        <v>0</v>
      </c>
      <c r="AA316" s="5890"/>
      <c r="AB316" s="3562">
        <f t="shared" si="394"/>
        <v>0</v>
      </c>
      <c r="AC316" s="5918"/>
      <c r="AD316" s="1201"/>
      <c r="AE316" s="5939"/>
      <c r="AF316" s="782">
        <f t="shared" si="395"/>
        <v>0</v>
      </c>
      <c r="AG316" s="5918"/>
      <c r="AH316" s="1201">
        <v>58.84</v>
      </c>
      <c r="AI316" s="5924"/>
      <c r="AJ316" s="782">
        <f t="shared" si="421"/>
        <v>58.84</v>
      </c>
      <c r="AK316" s="5918"/>
      <c r="AL316" s="1201"/>
      <c r="AM316" s="5883"/>
      <c r="AN316" s="781">
        <f t="shared" si="422"/>
        <v>58.84</v>
      </c>
      <c r="AO316" s="5939"/>
      <c r="AP316" s="782">
        <f t="shared" si="423"/>
        <v>58.84</v>
      </c>
      <c r="AQ316" s="5918"/>
      <c r="AR316" s="1201"/>
      <c r="AS316" s="5924"/>
      <c r="AT316" s="782">
        <f t="shared" si="424"/>
        <v>58.84</v>
      </c>
      <c r="AU316" s="5918"/>
      <c r="AV316" s="1201"/>
      <c r="AW316" s="5924"/>
      <c r="AX316" s="782">
        <f t="shared" si="425"/>
        <v>58.84</v>
      </c>
      <c r="AY316" s="5918"/>
      <c r="AZ316" s="1201"/>
      <c r="BA316" s="5883"/>
      <c r="BB316" s="781">
        <f t="shared" si="426"/>
        <v>0</v>
      </c>
      <c r="BC316" s="5890"/>
      <c r="BD316" s="3562">
        <f t="shared" si="427"/>
        <v>58.84</v>
      </c>
      <c r="BE316" s="5924"/>
      <c r="BF316" s="782">
        <f t="shared" si="428"/>
        <v>58.84</v>
      </c>
      <c r="BG316" s="26"/>
      <c r="BH316" s="26"/>
      <c r="BI316" s="26"/>
      <c r="BJ316" s="26"/>
      <c r="BK316" s="26"/>
    </row>
    <row r="317" spans="1:63" x14ac:dyDescent="0.25">
      <c r="A317" s="199"/>
      <c r="B317" s="3654" t="s">
        <v>888</v>
      </c>
      <c r="C317" s="3616" t="s">
        <v>2284</v>
      </c>
      <c r="D317" s="3587"/>
      <c r="E317" s="5918"/>
      <c r="F317" s="1201"/>
      <c r="G317" s="5918"/>
      <c r="H317" s="1201"/>
      <c r="I317" s="5939"/>
      <c r="J317" s="782">
        <f t="shared" si="389"/>
        <v>0</v>
      </c>
      <c r="K317" s="5918"/>
      <c r="L317" s="1201">
        <v>254.58</v>
      </c>
      <c r="M317" s="5883"/>
      <c r="N317" s="781">
        <f t="shared" si="390"/>
        <v>254.58</v>
      </c>
      <c r="O317" s="5918"/>
      <c r="P317" s="1201"/>
      <c r="Q317" s="5939"/>
      <c r="R317" s="782">
        <f t="shared" si="391"/>
        <v>254.58</v>
      </c>
      <c r="S317" s="5918"/>
      <c r="T317" s="1201"/>
      <c r="U317" s="5939"/>
      <c r="V317" s="782">
        <f t="shared" si="392"/>
        <v>254.58</v>
      </c>
      <c r="W317" s="5918"/>
      <c r="X317" s="1201"/>
      <c r="Y317" s="5883"/>
      <c r="Z317" s="781">
        <f t="shared" si="393"/>
        <v>0</v>
      </c>
      <c r="AA317" s="5890"/>
      <c r="AB317" s="3562">
        <f t="shared" si="394"/>
        <v>254.58</v>
      </c>
      <c r="AC317" s="5918"/>
      <c r="AD317" s="1201">
        <v>63.94</v>
      </c>
      <c r="AE317" s="5939"/>
      <c r="AF317" s="782">
        <f t="shared" si="395"/>
        <v>318.52</v>
      </c>
      <c r="AG317" s="5918"/>
      <c r="AH317" s="1201"/>
      <c r="AI317" s="5924"/>
      <c r="AJ317" s="782">
        <f t="shared" si="421"/>
        <v>318.52</v>
      </c>
      <c r="AK317" s="5918"/>
      <c r="AL317" s="1201"/>
      <c r="AM317" s="5883"/>
      <c r="AN317" s="781">
        <f t="shared" si="422"/>
        <v>63.94</v>
      </c>
      <c r="AO317" s="5939"/>
      <c r="AP317" s="782">
        <f t="shared" si="423"/>
        <v>318.52</v>
      </c>
      <c r="AQ317" s="5918"/>
      <c r="AR317" s="1201"/>
      <c r="AS317" s="5924"/>
      <c r="AT317" s="782">
        <f t="shared" si="424"/>
        <v>318.52</v>
      </c>
      <c r="AU317" s="5918"/>
      <c r="AV317" s="1201"/>
      <c r="AW317" s="5924"/>
      <c r="AX317" s="782">
        <f t="shared" si="425"/>
        <v>318.52</v>
      </c>
      <c r="AY317" s="5918"/>
      <c r="AZ317" s="1201">
        <v>61.58</v>
      </c>
      <c r="BA317" s="5883"/>
      <c r="BB317" s="781">
        <f t="shared" si="426"/>
        <v>61.58</v>
      </c>
      <c r="BC317" s="5890"/>
      <c r="BD317" s="3562">
        <f t="shared" si="427"/>
        <v>125.52</v>
      </c>
      <c r="BE317" s="5924"/>
      <c r="BF317" s="782">
        <f t="shared" si="428"/>
        <v>380.09999999999997</v>
      </c>
      <c r="BG317" s="26"/>
      <c r="BH317" s="26"/>
      <c r="BI317" s="26"/>
      <c r="BJ317" s="26"/>
      <c r="BK317" s="26"/>
    </row>
    <row r="318" spans="1:63" x14ac:dyDescent="0.25">
      <c r="A318" s="199"/>
      <c r="B318" s="3654" t="s">
        <v>888</v>
      </c>
      <c r="C318" s="3616" t="s">
        <v>1752</v>
      </c>
      <c r="D318" s="3587"/>
      <c r="E318" s="5918"/>
      <c r="F318" s="1201">
        <v>2761.6</v>
      </c>
      <c r="G318" s="5918"/>
      <c r="H318" s="1201">
        <v>2538.6099999999997</v>
      </c>
      <c r="I318" s="5939"/>
      <c r="J318" s="782">
        <f t="shared" si="389"/>
        <v>5300.2099999999991</v>
      </c>
      <c r="K318" s="5918"/>
      <c r="L318" s="1201">
        <v>2954.35</v>
      </c>
      <c r="M318" s="5883"/>
      <c r="N318" s="781">
        <f t="shared" si="390"/>
        <v>8254.56</v>
      </c>
      <c r="O318" s="5918"/>
      <c r="P318" s="1201">
        <v>3031.1000000000004</v>
      </c>
      <c r="Q318" s="5939"/>
      <c r="R318" s="782">
        <f t="shared" si="391"/>
        <v>11285.66</v>
      </c>
      <c r="S318" s="5918"/>
      <c r="T318" s="1201">
        <v>2467.9</v>
      </c>
      <c r="U318" s="5939"/>
      <c r="V318" s="782">
        <f t="shared" si="392"/>
        <v>13753.56</v>
      </c>
      <c r="W318" s="5918"/>
      <c r="X318" s="1201">
        <v>2696.29</v>
      </c>
      <c r="Y318" s="5883"/>
      <c r="Z318" s="781">
        <f t="shared" si="393"/>
        <v>8195.2900000000009</v>
      </c>
      <c r="AA318" s="5890"/>
      <c r="AB318" s="3562">
        <f t="shared" si="394"/>
        <v>16449.849999999999</v>
      </c>
      <c r="AC318" s="5918"/>
      <c r="AD318" s="1201">
        <v>1279.9199999999998</v>
      </c>
      <c r="AE318" s="5939"/>
      <c r="AF318" s="782">
        <f t="shared" si="395"/>
        <v>17729.769999999997</v>
      </c>
      <c r="AG318" s="5918"/>
      <c r="AH318" s="1201">
        <v>3407.829999999999</v>
      </c>
      <c r="AI318" s="5924"/>
      <c r="AJ318" s="782">
        <f t="shared" si="421"/>
        <v>21137.599999999995</v>
      </c>
      <c r="AK318" s="5918"/>
      <c r="AL318" s="1201">
        <v>3073.31</v>
      </c>
      <c r="AM318" s="5883"/>
      <c r="AN318" s="781">
        <f t="shared" si="422"/>
        <v>7761.0599999999995</v>
      </c>
      <c r="AO318" s="5939"/>
      <c r="AP318" s="782">
        <f t="shared" si="423"/>
        <v>24210.909999999996</v>
      </c>
      <c r="AQ318" s="5918"/>
      <c r="AR318" s="1201">
        <v>1383.46</v>
      </c>
      <c r="AS318" s="5924"/>
      <c r="AT318" s="782">
        <f t="shared" si="424"/>
        <v>25594.369999999995</v>
      </c>
      <c r="AU318" s="5918"/>
      <c r="AV318" s="1201">
        <v>3222.3399999999997</v>
      </c>
      <c r="AW318" s="5924"/>
      <c r="AX318" s="782">
        <f t="shared" si="425"/>
        <v>28816.709999999995</v>
      </c>
      <c r="AY318" s="5918"/>
      <c r="AZ318" s="1201">
        <v>2754.67</v>
      </c>
      <c r="BA318" s="5883"/>
      <c r="BB318" s="781">
        <f t="shared" si="426"/>
        <v>7360.4699999999993</v>
      </c>
      <c r="BC318" s="5890"/>
      <c r="BD318" s="3562">
        <f t="shared" si="427"/>
        <v>15121.529999999999</v>
      </c>
      <c r="BE318" s="5924"/>
      <c r="BF318" s="782">
        <f t="shared" si="428"/>
        <v>31571.379999999997</v>
      </c>
      <c r="BG318" s="26"/>
      <c r="BH318" s="26"/>
      <c r="BI318" s="26"/>
      <c r="BJ318" s="26"/>
      <c r="BK318" s="26"/>
    </row>
    <row r="319" spans="1:63" x14ac:dyDescent="0.25">
      <c r="A319" s="199"/>
      <c r="B319" s="3696" t="s">
        <v>888</v>
      </c>
      <c r="C319" s="3625" t="s">
        <v>1862</v>
      </c>
      <c r="D319" s="3626"/>
      <c r="E319" s="5919"/>
      <c r="F319" s="2647">
        <v>543.14</v>
      </c>
      <c r="G319" s="5919"/>
      <c r="H319" s="2647">
        <v>435.21000000000004</v>
      </c>
      <c r="I319" s="5941"/>
      <c r="J319" s="782">
        <f t="shared" si="389"/>
        <v>978.35</v>
      </c>
      <c r="K319" s="5919"/>
      <c r="L319" s="2647">
        <v>571.4</v>
      </c>
      <c r="M319" s="5885"/>
      <c r="N319" s="781">
        <f t="shared" si="390"/>
        <v>1549.75</v>
      </c>
      <c r="O319" s="5919"/>
      <c r="P319" s="2647">
        <v>442.08</v>
      </c>
      <c r="Q319" s="5941"/>
      <c r="R319" s="782">
        <f t="shared" si="391"/>
        <v>1991.83</v>
      </c>
      <c r="S319" s="5919"/>
      <c r="T319" s="2647">
        <v>511.96000000000004</v>
      </c>
      <c r="U319" s="5941"/>
      <c r="V319" s="782">
        <f t="shared" si="392"/>
        <v>2503.79</v>
      </c>
      <c r="W319" s="5919"/>
      <c r="X319" s="2647">
        <v>605.39</v>
      </c>
      <c r="Y319" s="5885"/>
      <c r="Z319" s="781">
        <f t="shared" si="393"/>
        <v>1559.4299999999998</v>
      </c>
      <c r="AA319" s="5892"/>
      <c r="AB319" s="3562">
        <f t="shared" si="394"/>
        <v>3109.18</v>
      </c>
      <c r="AC319" s="5919"/>
      <c r="AD319" s="2647">
        <v>348.45</v>
      </c>
      <c r="AE319" s="5941"/>
      <c r="AF319" s="782">
        <f t="shared" si="395"/>
        <v>3457.6299999999997</v>
      </c>
      <c r="AG319" s="5919"/>
      <c r="AH319" s="2647">
        <v>168.32</v>
      </c>
      <c r="AI319" s="5924"/>
      <c r="AJ319" s="782">
        <f t="shared" si="421"/>
        <v>3625.95</v>
      </c>
      <c r="AK319" s="5919"/>
      <c r="AL319" s="2647">
        <v>531.04</v>
      </c>
      <c r="AM319" s="5885"/>
      <c r="AN319" s="781">
        <f t="shared" si="422"/>
        <v>1047.81</v>
      </c>
      <c r="AO319" s="5941"/>
      <c r="AP319" s="782">
        <f t="shared" si="423"/>
        <v>4156.99</v>
      </c>
      <c r="AQ319" s="5919"/>
      <c r="AR319" s="2647">
        <v>226.13</v>
      </c>
      <c r="AS319" s="5924"/>
      <c r="AT319" s="782">
        <f t="shared" si="424"/>
        <v>4383.12</v>
      </c>
      <c r="AU319" s="5919"/>
      <c r="AV319" s="2647">
        <v>340.36</v>
      </c>
      <c r="AW319" s="5924"/>
      <c r="AX319" s="782">
        <f t="shared" si="425"/>
        <v>4723.4799999999996</v>
      </c>
      <c r="AY319" s="5919"/>
      <c r="AZ319" s="2647">
        <v>1306.8800000000001</v>
      </c>
      <c r="BA319" s="5885"/>
      <c r="BB319" s="781">
        <f t="shared" si="426"/>
        <v>1873.3700000000001</v>
      </c>
      <c r="BC319" s="5892"/>
      <c r="BD319" s="3562">
        <f t="shared" si="427"/>
        <v>2921.1800000000003</v>
      </c>
      <c r="BE319" s="5924"/>
      <c r="BF319" s="782">
        <f t="shared" si="428"/>
        <v>6030.36</v>
      </c>
      <c r="BG319" s="26"/>
      <c r="BH319" s="26"/>
      <c r="BI319" s="26"/>
      <c r="BJ319" s="26"/>
      <c r="BK319" s="26"/>
    </row>
    <row r="320" spans="1:63" x14ac:dyDescent="0.25">
      <c r="A320" s="199"/>
      <c r="B320" s="3654" t="s">
        <v>889</v>
      </c>
      <c r="C320" s="3616" t="s">
        <v>898</v>
      </c>
      <c r="D320" s="3587"/>
      <c r="E320" s="5918"/>
      <c r="F320" s="1201">
        <v>64.62</v>
      </c>
      <c r="G320" s="5918"/>
      <c r="H320" s="1201"/>
      <c r="I320" s="5939"/>
      <c r="J320" s="782">
        <f t="shared" si="389"/>
        <v>64.62</v>
      </c>
      <c r="K320" s="5918"/>
      <c r="L320" s="1201"/>
      <c r="M320" s="5883"/>
      <c r="N320" s="781">
        <f t="shared" si="390"/>
        <v>64.62</v>
      </c>
      <c r="O320" s="5918"/>
      <c r="P320" s="1201"/>
      <c r="Q320" s="5939"/>
      <c r="R320" s="782">
        <f t="shared" si="391"/>
        <v>64.62</v>
      </c>
      <c r="S320" s="5918"/>
      <c r="T320" s="1201"/>
      <c r="U320" s="5939"/>
      <c r="V320" s="782">
        <f t="shared" si="392"/>
        <v>64.62</v>
      </c>
      <c r="W320" s="5918"/>
      <c r="X320" s="1201"/>
      <c r="Y320" s="5883"/>
      <c r="Z320" s="781">
        <f t="shared" si="393"/>
        <v>0</v>
      </c>
      <c r="AA320" s="5890"/>
      <c r="AB320" s="3562">
        <f t="shared" si="394"/>
        <v>64.62</v>
      </c>
      <c r="AC320" s="5918"/>
      <c r="AD320" s="1201">
        <v>126.54</v>
      </c>
      <c r="AE320" s="5939"/>
      <c r="AF320" s="782">
        <f t="shared" si="395"/>
        <v>191.16000000000003</v>
      </c>
      <c r="AG320" s="5918"/>
      <c r="AH320" s="1201"/>
      <c r="AI320" s="5924"/>
      <c r="AJ320" s="782">
        <f t="shared" si="421"/>
        <v>191.16000000000003</v>
      </c>
      <c r="AK320" s="5918"/>
      <c r="AL320" s="1201"/>
      <c r="AM320" s="5883"/>
      <c r="AN320" s="781">
        <f t="shared" si="422"/>
        <v>126.54</v>
      </c>
      <c r="AO320" s="5939"/>
      <c r="AP320" s="782">
        <f t="shared" si="423"/>
        <v>191.16000000000003</v>
      </c>
      <c r="AQ320" s="5918"/>
      <c r="AR320" s="1201"/>
      <c r="AS320" s="5924"/>
      <c r="AT320" s="782">
        <f t="shared" si="424"/>
        <v>191.16000000000003</v>
      </c>
      <c r="AU320" s="5918"/>
      <c r="AV320" s="1201"/>
      <c r="AW320" s="5924"/>
      <c r="AX320" s="782">
        <f t="shared" si="425"/>
        <v>191.16000000000003</v>
      </c>
      <c r="AY320" s="5918"/>
      <c r="AZ320" s="1201">
        <v>251.36</v>
      </c>
      <c r="BA320" s="5883"/>
      <c r="BB320" s="781">
        <f t="shared" si="426"/>
        <v>251.36</v>
      </c>
      <c r="BC320" s="5890"/>
      <c r="BD320" s="3562">
        <f t="shared" si="427"/>
        <v>377.90000000000003</v>
      </c>
      <c r="BE320" s="5924"/>
      <c r="BF320" s="782">
        <f t="shared" si="428"/>
        <v>442.52000000000004</v>
      </c>
      <c r="BG320" s="26"/>
      <c r="BH320" s="26"/>
      <c r="BI320" s="26"/>
      <c r="BJ320" s="26"/>
      <c r="BK320" s="26"/>
    </row>
    <row r="321" spans="1:63" x14ac:dyDescent="0.25">
      <c r="A321" s="199"/>
      <c r="B321" s="3654" t="s">
        <v>888</v>
      </c>
      <c r="C321" s="3616" t="s">
        <v>1473</v>
      </c>
      <c r="D321" s="3587"/>
      <c r="E321" s="5920"/>
      <c r="F321" s="1201"/>
      <c r="G321" s="5920"/>
      <c r="H321" s="1201"/>
      <c r="I321" s="5943"/>
      <c r="J321" s="782">
        <f t="shared" si="389"/>
        <v>0</v>
      </c>
      <c r="K321" s="5920"/>
      <c r="L321" s="1201"/>
      <c r="M321" s="5887"/>
      <c r="N321" s="781">
        <f t="shared" si="390"/>
        <v>0</v>
      </c>
      <c r="O321" s="5920"/>
      <c r="P321" s="1201"/>
      <c r="Q321" s="5943"/>
      <c r="R321" s="782">
        <f t="shared" si="391"/>
        <v>0</v>
      </c>
      <c r="S321" s="5920"/>
      <c r="T321" s="1201"/>
      <c r="U321" s="5943"/>
      <c r="V321" s="782">
        <f t="shared" si="392"/>
        <v>0</v>
      </c>
      <c r="W321" s="5920"/>
      <c r="X321" s="1201"/>
      <c r="Y321" s="5887"/>
      <c r="Z321" s="781">
        <f t="shared" si="393"/>
        <v>0</v>
      </c>
      <c r="AA321" s="5894"/>
      <c r="AB321" s="3562">
        <f t="shared" si="394"/>
        <v>0</v>
      </c>
      <c r="AC321" s="5920"/>
      <c r="AD321" s="1201"/>
      <c r="AE321" s="5943"/>
      <c r="AF321" s="782">
        <f t="shared" si="395"/>
        <v>0</v>
      </c>
      <c r="AG321" s="5920"/>
      <c r="AH321" s="1201"/>
      <c r="AI321" s="5924"/>
      <c r="AJ321" s="782">
        <f t="shared" si="421"/>
        <v>0</v>
      </c>
      <c r="AK321" s="5920"/>
      <c r="AL321" s="1201"/>
      <c r="AM321" s="5887"/>
      <c r="AN321" s="781">
        <f t="shared" si="422"/>
        <v>0</v>
      </c>
      <c r="AO321" s="5943"/>
      <c r="AP321" s="782">
        <f t="shared" si="423"/>
        <v>0</v>
      </c>
      <c r="AQ321" s="5920"/>
      <c r="AR321" s="1201"/>
      <c r="AS321" s="5924"/>
      <c r="AT321" s="782">
        <f t="shared" si="424"/>
        <v>0</v>
      </c>
      <c r="AU321" s="5920"/>
      <c r="AV321" s="1201"/>
      <c r="AW321" s="5924"/>
      <c r="AX321" s="782">
        <f t="shared" si="425"/>
        <v>0</v>
      </c>
      <c r="AY321" s="5920"/>
      <c r="AZ321" s="1201"/>
      <c r="BA321" s="5887"/>
      <c r="BB321" s="781">
        <f t="shared" si="426"/>
        <v>0</v>
      </c>
      <c r="BC321" s="5894"/>
      <c r="BD321" s="3562">
        <f t="shared" si="427"/>
        <v>0</v>
      </c>
      <c r="BE321" s="5924"/>
      <c r="BF321" s="782">
        <f t="shared" si="428"/>
        <v>0</v>
      </c>
      <c r="BG321" s="26"/>
      <c r="BH321" s="26"/>
      <c r="BI321" s="26"/>
      <c r="BJ321" s="26"/>
      <c r="BK321" s="26"/>
    </row>
    <row r="322" spans="1:63" x14ac:dyDescent="0.25">
      <c r="A322" s="199"/>
      <c r="B322" s="3696" t="s">
        <v>888</v>
      </c>
      <c r="C322" s="3625" t="s">
        <v>1851</v>
      </c>
      <c r="D322" s="3626"/>
      <c r="E322" s="5919"/>
      <c r="F322" s="2647">
        <v>220.63</v>
      </c>
      <c r="G322" s="5919"/>
      <c r="H322" s="2647">
        <v>255.23</v>
      </c>
      <c r="I322" s="5941"/>
      <c r="J322" s="782">
        <f t="shared" si="389"/>
        <v>475.86</v>
      </c>
      <c r="K322" s="5919"/>
      <c r="L322" s="2647">
        <v>176.98000000000002</v>
      </c>
      <c r="M322" s="5885"/>
      <c r="N322" s="781">
        <f t="shared" si="390"/>
        <v>652.84</v>
      </c>
      <c r="O322" s="5919"/>
      <c r="P322" s="2647"/>
      <c r="Q322" s="5941"/>
      <c r="R322" s="782">
        <f t="shared" si="391"/>
        <v>652.84</v>
      </c>
      <c r="S322" s="5919"/>
      <c r="T322" s="2647"/>
      <c r="U322" s="5941"/>
      <c r="V322" s="782">
        <f t="shared" si="392"/>
        <v>652.84</v>
      </c>
      <c r="W322" s="5919"/>
      <c r="X322" s="2647">
        <v>473.12999999999994</v>
      </c>
      <c r="Y322" s="5885"/>
      <c r="Z322" s="781">
        <f t="shared" si="393"/>
        <v>473.12999999999994</v>
      </c>
      <c r="AA322" s="5892"/>
      <c r="AB322" s="3562">
        <f t="shared" si="394"/>
        <v>1125.97</v>
      </c>
      <c r="AC322" s="5919"/>
      <c r="AD322" s="2647">
        <v>210.43</v>
      </c>
      <c r="AE322" s="5941"/>
      <c r="AF322" s="782">
        <f t="shared" si="395"/>
        <v>1336.4</v>
      </c>
      <c r="AG322" s="5919"/>
      <c r="AH322" s="2647">
        <v>32.130000000000003</v>
      </c>
      <c r="AI322" s="5924"/>
      <c r="AJ322" s="782">
        <f t="shared" si="421"/>
        <v>1368.5300000000002</v>
      </c>
      <c r="AK322" s="5919"/>
      <c r="AL322" s="2647"/>
      <c r="AM322" s="5885"/>
      <c r="AN322" s="781">
        <f t="shared" si="422"/>
        <v>242.56</v>
      </c>
      <c r="AO322" s="5941"/>
      <c r="AP322" s="782">
        <f t="shared" si="423"/>
        <v>1368.5300000000002</v>
      </c>
      <c r="AQ322" s="5919"/>
      <c r="AR322" s="2647"/>
      <c r="AS322" s="5924"/>
      <c r="AT322" s="782">
        <f t="shared" si="424"/>
        <v>1368.5300000000002</v>
      </c>
      <c r="AU322" s="5919"/>
      <c r="AV322" s="2647">
        <v>266.02999999999997</v>
      </c>
      <c r="AW322" s="5924"/>
      <c r="AX322" s="782">
        <f t="shared" si="425"/>
        <v>1634.5600000000002</v>
      </c>
      <c r="AY322" s="5919"/>
      <c r="AZ322" s="2647">
        <v>230.43</v>
      </c>
      <c r="BA322" s="5885"/>
      <c r="BB322" s="781">
        <f t="shared" si="426"/>
        <v>496.46</v>
      </c>
      <c r="BC322" s="5892"/>
      <c r="BD322" s="3562">
        <f t="shared" si="427"/>
        <v>739.02</v>
      </c>
      <c r="BE322" s="5924"/>
      <c r="BF322" s="782">
        <f t="shared" si="428"/>
        <v>1864.9900000000002</v>
      </c>
      <c r="BG322" s="26"/>
      <c r="BH322" s="26"/>
      <c r="BI322" s="26"/>
      <c r="BJ322" s="26"/>
      <c r="BK322" s="26"/>
    </row>
    <row r="323" spans="1:63" ht="15.75" thickBot="1" x14ac:dyDescent="0.3">
      <c r="A323" s="199"/>
      <c r="B323" s="3659" t="s">
        <v>888</v>
      </c>
      <c r="C323" s="3660" t="s">
        <v>1863</v>
      </c>
      <c r="D323" s="3690"/>
      <c r="E323" s="5919"/>
      <c r="F323" s="2647">
        <v>65.52</v>
      </c>
      <c r="G323" s="5919"/>
      <c r="H323" s="2647"/>
      <c r="I323" s="5941"/>
      <c r="J323" s="782">
        <f t="shared" si="389"/>
        <v>65.52</v>
      </c>
      <c r="K323" s="5919"/>
      <c r="L323" s="2647"/>
      <c r="M323" s="5885"/>
      <c r="N323" s="781">
        <f t="shared" si="390"/>
        <v>65.52</v>
      </c>
      <c r="O323" s="5919"/>
      <c r="P323" s="2647"/>
      <c r="Q323" s="5941"/>
      <c r="R323" s="782">
        <f t="shared" si="391"/>
        <v>65.52</v>
      </c>
      <c r="S323" s="5919"/>
      <c r="T323" s="2647"/>
      <c r="U323" s="5941"/>
      <c r="V323" s="782">
        <f t="shared" si="392"/>
        <v>65.52</v>
      </c>
      <c r="W323" s="5919"/>
      <c r="X323" s="2647"/>
      <c r="Y323" s="5885"/>
      <c r="Z323" s="781">
        <f t="shared" si="393"/>
        <v>0</v>
      </c>
      <c r="AA323" s="5892"/>
      <c r="AB323" s="3562">
        <f t="shared" si="394"/>
        <v>65.52</v>
      </c>
      <c r="AC323" s="5919"/>
      <c r="AD323" s="2940">
        <v>96.14</v>
      </c>
      <c r="AE323" s="5941"/>
      <c r="AF323" s="782">
        <f t="shared" si="395"/>
        <v>161.66</v>
      </c>
      <c r="AG323" s="5919"/>
      <c r="AH323" s="2940"/>
      <c r="AI323" s="5924"/>
      <c r="AJ323" s="782">
        <f t="shared" si="421"/>
        <v>161.66</v>
      </c>
      <c r="AK323" s="5919"/>
      <c r="AL323" s="2940"/>
      <c r="AM323" s="5885"/>
      <c r="AN323" s="781">
        <f t="shared" si="422"/>
        <v>96.14</v>
      </c>
      <c r="AO323" s="5941"/>
      <c r="AP323" s="782">
        <f t="shared" si="423"/>
        <v>161.66</v>
      </c>
      <c r="AQ323" s="5919"/>
      <c r="AR323" s="2940"/>
      <c r="AS323" s="5924"/>
      <c r="AT323" s="782">
        <f t="shared" si="424"/>
        <v>161.66</v>
      </c>
      <c r="AU323" s="5919"/>
      <c r="AV323" s="2940">
        <v>40.94</v>
      </c>
      <c r="AW323" s="5924"/>
      <c r="AX323" s="782">
        <f t="shared" si="425"/>
        <v>202.6</v>
      </c>
      <c r="AY323" s="5919"/>
      <c r="AZ323" s="2940"/>
      <c r="BA323" s="5885"/>
      <c r="BB323" s="781">
        <f t="shared" si="426"/>
        <v>40.94</v>
      </c>
      <c r="BC323" s="5892"/>
      <c r="BD323" s="3562">
        <f t="shared" si="427"/>
        <v>137.07999999999998</v>
      </c>
      <c r="BE323" s="5924"/>
      <c r="BF323" s="782">
        <f t="shared" si="428"/>
        <v>202.6</v>
      </c>
      <c r="BG323" s="26"/>
      <c r="BH323" s="26"/>
      <c r="BI323" s="26"/>
      <c r="BJ323" s="26"/>
      <c r="BK323" s="26"/>
    </row>
    <row r="324" spans="1:63" x14ac:dyDescent="0.25">
      <c r="A324" s="199"/>
      <c r="B324" s="2915" t="s">
        <v>902</v>
      </c>
      <c r="C324" s="3580" t="s">
        <v>1930</v>
      </c>
      <c r="D324" s="3691"/>
      <c r="E324" s="5956"/>
      <c r="F324" s="1201">
        <v>1041.25</v>
      </c>
      <c r="G324" s="5956"/>
      <c r="H324" s="1201">
        <v>397.19999999999993</v>
      </c>
      <c r="I324" s="5960"/>
      <c r="J324" s="782">
        <f t="shared" si="389"/>
        <v>1438.4499999999998</v>
      </c>
      <c r="K324" s="5956"/>
      <c r="L324" s="1201">
        <v>382.47</v>
      </c>
      <c r="M324" s="5883"/>
      <c r="N324" s="781">
        <f t="shared" si="390"/>
        <v>1820.9199999999998</v>
      </c>
      <c r="O324" s="5956"/>
      <c r="P324" s="1201">
        <v>760.8</v>
      </c>
      <c r="Q324" s="5939"/>
      <c r="R324" s="782">
        <f t="shared" si="391"/>
        <v>2581.7199999999998</v>
      </c>
      <c r="S324" s="5956"/>
      <c r="T324" s="1201">
        <v>929.64</v>
      </c>
      <c r="U324" s="5939"/>
      <c r="V324" s="782">
        <f t="shared" si="392"/>
        <v>3511.3599999999997</v>
      </c>
      <c r="W324" s="5956"/>
      <c r="X324" s="1201">
        <v>1787.6599999999999</v>
      </c>
      <c r="Y324" s="5883"/>
      <c r="Z324" s="781">
        <f t="shared" si="393"/>
        <v>3478.1</v>
      </c>
      <c r="AA324" s="5890"/>
      <c r="AB324" s="3562">
        <f t="shared" si="394"/>
        <v>5299.0199999999995</v>
      </c>
      <c r="AC324" s="5915"/>
      <c r="AD324" s="3692">
        <v>605.69000000000005</v>
      </c>
      <c r="AE324" s="5939"/>
      <c r="AF324" s="782">
        <f t="shared" si="395"/>
        <v>5904.7099999999991</v>
      </c>
      <c r="AG324" s="5915"/>
      <c r="AH324" s="3692">
        <v>65.48</v>
      </c>
      <c r="AI324" s="5924"/>
      <c r="AJ324" s="782">
        <f t="shared" si="421"/>
        <v>5970.1899999999987</v>
      </c>
      <c r="AK324" s="5915"/>
      <c r="AL324" s="3692">
        <v>702.28999999999985</v>
      </c>
      <c r="AM324" s="5883"/>
      <c r="AN324" s="781">
        <f t="shared" si="422"/>
        <v>1373.46</v>
      </c>
      <c r="AO324" s="5939"/>
      <c r="AP324" s="782">
        <f t="shared" si="423"/>
        <v>6672.4799999999987</v>
      </c>
      <c r="AQ324" s="5915"/>
      <c r="AR324" s="3692">
        <v>533.17000000000007</v>
      </c>
      <c r="AS324" s="5924"/>
      <c r="AT324" s="782">
        <f t="shared" si="424"/>
        <v>7205.6499999999987</v>
      </c>
      <c r="AU324" s="5915"/>
      <c r="AV324" s="3692">
        <v>298.52</v>
      </c>
      <c r="AW324" s="5924"/>
      <c r="AX324" s="782">
        <f t="shared" si="425"/>
        <v>7504.1699999999983</v>
      </c>
      <c r="AY324" s="5915"/>
      <c r="AZ324" s="3692">
        <v>1596.15</v>
      </c>
      <c r="BA324" s="5883"/>
      <c r="BB324" s="781">
        <f t="shared" si="426"/>
        <v>2427.84</v>
      </c>
      <c r="BC324" s="5890"/>
      <c r="BD324" s="3562">
        <f t="shared" si="427"/>
        <v>3801.3</v>
      </c>
      <c r="BE324" s="5924"/>
      <c r="BF324" s="782">
        <f t="shared" si="428"/>
        <v>9100.3199999999979</v>
      </c>
      <c r="BG324" s="26"/>
      <c r="BH324" s="26"/>
      <c r="BI324" s="26"/>
      <c r="BJ324" s="26"/>
      <c r="BK324" s="26"/>
    </row>
    <row r="325" spans="1:63" x14ac:dyDescent="0.25">
      <c r="A325" s="199"/>
      <c r="B325" s="850" t="s">
        <v>902</v>
      </c>
      <c r="C325" s="3626" t="s">
        <v>1406</v>
      </c>
      <c r="D325" s="3693"/>
      <c r="E325" s="5956"/>
      <c r="F325" s="1201"/>
      <c r="G325" s="5956"/>
      <c r="H325" s="1201"/>
      <c r="I325" s="5960"/>
      <c r="J325" s="782">
        <f t="shared" si="389"/>
        <v>0</v>
      </c>
      <c r="K325" s="5956"/>
      <c r="L325" s="1201"/>
      <c r="M325" s="5883"/>
      <c r="N325" s="781">
        <f t="shared" si="390"/>
        <v>0</v>
      </c>
      <c r="O325" s="5956"/>
      <c r="P325" s="1201"/>
      <c r="Q325" s="5939"/>
      <c r="R325" s="782">
        <f t="shared" si="391"/>
        <v>0</v>
      </c>
      <c r="S325" s="5956"/>
      <c r="T325" s="1201"/>
      <c r="U325" s="5939"/>
      <c r="V325" s="782">
        <f t="shared" si="392"/>
        <v>0</v>
      </c>
      <c r="W325" s="5956"/>
      <c r="X325" s="1201"/>
      <c r="Y325" s="5883"/>
      <c r="Z325" s="781">
        <f t="shared" si="393"/>
        <v>0</v>
      </c>
      <c r="AA325" s="5890"/>
      <c r="AB325" s="3562">
        <f t="shared" si="394"/>
        <v>0</v>
      </c>
      <c r="AC325" s="5915"/>
      <c r="AD325" s="1324"/>
      <c r="AE325" s="5939"/>
      <c r="AF325" s="782">
        <f t="shared" si="395"/>
        <v>0</v>
      </c>
      <c r="AG325" s="5915"/>
      <c r="AH325" s="1324"/>
      <c r="AI325" s="5924"/>
      <c r="AJ325" s="782">
        <f t="shared" si="421"/>
        <v>0</v>
      </c>
      <c r="AK325" s="5915"/>
      <c r="AL325" s="1324"/>
      <c r="AM325" s="5883"/>
      <c r="AN325" s="781">
        <f t="shared" si="422"/>
        <v>0</v>
      </c>
      <c r="AO325" s="5939"/>
      <c r="AP325" s="782">
        <f t="shared" si="423"/>
        <v>0</v>
      </c>
      <c r="AQ325" s="5915"/>
      <c r="AR325" s="1324"/>
      <c r="AS325" s="5924"/>
      <c r="AT325" s="782">
        <f t="shared" si="424"/>
        <v>0</v>
      </c>
      <c r="AU325" s="5915"/>
      <c r="AV325" s="1324"/>
      <c r="AW325" s="5924"/>
      <c r="AX325" s="782">
        <f t="shared" si="425"/>
        <v>0</v>
      </c>
      <c r="AY325" s="5915"/>
      <c r="AZ325" s="1324"/>
      <c r="BA325" s="5883"/>
      <c r="BB325" s="781">
        <f t="shared" si="426"/>
        <v>0</v>
      </c>
      <c r="BC325" s="5890"/>
      <c r="BD325" s="3562">
        <f t="shared" si="427"/>
        <v>0</v>
      </c>
      <c r="BE325" s="5924"/>
      <c r="BF325" s="782">
        <f t="shared" si="428"/>
        <v>0</v>
      </c>
      <c r="BG325" s="26"/>
      <c r="BH325" s="26"/>
      <c r="BI325" s="26"/>
      <c r="BJ325" s="26"/>
      <c r="BK325" s="26"/>
    </row>
    <row r="326" spans="1:63" x14ac:dyDescent="0.25">
      <c r="A326" s="199"/>
      <c r="B326" s="850" t="s">
        <v>890</v>
      </c>
      <c r="C326" s="3626" t="s">
        <v>1622</v>
      </c>
      <c r="D326" s="3693"/>
      <c r="E326" s="5956"/>
      <c r="F326" s="1201">
        <v>887.33</v>
      </c>
      <c r="G326" s="5956"/>
      <c r="H326" s="1201">
        <v>426.17</v>
      </c>
      <c r="I326" s="5960"/>
      <c r="J326" s="782">
        <f t="shared" si="389"/>
        <v>1313.5</v>
      </c>
      <c r="K326" s="5956"/>
      <c r="L326" s="1201">
        <v>128.68</v>
      </c>
      <c r="M326" s="5883"/>
      <c r="N326" s="781">
        <f t="shared" si="390"/>
        <v>1442.18</v>
      </c>
      <c r="O326" s="5956"/>
      <c r="P326" s="1201">
        <v>32.770000000000003</v>
      </c>
      <c r="Q326" s="5939"/>
      <c r="R326" s="782">
        <f t="shared" si="391"/>
        <v>1474.95</v>
      </c>
      <c r="S326" s="5956"/>
      <c r="T326" s="1201">
        <v>391.9</v>
      </c>
      <c r="U326" s="5939"/>
      <c r="V326" s="782">
        <f t="shared" si="392"/>
        <v>1866.85</v>
      </c>
      <c r="W326" s="5956"/>
      <c r="X326" s="1201">
        <v>709.66</v>
      </c>
      <c r="Y326" s="5883"/>
      <c r="Z326" s="781">
        <f t="shared" si="393"/>
        <v>1134.33</v>
      </c>
      <c r="AA326" s="5890"/>
      <c r="AB326" s="3562">
        <f t="shared" si="394"/>
        <v>2576.5100000000002</v>
      </c>
      <c r="AC326" s="5915"/>
      <c r="AD326" s="1324">
        <v>426.98</v>
      </c>
      <c r="AE326" s="5939"/>
      <c r="AF326" s="782">
        <f t="shared" si="395"/>
        <v>3003.4900000000002</v>
      </c>
      <c r="AG326" s="5915"/>
      <c r="AH326" s="1324">
        <v>64.819999999999993</v>
      </c>
      <c r="AI326" s="5924"/>
      <c r="AJ326" s="782">
        <f t="shared" si="421"/>
        <v>3068.3100000000004</v>
      </c>
      <c r="AK326" s="5915"/>
      <c r="AL326" s="1324">
        <v>393.33</v>
      </c>
      <c r="AM326" s="5883"/>
      <c r="AN326" s="781">
        <f t="shared" si="422"/>
        <v>885.13</v>
      </c>
      <c r="AO326" s="5939"/>
      <c r="AP326" s="782">
        <f t="shared" si="423"/>
        <v>3461.6400000000003</v>
      </c>
      <c r="AQ326" s="5915"/>
      <c r="AR326" s="1324">
        <v>137.19999999999999</v>
      </c>
      <c r="AS326" s="5924"/>
      <c r="AT326" s="782">
        <f t="shared" si="424"/>
        <v>3598.84</v>
      </c>
      <c r="AU326" s="5915"/>
      <c r="AV326" s="1324">
        <v>229.29</v>
      </c>
      <c r="AW326" s="5924"/>
      <c r="AX326" s="782">
        <f t="shared" si="425"/>
        <v>3828.13</v>
      </c>
      <c r="AY326" s="5915"/>
      <c r="AZ326" s="1324">
        <v>849.47</v>
      </c>
      <c r="BA326" s="5883"/>
      <c r="BB326" s="781">
        <f t="shared" si="426"/>
        <v>1215.96</v>
      </c>
      <c r="BC326" s="5890"/>
      <c r="BD326" s="3562">
        <f t="shared" si="427"/>
        <v>2101.09</v>
      </c>
      <c r="BE326" s="5924"/>
      <c r="BF326" s="782">
        <f t="shared" si="428"/>
        <v>4677.6000000000004</v>
      </c>
      <c r="BG326" s="26"/>
      <c r="BH326" s="26"/>
      <c r="BI326" s="26"/>
      <c r="BJ326" s="26"/>
      <c r="BK326" s="26"/>
    </row>
    <row r="327" spans="1:63" x14ac:dyDescent="0.25">
      <c r="A327" s="199"/>
      <c r="B327" s="3697" t="s">
        <v>890</v>
      </c>
      <c r="C327" s="3626" t="s">
        <v>900</v>
      </c>
      <c r="D327" s="3693"/>
      <c r="E327" s="5956"/>
      <c r="F327" s="1201"/>
      <c r="G327" s="5956"/>
      <c r="H327" s="1201"/>
      <c r="I327" s="5960"/>
      <c r="J327" s="782">
        <f t="shared" si="389"/>
        <v>0</v>
      </c>
      <c r="K327" s="5956"/>
      <c r="L327" s="1201"/>
      <c r="M327" s="5883"/>
      <c r="N327" s="781">
        <f t="shared" si="390"/>
        <v>0</v>
      </c>
      <c r="O327" s="5956"/>
      <c r="P327" s="1201"/>
      <c r="Q327" s="5939"/>
      <c r="R327" s="782">
        <f t="shared" si="391"/>
        <v>0</v>
      </c>
      <c r="S327" s="5956"/>
      <c r="T327" s="1201"/>
      <c r="U327" s="5939"/>
      <c r="V327" s="782">
        <f t="shared" si="392"/>
        <v>0</v>
      </c>
      <c r="W327" s="5956"/>
      <c r="X327" s="1201">
        <v>493.1</v>
      </c>
      <c r="Y327" s="5883"/>
      <c r="Z327" s="781">
        <f t="shared" si="393"/>
        <v>493.1</v>
      </c>
      <c r="AA327" s="5890"/>
      <c r="AB327" s="3562">
        <f t="shared" si="394"/>
        <v>493.1</v>
      </c>
      <c r="AC327" s="5915"/>
      <c r="AD327" s="1324"/>
      <c r="AE327" s="5939"/>
      <c r="AF327" s="782">
        <f t="shared" si="395"/>
        <v>493.1</v>
      </c>
      <c r="AG327" s="5915"/>
      <c r="AH327" s="1324">
        <v>63.18</v>
      </c>
      <c r="AI327" s="5924"/>
      <c r="AJ327" s="782">
        <f t="shared" si="421"/>
        <v>556.28</v>
      </c>
      <c r="AK327" s="5915"/>
      <c r="AL327" s="1324">
        <v>63.28</v>
      </c>
      <c r="AM327" s="5883"/>
      <c r="AN327" s="781">
        <f t="shared" si="422"/>
        <v>126.46000000000001</v>
      </c>
      <c r="AO327" s="5939"/>
      <c r="AP327" s="782">
        <f t="shared" si="423"/>
        <v>619.55999999999995</v>
      </c>
      <c r="AQ327" s="5915"/>
      <c r="AR327" s="1324"/>
      <c r="AS327" s="5924"/>
      <c r="AT327" s="782">
        <f t="shared" si="424"/>
        <v>619.55999999999995</v>
      </c>
      <c r="AU327" s="5915"/>
      <c r="AV327" s="1324">
        <v>126.03999999999999</v>
      </c>
      <c r="AW327" s="5924"/>
      <c r="AX327" s="782">
        <f t="shared" si="425"/>
        <v>745.59999999999991</v>
      </c>
      <c r="AY327" s="5915"/>
      <c r="AZ327" s="1324"/>
      <c r="BA327" s="5883"/>
      <c r="BB327" s="781">
        <f t="shared" si="426"/>
        <v>126.03999999999999</v>
      </c>
      <c r="BC327" s="5890"/>
      <c r="BD327" s="3562">
        <f t="shared" si="427"/>
        <v>252.5</v>
      </c>
      <c r="BE327" s="5924"/>
      <c r="BF327" s="782">
        <f t="shared" si="428"/>
        <v>745.59999999999991</v>
      </c>
      <c r="BG327" s="26"/>
      <c r="BH327" s="26"/>
      <c r="BI327" s="26"/>
      <c r="BJ327" s="26"/>
      <c r="BK327" s="26"/>
    </row>
    <row r="328" spans="1:63" x14ac:dyDescent="0.25">
      <c r="A328" s="199"/>
      <c r="B328" s="3697" t="s">
        <v>890</v>
      </c>
      <c r="C328" s="3626" t="s">
        <v>2104</v>
      </c>
      <c r="D328" s="3693"/>
      <c r="E328" s="5956"/>
      <c r="F328" s="1201"/>
      <c r="G328" s="5956"/>
      <c r="H328" s="1201"/>
      <c r="I328" s="5960"/>
      <c r="J328" s="782">
        <f t="shared" si="389"/>
        <v>0</v>
      </c>
      <c r="K328" s="5956"/>
      <c r="L328" s="1201">
        <v>316.52</v>
      </c>
      <c r="M328" s="5883"/>
      <c r="N328" s="781">
        <f t="shared" si="390"/>
        <v>316.52</v>
      </c>
      <c r="O328" s="5956"/>
      <c r="P328" s="1201"/>
      <c r="Q328" s="5939"/>
      <c r="R328" s="782">
        <f t="shared" si="391"/>
        <v>316.52</v>
      </c>
      <c r="S328" s="5956"/>
      <c r="T328" s="1201"/>
      <c r="U328" s="5939"/>
      <c r="V328" s="782">
        <f t="shared" si="392"/>
        <v>316.52</v>
      </c>
      <c r="W328" s="5956"/>
      <c r="X328" s="1201"/>
      <c r="Y328" s="5883"/>
      <c r="Z328" s="781">
        <f t="shared" si="393"/>
        <v>0</v>
      </c>
      <c r="AA328" s="5890"/>
      <c r="AB328" s="3562">
        <f t="shared" si="394"/>
        <v>316.52</v>
      </c>
      <c r="AC328" s="5915"/>
      <c r="AD328" s="1324"/>
      <c r="AE328" s="5939"/>
      <c r="AF328" s="782">
        <f t="shared" si="395"/>
        <v>316.52</v>
      </c>
      <c r="AG328" s="5915"/>
      <c r="AH328" s="1324"/>
      <c r="AI328" s="5924"/>
      <c r="AJ328" s="782">
        <f t="shared" si="421"/>
        <v>316.52</v>
      </c>
      <c r="AK328" s="5915"/>
      <c r="AL328" s="1324"/>
      <c r="AM328" s="5883"/>
      <c r="AN328" s="781">
        <f t="shared" si="422"/>
        <v>0</v>
      </c>
      <c r="AO328" s="5939"/>
      <c r="AP328" s="782">
        <f t="shared" si="423"/>
        <v>316.52</v>
      </c>
      <c r="AQ328" s="5915"/>
      <c r="AR328" s="1324"/>
      <c r="AS328" s="5924"/>
      <c r="AT328" s="782">
        <f t="shared" si="424"/>
        <v>316.52</v>
      </c>
      <c r="AU328" s="5915"/>
      <c r="AV328" s="1324">
        <v>189.85999999999999</v>
      </c>
      <c r="AW328" s="5924"/>
      <c r="AX328" s="782">
        <f t="shared" si="425"/>
        <v>506.38</v>
      </c>
      <c r="AY328" s="5915"/>
      <c r="AZ328" s="1324">
        <v>128.1</v>
      </c>
      <c r="BA328" s="5883"/>
      <c r="BB328" s="781">
        <f t="shared" si="426"/>
        <v>317.95999999999998</v>
      </c>
      <c r="BC328" s="5890"/>
      <c r="BD328" s="3562">
        <f t="shared" si="427"/>
        <v>317.95999999999998</v>
      </c>
      <c r="BE328" s="5924"/>
      <c r="BF328" s="782">
        <f t="shared" si="428"/>
        <v>634.48</v>
      </c>
      <c r="BG328" s="26"/>
      <c r="BH328" s="26"/>
      <c r="BI328" s="26"/>
      <c r="BJ328" s="26"/>
      <c r="BK328" s="26"/>
    </row>
    <row r="329" spans="1:63" x14ac:dyDescent="0.25">
      <c r="A329" s="199"/>
      <c r="B329" s="3697" t="s">
        <v>890</v>
      </c>
      <c r="C329" s="3626" t="s">
        <v>920</v>
      </c>
      <c r="D329" s="3693"/>
      <c r="E329" s="5956"/>
      <c r="F329" s="1201">
        <v>381.6</v>
      </c>
      <c r="G329" s="5956"/>
      <c r="H329" s="1201"/>
      <c r="I329" s="5960"/>
      <c r="J329" s="782">
        <f t="shared" ref="J329:J396" si="429">F329+H329</f>
        <v>381.6</v>
      </c>
      <c r="K329" s="5956"/>
      <c r="L329" s="1201"/>
      <c r="M329" s="5883"/>
      <c r="N329" s="781">
        <f t="shared" ref="N329:N396" si="430">J329+L329</f>
        <v>381.6</v>
      </c>
      <c r="O329" s="5956"/>
      <c r="P329" s="1201"/>
      <c r="Q329" s="5939"/>
      <c r="R329" s="782">
        <f t="shared" ref="R329:R396" si="431">N329+P329</f>
        <v>381.6</v>
      </c>
      <c r="S329" s="5956"/>
      <c r="T329" s="1201">
        <v>126.98</v>
      </c>
      <c r="U329" s="5939"/>
      <c r="V329" s="782">
        <f t="shared" ref="V329:V396" si="432">R329+T329</f>
        <v>508.58000000000004</v>
      </c>
      <c r="W329" s="5956"/>
      <c r="X329" s="1201">
        <v>62</v>
      </c>
      <c r="Y329" s="5883"/>
      <c r="Z329" s="781">
        <f t="shared" ref="Z329:Z396" si="433">P329+T329+X329</f>
        <v>188.98000000000002</v>
      </c>
      <c r="AA329" s="5890"/>
      <c r="AB329" s="3562">
        <f t="shared" ref="AB329:AB396" si="434">N329+Z329</f>
        <v>570.58000000000004</v>
      </c>
      <c r="AC329" s="5915"/>
      <c r="AD329" s="1324">
        <v>128.69999999999999</v>
      </c>
      <c r="AE329" s="5939"/>
      <c r="AF329" s="782">
        <f t="shared" ref="AF329:AF396" si="435">AB329+AD329</f>
        <v>699.28</v>
      </c>
      <c r="AG329" s="5915"/>
      <c r="AH329" s="1324">
        <v>65</v>
      </c>
      <c r="AI329" s="5924"/>
      <c r="AJ329" s="782">
        <f t="shared" si="421"/>
        <v>764.28</v>
      </c>
      <c r="AK329" s="5915"/>
      <c r="AL329" s="1324">
        <v>65.36</v>
      </c>
      <c r="AM329" s="5883"/>
      <c r="AN329" s="781">
        <f t="shared" si="422"/>
        <v>259.06</v>
      </c>
      <c r="AO329" s="5939"/>
      <c r="AP329" s="782">
        <f t="shared" si="423"/>
        <v>829.64</v>
      </c>
      <c r="AQ329" s="5915"/>
      <c r="AR329" s="1324">
        <v>124.64</v>
      </c>
      <c r="AS329" s="5924"/>
      <c r="AT329" s="782">
        <f t="shared" si="424"/>
        <v>954.28</v>
      </c>
      <c r="AU329" s="5915"/>
      <c r="AV329" s="1324"/>
      <c r="AW329" s="5924"/>
      <c r="AX329" s="782">
        <f t="shared" si="425"/>
        <v>954.28</v>
      </c>
      <c r="AY329" s="5915"/>
      <c r="AZ329" s="1324"/>
      <c r="BA329" s="5883"/>
      <c r="BB329" s="781">
        <f t="shared" si="426"/>
        <v>124.64</v>
      </c>
      <c r="BC329" s="5890"/>
      <c r="BD329" s="3562">
        <f t="shared" si="427"/>
        <v>383.7</v>
      </c>
      <c r="BE329" s="5924"/>
      <c r="BF329" s="782">
        <f t="shared" si="428"/>
        <v>954.28</v>
      </c>
      <c r="BG329" s="26"/>
      <c r="BH329" s="26"/>
      <c r="BI329" s="26"/>
      <c r="BJ329" s="26"/>
      <c r="BK329" s="26"/>
    </row>
    <row r="330" spans="1:63" x14ac:dyDescent="0.25">
      <c r="A330" s="199"/>
      <c r="B330" s="3697" t="s">
        <v>890</v>
      </c>
      <c r="C330" s="3626" t="s">
        <v>1859</v>
      </c>
      <c r="D330" s="3693"/>
      <c r="E330" s="5956"/>
      <c r="F330" s="2647">
        <v>4820.93</v>
      </c>
      <c r="G330" s="5956"/>
      <c r="H330" s="2647">
        <v>4860.93</v>
      </c>
      <c r="I330" s="5960"/>
      <c r="J330" s="782">
        <f t="shared" si="429"/>
        <v>9681.86</v>
      </c>
      <c r="K330" s="5956"/>
      <c r="L330" s="2647">
        <v>3401.43</v>
      </c>
      <c r="M330" s="5885"/>
      <c r="N330" s="781">
        <f t="shared" si="430"/>
        <v>13083.29</v>
      </c>
      <c r="O330" s="5956"/>
      <c r="P330" s="2647">
        <v>3567.51</v>
      </c>
      <c r="Q330" s="5941"/>
      <c r="R330" s="782">
        <f t="shared" si="431"/>
        <v>16650.800000000003</v>
      </c>
      <c r="S330" s="5956"/>
      <c r="T330" s="2647">
        <v>3336.9500000000003</v>
      </c>
      <c r="U330" s="5941"/>
      <c r="V330" s="782">
        <f t="shared" si="432"/>
        <v>19987.750000000004</v>
      </c>
      <c r="W330" s="5956"/>
      <c r="X330" s="2647">
        <v>5658.170000000001</v>
      </c>
      <c r="Y330" s="5885"/>
      <c r="Z330" s="781">
        <f t="shared" si="433"/>
        <v>12562.630000000001</v>
      </c>
      <c r="AA330" s="5892"/>
      <c r="AB330" s="3562">
        <f t="shared" si="434"/>
        <v>25645.920000000002</v>
      </c>
      <c r="AC330" s="5915"/>
      <c r="AD330" s="1324">
        <v>3452.3299999999995</v>
      </c>
      <c r="AE330" s="5941"/>
      <c r="AF330" s="782">
        <f t="shared" si="435"/>
        <v>29098.25</v>
      </c>
      <c r="AG330" s="5915"/>
      <c r="AH330" s="1324">
        <v>159.82</v>
      </c>
      <c r="AI330" s="5924"/>
      <c r="AJ330" s="782">
        <f t="shared" si="421"/>
        <v>29258.07</v>
      </c>
      <c r="AK330" s="5915"/>
      <c r="AL330" s="1324">
        <v>3611.56</v>
      </c>
      <c r="AM330" s="5885"/>
      <c r="AN330" s="781">
        <f t="shared" si="422"/>
        <v>7223.7099999999991</v>
      </c>
      <c r="AO330" s="5941"/>
      <c r="AP330" s="782">
        <f t="shared" si="423"/>
        <v>32869.629999999997</v>
      </c>
      <c r="AQ330" s="5915"/>
      <c r="AR330" s="1324">
        <v>4958.55</v>
      </c>
      <c r="AS330" s="5924"/>
      <c r="AT330" s="782">
        <f t="shared" si="424"/>
        <v>37828.18</v>
      </c>
      <c r="AU330" s="5915"/>
      <c r="AV330" s="1324">
        <v>3605.9599999999996</v>
      </c>
      <c r="AW330" s="5924"/>
      <c r="AX330" s="782">
        <f t="shared" si="425"/>
        <v>41434.14</v>
      </c>
      <c r="AY330" s="5915"/>
      <c r="AZ330" s="1324">
        <v>4446.3399999999992</v>
      </c>
      <c r="BA330" s="5885"/>
      <c r="BB330" s="781">
        <f t="shared" si="426"/>
        <v>13010.849999999999</v>
      </c>
      <c r="BC330" s="5892"/>
      <c r="BD330" s="3562">
        <f t="shared" si="427"/>
        <v>20234.559999999998</v>
      </c>
      <c r="BE330" s="5924"/>
      <c r="BF330" s="782">
        <f t="shared" si="428"/>
        <v>45880.479999999996</v>
      </c>
      <c r="BG330" s="26"/>
      <c r="BH330" s="26"/>
      <c r="BI330" s="26"/>
      <c r="BJ330" s="26"/>
      <c r="BK330" s="26"/>
    </row>
    <row r="331" spans="1:63" x14ac:dyDescent="0.25">
      <c r="A331" s="199"/>
      <c r="B331" s="3697" t="s">
        <v>890</v>
      </c>
      <c r="C331" s="3626" t="s">
        <v>1853</v>
      </c>
      <c r="D331" s="3693"/>
      <c r="E331" s="5956"/>
      <c r="F331" s="2647">
        <v>524.95000000000005</v>
      </c>
      <c r="G331" s="5956"/>
      <c r="H331" s="2647">
        <v>1039.51</v>
      </c>
      <c r="I331" s="5960"/>
      <c r="J331" s="782">
        <f t="shared" si="429"/>
        <v>1564.46</v>
      </c>
      <c r="K331" s="5956"/>
      <c r="L331" s="2647">
        <v>945.02</v>
      </c>
      <c r="M331" s="5885"/>
      <c r="N331" s="781">
        <f t="shared" si="430"/>
        <v>2509.48</v>
      </c>
      <c r="O331" s="5956"/>
      <c r="P331" s="2647">
        <v>382.7</v>
      </c>
      <c r="Q331" s="5941"/>
      <c r="R331" s="782">
        <f t="shared" si="431"/>
        <v>2892.18</v>
      </c>
      <c r="S331" s="5956"/>
      <c r="T331" s="2647">
        <v>283.47999999999996</v>
      </c>
      <c r="U331" s="5941"/>
      <c r="V331" s="782">
        <f t="shared" si="432"/>
        <v>3175.66</v>
      </c>
      <c r="W331" s="5956"/>
      <c r="X331" s="2647"/>
      <c r="Y331" s="5885"/>
      <c r="Z331" s="781">
        <f t="shared" si="433"/>
        <v>666.18</v>
      </c>
      <c r="AA331" s="5892"/>
      <c r="AB331" s="3562">
        <f t="shared" si="434"/>
        <v>3175.66</v>
      </c>
      <c r="AC331" s="5915"/>
      <c r="AD331" s="1324">
        <v>599.81999999999994</v>
      </c>
      <c r="AE331" s="5941"/>
      <c r="AF331" s="782">
        <f t="shared" si="435"/>
        <v>3775.4799999999996</v>
      </c>
      <c r="AG331" s="5915"/>
      <c r="AH331" s="1324">
        <v>95.47</v>
      </c>
      <c r="AI331" s="5924"/>
      <c r="AJ331" s="782">
        <f t="shared" si="421"/>
        <v>3870.9499999999994</v>
      </c>
      <c r="AK331" s="5915"/>
      <c r="AL331" s="1324">
        <v>545.05999999999995</v>
      </c>
      <c r="AM331" s="5885"/>
      <c r="AN331" s="781">
        <f t="shared" si="422"/>
        <v>1240.3499999999999</v>
      </c>
      <c r="AO331" s="5941"/>
      <c r="AP331" s="782">
        <f t="shared" si="423"/>
        <v>4416.0099999999993</v>
      </c>
      <c r="AQ331" s="5915"/>
      <c r="AR331" s="1324">
        <v>503.67999999999995</v>
      </c>
      <c r="AS331" s="5924"/>
      <c r="AT331" s="782">
        <f t="shared" si="424"/>
        <v>4919.6899999999996</v>
      </c>
      <c r="AU331" s="5915"/>
      <c r="AV331" s="1324">
        <v>943.61999999999989</v>
      </c>
      <c r="AW331" s="5924"/>
      <c r="AX331" s="782">
        <f t="shared" si="425"/>
        <v>5863.3099999999995</v>
      </c>
      <c r="AY331" s="5915"/>
      <c r="AZ331" s="1324">
        <v>189.32</v>
      </c>
      <c r="BA331" s="5885"/>
      <c r="BB331" s="781">
        <f t="shared" si="426"/>
        <v>1636.6199999999997</v>
      </c>
      <c r="BC331" s="5892"/>
      <c r="BD331" s="3562">
        <f t="shared" si="427"/>
        <v>2876.9699999999993</v>
      </c>
      <c r="BE331" s="5924"/>
      <c r="BF331" s="782">
        <f t="shared" si="428"/>
        <v>6052.6299999999992</v>
      </c>
      <c r="BG331" s="26"/>
      <c r="BH331" s="26"/>
      <c r="BI331" s="26"/>
      <c r="BJ331" s="26"/>
      <c r="BK331" s="26"/>
    </row>
    <row r="332" spans="1:63" x14ac:dyDescent="0.25">
      <c r="A332" s="199"/>
      <c r="B332" s="850" t="s">
        <v>890</v>
      </c>
      <c r="C332" s="3626" t="s">
        <v>1621</v>
      </c>
      <c r="D332" s="3693"/>
      <c r="E332" s="5956"/>
      <c r="F332" s="1201"/>
      <c r="G332" s="5956"/>
      <c r="H332" s="1201"/>
      <c r="I332" s="5960"/>
      <c r="J332" s="782">
        <f t="shared" si="429"/>
        <v>0</v>
      </c>
      <c r="K332" s="5956"/>
      <c r="L332" s="1201"/>
      <c r="M332" s="5883"/>
      <c r="N332" s="781">
        <f t="shared" si="430"/>
        <v>0</v>
      </c>
      <c r="O332" s="5956"/>
      <c r="P332" s="1201"/>
      <c r="Q332" s="5939"/>
      <c r="R332" s="782">
        <f t="shared" si="431"/>
        <v>0</v>
      </c>
      <c r="S332" s="5956"/>
      <c r="T332" s="1201"/>
      <c r="U332" s="5939"/>
      <c r="V332" s="782">
        <f t="shared" si="432"/>
        <v>0</v>
      </c>
      <c r="W332" s="5956"/>
      <c r="X332" s="1201"/>
      <c r="Y332" s="5883"/>
      <c r="Z332" s="781">
        <f t="shared" si="433"/>
        <v>0</v>
      </c>
      <c r="AA332" s="5890"/>
      <c r="AB332" s="3562">
        <f t="shared" si="434"/>
        <v>0</v>
      </c>
      <c r="AC332" s="5915"/>
      <c r="AD332" s="1324"/>
      <c r="AE332" s="5939"/>
      <c r="AF332" s="782">
        <f t="shared" si="435"/>
        <v>0</v>
      </c>
      <c r="AG332" s="5915"/>
      <c r="AH332" s="1324"/>
      <c r="AI332" s="5924"/>
      <c r="AJ332" s="782">
        <f t="shared" si="421"/>
        <v>0</v>
      </c>
      <c r="AK332" s="5915"/>
      <c r="AL332" s="1324"/>
      <c r="AM332" s="5883"/>
      <c r="AN332" s="781">
        <f t="shared" si="422"/>
        <v>0</v>
      </c>
      <c r="AO332" s="5939"/>
      <c r="AP332" s="782">
        <f t="shared" si="423"/>
        <v>0</v>
      </c>
      <c r="AQ332" s="5915"/>
      <c r="AR332" s="1324"/>
      <c r="AS332" s="5924"/>
      <c r="AT332" s="782">
        <f t="shared" si="424"/>
        <v>0</v>
      </c>
      <c r="AU332" s="5915"/>
      <c r="AV332" s="1324"/>
      <c r="AW332" s="5924"/>
      <c r="AX332" s="782">
        <f t="shared" si="425"/>
        <v>0</v>
      </c>
      <c r="AY332" s="5915"/>
      <c r="AZ332" s="1324"/>
      <c r="BA332" s="5883"/>
      <c r="BB332" s="781">
        <f t="shared" si="426"/>
        <v>0</v>
      </c>
      <c r="BC332" s="5890"/>
      <c r="BD332" s="3562">
        <f t="shared" si="427"/>
        <v>0</v>
      </c>
      <c r="BE332" s="5924"/>
      <c r="BF332" s="782">
        <f t="shared" si="428"/>
        <v>0</v>
      </c>
      <c r="BG332" s="26"/>
      <c r="BH332" s="26"/>
      <c r="BI332" s="26"/>
      <c r="BJ332" s="26"/>
      <c r="BK332" s="26"/>
    </row>
    <row r="333" spans="1:63" x14ac:dyDescent="0.25">
      <c r="A333" s="199"/>
      <c r="B333" s="850" t="s">
        <v>890</v>
      </c>
      <c r="C333" s="3626" t="s">
        <v>1852</v>
      </c>
      <c r="D333" s="3693"/>
      <c r="E333" s="5956"/>
      <c r="F333" s="2647"/>
      <c r="G333" s="5956"/>
      <c r="H333" s="2647">
        <v>279.39</v>
      </c>
      <c r="I333" s="5960"/>
      <c r="J333" s="782">
        <f t="shared" si="429"/>
        <v>279.39</v>
      </c>
      <c r="K333" s="5956"/>
      <c r="L333" s="2647">
        <v>278.47000000000003</v>
      </c>
      <c r="M333" s="5885"/>
      <c r="N333" s="781">
        <f t="shared" si="430"/>
        <v>557.86</v>
      </c>
      <c r="O333" s="5956"/>
      <c r="P333" s="2647">
        <v>365.76</v>
      </c>
      <c r="Q333" s="5941"/>
      <c r="R333" s="782">
        <f t="shared" si="431"/>
        <v>923.62</v>
      </c>
      <c r="S333" s="5956"/>
      <c r="T333" s="2647">
        <v>176.61</v>
      </c>
      <c r="U333" s="5941"/>
      <c r="V333" s="782">
        <f t="shared" si="432"/>
        <v>1100.23</v>
      </c>
      <c r="W333" s="5956"/>
      <c r="X333" s="2647">
        <v>157.78</v>
      </c>
      <c r="Y333" s="5885"/>
      <c r="Z333" s="781">
        <f t="shared" si="433"/>
        <v>700.15</v>
      </c>
      <c r="AA333" s="5892"/>
      <c r="AB333" s="3562">
        <f t="shared" si="434"/>
        <v>1258.01</v>
      </c>
      <c r="AC333" s="5915"/>
      <c r="AD333" s="1324">
        <v>289.78999999999996</v>
      </c>
      <c r="AE333" s="5941"/>
      <c r="AF333" s="782">
        <f t="shared" si="435"/>
        <v>1547.8</v>
      </c>
      <c r="AG333" s="5915"/>
      <c r="AH333" s="1324"/>
      <c r="AI333" s="5924"/>
      <c r="AJ333" s="782">
        <f t="shared" si="421"/>
        <v>1547.8</v>
      </c>
      <c r="AK333" s="5915"/>
      <c r="AL333" s="1324"/>
      <c r="AM333" s="5885"/>
      <c r="AN333" s="781">
        <f t="shared" si="422"/>
        <v>289.78999999999996</v>
      </c>
      <c r="AO333" s="5941"/>
      <c r="AP333" s="782">
        <f t="shared" si="423"/>
        <v>1547.8</v>
      </c>
      <c r="AQ333" s="5915"/>
      <c r="AR333" s="1324">
        <v>173.64000000000001</v>
      </c>
      <c r="AS333" s="5924"/>
      <c r="AT333" s="782">
        <f t="shared" si="424"/>
        <v>1721.44</v>
      </c>
      <c r="AU333" s="5915"/>
      <c r="AV333" s="1324">
        <v>161.25</v>
      </c>
      <c r="AW333" s="5924"/>
      <c r="AX333" s="782">
        <f t="shared" si="425"/>
        <v>1882.69</v>
      </c>
      <c r="AY333" s="5915"/>
      <c r="AZ333" s="1324">
        <v>630.47</v>
      </c>
      <c r="BA333" s="5885"/>
      <c r="BB333" s="781">
        <f t="shared" si="426"/>
        <v>965.36</v>
      </c>
      <c r="BC333" s="5892"/>
      <c r="BD333" s="3562">
        <f t="shared" si="427"/>
        <v>1255.1500000000001</v>
      </c>
      <c r="BE333" s="5924"/>
      <c r="BF333" s="782">
        <f t="shared" si="428"/>
        <v>2513.16</v>
      </c>
      <c r="BG333" s="26"/>
      <c r="BH333" s="26"/>
      <c r="BI333" s="26"/>
      <c r="BJ333" s="26"/>
      <c r="BK333" s="26"/>
    </row>
    <row r="334" spans="1:63" ht="15.75" thickBot="1" x14ac:dyDescent="0.3">
      <c r="A334" s="199"/>
      <c r="B334" s="2919" t="s">
        <v>890</v>
      </c>
      <c r="C334" s="3589" t="s">
        <v>1864</v>
      </c>
      <c r="D334" s="3694"/>
      <c r="E334" s="5956"/>
      <c r="F334" s="2647"/>
      <c r="G334" s="5956"/>
      <c r="H334" s="2647"/>
      <c r="I334" s="5960"/>
      <c r="J334" s="782">
        <f t="shared" si="429"/>
        <v>0</v>
      </c>
      <c r="K334" s="5956"/>
      <c r="L334" s="2647">
        <v>314.94</v>
      </c>
      <c r="M334" s="5885"/>
      <c r="N334" s="781">
        <f t="shared" si="430"/>
        <v>314.94</v>
      </c>
      <c r="O334" s="5956"/>
      <c r="P334" s="2647">
        <v>105.56</v>
      </c>
      <c r="Q334" s="5941"/>
      <c r="R334" s="782">
        <f t="shared" si="431"/>
        <v>420.5</v>
      </c>
      <c r="S334" s="5956"/>
      <c r="T334" s="2647"/>
      <c r="U334" s="5941"/>
      <c r="V334" s="782">
        <f t="shared" si="432"/>
        <v>420.5</v>
      </c>
      <c r="W334" s="5956"/>
      <c r="X334" s="2647">
        <v>61.08</v>
      </c>
      <c r="Y334" s="5885"/>
      <c r="Z334" s="781">
        <f t="shared" si="433"/>
        <v>166.64</v>
      </c>
      <c r="AA334" s="5892"/>
      <c r="AB334" s="3562">
        <f t="shared" si="434"/>
        <v>481.58</v>
      </c>
      <c r="AC334" s="5915"/>
      <c r="AD334" s="3695">
        <v>118.91</v>
      </c>
      <c r="AE334" s="5941"/>
      <c r="AF334" s="782">
        <f t="shared" si="435"/>
        <v>600.49</v>
      </c>
      <c r="AG334" s="5915"/>
      <c r="AH334" s="3695">
        <v>26.84</v>
      </c>
      <c r="AI334" s="5924"/>
      <c r="AJ334" s="782">
        <f t="shared" si="421"/>
        <v>627.33000000000004</v>
      </c>
      <c r="AK334" s="5915"/>
      <c r="AL334" s="3695">
        <v>222.71</v>
      </c>
      <c r="AM334" s="5885"/>
      <c r="AN334" s="781">
        <f t="shared" si="422"/>
        <v>368.46000000000004</v>
      </c>
      <c r="AO334" s="5941"/>
      <c r="AP334" s="782">
        <f t="shared" si="423"/>
        <v>850.04000000000008</v>
      </c>
      <c r="AQ334" s="5915"/>
      <c r="AR334" s="3695">
        <v>167.10000000000002</v>
      </c>
      <c r="AS334" s="5924"/>
      <c r="AT334" s="782">
        <f t="shared" si="424"/>
        <v>1017.1400000000001</v>
      </c>
      <c r="AU334" s="5915"/>
      <c r="AV334" s="3695"/>
      <c r="AW334" s="5924"/>
      <c r="AX334" s="782">
        <f t="shared" si="425"/>
        <v>1017.1400000000001</v>
      </c>
      <c r="AY334" s="5915"/>
      <c r="AZ334" s="3695"/>
      <c r="BA334" s="5885"/>
      <c r="BB334" s="781">
        <f t="shared" si="426"/>
        <v>167.10000000000002</v>
      </c>
      <c r="BC334" s="5892"/>
      <c r="BD334" s="3562">
        <f t="shared" si="427"/>
        <v>535.56000000000006</v>
      </c>
      <c r="BE334" s="5924"/>
      <c r="BF334" s="782">
        <f t="shared" si="428"/>
        <v>1017.1400000000001</v>
      </c>
      <c r="BG334" s="26"/>
      <c r="BH334" s="26"/>
      <c r="BI334" s="26"/>
      <c r="BJ334" s="26"/>
      <c r="BK334" s="26"/>
    </row>
    <row r="335" spans="1:63" x14ac:dyDescent="0.25">
      <c r="A335" s="199"/>
      <c r="B335" s="3673" t="s">
        <v>1568</v>
      </c>
      <c r="C335" s="3599" t="s">
        <v>1567</v>
      </c>
      <c r="D335" s="3599"/>
      <c r="E335" s="5918"/>
      <c r="F335" s="1201"/>
      <c r="G335" s="5918"/>
      <c r="H335" s="1201"/>
      <c r="I335" s="5939"/>
      <c r="J335" s="782">
        <f t="shared" si="429"/>
        <v>0</v>
      </c>
      <c r="K335" s="5918"/>
      <c r="L335" s="1201"/>
      <c r="M335" s="5883"/>
      <c r="N335" s="781">
        <f t="shared" si="430"/>
        <v>0</v>
      </c>
      <c r="O335" s="5918"/>
      <c r="P335" s="1201"/>
      <c r="Q335" s="5939"/>
      <c r="R335" s="782">
        <f t="shared" si="431"/>
        <v>0</v>
      </c>
      <c r="S335" s="5918"/>
      <c r="T335" s="1201"/>
      <c r="U335" s="5939"/>
      <c r="V335" s="782">
        <f t="shared" si="432"/>
        <v>0</v>
      </c>
      <c r="W335" s="5918"/>
      <c r="X335" s="1201"/>
      <c r="Y335" s="5883"/>
      <c r="Z335" s="781">
        <f t="shared" si="433"/>
        <v>0</v>
      </c>
      <c r="AA335" s="5890"/>
      <c r="AB335" s="3562">
        <f t="shared" si="434"/>
        <v>0</v>
      </c>
      <c r="AC335" s="5918"/>
      <c r="AD335" s="1202"/>
      <c r="AE335" s="5939"/>
      <c r="AF335" s="782">
        <f t="shared" si="435"/>
        <v>0</v>
      </c>
      <c r="AG335" s="5918"/>
      <c r="AH335" s="1202"/>
      <c r="AI335" s="5924"/>
      <c r="AJ335" s="782">
        <f t="shared" si="421"/>
        <v>0</v>
      </c>
      <c r="AK335" s="5918"/>
      <c r="AL335" s="1202"/>
      <c r="AM335" s="5883"/>
      <c r="AN335" s="781">
        <f t="shared" si="422"/>
        <v>0</v>
      </c>
      <c r="AO335" s="5939"/>
      <c r="AP335" s="782">
        <f t="shared" si="423"/>
        <v>0</v>
      </c>
      <c r="AQ335" s="5918"/>
      <c r="AR335" s="1202"/>
      <c r="AS335" s="5924"/>
      <c r="AT335" s="782">
        <f t="shared" si="424"/>
        <v>0</v>
      </c>
      <c r="AU335" s="5918"/>
      <c r="AV335" s="1202"/>
      <c r="AW335" s="5924"/>
      <c r="AX335" s="782">
        <f t="shared" si="425"/>
        <v>0</v>
      </c>
      <c r="AY335" s="5918"/>
      <c r="AZ335" s="1202"/>
      <c r="BA335" s="5883"/>
      <c r="BB335" s="781">
        <f t="shared" si="426"/>
        <v>0</v>
      </c>
      <c r="BC335" s="5890"/>
      <c r="BD335" s="3562">
        <f t="shared" si="427"/>
        <v>0</v>
      </c>
      <c r="BE335" s="5924"/>
      <c r="BF335" s="782">
        <f t="shared" si="428"/>
        <v>0</v>
      </c>
      <c r="BG335" s="26"/>
      <c r="BH335" s="26"/>
      <c r="BI335" s="26"/>
      <c r="BJ335" s="26"/>
      <c r="BK335" s="26"/>
    </row>
    <row r="336" spans="1:63" x14ac:dyDescent="0.25">
      <c r="A336" s="199"/>
      <c r="B336" s="3698" t="s">
        <v>1568</v>
      </c>
      <c r="C336" s="3630" t="s">
        <v>1704</v>
      </c>
      <c r="D336" s="3630"/>
      <c r="E336" s="5920"/>
      <c r="F336" s="2492"/>
      <c r="G336" s="5920"/>
      <c r="H336" s="2492"/>
      <c r="I336" s="5943"/>
      <c r="J336" s="782">
        <f t="shared" si="429"/>
        <v>0</v>
      </c>
      <c r="K336" s="5920"/>
      <c r="L336" s="2492"/>
      <c r="M336" s="5887"/>
      <c r="N336" s="781">
        <f t="shared" si="430"/>
        <v>0</v>
      </c>
      <c r="O336" s="5920"/>
      <c r="P336" s="2492"/>
      <c r="Q336" s="5943"/>
      <c r="R336" s="782">
        <f t="shared" si="431"/>
        <v>0</v>
      </c>
      <c r="S336" s="5920"/>
      <c r="T336" s="2492"/>
      <c r="U336" s="5943"/>
      <c r="V336" s="782">
        <f t="shared" si="432"/>
        <v>0</v>
      </c>
      <c r="W336" s="5920"/>
      <c r="X336" s="2492"/>
      <c r="Y336" s="5887"/>
      <c r="Z336" s="781">
        <f t="shared" si="433"/>
        <v>0</v>
      </c>
      <c r="AA336" s="5894"/>
      <c r="AB336" s="3562">
        <f t="shared" si="434"/>
        <v>0</v>
      </c>
      <c r="AC336" s="5920"/>
      <c r="AD336" s="2492"/>
      <c r="AE336" s="5943"/>
      <c r="AF336" s="782">
        <f t="shared" si="435"/>
        <v>0</v>
      </c>
      <c r="AG336" s="5920"/>
      <c r="AH336" s="2492"/>
      <c r="AI336" s="5924"/>
      <c r="AJ336" s="782">
        <f t="shared" si="421"/>
        <v>0</v>
      </c>
      <c r="AK336" s="5920"/>
      <c r="AL336" s="2492"/>
      <c r="AM336" s="5887"/>
      <c r="AN336" s="781">
        <f t="shared" si="422"/>
        <v>0</v>
      </c>
      <c r="AO336" s="5943"/>
      <c r="AP336" s="782">
        <f t="shared" si="423"/>
        <v>0</v>
      </c>
      <c r="AQ336" s="5920"/>
      <c r="AR336" s="2492"/>
      <c r="AS336" s="5924"/>
      <c r="AT336" s="782">
        <f t="shared" si="424"/>
        <v>0</v>
      </c>
      <c r="AU336" s="5920"/>
      <c r="AV336" s="2492"/>
      <c r="AW336" s="5924"/>
      <c r="AX336" s="782">
        <f t="shared" si="425"/>
        <v>0</v>
      </c>
      <c r="AY336" s="5920"/>
      <c r="AZ336" s="2492"/>
      <c r="BA336" s="5887"/>
      <c r="BB336" s="781">
        <f t="shared" si="426"/>
        <v>0</v>
      </c>
      <c r="BC336" s="5894"/>
      <c r="BD336" s="3562">
        <f t="shared" si="427"/>
        <v>0</v>
      </c>
      <c r="BE336" s="5924"/>
      <c r="BF336" s="782">
        <f t="shared" si="428"/>
        <v>0</v>
      </c>
      <c r="BG336" s="26"/>
      <c r="BH336" s="26"/>
      <c r="BI336" s="26"/>
      <c r="BJ336" s="26"/>
      <c r="BK336" s="26"/>
    </row>
    <row r="337" spans="1:63" x14ac:dyDescent="0.25">
      <c r="A337" s="199"/>
      <c r="B337" s="3696" t="s">
        <v>1568</v>
      </c>
      <c r="C337" s="3626" t="s">
        <v>1854</v>
      </c>
      <c r="D337" s="3626"/>
      <c r="E337" s="5919"/>
      <c r="F337" s="2647">
        <v>31.51</v>
      </c>
      <c r="G337" s="5919"/>
      <c r="H337" s="2647">
        <v>683.91</v>
      </c>
      <c r="I337" s="5941"/>
      <c r="J337" s="782">
        <f t="shared" si="429"/>
        <v>715.42</v>
      </c>
      <c r="K337" s="5919"/>
      <c r="L337" s="2647">
        <v>1194.0900000000001</v>
      </c>
      <c r="M337" s="5885"/>
      <c r="N337" s="781">
        <f t="shared" si="430"/>
        <v>1909.5100000000002</v>
      </c>
      <c r="O337" s="5919"/>
      <c r="P337" s="2647">
        <v>337.28999999999996</v>
      </c>
      <c r="Q337" s="5941"/>
      <c r="R337" s="782">
        <f t="shared" si="431"/>
        <v>2246.8000000000002</v>
      </c>
      <c r="S337" s="5919"/>
      <c r="T337" s="2647">
        <v>840.91</v>
      </c>
      <c r="U337" s="5941"/>
      <c r="V337" s="782">
        <f t="shared" si="432"/>
        <v>3087.71</v>
      </c>
      <c r="W337" s="5919"/>
      <c r="X337" s="2647"/>
      <c r="Y337" s="5885"/>
      <c r="Z337" s="781">
        <f t="shared" si="433"/>
        <v>1178.1999999999998</v>
      </c>
      <c r="AA337" s="5892"/>
      <c r="AB337" s="3562">
        <f t="shared" si="434"/>
        <v>3087.71</v>
      </c>
      <c r="AC337" s="5919"/>
      <c r="AD337" s="2647">
        <v>260.91999999999996</v>
      </c>
      <c r="AE337" s="5941"/>
      <c r="AF337" s="782">
        <f t="shared" si="435"/>
        <v>3348.63</v>
      </c>
      <c r="AG337" s="5919"/>
      <c r="AH337" s="2647">
        <v>255.37</v>
      </c>
      <c r="AI337" s="5924"/>
      <c r="AJ337" s="782">
        <f t="shared" si="421"/>
        <v>3604</v>
      </c>
      <c r="AK337" s="5919"/>
      <c r="AL337" s="2647"/>
      <c r="AM337" s="5885"/>
      <c r="AN337" s="781">
        <f t="shared" si="422"/>
        <v>516.29</v>
      </c>
      <c r="AO337" s="5941"/>
      <c r="AP337" s="782">
        <f t="shared" si="423"/>
        <v>3604</v>
      </c>
      <c r="AQ337" s="5919"/>
      <c r="AR337" s="2647"/>
      <c r="AS337" s="5924"/>
      <c r="AT337" s="782">
        <f t="shared" si="424"/>
        <v>3604</v>
      </c>
      <c r="AU337" s="5919"/>
      <c r="AV337" s="2647"/>
      <c r="AW337" s="5924"/>
      <c r="AX337" s="782">
        <f t="shared" si="425"/>
        <v>3604</v>
      </c>
      <c r="AY337" s="5919"/>
      <c r="AZ337" s="2647">
        <v>774.3</v>
      </c>
      <c r="BA337" s="5885"/>
      <c r="BB337" s="781">
        <f t="shared" si="426"/>
        <v>774.3</v>
      </c>
      <c r="BC337" s="5892"/>
      <c r="BD337" s="3562">
        <f t="shared" si="427"/>
        <v>1290.5899999999999</v>
      </c>
      <c r="BE337" s="5924"/>
      <c r="BF337" s="782">
        <f t="shared" si="428"/>
        <v>4378.3</v>
      </c>
      <c r="BG337" s="26"/>
      <c r="BH337" s="26"/>
      <c r="BI337" s="26"/>
      <c r="BJ337" s="26"/>
      <c r="BK337" s="26"/>
    </row>
    <row r="338" spans="1:63" x14ac:dyDescent="0.25">
      <c r="A338" s="199"/>
      <c r="B338" s="3696" t="s">
        <v>1568</v>
      </c>
      <c r="C338" s="3626" t="s">
        <v>1887</v>
      </c>
      <c r="D338" s="3626"/>
      <c r="E338" s="5919"/>
      <c r="F338" s="2647"/>
      <c r="G338" s="5919"/>
      <c r="H338" s="2647"/>
      <c r="I338" s="5941"/>
      <c r="J338" s="782">
        <f t="shared" si="429"/>
        <v>0</v>
      </c>
      <c r="K338" s="5919"/>
      <c r="L338" s="2647">
        <v>382.18</v>
      </c>
      <c r="M338" s="5885"/>
      <c r="N338" s="781">
        <f t="shared" si="430"/>
        <v>382.18</v>
      </c>
      <c r="O338" s="5919"/>
      <c r="P338" s="2647">
        <v>506.90000000000003</v>
      </c>
      <c r="Q338" s="5941"/>
      <c r="R338" s="782">
        <f t="shared" si="431"/>
        <v>889.08</v>
      </c>
      <c r="S338" s="5919"/>
      <c r="T338" s="2647"/>
      <c r="U338" s="5941"/>
      <c r="V338" s="782">
        <f t="shared" si="432"/>
        <v>889.08</v>
      </c>
      <c r="W338" s="5919"/>
      <c r="X338" s="2647"/>
      <c r="Y338" s="5885"/>
      <c r="Z338" s="781">
        <f t="shared" si="433"/>
        <v>506.90000000000003</v>
      </c>
      <c r="AA338" s="5892"/>
      <c r="AB338" s="3562">
        <f t="shared" si="434"/>
        <v>889.08</v>
      </c>
      <c r="AC338" s="5919"/>
      <c r="AD338" s="2647"/>
      <c r="AE338" s="5941"/>
      <c r="AF338" s="782">
        <f t="shared" si="435"/>
        <v>889.08</v>
      </c>
      <c r="AG338" s="5919"/>
      <c r="AH338" s="2647"/>
      <c r="AI338" s="5924"/>
      <c r="AJ338" s="782">
        <f t="shared" si="421"/>
        <v>889.08</v>
      </c>
      <c r="AK338" s="5919"/>
      <c r="AL338" s="2647"/>
      <c r="AM338" s="5885"/>
      <c r="AN338" s="781">
        <f t="shared" si="422"/>
        <v>0</v>
      </c>
      <c r="AO338" s="5941"/>
      <c r="AP338" s="782">
        <f t="shared" si="423"/>
        <v>889.08</v>
      </c>
      <c r="AQ338" s="5919"/>
      <c r="AR338" s="2647"/>
      <c r="AS338" s="5924"/>
      <c r="AT338" s="782">
        <f t="shared" si="424"/>
        <v>889.08</v>
      </c>
      <c r="AU338" s="5919"/>
      <c r="AV338" s="2647"/>
      <c r="AW338" s="5924"/>
      <c r="AX338" s="782">
        <f t="shared" si="425"/>
        <v>889.08</v>
      </c>
      <c r="AY338" s="5919"/>
      <c r="AZ338" s="2647"/>
      <c r="BA338" s="5885"/>
      <c r="BB338" s="781">
        <f t="shared" si="426"/>
        <v>0</v>
      </c>
      <c r="BC338" s="5892"/>
      <c r="BD338" s="3562">
        <f t="shared" si="427"/>
        <v>0</v>
      </c>
      <c r="BE338" s="5924"/>
      <c r="BF338" s="782">
        <f t="shared" si="428"/>
        <v>889.08</v>
      </c>
      <c r="BG338" s="26"/>
      <c r="BH338" s="26"/>
      <c r="BI338" s="26"/>
      <c r="BJ338" s="26"/>
      <c r="BK338" s="26"/>
    </row>
    <row r="339" spans="1:63" x14ac:dyDescent="0.25">
      <c r="A339" s="199"/>
      <c r="B339" s="3696" t="s">
        <v>1568</v>
      </c>
      <c r="C339" s="3626" t="s">
        <v>1865</v>
      </c>
      <c r="D339" s="3626"/>
      <c r="E339" s="5919"/>
      <c r="F339" s="2647">
        <v>74.210000000000008</v>
      </c>
      <c r="G339" s="5919"/>
      <c r="H339" s="2647">
        <v>166.5</v>
      </c>
      <c r="I339" s="5941"/>
      <c r="J339" s="782">
        <f t="shared" si="429"/>
        <v>240.71</v>
      </c>
      <c r="K339" s="5919"/>
      <c r="L339" s="2647">
        <v>546.38</v>
      </c>
      <c r="M339" s="5885"/>
      <c r="N339" s="781">
        <f t="shared" si="430"/>
        <v>787.09</v>
      </c>
      <c r="O339" s="5919"/>
      <c r="P339" s="2647">
        <v>383.46000000000004</v>
      </c>
      <c r="Q339" s="5941"/>
      <c r="R339" s="782">
        <f t="shared" si="431"/>
        <v>1170.5500000000002</v>
      </c>
      <c r="S339" s="5919"/>
      <c r="T339" s="2647"/>
      <c r="U339" s="5941"/>
      <c r="V339" s="782">
        <f t="shared" si="432"/>
        <v>1170.5500000000002</v>
      </c>
      <c r="W339" s="5919"/>
      <c r="X339" s="2647"/>
      <c r="Y339" s="5885"/>
      <c r="Z339" s="781">
        <f t="shared" si="433"/>
        <v>383.46000000000004</v>
      </c>
      <c r="AA339" s="5892"/>
      <c r="AB339" s="3562">
        <f t="shared" si="434"/>
        <v>1170.5500000000002</v>
      </c>
      <c r="AC339" s="5919"/>
      <c r="AD339" s="2647">
        <v>32.31</v>
      </c>
      <c r="AE339" s="5941"/>
      <c r="AF339" s="782">
        <f t="shared" si="435"/>
        <v>1202.8600000000001</v>
      </c>
      <c r="AG339" s="5919"/>
      <c r="AH339" s="2647">
        <v>73.039999999999992</v>
      </c>
      <c r="AI339" s="5924"/>
      <c r="AJ339" s="782">
        <f t="shared" si="421"/>
        <v>1275.9000000000001</v>
      </c>
      <c r="AK339" s="5919"/>
      <c r="AL339" s="2647"/>
      <c r="AM339" s="5885"/>
      <c r="AN339" s="781">
        <f t="shared" si="422"/>
        <v>105.35</v>
      </c>
      <c r="AO339" s="5941"/>
      <c r="AP339" s="782">
        <f t="shared" si="423"/>
        <v>1275.9000000000001</v>
      </c>
      <c r="AQ339" s="5919"/>
      <c r="AR339" s="2647"/>
      <c r="AS339" s="5924"/>
      <c r="AT339" s="782">
        <f t="shared" si="424"/>
        <v>1275.9000000000001</v>
      </c>
      <c r="AU339" s="5919"/>
      <c r="AV339" s="2647"/>
      <c r="AW339" s="5924"/>
      <c r="AX339" s="782">
        <f t="shared" si="425"/>
        <v>1275.9000000000001</v>
      </c>
      <c r="AY339" s="5919"/>
      <c r="AZ339" s="2647">
        <v>203.84999999999997</v>
      </c>
      <c r="BA339" s="5885"/>
      <c r="BB339" s="781">
        <f t="shared" si="426"/>
        <v>203.84999999999997</v>
      </c>
      <c r="BC339" s="5892"/>
      <c r="BD339" s="3562">
        <f t="shared" si="427"/>
        <v>309.19999999999993</v>
      </c>
      <c r="BE339" s="5924"/>
      <c r="BF339" s="782">
        <f t="shared" si="428"/>
        <v>1479.75</v>
      </c>
      <c r="BG339" s="26"/>
      <c r="BH339" s="26"/>
      <c r="BI339" s="26"/>
      <c r="BJ339" s="26"/>
      <c r="BK339" s="26"/>
    </row>
    <row r="340" spans="1:63" x14ac:dyDescent="0.25">
      <c r="A340" s="199"/>
      <c r="B340" s="3699" t="s">
        <v>891</v>
      </c>
      <c r="C340" s="3626" t="s">
        <v>901</v>
      </c>
      <c r="D340" s="3626"/>
      <c r="E340" s="5956"/>
      <c r="F340" s="1201">
        <v>1319.1</v>
      </c>
      <c r="G340" s="5956"/>
      <c r="H340" s="1201">
        <v>2839.33</v>
      </c>
      <c r="I340" s="5939"/>
      <c r="J340" s="782">
        <f t="shared" si="429"/>
        <v>4158.43</v>
      </c>
      <c r="K340" s="5956"/>
      <c r="L340" s="1201">
        <v>1722.4500000000003</v>
      </c>
      <c r="M340" s="5883"/>
      <c r="N340" s="781">
        <f t="shared" si="430"/>
        <v>5880.880000000001</v>
      </c>
      <c r="O340" s="5956"/>
      <c r="P340" s="1201">
        <v>1488.65</v>
      </c>
      <c r="Q340" s="5939"/>
      <c r="R340" s="782">
        <f t="shared" si="431"/>
        <v>7369.5300000000007</v>
      </c>
      <c r="S340" s="5956"/>
      <c r="T340" s="1201">
        <v>447.06</v>
      </c>
      <c r="U340" s="5939"/>
      <c r="V340" s="782">
        <f t="shared" si="432"/>
        <v>7816.5900000000011</v>
      </c>
      <c r="W340" s="5956"/>
      <c r="X340" s="1201">
        <v>250.67999999999998</v>
      </c>
      <c r="Y340" s="5883"/>
      <c r="Z340" s="781">
        <f t="shared" si="433"/>
        <v>2186.39</v>
      </c>
      <c r="AA340" s="5890"/>
      <c r="AB340" s="3562">
        <f t="shared" si="434"/>
        <v>8067.27</v>
      </c>
      <c r="AC340" s="5918"/>
      <c r="AD340" s="1201">
        <v>884.05</v>
      </c>
      <c r="AE340" s="5939"/>
      <c r="AF340" s="782">
        <f t="shared" si="435"/>
        <v>8951.32</v>
      </c>
      <c r="AG340" s="5918"/>
      <c r="AH340" s="1201">
        <v>170.34</v>
      </c>
      <c r="AI340" s="5924"/>
      <c r="AJ340" s="782">
        <f t="shared" si="421"/>
        <v>9121.66</v>
      </c>
      <c r="AK340" s="5918"/>
      <c r="AL340" s="1201"/>
      <c r="AM340" s="5883"/>
      <c r="AN340" s="781">
        <f t="shared" si="422"/>
        <v>1054.3899999999999</v>
      </c>
      <c r="AO340" s="5939"/>
      <c r="AP340" s="782">
        <f t="shared" si="423"/>
        <v>9121.66</v>
      </c>
      <c r="AQ340" s="5918"/>
      <c r="AR340" s="1201">
        <v>1598.52</v>
      </c>
      <c r="AS340" s="5924"/>
      <c r="AT340" s="782">
        <f t="shared" si="424"/>
        <v>10720.18</v>
      </c>
      <c r="AU340" s="5918"/>
      <c r="AV340" s="1201">
        <v>961.41</v>
      </c>
      <c r="AW340" s="5924"/>
      <c r="AX340" s="782">
        <f t="shared" si="425"/>
        <v>11681.59</v>
      </c>
      <c r="AY340" s="5918"/>
      <c r="AZ340" s="1201">
        <v>4010.89</v>
      </c>
      <c r="BA340" s="5883"/>
      <c r="BB340" s="781">
        <f t="shared" si="426"/>
        <v>6570.82</v>
      </c>
      <c r="BC340" s="5890"/>
      <c r="BD340" s="3562">
        <f t="shared" si="427"/>
        <v>7625.2099999999991</v>
      </c>
      <c r="BE340" s="5924"/>
      <c r="BF340" s="782">
        <f t="shared" si="428"/>
        <v>15692.48</v>
      </c>
      <c r="BG340" s="26"/>
      <c r="BH340" s="26"/>
      <c r="BI340" s="26"/>
      <c r="BJ340" s="26"/>
      <c r="BK340" s="26"/>
    </row>
    <row r="341" spans="1:63" x14ac:dyDescent="0.25">
      <c r="A341" s="199"/>
      <c r="B341" s="3699" t="s">
        <v>891</v>
      </c>
      <c r="C341" s="3626" t="s">
        <v>916</v>
      </c>
      <c r="D341" s="3626"/>
      <c r="E341" s="5956"/>
      <c r="F341" s="1201">
        <v>4839.59</v>
      </c>
      <c r="G341" s="5956"/>
      <c r="H341" s="1201">
        <v>4625.6299999999992</v>
      </c>
      <c r="I341" s="5939"/>
      <c r="J341" s="782">
        <f t="shared" si="429"/>
        <v>9465.2199999999993</v>
      </c>
      <c r="K341" s="5956"/>
      <c r="L341" s="1201">
        <v>4609.43</v>
      </c>
      <c r="M341" s="5883"/>
      <c r="N341" s="781">
        <f t="shared" si="430"/>
        <v>14074.65</v>
      </c>
      <c r="O341" s="5956"/>
      <c r="P341" s="1201">
        <v>4394.24</v>
      </c>
      <c r="Q341" s="5939"/>
      <c r="R341" s="782">
        <f t="shared" si="431"/>
        <v>18468.89</v>
      </c>
      <c r="S341" s="5956"/>
      <c r="T341" s="1201">
        <v>5701.26</v>
      </c>
      <c r="U341" s="5939"/>
      <c r="V341" s="782">
        <f t="shared" si="432"/>
        <v>24170.15</v>
      </c>
      <c r="W341" s="5956"/>
      <c r="X341" s="1201">
        <v>1811.32</v>
      </c>
      <c r="Y341" s="5883"/>
      <c r="Z341" s="781">
        <f t="shared" si="433"/>
        <v>11906.82</v>
      </c>
      <c r="AA341" s="5890"/>
      <c r="AB341" s="3562">
        <f t="shared" si="434"/>
        <v>25981.47</v>
      </c>
      <c r="AC341" s="5918"/>
      <c r="AD341" s="1201">
        <v>3855.3400000000011</v>
      </c>
      <c r="AE341" s="5939"/>
      <c r="AF341" s="782">
        <f t="shared" si="435"/>
        <v>29836.81</v>
      </c>
      <c r="AG341" s="5918"/>
      <c r="AH341" s="1201">
        <v>674.23</v>
      </c>
      <c r="AI341" s="5924"/>
      <c r="AJ341" s="782">
        <f t="shared" si="421"/>
        <v>30511.040000000001</v>
      </c>
      <c r="AK341" s="5918"/>
      <c r="AL341" s="1201">
        <v>299.43</v>
      </c>
      <c r="AM341" s="5883"/>
      <c r="AN341" s="781">
        <f t="shared" si="422"/>
        <v>4829.0000000000018</v>
      </c>
      <c r="AO341" s="5939"/>
      <c r="AP341" s="782">
        <f t="shared" si="423"/>
        <v>30810.47</v>
      </c>
      <c r="AQ341" s="5918"/>
      <c r="AR341" s="1201">
        <v>1725.75</v>
      </c>
      <c r="AS341" s="5924"/>
      <c r="AT341" s="782">
        <f t="shared" si="424"/>
        <v>32536.22</v>
      </c>
      <c r="AU341" s="5918"/>
      <c r="AV341" s="1201">
        <v>1915.58</v>
      </c>
      <c r="AW341" s="5924"/>
      <c r="AX341" s="782">
        <f t="shared" si="425"/>
        <v>34451.800000000003</v>
      </c>
      <c r="AY341" s="5918"/>
      <c r="AZ341" s="1201">
        <v>8879.4699999999993</v>
      </c>
      <c r="BA341" s="5883"/>
      <c r="BB341" s="781">
        <f t="shared" si="426"/>
        <v>12520.8</v>
      </c>
      <c r="BC341" s="5890"/>
      <c r="BD341" s="3562">
        <f t="shared" si="427"/>
        <v>17349.800000000003</v>
      </c>
      <c r="BE341" s="5924"/>
      <c r="BF341" s="782">
        <f t="shared" si="428"/>
        <v>43331.270000000004</v>
      </c>
      <c r="BG341" s="26"/>
      <c r="BH341" s="26"/>
      <c r="BI341" s="26"/>
      <c r="BJ341" s="26"/>
      <c r="BK341" s="26"/>
    </row>
    <row r="342" spans="1:63" x14ac:dyDescent="0.25">
      <c r="A342" s="199"/>
      <c r="B342" s="3699" t="s">
        <v>891</v>
      </c>
      <c r="C342" s="3626" t="s">
        <v>1639</v>
      </c>
      <c r="D342" s="3626"/>
      <c r="E342" s="5956"/>
      <c r="F342" s="1201"/>
      <c r="G342" s="5956"/>
      <c r="H342" s="1201"/>
      <c r="I342" s="5939"/>
      <c r="J342" s="782">
        <f t="shared" si="429"/>
        <v>0</v>
      </c>
      <c r="K342" s="5956"/>
      <c r="L342" s="1201"/>
      <c r="M342" s="5883"/>
      <c r="N342" s="781">
        <f t="shared" si="430"/>
        <v>0</v>
      </c>
      <c r="O342" s="5956"/>
      <c r="P342" s="1201"/>
      <c r="Q342" s="5939"/>
      <c r="R342" s="782">
        <f t="shared" si="431"/>
        <v>0</v>
      </c>
      <c r="S342" s="5956"/>
      <c r="T342" s="1201">
        <v>1015.8600000000001</v>
      </c>
      <c r="U342" s="5939"/>
      <c r="V342" s="782">
        <f t="shared" si="432"/>
        <v>1015.8600000000001</v>
      </c>
      <c r="W342" s="5956"/>
      <c r="X342" s="1201"/>
      <c r="Y342" s="5883"/>
      <c r="Z342" s="781">
        <f t="shared" si="433"/>
        <v>1015.8600000000001</v>
      </c>
      <c r="AA342" s="5890"/>
      <c r="AB342" s="3562">
        <f t="shared" si="434"/>
        <v>1015.8600000000001</v>
      </c>
      <c r="AC342" s="5918"/>
      <c r="AD342" s="1201"/>
      <c r="AE342" s="5939"/>
      <c r="AF342" s="782">
        <f t="shared" si="435"/>
        <v>1015.8600000000001</v>
      </c>
      <c r="AG342" s="5918"/>
      <c r="AH342" s="1201"/>
      <c r="AI342" s="5924"/>
      <c r="AJ342" s="782">
        <f t="shared" si="421"/>
        <v>1015.8600000000001</v>
      </c>
      <c r="AK342" s="5918"/>
      <c r="AL342" s="1201"/>
      <c r="AM342" s="5883"/>
      <c r="AN342" s="781">
        <f t="shared" si="422"/>
        <v>0</v>
      </c>
      <c r="AO342" s="5939"/>
      <c r="AP342" s="782">
        <f t="shared" si="423"/>
        <v>1015.8600000000001</v>
      </c>
      <c r="AQ342" s="5918"/>
      <c r="AR342" s="1201"/>
      <c r="AS342" s="5924"/>
      <c r="AT342" s="782">
        <f t="shared" si="424"/>
        <v>1015.8600000000001</v>
      </c>
      <c r="AU342" s="5918"/>
      <c r="AV342" s="1201"/>
      <c r="AW342" s="5924"/>
      <c r="AX342" s="782">
        <f t="shared" si="425"/>
        <v>1015.8600000000001</v>
      </c>
      <c r="AY342" s="5918"/>
      <c r="AZ342" s="1201"/>
      <c r="BA342" s="5883"/>
      <c r="BB342" s="781">
        <f t="shared" si="426"/>
        <v>0</v>
      </c>
      <c r="BC342" s="5890"/>
      <c r="BD342" s="3562">
        <f t="shared" si="427"/>
        <v>0</v>
      </c>
      <c r="BE342" s="5924"/>
      <c r="BF342" s="782">
        <f t="shared" si="428"/>
        <v>1015.8600000000001</v>
      </c>
      <c r="BG342" s="26"/>
      <c r="BH342" s="26"/>
      <c r="BI342" s="26"/>
      <c r="BJ342" s="26"/>
      <c r="BK342" s="26"/>
    </row>
    <row r="343" spans="1:63" x14ac:dyDescent="0.25">
      <c r="A343" s="199"/>
      <c r="B343" s="3699" t="s">
        <v>891</v>
      </c>
      <c r="C343" s="3626" t="s">
        <v>1856</v>
      </c>
      <c r="D343" s="3626"/>
      <c r="E343" s="5956"/>
      <c r="F343" s="1201"/>
      <c r="G343" s="5956"/>
      <c r="H343" s="1201"/>
      <c r="I343" s="5939"/>
      <c r="J343" s="782">
        <f t="shared" si="429"/>
        <v>0</v>
      </c>
      <c r="K343" s="5956"/>
      <c r="L343" s="1201"/>
      <c r="M343" s="5883"/>
      <c r="N343" s="781">
        <f t="shared" si="430"/>
        <v>0</v>
      </c>
      <c r="O343" s="5956"/>
      <c r="P343" s="1201">
        <v>253.14</v>
      </c>
      <c r="Q343" s="5939"/>
      <c r="R343" s="782">
        <f t="shared" si="431"/>
        <v>253.14</v>
      </c>
      <c r="S343" s="5956"/>
      <c r="T343" s="1201"/>
      <c r="U343" s="5939"/>
      <c r="V343" s="782">
        <f t="shared" si="432"/>
        <v>253.14</v>
      </c>
      <c r="W343" s="5956"/>
      <c r="X343" s="1201"/>
      <c r="Y343" s="5883"/>
      <c r="Z343" s="781">
        <f t="shared" si="433"/>
        <v>253.14</v>
      </c>
      <c r="AA343" s="5890"/>
      <c r="AB343" s="3562">
        <f t="shared" si="434"/>
        <v>253.14</v>
      </c>
      <c r="AC343" s="5918"/>
      <c r="AD343" s="1201"/>
      <c r="AE343" s="5939"/>
      <c r="AF343" s="782">
        <f t="shared" si="435"/>
        <v>253.14</v>
      </c>
      <c r="AG343" s="5918"/>
      <c r="AH343" s="1201"/>
      <c r="AI343" s="5924"/>
      <c r="AJ343" s="782">
        <f t="shared" si="421"/>
        <v>253.14</v>
      </c>
      <c r="AK343" s="5918"/>
      <c r="AL343" s="1201"/>
      <c r="AM343" s="5883"/>
      <c r="AN343" s="781">
        <f t="shared" si="422"/>
        <v>0</v>
      </c>
      <c r="AO343" s="5939"/>
      <c r="AP343" s="782">
        <f t="shared" si="423"/>
        <v>253.14</v>
      </c>
      <c r="AQ343" s="5918"/>
      <c r="AR343" s="1201"/>
      <c r="AS343" s="5924"/>
      <c r="AT343" s="782">
        <f t="shared" si="424"/>
        <v>253.14</v>
      </c>
      <c r="AU343" s="5918"/>
      <c r="AV343" s="1201"/>
      <c r="AW343" s="5924"/>
      <c r="AX343" s="782">
        <f t="shared" si="425"/>
        <v>253.14</v>
      </c>
      <c r="AY343" s="5918"/>
      <c r="AZ343" s="1201"/>
      <c r="BA343" s="5883"/>
      <c r="BB343" s="781">
        <f t="shared" si="426"/>
        <v>0</v>
      </c>
      <c r="BC343" s="5890"/>
      <c r="BD343" s="3562">
        <f t="shared" si="427"/>
        <v>0</v>
      </c>
      <c r="BE343" s="5924"/>
      <c r="BF343" s="782">
        <f t="shared" si="428"/>
        <v>253.14</v>
      </c>
      <c r="BG343" s="26"/>
      <c r="BH343" s="26"/>
      <c r="BI343" s="26"/>
      <c r="BJ343" s="26"/>
      <c r="BK343" s="26"/>
    </row>
    <row r="344" spans="1:63" x14ac:dyDescent="0.25">
      <c r="A344" s="199"/>
      <c r="B344" s="3699" t="s">
        <v>891</v>
      </c>
      <c r="C344" s="3626" t="s">
        <v>1309</v>
      </c>
      <c r="D344" s="3626"/>
      <c r="E344" s="5956"/>
      <c r="F344" s="2647"/>
      <c r="G344" s="5956"/>
      <c r="H344" s="2647"/>
      <c r="I344" s="5941"/>
      <c r="J344" s="782">
        <f t="shared" si="429"/>
        <v>0</v>
      </c>
      <c r="K344" s="5956"/>
      <c r="L344" s="2647">
        <v>122.88</v>
      </c>
      <c r="M344" s="5885"/>
      <c r="N344" s="781">
        <f t="shared" si="430"/>
        <v>122.88</v>
      </c>
      <c r="O344" s="5956"/>
      <c r="P344" s="2647">
        <v>282.87</v>
      </c>
      <c r="Q344" s="5941"/>
      <c r="R344" s="782">
        <f t="shared" si="431"/>
        <v>405.75</v>
      </c>
      <c r="S344" s="5956"/>
      <c r="T344" s="2647"/>
      <c r="U344" s="5941"/>
      <c r="V344" s="782">
        <f t="shared" si="432"/>
        <v>405.75</v>
      </c>
      <c r="W344" s="5956"/>
      <c r="X344" s="2647"/>
      <c r="Y344" s="5885"/>
      <c r="Z344" s="781">
        <f t="shared" si="433"/>
        <v>282.87</v>
      </c>
      <c r="AA344" s="5892"/>
      <c r="AB344" s="3562">
        <f t="shared" si="434"/>
        <v>405.75</v>
      </c>
      <c r="AC344" s="5919"/>
      <c r="AD344" s="2647">
        <v>48.44</v>
      </c>
      <c r="AE344" s="5941"/>
      <c r="AF344" s="782">
        <f t="shared" si="435"/>
        <v>454.19</v>
      </c>
      <c r="AG344" s="5919"/>
      <c r="AH344" s="2647"/>
      <c r="AI344" s="5924"/>
      <c r="AJ344" s="782">
        <f t="shared" si="421"/>
        <v>454.19</v>
      </c>
      <c r="AK344" s="5919"/>
      <c r="AL344" s="2647">
        <v>565.76</v>
      </c>
      <c r="AM344" s="5885"/>
      <c r="AN344" s="781">
        <f t="shared" si="422"/>
        <v>614.20000000000005</v>
      </c>
      <c r="AO344" s="5941"/>
      <c r="AP344" s="782">
        <f t="shared" si="423"/>
        <v>1019.95</v>
      </c>
      <c r="AQ344" s="5919"/>
      <c r="AR344" s="2647"/>
      <c r="AS344" s="5924"/>
      <c r="AT344" s="782">
        <f t="shared" si="424"/>
        <v>1019.95</v>
      </c>
      <c r="AU344" s="5919"/>
      <c r="AV344" s="2647">
        <v>119.55000000000001</v>
      </c>
      <c r="AW344" s="5924"/>
      <c r="AX344" s="782">
        <f t="shared" si="425"/>
        <v>1139.5</v>
      </c>
      <c r="AY344" s="5919"/>
      <c r="AZ344" s="2647">
        <v>883.91000000000008</v>
      </c>
      <c r="BA344" s="5885"/>
      <c r="BB344" s="781">
        <f t="shared" si="426"/>
        <v>1003.46</v>
      </c>
      <c r="BC344" s="5892"/>
      <c r="BD344" s="3562">
        <f t="shared" si="427"/>
        <v>1617.66</v>
      </c>
      <c r="BE344" s="5924"/>
      <c r="BF344" s="782">
        <f t="shared" si="428"/>
        <v>2023.41</v>
      </c>
      <c r="BG344" s="26"/>
      <c r="BH344" s="26"/>
      <c r="BI344" s="26"/>
      <c r="BJ344" s="26"/>
      <c r="BK344" s="26"/>
    </row>
    <row r="345" spans="1:63" x14ac:dyDescent="0.25">
      <c r="A345" s="199"/>
      <c r="B345" s="3654" t="s">
        <v>891</v>
      </c>
      <c r="C345" s="3626" t="s">
        <v>1252</v>
      </c>
      <c r="D345" s="3626"/>
      <c r="E345" s="5918"/>
      <c r="F345" s="1201"/>
      <c r="G345" s="5918"/>
      <c r="H345" s="1201"/>
      <c r="I345" s="5939"/>
      <c r="J345" s="782">
        <f t="shared" si="429"/>
        <v>0</v>
      </c>
      <c r="K345" s="5918"/>
      <c r="L345" s="1201"/>
      <c r="M345" s="5883"/>
      <c r="N345" s="781">
        <f t="shared" si="430"/>
        <v>0</v>
      </c>
      <c r="O345" s="5918"/>
      <c r="P345" s="1201"/>
      <c r="Q345" s="5939"/>
      <c r="R345" s="782">
        <f t="shared" si="431"/>
        <v>0</v>
      </c>
      <c r="S345" s="5918"/>
      <c r="T345" s="1201"/>
      <c r="U345" s="5939"/>
      <c r="V345" s="782">
        <f t="shared" si="432"/>
        <v>0</v>
      </c>
      <c r="W345" s="5918"/>
      <c r="X345" s="1201"/>
      <c r="Y345" s="5883"/>
      <c r="Z345" s="781">
        <f t="shared" si="433"/>
        <v>0</v>
      </c>
      <c r="AA345" s="5890"/>
      <c r="AB345" s="3562">
        <f t="shared" si="434"/>
        <v>0</v>
      </c>
      <c r="AC345" s="5918"/>
      <c r="AD345" s="1201"/>
      <c r="AE345" s="5939"/>
      <c r="AF345" s="782">
        <f t="shared" si="435"/>
        <v>0</v>
      </c>
      <c r="AG345" s="5918"/>
      <c r="AH345" s="1201"/>
      <c r="AI345" s="5924"/>
      <c r="AJ345" s="782">
        <f t="shared" si="421"/>
        <v>0</v>
      </c>
      <c r="AK345" s="5918"/>
      <c r="AL345" s="1201"/>
      <c r="AM345" s="5883"/>
      <c r="AN345" s="781">
        <f t="shared" si="422"/>
        <v>0</v>
      </c>
      <c r="AO345" s="5939"/>
      <c r="AP345" s="782">
        <f t="shared" si="423"/>
        <v>0</v>
      </c>
      <c r="AQ345" s="5918"/>
      <c r="AR345" s="1201"/>
      <c r="AS345" s="5924"/>
      <c r="AT345" s="782">
        <f t="shared" si="424"/>
        <v>0</v>
      </c>
      <c r="AU345" s="5918"/>
      <c r="AV345" s="1201"/>
      <c r="AW345" s="5924"/>
      <c r="AX345" s="782">
        <f t="shared" si="425"/>
        <v>0</v>
      </c>
      <c r="AY345" s="5918"/>
      <c r="AZ345" s="1201"/>
      <c r="BA345" s="5883"/>
      <c r="BB345" s="781">
        <f t="shared" si="426"/>
        <v>0</v>
      </c>
      <c r="BC345" s="5890"/>
      <c r="BD345" s="3562">
        <f t="shared" si="427"/>
        <v>0</v>
      </c>
      <c r="BE345" s="5924"/>
      <c r="BF345" s="782">
        <f t="shared" si="428"/>
        <v>0</v>
      </c>
      <c r="BG345" s="26"/>
      <c r="BH345" s="26"/>
      <c r="BI345" s="26"/>
      <c r="BJ345" s="26"/>
      <c r="BK345" s="26"/>
    </row>
    <row r="346" spans="1:63" x14ac:dyDescent="0.25">
      <c r="A346" s="199"/>
      <c r="B346" s="3654" t="s">
        <v>891</v>
      </c>
      <c r="C346" s="3587" t="s">
        <v>1347</v>
      </c>
      <c r="D346" s="3587"/>
      <c r="E346" s="5918"/>
      <c r="F346" s="1201"/>
      <c r="G346" s="5918"/>
      <c r="H346" s="1201"/>
      <c r="I346" s="5939"/>
      <c r="J346" s="782">
        <f t="shared" si="429"/>
        <v>0</v>
      </c>
      <c r="K346" s="5918"/>
      <c r="L346" s="1201"/>
      <c r="M346" s="5883"/>
      <c r="N346" s="781">
        <f t="shared" si="430"/>
        <v>0</v>
      </c>
      <c r="O346" s="5918"/>
      <c r="P346" s="1201"/>
      <c r="Q346" s="5939"/>
      <c r="R346" s="782">
        <f t="shared" si="431"/>
        <v>0</v>
      </c>
      <c r="S346" s="5918"/>
      <c r="T346" s="1201"/>
      <c r="U346" s="5939"/>
      <c r="V346" s="782">
        <f t="shared" si="432"/>
        <v>0</v>
      </c>
      <c r="W346" s="5918"/>
      <c r="X346" s="1201"/>
      <c r="Y346" s="5883"/>
      <c r="Z346" s="781">
        <f t="shared" si="433"/>
        <v>0</v>
      </c>
      <c r="AA346" s="5890"/>
      <c r="AB346" s="3562">
        <f t="shared" si="434"/>
        <v>0</v>
      </c>
      <c r="AC346" s="5918"/>
      <c r="AD346" s="1201"/>
      <c r="AE346" s="5939"/>
      <c r="AF346" s="782">
        <f t="shared" si="435"/>
        <v>0</v>
      </c>
      <c r="AG346" s="5918"/>
      <c r="AH346" s="1201"/>
      <c r="AI346" s="5924"/>
      <c r="AJ346" s="782">
        <f t="shared" si="421"/>
        <v>0</v>
      </c>
      <c r="AK346" s="5918"/>
      <c r="AL346" s="1201"/>
      <c r="AM346" s="5883"/>
      <c r="AN346" s="781">
        <f t="shared" si="422"/>
        <v>0</v>
      </c>
      <c r="AO346" s="5939"/>
      <c r="AP346" s="782">
        <f t="shared" si="423"/>
        <v>0</v>
      </c>
      <c r="AQ346" s="5918"/>
      <c r="AR346" s="1201"/>
      <c r="AS346" s="5924"/>
      <c r="AT346" s="782">
        <f t="shared" si="424"/>
        <v>0</v>
      </c>
      <c r="AU346" s="5918"/>
      <c r="AV346" s="1201"/>
      <c r="AW346" s="5924"/>
      <c r="AX346" s="782">
        <f t="shared" si="425"/>
        <v>0</v>
      </c>
      <c r="AY346" s="5918"/>
      <c r="AZ346" s="1201"/>
      <c r="BA346" s="5883"/>
      <c r="BB346" s="781">
        <f t="shared" si="426"/>
        <v>0</v>
      </c>
      <c r="BC346" s="5890"/>
      <c r="BD346" s="3562">
        <f t="shared" si="427"/>
        <v>0</v>
      </c>
      <c r="BE346" s="5924"/>
      <c r="BF346" s="782">
        <f t="shared" si="428"/>
        <v>0</v>
      </c>
      <c r="BG346" s="26"/>
      <c r="BH346" s="26"/>
      <c r="BI346" s="26"/>
      <c r="BJ346" s="26"/>
      <c r="BK346" s="26"/>
    </row>
    <row r="347" spans="1:63" x14ac:dyDescent="0.25">
      <c r="A347" s="199"/>
      <c r="B347" s="3696" t="s">
        <v>891</v>
      </c>
      <c r="C347" s="3626" t="s">
        <v>1855</v>
      </c>
      <c r="D347" s="3626"/>
      <c r="E347" s="5919"/>
      <c r="F347" s="2647">
        <v>126.4</v>
      </c>
      <c r="G347" s="5919"/>
      <c r="H347" s="2647">
        <v>549.79000000000008</v>
      </c>
      <c r="I347" s="5941"/>
      <c r="J347" s="782">
        <f t="shared" si="429"/>
        <v>676.19</v>
      </c>
      <c r="K347" s="5919"/>
      <c r="L347" s="2647">
        <v>445.45</v>
      </c>
      <c r="M347" s="5885"/>
      <c r="N347" s="781">
        <f t="shared" si="430"/>
        <v>1121.6400000000001</v>
      </c>
      <c r="O347" s="5919"/>
      <c r="P347" s="2647">
        <v>1213.3599999999999</v>
      </c>
      <c r="Q347" s="5941"/>
      <c r="R347" s="782">
        <f t="shared" si="431"/>
        <v>2335</v>
      </c>
      <c r="S347" s="5919"/>
      <c r="T347" s="2647">
        <v>598.39</v>
      </c>
      <c r="U347" s="5941"/>
      <c r="V347" s="782">
        <f t="shared" si="432"/>
        <v>2933.39</v>
      </c>
      <c r="W347" s="5919"/>
      <c r="X347" s="2647">
        <v>312.10000000000002</v>
      </c>
      <c r="Y347" s="5885"/>
      <c r="Z347" s="781">
        <f t="shared" si="433"/>
        <v>2123.85</v>
      </c>
      <c r="AA347" s="5892"/>
      <c r="AB347" s="3562">
        <f t="shared" si="434"/>
        <v>3245.49</v>
      </c>
      <c r="AC347" s="5919"/>
      <c r="AD347" s="2647">
        <v>540.63</v>
      </c>
      <c r="AE347" s="5941"/>
      <c r="AF347" s="782">
        <f t="shared" si="435"/>
        <v>3786.12</v>
      </c>
      <c r="AG347" s="5919"/>
      <c r="AH347" s="2647">
        <v>163.88</v>
      </c>
      <c r="AI347" s="5924"/>
      <c r="AJ347" s="782">
        <f t="shared" si="421"/>
        <v>3950</v>
      </c>
      <c r="AK347" s="5919"/>
      <c r="AL347" s="2647">
        <v>40.380000000000003</v>
      </c>
      <c r="AM347" s="5885"/>
      <c r="AN347" s="781">
        <f t="shared" si="422"/>
        <v>744.89</v>
      </c>
      <c r="AO347" s="5941"/>
      <c r="AP347" s="782">
        <f t="shared" si="423"/>
        <v>3990.38</v>
      </c>
      <c r="AQ347" s="5919"/>
      <c r="AR347" s="2647">
        <v>613.95999999999992</v>
      </c>
      <c r="AS347" s="5924"/>
      <c r="AT347" s="782">
        <f t="shared" si="424"/>
        <v>4604.34</v>
      </c>
      <c r="AU347" s="5919"/>
      <c r="AV347" s="2647">
        <v>185.22</v>
      </c>
      <c r="AW347" s="5924"/>
      <c r="AX347" s="782">
        <f t="shared" si="425"/>
        <v>4789.5600000000004</v>
      </c>
      <c r="AY347" s="5919"/>
      <c r="AZ347" s="2647">
        <v>508.34000000000003</v>
      </c>
      <c r="BA347" s="5885"/>
      <c r="BB347" s="781">
        <f t="shared" si="426"/>
        <v>1307.52</v>
      </c>
      <c r="BC347" s="5892"/>
      <c r="BD347" s="3562">
        <f t="shared" si="427"/>
        <v>2052.41</v>
      </c>
      <c r="BE347" s="5924"/>
      <c r="BF347" s="782">
        <f t="shared" si="428"/>
        <v>5297.9000000000005</v>
      </c>
      <c r="BG347" s="26"/>
      <c r="BH347" s="26"/>
      <c r="BI347" s="26"/>
      <c r="BJ347" s="26"/>
      <c r="BK347" s="26"/>
    </row>
    <row r="348" spans="1:63" ht="15.75" thickBot="1" x14ac:dyDescent="0.3">
      <c r="A348" s="199"/>
      <c r="B348" s="3659" t="s">
        <v>891</v>
      </c>
      <c r="C348" s="3690" t="s">
        <v>1866</v>
      </c>
      <c r="D348" s="3690"/>
      <c r="E348" s="5919"/>
      <c r="F348" s="2647">
        <v>62.8</v>
      </c>
      <c r="G348" s="5919"/>
      <c r="H348" s="2647">
        <v>328.65000000000003</v>
      </c>
      <c r="I348" s="5941"/>
      <c r="J348" s="782">
        <f t="shared" si="429"/>
        <v>391.45000000000005</v>
      </c>
      <c r="K348" s="5919"/>
      <c r="L348" s="2647">
        <v>328.08</v>
      </c>
      <c r="M348" s="5885"/>
      <c r="N348" s="781">
        <f t="shared" si="430"/>
        <v>719.53</v>
      </c>
      <c r="O348" s="5919"/>
      <c r="P348" s="2647">
        <v>471.27000000000004</v>
      </c>
      <c r="Q348" s="5941"/>
      <c r="R348" s="782">
        <f t="shared" si="431"/>
        <v>1190.8</v>
      </c>
      <c r="S348" s="5919"/>
      <c r="T348" s="2647">
        <v>205.1</v>
      </c>
      <c r="U348" s="5941"/>
      <c r="V348" s="782">
        <f t="shared" si="432"/>
        <v>1395.8999999999999</v>
      </c>
      <c r="W348" s="5919"/>
      <c r="X348" s="2647"/>
      <c r="Y348" s="5885"/>
      <c r="Z348" s="781">
        <f t="shared" si="433"/>
        <v>676.37</v>
      </c>
      <c r="AA348" s="5892"/>
      <c r="AB348" s="3562">
        <f t="shared" si="434"/>
        <v>1395.9</v>
      </c>
      <c r="AC348" s="5919"/>
      <c r="AD348" s="2647">
        <v>653.04999999999995</v>
      </c>
      <c r="AE348" s="5941"/>
      <c r="AF348" s="782">
        <f t="shared" si="435"/>
        <v>2048.9499999999998</v>
      </c>
      <c r="AG348" s="5919"/>
      <c r="AH348" s="2647">
        <v>38.369999999999997</v>
      </c>
      <c r="AI348" s="5924"/>
      <c r="AJ348" s="782">
        <f t="shared" si="421"/>
        <v>2087.3199999999997</v>
      </c>
      <c r="AK348" s="5919"/>
      <c r="AL348" s="2647"/>
      <c r="AM348" s="5885"/>
      <c r="AN348" s="781">
        <f t="shared" si="422"/>
        <v>691.42</v>
      </c>
      <c r="AO348" s="5941"/>
      <c r="AP348" s="782">
        <f t="shared" si="423"/>
        <v>2087.3199999999997</v>
      </c>
      <c r="AQ348" s="5919"/>
      <c r="AR348" s="2647">
        <v>370.65999999999997</v>
      </c>
      <c r="AS348" s="5924"/>
      <c r="AT348" s="782">
        <f t="shared" si="424"/>
        <v>2457.9799999999996</v>
      </c>
      <c r="AU348" s="5919"/>
      <c r="AV348" s="2647">
        <v>128.28</v>
      </c>
      <c r="AW348" s="5924"/>
      <c r="AX348" s="782">
        <f t="shared" si="425"/>
        <v>2586.2599999999998</v>
      </c>
      <c r="AY348" s="5919"/>
      <c r="AZ348" s="2647">
        <v>629.03</v>
      </c>
      <c r="BA348" s="5885"/>
      <c r="BB348" s="781">
        <f t="shared" ref="BB348:BB376" si="436">AR348+AV348+AZ348</f>
        <v>1127.9699999999998</v>
      </c>
      <c r="BC348" s="5892"/>
      <c r="BD348" s="3562">
        <f t="shared" si="427"/>
        <v>1819.3899999999999</v>
      </c>
      <c r="BE348" s="5924"/>
      <c r="BF348" s="782">
        <f t="shared" si="428"/>
        <v>3215.29</v>
      </c>
      <c r="BG348" s="26"/>
      <c r="BH348" s="26"/>
      <c r="BI348" s="26"/>
      <c r="BJ348" s="26"/>
      <c r="BK348" s="26"/>
    </row>
    <row r="349" spans="1:63" x14ac:dyDescent="0.25">
      <c r="A349" s="199"/>
      <c r="B349" s="2915" t="s">
        <v>1637</v>
      </c>
      <c r="C349" s="3580" t="s">
        <v>1638</v>
      </c>
      <c r="D349" s="3691"/>
      <c r="E349" s="5956"/>
      <c r="F349" s="1201"/>
      <c r="G349" s="5956"/>
      <c r="H349" s="1201"/>
      <c r="I349" s="5939"/>
      <c r="J349" s="782">
        <f t="shared" si="429"/>
        <v>0</v>
      </c>
      <c r="K349" s="5956"/>
      <c r="L349" s="1201"/>
      <c r="M349" s="5883"/>
      <c r="N349" s="781">
        <f t="shared" si="430"/>
        <v>0</v>
      </c>
      <c r="O349" s="5956"/>
      <c r="P349" s="1201"/>
      <c r="Q349" s="5939"/>
      <c r="R349" s="782">
        <f t="shared" si="431"/>
        <v>0</v>
      </c>
      <c r="S349" s="5956"/>
      <c r="T349" s="1201"/>
      <c r="U349" s="5939"/>
      <c r="V349" s="782">
        <f t="shared" si="432"/>
        <v>0</v>
      </c>
      <c r="W349" s="5956"/>
      <c r="X349" s="1201"/>
      <c r="Y349" s="5883"/>
      <c r="Z349" s="781">
        <f t="shared" si="433"/>
        <v>0</v>
      </c>
      <c r="AA349" s="5890"/>
      <c r="AB349" s="3562">
        <f t="shared" si="434"/>
        <v>0</v>
      </c>
      <c r="AC349" s="5918"/>
      <c r="AD349" s="1201"/>
      <c r="AE349" s="5939"/>
      <c r="AF349" s="782">
        <f t="shared" si="435"/>
        <v>0</v>
      </c>
      <c r="AG349" s="5918"/>
      <c r="AH349" s="1201"/>
      <c r="AI349" s="5924"/>
      <c r="AJ349" s="782">
        <f t="shared" si="421"/>
        <v>0</v>
      </c>
      <c r="AK349" s="5918"/>
      <c r="AL349" s="1201"/>
      <c r="AM349" s="5883"/>
      <c r="AN349" s="781">
        <f t="shared" si="422"/>
        <v>0</v>
      </c>
      <c r="AO349" s="5939"/>
      <c r="AP349" s="782">
        <f t="shared" si="423"/>
        <v>0</v>
      </c>
      <c r="AQ349" s="5918"/>
      <c r="AR349" s="1201"/>
      <c r="AS349" s="5924"/>
      <c r="AT349" s="782">
        <f t="shared" si="424"/>
        <v>0</v>
      </c>
      <c r="AU349" s="5918"/>
      <c r="AV349" s="1201"/>
      <c r="AW349" s="5924"/>
      <c r="AX349" s="782">
        <f t="shared" si="425"/>
        <v>0</v>
      </c>
      <c r="AY349" s="5918"/>
      <c r="AZ349" s="1201"/>
      <c r="BA349" s="5883"/>
      <c r="BB349" s="781">
        <f t="shared" si="436"/>
        <v>0</v>
      </c>
      <c r="BC349" s="5890"/>
      <c r="BD349" s="3562">
        <f t="shared" si="427"/>
        <v>0</v>
      </c>
      <c r="BE349" s="5924"/>
      <c r="BF349" s="782">
        <f t="shared" si="428"/>
        <v>0</v>
      </c>
      <c r="BG349" s="26"/>
      <c r="BH349" s="26"/>
      <c r="BI349" s="26"/>
      <c r="BJ349" s="26"/>
      <c r="BK349" s="26"/>
    </row>
    <row r="350" spans="1:63" x14ac:dyDescent="0.25">
      <c r="A350" s="199"/>
      <c r="B350" s="850" t="s">
        <v>1637</v>
      </c>
      <c r="C350" s="3626" t="s">
        <v>1867</v>
      </c>
      <c r="D350" s="3693"/>
      <c r="E350" s="5956"/>
      <c r="F350" s="2647"/>
      <c r="G350" s="5956"/>
      <c r="H350" s="2647"/>
      <c r="I350" s="5941"/>
      <c r="J350" s="782">
        <f t="shared" si="429"/>
        <v>0</v>
      </c>
      <c r="K350" s="5956"/>
      <c r="L350" s="2647"/>
      <c r="M350" s="5885"/>
      <c r="N350" s="781">
        <f t="shared" si="430"/>
        <v>0</v>
      </c>
      <c r="O350" s="5956"/>
      <c r="P350" s="2647"/>
      <c r="Q350" s="5941"/>
      <c r="R350" s="782">
        <f t="shared" si="431"/>
        <v>0</v>
      </c>
      <c r="S350" s="5956"/>
      <c r="T350" s="2647"/>
      <c r="U350" s="5941"/>
      <c r="V350" s="782">
        <f t="shared" si="432"/>
        <v>0</v>
      </c>
      <c r="W350" s="5956"/>
      <c r="X350" s="2647"/>
      <c r="Y350" s="5885"/>
      <c r="Z350" s="781">
        <f t="shared" si="433"/>
        <v>0</v>
      </c>
      <c r="AA350" s="5892"/>
      <c r="AB350" s="3562">
        <f t="shared" si="434"/>
        <v>0</v>
      </c>
      <c r="AC350" s="5919"/>
      <c r="AD350" s="2647"/>
      <c r="AE350" s="5941"/>
      <c r="AF350" s="782">
        <f t="shared" si="435"/>
        <v>0</v>
      </c>
      <c r="AG350" s="5919"/>
      <c r="AH350" s="2647"/>
      <c r="AI350" s="5924"/>
      <c r="AJ350" s="782">
        <f t="shared" si="421"/>
        <v>0</v>
      </c>
      <c r="AK350" s="5919"/>
      <c r="AL350" s="2647">
        <v>20.079999999999998</v>
      </c>
      <c r="AM350" s="5885"/>
      <c r="AN350" s="781">
        <f t="shared" si="422"/>
        <v>20.079999999999998</v>
      </c>
      <c r="AO350" s="5941"/>
      <c r="AP350" s="782">
        <f t="shared" si="423"/>
        <v>20.079999999999998</v>
      </c>
      <c r="AQ350" s="5919"/>
      <c r="AR350" s="2647"/>
      <c r="AS350" s="5924"/>
      <c r="AT350" s="782">
        <f t="shared" si="424"/>
        <v>20.079999999999998</v>
      </c>
      <c r="AU350" s="5919"/>
      <c r="AV350" s="2647"/>
      <c r="AW350" s="5924"/>
      <c r="AX350" s="782">
        <f t="shared" si="425"/>
        <v>20.079999999999998</v>
      </c>
      <c r="AY350" s="5919"/>
      <c r="AZ350" s="2647"/>
      <c r="BA350" s="5885"/>
      <c r="BB350" s="781">
        <f t="shared" si="436"/>
        <v>0</v>
      </c>
      <c r="BC350" s="5892"/>
      <c r="BD350" s="3562">
        <f t="shared" si="427"/>
        <v>20.079999999999998</v>
      </c>
      <c r="BE350" s="5924"/>
      <c r="BF350" s="782">
        <f t="shared" si="428"/>
        <v>20.079999999999998</v>
      </c>
      <c r="BG350" s="26"/>
      <c r="BH350" s="26"/>
      <c r="BI350" s="26"/>
      <c r="BJ350" s="26"/>
      <c r="BK350" s="26"/>
    </row>
    <row r="351" spans="1:63" x14ac:dyDescent="0.25">
      <c r="A351" s="199"/>
      <c r="B351" s="850" t="s">
        <v>1637</v>
      </c>
      <c r="C351" s="3626" t="s">
        <v>1677</v>
      </c>
      <c r="D351" s="3693"/>
      <c r="E351" s="5956"/>
      <c r="F351" s="1201"/>
      <c r="G351" s="5956"/>
      <c r="H351" s="1201"/>
      <c r="I351" s="5939"/>
      <c r="J351" s="782">
        <f t="shared" si="429"/>
        <v>0</v>
      </c>
      <c r="K351" s="5956"/>
      <c r="L351" s="1201"/>
      <c r="M351" s="5883"/>
      <c r="N351" s="781">
        <f t="shared" si="430"/>
        <v>0</v>
      </c>
      <c r="O351" s="5956"/>
      <c r="P351" s="1201"/>
      <c r="Q351" s="5939"/>
      <c r="R351" s="782">
        <f t="shared" si="431"/>
        <v>0</v>
      </c>
      <c r="S351" s="5956"/>
      <c r="T351" s="1201"/>
      <c r="U351" s="5939"/>
      <c r="V351" s="782">
        <f t="shared" si="432"/>
        <v>0</v>
      </c>
      <c r="W351" s="5956"/>
      <c r="X351" s="1201"/>
      <c r="Y351" s="5883"/>
      <c r="Z351" s="781">
        <f t="shared" si="433"/>
        <v>0</v>
      </c>
      <c r="AA351" s="5890"/>
      <c r="AB351" s="3562">
        <f t="shared" si="434"/>
        <v>0</v>
      </c>
      <c r="AC351" s="5918"/>
      <c r="AD351" s="1201"/>
      <c r="AE351" s="5939"/>
      <c r="AF351" s="782">
        <f t="shared" si="435"/>
        <v>0</v>
      </c>
      <c r="AG351" s="5918"/>
      <c r="AH351" s="1201"/>
      <c r="AI351" s="5924"/>
      <c r="AJ351" s="782">
        <f t="shared" si="421"/>
        <v>0</v>
      </c>
      <c r="AK351" s="5918"/>
      <c r="AL351" s="1201">
        <v>13.48</v>
      </c>
      <c r="AM351" s="5883"/>
      <c r="AN351" s="781">
        <f t="shared" si="422"/>
        <v>13.48</v>
      </c>
      <c r="AO351" s="5939"/>
      <c r="AP351" s="782">
        <f t="shared" si="423"/>
        <v>13.48</v>
      </c>
      <c r="AQ351" s="5918"/>
      <c r="AR351" s="1201"/>
      <c r="AS351" s="5924"/>
      <c r="AT351" s="782">
        <f t="shared" si="424"/>
        <v>13.48</v>
      </c>
      <c r="AU351" s="5918"/>
      <c r="AV351" s="1201"/>
      <c r="AW351" s="5924"/>
      <c r="AX351" s="782">
        <f t="shared" si="425"/>
        <v>13.48</v>
      </c>
      <c r="AY351" s="5918"/>
      <c r="AZ351" s="1201"/>
      <c r="BA351" s="5883"/>
      <c r="BB351" s="781">
        <f t="shared" si="436"/>
        <v>0</v>
      </c>
      <c r="BC351" s="5890"/>
      <c r="BD351" s="3562">
        <f t="shared" si="427"/>
        <v>13.48</v>
      </c>
      <c r="BE351" s="5924"/>
      <c r="BF351" s="782">
        <f t="shared" si="428"/>
        <v>13.48</v>
      </c>
      <c r="BG351" s="26"/>
      <c r="BH351" s="26"/>
      <c r="BI351" s="26"/>
      <c r="BJ351" s="26"/>
      <c r="BK351" s="26"/>
    </row>
    <row r="352" spans="1:63" x14ac:dyDescent="0.25">
      <c r="A352" s="199"/>
      <c r="B352" s="5639" t="s">
        <v>1637</v>
      </c>
      <c r="C352" s="5640" t="s">
        <v>1676</v>
      </c>
      <c r="D352" s="5641"/>
      <c r="E352" s="5956"/>
      <c r="F352" s="1201"/>
      <c r="G352" s="5956"/>
      <c r="H352" s="1201"/>
      <c r="I352" s="5939"/>
      <c r="J352" s="782">
        <f t="shared" si="429"/>
        <v>0</v>
      </c>
      <c r="K352" s="5956"/>
      <c r="L352" s="1201"/>
      <c r="M352" s="5883"/>
      <c r="N352" s="781">
        <f t="shared" si="430"/>
        <v>0</v>
      </c>
      <c r="O352" s="5956"/>
      <c r="P352" s="1201"/>
      <c r="Q352" s="5939"/>
      <c r="R352" s="782">
        <f t="shared" si="431"/>
        <v>0</v>
      </c>
      <c r="S352" s="5956"/>
      <c r="T352" s="1201"/>
      <c r="U352" s="5939"/>
      <c r="V352" s="782">
        <f t="shared" si="432"/>
        <v>0</v>
      </c>
      <c r="W352" s="5956"/>
      <c r="X352" s="1201"/>
      <c r="Y352" s="5883"/>
      <c r="Z352" s="781">
        <f t="shared" si="433"/>
        <v>0</v>
      </c>
      <c r="AA352" s="5890"/>
      <c r="AB352" s="3562">
        <f t="shared" si="434"/>
        <v>0</v>
      </c>
      <c r="AC352" s="5918"/>
      <c r="AD352" s="1201"/>
      <c r="AE352" s="5939"/>
      <c r="AF352" s="782">
        <f t="shared" si="435"/>
        <v>0</v>
      </c>
      <c r="AG352" s="5918"/>
      <c r="AH352" s="1201"/>
      <c r="AI352" s="5924"/>
      <c r="AJ352" s="782">
        <f t="shared" si="421"/>
        <v>0</v>
      </c>
      <c r="AK352" s="5918"/>
      <c r="AL352" s="1201"/>
      <c r="AM352" s="5883"/>
      <c r="AN352" s="781">
        <f t="shared" si="422"/>
        <v>0</v>
      </c>
      <c r="AO352" s="5939"/>
      <c r="AP352" s="782">
        <f t="shared" si="423"/>
        <v>0</v>
      </c>
      <c r="AQ352" s="5918"/>
      <c r="AR352" s="1201"/>
      <c r="AS352" s="5924"/>
      <c r="AT352" s="782">
        <f t="shared" si="424"/>
        <v>0</v>
      </c>
      <c r="AU352" s="5918"/>
      <c r="AV352" s="1201"/>
      <c r="AW352" s="5924"/>
      <c r="AX352" s="782">
        <f t="shared" si="425"/>
        <v>0</v>
      </c>
      <c r="AY352" s="5918"/>
      <c r="AZ352" s="1201"/>
      <c r="BA352" s="5883"/>
      <c r="BB352" s="781">
        <f t="shared" si="436"/>
        <v>0</v>
      </c>
      <c r="BC352" s="5890"/>
      <c r="BD352" s="3562">
        <f t="shared" si="427"/>
        <v>0</v>
      </c>
      <c r="BE352" s="5924"/>
      <c r="BF352" s="782">
        <f t="shared" si="428"/>
        <v>0</v>
      </c>
      <c r="BG352" s="26"/>
      <c r="BH352" s="26"/>
      <c r="BI352" s="26"/>
      <c r="BJ352" s="26"/>
      <c r="BK352" s="26"/>
    </row>
    <row r="353" spans="1:63" x14ac:dyDescent="0.25">
      <c r="A353" s="199"/>
      <c r="B353" s="5642" t="s">
        <v>2355</v>
      </c>
      <c r="C353" s="5643" t="s">
        <v>903</v>
      </c>
      <c r="D353" s="5643"/>
      <c r="E353" s="5957"/>
      <c r="F353" s="5553"/>
      <c r="G353" s="5957"/>
      <c r="H353" s="5553"/>
      <c r="I353" s="5945"/>
      <c r="J353" s="5554"/>
      <c r="K353" s="5957"/>
      <c r="L353" s="5553"/>
      <c r="M353" s="5889"/>
      <c r="N353" s="5555"/>
      <c r="O353" s="5957"/>
      <c r="P353" s="5553"/>
      <c r="Q353" s="5945"/>
      <c r="R353" s="5554"/>
      <c r="S353" s="5957"/>
      <c r="T353" s="5553"/>
      <c r="U353" s="5945"/>
      <c r="V353" s="5554"/>
      <c r="W353" s="5957"/>
      <c r="X353" s="5553">
        <v>327.35000000000002</v>
      </c>
      <c r="Y353" s="5889"/>
      <c r="Z353" s="5555"/>
      <c r="AA353" s="5896"/>
      <c r="AB353" s="5556"/>
      <c r="AC353" s="5921"/>
      <c r="AD353" s="5553"/>
      <c r="AE353" s="5945"/>
      <c r="AF353" s="5554"/>
      <c r="AG353" s="5921"/>
      <c r="AH353" s="5553"/>
      <c r="AI353" s="5924"/>
      <c r="AJ353" s="5554"/>
      <c r="AK353" s="5921"/>
      <c r="AL353" s="5553"/>
      <c r="AM353" s="5889"/>
      <c r="AN353" s="5555"/>
      <c r="AO353" s="5945"/>
      <c r="AP353" s="5554"/>
      <c r="AQ353" s="5921"/>
      <c r="AR353" s="5553"/>
      <c r="AS353" s="5924"/>
      <c r="AT353" s="5554"/>
      <c r="AU353" s="5921"/>
      <c r="AV353" s="5553"/>
      <c r="AW353" s="5924"/>
      <c r="AX353" s="5554"/>
      <c r="AY353" s="5921"/>
      <c r="AZ353" s="5553"/>
      <c r="BA353" s="5889"/>
      <c r="BB353" s="5555"/>
      <c r="BC353" s="5896"/>
      <c r="BD353" s="5556"/>
      <c r="BE353" s="5924"/>
      <c r="BF353" s="5554"/>
      <c r="BG353" s="26"/>
      <c r="BH353" s="26"/>
      <c r="BI353" s="26"/>
      <c r="BJ353" s="26"/>
      <c r="BK353" s="26"/>
    </row>
    <row r="354" spans="1:63" x14ac:dyDescent="0.25">
      <c r="A354" s="199"/>
      <c r="B354" s="5642" t="s">
        <v>2351</v>
      </c>
      <c r="C354" s="5643" t="s">
        <v>903</v>
      </c>
      <c r="D354" s="5643"/>
      <c r="E354" s="5957"/>
      <c r="F354" s="5553"/>
      <c r="G354" s="5957"/>
      <c r="H354" s="5553"/>
      <c r="I354" s="5945"/>
      <c r="J354" s="5554"/>
      <c r="K354" s="5957"/>
      <c r="L354" s="5553"/>
      <c r="M354" s="5889"/>
      <c r="N354" s="5555"/>
      <c r="O354" s="5957"/>
      <c r="P354" s="5553"/>
      <c r="Q354" s="5945"/>
      <c r="R354" s="5554"/>
      <c r="S354" s="5957"/>
      <c r="T354" s="5553"/>
      <c r="U354" s="5945"/>
      <c r="V354" s="5554"/>
      <c r="W354" s="5957"/>
      <c r="X354" s="5553">
        <v>499.25</v>
      </c>
      <c r="Y354" s="5889"/>
      <c r="Z354" s="5555"/>
      <c r="AA354" s="5896"/>
      <c r="AB354" s="5556"/>
      <c r="AC354" s="5921"/>
      <c r="AD354" s="5553"/>
      <c r="AE354" s="5945"/>
      <c r="AF354" s="5554"/>
      <c r="AG354" s="5921"/>
      <c r="AH354" s="5553"/>
      <c r="AI354" s="5924"/>
      <c r="AJ354" s="5554"/>
      <c r="AK354" s="5921"/>
      <c r="AL354" s="5553"/>
      <c r="AM354" s="5889"/>
      <c r="AN354" s="5555"/>
      <c r="AO354" s="5945"/>
      <c r="AP354" s="5554"/>
      <c r="AQ354" s="5921"/>
      <c r="AR354" s="5553"/>
      <c r="AS354" s="5924"/>
      <c r="AT354" s="5554"/>
      <c r="AU354" s="5921"/>
      <c r="AV354" s="5553"/>
      <c r="AW354" s="5924"/>
      <c r="AX354" s="5554"/>
      <c r="AY354" s="5921"/>
      <c r="AZ354" s="5553"/>
      <c r="BA354" s="5889"/>
      <c r="BB354" s="5555"/>
      <c r="BC354" s="5896"/>
      <c r="BD354" s="5556"/>
      <c r="BE354" s="5924"/>
      <c r="BF354" s="5554"/>
      <c r="BG354" s="26"/>
      <c r="BH354" s="26"/>
      <c r="BI354" s="26"/>
      <c r="BJ354" s="26"/>
      <c r="BK354" s="26"/>
    </row>
    <row r="355" spans="1:63" x14ac:dyDescent="0.25">
      <c r="A355" s="199"/>
      <c r="B355" s="5642" t="s">
        <v>2356</v>
      </c>
      <c r="C355" s="5643" t="s">
        <v>903</v>
      </c>
      <c r="D355" s="5643"/>
      <c r="E355" s="5958"/>
      <c r="F355" s="5499"/>
      <c r="G355" s="5958"/>
      <c r="H355" s="5499"/>
      <c r="I355" s="5942"/>
      <c r="J355" s="782">
        <f t="shared" si="429"/>
        <v>0</v>
      </c>
      <c r="K355" s="5958"/>
      <c r="L355" s="5499">
        <v>1483.36</v>
      </c>
      <c r="M355" s="5886"/>
      <c r="N355" s="781">
        <f t="shared" si="430"/>
        <v>1483.36</v>
      </c>
      <c r="O355" s="5958"/>
      <c r="P355" s="5499">
        <v>1500.4</v>
      </c>
      <c r="Q355" s="5942"/>
      <c r="R355" s="782">
        <f t="shared" si="431"/>
        <v>2983.76</v>
      </c>
      <c r="S355" s="5958"/>
      <c r="T355" s="5499">
        <v>1579.3600000000001</v>
      </c>
      <c r="U355" s="5942"/>
      <c r="V355" s="782">
        <f t="shared" si="432"/>
        <v>4563.1200000000008</v>
      </c>
      <c r="W355" s="5958"/>
      <c r="X355" s="5499">
        <v>790.25</v>
      </c>
      <c r="Y355" s="5886"/>
      <c r="Z355" s="781">
        <f t="shared" si="433"/>
        <v>3870.01</v>
      </c>
      <c r="AA355" s="5893"/>
      <c r="AB355" s="3562">
        <f t="shared" si="434"/>
        <v>5353.37</v>
      </c>
      <c r="AC355" s="5922"/>
      <c r="AD355" s="5499"/>
      <c r="AE355" s="5942"/>
      <c r="AF355" s="782">
        <f t="shared" si="435"/>
        <v>5353.37</v>
      </c>
      <c r="AG355" s="5922"/>
      <c r="AH355" s="5499"/>
      <c r="AI355" s="5924"/>
      <c r="AJ355" s="5444"/>
      <c r="AK355" s="5922"/>
      <c r="AL355" s="5499"/>
      <c r="AM355" s="5886"/>
      <c r="AN355" s="5450"/>
      <c r="AO355" s="5942"/>
      <c r="AP355" s="5444"/>
      <c r="AQ355" s="5922"/>
      <c r="AR355" s="5499"/>
      <c r="AS355" s="5924"/>
      <c r="AT355" s="5444"/>
      <c r="AU355" s="5922"/>
      <c r="AV355" s="5499"/>
      <c r="AW355" s="5924"/>
      <c r="AX355" s="5444"/>
      <c r="AY355" s="5922"/>
      <c r="AZ355" s="5499"/>
      <c r="BA355" s="5886"/>
      <c r="BB355" s="5450"/>
      <c r="BC355" s="5893"/>
      <c r="BD355" s="5495"/>
      <c r="BE355" s="5924"/>
      <c r="BF355" s="5444"/>
      <c r="BG355" s="26"/>
      <c r="BH355" s="26"/>
      <c r="BI355" s="26"/>
      <c r="BJ355" s="26"/>
      <c r="BK355" s="26"/>
    </row>
    <row r="356" spans="1:63" x14ac:dyDescent="0.25">
      <c r="A356" s="199"/>
      <c r="B356" s="5642" t="s">
        <v>2356</v>
      </c>
      <c r="C356" s="5643" t="s">
        <v>904</v>
      </c>
      <c r="D356" s="5643"/>
      <c r="E356" s="5957"/>
      <c r="F356" s="5553"/>
      <c r="G356" s="5957"/>
      <c r="H356" s="5553"/>
      <c r="I356" s="5945"/>
      <c r="J356" s="782">
        <f t="shared" si="429"/>
        <v>0</v>
      </c>
      <c r="K356" s="5957"/>
      <c r="L356" s="5553"/>
      <c r="M356" s="5889"/>
      <c r="N356" s="781">
        <f t="shared" si="430"/>
        <v>0</v>
      </c>
      <c r="O356" s="5957"/>
      <c r="P356" s="5553"/>
      <c r="Q356" s="5945"/>
      <c r="R356" s="782">
        <f t="shared" si="431"/>
        <v>0</v>
      </c>
      <c r="S356" s="5957"/>
      <c r="T356" s="5553">
        <v>125.42</v>
      </c>
      <c r="U356" s="5945"/>
      <c r="V356" s="782">
        <f t="shared" si="432"/>
        <v>125.42</v>
      </c>
      <c r="W356" s="5957"/>
      <c r="X356" s="5553">
        <v>181.86</v>
      </c>
      <c r="Y356" s="5889"/>
      <c r="Z356" s="781">
        <f t="shared" si="433"/>
        <v>307.28000000000003</v>
      </c>
      <c r="AA356" s="5896"/>
      <c r="AB356" s="3562">
        <f t="shared" si="434"/>
        <v>307.28000000000003</v>
      </c>
      <c r="AC356" s="5921"/>
      <c r="AD356" s="5553"/>
      <c r="AE356" s="5945"/>
      <c r="AF356" s="782">
        <f t="shared" si="435"/>
        <v>307.28000000000003</v>
      </c>
      <c r="AG356" s="5921"/>
      <c r="AH356" s="5553"/>
      <c r="AI356" s="5924"/>
      <c r="AJ356" s="5554"/>
      <c r="AK356" s="5921"/>
      <c r="AL356" s="5553"/>
      <c r="AM356" s="5889"/>
      <c r="AN356" s="5555"/>
      <c r="AO356" s="5945"/>
      <c r="AP356" s="5554"/>
      <c r="AQ356" s="5921"/>
      <c r="AR356" s="5553"/>
      <c r="AS356" s="5924"/>
      <c r="AT356" s="5554"/>
      <c r="AU356" s="5921"/>
      <c r="AV356" s="5553"/>
      <c r="AW356" s="5924"/>
      <c r="AX356" s="5554"/>
      <c r="AY356" s="5921"/>
      <c r="AZ356" s="5553"/>
      <c r="BA356" s="5889"/>
      <c r="BB356" s="5555"/>
      <c r="BC356" s="5896"/>
      <c r="BD356" s="5556"/>
      <c r="BE356" s="5924"/>
      <c r="BF356" s="5554"/>
      <c r="BG356" s="26"/>
      <c r="BH356" s="26"/>
      <c r="BI356" s="26"/>
      <c r="BJ356" s="26"/>
      <c r="BK356" s="26"/>
    </row>
    <row r="357" spans="1:63" x14ac:dyDescent="0.25">
      <c r="A357" s="199"/>
      <c r="B357" s="5642" t="s">
        <v>2357</v>
      </c>
      <c r="C357" s="5643" t="s">
        <v>903</v>
      </c>
      <c r="D357" s="5643"/>
      <c r="E357" s="5958"/>
      <c r="F357" s="5499"/>
      <c r="G357" s="5958"/>
      <c r="H357" s="5499"/>
      <c r="I357" s="5942"/>
      <c r="J357" s="782">
        <f t="shared" si="429"/>
        <v>0</v>
      </c>
      <c r="K357" s="5958"/>
      <c r="L357" s="5499">
        <v>553.91999999999996</v>
      </c>
      <c r="M357" s="5886"/>
      <c r="N357" s="781">
        <f t="shared" si="430"/>
        <v>553.91999999999996</v>
      </c>
      <c r="O357" s="5958"/>
      <c r="P357" s="5499">
        <v>428.03</v>
      </c>
      <c r="Q357" s="5942"/>
      <c r="R357" s="782">
        <f t="shared" si="431"/>
        <v>981.94999999999993</v>
      </c>
      <c r="S357" s="5958"/>
      <c r="T357" s="5499">
        <v>564.14</v>
      </c>
      <c r="U357" s="5942"/>
      <c r="V357" s="782">
        <f t="shared" si="432"/>
        <v>1546.09</v>
      </c>
      <c r="W357" s="5958"/>
      <c r="X357" s="5499">
        <v>318.54000000000002</v>
      </c>
      <c r="Y357" s="5886"/>
      <c r="Z357" s="781">
        <f t="shared" si="433"/>
        <v>1310.71</v>
      </c>
      <c r="AA357" s="5893"/>
      <c r="AB357" s="3562">
        <f t="shared" si="434"/>
        <v>1864.63</v>
      </c>
      <c r="AC357" s="5922"/>
      <c r="AD357" s="5499"/>
      <c r="AE357" s="5942"/>
      <c r="AF357" s="782">
        <f t="shared" si="435"/>
        <v>1864.63</v>
      </c>
      <c r="AG357" s="5922"/>
      <c r="AH357" s="5499"/>
      <c r="AI357" s="5924"/>
      <c r="AJ357" s="5444"/>
      <c r="AK357" s="5922"/>
      <c r="AL357" s="5499"/>
      <c r="AM357" s="5886"/>
      <c r="AN357" s="5450"/>
      <c r="AO357" s="5942"/>
      <c r="AP357" s="5444"/>
      <c r="AQ357" s="5922"/>
      <c r="AR357" s="5499"/>
      <c r="AS357" s="5924"/>
      <c r="AT357" s="5444"/>
      <c r="AU357" s="5922"/>
      <c r="AV357" s="5499"/>
      <c r="AW357" s="5924"/>
      <c r="AX357" s="5444"/>
      <c r="AY357" s="5922"/>
      <c r="AZ357" s="5499"/>
      <c r="BA357" s="5886"/>
      <c r="BB357" s="5450"/>
      <c r="BC357" s="5893"/>
      <c r="BD357" s="5495"/>
      <c r="BE357" s="5924"/>
      <c r="BF357" s="5444"/>
      <c r="BG357" s="26"/>
      <c r="BH357" s="26"/>
      <c r="BI357" s="26"/>
      <c r="BJ357" s="26"/>
      <c r="BK357" s="26"/>
    </row>
    <row r="358" spans="1:63" x14ac:dyDescent="0.25">
      <c r="A358" s="199"/>
      <c r="B358" s="5642" t="s">
        <v>2358</v>
      </c>
      <c r="C358" s="5643" t="s">
        <v>903</v>
      </c>
      <c r="D358" s="5643"/>
      <c r="E358" s="5958"/>
      <c r="F358" s="5499"/>
      <c r="G358" s="5958"/>
      <c r="H358" s="5499"/>
      <c r="I358" s="5942"/>
      <c r="J358" s="782">
        <f t="shared" si="429"/>
        <v>0</v>
      </c>
      <c r="K358" s="5958"/>
      <c r="L358" s="5499">
        <v>456.54</v>
      </c>
      <c r="M358" s="5886"/>
      <c r="N358" s="781">
        <f t="shared" si="430"/>
        <v>456.54</v>
      </c>
      <c r="O358" s="5958"/>
      <c r="P358" s="5499">
        <v>746.46</v>
      </c>
      <c r="Q358" s="5942"/>
      <c r="R358" s="782">
        <f t="shared" si="431"/>
        <v>1203</v>
      </c>
      <c r="S358" s="5958"/>
      <c r="T358" s="5499">
        <v>285.14</v>
      </c>
      <c r="U358" s="5942"/>
      <c r="V358" s="782">
        <f t="shared" si="432"/>
        <v>1488.1399999999999</v>
      </c>
      <c r="W358" s="5958"/>
      <c r="X358" s="5499">
        <v>154.19</v>
      </c>
      <c r="Y358" s="5886"/>
      <c r="Z358" s="781">
        <f t="shared" si="433"/>
        <v>1185.79</v>
      </c>
      <c r="AA358" s="5893"/>
      <c r="AB358" s="3562">
        <f t="shared" si="434"/>
        <v>1642.33</v>
      </c>
      <c r="AC358" s="5922"/>
      <c r="AD358" s="5499"/>
      <c r="AE358" s="5942"/>
      <c r="AF358" s="782">
        <f t="shared" si="435"/>
        <v>1642.33</v>
      </c>
      <c r="AG358" s="5922"/>
      <c r="AH358" s="5499"/>
      <c r="AI358" s="5924"/>
      <c r="AJ358" s="5444"/>
      <c r="AK358" s="5922"/>
      <c r="AL358" s="5499"/>
      <c r="AM358" s="5886"/>
      <c r="AN358" s="5450"/>
      <c r="AO358" s="5942"/>
      <c r="AP358" s="5444"/>
      <c r="AQ358" s="5922"/>
      <c r="AR358" s="5499"/>
      <c r="AS358" s="5924"/>
      <c r="AT358" s="5444"/>
      <c r="AU358" s="5922"/>
      <c r="AV358" s="5499"/>
      <c r="AW358" s="5924"/>
      <c r="AX358" s="5444"/>
      <c r="AY358" s="5922"/>
      <c r="AZ358" s="5499"/>
      <c r="BA358" s="5886"/>
      <c r="BB358" s="5450"/>
      <c r="BC358" s="5893"/>
      <c r="BD358" s="5495"/>
      <c r="BE358" s="5924"/>
      <c r="BF358" s="5444"/>
      <c r="BG358" s="26"/>
      <c r="BH358" s="26"/>
      <c r="BI358" s="26"/>
      <c r="BJ358" s="26"/>
      <c r="BK358" s="26"/>
    </row>
    <row r="359" spans="1:63" x14ac:dyDescent="0.25">
      <c r="A359" s="1444"/>
      <c r="B359" s="3673" t="s">
        <v>1391</v>
      </c>
      <c r="C359" s="3622" t="s">
        <v>904</v>
      </c>
      <c r="D359" s="3599"/>
      <c r="E359" s="5918"/>
      <c r="F359" s="1201">
        <v>204.03</v>
      </c>
      <c r="G359" s="5918"/>
      <c r="H359" s="1201">
        <v>2531.3500000000004</v>
      </c>
      <c r="I359" s="5939"/>
      <c r="J359" s="782">
        <f t="shared" si="429"/>
        <v>2735.3800000000006</v>
      </c>
      <c r="K359" s="5918"/>
      <c r="L359" s="1201">
        <v>2324.59</v>
      </c>
      <c r="M359" s="5883"/>
      <c r="N359" s="781">
        <f t="shared" si="430"/>
        <v>5059.9700000000012</v>
      </c>
      <c r="O359" s="5918"/>
      <c r="P359" s="1201"/>
      <c r="Q359" s="5939"/>
      <c r="R359" s="782">
        <f t="shared" si="431"/>
        <v>5059.9700000000012</v>
      </c>
      <c r="S359" s="5918"/>
      <c r="T359" s="1201">
        <v>884.22</v>
      </c>
      <c r="U359" s="5939"/>
      <c r="V359" s="782">
        <f t="shared" si="432"/>
        <v>5944.1900000000014</v>
      </c>
      <c r="W359" s="5918"/>
      <c r="X359" s="1201">
        <v>2002.46</v>
      </c>
      <c r="Y359" s="5883"/>
      <c r="Z359" s="781">
        <f t="shared" si="433"/>
        <v>2886.6800000000003</v>
      </c>
      <c r="AA359" s="5890"/>
      <c r="AB359" s="3562">
        <f t="shared" si="434"/>
        <v>7946.6500000000015</v>
      </c>
      <c r="AC359" s="5918"/>
      <c r="AD359" s="1201">
        <v>2366.84</v>
      </c>
      <c r="AE359" s="5939"/>
      <c r="AF359" s="782">
        <f t="shared" si="435"/>
        <v>10313.490000000002</v>
      </c>
      <c r="AG359" s="5918"/>
      <c r="AH359" s="1201">
        <v>60.64</v>
      </c>
      <c r="AI359" s="5924"/>
      <c r="AJ359" s="782">
        <f t="shared" ref="AJ359:AJ373" si="437">AF359+AH359</f>
        <v>10374.130000000001</v>
      </c>
      <c r="AK359" s="5918"/>
      <c r="AL359" s="1201">
        <v>2870.8099999999995</v>
      </c>
      <c r="AM359" s="5883"/>
      <c r="AN359" s="781">
        <f t="shared" si="422"/>
        <v>5298.2899999999991</v>
      </c>
      <c r="AO359" s="5939"/>
      <c r="AP359" s="782">
        <f t="shared" si="423"/>
        <v>13244.94</v>
      </c>
      <c r="AQ359" s="5918"/>
      <c r="AR359" s="1201"/>
      <c r="AS359" s="5924"/>
      <c r="AT359" s="782">
        <f t="shared" si="424"/>
        <v>13244.94</v>
      </c>
      <c r="AU359" s="5918"/>
      <c r="AV359" s="1201">
        <v>2361.6999999999998</v>
      </c>
      <c r="AW359" s="5924"/>
      <c r="AX359" s="782">
        <f t="shared" si="425"/>
        <v>15606.64</v>
      </c>
      <c r="AY359" s="5918"/>
      <c r="AZ359" s="1201">
        <v>5353.8899999999994</v>
      </c>
      <c r="BA359" s="5883"/>
      <c r="BB359" s="781">
        <f t="shared" si="436"/>
        <v>7715.5899999999992</v>
      </c>
      <c r="BC359" s="5890"/>
      <c r="BD359" s="3562">
        <f t="shared" si="427"/>
        <v>13013.879999999997</v>
      </c>
      <c r="BE359" s="5924"/>
      <c r="BF359" s="782">
        <f t="shared" si="428"/>
        <v>20960.53</v>
      </c>
      <c r="BG359" s="26"/>
      <c r="BH359" s="26"/>
      <c r="BI359" s="26"/>
      <c r="BJ359" s="26"/>
      <c r="BK359" s="26"/>
    </row>
    <row r="360" spans="1:63" x14ac:dyDescent="0.25">
      <c r="A360" s="1444"/>
      <c r="B360" s="3673" t="s">
        <v>1391</v>
      </c>
      <c r="C360" s="3622" t="s">
        <v>903</v>
      </c>
      <c r="D360" s="3599"/>
      <c r="E360" s="5921"/>
      <c r="F360" s="5553"/>
      <c r="G360" s="5921"/>
      <c r="H360" s="5553"/>
      <c r="I360" s="5945"/>
      <c r="J360" s="5554"/>
      <c r="K360" s="5921"/>
      <c r="L360" s="5553"/>
      <c r="M360" s="5889"/>
      <c r="N360" s="5555"/>
      <c r="O360" s="5921"/>
      <c r="P360" s="5553"/>
      <c r="Q360" s="5945"/>
      <c r="R360" s="5554"/>
      <c r="S360" s="5921"/>
      <c r="T360" s="5553"/>
      <c r="U360" s="5945"/>
      <c r="V360" s="5554"/>
      <c r="W360" s="5921"/>
      <c r="X360" s="5553">
        <v>442.58</v>
      </c>
      <c r="Y360" s="5889"/>
      <c r="Z360" s="781">
        <f t="shared" si="433"/>
        <v>442.58</v>
      </c>
      <c r="AA360" s="5896"/>
      <c r="AB360" s="3562">
        <f t="shared" si="434"/>
        <v>442.58</v>
      </c>
      <c r="AC360" s="5921"/>
      <c r="AD360" s="5553"/>
      <c r="AE360" s="5945"/>
      <c r="AF360" s="5554"/>
      <c r="AG360" s="5921"/>
      <c r="AH360" s="5553"/>
      <c r="AI360" s="5924"/>
      <c r="AJ360" s="5554"/>
      <c r="AK360" s="5921"/>
      <c r="AL360" s="5553"/>
      <c r="AM360" s="5889"/>
      <c r="AN360" s="5555"/>
      <c r="AO360" s="5945"/>
      <c r="AP360" s="5554"/>
      <c r="AQ360" s="5921"/>
      <c r="AR360" s="5553"/>
      <c r="AS360" s="5924"/>
      <c r="AT360" s="5554"/>
      <c r="AU360" s="5921"/>
      <c r="AV360" s="5553"/>
      <c r="AW360" s="5924"/>
      <c r="AX360" s="5554"/>
      <c r="AY360" s="5921"/>
      <c r="AZ360" s="5553"/>
      <c r="BA360" s="5889"/>
      <c r="BB360" s="5555"/>
      <c r="BC360" s="5896"/>
      <c r="BD360" s="5556"/>
      <c r="BE360" s="5924"/>
      <c r="BF360" s="5554"/>
      <c r="BG360" s="26"/>
      <c r="BH360" s="26"/>
      <c r="BI360" s="26"/>
      <c r="BJ360" s="26"/>
      <c r="BK360" s="26"/>
    </row>
    <row r="361" spans="1:63" x14ac:dyDescent="0.25">
      <c r="A361" s="1444"/>
      <c r="B361" s="3673" t="s">
        <v>1391</v>
      </c>
      <c r="C361" s="3622" t="s">
        <v>2354</v>
      </c>
      <c r="D361" s="3599"/>
      <c r="E361" s="5921"/>
      <c r="F361" s="5553"/>
      <c r="G361" s="5921"/>
      <c r="H361" s="5553"/>
      <c r="I361" s="5945"/>
      <c r="J361" s="5554"/>
      <c r="K361" s="5921"/>
      <c r="L361" s="5553"/>
      <c r="M361" s="5889"/>
      <c r="N361" s="5555"/>
      <c r="O361" s="5921"/>
      <c r="P361" s="5553"/>
      <c r="Q361" s="5945"/>
      <c r="R361" s="5554"/>
      <c r="S361" s="5921"/>
      <c r="T361" s="5553"/>
      <c r="U361" s="5945"/>
      <c r="V361" s="782">
        <f t="shared" si="432"/>
        <v>0</v>
      </c>
      <c r="W361" s="5921"/>
      <c r="X361" s="5553">
        <v>58.38</v>
      </c>
      <c r="Y361" s="5889"/>
      <c r="Z361" s="781">
        <f t="shared" si="433"/>
        <v>58.38</v>
      </c>
      <c r="AA361" s="5896"/>
      <c r="AB361" s="3562">
        <f t="shared" si="434"/>
        <v>58.38</v>
      </c>
      <c r="AC361" s="5921"/>
      <c r="AD361" s="5553"/>
      <c r="AE361" s="5945"/>
      <c r="AF361" s="5554"/>
      <c r="AG361" s="5921"/>
      <c r="AH361" s="5553"/>
      <c r="AI361" s="5924"/>
      <c r="AJ361" s="5554"/>
      <c r="AK361" s="5921"/>
      <c r="AL361" s="5553"/>
      <c r="AM361" s="5889"/>
      <c r="AN361" s="5555"/>
      <c r="AO361" s="5945"/>
      <c r="AP361" s="5554"/>
      <c r="AQ361" s="5921"/>
      <c r="AR361" s="5553"/>
      <c r="AS361" s="5924"/>
      <c r="AT361" s="5554"/>
      <c r="AU361" s="5921"/>
      <c r="AV361" s="5553"/>
      <c r="AW361" s="5924"/>
      <c r="AX361" s="5554"/>
      <c r="AY361" s="5921"/>
      <c r="AZ361" s="5553"/>
      <c r="BA361" s="5889"/>
      <c r="BB361" s="5555"/>
      <c r="BC361" s="5896"/>
      <c r="BD361" s="5556"/>
      <c r="BE361" s="5924"/>
      <c r="BF361" s="5554"/>
      <c r="BG361" s="26"/>
      <c r="BH361" s="26"/>
      <c r="BI361" s="26"/>
      <c r="BJ361" s="26"/>
      <c r="BK361" s="26"/>
    </row>
    <row r="362" spans="1:63" x14ac:dyDescent="0.25">
      <c r="A362" s="1444"/>
      <c r="B362" s="3673" t="s">
        <v>1391</v>
      </c>
      <c r="C362" s="3622" t="s">
        <v>2282</v>
      </c>
      <c r="D362" s="3599"/>
      <c r="E362" s="5919"/>
      <c r="F362" s="2647"/>
      <c r="G362" s="5919"/>
      <c r="H362" s="2647"/>
      <c r="I362" s="5941"/>
      <c r="J362" s="782">
        <f t="shared" si="429"/>
        <v>0</v>
      </c>
      <c r="K362" s="5919"/>
      <c r="L362" s="2647">
        <v>436.43999999999994</v>
      </c>
      <c r="M362" s="5885"/>
      <c r="N362" s="781">
        <f t="shared" si="430"/>
        <v>436.43999999999994</v>
      </c>
      <c r="O362" s="5919"/>
      <c r="P362" s="2647"/>
      <c r="Q362" s="5941"/>
      <c r="R362" s="782">
        <f t="shared" si="431"/>
        <v>436.43999999999994</v>
      </c>
      <c r="S362" s="5919"/>
      <c r="T362" s="2647">
        <v>194.10000000000002</v>
      </c>
      <c r="U362" s="5941"/>
      <c r="V362" s="782">
        <f t="shared" si="432"/>
        <v>630.54</v>
      </c>
      <c r="W362" s="5919"/>
      <c r="X362" s="2647"/>
      <c r="Y362" s="5885"/>
      <c r="Z362" s="781">
        <f t="shared" si="433"/>
        <v>194.10000000000002</v>
      </c>
      <c r="AA362" s="5892"/>
      <c r="AB362" s="3562">
        <f t="shared" si="434"/>
        <v>630.54</v>
      </c>
      <c r="AC362" s="5919"/>
      <c r="AD362" s="2647"/>
      <c r="AE362" s="5941"/>
      <c r="AF362" s="782">
        <f t="shared" si="435"/>
        <v>630.54</v>
      </c>
      <c r="AG362" s="5919"/>
      <c r="AH362" s="2647"/>
      <c r="AI362" s="5924"/>
      <c r="AJ362" s="782">
        <f t="shared" si="437"/>
        <v>630.54</v>
      </c>
      <c r="AK362" s="5919"/>
      <c r="AL362" s="2647"/>
      <c r="AM362" s="5885"/>
      <c r="AN362" s="781">
        <f t="shared" si="422"/>
        <v>0</v>
      </c>
      <c r="AO362" s="5941"/>
      <c r="AP362" s="782">
        <f t="shared" si="423"/>
        <v>630.54</v>
      </c>
      <c r="AQ362" s="5919"/>
      <c r="AR362" s="2647"/>
      <c r="AS362" s="5924"/>
      <c r="AT362" s="782">
        <f t="shared" si="424"/>
        <v>630.54</v>
      </c>
      <c r="AU362" s="5919"/>
      <c r="AV362" s="2647">
        <v>63.5</v>
      </c>
      <c r="AW362" s="5924"/>
      <c r="AX362" s="782">
        <f t="shared" si="425"/>
        <v>694.04</v>
      </c>
      <c r="AY362" s="5919"/>
      <c r="AZ362" s="2647">
        <v>193.01999999999998</v>
      </c>
      <c r="BA362" s="5885"/>
      <c r="BB362" s="781">
        <f t="shared" si="436"/>
        <v>256.52</v>
      </c>
      <c r="BC362" s="5892"/>
      <c r="BD362" s="3562">
        <f t="shared" si="427"/>
        <v>256.52</v>
      </c>
      <c r="BE362" s="5924"/>
      <c r="BF362" s="782">
        <f t="shared" si="428"/>
        <v>887.06</v>
      </c>
      <c r="BG362" s="26"/>
      <c r="BH362" s="26"/>
      <c r="BI362" s="26"/>
      <c r="BJ362" s="26"/>
      <c r="BK362" s="26"/>
    </row>
    <row r="363" spans="1:63" x14ac:dyDescent="0.25">
      <c r="A363" s="1444"/>
      <c r="B363" s="3698" t="s">
        <v>2301</v>
      </c>
      <c r="C363" s="3629" t="s">
        <v>2282</v>
      </c>
      <c r="D363" s="3630"/>
      <c r="E363" s="5920"/>
      <c r="F363" s="2492"/>
      <c r="G363" s="5920"/>
      <c r="H363" s="2492"/>
      <c r="I363" s="5943"/>
      <c r="J363" s="782">
        <f t="shared" si="429"/>
        <v>0</v>
      </c>
      <c r="K363" s="5920"/>
      <c r="L363" s="2492"/>
      <c r="M363" s="5887"/>
      <c r="N363" s="781">
        <f t="shared" si="430"/>
        <v>0</v>
      </c>
      <c r="O363" s="5920"/>
      <c r="P363" s="2492">
        <v>36.74</v>
      </c>
      <c r="Q363" s="5943"/>
      <c r="R363" s="782">
        <f t="shared" si="431"/>
        <v>36.74</v>
      </c>
      <c r="S363" s="5920"/>
      <c r="T363" s="2492"/>
      <c r="U363" s="5943"/>
      <c r="V363" s="782">
        <f t="shared" si="432"/>
        <v>36.74</v>
      </c>
      <c r="W363" s="5920"/>
      <c r="X363" s="2492"/>
      <c r="Y363" s="5887"/>
      <c r="Z363" s="781">
        <f t="shared" si="433"/>
        <v>36.74</v>
      </c>
      <c r="AA363" s="5894"/>
      <c r="AB363" s="3562">
        <f t="shared" si="434"/>
        <v>36.74</v>
      </c>
      <c r="AC363" s="5920"/>
      <c r="AD363" s="2492"/>
      <c r="AE363" s="5943"/>
      <c r="AF363" s="782">
        <f t="shared" si="435"/>
        <v>36.74</v>
      </c>
      <c r="AG363" s="5920"/>
      <c r="AH363" s="2492"/>
      <c r="AI363" s="5924"/>
      <c r="AJ363" s="782">
        <f t="shared" si="437"/>
        <v>36.74</v>
      </c>
      <c r="AK363" s="5920"/>
      <c r="AL363" s="2492"/>
      <c r="AM363" s="5887"/>
      <c r="AN363" s="781">
        <f t="shared" si="422"/>
        <v>0</v>
      </c>
      <c r="AO363" s="5943"/>
      <c r="AP363" s="782">
        <f t="shared" si="423"/>
        <v>36.74</v>
      </c>
      <c r="AQ363" s="5920"/>
      <c r="AR363" s="2492"/>
      <c r="AS363" s="5924"/>
      <c r="AT363" s="782">
        <f t="shared" si="424"/>
        <v>36.74</v>
      </c>
      <c r="AU363" s="5920"/>
      <c r="AV363" s="2492">
        <v>247.16</v>
      </c>
      <c r="AW363" s="5924"/>
      <c r="AX363" s="782">
        <f t="shared" si="425"/>
        <v>283.89999999999998</v>
      </c>
      <c r="AY363" s="5920"/>
      <c r="AZ363" s="2492">
        <v>234.39</v>
      </c>
      <c r="BA363" s="5887"/>
      <c r="BB363" s="781">
        <f t="shared" si="436"/>
        <v>481.54999999999995</v>
      </c>
      <c r="BC363" s="5894"/>
      <c r="BD363" s="3562">
        <f t="shared" si="427"/>
        <v>481.54999999999995</v>
      </c>
      <c r="BE363" s="5924"/>
      <c r="BF363" s="782">
        <f t="shared" si="428"/>
        <v>518.29</v>
      </c>
      <c r="BG363" s="26"/>
      <c r="BH363" s="26"/>
      <c r="BI363" s="26"/>
      <c r="BJ363" s="26"/>
      <c r="BK363" s="26"/>
    </row>
    <row r="364" spans="1:63" x14ac:dyDescent="0.25">
      <c r="A364" s="1444"/>
      <c r="B364" s="5496" t="s">
        <v>2301</v>
      </c>
      <c r="C364" s="5497" t="s">
        <v>903</v>
      </c>
      <c r="D364" s="5498"/>
      <c r="E364" s="5922"/>
      <c r="F364" s="5499"/>
      <c r="G364" s="5922"/>
      <c r="H364" s="5499"/>
      <c r="I364" s="5942"/>
      <c r="J364" s="782">
        <f t="shared" si="429"/>
        <v>0</v>
      </c>
      <c r="K364" s="5922"/>
      <c r="L364" s="5499"/>
      <c r="M364" s="5886"/>
      <c r="N364" s="781">
        <f t="shared" si="430"/>
        <v>0</v>
      </c>
      <c r="O364" s="5922"/>
      <c r="P364" s="5499"/>
      <c r="Q364" s="5942"/>
      <c r="R364" s="782">
        <f t="shared" si="431"/>
        <v>0</v>
      </c>
      <c r="S364" s="5922"/>
      <c r="T364" s="5499">
        <v>159.56</v>
      </c>
      <c r="U364" s="5942"/>
      <c r="V364" s="782">
        <f t="shared" si="432"/>
        <v>159.56</v>
      </c>
      <c r="W364" s="5922"/>
      <c r="X364" s="5499"/>
      <c r="Y364" s="5886"/>
      <c r="Z364" s="781">
        <f t="shared" si="433"/>
        <v>159.56</v>
      </c>
      <c r="AA364" s="5893"/>
      <c r="AB364" s="3562">
        <f t="shared" si="434"/>
        <v>159.56</v>
      </c>
      <c r="AC364" s="5922"/>
      <c r="AD364" s="5499"/>
      <c r="AE364" s="5942"/>
      <c r="AF364" s="782">
        <f t="shared" si="435"/>
        <v>159.56</v>
      </c>
      <c r="AG364" s="5922"/>
      <c r="AH364" s="5499"/>
      <c r="AI364" s="5924"/>
      <c r="AJ364" s="5444"/>
      <c r="AK364" s="5922"/>
      <c r="AL364" s="5499"/>
      <c r="AM364" s="5886"/>
      <c r="AN364" s="5450"/>
      <c r="AO364" s="5942"/>
      <c r="AP364" s="5444"/>
      <c r="AQ364" s="5922"/>
      <c r="AR364" s="5499"/>
      <c r="AS364" s="5924"/>
      <c r="AT364" s="5444"/>
      <c r="AU364" s="5922"/>
      <c r="AV364" s="5499"/>
      <c r="AW364" s="5924"/>
      <c r="AX364" s="5444"/>
      <c r="AY364" s="5922"/>
      <c r="AZ364" s="5499"/>
      <c r="BA364" s="5886"/>
      <c r="BB364" s="5450"/>
      <c r="BC364" s="5893"/>
      <c r="BD364" s="5495"/>
      <c r="BE364" s="5924"/>
      <c r="BF364" s="5444"/>
      <c r="BG364" s="26"/>
      <c r="BH364" s="26"/>
      <c r="BI364" s="26"/>
      <c r="BJ364" s="26"/>
      <c r="BK364" s="26"/>
    </row>
    <row r="365" spans="1:63" x14ac:dyDescent="0.25">
      <c r="A365" s="1444"/>
      <c r="B365" s="5496" t="s">
        <v>2301</v>
      </c>
      <c r="C365" s="5497" t="s">
        <v>904</v>
      </c>
      <c r="D365" s="5498"/>
      <c r="E365" s="5922"/>
      <c r="F365" s="5499"/>
      <c r="G365" s="5922"/>
      <c r="H365" s="5499"/>
      <c r="I365" s="5942"/>
      <c r="J365" s="782">
        <f t="shared" si="429"/>
        <v>0</v>
      </c>
      <c r="K365" s="5922"/>
      <c r="L365" s="5499"/>
      <c r="M365" s="5886"/>
      <c r="N365" s="781">
        <f t="shared" si="430"/>
        <v>0</v>
      </c>
      <c r="O365" s="5922"/>
      <c r="P365" s="5499"/>
      <c r="Q365" s="5942"/>
      <c r="R365" s="782">
        <f t="shared" si="431"/>
        <v>0</v>
      </c>
      <c r="S365" s="5922"/>
      <c r="T365" s="5499">
        <v>1234.2699999999998</v>
      </c>
      <c r="U365" s="5942"/>
      <c r="V365" s="782">
        <f t="shared" si="432"/>
        <v>1234.2699999999998</v>
      </c>
      <c r="W365" s="5922"/>
      <c r="X365" s="5499">
        <v>404.23</v>
      </c>
      <c r="Y365" s="5886"/>
      <c r="Z365" s="781">
        <f t="shared" si="433"/>
        <v>1638.4999999999998</v>
      </c>
      <c r="AA365" s="5893"/>
      <c r="AB365" s="3562">
        <f t="shared" si="434"/>
        <v>1638.4999999999998</v>
      </c>
      <c r="AC365" s="5922"/>
      <c r="AD365" s="5499"/>
      <c r="AE365" s="5942"/>
      <c r="AF365" s="782">
        <f t="shared" si="435"/>
        <v>1638.4999999999998</v>
      </c>
      <c r="AG365" s="5922"/>
      <c r="AH365" s="5499"/>
      <c r="AI365" s="5924"/>
      <c r="AJ365" s="5444"/>
      <c r="AK365" s="5922"/>
      <c r="AL365" s="5499"/>
      <c r="AM365" s="5886"/>
      <c r="AN365" s="5450"/>
      <c r="AO365" s="5942"/>
      <c r="AP365" s="5444"/>
      <c r="AQ365" s="5922"/>
      <c r="AR365" s="5499"/>
      <c r="AS365" s="5924"/>
      <c r="AT365" s="5444"/>
      <c r="AU365" s="5922"/>
      <c r="AV365" s="5499"/>
      <c r="AW365" s="5924"/>
      <c r="AX365" s="5444"/>
      <c r="AY365" s="5922"/>
      <c r="AZ365" s="5499"/>
      <c r="BA365" s="5886"/>
      <c r="BB365" s="5450"/>
      <c r="BC365" s="5893"/>
      <c r="BD365" s="5495"/>
      <c r="BE365" s="5924"/>
      <c r="BF365" s="5444"/>
      <c r="BG365" s="26"/>
      <c r="BH365" s="26"/>
      <c r="BI365" s="26"/>
      <c r="BJ365" s="26"/>
      <c r="BK365" s="26"/>
    </row>
    <row r="366" spans="1:63" x14ac:dyDescent="0.25">
      <c r="A366" s="1444"/>
      <c r="B366" s="5496" t="s">
        <v>2332</v>
      </c>
      <c r="C366" s="5497" t="s">
        <v>904</v>
      </c>
      <c r="D366" s="5498"/>
      <c r="E366" s="5922"/>
      <c r="F366" s="5499"/>
      <c r="G366" s="5922"/>
      <c r="H366" s="5499"/>
      <c r="I366" s="5942"/>
      <c r="J366" s="782">
        <f t="shared" si="429"/>
        <v>0</v>
      </c>
      <c r="K366" s="5922"/>
      <c r="L366" s="5499"/>
      <c r="M366" s="5886"/>
      <c r="N366" s="781">
        <f t="shared" si="430"/>
        <v>0</v>
      </c>
      <c r="O366" s="5922"/>
      <c r="P366" s="5499"/>
      <c r="Q366" s="5942"/>
      <c r="R366" s="782">
        <f t="shared" si="431"/>
        <v>0</v>
      </c>
      <c r="S366" s="5922"/>
      <c r="T366" s="5499">
        <v>1016.57</v>
      </c>
      <c r="U366" s="5942"/>
      <c r="V366" s="782">
        <f t="shared" si="432"/>
        <v>1016.57</v>
      </c>
      <c r="W366" s="5922"/>
      <c r="X366" s="5499"/>
      <c r="Y366" s="5886"/>
      <c r="Z366" s="781">
        <f t="shared" si="433"/>
        <v>1016.57</v>
      </c>
      <c r="AA366" s="5893"/>
      <c r="AB366" s="3562">
        <f t="shared" si="434"/>
        <v>1016.57</v>
      </c>
      <c r="AC366" s="5922"/>
      <c r="AD366" s="5499"/>
      <c r="AE366" s="5942"/>
      <c r="AF366" s="782">
        <f t="shared" si="435"/>
        <v>1016.57</v>
      </c>
      <c r="AG366" s="5922"/>
      <c r="AH366" s="5499"/>
      <c r="AI366" s="5924"/>
      <c r="AJ366" s="5444"/>
      <c r="AK366" s="5922"/>
      <c r="AL366" s="5499"/>
      <c r="AM366" s="5886"/>
      <c r="AN366" s="5450"/>
      <c r="AO366" s="5942"/>
      <c r="AP366" s="5444"/>
      <c r="AQ366" s="5922"/>
      <c r="AR366" s="5499"/>
      <c r="AS366" s="5924"/>
      <c r="AT366" s="5444"/>
      <c r="AU366" s="5922"/>
      <c r="AV366" s="5499"/>
      <c r="AW366" s="5924"/>
      <c r="AX366" s="5444"/>
      <c r="AY366" s="5922"/>
      <c r="AZ366" s="5499"/>
      <c r="BA366" s="5886"/>
      <c r="BB366" s="5450"/>
      <c r="BC366" s="5893"/>
      <c r="BD366" s="5495"/>
      <c r="BE366" s="5924"/>
      <c r="BF366" s="5444"/>
      <c r="BG366" s="26"/>
      <c r="BH366" s="26"/>
      <c r="BI366" s="26"/>
      <c r="BJ366" s="26"/>
      <c r="BK366" s="26"/>
    </row>
    <row r="367" spans="1:63" x14ac:dyDescent="0.25">
      <c r="A367" s="154"/>
      <c r="B367" s="3654" t="s">
        <v>942</v>
      </c>
      <c r="C367" s="3616" t="s">
        <v>904</v>
      </c>
      <c r="D367" s="3587"/>
      <c r="E367" s="5918"/>
      <c r="F367" s="1201">
        <v>31.31</v>
      </c>
      <c r="G367" s="5918"/>
      <c r="H367" s="1201"/>
      <c r="I367" s="5939"/>
      <c r="J367" s="782">
        <f t="shared" si="429"/>
        <v>31.31</v>
      </c>
      <c r="K367" s="5918"/>
      <c r="L367" s="1201"/>
      <c r="M367" s="5883"/>
      <c r="N367" s="781">
        <f t="shared" si="430"/>
        <v>31.31</v>
      </c>
      <c r="O367" s="5918"/>
      <c r="P367" s="1201"/>
      <c r="Q367" s="5939"/>
      <c r="R367" s="782">
        <f t="shared" si="431"/>
        <v>31.31</v>
      </c>
      <c r="S367" s="5918"/>
      <c r="T367" s="1201">
        <v>1614.04</v>
      </c>
      <c r="U367" s="5939"/>
      <c r="V367" s="782">
        <f t="shared" si="432"/>
        <v>1645.35</v>
      </c>
      <c r="W367" s="5918"/>
      <c r="X367" s="1201"/>
      <c r="Y367" s="5883"/>
      <c r="Z367" s="781">
        <f t="shared" si="433"/>
        <v>1614.04</v>
      </c>
      <c r="AA367" s="5890"/>
      <c r="AB367" s="3562">
        <f t="shared" si="434"/>
        <v>1645.35</v>
      </c>
      <c r="AC367" s="5918"/>
      <c r="AD367" s="1201">
        <v>1722.3700000000001</v>
      </c>
      <c r="AE367" s="5939"/>
      <c r="AF367" s="782">
        <f t="shared" si="435"/>
        <v>3367.7200000000003</v>
      </c>
      <c r="AG367" s="5918"/>
      <c r="AH367" s="1201">
        <v>32.450000000000003</v>
      </c>
      <c r="AI367" s="5924"/>
      <c r="AJ367" s="782">
        <f t="shared" si="437"/>
        <v>3400.17</v>
      </c>
      <c r="AK367" s="5918"/>
      <c r="AL367" s="1201">
        <v>2351.0700000000002</v>
      </c>
      <c r="AM367" s="5883"/>
      <c r="AN367" s="781">
        <f t="shared" si="422"/>
        <v>4105.8900000000003</v>
      </c>
      <c r="AO367" s="5939"/>
      <c r="AP367" s="782">
        <f t="shared" si="423"/>
        <v>5751.24</v>
      </c>
      <c r="AQ367" s="5918"/>
      <c r="AR367" s="1201">
        <v>1824.69</v>
      </c>
      <c r="AS367" s="5924"/>
      <c r="AT367" s="782">
        <f t="shared" si="424"/>
        <v>7575.93</v>
      </c>
      <c r="AU367" s="5918"/>
      <c r="AV367" s="1201">
        <v>386.53999999999996</v>
      </c>
      <c r="AW367" s="5924"/>
      <c r="AX367" s="782">
        <f t="shared" si="425"/>
        <v>7962.47</v>
      </c>
      <c r="AY367" s="5918"/>
      <c r="AZ367" s="1201"/>
      <c r="BA367" s="5883"/>
      <c r="BB367" s="781">
        <f t="shared" si="436"/>
        <v>2211.23</v>
      </c>
      <c r="BC367" s="5890"/>
      <c r="BD367" s="3562">
        <f t="shared" si="427"/>
        <v>6317.1200000000008</v>
      </c>
      <c r="BE367" s="5924"/>
      <c r="BF367" s="782">
        <f t="shared" si="428"/>
        <v>7962.47</v>
      </c>
      <c r="BG367" s="26"/>
      <c r="BH367" s="26"/>
      <c r="BI367" s="26"/>
      <c r="BJ367" s="26"/>
      <c r="BK367" s="26"/>
    </row>
    <row r="368" spans="1:63" x14ac:dyDescent="0.25">
      <c r="A368" s="154"/>
      <c r="B368" s="3654" t="s">
        <v>2283</v>
      </c>
      <c r="C368" s="3616" t="s">
        <v>903</v>
      </c>
      <c r="D368" s="3587"/>
      <c r="E368" s="5918"/>
      <c r="F368" s="1201"/>
      <c r="G368" s="5918"/>
      <c r="H368" s="1201"/>
      <c r="I368" s="5939"/>
      <c r="J368" s="782">
        <f t="shared" si="429"/>
        <v>0</v>
      </c>
      <c r="K368" s="5918"/>
      <c r="L368" s="1201"/>
      <c r="M368" s="5883"/>
      <c r="N368" s="781">
        <f t="shared" si="430"/>
        <v>0</v>
      </c>
      <c r="O368" s="5918"/>
      <c r="P368" s="1201">
        <v>105.24</v>
      </c>
      <c r="Q368" s="5939"/>
      <c r="R368" s="782">
        <f t="shared" si="431"/>
        <v>105.24</v>
      </c>
      <c r="S368" s="5918"/>
      <c r="T368" s="1201"/>
      <c r="U368" s="5939"/>
      <c r="V368" s="782">
        <f t="shared" si="432"/>
        <v>105.24</v>
      </c>
      <c r="W368" s="5918"/>
      <c r="X368" s="1201"/>
      <c r="Y368" s="5883"/>
      <c r="Z368" s="781">
        <f t="shared" si="433"/>
        <v>105.24</v>
      </c>
      <c r="AA368" s="5890"/>
      <c r="AB368" s="3562">
        <f t="shared" si="434"/>
        <v>105.24</v>
      </c>
      <c r="AC368" s="5918"/>
      <c r="AD368" s="1201">
        <v>192.18</v>
      </c>
      <c r="AE368" s="5939"/>
      <c r="AF368" s="782">
        <f t="shared" si="435"/>
        <v>297.42</v>
      </c>
      <c r="AG368" s="5918"/>
      <c r="AH368" s="1201"/>
      <c r="AI368" s="5924"/>
      <c r="AJ368" s="782">
        <f t="shared" si="437"/>
        <v>297.42</v>
      </c>
      <c r="AK368" s="5918"/>
      <c r="AL368" s="1201"/>
      <c r="AM368" s="5883"/>
      <c r="AN368" s="781">
        <f t="shared" si="422"/>
        <v>192.18</v>
      </c>
      <c r="AO368" s="5939"/>
      <c r="AP368" s="782">
        <f t="shared" si="423"/>
        <v>297.42</v>
      </c>
      <c r="AQ368" s="5918"/>
      <c r="AR368" s="1201"/>
      <c r="AS368" s="5924"/>
      <c r="AT368" s="782">
        <f t="shared" si="424"/>
        <v>297.42</v>
      </c>
      <c r="AU368" s="5918"/>
      <c r="AV368" s="1201"/>
      <c r="AW368" s="5924"/>
      <c r="AX368" s="782">
        <f t="shared" si="425"/>
        <v>297.42</v>
      </c>
      <c r="AY368" s="5918"/>
      <c r="AZ368" s="1201"/>
      <c r="BA368" s="5883"/>
      <c r="BB368" s="781">
        <f t="shared" si="436"/>
        <v>0</v>
      </c>
      <c r="BC368" s="5890"/>
      <c r="BD368" s="3562">
        <f t="shared" si="427"/>
        <v>192.18</v>
      </c>
      <c r="BE368" s="5924"/>
      <c r="BF368" s="782">
        <f t="shared" si="428"/>
        <v>297.42</v>
      </c>
      <c r="BG368" s="26"/>
      <c r="BH368" s="26"/>
      <c r="BI368" s="26"/>
      <c r="BJ368" s="26"/>
      <c r="BK368" s="26"/>
    </row>
    <row r="369" spans="1:63" x14ac:dyDescent="0.25">
      <c r="A369" s="154"/>
      <c r="B369" s="5496" t="s">
        <v>2283</v>
      </c>
      <c r="C369" s="5497" t="s">
        <v>904</v>
      </c>
      <c r="D369" s="5498"/>
      <c r="E369" s="5922"/>
      <c r="F369" s="5499"/>
      <c r="G369" s="5922"/>
      <c r="H369" s="5499"/>
      <c r="I369" s="5942"/>
      <c r="J369" s="782">
        <f t="shared" si="429"/>
        <v>0</v>
      </c>
      <c r="K369" s="5922"/>
      <c r="L369" s="5499">
        <v>827.30000000000018</v>
      </c>
      <c r="M369" s="5886"/>
      <c r="N369" s="781">
        <f t="shared" si="430"/>
        <v>827.30000000000018</v>
      </c>
      <c r="O369" s="5922"/>
      <c r="P369" s="5499">
        <v>1242.3599999999999</v>
      </c>
      <c r="Q369" s="5942"/>
      <c r="R369" s="782">
        <f t="shared" si="431"/>
        <v>2069.66</v>
      </c>
      <c r="S369" s="5922"/>
      <c r="T369" s="5499">
        <v>1012.41</v>
      </c>
      <c r="U369" s="5942"/>
      <c r="V369" s="782">
        <f t="shared" si="432"/>
        <v>3082.0699999999997</v>
      </c>
      <c r="W369" s="5922"/>
      <c r="X369" s="5499">
        <v>1268.3499999999997</v>
      </c>
      <c r="Y369" s="5886"/>
      <c r="Z369" s="781">
        <f t="shared" si="433"/>
        <v>3523.12</v>
      </c>
      <c r="AA369" s="5893"/>
      <c r="AB369" s="3562">
        <f t="shared" si="434"/>
        <v>4350.42</v>
      </c>
      <c r="AC369" s="5922"/>
      <c r="AD369" s="5499"/>
      <c r="AE369" s="5942"/>
      <c r="AF369" s="782">
        <f t="shared" si="435"/>
        <v>4350.42</v>
      </c>
      <c r="AG369" s="5922"/>
      <c r="AH369" s="5499"/>
      <c r="AI369" s="5924"/>
      <c r="AJ369" s="5444"/>
      <c r="AK369" s="5922"/>
      <c r="AL369" s="5499"/>
      <c r="AM369" s="5886"/>
      <c r="AN369" s="5450"/>
      <c r="AO369" s="5942"/>
      <c r="AP369" s="5444"/>
      <c r="AQ369" s="5922"/>
      <c r="AR369" s="5499"/>
      <c r="AS369" s="5924"/>
      <c r="AT369" s="5444"/>
      <c r="AU369" s="5922"/>
      <c r="AV369" s="5499"/>
      <c r="AW369" s="5924"/>
      <c r="AX369" s="5444"/>
      <c r="AY369" s="5922"/>
      <c r="AZ369" s="5499"/>
      <c r="BA369" s="5886"/>
      <c r="BB369" s="5450"/>
      <c r="BC369" s="5893"/>
      <c r="BD369" s="5495"/>
      <c r="BE369" s="5924"/>
      <c r="BF369" s="5444"/>
      <c r="BG369" s="26"/>
      <c r="BH369" s="26"/>
      <c r="BI369" s="26"/>
      <c r="BJ369" s="26"/>
      <c r="BK369" s="26"/>
    </row>
    <row r="370" spans="1:63" x14ac:dyDescent="0.25">
      <c r="A370" s="154"/>
      <c r="B370" s="3654" t="s">
        <v>1077</v>
      </c>
      <c r="C370" s="3616" t="s">
        <v>903</v>
      </c>
      <c r="D370" s="3587"/>
      <c r="E370" s="5918"/>
      <c r="F370" s="1201"/>
      <c r="G370" s="5918"/>
      <c r="H370" s="1201"/>
      <c r="I370" s="5939"/>
      <c r="J370" s="782">
        <f t="shared" si="429"/>
        <v>0</v>
      </c>
      <c r="K370" s="5918"/>
      <c r="L370" s="1201">
        <v>254.04</v>
      </c>
      <c r="M370" s="5883"/>
      <c r="N370" s="781">
        <f t="shared" si="430"/>
        <v>254.04</v>
      </c>
      <c r="O370" s="5918"/>
      <c r="P370" s="1201"/>
      <c r="Q370" s="5939"/>
      <c r="R370" s="782">
        <f t="shared" si="431"/>
        <v>254.04</v>
      </c>
      <c r="S370" s="5918"/>
      <c r="T370" s="1201"/>
      <c r="U370" s="5939"/>
      <c r="V370" s="782">
        <f t="shared" si="432"/>
        <v>254.04</v>
      </c>
      <c r="W370" s="5918"/>
      <c r="X370" s="1201"/>
      <c r="Y370" s="5883"/>
      <c r="Z370" s="781">
        <f t="shared" si="433"/>
        <v>0</v>
      </c>
      <c r="AA370" s="5890"/>
      <c r="AB370" s="3562">
        <f t="shared" si="434"/>
        <v>254.04</v>
      </c>
      <c r="AC370" s="5918"/>
      <c r="AD370" s="1201"/>
      <c r="AE370" s="5939"/>
      <c r="AF370" s="782">
        <f t="shared" si="435"/>
        <v>254.04</v>
      </c>
      <c r="AG370" s="5918"/>
      <c r="AH370" s="1201"/>
      <c r="AI370" s="5924"/>
      <c r="AJ370" s="782">
        <f t="shared" si="437"/>
        <v>254.04</v>
      </c>
      <c r="AK370" s="5918"/>
      <c r="AL370" s="1201"/>
      <c r="AM370" s="5883"/>
      <c r="AN370" s="781">
        <f t="shared" si="422"/>
        <v>0</v>
      </c>
      <c r="AO370" s="5939"/>
      <c r="AP370" s="782">
        <f t="shared" si="423"/>
        <v>254.04</v>
      </c>
      <c r="AQ370" s="5918"/>
      <c r="AR370" s="1201"/>
      <c r="AS370" s="5924"/>
      <c r="AT370" s="782">
        <f t="shared" si="424"/>
        <v>254.04</v>
      </c>
      <c r="AU370" s="5918"/>
      <c r="AV370" s="1201">
        <v>27.63</v>
      </c>
      <c r="AW370" s="5924"/>
      <c r="AX370" s="782">
        <f t="shared" si="425"/>
        <v>281.67</v>
      </c>
      <c r="AY370" s="5918"/>
      <c r="AZ370" s="1201">
        <v>189.3</v>
      </c>
      <c r="BA370" s="5883"/>
      <c r="BB370" s="781">
        <f t="shared" si="436"/>
        <v>216.93</v>
      </c>
      <c r="BC370" s="5890"/>
      <c r="BD370" s="3562">
        <f t="shared" si="427"/>
        <v>216.93</v>
      </c>
      <c r="BE370" s="5924"/>
      <c r="BF370" s="782">
        <f t="shared" si="428"/>
        <v>470.97</v>
      </c>
      <c r="BG370" s="26"/>
      <c r="BH370" s="26"/>
      <c r="BI370" s="26"/>
      <c r="BJ370" s="26"/>
      <c r="BK370" s="26"/>
    </row>
    <row r="371" spans="1:63" x14ac:dyDescent="0.25">
      <c r="A371" s="1445"/>
      <c r="B371" s="3654" t="s">
        <v>1077</v>
      </c>
      <c r="C371" s="3616" t="s">
        <v>904</v>
      </c>
      <c r="D371" s="3587"/>
      <c r="E371" s="5918"/>
      <c r="F371" s="1201">
        <v>5061.2200000000012</v>
      </c>
      <c r="G371" s="5918"/>
      <c r="H371" s="1201">
        <v>3496.87</v>
      </c>
      <c r="I371" s="5939"/>
      <c r="J371" s="782">
        <f t="shared" si="429"/>
        <v>8558.09</v>
      </c>
      <c r="K371" s="5918"/>
      <c r="L371" s="1201">
        <v>1656.0600000000002</v>
      </c>
      <c r="M371" s="5883"/>
      <c r="N371" s="781">
        <f t="shared" si="430"/>
        <v>10214.15</v>
      </c>
      <c r="O371" s="5918"/>
      <c r="P371" s="1201">
        <v>6056.3099999999986</v>
      </c>
      <c r="Q371" s="5939"/>
      <c r="R371" s="782">
        <f t="shared" si="431"/>
        <v>16270.46</v>
      </c>
      <c r="S371" s="5918"/>
      <c r="T371" s="1201">
        <v>2637.28</v>
      </c>
      <c r="U371" s="5939"/>
      <c r="V371" s="782">
        <f t="shared" si="432"/>
        <v>18907.739999999998</v>
      </c>
      <c r="W371" s="5918"/>
      <c r="X371" s="1201">
        <v>4015.2200000000003</v>
      </c>
      <c r="Y371" s="5883"/>
      <c r="Z371" s="781">
        <f t="shared" si="433"/>
        <v>12708.809999999998</v>
      </c>
      <c r="AA371" s="5890"/>
      <c r="AB371" s="3562">
        <f t="shared" si="434"/>
        <v>22922.959999999999</v>
      </c>
      <c r="AC371" s="5918"/>
      <c r="AD371" s="1201">
        <v>2565.96</v>
      </c>
      <c r="AE371" s="5939"/>
      <c r="AF371" s="782">
        <f t="shared" si="435"/>
        <v>25488.92</v>
      </c>
      <c r="AG371" s="5918"/>
      <c r="AH371" s="1201">
        <v>5958.0599999999995</v>
      </c>
      <c r="AI371" s="5924"/>
      <c r="AJ371" s="782">
        <f t="shared" si="437"/>
        <v>31446.979999999996</v>
      </c>
      <c r="AK371" s="5918"/>
      <c r="AL371" s="1201"/>
      <c r="AM371" s="5883"/>
      <c r="AN371" s="781">
        <f t="shared" si="422"/>
        <v>8524.02</v>
      </c>
      <c r="AO371" s="5939"/>
      <c r="AP371" s="782">
        <f t="shared" si="423"/>
        <v>31446.979999999996</v>
      </c>
      <c r="AQ371" s="5918"/>
      <c r="AR371" s="1201">
        <v>3856.14</v>
      </c>
      <c r="AS371" s="5924"/>
      <c r="AT371" s="782">
        <f t="shared" si="424"/>
        <v>35303.119999999995</v>
      </c>
      <c r="AU371" s="5918"/>
      <c r="AV371" s="1201">
        <v>3165.7200000000007</v>
      </c>
      <c r="AW371" s="5924"/>
      <c r="AX371" s="782">
        <f t="shared" si="425"/>
        <v>38468.839999999997</v>
      </c>
      <c r="AY371" s="5918"/>
      <c r="AZ371" s="1201">
        <v>196.59</v>
      </c>
      <c r="BA371" s="5883"/>
      <c r="BB371" s="781">
        <f t="shared" si="436"/>
        <v>7218.4500000000007</v>
      </c>
      <c r="BC371" s="5890"/>
      <c r="BD371" s="3562">
        <f t="shared" si="427"/>
        <v>15742.470000000001</v>
      </c>
      <c r="BE371" s="5924"/>
      <c r="BF371" s="782">
        <f t="shared" si="428"/>
        <v>38665.429999999993</v>
      </c>
      <c r="BG371" s="26"/>
      <c r="BH371" s="26"/>
      <c r="BI371" s="26"/>
      <c r="BJ371" s="26"/>
      <c r="BK371" s="26"/>
    </row>
    <row r="372" spans="1:63" ht="15.75" thickBot="1" x14ac:dyDescent="0.3">
      <c r="A372" s="1445"/>
      <c r="B372" s="3659" t="s">
        <v>1077</v>
      </c>
      <c r="C372" s="3660" t="s">
        <v>1620</v>
      </c>
      <c r="D372" s="3690"/>
      <c r="E372" s="5918"/>
      <c r="F372" s="1201"/>
      <c r="G372" s="5918"/>
      <c r="H372" s="1201">
        <v>305.62</v>
      </c>
      <c r="I372" s="5939"/>
      <c r="J372" s="782">
        <f t="shared" si="429"/>
        <v>305.62</v>
      </c>
      <c r="K372" s="5918"/>
      <c r="L372" s="1201"/>
      <c r="M372" s="5883"/>
      <c r="N372" s="781">
        <f t="shared" si="430"/>
        <v>305.62</v>
      </c>
      <c r="O372" s="5918"/>
      <c r="P372" s="1201">
        <v>1577.5400000000002</v>
      </c>
      <c r="Q372" s="5939"/>
      <c r="R372" s="782">
        <f t="shared" si="431"/>
        <v>1883.1600000000003</v>
      </c>
      <c r="S372" s="5918"/>
      <c r="T372" s="1201"/>
      <c r="U372" s="5939"/>
      <c r="V372" s="782">
        <f t="shared" si="432"/>
        <v>1883.1600000000003</v>
      </c>
      <c r="W372" s="5918"/>
      <c r="X372" s="1201">
        <v>427.96</v>
      </c>
      <c r="Y372" s="5883"/>
      <c r="Z372" s="781">
        <f t="shared" si="433"/>
        <v>2005.5000000000002</v>
      </c>
      <c r="AA372" s="5890"/>
      <c r="AB372" s="3562">
        <f t="shared" si="434"/>
        <v>2311.1200000000003</v>
      </c>
      <c r="AC372" s="5918"/>
      <c r="AD372" s="1201"/>
      <c r="AE372" s="5939"/>
      <c r="AF372" s="782">
        <f t="shared" si="435"/>
        <v>2311.1200000000003</v>
      </c>
      <c r="AG372" s="5918"/>
      <c r="AH372" s="1201"/>
      <c r="AI372" s="5924"/>
      <c r="AJ372" s="782">
        <f t="shared" si="437"/>
        <v>2311.1200000000003</v>
      </c>
      <c r="AK372" s="5918"/>
      <c r="AL372" s="1201"/>
      <c r="AM372" s="5883"/>
      <c r="AN372" s="781">
        <f t="shared" si="422"/>
        <v>0</v>
      </c>
      <c r="AO372" s="5939"/>
      <c r="AP372" s="782">
        <f t="shared" si="423"/>
        <v>2311.1200000000003</v>
      </c>
      <c r="AQ372" s="5918"/>
      <c r="AR372" s="1201">
        <v>867.78</v>
      </c>
      <c r="AS372" s="5924"/>
      <c r="AT372" s="782">
        <f t="shared" si="424"/>
        <v>3178.9000000000005</v>
      </c>
      <c r="AU372" s="5918"/>
      <c r="AV372" s="1201"/>
      <c r="AW372" s="5924"/>
      <c r="AX372" s="782">
        <f t="shared" si="425"/>
        <v>3178.9000000000005</v>
      </c>
      <c r="AY372" s="5918"/>
      <c r="AZ372" s="1201"/>
      <c r="BA372" s="5883"/>
      <c r="BB372" s="781">
        <f t="shared" si="436"/>
        <v>867.78</v>
      </c>
      <c r="BC372" s="5890"/>
      <c r="BD372" s="3562">
        <f t="shared" si="427"/>
        <v>867.78</v>
      </c>
      <c r="BE372" s="5924"/>
      <c r="BF372" s="782">
        <f t="shared" si="428"/>
        <v>3178.9000000000005</v>
      </c>
      <c r="BG372" s="26"/>
      <c r="BH372" s="26"/>
      <c r="BI372" s="26"/>
      <c r="BJ372" s="26"/>
      <c r="BK372" s="26"/>
    </row>
    <row r="373" spans="1:63" x14ac:dyDescent="0.25">
      <c r="A373" s="154"/>
      <c r="B373" s="2915" t="s">
        <v>892</v>
      </c>
      <c r="C373" s="3580" t="s">
        <v>904</v>
      </c>
      <c r="D373" s="3691"/>
      <c r="E373" s="5956"/>
      <c r="F373" s="1201"/>
      <c r="G373" s="5956"/>
      <c r="H373" s="1201"/>
      <c r="I373" s="5939"/>
      <c r="J373" s="782">
        <f t="shared" si="429"/>
        <v>0</v>
      </c>
      <c r="K373" s="5956"/>
      <c r="L373" s="1201"/>
      <c r="M373" s="5883"/>
      <c r="N373" s="781">
        <f t="shared" si="430"/>
        <v>0</v>
      </c>
      <c r="O373" s="5956"/>
      <c r="P373" s="1201"/>
      <c r="Q373" s="5939"/>
      <c r="R373" s="782">
        <f t="shared" si="431"/>
        <v>0</v>
      </c>
      <c r="S373" s="5956"/>
      <c r="T373" s="1201">
        <v>251.2</v>
      </c>
      <c r="U373" s="5939"/>
      <c r="V373" s="782">
        <f t="shared" si="432"/>
        <v>251.2</v>
      </c>
      <c r="W373" s="5956"/>
      <c r="X373" s="1201">
        <v>159.76</v>
      </c>
      <c r="Y373" s="5883"/>
      <c r="Z373" s="781">
        <f t="shared" si="433"/>
        <v>410.96</v>
      </c>
      <c r="AA373" s="5890"/>
      <c r="AB373" s="3562">
        <f t="shared" si="434"/>
        <v>410.96</v>
      </c>
      <c r="AC373" s="5918"/>
      <c r="AD373" s="1201"/>
      <c r="AE373" s="5939"/>
      <c r="AF373" s="782">
        <f t="shared" si="435"/>
        <v>410.96</v>
      </c>
      <c r="AG373" s="5918"/>
      <c r="AH373" s="1201">
        <v>21.75</v>
      </c>
      <c r="AI373" s="5924"/>
      <c r="AJ373" s="782">
        <f t="shared" si="437"/>
        <v>432.71</v>
      </c>
      <c r="AK373" s="5918"/>
      <c r="AL373" s="1201"/>
      <c r="AM373" s="5883"/>
      <c r="AN373" s="781">
        <f t="shared" si="422"/>
        <v>21.75</v>
      </c>
      <c r="AO373" s="5939"/>
      <c r="AP373" s="782">
        <f t="shared" si="423"/>
        <v>432.71</v>
      </c>
      <c r="AQ373" s="5918"/>
      <c r="AR373" s="1201"/>
      <c r="AS373" s="5924"/>
      <c r="AT373" s="782">
        <f t="shared" si="424"/>
        <v>432.71</v>
      </c>
      <c r="AU373" s="5918"/>
      <c r="AV373" s="1201"/>
      <c r="AW373" s="5924"/>
      <c r="AX373" s="782">
        <f t="shared" si="425"/>
        <v>432.71</v>
      </c>
      <c r="AY373" s="5918"/>
      <c r="AZ373" s="1201"/>
      <c r="BA373" s="5883"/>
      <c r="BB373" s="781">
        <f t="shared" si="436"/>
        <v>0</v>
      </c>
      <c r="BC373" s="5890"/>
      <c r="BD373" s="3562">
        <f t="shared" si="427"/>
        <v>21.75</v>
      </c>
      <c r="BE373" s="5924"/>
      <c r="BF373" s="782">
        <f t="shared" si="428"/>
        <v>432.71</v>
      </c>
      <c r="BG373" s="26"/>
      <c r="BH373" s="26"/>
      <c r="BI373" s="26"/>
      <c r="BJ373" s="26"/>
      <c r="BK373" s="26"/>
    </row>
    <row r="374" spans="1:63" x14ac:dyDescent="0.25">
      <c r="A374" s="154"/>
      <c r="B374" s="850" t="s">
        <v>1569</v>
      </c>
      <c r="C374" s="3626" t="s">
        <v>904</v>
      </c>
      <c r="D374" s="3693"/>
      <c r="E374" s="5956"/>
      <c r="F374" s="1201"/>
      <c r="G374" s="5956"/>
      <c r="H374" s="1201"/>
      <c r="I374" s="5939"/>
      <c r="J374" s="782">
        <f t="shared" si="429"/>
        <v>0</v>
      </c>
      <c r="K374" s="5956"/>
      <c r="L374" s="1201">
        <v>1828.2400000000002</v>
      </c>
      <c r="M374" s="5883"/>
      <c r="N374" s="781">
        <f t="shared" si="430"/>
        <v>1828.2400000000002</v>
      </c>
      <c r="O374" s="5956"/>
      <c r="P374" s="1201">
        <v>66.86</v>
      </c>
      <c r="Q374" s="5939"/>
      <c r="R374" s="782">
        <f t="shared" si="431"/>
        <v>1895.1000000000001</v>
      </c>
      <c r="S374" s="5956"/>
      <c r="T374" s="1201">
        <v>66.08</v>
      </c>
      <c r="U374" s="5939"/>
      <c r="V374" s="782">
        <f t="shared" si="432"/>
        <v>1961.18</v>
      </c>
      <c r="W374" s="5956"/>
      <c r="X374" s="1201"/>
      <c r="Y374" s="5883"/>
      <c r="Z374" s="781">
        <f t="shared" si="433"/>
        <v>132.94</v>
      </c>
      <c r="AA374" s="5890"/>
      <c r="AB374" s="3562">
        <f t="shared" si="434"/>
        <v>1961.1800000000003</v>
      </c>
      <c r="AC374" s="5918"/>
      <c r="AD374" s="1201">
        <v>1462.65</v>
      </c>
      <c r="AE374" s="5939"/>
      <c r="AF374" s="782">
        <f t="shared" si="435"/>
        <v>3423.8300000000004</v>
      </c>
      <c r="AG374" s="5918"/>
      <c r="AH374" s="1201">
        <v>32.909999999999997</v>
      </c>
      <c r="AI374" s="5924"/>
      <c r="AJ374" s="782">
        <f t="shared" ref="AJ374:AJ392" si="438">AF374+AH374</f>
        <v>3456.7400000000002</v>
      </c>
      <c r="AK374" s="5918"/>
      <c r="AL374" s="1201"/>
      <c r="AM374" s="5883"/>
      <c r="AN374" s="781">
        <f t="shared" si="422"/>
        <v>1495.5600000000002</v>
      </c>
      <c r="AO374" s="5939"/>
      <c r="AP374" s="782">
        <f t="shared" si="423"/>
        <v>3456.7400000000002</v>
      </c>
      <c r="AQ374" s="5918"/>
      <c r="AR374" s="1201"/>
      <c r="AS374" s="5924"/>
      <c r="AT374" s="782">
        <f t="shared" si="424"/>
        <v>3456.7400000000002</v>
      </c>
      <c r="AU374" s="5918"/>
      <c r="AV374" s="1201"/>
      <c r="AW374" s="5924"/>
      <c r="AX374" s="782">
        <f t="shared" si="425"/>
        <v>3456.7400000000002</v>
      </c>
      <c r="AY374" s="5918"/>
      <c r="AZ374" s="1201"/>
      <c r="BA374" s="5883"/>
      <c r="BB374" s="781">
        <f t="shared" si="436"/>
        <v>0</v>
      </c>
      <c r="BC374" s="5890"/>
      <c r="BD374" s="3562">
        <f t="shared" si="427"/>
        <v>1495.5600000000002</v>
      </c>
      <c r="BE374" s="5924"/>
      <c r="BF374" s="782">
        <f t="shared" si="428"/>
        <v>3456.7400000000002</v>
      </c>
      <c r="BG374" s="26"/>
      <c r="BH374" s="26"/>
      <c r="BI374" s="26"/>
      <c r="BJ374" s="26"/>
      <c r="BK374" s="26"/>
    </row>
    <row r="375" spans="1:63" ht="15.75" thickBot="1" x14ac:dyDescent="0.3">
      <c r="A375" s="154"/>
      <c r="B375" s="2919" t="s">
        <v>1570</v>
      </c>
      <c r="C375" s="3589" t="s">
        <v>903</v>
      </c>
      <c r="D375" s="3694"/>
      <c r="E375" s="5956"/>
      <c r="F375" s="1201"/>
      <c r="G375" s="5956"/>
      <c r="H375" s="1201"/>
      <c r="I375" s="5939"/>
      <c r="J375" s="782">
        <f t="shared" si="429"/>
        <v>0</v>
      </c>
      <c r="K375" s="5956"/>
      <c r="L375" s="1201"/>
      <c r="M375" s="5883"/>
      <c r="N375" s="781">
        <f t="shared" si="430"/>
        <v>0</v>
      </c>
      <c r="O375" s="5956"/>
      <c r="P375" s="1201"/>
      <c r="Q375" s="5939"/>
      <c r="R375" s="782">
        <f t="shared" si="431"/>
        <v>0</v>
      </c>
      <c r="S375" s="5956"/>
      <c r="T375" s="1201"/>
      <c r="U375" s="5939"/>
      <c r="V375" s="782">
        <f t="shared" si="432"/>
        <v>0</v>
      </c>
      <c r="W375" s="5956"/>
      <c r="X375" s="1201"/>
      <c r="Y375" s="5883"/>
      <c r="Z375" s="781">
        <f t="shared" si="433"/>
        <v>0</v>
      </c>
      <c r="AA375" s="5890"/>
      <c r="AB375" s="3562">
        <f t="shared" si="434"/>
        <v>0</v>
      </c>
      <c r="AC375" s="5918"/>
      <c r="AD375" s="1201"/>
      <c r="AE375" s="5939"/>
      <c r="AF375" s="782">
        <f t="shared" si="435"/>
        <v>0</v>
      </c>
      <c r="AG375" s="5918"/>
      <c r="AH375" s="1201"/>
      <c r="AI375" s="5924"/>
      <c r="AJ375" s="782">
        <f t="shared" si="438"/>
        <v>0</v>
      </c>
      <c r="AK375" s="5918"/>
      <c r="AL375" s="1201"/>
      <c r="AM375" s="5883"/>
      <c r="AN375" s="781">
        <f t="shared" si="422"/>
        <v>0</v>
      </c>
      <c r="AO375" s="5939"/>
      <c r="AP375" s="782">
        <f t="shared" si="423"/>
        <v>0</v>
      </c>
      <c r="AQ375" s="5918"/>
      <c r="AR375" s="1201"/>
      <c r="AS375" s="5924"/>
      <c r="AT375" s="782">
        <f t="shared" si="424"/>
        <v>0</v>
      </c>
      <c r="AU375" s="5918"/>
      <c r="AV375" s="1201"/>
      <c r="AW375" s="5924"/>
      <c r="AX375" s="782">
        <f t="shared" si="425"/>
        <v>0</v>
      </c>
      <c r="AY375" s="5918"/>
      <c r="AZ375" s="1201"/>
      <c r="BA375" s="5883"/>
      <c r="BB375" s="781">
        <f t="shared" si="436"/>
        <v>0</v>
      </c>
      <c r="BC375" s="5890"/>
      <c r="BD375" s="3562">
        <f t="shared" si="427"/>
        <v>0</v>
      </c>
      <c r="BE375" s="5924"/>
      <c r="BF375" s="782">
        <f t="shared" si="428"/>
        <v>0</v>
      </c>
      <c r="BG375" s="26"/>
      <c r="BH375" s="26"/>
      <c r="BI375" s="26"/>
      <c r="BJ375" s="26"/>
      <c r="BK375" s="26"/>
    </row>
    <row r="376" spans="1:63" ht="20.25" customHeight="1" x14ac:dyDescent="0.25">
      <c r="A376" s="154"/>
      <c r="B376" s="3673" t="s">
        <v>1178</v>
      </c>
      <c r="C376" s="235"/>
      <c r="D376" s="235"/>
      <c r="E376" s="5918"/>
      <c r="F376" s="3700">
        <f>F25</f>
        <v>0</v>
      </c>
      <c r="G376" s="5918"/>
      <c r="H376" s="3700">
        <f>H25</f>
        <v>0</v>
      </c>
      <c r="I376" s="5939"/>
      <c r="J376" s="782">
        <f t="shared" si="429"/>
        <v>0</v>
      </c>
      <c r="K376" s="5918"/>
      <c r="L376" s="3700">
        <f>L25</f>
        <v>0</v>
      </c>
      <c r="M376" s="5883"/>
      <c r="N376" s="781">
        <f t="shared" si="430"/>
        <v>0</v>
      </c>
      <c r="O376" s="5918"/>
      <c r="P376" s="3700">
        <f>P25</f>
        <v>0</v>
      </c>
      <c r="Q376" s="5939"/>
      <c r="R376" s="782">
        <f t="shared" si="431"/>
        <v>0</v>
      </c>
      <c r="S376" s="5918"/>
      <c r="T376" s="3700">
        <f>T25</f>
        <v>0</v>
      </c>
      <c r="U376" s="5939"/>
      <c r="V376" s="782">
        <f t="shared" si="432"/>
        <v>0</v>
      </c>
      <c r="W376" s="5918"/>
      <c r="X376" s="3700">
        <f>X25</f>
        <v>0</v>
      </c>
      <c r="Y376" s="5883"/>
      <c r="Z376" s="781">
        <f t="shared" si="433"/>
        <v>0</v>
      </c>
      <c r="AA376" s="5890"/>
      <c r="AB376" s="3562">
        <f t="shared" si="434"/>
        <v>0</v>
      </c>
      <c r="AC376" s="5918"/>
      <c r="AD376" s="3700">
        <f>AD25</f>
        <v>0</v>
      </c>
      <c r="AE376" s="5939"/>
      <c r="AF376" s="782">
        <f t="shared" si="435"/>
        <v>0</v>
      </c>
      <c r="AG376" s="5918"/>
      <c r="AH376" s="3700">
        <f>AH25</f>
        <v>0</v>
      </c>
      <c r="AI376" s="5925"/>
      <c r="AJ376" s="782">
        <f t="shared" si="438"/>
        <v>0</v>
      </c>
      <c r="AK376" s="5918"/>
      <c r="AL376" s="3700">
        <f>AL25</f>
        <v>0</v>
      </c>
      <c r="AM376" s="5883"/>
      <c r="AN376" s="781">
        <f t="shared" si="422"/>
        <v>0</v>
      </c>
      <c r="AO376" s="5939"/>
      <c r="AP376" s="782">
        <f t="shared" si="423"/>
        <v>0</v>
      </c>
      <c r="AQ376" s="5918"/>
      <c r="AR376" s="3700">
        <f>AR25</f>
        <v>0</v>
      </c>
      <c r="AS376" s="5925"/>
      <c r="AT376" s="782">
        <f t="shared" si="424"/>
        <v>0</v>
      </c>
      <c r="AU376" s="5918"/>
      <c r="AV376" s="3700">
        <f>AV25</f>
        <v>0</v>
      </c>
      <c r="AW376" s="5925"/>
      <c r="AX376" s="782">
        <f t="shared" si="425"/>
        <v>0</v>
      </c>
      <c r="AY376" s="5918"/>
      <c r="AZ376" s="3700">
        <f>AZ25</f>
        <v>0</v>
      </c>
      <c r="BA376" s="5883"/>
      <c r="BB376" s="781">
        <f t="shared" si="436"/>
        <v>0</v>
      </c>
      <c r="BC376" s="5890"/>
      <c r="BD376" s="3562">
        <f t="shared" si="427"/>
        <v>0</v>
      </c>
      <c r="BE376" s="5925"/>
      <c r="BF376" s="782">
        <f t="shared" si="428"/>
        <v>0</v>
      </c>
      <c r="BG376" s="26"/>
      <c r="BH376" s="26"/>
      <c r="BI376" s="26"/>
      <c r="BJ376" s="26"/>
      <c r="BK376" s="26"/>
    </row>
    <row r="377" spans="1:63" ht="20.25" customHeight="1" x14ac:dyDescent="0.25">
      <c r="A377" s="154"/>
      <c r="B377" s="3568" t="s">
        <v>121</v>
      </c>
      <c r="C377" s="813" t="s">
        <v>50</v>
      </c>
      <c r="D377" s="457">
        <f>+D26</f>
        <v>750000</v>
      </c>
      <c r="E377" s="457">
        <f>+E26</f>
        <v>62000</v>
      </c>
      <c r="F377" s="457">
        <f>SUM(F281:F376)</f>
        <v>44122.700000000004</v>
      </c>
      <c r="G377" s="457">
        <f>+G26</f>
        <v>65000</v>
      </c>
      <c r="H377" s="457">
        <f>SUM(H281:H376)</f>
        <v>57716.000000000007</v>
      </c>
      <c r="I377" s="376">
        <f>E377+G377</f>
        <v>127000</v>
      </c>
      <c r="J377" s="782">
        <f t="shared" si="429"/>
        <v>101838.70000000001</v>
      </c>
      <c r="K377" s="457">
        <f>+K26</f>
        <v>62500</v>
      </c>
      <c r="L377" s="457">
        <f>SUM(L281:L376)</f>
        <v>56720.679999999993</v>
      </c>
      <c r="M377" s="378">
        <f>E377+G377+K377</f>
        <v>189500</v>
      </c>
      <c r="N377" s="781">
        <f t="shared" si="430"/>
        <v>158559.38</v>
      </c>
      <c r="O377" s="457">
        <f>+O26</f>
        <v>65000</v>
      </c>
      <c r="P377" s="457">
        <f>SUM(P281:P376)</f>
        <v>57264.829999999994</v>
      </c>
      <c r="Q377" s="376">
        <f>M377+O377</f>
        <v>254500</v>
      </c>
      <c r="R377" s="782">
        <f t="shared" si="431"/>
        <v>215824.21</v>
      </c>
      <c r="S377" s="457">
        <f>+S26</f>
        <v>65000</v>
      </c>
      <c r="T377" s="457">
        <f>SUM(T281:T376)</f>
        <v>47224.14</v>
      </c>
      <c r="U377" s="376">
        <f>Q377+S377</f>
        <v>319500</v>
      </c>
      <c r="V377" s="782">
        <f t="shared" si="432"/>
        <v>263048.34999999998</v>
      </c>
      <c r="W377" s="457">
        <f>+W26</f>
        <v>33500</v>
      </c>
      <c r="X377" s="457">
        <f>SUM(X281:X376)</f>
        <v>45948.12</v>
      </c>
      <c r="Y377" s="378">
        <f t="shared" ref="Y377" si="439">O377+S377+W377</f>
        <v>163500</v>
      </c>
      <c r="Z377" s="781">
        <f t="shared" si="433"/>
        <v>150437.09</v>
      </c>
      <c r="AA377" s="3565">
        <f>M377+Y377</f>
        <v>353000</v>
      </c>
      <c r="AB377" s="3562">
        <f t="shared" si="434"/>
        <v>308996.46999999997</v>
      </c>
      <c r="AC377" s="457">
        <f>+AC26</f>
        <v>54000</v>
      </c>
      <c r="AD377" s="457">
        <f>SUM(AD281:AD376)</f>
        <v>43303.75</v>
      </c>
      <c r="AE377" s="376">
        <f>AA377+AC377</f>
        <v>407000</v>
      </c>
      <c r="AF377" s="782">
        <f t="shared" si="435"/>
        <v>352300.22</v>
      </c>
      <c r="AG377" s="457">
        <f>+AG26</f>
        <v>52000</v>
      </c>
      <c r="AH377" s="457">
        <f>SUM(AH281:AH376)</f>
        <v>15465.42</v>
      </c>
      <c r="AI377" s="376">
        <f>AE377+AG377</f>
        <v>459000</v>
      </c>
      <c r="AJ377" s="376">
        <f t="shared" si="438"/>
        <v>367765.63999999996</v>
      </c>
      <c r="AK377" s="457">
        <f>+AK26</f>
        <v>54000</v>
      </c>
      <c r="AL377" s="457">
        <f>SUM(AL281:AL376)</f>
        <v>33463</v>
      </c>
      <c r="AM377" s="378">
        <f t="shared" ref="AM377" si="440">AC377+AG377+AK377</f>
        <v>160000</v>
      </c>
      <c r="AN377" s="378">
        <f t="shared" si="422"/>
        <v>92232.17</v>
      </c>
      <c r="AO377" s="376">
        <f t="shared" si="423"/>
        <v>513000</v>
      </c>
      <c r="AP377" s="376">
        <f t="shared" si="423"/>
        <v>401228.63999999996</v>
      </c>
      <c r="AQ377" s="457">
        <f>+AQ26</f>
        <v>54000</v>
      </c>
      <c r="AR377" s="457">
        <f>SUM(AR281:AR376)</f>
        <v>44656.88</v>
      </c>
      <c r="AS377" s="376">
        <f>AO377+AQ377</f>
        <v>567000</v>
      </c>
      <c r="AT377" s="376">
        <f t="shared" si="424"/>
        <v>445885.51999999996</v>
      </c>
      <c r="AU377" s="457">
        <f>+AU26</f>
        <v>48000</v>
      </c>
      <c r="AV377" s="457">
        <f>SUM(AV281:AV376)</f>
        <v>47339.010000000009</v>
      </c>
      <c r="AW377" s="376">
        <f>AS377+AU377</f>
        <v>615000</v>
      </c>
      <c r="AX377" s="376">
        <f t="shared" si="425"/>
        <v>493224.52999999997</v>
      </c>
      <c r="AY377" s="457">
        <f>+AY26</f>
        <v>60000</v>
      </c>
      <c r="AZ377" s="457">
        <f>SUM(AZ281:AZ376)</f>
        <v>68418.509999999995</v>
      </c>
      <c r="BA377" s="378">
        <f t="shared" ref="BA377" si="441">AQ377+AU377+AY377</f>
        <v>162000</v>
      </c>
      <c r="BB377" s="378">
        <f t="shared" ref="BB377" si="442">AR377+AV377+AZ377</f>
        <v>160414.40000000002</v>
      </c>
      <c r="BC377" s="3565">
        <f>AM377+BA377</f>
        <v>322000</v>
      </c>
      <c r="BD377" s="3565">
        <f>AN377+BB377</f>
        <v>252646.57</v>
      </c>
      <c r="BE377" s="376">
        <f>AW377+AY377</f>
        <v>675000</v>
      </c>
      <c r="BF377" s="376">
        <f t="shared" si="428"/>
        <v>561643.03999999992</v>
      </c>
      <c r="BG377" s="26"/>
      <c r="BH377" s="26"/>
      <c r="BI377" s="26"/>
      <c r="BJ377" s="26"/>
      <c r="BK377" s="26"/>
    </row>
    <row r="378" spans="1:63" ht="20.25" customHeight="1" x14ac:dyDescent="0.25">
      <c r="A378" s="154"/>
      <c r="B378" s="449" t="s">
        <v>670</v>
      </c>
      <c r="C378" s="642"/>
      <c r="D378" s="642"/>
      <c r="E378" s="3701"/>
      <c r="F378" s="1345"/>
      <c r="G378" s="3701"/>
      <c r="H378" s="1345"/>
      <c r="I378" s="3702"/>
      <c r="J378" s="782">
        <f t="shared" si="429"/>
        <v>0</v>
      </c>
      <c r="K378" s="3701"/>
      <c r="L378" s="1345"/>
      <c r="M378" s="904"/>
      <c r="N378" s="781">
        <f t="shared" si="430"/>
        <v>0</v>
      </c>
      <c r="O378" s="3701"/>
      <c r="P378" s="1345"/>
      <c r="Q378" s="3702"/>
      <c r="R378" s="782">
        <f t="shared" si="431"/>
        <v>0</v>
      </c>
      <c r="S378" s="3701"/>
      <c r="T378" s="1345"/>
      <c r="U378" s="3702"/>
      <c r="V378" s="782">
        <f t="shared" si="432"/>
        <v>0</v>
      </c>
      <c r="W378" s="3701"/>
      <c r="X378" s="1345"/>
      <c r="Y378" s="904"/>
      <c r="Z378" s="781">
        <f t="shared" si="433"/>
        <v>0</v>
      </c>
      <c r="AA378" s="3703"/>
      <c r="AB378" s="3562">
        <f t="shared" si="434"/>
        <v>0</v>
      </c>
      <c r="AC378" s="3701"/>
      <c r="AD378" s="1345"/>
      <c r="AE378" s="3702"/>
      <c r="AF378" s="782">
        <f t="shared" si="435"/>
        <v>0</v>
      </c>
      <c r="AG378" s="3701"/>
      <c r="AH378" s="1345"/>
      <c r="AI378" s="3702"/>
      <c r="AJ378" s="782"/>
      <c r="AK378" s="3701"/>
      <c r="AL378" s="1345"/>
      <c r="AM378" s="904"/>
      <c r="AN378" s="781"/>
      <c r="AO378" s="3702"/>
      <c r="AP378" s="782"/>
      <c r="AQ378" s="3701"/>
      <c r="AR378" s="1345"/>
      <c r="AS378" s="3702"/>
      <c r="AT378" s="782">
        <f t="shared" si="424"/>
        <v>0</v>
      </c>
      <c r="AU378" s="3701"/>
      <c r="AV378" s="1345"/>
      <c r="AW378" s="3702"/>
      <c r="AX378" s="782">
        <f t="shared" si="425"/>
        <v>0</v>
      </c>
      <c r="AY378" s="3701"/>
      <c r="AZ378" s="1345"/>
      <c r="BA378" s="904"/>
      <c r="BB378" s="781"/>
      <c r="BC378" s="3703"/>
      <c r="BD378" s="3562"/>
      <c r="BE378" s="3702"/>
      <c r="BF378" s="782">
        <f t="shared" si="428"/>
        <v>0</v>
      </c>
      <c r="BG378" s="26"/>
      <c r="BH378" s="26"/>
      <c r="BI378" s="26"/>
      <c r="BJ378" s="26"/>
      <c r="BK378" s="26"/>
    </row>
    <row r="379" spans="1:63" ht="20.25" customHeight="1" x14ac:dyDescent="0.25">
      <c r="A379" s="93"/>
      <c r="B379" s="3682" t="s">
        <v>1532</v>
      </c>
      <c r="C379" s="159" t="s">
        <v>50</v>
      </c>
      <c r="D379" s="159"/>
      <c r="E379" s="3701"/>
      <c r="F379" s="1201"/>
      <c r="G379" s="3701"/>
      <c r="H379" s="1201"/>
      <c r="I379" s="3702"/>
      <c r="J379" s="782">
        <f t="shared" si="429"/>
        <v>0</v>
      </c>
      <c r="K379" s="3701"/>
      <c r="L379" s="1201"/>
      <c r="M379" s="904"/>
      <c r="N379" s="781">
        <f t="shared" si="430"/>
        <v>0</v>
      </c>
      <c r="O379" s="3701"/>
      <c r="P379" s="1201"/>
      <c r="Q379" s="3702"/>
      <c r="R379" s="782">
        <f t="shared" si="431"/>
        <v>0</v>
      </c>
      <c r="S379" s="3701"/>
      <c r="T379" s="1201"/>
      <c r="U379" s="3702"/>
      <c r="V379" s="782">
        <f t="shared" si="432"/>
        <v>0</v>
      </c>
      <c r="W379" s="3701"/>
      <c r="X379" s="1201"/>
      <c r="Y379" s="904"/>
      <c r="Z379" s="781">
        <f t="shared" si="433"/>
        <v>0</v>
      </c>
      <c r="AA379" s="3703"/>
      <c r="AB379" s="3562">
        <f t="shared" si="434"/>
        <v>0</v>
      </c>
      <c r="AC379" s="3701"/>
      <c r="AD379" s="1201">
        <v>79.66</v>
      </c>
      <c r="AE379" s="3702"/>
      <c r="AF379" s="782">
        <f t="shared" si="435"/>
        <v>79.66</v>
      </c>
      <c r="AG379" s="3701"/>
      <c r="AH379" s="1201"/>
      <c r="AI379" s="3702"/>
      <c r="AJ379" s="782">
        <f t="shared" si="438"/>
        <v>79.66</v>
      </c>
      <c r="AK379" s="3701"/>
      <c r="AL379" s="1201"/>
      <c r="AM379" s="904"/>
      <c r="AN379" s="781">
        <f>AD379+AH379+AL379</f>
        <v>79.66</v>
      </c>
      <c r="AO379" s="3702"/>
      <c r="AP379" s="782">
        <f t="shared" si="423"/>
        <v>79.66</v>
      </c>
      <c r="AQ379" s="3701"/>
      <c r="AR379" s="1201"/>
      <c r="AS379" s="3702"/>
      <c r="AT379" s="782">
        <f t="shared" si="424"/>
        <v>79.66</v>
      </c>
      <c r="AU379" s="3701"/>
      <c r="AV379" s="1201"/>
      <c r="AW379" s="3702"/>
      <c r="AX379" s="782">
        <f t="shared" si="425"/>
        <v>79.66</v>
      </c>
      <c r="AY379" s="3701"/>
      <c r="AZ379" s="1201"/>
      <c r="BA379" s="904"/>
      <c r="BB379" s="781">
        <f>AR379+AV379+AZ379</f>
        <v>0</v>
      </c>
      <c r="BC379" s="3703"/>
      <c r="BD379" s="3562">
        <f t="shared" ref="BD379:BD391" si="443">AN379+BB379</f>
        <v>79.66</v>
      </c>
      <c r="BE379" s="3702"/>
      <c r="BF379" s="782">
        <f t="shared" si="428"/>
        <v>79.66</v>
      </c>
      <c r="BG379" s="26"/>
      <c r="BH379" s="26"/>
      <c r="BI379" s="26"/>
      <c r="BJ379" s="26"/>
      <c r="BK379" s="26"/>
    </row>
    <row r="380" spans="1:63" ht="20.25" customHeight="1" x14ac:dyDescent="0.25">
      <c r="A380" s="93"/>
      <c r="B380" s="3654" t="s">
        <v>1949</v>
      </c>
      <c r="C380" s="159" t="s">
        <v>50</v>
      </c>
      <c r="D380" s="159"/>
      <c r="E380" s="3701"/>
      <c r="F380" s="1201"/>
      <c r="G380" s="3701"/>
      <c r="H380" s="1201"/>
      <c r="I380" s="3702"/>
      <c r="J380" s="782">
        <f t="shared" si="429"/>
        <v>0</v>
      </c>
      <c r="K380" s="3701"/>
      <c r="L380" s="1201"/>
      <c r="M380" s="904"/>
      <c r="N380" s="781">
        <f t="shared" si="430"/>
        <v>0</v>
      </c>
      <c r="O380" s="3701"/>
      <c r="P380" s="1201"/>
      <c r="Q380" s="3702"/>
      <c r="R380" s="782">
        <f t="shared" si="431"/>
        <v>0</v>
      </c>
      <c r="S380" s="3701"/>
      <c r="T380" s="1201"/>
      <c r="U380" s="3702"/>
      <c r="V380" s="782">
        <f t="shared" si="432"/>
        <v>0</v>
      </c>
      <c r="W380" s="3701"/>
      <c r="X380" s="1201"/>
      <c r="Y380" s="904"/>
      <c r="Z380" s="781">
        <f t="shared" si="433"/>
        <v>0</v>
      </c>
      <c r="AA380" s="3703"/>
      <c r="AB380" s="3562">
        <f t="shared" si="434"/>
        <v>0</v>
      </c>
      <c r="AC380" s="3701"/>
      <c r="AD380" s="1201"/>
      <c r="AE380" s="3702"/>
      <c r="AF380" s="782">
        <f t="shared" si="435"/>
        <v>0</v>
      </c>
      <c r="AG380" s="3701"/>
      <c r="AH380" s="1201"/>
      <c r="AI380" s="3702"/>
      <c r="AJ380" s="782">
        <f t="shared" si="438"/>
        <v>0</v>
      </c>
      <c r="AK380" s="3701"/>
      <c r="AL380" s="1201"/>
      <c r="AM380" s="904"/>
      <c r="AN380" s="781">
        <f t="shared" ref="AN380:AN390" si="444">AD380+AH380+AL380</f>
        <v>0</v>
      </c>
      <c r="AO380" s="3702"/>
      <c r="AP380" s="782">
        <f t="shared" si="423"/>
        <v>0</v>
      </c>
      <c r="AQ380" s="3701"/>
      <c r="AR380" s="1201"/>
      <c r="AS380" s="3702"/>
      <c r="AT380" s="782">
        <f t="shared" si="424"/>
        <v>0</v>
      </c>
      <c r="AU380" s="3701"/>
      <c r="AV380" s="1201"/>
      <c r="AW380" s="3702"/>
      <c r="AX380" s="782">
        <f t="shared" si="425"/>
        <v>0</v>
      </c>
      <c r="AY380" s="3701"/>
      <c r="AZ380" s="1201"/>
      <c r="BA380" s="904"/>
      <c r="BB380" s="781">
        <f t="shared" ref="BB380:BB390" si="445">AR380+AV380+AZ380</f>
        <v>0</v>
      </c>
      <c r="BC380" s="3703"/>
      <c r="BD380" s="3562">
        <f t="shared" si="443"/>
        <v>0</v>
      </c>
      <c r="BE380" s="3702"/>
      <c r="BF380" s="782">
        <f t="shared" si="428"/>
        <v>0</v>
      </c>
      <c r="BG380" s="26"/>
      <c r="BH380" s="26"/>
      <c r="BI380" s="26"/>
      <c r="BJ380" s="26"/>
      <c r="BK380" s="26"/>
    </row>
    <row r="381" spans="1:63" ht="20.25" customHeight="1" x14ac:dyDescent="0.25">
      <c r="A381" s="93"/>
      <c r="B381" s="4687" t="s">
        <v>2091</v>
      </c>
      <c r="C381" s="4688" t="s">
        <v>50</v>
      </c>
      <c r="D381" s="4688"/>
      <c r="E381" s="4689"/>
      <c r="F381" s="4690"/>
      <c r="G381" s="4689"/>
      <c r="H381" s="4690"/>
      <c r="I381" s="4691"/>
      <c r="J381" s="782">
        <f t="shared" si="429"/>
        <v>0</v>
      </c>
      <c r="K381" s="4689"/>
      <c r="L381" s="4690"/>
      <c r="M381" s="4693"/>
      <c r="N381" s="781">
        <f t="shared" si="430"/>
        <v>0</v>
      </c>
      <c r="O381" s="4689"/>
      <c r="P381" s="4690"/>
      <c r="Q381" s="4691"/>
      <c r="R381" s="782">
        <f t="shared" si="431"/>
        <v>0</v>
      </c>
      <c r="S381" s="4689"/>
      <c r="T381" s="4690"/>
      <c r="U381" s="4691"/>
      <c r="V381" s="782">
        <f t="shared" si="432"/>
        <v>0</v>
      </c>
      <c r="W381" s="4689"/>
      <c r="X381" s="4690"/>
      <c r="Y381" s="4693"/>
      <c r="Z381" s="781">
        <f t="shared" si="433"/>
        <v>0</v>
      </c>
      <c r="AA381" s="4695"/>
      <c r="AB381" s="3562">
        <f t="shared" si="434"/>
        <v>0</v>
      </c>
      <c r="AC381" s="4689"/>
      <c r="AD381" s="4690"/>
      <c r="AE381" s="4691"/>
      <c r="AF381" s="782">
        <f t="shared" si="435"/>
        <v>0</v>
      </c>
      <c r="AG381" s="4689"/>
      <c r="AH381" s="4690"/>
      <c r="AI381" s="4691"/>
      <c r="AJ381" s="4692"/>
      <c r="AK381" s="4689"/>
      <c r="AL381" s="4690"/>
      <c r="AM381" s="4693"/>
      <c r="AN381" s="4694"/>
      <c r="AO381" s="4691"/>
      <c r="AP381" s="4692"/>
      <c r="AQ381" s="4689"/>
      <c r="AR381" s="4690">
        <v>111.25</v>
      </c>
      <c r="AS381" s="4691"/>
      <c r="AT381" s="782">
        <f t="shared" si="424"/>
        <v>111.25</v>
      </c>
      <c r="AU381" s="4689"/>
      <c r="AV381" s="4690"/>
      <c r="AW381" s="4691"/>
      <c r="AX381" s="782">
        <f t="shared" si="425"/>
        <v>111.25</v>
      </c>
      <c r="AY381" s="4689"/>
      <c r="AZ381" s="4690"/>
      <c r="BA381" s="4693"/>
      <c r="BB381" s="781">
        <f t="shared" si="445"/>
        <v>111.25</v>
      </c>
      <c r="BC381" s="4695"/>
      <c r="BD381" s="3562">
        <f t="shared" si="443"/>
        <v>111.25</v>
      </c>
      <c r="BE381" s="4691"/>
      <c r="BF381" s="782">
        <f t="shared" si="428"/>
        <v>111.25</v>
      </c>
      <c r="BG381" s="26"/>
      <c r="BH381" s="26"/>
      <c r="BI381" s="26"/>
      <c r="BJ381" s="26"/>
      <c r="BK381" s="26"/>
    </row>
    <row r="382" spans="1:63" ht="20.25" customHeight="1" x14ac:dyDescent="0.25">
      <c r="A382" s="93"/>
      <c r="B382" s="3654" t="s">
        <v>1868</v>
      </c>
      <c r="C382" s="159" t="s">
        <v>50</v>
      </c>
      <c r="D382" s="159"/>
      <c r="E382" s="3701"/>
      <c r="F382" s="1201"/>
      <c r="G382" s="3701"/>
      <c r="H382" s="1201"/>
      <c r="I382" s="3702"/>
      <c r="J382" s="782">
        <f t="shared" si="429"/>
        <v>0</v>
      </c>
      <c r="K382" s="3701"/>
      <c r="L382" s="1201"/>
      <c r="M382" s="904"/>
      <c r="N382" s="781">
        <f t="shared" si="430"/>
        <v>0</v>
      </c>
      <c r="O382" s="3701"/>
      <c r="P382" s="1201"/>
      <c r="Q382" s="3702"/>
      <c r="R382" s="782">
        <f t="shared" si="431"/>
        <v>0</v>
      </c>
      <c r="S382" s="3701"/>
      <c r="T382" s="1201"/>
      <c r="U382" s="3702"/>
      <c r="V382" s="782">
        <f t="shared" si="432"/>
        <v>0</v>
      </c>
      <c r="W382" s="3701"/>
      <c r="X382" s="1201"/>
      <c r="Y382" s="904"/>
      <c r="Z382" s="781">
        <f t="shared" si="433"/>
        <v>0</v>
      </c>
      <c r="AA382" s="3703"/>
      <c r="AB382" s="3562">
        <f t="shared" si="434"/>
        <v>0</v>
      </c>
      <c r="AC382" s="3701"/>
      <c r="AD382" s="1201"/>
      <c r="AE382" s="3702"/>
      <c r="AF382" s="782">
        <f t="shared" si="435"/>
        <v>0</v>
      </c>
      <c r="AG382" s="3701"/>
      <c r="AH382" s="1201"/>
      <c r="AI382" s="3702"/>
      <c r="AJ382" s="782">
        <f t="shared" si="438"/>
        <v>0</v>
      </c>
      <c r="AK382" s="3701"/>
      <c r="AL382" s="1201"/>
      <c r="AM382" s="904"/>
      <c r="AN382" s="781">
        <f t="shared" si="444"/>
        <v>0</v>
      </c>
      <c r="AO382" s="3702"/>
      <c r="AP382" s="782">
        <f t="shared" si="423"/>
        <v>0</v>
      </c>
      <c r="AQ382" s="3701"/>
      <c r="AR382" s="1201"/>
      <c r="AS382" s="3702"/>
      <c r="AT382" s="782">
        <f t="shared" si="424"/>
        <v>0</v>
      </c>
      <c r="AU382" s="3701"/>
      <c r="AV382" s="1201"/>
      <c r="AW382" s="3702"/>
      <c r="AX382" s="782">
        <f t="shared" si="425"/>
        <v>0</v>
      </c>
      <c r="AY382" s="3701"/>
      <c r="AZ382" s="1201">
        <v>794.61999999999989</v>
      </c>
      <c r="BA382" s="904"/>
      <c r="BB382" s="781">
        <f t="shared" si="445"/>
        <v>794.61999999999989</v>
      </c>
      <c r="BC382" s="3703"/>
      <c r="BD382" s="3562">
        <f t="shared" si="443"/>
        <v>794.61999999999989</v>
      </c>
      <c r="BE382" s="3702"/>
      <c r="BF382" s="782">
        <f t="shared" si="428"/>
        <v>794.61999999999989</v>
      </c>
      <c r="BG382" s="26"/>
      <c r="BH382" s="26"/>
      <c r="BI382" s="26"/>
      <c r="BJ382" s="26"/>
      <c r="BK382" s="26"/>
    </row>
    <row r="383" spans="1:63" ht="20.25" customHeight="1" x14ac:dyDescent="0.25">
      <c r="A383" s="93"/>
      <c r="B383" s="3696" t="s">
        <v>1931</v>
      </c>
      <c r="C383" s="159" t="s">
        <v>50</v>
      </c>
      <c r="D383" s="2656"/>
      <c r="E383" s="4098"/>
      <c r="F383" s="2647"/>
      <c r="G383" s="4098"/>
      <c r="H383" s="2647"/>
      <c r="I383" s="4099"/>
      <c r="J383" s="782">
        <f t="shared" si="429"/>
        <v>0</v>
      </c>
      <c r="K383" s="4098"/>
      <c r="L383" s="2647"/>
      <c r="M383" s="4074"/>
      <c r="N383" s="781">
        <f t="shared" si="430"/>
        <v>0</v>
      </c>
      <c r="O383" s="4098"/>
      <c r="P383" s="2647"/>
      <c r="Q383" s="4099"/>
      <c r="R383" s="782">
        <f t="shared" si="431"/>
        <v>0</v>
      </c>
      <c r="S383" s="4098"/>
      <c r="T383" s="2647"/>
      <c r="U383" s="4099"/>
      <c r="V383" s="782">
        <f t="shared" si="432"/>
        <v>0</v>
      </c>
      <c r="W383" s="4098"/>
      <c r="X383" s="2647"/>
      <c r="Y383" s="4074"/>
      <c r="Z383" s="781">
        <f t="shared" si="433"/>
        <v>0</v>
      </c>
      <c r="AA383" s="4100"/>
      <c r="AB383" s="3562">
        <f t="shared" si="434"/>
        <v>0</v>
      </c>
      <c r="AC383" s="4098"/>
      <c r="AD383" s="2647"/>
      <c r="AE383" s="4099"/>
      <c r="AF383" s="782">
        <f t="shared" si="435"/>
        <v>0</v>
      </c>
      <c r="AG383" s="4098"/>
      <c r="AH383" s="2647"/>
      <c r="AI383" s="4099"/>
      <c r="AJ383" s="782">
        <f t="shared" si="438"/>
        <v>0</v>
      </c>
      <c r="AK383" s="4098"/>
      <c r="AL383" s="2647"/>
      <c r="AM383" s="4074"/>
      <c r="AN383" s="781">
        <f t="shared" si="444"/>
        <v>0</v>
      </c>
      <c r="AO383" s="4099"/>
      <c r="AP383" s="782">
        <f t="shared" si="423"/>
        <v>0</v>
      </c>
      <c r="AQ383" s="4098"/>
      <c r="AR383" s="2647">
        <v>120.78999999999999</v>
      </c>
      <c r="AS383" s="4099"/>
      <c r="AT383" s="782">
        <f t="shared" si="424"/>
        <v>120.78999999999999</v>
      </c>
      <c r="AU383" s="4098"/>
      <c r="AV383" s="2647"/>
      <c r="AW383" s="4099"/>
      <c r="AX383" s="782">
        <f t="shared" si="425"/>
        <v>120.78999999999999</v>
      </c>
      <c r="AY383" s="4098"/>
      <c r="AZ383" s="2647"/>
      <c r="BA383" s="4074"/>
      <c r="BB383" s="781">
        <f t="shared" si="445"/>
        <v>120.78999999999999</v>
      </c>
      <c r="BC383" s="4100"/>
      <c r="BD383" s="3562">
        <f t="shared" si="443"/>
        <v>120.78999999999999</v>
      </c>
      <c r="BE383" s="4099"/>
      <c r="BF383" s="782">
        <f t="shared" si="428"/>
        <v>120.78999999999999</v>
      </c>
      <c r="BG383" s="26"/>
      <c r="BH383" s="26"/>
      <c r="BI383" s="26"/>
      <c r="BJ383" s="26"/>
      <c r="BK383" s="26"/>
    </row>
    <row r="384" spans="1:63" ht="20.25" customHeight="1" x14ac:dyDescent="0.25">
      <c r="A384" s="93"/>
      <c r="B384" s="3654" t="s">
        <v>1950</v>
      </c>
      <c r="C384" s="159" t="s">
        <v>50</v>
      </c>
      <c r="D384" s="159"/>
      <c r="E384" s="3701"/>
      <c r="F384" s="1201"/>
      <c r="G384" s="3701"/>
      <c r="H384" s="1201"/>
      <c r="I384" s="3702"/>
      <c r="J384" s="782">
        <f t="shared" si="429"/>
        <v>0</v>
      </c>
      <c r="K384" s="3701"/>
      <c r="L384" s="1201"/>
      <c r="M384" s="904"/>
      <c r="N384" s="781">
        <f t="shared" si="430"/>
        <v>0</v>
      </c>
      <c r="O384" s="3701"/>
      <c r="P384" s="1201"/>
      <c r="Q384" s="3702"/>
      <c r="R384" s="782">
        <f t="shared" si="431"/>
        <v>0</v>
      </c>
      <c r="S384" s="3701"/>
      <c r="T384" s="1201"/>
      <c r="U384" s="3702"/>
      <c r="V384" s="782">
        <f t="shared" si="432"/>
        <v>0</v>
      </c>
      <c r="W384" s="3701"/>
      <c r="X384" s="1201"/>
      <c r="Y384" s="904"/>
      <c r="Z384" s="781">
        <f t="shared" si="433"/>
        <v>0</v>
      </c>
      <c r="AA384" s="3703"/>
      <c r="AB384" s="3562">
        <f t="shared" si="434"/>
        <v>0</v>
      </c>
      <c r="AC384" s="3701"/>
      <c r="AD384" s="1201">
        <v>36.619999999999997</v>
      </c>
      <c r="AE384" s="3702"/>
      <c r="AF384" s="782">
        <f t="shared" si="435"/>
        <v>36.619999999999997</v>
      </c>
      <c r="AG384" s="3701"/>
      <c r="AH384" s="1201"/>
      <c r="AI384" s="3702"/>
      <c r="AJ384" s="782">
        <f t="shared" si="438"/>
        <v>36.619999999999997</v>
      </c>
      <c r="AK384" s="3701"/>
      <c r="AL384" s="1201"/>
      <c r="AM384" s="904"/>
      <c r="AN384" s="781">
        <f t="shared" si="444"/>
        <v>36.619999999999997</v>
      </c>
      <c r="AO384" s="3702"/>
      <c r="AP384" s="782">
        <f t="shared" si="423"/>
        <v>36.619999999999997</v>
      </c>
      <c r="AQ384" s="3701"/>
      <c r="AR384" s="1201"/>
      <c r="AS384" s="3702"/>
      <c r="AT384" s="782">
        <f t="shared" si="424"/>
        <v>36.619999999999997</v>
      </c>
      <c r="AU384" s="3701"/>
      <c r="AV384" s="1201"/>
      <c r="AW384" s="3702"/>
      <c r="AX384" s="782">
        <f t="shared" si="425"/>
        <v>36.619999999999997</v>
      </c>
      <c r="AY384" s="3701"/>
      <c r="AZ384" s="1201"/>
      <c r="BA384" s="904"/>
      <c r="BB384" s="781">
        <f t="shared" si="445"/>
        <v>0</v>
      </c>
      <c r="BC384" s="3703"/>
      <c r="BD384" s="3562">
        <f t="shared" si="443"/>
        <v>36.619999999999997</v>
      </c>
      <c r="BE384" s="3702"/>
      <c r="BF384" s="782">
        <f t="shared" si="428"/>
        <v>36.619999999999997</v>
      </c>
      <c r="BG384" s="26"/>
      <c r="BH384" s="26"/>
      <c r="BI384" s="26"/>
      <c r="BJ384" s="26"/>
      <c r="BK384" s="26"/>
    </row>
    <row r="385" spans="1:63" ht="20.25" customHeight="1" x14ac:dyDescent="0.25">
      <c r="A385" s="93"/>
      <c r="B385" s="4687" t="s">
        <v>1991</v>
      </c>
      <c r="C385" s="4688" t="s">
        <v>50</v>
      </c>
      <c r="D385" s="4688"/>
      <c r="E385" s="4689"/>
      <c r="F385" s="4690"/>
      <c r="G385" s="4689"/>
      <c r="H385" s="4690"/>
      <c r="I385" s="4691"/>
      <c r="J385" s="782">
        <f t="shared" si="429"/>
        <v>0</v>
      </c>
      <c r="K385" s="4689"/>
      <c r="L385" s="4690">
        <v>35.9</v>
      </c>
      <c r="M385" s="4693"/>
      <c r="N385" s="781">
        <f t="shared" si="430"/>
        <v>35.9</v>
      </c>
      <c r="O385" s="4689"/>
      <c r="P385" s="4690"/>
      <c r="Q385" s="4691"/>
      <c r="R385" s="782">
        <f t="shared" si="431"/>
        <v>35.9</v>
      </c>
      <c r="S385" s="4689"/>
      <c r="T385" s="4690"/>
      <c r="U385" s="4691"/>
      <c r="V385" s="782">
        <f t="shared" si="432"/>
        <v>35.9</v>
      </c>
      <c r="W385" s="4689"/>
      <c r="X385" s="4690"/>
      <c r="Y385" s="4693"/>
      <c r="Z385" s="781">
        <f t="shared" si="433"/>
        <v>0</v>
      </c>
      <c r="AA385" s="4695"/>
      <c r="AB385" s="3562">
        <f t="shared" si="434"/>
        <v>35.9</v>
      </c>
      <c r="AC385" s="4689"/>
      <c r="AD385" s="4690"/>
      <c r="AE385" s="4691"/>
      <c r="AF385" s="782">
        <f t="shared" si="435"/>
        <v>35.9</v>
      </c>
      <c r="AG385" s="4689"/>
      <c r="AH385" s="4690"/>
      <c r="AI385" s="4691"/>
      <c r="AJ385" s="782">
        <f t="shared" si="438"/>
        <v>35.9</v>
      </c>
      <c r="AK385" s="4689"/>
      <c r="AL385" s="4690">
        <v>36.04</v>
      </c>
      <c r="AM385" s="4693"/>
      <c r="AN385" s="781">
        <f t="shared" si="444"/>
        <v>36.04</v>
      </c>
      <c r="AO385" s="4691"/>
      <c r="AP385" s="782">
        <f t="shared" si="423"/>
        <v>71.94</v>
      </c>
      <c r="AQ385" s="4689"/>
      <c r="AR385" s="4690"/>
      <c r="AS385" s="4691"/>
      <c r="AT385" s="782">
        <f t="shared" si="424"/>
        <v>71.94</v>
      </c>
      <c r="AU385" s="4689"/>
      <c r="AV385" s="4690"/>
      <c r="AW385" s="4691"/>
      <c r="AX385" s="782">
        <f t="shared" si="425"/>
        <v>71.94</v>
      </c>
      <c r="AY385" s="4689"/>
      <c r="AZ385" s="4690"/>
      <c r="BA385" s="4693"/>
      <c r="BB385" s="781">
        <f t="shared" si="445"/>
        <v>0</v>
      </c>
      <c r="BC385" s="4695"/>
      <c r="BD385" s="3562">
        <f t="shared" si="443"/>
        <v>36.04</v>
      </c>
      <c r="BE385" s="4691"/>
      <c r="BF385" s="782">
        <f t="shared" si="428"/>
        <v>71.94</v>
      </c>
      <c r="BG385" s="26"/>
      <c r="BH385" s="26"/>
      <c r="BI385" s="26"/>
      <c r="BJ385" s="26"/>
      <c r="BK385" s="26"/>
    </row>
    <row r="386" spans="1:63" ht="20.25" customHeight="1" x14ac:dyDescent="0.25">
      <c r="A386" s="93"/>
      <c r="B386" s="4687" t="s">
        <v>2092</v>
      </c>
      <c r="C386" s="4688" t="s">
        <v>50</v>
      </c>
      <c r="D386" s="4688"/>
      <c r="E386" s="4689"/>
      <c r="F386" s="4690"/>
      <c r="G386" s="4689"/>
      <c r="H386" s="4690"/>
      <c r="I386" s="4691"/>
      <c r="J386" s="782">
        <f t="shared" si="429"/>
        <v>0</v>
      </c>
      <c r="K386" s="4689"/>
      <c r="L386" s="4690"/>
      <c r="M386" s="4693"/>
      <c r="N386" s="781">
        <f t="shared" si="430"/>
        <v>0</v>
      </c>
      <c r="O386" s="4689"/>
      <c r="P386" s="4690"/>
      <c r="Q386" s="4691"/>
      <c r="R386" s="782">
        <f t="shared" si="431"/>
        <v>0</v>
      </c>
      <c r="S386" s="4689"/>
      <c r="T386" s="4690"/>
      <c r="U386" s="4691"/>
      <c r="V386" s="782">
        <f t="shared" si="432"/>
        <v>0</v>
      </c>
      <c r="W386" s="4689"/>
      <c r="X386" s="4690"/>
      <c r="Y386" s="4693"/>
      <c r="Z386" s="781">
        <f t="shared" si="433"/>
        <v>0</v>
      </c>
      <c r="AA386" s="4695"/>
      <c r="AB386" s="3562">
        <f t="shared" si="434"/>
        <v>0</v>
      </c>
      <c r="AC386" s="4689"/>
      <c r="AD386" s="4690"/>
      <c r="AE386" s="4691"/>
      <c r="AF386" s="782">
        <f t="shared" si="435"/>
        <v>0</v>
      </c>
      <c r="AG386" s="4689"/>
      <c r="AH386" s="4690"/>
      <c r="AI386" s="4691"/>
      <c r="AJ386" s="4692"/>
      <c r="AK386" s="4689"/>
      <c r="AL386" s="4690"/>
      <c r="AM386" s="4693"/>
      <c r="AN386" s="4694"/>
      <c r="AO386" s="4691"/>
      <c r="AP386" s="4692"/>
      <c r="AQ386" s="4689"/>
      <c r="AR386" s="4690">
        <v>20.78</v>
      </c>
      <c r="AS386" s="4691"/>
      <c r="AT386" s="782">
        <f t="shared" si="424"/>
        <v>20.78</v>
      </c>
      <c r="AU386" s="4689"/>
      <c r="AV386" s="4690"/>
      <c r="AW386" s="4691"/>
      <c r="AX386" s="782">
        <f t="shared" si="425"/>
        <v>20.78</v>
      </c>
      <c r="AY386" s="4689"/>
      <c r="AZ386" s="4690"/>
      <c r="BA386" s="4693"/>
      <c r="BB386" s="781">
        <f t="shared" si="445"/>
        <v>20.78</v>
      </c>
      <c r="BC386" s="4695"/>
      <c r="BD386" s="3562">
        <f t="shared" si="443"/>
        <v>20.78</v>
      </c>
      <c r="BE386" s="4691"/>
      <c r="BF386" s="782">
        <f t="shared" si="428"/>
        <v>20.78</v>
      </c>
      <c r="BG386" s="26"/>
      <c r="BH386" s="26"/>
      <c r="BI386" s="26"/>
      <c r="BJ386" s="26"/>
      <c r="BK386" s="26"/>
    </row>
    <row r="387" spans="1:63" ht="20.25" customHeight="1" x14ac:dyDescent="0.25">
      <c r="A387" s="93"/>
      <c r="B387" s="3654" t="s">
        <v>1920</v>
      </c>
      <c r="C387" s="159" t="s">
        <v>50</v>
      </c>
      <c r="D387" s="159"/>
      <c r="E387" s="3701"/>
      <c r="F387" s="1201"/>
      <c r="G387" s="3701"/>
      <c r="H387" s="1201"/>
      <c r="I387" s="3702"/>
      <c r="J387" s="782">
        <f t="shared" si="429"/>
        <v>0</v>
      </c>
      <c r="K387" s="3701"/>
      <c r="L387" s="1201"/>
      <c r="M387" s="904"/>
      <c r="N387" s="781">
        <f t="shared" si="430"/>
        <v>0</v>
      </c>
      <c r="O387" s="3701"/>
      <c r="P387" s="1201"/>
      <c r="Q387" s="3702"/>
      <c r="R387" s="782">
        <f t="shared" si="431"/>
        <v>0</v>
      </c>
      <c r="S387" s="3701"/>
      <c r="T387" s="1201"/>
      <c r="U387" s="3702"/>
      <c r="V387" s="782">
        <f t="shared" si="432"/>
        <v>0</v>
      </c>
      <c r="W387" s="3701"/>
      <c r="X387" s="1201"/>
      <c r="Y387" s="904"/>
      <c r="Z387" s="781">
        <f t="shared" si="433"/>
        <v>0</v>
      </c>
      <c r="AA387" s="3703"/>
      <c r="AB387" s="3562">
        <f t="shared" si="434"/>
        <v>0</v>
      </c>
      <c r="AC387" s="3701"/>
      <c r="AD387" s="1201"/>
      <c r="AE387" s="3702"/>
      <c r="AF387" s="782">
        <f t="shared" si="435"/>
        <v>0</v>
      </c>
      <c r="AG387" s="3701"/>
      <c r="AH387" s="1201"/>
      <c r="AI387" s="3702"/>
      <c r="AJ387" s="782">
        <f t="shared" si="438"/>
        <v>0</v>
      </c>
      <c r="AK387" s="3701"/>
      <c r="AL387" s="1201">
        <v>39.840000000000003</v>
      </c>
      <c r="AM387" s="904"/>
      <c r="AN387" s="781">
        <f t="shared" si="444"/>
        <v>39.840000000000003</v>
      </c>
      <c r="AO387" s="3702"/>
      <c r="AP387" s="782">
        <f t="shared" si="423"/>
        <v>39.840000000000003</v>
      </c>
      <c r="AQ387" s="3701"/>
      <c r="AR387" s="1201"/>
      <c r="AS387" s="3702"/>
      <c r="AT387" s="782">
        <f t="shared" si="424"/>
        <v>39.840000000000003</v>
      </c>
      <c r="AU387" s="3701"/>
      <c r="AV387" s="1201"/>
      <c r="AW387" s="3702"/>
      <c r="AX387" s="782">
        <f t="shared" si="425"/>
        <v>39.840000000000003</v>
      </c>
      <c r="AY387" s="3701"/>
      <c r="AZ387" s="1201"/>
      <c r="BA387" s="904"/>
      <c r="BB387" s="781">
        <f t="shared" si="445"/>
        <v>0</v>
      </c>
      <c r="BC387" s="3703"/>
      <c r="BD387" s="3562">
        <f t="shared" si="443"/>
        <v>39.840000000000003</v>
      </c>
      <c r="BE387" s="3702"/>
      <c r="BF387" s="782">
        <f t="shared" si="428"/>
        <v>39.840000000000003</v>
      </c>
      <c r="BG387" s="26"/>
      <c r="BH387" s="26"/>
      <c r="BI387" s="26"/>
      <c r="BJ387" s="26"/>
      <c r="BK387" s="26"/>
    </row>
    <row r="388" spans="1:63" ht="20.25" customHeight="1" x14ac:dyDescent="0.25">
      <c r="A388" s="93"/>
      <c r="B388" s="4687" t="s">
        <v>1993</v>
      </c>
      <c r="C388" s="4688" t="s">
        <v>50</v>
      </c>
      <c r="D388" s="4688"/>
      <c r="E388" s="4689"/>
      <c r="F388" s="4690"/>
      <c r="G388" s="4689"/>
      <c r="H388" s="4690"/>
      <c r="I388" s="4691"/>
      <c r="J388" s="782">
        <f t="shared" si="429"/>
        <v>0</v>
      </c>
      <c r="K388" s="4689"/>
      <c r="L388" s="4690"/>
      <c r="M388" s="4693"/>
      <c r="N388" s="781">
        <f t="shared" si="430"/>
        <v>0</v>
      </c>
      <c r="O388" s="4689"/>
      <c r="P388" s="4690"/>
      <c r="Q388" s="4691"/>
      <c r="R388" s="782">
        <f t="shared" si="431"/>
        <v>0</v>
      </c>
      <c r="S388" s="4689"/>
      <c r="T388" s="4690"/>
      <c r="U388" s="4691"/>
      <c r="V388" s="782">
        <f t="shared" si="432"/>
        <v>0</v>
      </c>
      <c r="W388" s="4689"/>
      <c r="X388" s="4690"/>
      <c r="Y388" s="4693"/>
      <c r="Z388" s="781">
        <f t="shared" si="433"/>
        <v>0</v>
      </c>
      <c r="AA388" s="4695"/>
      <c r="AB388" s="3562">
        <f t="shared" si="434"/>
        <v>0</v>
      </c>
      <c r="AC388" s="4689"/>
      <c r="AD388" s="4690"/>
      <c r="AE388" s="4691"/>
      <c r="AF388" s="782">
        <f t="shared" si="435"/>
        <v>0</v>
      </c>
      <c r="AG388" s="4689"/>
      <c r="AH388" s="4690"/>
      <c r="AI388" s="4691"/>
      <c r="AJ388" s="782">
        <f t="shared" si="438"/>
        <v>0</v>
      </c>
      <c r="AK388" s="4689"/>
      <c r="AL388" s="4690">
        <v>38.92</v>
      </c>
      <c r="AM388" s="4693"/>
      <c r="AN388" s="781">
        <f t="shared" si="444"/>
        <v>38.92</v>
      </c>
      <c r="AO388" s="4691"/>
      <c r="AP388" s="782">
        <f t="shared" si="423"/>
        <v>38.92</v>
      </c>
      <c r="AQ388" s="4689"/>
      <c r="AR388" s="4690"/>
      <c r="AS388" s="4691"/>
      <c r="AT388" s="782">
        <f t="shared" si="424"/>
        <v>38.92</v>
      </c>
      <c r="AU388" s="4689"/>
      <c r="AV388" s="4690"/>
      <c r="AW388" s="4691"/>
      <c r="AX388" s="782">
        <f t="shared" si="425"/>
        <v>38.92</v>
      </c>
      <c r="AY388" s="4689"/>
      <c r="AZ388" s="4690"/>
      <c r="BA388" s="4693"/>
      <c r="BB388" s="781">
        <f t="shared" si="445"/>
        <v>0</v>
      </c>
      <c r="BC388" s="4695"/>
      <c r="BD388" s="3562">
        <f t="shared" si="443"/>
        <v>38.92</v>
      </c>
      <c r="BE388" s="4691"/>
      <c r="BF388" s="782">
        <f t="shared" si="428"/>
        <v>38.92</v>
      </c>
      <c r="BG388" s="26"/>
      <c r="BH388" s="26"/>
      <c r="BI388" s="26"/>
      <c r="BJ388" s="26"/>
      <c r="BK388" s="26"/>
    </row>
    <row r="389" spans="1:63" ht="20.25" customHeight="1" x14ac:dyDescent="0.25">
      <c r="A389" s="93"/>
      <c r="B389" s="3654" t="s">
        <v>1992</v>
      </c>
      <c r="C389" s="159" t="s">
        <v>50</v>
      </c>
      <c r="D389" s="159"/>
      <c r="E389" s="3701"/>
      <c r="F389" s="1201"/>
      <c r="G389" s="3701"/>
      <c r="H389" s="1201"/>
      <c r="I389" s="3702"/>
      <c r="J389" s="782">
        <f t="shared" si="429"/>
        <v>0</v>
      </c>
      <c r="K389" s="3701"/>
      <c r="L389" s="1201"/>
      <c r="M389" s="904"/>
      <c r="N389" s="781">
        <f t="shared" si="430"/>
        <v>0</v>
      </c>
      <c r="O389" s="3701"/>
      <c r="P389" s="1201"/>
      <c r="Q389" s="3702"/>
      <c r="R389" s="782">
        <f t="shared" si="431"/>
        <v>0</v>
      </c>
      <c r="S389" s="3701"/>
      <c r="T389" s="1201"/>
      <c r="U389" s="3702"/>
      <c r="V389" s="782">
        <f t="shared" si="432"/>
        <v>0</v>
      </c>
      <c r="W389" s="3701"/>
      <c r="X389" s="1201"/>
      <c r="Y389" s="904"/>
      <c r="Z389" s="781">
        <f t="shared" si="433"/>
        <v>0</v>
      </c>
      <c r="AA389" s="3703"/>
      <c r="AB389" s="3562">
        <f t="shared" si="434"/>
        <v>0</v>
      </c>
      <c r="AC389" s="3701"/>
      <c r="AD389" s="1201"/>
      <c r="AE389" s="3702"/>
      <c r="AF389" s="782">
        <f t="shared" si="435"/>
        <v>0</v>
      </c>
      <c r="AG389" s="3701"/>
      <c r="AH389" s="1201"/>
      <c r="AI389" s="3702"/>
      <c r="AJ389" s="782">
        <f t="shared" si="438"/>
        <v>0</v>
      </c>
      <c r="AK389" s="3701"/>
      <c r="AL389" s="1201">
        <v>17.64</v>
      </c>
      <c r="AM389" s="904"/>
      <c r="AN389" s="781">
        <f t="shared" si="444"/>
        <v>17.64</v>
      </c>
      <c r="AO389" s="3702"/>
      <c r="AP389" s="782">
        <f t="shared" si="423"/>
        <v>17.64</v>
      </c>
      <c r="AQ389" s="3701"/>
      <c r="AR389" s="1201"/>
      <c r="AS389" s="3702"/>
      <c r="AT389" s="782">
        <f t="shared" si="424"/>
        <v>17.64</v>
      </c>
      <c r="AU389" s="3701"/>
      <c r="AV389" s="1201"/>
      <c r="AW389" s="3702"/>
      <c r="AX389" s="782">
        <f t="shared" si="425"/>
        <v>17.64</v>
      </c>
      <c r="AY389" s="3701"/>
      <c r="AZ389" s="1201"/>
      <c r="BA389" s="904"/>
      <c r="BB389" s="781">
        <f t="shared" si="445"/>
        <v>0</v>
      </c>
      <c r="BC389" s="3703"/>
      <c r="BD389" s="3562">
        <f t="shared" si="443"/>
        <v>17.64</v>
      </c>
      <c r="BE389" s="3702"/>
      <c r="BF389" s="782">
        <f t="shared" si="428"/>
        <v>17.64</v>
      </c>
      <c r="BG389" s="26"/>
      <c r="BH389" s="26"/>
      <c r="BI389" s="26"/>
      <c r="BJ389" s="26"/>
      <c r="BK389" s="26"/>
    </row>
    <row r="390" spans="1:63" ht="20.25" customHeight="1" x14ac:dyDescent="0.25">
      <c r="A390" s="93"/>
      <c r="B390" s="3682" t="s">
        <v>1921</v>
      </c>
      <c r="C390" s="159" t="s">
        <v>50</v>
      </c>
      <c r="D390" s="159"/>
      <c r="E390" s="3701"/>
      <c r="F390" s="1201"/>
      <c r="G390" s="3701"/>
      <c r="H390" s="1201"/>
      <c r="I390" s="3702"/>
      <c r="J390" s="782">
        <f t="shared" si="429"/>
        <v>0</v>
      </c>
      <c r="K390" s="3701"/>
      <c r="L390" s="1201"/>
      <c r="M390" s="904"/>
      <c r="N390" s="781">
        <f t="shared" si="430"/>
        <v>0</v>
      </c>
      <c r="O390" s="3701"/>
      <c r="P390" s="1201"/>
      <c r="Q390" s="3702"/>
      <c r="R390" s="782">
        <f t="shared" si="431"/>
        <v>0</v>
      </c>
      <c r="S390" s="3701"/>
      <c r="T390" s="1201"/>
      <c r="U390" s="3702"/>
      <c r="V390" s="782">
        <f t="shared" si="432"/>
        <v>0</v>
      </c>
      <c r="W390" s="3701"/>
      <c r="X390" s="1201"/>
      <c r="Y390" s="904"/>
      <c r="Z390" s="781">
        <f t="shared" si="433"/>
        <v>0</v>
      </c>
      <c r="AA390" s="3703"/>
      <c r="AB390" s="3562">
        <f t="shared" si="434"/>
        <v>0</v>
      </c>
      <c r="AC390" s="3701"/>
      <c r="AD390" s="1201"/>
      <c r="AE390" s="3702"/>
      <c r="AF390" s="782">
        <f t="shared" si="435"/>
        <v>0</v>
      </c>
      <c r="AG390" s="3701"/>
      <c r="AH390" s="1201"/>
      <c r="AI390" s="3702"/>
      <c r="AJ390" s="782">
        <f t="shared" si="438"/>
        <v>0</v>
      </c>
      <c r="AK390" s="3701"/>
      <c r="AL390" s="1201"/>
      <c r="AM390" s="904"/>
      <c r="AN390" s="781">
        <f t="shared" si="444"/>
        <v>0</v>
      </c>
      <c r="AO390" s="3702"/>
      <c r="AP390" s="782">
        <f t="shared" si="423"/>
        <v>0</v>
      </c>
      <c r="AQ390" s="3701"/>
      <c r="AR390" s="1201"/>
      <c r="AS390" s="3702"/>
      <c r="AT390" s="782">
        <f t="shared" si="424"/>
        <v>0</v>
      </c>
      <c r="AU390" s="3701"/>
      <c r="AV390" s="1201"/>
      <c r="AW390" s="3702"/>
      <c r="AX390" s="782">
        <f t="shared" si="425"/>
        <v>0</v>
      </c>
      <c r="AY390" s="3701"/>
      <c r="AZ390" s="1201"/>
      <c r="BA390" s="904"/>
      <c r="BB390" s="781">
        <f t="shared" si="445"/>
        <v>0</v>
      </c>
      <c r="BC390" s="3703"/>
      <c r="BD390" s="3562">
        <f t="shared" si="443"/>
        <v>0</v>
      </c>
      <c r="BE390" s="3702"/>
      <c r="BF390" s="782">
        <f t="shared" si="428"/>
        <v>0</v>
      </c>
      <c r="BG390" s="26"/>
      <c r="BH390" s="26"/>
      <c r="BI390" s="26"/>
      <c r="BJ390" s="26"/>
      <c r="BK390" s="26"/>
    </row>
    <row r="391" spans="1:63" ht="20.25" customHeight="1" x14ac:dyDescent="0.25">
      <c r="A391" s="93"/>
      <c r="B391" s="3682" t="s">
        <v>1968</v>
      </c>
      <c r="C391" s="159" t="s">
        <v>50</v>
      </c>
      <c r="D391" s="159"/>
      <c r="E391" s="3701"/>
      <c r="F391" s="1201"/>
      <c r="G391" s="3701"/>
      <c r="H391" s="1201"/>
      <c r="I391" s="3702"/>
      <c r="J391" s="782">
        <f t="shared" si="429"/>
        <v>0</v>
      </c>
      <c r="K391" s="3701"/>
      <c r="L391" s="1201"/>
      <c r="M391" s="904"/>
      <c r="N391" s="781">
        <f t="shared" si="430"/>
        <v>0</v>
      </c>
      <c r="O391" s="3701"/>
      <c r="P391" s="1201"/>
      <c r="Q391" s="3702"/>
      <c r="R391" s="782">
        <f t="shared" si="431"/>
        <v>0</v>
      </c>
      <c r="S391" s="3701"/>
      <c r="T391" s="1201"/>
      <c r="U391" s="3702"/>
      <c r="V391" s="782">
        <f t="shared" si="432"/>
        <v>0</v>
      </c>
      <c r="W391" s="3701"/>
      <c r="X391" s="1201"/>
      <c r="Y391" s="904"/>
      <c r="Z391" s="781">
        <f t="shared" si="433"/>
        <v>0</v>
      </c>
      <c r="AA391" s="3703"/>
      <c r="AB391" s="3562">
        <f t="shared" si="434"/>
        <v>0</v>
      </c>
      <c r="AC391" s="3701"/>
      <c r="AD391" s="1201">
        <v>39.799999999999997</v>
      </c>
      <c r="AE391" s="3702"/>
      <c r="AF391" s="782">
        <f t="shared" si="435"/>
        <v>39.799999999999997</v>
      </c>
      <c r="AG391" s="3701"/>
      <c r="AH391" s="1201"/>
      <c r="AI391" s="3702"/>
      <c r="AJ391" s="782">
        <f t="shared" si="438"/>
        <v>39.799999999999997</v>
      </c>
      <c r="AK391" s="3701"/>
      <c r="AL391" s="1201"/>
      <c r="AM391" s="904"/>
      <c r="AN391" s="781">
        <f t="shared" ref="AN391" si="446">AD391+AH391+AL391</f>
        <v>39.799999999999997</v>
      </c>
      <c r="AO391" s="3702"/>
      <c r="AP391" s="782">
        <f t="shared" si="423"/>
        <v>39.799999999999997</v>
      </c>
      <c r="AQ391" s="3701"/>
      <c r="AR391" s="1201"/>
      <c r="AS391" s="3702"/>
      <c r="AT391" s="782">
        <f t="shared" si="424"/>
        <v>39.799999999999997</v>
      </c>
      <c r="AU391" s="3701"/>
      <c r="AV391" s="1201"/>
      <c r="AW391" s="3702"/>
      <c r="AX391" s="782">
        <f t="shared" si="425"/>
        <v>39.799999999999997</v>
      </c>
      <c r="AY391" s="3701"/>
      <c r="AZ391" s="1201"/>
      <c r="BA391" s="904"/>
      <c r="BB391" s="781">
        <f t="shared" ref="BB391" si="447">AR391+AV391+AZ391</f>
        <v>0</v>
      </c>
      <c r="BC391" s="3703"/>
      <c r="BD391" s="3562">
        <f t="shared" si="443"/>
        <v>39.799999999999997</v>
      </c>
      <c r="BE391" s="3702"/>
      <c r="BF391" s="782">
        <f t="shared" si="428"/>
        <v>39.799999999999997</v>
      </c>
      <c r="BG391" s="26"/>
      <c r="BH391" s="26"/>
      <c r="BI391" s="26"/>
      <c r="BJ391" s="26"/>
      <c r="BK391" s="26"/>
    </row>
    <row r="392" spans="1:63" ht="20.25" customHeight="1" x14ac:dyDescent="0.25">
      <c r="A392" s="93"/>
      <c r="B392" s="3639" t="s">
        <v>2</v>
      </c>
      <c r="C392" s="813" t="s">
        <v>50</v>
      </c>
      <c r="D392" s="457">
        <f>+D23</f>
        <v>3000.0000000000009</v>
      </c>
      <c r="E392" s="457">
        <f>+E23</f>
        <v>272.72727272727275</v>
      </c>
      <c r="F392" s="3687">
        <f>SUM(F379:F390)</f>
        <v>0</v>
      </c>
      <c r="G392" s="457">
        <f>+G23</f>
        <v>272.72727272727275</v>
      </c>
      <c r="H392" s="3687">
        <f>SUM(H379:H390)</f>
        <v>0</v>
      </c>
      <c r="I392" s="376">
        <f>+I23</f>
        <v>545.4545454545455</v>
      </c>
      <c r="J392" s="782">
        <f t="shared" si="429"/>
        <v>0</v>
      </c>
      <c r="K392" s="457">
        <f>+K23</f>
        <v>272.72727272727275</v>
      </c>
      <c r="L392" s="3687">
        <f>SUM(L379:L390)</f>
        <v>35.9</v>
      </c>
      <c r="M392" s="378">
        <f>E392+G392+K392</f>
        <v>818.18181818181824</v>
      </c>
      <c r="N392" s="781">
        <f t="shared" si="430"/>
        <v>35.9</v>
      </c>
      <c r="O392" s="457">
        <f>+O23</f>
        <v>272.72727272727275</v>
      </c>
      <c r="P392" s="3687">
        <f>SUM(P379:P390)</f>
        <v>0</v>
      </c>
      <c r="Q392" s="376">
        <f>+Q23</f>
        <v>1090.909090909091</v>
      </c>
      <c r="R392" s="782">
        <f t="shared" si="431"/>
        <v>35.9</v>
      </c>
      <c r="S392" s="457">
        <f>+S23</f>
        <v>272.72727272727275</v>
      </c>
      <c r="T392" s="3687">
        <f>SUM(T379:T390)</f>
        <v>0</v>
      </c>
      <c r="U392" s="376">
        <f>+U23</f>
        <v>1363.6363636363637</v>
      </c>
      <c r="V392" s="782">
        <f t="shared" si="432"/>
        <v>35.9</v>
      </c>
      <c r="W392" s="457">
        <f>+W23</f>
        <v>0</v>
      </c>
      <c r="X392" s="3687">
        <f>SUM(X379:X390)</f>
        <v>0</v>
      </c>
      <c r="Y392" s="378">
        <f>O392+S392+W392</f>
        <v>545.4545454545455</v>
      </c>
      <c r="Z392" s="781">
        <f t="shared" si="433"/>
        <v>0</v>
      </c>
      <c r="AA392" s="3565">
        <f>+AA23</f>
        <v>1363.6363636363637</v>
      </c>
      <c r="AB392" s="3562">
        <f t="shared" si="434"/>
        <v>35.9</v>
      </c>
      <c r="AC392" s="457">
        <f>+AC23</f>
        <v>800</v>
      </c>
      <c r="AD392" s="3687">
        <f>SUM(AD379:AD391)</f>
        <v>156.07999999999998</v>
      </c>
      <c r="AE392" s="376">
        <f>+AE23</f>
        <v>2163.636363636364</v>
      </c>
      <c r="AF392" s="782">
        <f t="shared" si="435"/>
        <v>191.98</v>
      </c>
      <c r="AG392" s="457">
        <f>+AG23</f>
        <v>800</v>
      </c>
      <c r="AH392" s="3687">
        <f>SUM(AH379:AH391)</f>
        <v>0</v>
      </c>
      <c r="AI392" s="376">
        <f>+AI23</f>
        <v>2963.636363636364</v>
      </c>
      <c r="AJ392" s="3688">
        <f t="shared" si="438"/>
        <v>191.98</v>
      </c>
      <c r="AK392" s="457">
        <f>+AK23</f>
        <v>800</v>
      </c>
      <c r="AL392" s="3687">
        <f>SUM(AL379:AL391)</f>
        <v>132.44</v>
      </c>
      <c r="AM392" s="378">
        <f>AC392+AG392+AK392</f>
        <v>2400</v>
      </c>
      <c r="AN392" s="3689">
        <f>AD392+AH392+AL392</f>
        <v>288.52</v>
      </c>
      <c r="AO392" s="376">
        <f t="shared" si="423"/>
        <v>3763.636363636364</v>
      </c>
      <c r="AP392" s="3688">
        <f t="shared" ref="AP392" si="448">AJ392+AL392</f>
        <v>324.41999999999996</v>
      </c>
      <c r="AQ392" s="457">
        <f>+AQ23</f>
        <v>800</v>
      </c>
      <c r="AR392" s="3687">
        <f>SUM(AR379:AR391)</f>
        <v>252.82</v>
      </c>
      <c r="AS392" s="376">
        <f>+AS23</f>
        <v>4563.636363636364</v>
      </c>
      <c r="AT392" s="3688">
        <f t="shared" ref="AT392" si="449">AP392+AR392</f>
        <v>577.24</v>
      </c>
      <c r="AU392" s="457">
        <f>+AU23</f>
        <v>800</v>
      </c>
      <c r="AV392" s="3687">
        <f>SUM(AV379:AV391)</f>
        <v>0</v>
      </c>
      <c r="AW392" s="376">
        <f>+AW23</f>
        <v>5363.636363636364</v>
      </c>
      <c r="AX392" s="3688">
        <f t="shared" ref="AX392" si="450">AT392+AV392</f>
        <v>577.24</v>
      </c>
      <c r="AY392" s="457">
        <f>+AY23</f>
        <v>800</v>
      </c>
      <c r="AZ392" s="3687">
        <f>SUM(AZ379:AZ391)</f>
        <v>794.61999999999989</v>
      </c>
      <c r="BA392" s="378">
        <f>AQ392+AU392+AY392</f>
        <v>2400</v>
      </c>
      <c r="BB392" s="3689">
        <f>AR392+AV392+AZ392</f>
        <v>1047.4399999999998</v>
      </c>
      <c r="BC392" s="3565">
        <f>AM392+BA392</f>
        <v>4800</v>
      </c>
      <c r="BD392" s="3565">
        <f>AN392+BB392</f>
        <v>1335.9599999999998</v>
      </c>
      <c r="BE392" s="376">
        <f>+BE23</f>
        <v>6163.636363636364</v>
      </c>
      <c r="BF392" s="3688">
        <f t="shared" ref="BF392" si="451">AX392+AZ392</f>
        <v>1371.86</v>
      </c>
      <c r="BG392" s="26"/>
      <c r="BH392" s="26"/>
      <c r="BI392" s="26"/>
      <c r="BJ392" s="26"/>
      <c r="BK392" s="26"/>
    </row>
    <row r="393" spans="1:63" ht="20.25" customHeight="1" thickBot="1" x14ac:dyDescent="0.3">
      <c r="A393" s="154"/>
      <c r="B393" s="3704"/>
      <c r="C393" s="3704"/>
      <c r="D393" s="3704"/>
      <c r="E393" s="3704"/>
      <c r="F393" s="3704"/>
      <c r="G393" s="3704"/>
      <c r="H393" s="3704"/>
      <c r="I393" s="3704"/>
      <c r="J393" s="782">
        <f t="shared" si="429"/>
        <v>0</v>
      </c>
      <c r="K393" s="3704"/>
      <c r="L393" s="3704"/>
      <c r="M393" s="3704"/>
      <c r="N393" s="781">
        <f t="shared" si="430"/>
        <v>0</v>
      </c>
      <c r="O393" s="3704"/>
      <c r="P393" s="3704"/>
      <c r="Q393" s="3704"/>
      <c r="R393" s="782">
        <f t="shared" si="431"/>
        <v>0</v>
      </c>
      <c r="S393" s="3704"/>
      <c r="T393" s="3704"/>
      <c r="U393" s="3704"/>
      <c r="V393" s="782">
        <f t="shared" si="432"/>
        <v>0</v>
      </c>
      <c r="W393" s="3704"/>
      <c r="X393" s="3704"/>
      <c r="Y393" s="3704"/>
      <c r="Z393" s="781">
        <f t="shared" si="433"/>
        <v>0</v>
      </c>
      <c r="AA393" s="3705"/>
      <c r="AB393" s="3562">
        <f t="shared" si="434"/>
        <v>0</v>
      </c>
      <c r="AC393" s="3704"/>
      <c r="AD393" s="3704"/>
      <c r="AE393" s="3704"/>
      <c r="AF393" s="782">
        <f t="shared" si="435"/>
        <v>0</v>
      </c>
      <c r="AG393" s="3704"/>
      <c r="AH393" s="3704"/>
      <c r="AI393" s="3704"/>
      <c r="AJ393" s="3704"/>
      <c r="AK393" s="3704"/>
      <c r="AL393" s="3704"/>
      <c r="AM393" s="3704"/>
      <c r="AN393" s="3704"/>
      <c r="AO393" s="3704"/>
      <c r="AP393" s="3704"/>
      <c r="AQ393" s="3704"/>
      <c r="AR393" s="3704"/>
      <c r="AS393" s="3704"/>
      <c r="AT393" s="3704"/>
      <c r="AU393" s="3704"/>
      <c r="AV393" s="3704"/>
      <c r="AW393" s="3704"/>
      <c r="AX393" s="3704"/>
      <c r="AY393" s="3704"/>
      <c r="AZ393" s="3704"/>
      <c r="BA393" s="3704"/>
      <c r="BB393" s="3704"/>
      <c r="BC393" s="3705"/>
      <c r="BD393" s="3705"/>
      <c r="BE393" s="3704"/>
      <c r="BF393" s="3704"/>
      <c r="BG393" s="26"/>
      <c r="BH393" s="26"/>
      <c r="BI393" s="26"/>
      <c r="BJ393" s="26"/>
      <c r="BK393" s="26"/>
    </row>
    <row r="394" spans="1:63" ht="20.25" customHeight="1" x14ac:dyDescent="0.25">
      <c r="A394" s="154"/>
      <c r="B394" s="3706" t="s">
        <v>539</v>
      </c>
      <c r="C394" s="1712"/>
      <c r="D394" s="1712"/>
      <c r="E394" s="1712"/>
      <c r="F394" s="1712"/>
      <c r="G394" s="1712"/>
      <c r="H394" s="1712"/>
      <c r="I394" s="1712"/>
      <c r="J394" s="782">
        <f t="shared" si="429"/>
        <v>0</v>
      </c>
      <c r="K394" s="1712"/>
      <c r="L394" s="1712"/>
      <c r="M394" s="1712"/>
      <c r="N394" s="781">
        <f t="shared" si="430"/>
        <v>0</v>
      </c>
      <c r="O394" s="1712"/>
      <c r="P394" s="1712"/>
      <c r="Q394" s="1712"/>
      <c r="R394" s="782">
        <f t="shared" si="431"/>
        <v>0</v>
      </c>
      <c r="S394" s="1712"/>
      <c r="T394" s="1712"/>
      <c r="U394" s="1712"/>
      <c r="V394" s="782">
        <f t="shared" si="432"/>
        <v>0</v>
      </c>
      <c r="W394" s="1712"/>
      <c r="X394" s="1712"/>
      <c r="Y394" s="1712"/>
      <c r="Z394" s="781">
        <f t="shared" si="433"/>
        <v>0</v>
      </c>
      <c r="AA394" s="3707"/>
      <c r="AB394" s="3562">
        <f t="shared" si="434"/>
        <v>0</v>
      </c>
      <c r="AC394" s="1712"/>
      <c r="AD394" s="1712"/>
      <c r="AE394" s="1712"/>
      <c r="AF394" s="782">
        <f t="shared" si="435"/>
        <v>0</v>
      </c>
      <c r="AG394" s="1712"/>
      <c r="AH394" s="1712"/>
      <c r="AI394" s="1712"/>
      <c r="AJ394" s="1712"/>
      <c r="AK394" s="1712"/>
      <c r="AL394" s="1712"/>
      <c r="AM394" s="1712"/>
      <c r="AN394" s="1712"/>
      <c r="AO394" s="1712"/>
      <c r="AP394" s="1712"/>
      <c r="AQ394" s="1712"/>
      <c r="AR394" s="1712"/>
      <c r="AS394" s="1712"/>
      <c r="AT394" s="1712"/>
      <c r="AU394" s="1712"/>
      <c r="AV394" s="1712"/>
      <c r="AW394" s="1712"/>
      <c r="AX394" s="1712"/>
      <c r="AY394" s="1712"/>
      <c r="AZ394" s="1712"/>
      <c r="BA394" s="1712"/>
      <c r="BB394" s="1712"/>
      <c r="BC394" s="3707"/>
      <c r="BD394" s="3708"/>
      <c r="BE394" s="1712"/>
      <c r="BF394" s="1712"/>
      <c r="BG394" s="26"/>
      <c r="BH394" s="26"/>
      <c r="BI394" s="26"/>
      <c r="BJ394" s="26"/>
      <c r="BK394" s="26"/>
    </row>
    <row r="395" spans="1:63" x14ac:dyDescent="0.25">
      <c r="A395" s="154"/>
      <c r="B395" s="743" t="s">
        <v>1251</v>
      </c>
      <c r="C395" s="184"/>
      <c r="D395" s="184"/>
      <c r="E395" s="184"/>
      <c r="F395" s="184"/>
      <c r="G395" s="184"/>
      <c r="H395" s="184"/>
      <c r="I395" s="184"/>
      <c r="J395" s="782">
        <f t="shared" si="429"/>
        <v>0</v>
      </c>
      <c r="K395" s="184"/>
      <c r="L395" s="184"/>
      <c r="M395" s="184"/>
      <c r="N395" s="781">
        <f t="shared" si="430"/>
        <v>0</v>
      </c>
      <c r="O395" s="184"/>
      <c r="P395" s="184"/>
      <c r="Q395" s="184"/>
      <c r="R395" s="782">
        <f t="shared" si="431"/>
        <v>0</v>
      </c>
      <c r="S395" s="184"/>
      <c r="T395" s="184"/>
      <c r="U395" s="184"/>
      <c r="V395" s="782">
        <f t="shared" si="432"/>
        <v>0</v>
      </c>
      <c r="W395" s="184"/>
      <c r="X395" s="184"/>
      <c r="Y395" s="184"/>
      <c r="Z395" s="781">
        <f t="shared" si="433"/>
        <v>0</v>
      </c>
      <c r="AA395" s="3709"/>
      <c r="AB395" s="3562">
        <f t="shared" si="434"/>
        <v>0</v>
      </c>
      <c r="AC395" s="184"/>
      <c r="AD395" s="184"/>
      <c r="AE395" s="184"/>
      <c r="AF395" s="782">
        <f t="shared" si="435"/>
        <v>0</v>
      </c>
      <c r="AG395" s="184"/>
      <c r="AH395" s="184"/>
      <c r="AI395" s="184"/>
      <c r="AJ395" s="184"/>
      <c r="AK395" s="184"/>
      <c r="AL395" s="184"/>
      <c r="AM395" s="184"/>
      <c r="AN395" s="184"/>
      <c r="AO395" s="184"/>
      <c r="AP395" s="184"/>
      <c r="AQ395" s="184"/>
      <c r="AR395" s="184"/>
      <c r="AS395" s="184"/>
      <c r="AT395" s="184"/>
      <c r="AU395" s="184"/>
      <c r="AV395" s="184"/>
      <c r="AW395" s="184"/>
      <c r="AX395" s="184"/>
      <c r="AY395" s="184"/>
      <c r="AZ395" s="184"/>
      <c r="BA395" s="184"/>
      <c r="BB395" s="184"/>
      <c r="BC395" s="3709"/>
      <c r="BD395" s="3710"/>
      <c r="BE395" s="184"/>
      <c r="BF395" s="184"/>
      <c r="BG395" s="26"/>
      <c r="BH395" s="26"/>
      <c r="BI395" s="26"/>
      <c r="BJ395" s="26"/>
      <c r="BK395" s="26"/>
    </row>
    <row r="396" spans="1:63" x14ac:dyDescent="0.25">
      <c r="A396" s="154"/>
      <c r="B396" s="743" t="s">
        <v>120</v>
      </c>
      <c r="C396" s="184"/>
      <c r="D396" s="184"/>
      <c r="E396" s="184"/>
      <c r="F396" s="184"/>
      <c r="G396" s="184"/>
      <c r="H396" s="184"/>
      <c r="I396" s="184"/>
      <c r="J396" s="782">
        <f t="shared" si="429"/>
        <v>0</v>
      </c>
      <c r="K396" s="184"/>
      <c r="L396" s="184"/>
      <c r="M396" s="184"/>
      <c r="N396" s="781">
        <f t="shared" si="430"/>
        <v>0</v>
      </c>
      <c r="O396" s="184"/>
      <c r="P396" s="184"/>
      <c r="Q396" s="184"/>
      <c r="R396" s="782">
        <f t="shared" si="431"/>
        <v>0</v>
      </c>
      <c r="S396" s="184"/>
      <c r="T396" s="184"/>
      <c r="U396" s="184"/>
      <c r="V396" s="782">
        <f t="shared" si="432"/>
        <v>0</v>
      </c>
      <c r="W396" s="184"/>
      <c r="X396" s="184"/>
      <c r="Y396" s="184"/>
      <c r="Z396" s="781">
        <f t="shared" si="433"/>
        <v>0</v>
      </c>
      <c r="AA396" s="3709"/>
      <c r="AB396" s="3562">
        <f t="shared" si="434"/>
        <v>0</v>
      </c>
      <c r="AC396" s="184"/>
      <c r="AD396" s="184"/>
      <c r="AE396" s="184"/>
      <c r="AF396" s="782">
        <f t="shared" si="435"/>
        <v>0</v>
      </c>
      <c r="AG396" s="184"/>
      <c r="AH396" s="184"/>
      <c r="AI396" s="184"/>
      <c r="AJ396" s="184"/>
      <c r="AK396" s="184"/>
      <c r="AL396" s="184"/>
      <c r="AM396" s="184"/>
      <c r="AN396" s="184"/>
      <c r="AO396" s="184"/>
      <c r="AP396" s="184"/>
      <c r="AQ396" s="184"/>
      <c r="AR396" s="184"/>
      <c r="AS396" s="184"/>
      <c r="AT396" s="184"/>
      <c r="AU396" s="184"/>
      <c r="AV396" s="184"/>
      <c r="AW396" s="184"/>
      <c r="AX396" s="184"/>
      <c r="AY396" s="184"/>
      <c r="AZ396" s="184"/>
      <c r="BA396" s="184"/>
      <c r="BB396" s="184"/>
      <c r="BC396" s="3709"/>
      <c r="BD396" s="3710"/>
      <c r="BE396" s="184"/>
      <c r="BF396" s="184"/>
      <c r="BG396" s="26"/>
      <c r="BH396" s="26"/>
      <c r="BI396" s="26"/>
      <c r="BJ396" s="26"/>
      <c r="BK396" s="26"/>
    </row>
    <row r="397" spans="1:63" x14ac:dyDescent="0.25">
      <c r="A397" s="93"/>
      <c r="B397" s="3383" t="s">
        <v>659</v>
      </c>
      <c r="C397" s="159" t="s">
        <v>50</v>
      </c>
      <c r="D397" s="159"/>
      <c r="E397" s="5874"/>
      <c r="F397" s="1134"/>
      <c r="G397" s="5874"/>
      <c r="H397" s="1134"/>
      <c r="I397" s="5946"/>
      <c r="J397" s="782">
        <f t="shared" ref="J397:J460" si="452">F397+H397</f>
        <v>0</v>
      </c>
      <c r="K397" s="5874"/>
      <c r="L397" s="1134"/>
      <c r="M397" s="5897"/>
      <c r="N397" s="781">
        <f t="shared" ref="N397:N460" si="453">J397+L397</f>
        <v>0</v>
      </c>
      <c r="O397" s="5874"/>
      <c r="P397" s="1134"/>
      <c r="Q397" s="5946"/>
      <c r="R397" s="782">
        <f t="shared" ref="R397:R460" si="454">N397+P397</f>
        <v>0</v>
      </c>
      <c r="S397" s="5874"/>
      <c r="T397" s="1134"/>
      <c r="U397" s="5946"/>
      <c r="V397" s="782">
        <f t="shared" ref="V397:V460" si="455">R397+T397</f>
        <v>0</v>
      </c>
      <c r="W397" s="5874"/>
      <c r="X397" s="1134"/>
      <c r="Y397" s="5897"/>
      <c r="Z397" s="781">
        <f t="shared" ref="Z397:Z460" si="456">P397+T397+X397</f>
        <v>0</v>
      </c>
      <c r="AA397" s="5904"/>
      <c r="AB397" s="3562">
        <f t="shared" ref="AB397:AB460" si="457">N397+Z397</f>
        <v>0</v>
      </c>
      <c r="AC397" s="5874"/>
      <c r="AD397" s="1134">
        <v>2633.36</v>
      </c>
      <c r="AE397" s="5946"/>
      <c r="AF397" s="782">
        <f t="shared" ref="AF397:AF460" si="458">AB397+AD397</f>
        <v>2633.36</v>
      </c>
      <c r="AG397" s="5874"/>
      <c r="AH397" s="1134"/>
      <c r="AI397" s="3711"/>
      <c r="AJ397" s="782">
        <f t="shared" ref="AJ397:AJ427" si="459">AF397+AH397</f>
        <v>2633.36</v>
      </c>
      <c r="AK397" s="5874"/>
      <c r="AL397" s="1134"/>
      <c r="AM397" s="5897"/>
      <c r="AN397" s="378">
        <f t="shared" ref="AN397:AN448" si="460">AD397+AH397+AL397</f>
        <v>2633.36</v>
      </c>
      <c r="AO397" s="5946"/>
      <c r="AP397" s="782">
        <f t="shared" ref="AO397:AP448" si="461">AJ397+AL397</f>
        <v>2633.36</v>
      </c>
      <c r="AQ397" s="5874"/>
      <c r="AR397" s="457">
        <v>2758.7400000000007</v>
      </c>
      <c r="AS397" s="3711"/>
      <c r="AT397" s="782">
        <f t="shared" ref="AT397:AT400" si="462">AP397+AR397</f>
        <v>5392.1</v>
      </c>
      <c r="AU397" s="5874"/>
      <c r="AV397" s="457"/>
      <c r="AW397" s="3711"/>
      <c r="AX397" s="782">
        <f t="shared" ref="AX397:AX400" si="463">AT397+AV397</f>
        <v>5392.1</v>
      </c>
      <c r="AY397" s="5874"/>
      <c r="AZ397" s="457"/>
      <c r="BA397" s="5897"/>
      <c r="BB397" s="378">
        <f t="shared" ref="BB397:BB428" si="464">AR397+AV397+AZ397</f>
        <v>2758.7400000000007</v>
      </c>
      <c r="BC397" s="5904"/>
      <c r="BD397" s="544">
        <f t="shared" ref="BD397:BD448" si="465">AN397+BB397</f>
        <v>5392.1</v>
      </c>
      <c r="BE397" s="3711"/>
      <c r="BF397" s="782">
        <f t="shared" ref="BF397:BF427" si="466">AX397+AZ397</f>
        <v>5392.1</v>
      </c>
      <c r="BG397" s="26"/>
      <c r="BH397" s="26"/>
      <c r="BI397" s="26"/>
      <c r="BJ397" s="26"/>
      <c r="BK397" s="26"/>
    </row>
    <row r="398" spans="1:63" x14ac:dyDescent="0.25">
      <c r="A398" s="93"/>
      <c r="B398" s="3712" t="s">
        <v>713</v>
      </c>
      <c r="C398" s="159" t="s">
        <v>50</v>
      </c>
      <c r="D398" s="159"/>
      <c r="E398" s="5874"/>
      <c r="F398" s="457">
        <v>4343.1200000000008</v>
      </c>
      <c r="G398" s="5874"/>
      <c r="H398" s="457">
        <v>2814.6399999999994</v>
      </c>
      <c r="I398" s="5946"/>
      <c r="J398" s="782">
        <f t="shared" si="452"/>
        <v>7157.76</v>
      </c>
      <c r="K398" s="5874"/>
      <c r="L398" s="457"/>
      <c r="M398" s="5897"/>
      <c r="N398" s="781">
        <f t="shared" si="453"/>
        <v>7157.76</v>
      </c>
      <c r="O398" s="5874"/>
      <c r="P398" s="457"/>
      <c r="Q398" s="5946"/>
      <c r="R398" s="782">
        <f t="shared" si="454"/>
        <v>7157.76</v>
      </c>
      <c r="S398" s="5874"/>
      <c r="T398" s="457"/>
      <c r="U398" s="5946"/>
      <c r="V398" s="782">
        <f t="shared" si="455"/>
        <v>7157.76</v>
      </c>
      <c r="W398" s="5874"/>
      <c r="X398" s="457"/>
      <c r="Y398" s="5897"/>
      <c r="Z398" s="781">
        <f t="shared" si="456"/>
        <v>0</v>
      </c>
      <c r="AA398" s="5904"/>
      <c r="AB398" s="3562">
        <f t="shared" si="457"/>
        <v>7157.76</v>
      </c>
      <c r="AC398" s="5874"/>
      <c r="AD398" s="457">
        <v>2633.36</v>
      </c>
      <c r="AE398" s="5946"/>
      <c r="AF398" s="782">
        <f t="shared" si="458"/>
        <v>9791.1200000000008</v>
      </c>
      <c r="AG398" s="5874"/>
      <c r="AH398" s="457"/>
      <c r="AI398" s="3711"/>
      <c r="AJ398" s="782">
        <f t="shared" si="459"/>
        <v>9791.1200000000008</v>
      </c>
      <c r="AK398" s="5874"/>
      <c r="AL398" s="457"/>
      <c r="AM398" s="5897"/>
      <c r="AN398" s="378">
        <f t="shared" si="460"/>
        <v>2633.36</v>
      </c>
      <c r="AO398" s="5946"/>
      <c r="AP398" s="782">
        <f t="shared" si="461"/>
        <v>9791.1200000000008</v>
      </c>
      <c r="AQ398" s="5874"/>
      <c r="AR398" s="457">
        <v>2758.7400000000007</v>
      </c>
      <c r="AS398" s="3711"/>
      <c r="AT398" s="782">
        <f t="shared" si="462"/>
        <v>12549.86</v>
      </c>
      <c r="AU398" s="5874"/>
      <c r="AV398" s="457"/>
      <c r="AW398" s="3711"/>
      <c r="AX398" s="782">
        <f t="shared" si="463"/>
        <v>12549.86</v>
      </c>
      <c r="AY398" s="5874"/>
      <c r="AZ398" s="457"/>
      <c r="BA398" s="5897"/>
      <c r="BB398" s="378">
        <f t="shared" si="464"/>
        <v>2758.7400000000007</v>
      </c>
      <c r="BC398" s="5904"/>
      <c r="BD398" s="544">
        <f t="shared" si="465"/>
        <v>5392.1</v>
      </c>
      <c r="BE398" s="3711"/>
      <c r="BF398" s="782">
        <f t="shared" si="466"/>
        <v>12549.86</v>
      </c>
      <c r="BG398" s="26"/>
      <c r="BH398" s="26"/>
      <c r="BI398" s="26"/>
      <c r="BJ398" s="26"/>
      <c r="BK398" s="26"/>
    </row>
    <row r="399" spans="1:63" x14ac:dyDescent="0.25">
      <c r="A399" s="154"/>
      <c r="B399" s="3713"/>
      <c r="C399" s="205" t="s">
        <v>50</v>
      </c>
      <c r="D399" s="205"/>
      <c r="E399" s="5874"/>
      <c r="F399" s="1134">
        <f>+F38</f>
        <v>0</v>
      </c>
      <c r="G399" s="5874"/>
      <c r="H399" s="1134">
        <f>+H38</f>
        <v>0</v>
      </c>
      <c r="I399" s="5946"/>
      <c r="J399" s="782">
        <f t="shared" si="452"/>
        <v>0</v>
      </c>
      <c r="K399" s="5874"/>
      <c r="L399" s="1134">
        <f>+L38</f>
        <v>0</v>
      </c>
      <c r="M399" s="5897"/>
      <c r="N399" s="781">
        <f t="shared" si="453"/>
        <v>0</v>
      </c>
      <c r="O399" s="5874"/>
      <c r="P399" s="1134">
        <f>+P38</f>
        <v>0</v>
      </c>
      <c r="Q399" s="5946"/>
      <c r="R399" s="782">
        <f t="shared" si="454"/>
        <v>0</v>
      </c>
      <c r="S399" s="5874"/>
      <c r="T399" s="1134">
        <f>+T38</f>
        <v>0</v>
      </c>
      <c r="U399" s="5946"/>
      <c r="V399" s="782">
        <f t="shared" si="455"/>
        <v>0</v>
      </c>
      <c r="W399" s="5874"/>
      <c r="X399" s="1134">
        <f>+X38</f>
        <v>0</v>
      </c>
      <c r="Y399" s="5897"/>
      <c r="Z399" s="781">
        <f t="shared" si="456"/>
        <v>0</v>
      </c>
      <c r="AA399" s="5904"/>
      <c r="AB399" s="3562">
        <f t="shared" si="457"/>
        <v>0</v>
      </c>
      <c r="AC399" s="5874"/>
      <c r="AD399" s="1134"/>
      <c r="AE399" s="5946"/>
      <c r="AF399" s="782">
        <f t="shared" si="458"/>
        <v>0</v>
      </c>
      <c r="AG399" s="5874"/>
      <c r="AH399" s="1134"/>
      <c r="AI399" s="3711"/>
      <c r="AJ399" s="782">
        <f t="shared" si="459"/>
        <v>0</v>
      </c>
      <c r="AK399" s="5874"/>
      <c r="AL399" s="1134"/>
      <c r="AM399" s="5897"/>
      <c r="AN399" s="378">
        <f t="shared" si="460"/>
        <v>0</v>
      </c>
      <c r="AO399" s="5946"/>
      <c r="AP399" s="782">
        <f t="shared" si="461"/>
        <v>0</v>
      </c>
      <c r="AQ399" s="5874"/>
      <c r="AR399" s="1134"/>
      <c r="AS399" s="3711"/>
      <c r="AT399" s="782">
        <f t="shared" si="462"/>
        <v>0</v>
      </c>
      <c r="AU399" s="5874"/>
      <c r="AV399" s="1134"/>
      <c r="AW399" s="3711"/>
      <c r="AX399" s="782">
        <f t="shared" si="463"/>
        <v>0</v>
      </c>
      <c r="AY399" s="5874"/>
      <c r="AZ399" s="1134"/>
      <c r="BA399" s="5897"/>
      <c r="BB399" s="378">
        <f t="shared" si="464"/>
        <v>0</v>
      </c>
      <c r="BC399" s="5904"/>
      <c r="BD399" s="544">
        <f t="shared" si="465"/>
        <v>0</v>
      </c>
      <c r="BE399" s="3711"/>
      <c r="BF399" s="782">
        <f t="shared" si="466"/>
        <v>0</v>
      </c>
      <c r="BG399" s="26"/>
      <c r="BH399" s="26"/>
      <c r="BI399" s="26"/>
      <c r="BJ399" s="26"/>
      <c r="BK399" s="26"/>
    </row>
    <row r="400" spans="1:63" ht="42.75" x14ac:dyDescent="0.25">
      <c r="A400" s="93"/>
      <c r="B400" s="3714" t="s">
        <v>1721</v>
      </c>
      <c r="C400" s="205" t="s">
        <v>50</v>
      </c>
      <c r="D400" s="205"/>
      <c r="E400" s="5874"/>
      <c r="F400" s="1134">
        <f>+F39</f>
        <v>1095.8900000000001</v>
      </c>
      <c r="G400" s="5874"/>
      <c r="H400" s="1134">
        <f>+H39</f>
        <v>1764.77</v>
      </c>
      <c r="I400" s="5946"/>
      <c r="J400" s="782">
        <f t="shared" si="452"/>
        <v>2860.66</v>
      </c>
      <c r="K400" s="5874"/>
      <c r="L400" s="1134">
        <f>+L39</f>
        <v>5738.2099999999991</v>
      </c>
      <c r="M400" s="5897"/>
      <c r="N400" s="781">
        <f t="shared" si="453"/>
        <v>8598.869999999999</v>
      </c>
      <c r="O400" s="5874"/>
      <c r="P400" s="1134">
        <f>+P39</f>
        <v>3402.2599999999998</v>
      </c>
      <c r="Q400" s="5946"/>
      <c r="R400" s="782">
        <f t="shared" si="454"/>
        <v>12001.13</v>
      </c>
      <c r="S400" s="5874"/>
      <c r="T400" s="1134">
        <f>+T39</f>
        <v>3769.9700000000003</v>
      </c>
      <c r="U400" s="5946"/>
      <c r="V400" s="782">
        <f t="shared" si="455"/>
        <v>15771.099999999999</v>
      </c>
      <c r="W400" s="5874"/>
      <c r="X400" s="1134">
        <f>+X39</f>
        <v>3271.59</v>
      </c>
      <c r="Y400" s="5897"/>
      <c r="Z400" s="781">
        <f t="shared" si="456"/>
        <v>10443.82</v>
      </c>
      <c r="AA400" s="5904"/>
      <c r="AB400" s="3562">
        <f t="shared" si="457"/>
        <v>19042.689999999999</v>
      </c>
      <c r="AC400" s="5874"/>
      <c r="AD400" s="1134">
        <f>+AD39</f>
        <v>3411.6499999999996</v>
      </c>
      <c r="AE400" s="5946"/>
      <c r="AF400" s="782">
        <f t="shared" si="458"/>
        <v>22454.339999999997</v>
      </c>
      <c r="AG400" s="5874"/>
      <c r="AH400" s="1134">
        <f>+AH39</f>
        <v>5141.4699999999993</v>
      </c>
      <c r="AI400" s="3711"/>
      <c r="AJ400" s="782">
        <f t="shared" si="459"/>
        <v>27595.809999999998</v>
      </c>
      <c r="AK400" s="5874"/>
      <c r="AL400" s="1134">
        <f>+AL39</f>
        <v>3545.0299999999997</v>
      </c>
      <c r="AM400" s="5897"/>
      <c r="AN400" s="378">
        <f t="shared" si="460"/>
        <v>12098.149999999998</v>
      </c>
      <c r="AO400" s="5946"/>
      <c r="AP400" s="782">
        <f t="shared" si="461"/>
        <v>31140.839999999997</v>
      </c>
      <c r="AQ400" s="5874"/>
      <c r="AR400" s="1134">
        <f>+AR39</f>
        <v>3486.44</v>
      </c>
      <c r="AS400" s="3711"/>
      <c r="AT400" s="782">
        <f t="shared" si="462"/>
        <v>34627.279999999999</v>
      </c>
      <c r="AU400" s="5874"/>
      <c r="AV400" s="1134">
        <f>+AV39</f>
        <v>1080.8899999999999</v>
      </c>
      <c r="AW400" s="3711"/>
      <c r="AX400" s="782">
        <f t="shared" si="463"/>
        <v>35708.17</v>
      </c>
      <c r="AY400" s="5874"/>
      <c r="AZ400" s="1134">
        <f>+AZ39</f>
        <v>6449.17</v>
      </c>
      <c r="BA400" s="5897"/>
      <c r="BB400" s="378">
        <f t="shared" si="464"/>
        <v>11016.5</v>
      </c>
      <c r="BC400" s="5904"/>
      <c r="BD400" s="544">
        <f t="shared" si="465"/>
        <v>23114.649999999998</v>
      </c>
      <c r="BE400" s="3711"/>
      <c r="BF400" s="782">
        <f t="shared" si="466"/>
        <v>42157.34</v>
      </c>
      <c r="BG400" s="26"/>
      <c r="BH400" s="26"/>
      <c r="BI400" s="26"/>
      <c r="BJ400" s="26"/>
      <c r="BK400" s="26"/>
    </row>
    <row r="401" spans="1:63" x14ac:dyDescent="0.25">
      <c r="A401" s="93"/>
      <c r="B401" s="3461" t="s">
        <v>601</v>
      </c>
      <c r="C401" s="205"/>
      <c r="D401" s="205"/>
      <c r="E401" s="5874"/>
      <c r="F401" s="1134"/>
      <c r="G401" s="5874"/>
      <c r="H401" s="1134"/>
      <c r="I401" s="5946"/>
      <c r="J401" s="782">
        <f t="shared" si="452"/>
        <v>0</v>
      </c>
      <c r="K401" s="5874"/>
      <c r="L401" s="1134"/>
      <c r="M401" s="5897"/>
      <c r="N401" s="781">
        <f t="shared" si="453"/>
        <v>0</v>
      </c>
      <c r="O401" s="5874"/>
      <c r="P401" s="1134"/>
      <c r="Q401" s="5946"/>
      <c r="R401" s="782">
        <f t="shared" si="454"/>
        <v>0</v>
      </c>
      <c r="S401" s="5874"/>
      <c r="T401" s="1134"/>
      <c r="U401" s="5946"/>
      <c r="V401" s="782">
        <f t="shared" si="455"/>
        <v>0</v>
      </c>
      <c r="W401" s="5874"/>
      <c r="X401" s="1134"/>
      <c r="Y401" s="5897"/>
      <c r="Z401" s="781">
        <f t="shared" si="456"/>
        <v>0</v>
      </c>
      <c r="AA401" s="5904"/>
      <c r="AB401" s="3562">
        <f t="shared" si="457"/>
        <v>0</v>
      </c>
      <c r="AC401" s="5874"/>
      <c r="AD401" s="1134"/>
      <c r="AE401" s="5946"/>
      <c r="AF401" s="782">
        <f t="shared" si="458"/>
        <v>0</v>
      </c>
      <c r="AG401" s="5874"/>
      <c r="AH401" s="1134"/>
      <c r="AI401" s="3711"/>
      <c r="AJ401" s="782">
        <f t="shared" si="459"/>
        <v>0</v>
      </c>
      <c r="AK401" s="5874"/>
      <c r="AL401" s="1134"/>
      <c r="AM401" s="5897"/>
      <c r="AN401" s="378">
        <f t="shared" si="460"/>
        <v>0</v>
      </c>
      <c r="AO401" s="5946"/>
      <c r="AP401" s="782">
        <f t="shared" si="461"/>
        <v>0</v>
      </c>
      <c r="AQ401" s="5874"/>
      <c r="AR401" s="1134"/>
      <c r="AS401" s="3711"/>
      <c r="AT401" s="782"/>
      <c r="AU401" s="5874"/>
      <c r="AV401" s="1134"/>
      <c r="AW401" s="3711"/>
      <c r="AX401" s="782"/>
      <c r="AY401" s="5874"/>
      <c r="AZ401" s="1134"/>
      <c r="BA401" s="5897"/>
      <c r="BB401" s="378">
        <f t="shared" si="464"/>
        <v>0</v>
      </c>
      <c r="BC401" s="5904"/>
      <c r="BD401" s="544">
        <f t="shared" si="465"/>
        <v>0</v>
      </c>
      <c r="BE401" s="3711"/>
      <c r="BF401" s="782">
        <f t="shared" si="466"/>
        <v>0</v>
      </c>
      <c r="BG401" s="26"/>
      <c r="BH401" s="26"/>
      <c r="BI401" s="26"/>
      <c r="BJ401" s="26"/>
      <c r="BK401" s="26"/>
    </row>
    <row r="402" spans="1:63" x14ac:dyDescent="0.25">
      <c r="A402" s="93"/>
      <c r="B402" s="8" t="s">
        <v>2159</v>
      </c>
      <c r="C402" s="159" t="s">
        <v>50</v>
      </c>
      <c r="D402" s="159"/>
      <c r="E402" s="5874"/>
      <c r="F402" s="1134"/>
      <c r="G402" s="5874"/>
      <c r="H402" s="1134"/>
      <c r="I402" s="5946"/>
      <c r="J402" s="782">
        <f t="shared" si="452"/>
        <v>0</v>
      </c>
      <c r="K402" s="5874"/>
      <c r="L402" s="1134"/>
      <c r="M402" s="5897"/>
      <c r="N402" s="781">
        <f t="shared" si="453"/>
        <v>0</v>
      </c>
      <c r="O402" s="5874"/>
      <c r="P402" s="1134"/>
      <c r="Q402" s="5946"/>
      <c r="R402" s="782">
        <f t="shared" si="454"/>
        <v>0</v>
      </c>
      <c r="S402" s="5874"/>
      <c r="T402" s="1134"/>
      <c r="U402" s="5946"/>
      <c r="V402" s="782">
        <f t="shared" si="455"/>
        <v>0</v>
      </c>
      <c r="W402" s="5874"/>
      <c r="X402" s="1134"/>
      <c r="Y402" s="5897"/>
      <c r="Z402" s="781">
        <f t="shared" si="456"/>
        <v>0</v>
      </c>
      <c r="AA402" s="5904"/>
      <c r="AB402" s="3562">
        <f t="shared" si="457"/>
        <v>0</v>
      </c>
      <c r="AC402" s="5874"/>
      <c r="AD402" s="1134"/>
      <c r="AE402" s="5946"/>
      <c r="AF402" s="782">
        <f t="shared" si="458"/>
        <v>0</v>
      </c>
      <c r="AG402" s="5874"/>
      <c r="AH402" s="1134"/>
      <c r="AI402" s="3715"/>
      <c r="AJ402" s="782">
        <f t="shared" si="459"/>
        <v>0</v>
      </c>
      <c r="AK402" s="5874"/>
      <c r="AL402" s="1134"/>
      <c r="AM402" s="5897"/>
      <c r="AN402" s="378">
        <f t="shared" si="460"/>
        <v>0</v>
      </c>
      <c r="AO402" s="5946"/>
      <c r="AP402" s="782">
        <f t="shared" si="461"/>
        <v>0</v>
      </c>
      <c r="AQ402" s="5874"/>
      <c r="AR402" s="1134"/>
      <c r="AS402" s="3715"/>
      <c r="AT402" s="782">
        <f t="shared" ref="AT402:AT430" si="467">AP402+AR402</f>
        <v>0</v>
      </c>
      <c r="AU402" s="5874"/>
      <c r="AV402" s="1134"/>
      <c r="AW402" s="3715"/>
      <c r="AX402" s="782">
        <f t="shared" ref="AX402:AX430" si="468">AT402+AV402</f>
        <v>0</v>
      </c>
      <c r="AY402" s="5874"/>
      <c r="AZ402" s="1134"/>
      <c r="BA402" s="5897"/>
      <c r="BB402" s="378">
        <f t="shared" si="464"/>
        <v>0</v>
      </c>
      <c r="BC402" s="5904"/>
      <c r="BD402" s="544">
        <f t="shared" si="465"/>
        <v>0</v>
      </c>
      <c r="BE402" s="3715"/>
      <c r="BF402" s="782">
        <f t="shared" si="466"/>
        <v>0</v>
      </c>
      <c r="BG402" s="26"/>
      <c r="BH402" s="26"/>
      <c r="BI402" s="26"/>
      <c r="BJ402" s="26"/>
      <c r="BK402" s="26"/>
    </row>
    <row r="403" spans="1:63" x14ac:dyDescent="0.25">
      <c r="A403" s="93"/>
      <c r="B403" s="8" t="s">
        <v>2160</v>
      </c>
      <c r="C403" s="159" t="s">
        <v>50</v>
      </c>
      <c r="D403" s="159"/>
      <c r="E403" s="5874"/>
      <c r="F403" s="1134">
        <v>2365.9</v>
      </c>
      <c r="G403" s="5874"/>
      <c r="H403" s="1134">
        <v>3992.5400000000018</v>
      </c>
      <c r="I403" s="5946"/>
      <c r="J403" s="782">
        <f t="shared" si="452"/>
        <v>6358.4400000000023</v>
      </c>
      <c r="K403" s="5874"/>
      <c r="L403" s="1134">
        <v>5621.8200000000006</v>
      </c>
      <c r="M403" s="5897"/>
      <c r="N403" s="781">
        <f t="shared" si="453"/>
        <v>11980.260000000002</v>
      </c>
      <c r="O403" s="5874"/>
      <c r="P403" s="1134">
        <v>8351.4900000000034</v>
      </c>
      <c r="Q403" s="5946"/>
      <c r="R403" s="782">
        <f t="shared" si="454"/>
        <v>20331.750000000007</v>
      </c>
      <c r="S403" s="5874"/>
      <c r="T403" s="1134">
        <v>6319.6600000000008</v>
      </c>
      <c r="U403" s="5946"/>
      <c r="V403" s="782">
        <f t="shared" si="455"/>
        <v>26651.410000000007</v>
      </c>
      <c r="W403" s="5874"/>
      <c r="X403" s="1134">
        <v>6934.8799999999992</v>
      </c>
      <c r="Y403" s="5897"/>
      <c r="Z403" s="781">
        <f t="shared" si="456"/>
        <v>21606.030000000006</v>
      </c>
      <c r="AA403" s="5904"/>
      <c r="AB403" s="3562">
        <f t="shared" si="457"/>
        <v>33586.290000000008</v>
      </c>
      <c r="AC403" s="5874"/>
      <c r="AD403" s="1134">
        <v>62.54</v>
      </c>
      <c r="AE403" s="5946"/>
      <c r="AF403" s="782">
        <f t="shared" si="458"/>
        <v>33648.830000000009</v>
      </c>
      <c r="AG403" s="5874"/>
      <c r="AH403" s="1134"/>
      <c r="AI403" s="3715"/>
      <c r="AJ403" s="782">
        <f t="shared" si="459"/>
        <v>33648.830000000009</v>
      </c>
      <c r="AK403" s="5874"/>
      <c r="AL403" s="1134">
        <v>8859.2800000000025</v>
      </c>
      <c r="AM403" s="5897"/>
      <c r="AN403" s="378">
        <f t="shared" si="460"/>
        <v>8921.8200000000033</v>
      </c>
      <c r="AO403" s="5946"/>
      <c r="AP403" s="782">
        <f t="shared" si="461"/>
        <v>42508.110000000015</v>
      </c>
      <c r="AQ403" s="5874"/>
      <c r="AR403" s="1134">
        <v>8721.1799999999985</v>
      </c>
      <c r="AS403" s="3715"/>
      <c r="AT403" s="782">
        <f t="shared" si="467"/>
        <v>51229.290000000015</v>
      </c>
      <c r="AU403" s="5874"/>
      <c r="AV403" s="1134">
        <v>2702.6399999999994</v>
      </c>
      <c r="AW403" s="3715"/>
      <c r="AX403" s="782">
        <f t="shared" si="468"/>
        <v>53931.930000000015</v>
      </c>
      <c r="AY403" s="5874"/>
      <c r="AZ403" s="1134">
        <v>4630.7600000000011</v>
      </c>
      <c r="BA403" s="5897"/>
      <c r="BB403" s="378">
        <f t="shared" si="464"/>
        <v>16054.579999999998</v>
      </c>
      <c r="BC403" s="5904"/>
      <c r="BD403" s="544">
        <f t="shared" si="465"/>
        <v>24976.400000000001</v>
      </c>
      <c r="BE403" s="3715"/>
      <c r="BF403" s="782">
        <f t="shared" si="466"/>
        <v>58562.690000000017</v>
      </c>
      <c r="BG403" s="26"/>
      <c r="BH403" s="26"/>
      <c r="BI403" s="26"/>
      <c r="BJ403" s="26"/>
      <c r="BK403" s="26"/>
    </row>
    <row r="404" spans="1:63" x14ac:dyDescent="0.25">
      <c r="A404" s="93"/>
      <c r="B404" s="8" t="s">
        <v>2167</v>
      </c>
      <c r="C404" s="4311"/>
      <c r="D404" s="4311"/>
      <c r="E404" s="5875"/>
      <c r="F404" s="4211"/>
      <c r="G404" s="5875"/>
      <c r="H404" s="4211"/>
      <c r="I404" s="5947"/>
      <c r="J404" s="782">
        <f t="shared" si="452"/>
        <v>0</v>
      </c>
      <c r="K404" s="5875"/>
      <c r="L404" s="4211"/>
      <c r="M404" s="5898"/>
      <c r="N404" s="781">
        <f t="shared" si="453"/>
        <v>0</v>
      </c>
      <c r="O404" s="5875"/>
      <c r="P404" s="4211">
        <v>245.42</v>
      </c>
      <c r="Q404" s="5947"/>
      <c r="R404" s="782">
        <f t="shared" si="454"/>
        <v>245.42</v>
      </c>
      <c r="S404" s="5875"/>
      <c r="T404" s="4211"/>
      <c r="U404" s="5947"/>
      <c r="V404" s="782">
        <f t="shared" si="455"/>
        <v>245.42</v>
      </c>
      <c r="W404" s="5875"/>
      <c r="X404" s="4211"/>
      <c r="Y404" s="5898"/>
      <c r="Z404" s="781">
        <f t="shared" si="456"/>
        <v>245.42</v>
      </c>
      <c r="AA404" s="5905"/>
      <c r="AB404" s="3562">
        <f t="shared" si="457"/>
        <v>245.42</v>
      </c>
      <c r="AC404" s="5875"/>
      <c r="AD404" s="4211">
        <v>246.62000000000003</v>
      </c>
      <c r="AE404" s="5947"/>
      <c r="AF404" s="782">
        <f t="shared" si="458"/>
        <v>492.04</v>
      </c>
      <c r="AG404" s="5875"/>
      <c r="AH404" s="4211"/>
      <c r="AI404" s="3715"/>
      <c r="AJ404" s="782">
        <f t="shared" si="459"/>
        <v>492.04</v>
      </c>
      <c r="AK404" s="5875"/>
      <c r="AL404" s="4211"/>
      <c r="AM404" s="5898"/>
      <c r="AN404" s="378">
        <f t="shared" si="460"/>
        <v>246.62000000000003</v>
      </c>
      <c r="AO404" s="5947"/>
      <c r="AP404" s="782">
        <f t="shared" si="461"/>
        <v>492.04</v>
      </c>
      <c r="AQ404" s="5875"/>
      <c r="AR404" s="4211"/>
      <c r="AS404" s="3715"/>
      <c r="AT404" s="782">
        <f t="shared" si="467"/>
        <v>492.04</v>
      </c>
      <c r="AU404" s="5875"/>
      <c r="AV404" s="4211"/>
      <c r="AW404" s="3715"/>
      <c r="AX404" s="782">
        <f t="shared" si="468"/>
        <v>492.04</v>
      </c>
      <c r="AY404" s="5875"/>
      <c r="AZ404" s="4211"/>
      <c r="BA404" s="5898"/>
      <c r="BB404" s="378">
        <f t="shared" si="464"/>
        <v>0</v>
      </c>
      <c r="BC404" s="5905"/>
      <c r="BD404" s="544">
        <f t="shared" si="465"/>
        <v>246.62000000000003</v>
      </c>
      <c r="BE404" s="3715"/>
      <c r="BF404" s="782">
        <f t="shared" si="466"/>
        <v>492.04</v>
      </c>
      <c r="BG404" s="26"/>
      <c r="BH404" s="26"/>
      <c r="BI404" s="26"/>
      <c r="BJ404" s="26"/>
      <c r="BK404" s="26"/>
    </row>
    <row r="405" spans="1:63" x14ac:dyDescent="0.25">
      <c r="A405" s="93"/>
      <c r="B405" s="8" t="s">
        <v>2168</v>
      </c>
      <c r="C405" s="159" t="s">
        <v>50</v>
      </c>
      <c r="D405" s="159"/>
      <c r="E405" s="5874"/>
      <c r="F405" s="1134"/>
      <c r="G405" s="5874"/>
      <c r="H405" s="1134"/>
      <c r="I405" s="5946"/>
      <c r="J405" s="782">
        <f t="shared" si="452"/>
        <v>0</v>
      </c>
      <c r="K405" s="5874"/>
      <c r="L405" s="1134"/>
      <c r="M405" s="5897"/>
      <c r="N405" s="781">
        <f t="shared" si="453"/>
        <v>0</v>
      </c>
      <c r="O405" s="5874"/>
      <c r="P405" s="1134"/>
      <c r="Q405" s="5946"/>
      <c r="R405" s="782">
        <f t="shared" si="454"/>
        <v>0</v>
      </c>
      <c r="S405" s="5874"/>
      <c r="T405" s="1134"/>
      <c r="U405" s="5946"/>
      <c r="V405" s="782">
        <f t="shared" si="455"/>
        <v>0</v>
      </c>
      <c r="W405" s="5874"/>
      <c r="X405" s="1134"/>
      <c r="Y405" s="5897"/>
      <c r="Z405" s="781">
        <f t="shared" si="456"/>
        <v>0</v>
      </c>
      <c r="AA405" s="5904"/>
      <c r="AB405" s="3562">
        <f t="shared" si="457"/>
        <v>0</v>
      </c>
      <c r="AC405" s="5874"/>
      <c r="AD405" s="1134">
        <v>130.32</v>
      </c>
      <c r="AE405" s="5946"/>
      <c r="AF405" s="782">
        <f t="shared" si="458"/>
        <v>130.32</v>
      </c>
      <c r="AG405" s="5874"/>
      <c r="AH405" s="1134"/>
      <c r="AI405" s="3715"/>
      <c r="AJ405" s="782">
        <f t="shared" si="459"/>
        <v>130.32</v>
      </c>
      <c r="AK405" s="5874"/>
      <c r="AL405" s="1134"/>
      <c r="AM405" s="5897"/>
      <c r="AN405" s="378">
        <f t="shared" si="460"/>
        <v>130.32</v>
      </c>
      <c r="AO405" s="5946"/>
      <c r="AP405" s="782">
        <f t="shared" si="461"/>
        <v>130.32</v>
      </c>
      <c r="AQ405" s="5874"/>
      <c r="AR405" s="1134"/>
      <c r="AS405" s="3715"/>
      <c r="AT405" s="782">
        <f t="shared" si="467"/>
        <v>130.32</v>
      </c>
      <c r="AU405" s="5874"/>
      <c r="AV405" s="1134"/>
      <c r="AW405" s="3715"/>
      <c r="AX405" s="782">
        <f t="shared" si="468"/>
        <v>130.32</v>
      </c>
      <c r="AY405" s="5874"/>
      <c r="AZ405" s="1134"/>
      <c r="BA405" s="5897"/>
      <c r="BB405" s="378">
        <f t="shared" si="464"/>
        <v>0</v>
      </c>
      <c r="BC405" s="5904"/>
      <c r="BD405" s="544">
        <f t="shared" si="465"/>
        <v>130.32</v>
      </c>
      <c r="BE405" s="3715"/>
      <c r="BF405" s="782">
        <f t="shared" si="466"/>
        <v>130.32</v>
      </c>
      <c r="BG405" s="26"/>
      <c r="BH405" s="26"/>
      <c r="BI405" s="26"/>
      <c r="BJ405" s="26"/>
      <c r="BK405" s="26"/>
    </row>
    <row r="406" spans="1:63" x14ac:dyDescent="0.25">
      <c r="A406" s="93"/>
      <c r="B406" s="8" t="s">
        <v>1531</v>
      </c>
      <c r="C406" s="159" t="s">
        <v>50</v>
      </c>
      <c r="D406" s="159"/>
      <c r="E406" s="5874"/>
      <c r="F406" s="1134"/>
      <c r="G406" s="5874"/>
      <c r="H406" s="1134"/>
      <c r="I406" s="5946"/>
      <c r="J406" s="782">
        <f t="shared" si="452"/>
        <v>0</v>
      </c>
      <c r="K406" s="5874"/>
      <c r="L406" s="1134"/>
      <c r="M406" s="5897"/>
      <c r="N406" s="781">
        <f t="shared" si="453"/>
        <v>0</v>
      </c>
      <c r="O406" s="5874"/>
      <c r="P406" s="1134"/>
      <c r="Q406" s="5946"/>
      <c r="R406" s="782">
        <f t="shared" si="454"/>
        <v>0</v>
      </c>
      <c r="S406" s="5874"/>
      <c r="T406" s="1134"/>
      <c r="U406" s="5946"/>
      <c r="V406" s="782">
        <f t="shared" si="455"/>
        <v>0</v>
      </c>
      <c r="W406" s="5874"/>
      <c r="X406" s="1134"/>
      <c r="Y406" s="5897"/>
      <c r="Z406" s="781">
        <f t="shared" si="456"/>
        <v>0</v>
      </c>
      <c r="AA406" s="5904"/>
      <c r="AB406" s="3562">
        <f t="shared" si="457"/>
        <v>0</v>
      </c>
      <c r="AC406" s="5874"/>
      <c r="AD406" s="1134"/>
      <c r="AE406" s="5946"/>
      <c r="AF406" s="782">
        <f t="shared" si="458"/>
        <v>0</v>
      </c>
      <c r="AG406" s="5874"/>
      <c r="AH406" s="1134"/>
      <c r="AI406" s="3711"/>
      <c r="AJ406" s="782">
        <f t="shared" si="459"/>
        <v>0</v>
      </c>
      <c r="AK406" s="5874"/>
      <c r="AL406" s="1134"/>
      <c r="AM406" s="5897"/>
      <c r="AN406" s="378">
        <f t="shared" si="460"/>
        <v>0</v>
      </c>
      <c r="AO406" s="5946"/>
      <c r="AP406" s="782">
        <f t="shared" si="461"/>
        <v>0</v>
      </c>
      <c r="AQ406" s="5874"/>
      <c r="AR406" s="1134"/>
      <c r="AS406" s="3711"/>
      <c r="AT406" s="782">
        <f t="shared" si="467"/>
        <v>0</v>
      </c>
      <c r="AU406" s="5874"/>
      <c r="AV406" s="1134"/>
      <c r="AW406" s="3711"/>
      <c r="AX406" s="782">
        <f t="shared" si="468"/>
        <v>0</v>
      </c>
      <c r="AY406" s="5874"/>
      <c r="AZ406" s="1134"/>
      <c r="BA406" s="5897"/>
      <c r="BB406" s="378">
        <f t="shared" si="464"/>
        <v>0</v>
      </c>
      <c r="BC406" s="5904"/>
      <c r="BD406" s="544">
        <f t="shared" si="465"/>
        <v>0</v>
      </c>
      <c r="BE406" s="3711"/>
      <c r="BF406" s="782">
        <f t="shared" si="466"/>
        <v>0</v>
      </c>
      <c r="BG406" s="26"/>
      <c r="BH406" s="26"/>
      <c r="BI406" s="26"/>
      <c r="BJ406" s="26"/>
      <c r="BK406" s="26"/>
    </row>
    <row r="407" spans="1:63" x14ac:dyDescent="0.25">
      <c r="A407" s="93"/>
      <c r="B407" s="8" t="s">
        <v>1652</v>
      </c>
      <c r="C407" s="159" t="s">
        <v>50</v>
      </c>
      <c r="D407" s="159"/>
      <c r="E407" s="5874"/>
      <c r="F407" s="1134"/>
      <c r="G407" s="5874"/>
      <c r="H407" s="1134"/>
      <c r="I407" s="5946"/>
      <c r="J407" s="782">
        <f t="shared" si="452"/>
        <v>0</v>
      </c>
      <c r="K407" s="5874"/>
      <c r="L407" s="1134"/>
      <c r="M407" s="5897"/>
      <c r="N407" s="781">
        <f t="shared" si="453"/>
        <v>0</v>
      </c>
      <c r="O407" s="5874"/>
      <c r="P407" s="1134"/>
      <c r="Q407" s="5946"/>
      <c r="R407" s="782">
        <f t="shared" si="454"/>
        <v>0</v>
      </c>
      <c r="S407" s="5874"/>
      <c r="T407" s="1134"/>
      <c r="U407" s="5946"/>
      <c r="V407" s="782">
        <f t="shared" si="455"/>
        <v>0</v>
      </c>
      <c r="W407" s="5874"/>
      <c r="X407" s="1134"/>
      <c r="Y407" s="5897"/>
      <c r="Z407" s="781">
        <f t="shared" si="456"/>
        <v>0</v>
      </c>
      <c r="AA407" s="5904"/>
      <c r="AB407" s="3562">
        <f t="shared" si="457"/>
        <v>0</v>
      </c>
      <c r="AC407" s="5874"/>
      <c r="AD407" s="1134">
        <v>128.74</v>
      </c>
      <c r="AE407" s="5946"/>
      <c r="AF407" s="782">
        <f t="shared" si="458"/>
        <v>128.74</v>
      </c>
      <c r="AG407" s="5874"/>
      <c r="AH407" s="1134"/>
      <c r="AI407" s="3711"/>
      <c r="AJ407" s="782">
        <f t="shared" si="459"/>
        <v>128.74</v>
      </c>
      <c r="AK407" s="5874"/>
      <c r="AL407" s="1134"/>
      <c r="AM407" s="5897"/>
      <c r="AN407" s="378">
        <f t="shared" si="460"/>
        <v>128.74</v>
      </c>
      <c r="AO407" s="5946"/>
      <c r="AP407" s="782">
        <f t="shared" si="461"/>
        <v>128.74</v>
      </c>
      <c r="AQ407" s="5874"/>
      <c r="AR407" s="1134"/>
      <c r="AS407" s="3711"/>
      <c r="AT407" s="782">
        <f t="shared" si="467"/>
        <v>128.74</v>
      </c>
      <c r="AU407" s="5874"/>
      <c r="AV407" s="1134"/>
      <c r="AW407" s="3711"/>
      <c r="AX407" s="782">
        <f t="shared" si="468"/>
        <v>128.74</v>
      </c>
      <c r="AY407" s="5874"/>
      <c r="AZ407" s="1134"/>
      <c r="BA407" s="5897"/>
      <c r="BB407" s="378">
        <f t="shared" si="464"/>
        <v>0</v>
      </c>
      <c r="BC407" s="5904"/>
      <c r="BD407" s="544">
        <f t="shared" si="465"/>
        <v>128.74</v>
      </c>
      <c r="BE407" s="3711"/>
      <c r="BF407" s="782">
        <f t="shared" si="466"/>
        <v>128.74</v>
      </c>
      <c r="BG407" s="26"/>
      <c r="BH407" s="26"/>
      <c r="BI407" s="26"/>
      <c r="BJ407" s="26"/>
      <c r="BK407" s="26"/>
    </row>
    <row r="408" spans="1:63" x14ac:dyDescent="0.25">
      <c r="A408" s="93"/>
      <c r="B408" s="8" t="s">
        <v>2161</v>
      </c>
      <c r="C408" s="159" t="s">
        <v>50</v>
      </c>
      <c r="D408" s="159"/>
      <c r="E408" s="5874"/>
      <c r="F408" s="1134">
        <v>65.319999999999993</v>
      </c>
      <c r="G408" s="5874"/>
      <c r="H408" s="1134"/>
      <c r="I408" s="5946"/>
      <c r="J408" s="782">
        <f t="shared" si="452"/>
        <v>65.319999999999993</v>
      </c>
      <c r="K408" s="5874"/>
      <c r="L408" s="1134"/>
      <c r="M408" s="5897"/>
      <c r="N408" s="781">
        <f t="shared" si="453"/>
        <v>65.319999999999993</v>
      </c>
      <c r="O408" s="5874"/>
      <c r="P408" s="1134"/>
      <c r="Q408" s="5946"/>
      <c r="R408" s="782">
        <f t="shared" si="454"/>
        <v>65.319999999999993</v>
      </c>
      <c r="S408" s="5874"/>
      <c r="T408" s="1134"/>
      <c r="U408" s="5946"/>
      <c r="V408" s="782">
        <f t="shared" si="455"/>
        <v>65.319999999999993</v>
      </c>
      <c r="W408" s="5874"/>
      <c r="X408" s="1134"/>
      <c r="Y408" s="5897"/>
      <c r="Z408" s="781">
        <f t="shared" si="456"/>
        <v>0</v>
      </c>
      <c r="AA408" s="5904"/>
      <c r="AB408" s="3562">
        <f t="shared" si="457"/>
        <v>65.319999999999993</v>
      </c>
      <c r="AC408" s="5874"/>
      <c r="AD408" s="1134"/>
      <c r="AE408" s="5946"/>
      <c r="AF408" s="782">
        <f t="shared" si="458"/>
        <v>65.319999999999993</v>
      </c>
      <c r="AG408" s="5874"/>
      <c r="AH408" s="1134"/>
      <c r="AI408" s="3715"/>
      <c r="AJ408" s="782">
        <f t="shared" si="459"/>
        <v>65.319999999999993</v>
      </c>
      <c r="AK408" s="5874"/>
      <c r="AL408" s="1134"/>
      <c r="AM408" s="5897"/>
      <c r="AN408" s="378">
        <f t="shared" si="460"/>
        <v>0</v>
      </c>
      <c r="AO408" s="5946"/>
      <c r="AP408" s="782">
        <f t="shared" si="461"/>
        <v>65.319999999999993</v>
      </c>
      <c r="AQ408" s="5874"/>
      <c r="AR408" s="1134">
        <v>131.38</v>
      </c>
      <c r="AS408" s="3715"/>
      <c r="AT408" s="782">
        <f t="shared" si="467"/>
        <v>196.7</v>
      </c>
      <c r="AU408" s="5874"/>
      <c r="AV408" s="1134"/>
      <c r="AW408" s="3715"/>
      <c r="AX408" s="782">
        <f t="shared" si="468"/>
        <v>196.7</v>
      </c>
      <c r="AY408" s="5874"/>
      <c r="AZ408" s="1134">
        <v>2299.2600000000002</v>
      </c>
      <c r="BA408" s="5897"/>
      <c r="BB408" s="378">
        <f t="shared" si="464"/>
        <v>2430.6400000000003</v>
      </c>
      <c r="BC408" s="5904"/>
      <c r="BD408" s="544">
        <f t="shared" si="465"/>
        <v>2430.6400000000003</v>
      </c>
      <c r="BE408" s="3715"/>
      <c r="BF408" s="782">
        <f t="shared" si="466"/>
        <v>2495.96</v>
      </c>
      <c r="BG408" s="26"/>
      <c r="BH408" s="26"/>
      <c r="BI408" s="26"/>
      <c r="BJ408" s="26"/>
      <c r="BK408" s="26"/>
    </row>
    <row r="409" spans="1:63" x14ac:dyDescent="0.25">
      <c r="A409" s="93"/>
      <c r="B409" s="8" t="s">
        <v>1276</v>
      </c>
      <c r="C409" s="159" t="s">
        <v>50</v>
      </c>
      <c r="D409" s="159"/>
      <c r="E409" s="5874"/>
      <c r="F409" s="1134"/>
      <c r="G409" s="5874"/>
      <c r="H409" s="1134"/>
      <c r="I409" s="5946"/>
      <c r="J409" s="782">
        <f t="shared" si="452"/>
        <v>0</v>
      </c>
      <c r="K409" s="5874"/>
      <c r="L409" s="1134"/>
      <c r="M409" s="5897"/>
      <c r="N409" s="781">
        <f t="shared" si="453"/>
        <v>0</v>
      </c>
      <c r="O409" s="5874"/>
      <c r="P409" s="1134"/>
      <c r="Q409" s="5946"/>
      <c r="R409" s="782">
        <f t="shared" si="454"/>
        <v>0</v>
      </c>
      <c r="S409" s="5874"/>
      <c r="T409" s="1134"/>
      <c r="U409" s="5946"/>
      <c r="V409" s="782">
        <f t="shared" si="455"/>
        <v>0</v>
      </c>
      <c r="W409" s="5874"/>
      <c r="X409" s="1134"/>
      <c r="Y409" s="5897"/>
      <c r="Z409" s="781">
        <f t="shared" si="456"/>
        <v>0</v>
      </c>
      <c r="AA409" s="5904"/>
      <c r="AB409" s="3562">
        <f t="shared" si="457"/>
        <v>0</v>
      </c>
      <c r="AC409" s="5874"/>
      <c r="AD409" s="1134"/>
      <c r="AE409" s="5946"/>
      <c r="AF409" s="782">
        <f t="shared" si="458"/>
        <v>0</v>
      </c>
      <c r="AG409" s="5874"/>
      <c r="AH409" s="1134"/>
      <c r="AI409" s="3715"/>
      <c r="AJ409" s="782">
        <f t="shared" si="459"/>
        <v>0</v>
      </c>
      <c r="AK409" s="5874"/>
      <c r="AL409" s="1134"/>
      <c r="AM409" s="5897"/>
      <c r="AN409" s="378">
        <f t="shared" si="460"/>
        <v>0</v>
      </c>
      <c r="AO409" s="5946"/>
      <c r="AP409" s="782">
        <f t="shared" si="461"/>
        <v>0</v>
      </c>
      <c r="AQ409" s="5874"/>
      <c r="AR409" s="1134"/>
      <c r="AS409" s="3715"/>
      <c r="AT409" s="782">
        <f t="shared" si="467"/>
        <v>0</v>
      </c>
      <c r="AU409" s="5874"/>
      <c r="AV409" s="1134"/>
      <c r="AW409" s="3715"/>
      <c r="AX409" s="782">
        <f t="shared" si="468"/>
        <v>0</v>
      </c>
      <c r="AY409" s="5874"/>
      <c r="AZ409" s="1134"/>
      <c r="BA409" s="5897"/>
      <c r="BB409" s="378">
        <f t="shared" si="464"/>
        <v>0</v>
      </c>
      <c r="BC409" s="5904"/>
      <c r="BD409" s="544">
        <f t="shared" si="465"/>
        <v>0</v>
      </c>
      <c r="BE409" s="3715"/>
      <c r="BF409" s="782">
        <f t="shared" si="466"/>
        <v>0</v>
      </c>
      <c r="BG409" s="26"/>
      <c r="BH409" s="26"/>
      <c r="BI409" s="26"/>
      <c r="BJ409" s="26"/>
      <c r="BK409" s="26"/>
    </row>
    <row r="410" spans="1:63" x14ac:dyDescent="0.25">
      <c r="A410" s="93"/>
      <c r="B410" s="8" t="s">
        <v>2169</v>
      </c>
      <c r="C410" s="159" t="s">
        <v>50</v>
      </c>
      <c r="D410" s="159"/>
      <c r="E410" s="5874"/>
      <c r="F410" s="1134"/>
      <c r="G410" s="5874"/>
      <c r="H410" s="1134"/>
      <c r="I410" s="5946"/>
      <c r="J410" s="782">
        <f t="shared" si="452"/>
        <v>0</v>
      </c>
      <c r="K410" s="5874"/>
      <c r="L410" s="1134"/>
      <c r="M410" s="5897"/>
      <c r="N410" s="781">
        <f t="shared" si="453"/>
        <v>0</v>
      </c>
      <c r="O410" s="5874"/>
      <c r="P410" s="1134">
        <v>316.60000000000002</v>
      </c>
      <c r="Q410" s="5946"/>
      <c r="R410" s="782">
        <f t="shared" si="454"/>
        <v>316.60000000000002</v>
      </c>
      <c r="S410" s="5874"/>
      <c r="T410" s="1134">
        <v>341.43999999999994</v>
      </c>
      <c r="U410" s="5946"/>
      <c r="V410" s="782">
        <f t="shared" si="455"/>
        <v>658.04</v>
      </c>
      <c r="W410" s="5874"/>
      <c r="X410" s="1134"/>
      <c r="Y410" s="5897"/>
      <c r="Z410" s="781">
        <f t="shared" si="456"/>
        <v>658.04</v>
      </c>
      <c r="AA410" s="5904"/>
      <c r="AB410" s="3562">
        <f t="shared" si="457"/>
        <v>658.04</v>
      </c>
      <c r="AC410" s="5874"/>
      <c r="AD410" s="1134">
        <v>327.94</v>
      </c>
      <c r="AE410" s="5946"/>
      <c r="AF410" s="782">
        <f t="shared" si="458"/>
        <v>985.98</v>
      </c>
      <c r="AG410" s="5874"/>
      <c r="AH410" s="1134"/>
      <c r="AI410" s="3715"/>
      <c r="AJ410" s="782">
        <f t="shared" si="459"/>
        <v>985.98</v>
      </c>
      <c r="AK410" s="5874"/>
      <c r="AL410" s="1134">
        <v>1017.4300000000001</v>
      </c>
      <c r="AM410" s="5897"/>
      <c r="AN410" s="378">
        <f t="shared" si="460"/>
        <v>1345.3700000000001</v>
      </c>
      <c r="AO410" s="5946"/>
      <c r="AP410" s="782">
        <f t="shared" si="461"/>
        <v>2003.41</v>
      </c>
      <c r="AQ410" s="5874"/>
      <c r="AR410" s="1134">
        <v>195.98</v>
      </c>
      <c r="AS410" s="3715"/>
      <c r="AT410" s="782">
        <f t="shared" si="467"/>
        <v>2199.39</v>
      </c>
      <c r="AU410" s="5874"/>
      <c r="AV410" s="1134">
        <v>195.22</v>
      </c>
      <c r="AW410" s="3715"/>
      <c r="AX410" s="782">
        <f t="shared" si="468"/>
        <v>2394.6099999999997</v>
      </c>
      <c r="AY410" s="5874"/>
      <c r="AZ410" s="1134"/>
      <c r="BA410" s="5897"/>
      <c r="BB410" s="378">
        <f t="shared" si="464"/>
        <v>391.2</v>
      </c>
      <c r="BC410" s="5904"/>
      <c r="BD410" s="544">
        <f t="shared" si="465"/>
        <v>1736.5700000000002</v>
      </c>
      <c r="BE410" s="3715"/>
      <c r="BF410" s="782">
        <f t="shared" si="466"/>
        <v>2394.6099999999997</v>
      </c>
      <c r="BG410" s="26"/>
      <c r="BH410" s="26"/>
      <c r="BI410" s="26"/>
      <c r="BJ410" s="26"/>
      <c r="BK410" s="26"/>
    </row>
    <row r="411" spans="1:63" x14ac:dyDescent="0.25">
      <c r="A411" s="93"/>
      <c r="B411" s="8" t="s">
        <v>2170</v>
      </c>
      <c r="C411" s="159" t="s">
        <v>50</v>
      </c>
      <c r="D411" s="159"/>
      <c r="E411" s="5874"/>
      <c r="F411" s="1134">
        <v>262.76</v>
      </c>
      <c r="G411" s="5874"/>
      <c r="H411" s="1134"/>
      <c r="I411" s="5946"/>
      <c r="J411" s="782">
        <f t="shared" si="452"/>
        <v>262.76</v>
      </c>
      <c r="K411" s="5874"/>
      <c r="L411" s="1134"/>
      <c r="M411" s="5897"/>
      <c r="N411" s="781">
        <f t="shared" si="453"/>
        <v>262.76</v>
      </c>
      <c r="O411" s="5874"/>
      <c r="P411" s="1134">
        <v>195.7</v>
      </c>
      <c r="Q411" s="5946"/>
      <c r="R411" s="782">
        <f t="shared" si="454"/>
        <v>458.46</v>
      </c>
      <c r="S411" s="5874"/>
      <c r="T411" s="1134">
        <v>63.45</v>
      </c>
      <c r="U411" s="5946"/>
      <c r="V411" s="782">
        <f t="shared" si="455"/>
        <v>521.91</v>
      </c>
      <c r="W411" s="5874"/>
      <c r="X411" s="1134"/>
      <c r="Y411" s="5897"/>
      <c r="Z411" s="781">
        <f t="shared" si="456"/>
        <v>259.14999999999998</v>
      </c>
      <c r="AA411" s="5904"/>
      <c r="AB411" s="3562">
        <f t="shared" si="457"/>
        <v>521.91</v>
      </c>
      <c r="AC411" s="5874"/>
      <c r="AD411" s="1134"/>
      <c r="AE411" s="5946"/>
      <c r="AF411" s="782">
        <f t="shared" si="458"/>
        <v>521.91</v>
      </c>
      <c r="AG411" s="5874"/>
      <c r="AH411" s="1134"/>
      <c r="AI411" s="3715"/>
      <c r="AJ411" s="782">
        <f t="shared" si="459"/>
        <v>521.91</v>
      </c>
      <c r="AK411" s="5874"/>
      <c r="AL411" s="1134">
        <v>197.27999999999997</v>
      </c>
      <c r="AM411" s="5897"/>
      <c r="AN411" s="378">
        <f t="shared" si="460"/>
        <v>197.27999999999997</v>
      </c>
      <c r="AO411" s="5946"/>
      <c r="AP411" s="782">
        <f t="shared" si="461"/>
        <v>719.18999999999994</v>
      </c>
      <c r="AQ411" s="5874"/>
      <c r="AR411" s="1134">
        <v>57.32</v>
      </c>
      <c r="AS411" s="3715"/>
      <c r="AT411" s="782">
        <f t="shared" si="467"/>
        <v>776.51</v>
      </c>
      <c r="AU411" s="5874"/>
      <c r="AV411" s="1134">
        <v>65.7</v>
      </c>
      <c r="AW411" s="3715"/>
      <c r="AX411" s="782">
        <f t="shared" si="468"/>
        <v>842.21</v>
      </c>
      <c r="AY411" s="5874"/>
      <c r="AZ411" s="1134">
        <v>131.4</v>
      </c>
      <c r="BA411" s="5897"/>
      <c r="BB411" s="378">
        <f t="shared" si="464"/>
        <v>254.42000000000002</v>
      </c>
      <c r="BC411" s="5904"/>
      <c r="BD411" s="544">
        <f t="shared" si="465"/>
        <v>451.7</v>
      </c>
      <c r="BE411" s="3715"/>
      <c r="BF411" s="782">
        <f t="shared" si="466"/>
        <v>973.61</v>
      </c>
      <c r="BG411" s="26"/>
      <c r="BH411" s="26"/>
      <c r="BI411" s="26"/>
      <c r="BJ411" s="26"/>
      <c r="BK411" s="26"/>
    </row>
    <row r="412" spans="1:63" x14ac:dyDescent="0.25">
      <c r="A412" s="93"/>
      <c r="B412" s="8" t="s">
        <v>549</v>
      </c>
      <c r="C412" s="2508" t="s">
        <v>50</v>
      </c>
      <c r="D412" s="2508"/>
      <c r="E412" s="5876"/>
      <c r="F412" s="2498"/>
      <c r="G412" s="5876"/>
      <c r="H412" s="2498"/>
      <c r="I412" s="5948"/>
      <c r="J412" s="782">
        <f t="shared" si="452"/>
        <v>0</v>
      </c>
      <c r="K412" s="5876"/>
      <c r="L412" s="2498"/>
      <c r="M412" s="5899"/>
      <c r="N412" s="781">
        <f t="shared" si="453"/>
        <v>0</v>
      </c>
      <c r="O412" s="5876"/>
      <c r="P412" s="2498"/>
      <c r="Q412" s="5948"/>
      <c r="R412" s="782">
        <f t="shared" si="454"/>
        <v>0</v>
      </c>
      <c r="S412" s="5876"/>
      <c r="T412" s="2498"/>
      <c r="U412" s="5948"/>
      <c r="V412" s="782">
        <f t="shared" si="455"/>
        <v>0</v>
      </c>
      <c r="W412" s="5876"/>
      <c r="X412" s="2498"/>
      <c r="Y412" s="5899"/>
      <c r="Z412" s="781">
        <f t="shared" si="456"/>
        <v>0</v>
      </c>
      <c r="AA412" s="5906"/>
      <c r="AB412" s="3562">
        <f t="shared" si="457"/>
        <v>0</v>
      </c>
      <c r="AC412" s="5876"/>
      <c r="AD412" s="2498"/>
      <c r="AE412" s="5948"/>
      <c r="AF412" s="782">
        <f t="shared" si="458"/>
        <v>0</v>
      </c>
      <c r="AG412" s="5876"/>
      <c r="AH412" s="2498"/>
      <c r="AI412" s="3715"/>
      <c r="AJ412" s="782">
        <f t="shared" si="459"/>
        <v>0</v>
      </c>
      <c r="AK412" s="5876"/>
      <c r="AL412" s="2498"/>
      <c r="AM412" s="5899"/>
      <c r="AN412" s="378">
        <f t="shared" si="460"/>
        <v>0</v>
      </c>
      <c r="AO412" s="5948"/>
      <c r="AP412" s="782">
        <f t="shared" si="461"/>
        <v>0</v>
      </c>
      <c r="AQ412" s="5876"/>
      <c r="AR412" s="2498"/>
      <c r="AS412" s="3715"/>
      <c r="AT412" s="782">
        <f t="shared" si="467"/>
        <v>0</v>
      </c>
      <c r="AU412" s="5876"/>
      <c r="AV412" s="2498"/>
      <c r="AW412" s="3715"/>
      <c r="AX412" s="782">
        <f t="shared" si="468"/>
        <v>0</v>
      </c>
      <c r="AY412" s="5876"/>
      <c r="AZ412" s="2498"/>
      <c r="BA412" s="5899"/>
      <c r="BB412" s="378">
        <f t="shared" si="464"/>
        <v>0</v>
      </c>
      <c r="BC412" s="5906"/>
      <c r="BD412" s="544">
        <f t="shared" si="465"/>
        <v>0</v>
      </c>
      <c r="BE412" s="3715"/>
      <c r="BF412" s="782">
        <f t="shared" si="466"/>
        <v>0</v>
      </c>
      <c r="BG412" s="26"/>
      <c r="BH412" s="26"/>
      <c r="BI412" s="26"/>
      <c r="BJ412" s="26"/>
      <c r="BK412" s="26"/>
    </row>
    <row r="413" spans="1:63" x14ac:dyDescent="0.25">
      <c r="A413" s="93"/>
      <c r="B413" s="8" t="s">
        <v>2162</v>
      </c>
      <c r="C413" s="159" t="s">
        <v>50</v>
      </c>
      <c r="D413" s="159"/>
      <c r="E413" s="5874"/>
      <c r="F413" s="1134"/>
      <c r="G413" s="5874"/>
      <c r="H413" s="1134">
        <v>3137.7999999999988</v>
      </c>
      <c r="I413" s="5946"/>
      <c r="J413" s="782">
        <f t="shared" si="452"/>
        <v>3137.7999999999988</v>
      </c>
      <c r="K413" s="5874"/>
      <c r="L413" s="1134">
        <v>1080.06</v>
      </c>
      <c r="M413" s="5897"/>
      <c r="N413" s="781">
        <f t="shared" si="453"/>
        <v>4217.8599999999988</v>
      </c>
      <c r="O413" s="5874"/>
      <c r="P413" s="1134">
        <v>8801.7400000000016</v>
      </c>
      <c r="Q413" s="5946"/>
      <c r="R413" s="782">
        <f t="shared" si="454"/>
        <v>13019.6</v>
      </c>
      <c r="S413" s="5874"/>
      <c r="T413" s="1134">
        <v>2572.7300000000009</v>
      </c>
      <c r="U413" s="5946"/>
      <c r="V413" s="782">
        <f t="shared" si="455"/>
        <v>15592.330000000002</v>
      </c>
      <c r="W413" s="5874"/>
      <c r="X413" s="1134">
        <v>1386.5900000000001</v>
      </c>
      <c r="Y413" s="5897"/>
      <c r="Z413" s="781">
        <f t="shared" si="456"/>
        <v>12761.060000000003</v>
      </c>
      <c r="AA413" s="5904"/>
      <c r="AB413" s="3562">
        <f t="shared" si="457"/>
        <v>16978.920000000002</v>
      </c>
      <c r="AC413" s="5874"/>
      <c r="AD413" s="1134">
        <v>3603.4300000000003</v>
      </c>
      <c r="AE413" s="5946"/>
      <c r="AF413" s="782">
        <f t="shared" si="458"/>
        <v>20582.350000000002</v>
      </c>
      <c r="AG413" s="5874"/>
      <c r="AH413" s="1134">
        <v>989.87</v>
      </c>
      <c r="AI413" s="3715"/>
      <c r="AJ413" s="782">
        <f t="shared" si="459"/>
        <v>21572.22</v>
      </c>
      <c r="AK413" s="5874"/>
      <c r="AL413" s="1134"/>
      <c r="AM413" s="5897"/>
      <c r="AN413" s="378">
        <f t="shared" si="460"/>
        <v>4593.3</v>
      </c>
      <c r="AO413" s="5946"/>
      <c r="AP413" s="782">
        <f t="shared" si="461"/>
        <v>21572.22</v>
      </c>
      <c r="AQ413" s="5874"/>
      <c r="AR413" s="1134">
        <v>9697.2199999999939</v>
      </c>
      <c r="AS413" s="3715"/>
      <c r="AT413" s="782">
        <f t="shared" si="467"/>
        <v>31269.439999999995</v>
      </c>
      <c r="AU413" s="5874"/>
      <c r="AV413" s="1134"/>
      <c r="AW413" s="3715"/>
      <c r="AX413" s="782">
        <f t="shared" si="468"/>
        <v>31269.439999999995</v>
      </c>
      <c r="AY413" s="5874"/>
      <c r="AZ413" s="1134">
        <v>980.58</v>
      </c>
      <c r="BA413" s="5897"/>
      <c r="BB413" s="378">
        <f t="shared" si="464"/>
        <v>10677.799999999994</v>
      </c>
      <c r="BC413" s="5904"/>
      <c r="BD413" s="544">
        <f t="shared" si="465"/>
        <v>15271.099999999995</v>
      </c>
      <c r="BE413" s="3715"/>
      <c r="BF413" s="782">
        <f t="shared" si="466"/>
        <v>32250.019999999997</v>
      </c>
      <c r="BG413" s="26"/>
      <c r="BH413" s="26"/>
      <c r="BI413" s="26"/>
      <c r="BJ413" s="26"/>
      <c r="BK413" s="26"/>
    </row>
    <row r="414" spans="1:63" x14ac:dyDescent="0.25">
      <c r="A414" s="93"/>
      <c r="B414" s="4861" t="s">
        <v>2172</v>
      </c>
      <c r="C414" s="4862" t="s">
        <v>50</v>
      </c>
      <c r="D414" s="4862"/>
      <c r="E414" s="5877"/>
      <c r="F414" s="4857">
        <v>3480.0599999999995</v>
      </c>
      <c r="G414" s="5877"/>
      <c r="H414" s="4857">
        <v>2051.2200000000003</v>
      </c>
      <c r="I414" s="5949"/>
      <c r="J414" s="782">
        <f t="shared" si="452"/>
        <v>5531.28</v>
      </c>
      <c r="K414" s="5877"/>
      <c r="L414" s="4857">
        <v>1627.71</v>
      </c>
      <c r="M414" s="5900"/>
      <c r="N414" s="781">
        <f t="shared" si="453"/>
        <v>7158.99</v>
      </c>
      <c r="O414" s="5877"/>
      <c r="P414" s="4857">
        <v>1188.96</v>
      </c>
      <c r="Q414" s="5949"/>
      <c r="R414" s="782">
        <f t="shared" si="454"/>
        <v>8347.9500000000007</v>
      </c>
      <c r="S414" s="5877"/>
      <c r="T414" s="4857">
        <v>3773.0699999999997</v>
      </c>
      <c r="U414" s="5949"/>
      <c r="V414" s="782">
        <f t="shared" si="455"/>
        <v>12121.02</v>
      </c>
      <c r="W414" s="5877"/>
      <c r="X414" s="4857">
        <v>1791.9399999999998</v>
      </c>
      <c r="Y414" s="5900"/>
      <c r="Z414" s="781">
        <f t="shared" si="456"/>
        <v>6753.9699999999993</v>
      </c>
      <c r="AA414" s="5907"/>
      <c r="AB414" s="3562">
        <f t="shared" si="457"/>
        <v>13912.96</v>
      </c>
      <c r="AC414" s="5877"/>
      <c r="AD414" s="4857"/>
      <c r="AE414" s="5949"/>
      <c r="AF414" s="782">
        <f t="shared" si="458"/>
        <v>13912.96</v>
      </c>
      <c r="AG414" s="5877"/>
      <c r="AH414" s="4857"/>
      <c r="AI414" s="3715"/>
      <c r="AJ414" s="4957"/>
      <c r="AK414" s="5877"/>
      <c r="AL414" s="4857"/>
      <c r="AM414" s="5900"/>
      <c r="AN414" s="5303"/>
      <c r="AO414" s="5949"/>
      <c r="AP414" s="4957"/>
      <c r="AQ414" s="5877"/>
      <c r="AR414" s="4857"/>
      <c r="AS414" s="3715"/>
      <c r="AT414" s="4957"/>
      <c r="AU414" s="5877"/>
      <c r="AV414" s="4857"/>
      <c r="AW414" s="3715"/>
      <c r="AX414" s="4957"/>
      <c r="AY414" s="5877"/>
      <c r="AZ414" s="4857"/>
      <c r="BA414" s="5900"/>
      <c r="BB414" s="5303"/>
      <c r="BC414" s="5907"/>
      <c r="BD414" s="5304"/>
      <c r="BE414" s="3715"/>
      <c r="BF414" s="4957"/>
      <c r="BG414" s="26"/>
      <c r="BH414" s="26"/>
      <c r="BI414" s="26"/>
      <c r="BJ414" s="26"/>
      <c r="BK414" s="26"/>
    </row>
    <row r="415" spans="1:63" x14ac:dyDescent="0.25">
      <c r="A415" s="93"/>
      <c r="B415" s="8" t="s">
        <v>1792</v>
      </c>
      <c r="C415" s="159" t="s">
        <v>50</v>
      </c>
      <c r="D415" s="159"/>
      <c r="E415" s="5874"/>
      <c r="F415" s="1134">
        <v>7528.6699999999983</v>
      </c>
      <c r="G415" s="5874"/>
      <c r="H415" s="1134">
        <v>12969.429999999998</v>
      </c>
      <c r="I415" s="5946"/>
      <c r="J415" s="782">
        <f t="shared" si="452"/>
        <v>20498.099999999999</v>
      </c>
      <c r="K415" s="5874"/>
      <c r="L415" s="1134">
        <v>9619.8499999999967</v>
      </c>
      <c r="M415" s="5897"/>
      <c r="N415" s="781">
        <f t="shared" si="453"/>
        <v>30117.949999999997</v>
      </c>
      <c r="O415" s="5874"/>
      <c r="P415" s="1134">
        <v>14395.959999999995</v>
      </c>
      <c r="Q415" s="5946"/>
      <c r="R415" s="782">
        <f t="shared" si="454"/>
        <v>44513.909999999989</v>
      </c>
      <c r="S415" s="5874"/>
      <c r="T415" s="1134">
        <v>15278.219999999998</v>
      </c>
      <c r="U415" s="5946"/>
      <c r="V415" s="782">
        <f t="shared" si="455"/>
        <v>59792.12999999999</v>
      </c>
      <c r="W415" s="5874"/>
      <c r="X415" s="1134">
        <v>14806.44</v>
      </c>
      <c r="Y415" s="5897"/>
      <c r="Z415" s="781">
        <f t="shared" si="456"/>
        <v>44480.619999999995</v>
      </c>
      <c r="AA415" s="5904"/>
      <c r="AB415" s="3562">
        <f t="shared" si="457"/>
        <v>74598.569999999992</v>
      </c>
      <c r="AC415" s="5874"/>
      <c r="AD415" s="1134">
        <v>6975.3</v>
      </c>
      <c r="AE415" s="5946"/>
      <c r="AF415" s="782">
        <f t="shared" si="458"/>
        <v>81573.87</v>
      </c>
      <c r="AG415" s="5874"/>
      <c r="AH415" s="1134">
        <v>4924.8900000000012</v>
      </c>
      <c r="AI415" s="3715"/>
      <c r="AJ415" s="782">
        <f t="shared" si="459"/>
        <v>86498.76</v>
      </c>
      <c r="AK415" s="5874"/>
      <c r="AL415" s="1134">
        <v>12759.990000000005</v>
      </c>
      <c r="AM415" s="5897"/>
      <c r="AN415" s="378">
        <f t="shared" si="460"/>
        <v>24660.180000000008</v>
      </c>
      <c r="AO415" s="5946"/>
      <c r="AP415" s="782">
        <f t="shared" si="461"/>
        <v>99258.75</v>
      </c>
      <c r="AQ415" s="5874"/>
      <c r="AR415" s="1134">
        <v>14199.68</v>
      </c>
      <c r="AS415" s="3715"/>
      <c r="AT415" s="782">
        <f t="shared" si="467"/>
        <v>113458.43</v>
      </c>
      <c r="AU415" s="5874"/>
      <c r="AV415" s="1134">
        <v>15517.500000000002</v>
      </c>
      <c r="AW415" s="3715"/>
      <c r="AX415" s="782">
        <f t="shared" si="468"/>
        <v>128975.93</v>
      </c>
      <c r="AY415" s="5874"/>
      <c r="AZ415" s="1134">
        <v>18424.180000000004</v>
      </c>
      <c r="BA415" s="5897"/>
      <c r="BB415" s="378">
        <f t="shared" si="464"/>
        <v>48141.36</v>
      </c>
      <c r="BC415" s="5904"/>
      <c r="BD415" s="544">
        <f t="shared" si="465"/>
        <v>72801.540000000008</v>
      </c>
      <c r="BE415" s="3715"/>
      <c r="BF415" s="782">
        <f t="shared" si="466"/>
        <v>147400.10999999999</v>
      </c>
      <c r="BG415" s="26"/>
      <c r="BH415" s="26"/>
      <c r="BI415" s="26"/>
      <c r="BJ415" s="26"/>
      <c r="BK415" s="26"/>
    </row>
    <row r="416" spans="1:63" x14ac:dyDescent="0.25">
      <c r="A416" s="93" t="s">
        <v>2251</v>
      </c>
      <c r="B416" s="4861" t="s">
        <v>2285</v>
      </c>
      <c r="C416" s="5406" t="s">
        <v>50</v>
      </c>
      <c r="D416" s="5406"/>
      <c r="E416" s="5878"/>
      <c r="F416" s="5449"/>
      <c r="G416" s="5878"/>
      <c r="H416" s="5449"/>
      <c r="I416" s="5950"/>
      <c r="J416" s="782">
        <f t="shared" si="452"/>
        <v>0</v>
      </c>
      <c r="K416" s="5878"/>
      <c r="L416" s="5449">
        <v>323.84000000000003</v>
      </c>
      <c r="M416" s="5901"/>
      <c r="N416" s="781">
        <f t="shared" si="453"/>
        <v>323.84000000000003</v>
      </c>
      <c r="O416" s="5878"/>
      <c r="P416" s="5449">
        <v>1182.6399999999996</v>
      </c>
      <c r="Q416" s="5950"/>
      <c r="R416" s="782">
        <f t="shared" si="454"/>
        <v>1506.4799999999996</v>
      </c>
      <c r="S416" s="5878"/>
      <c r="T416" s="5449"/>
      <c r="U416" s="5950"/>
      <c r="V416" s="782">
        <f t="shared" si="455"/>
        <v>1506.4799999999996</v>
      </c>
      <c r="W416" s="5878"/>
      <c r="X416" s="5449"/>
      <c r="Y416" s="5901"/>
      <c r="Z416" s="781">
        <f t="shared" si="456"/>
        <v>1182.6399999999996</v>
      </c>
      <c r="AA416" s="5908"/>
      <c r="AB416" s="3562">
        <f t="shared" si="457"/>
        <v>1506.4799999999996</v>
      </c>
      <c r="AC416" s="5878"/>
      <c r="AD416" s="5449"/>
      <c r="AE416" s="5950"/>
      <c r="AF416" s="782">
        <f t="shared" si="458"/>
        <v>1506.4799999999996</v>
      </c>
      <c r="AG416" s="5878"/>
      <c r="AH416" s="5449"/>
      <c r="AI416" s="3715"/>
      <c r="AJ416" s="5444"/>
      <c r="AK416" s="5878"/>
      <c r="AL416" s="5449"/>
      <c r="AM416" s="5901"/>
      <c r="AN416" s="5501"/>
      <c r="AO416" s="5950"/>
      <c r="AP416" s="5444"/>
      <c r="AQ416" s="5878"/>
      <c r="AR416" s="5449"/>
      <c r="AS416" s="3715"/>
      <c r="AT416" s="5444"/>
      <c r="AU416" s="5878"/>
      <c r="AV416" s="5449"/>
      <c r="AW416" s="3715"/>
      <c r="AX416" s="5444"/>
      <c r="AY416" s="5878"/>
      <c r="AZ416" s="5449"/>
      <c r="BA416" s="5901"/>
      <c r="BB416" s="5501"/>
      <c r="BC416" s="5908"/>
      <c r="BD416" s="5502"/>
      <c r="BE416" s="3715"/>
      <c r="BF416" s="5444"/>
      <c r="BG416" s="26"/>
      <c r="BH416" s="26"/>
      <c r="BI416" s="26"/>
      <c r="BJ416" s="26"/>
      <c r="BK416" s="26"/>
    </row>
    <row r="417" spans="1:63" x14ac:dyDescent="0.25">
      <c r="A417" s="93"/>
      <c r="B417" s="8" t="s">
        <v>2171</v>
      </c>
      <c r="C417" s="2656" t="s">
        <v>50</v>
      </c>
      <c r="D417" s="2656"/>
      <c r="E417" s="5879"/>
      <c r="F417" s="2716"/>
      <c r="G417" s="5879"/>
      <c r="H417" s="2716"/>
      <c r="I417" s="5951"/>
      <c r="J417" s="782">
        <f t="shared" si="452"/>
        <v>0</v>
      </c>
      <c r="K417" s="5879"/>
      <c r="L417" s="2716"/>
      <c r="M417" s="5902"/>
      <c r="N417" s="781">
        <f t="shared" si="453"/>
        <v>0</v>
      </c>
      <c r="O417" s="5879"/>
      <c r="P417" s="2716"/>
      <c r="Q417" s="5951"/>
      <c r="R417" s="782">
        <f t="shared" si="454"/>
        <v>0</v>
      </c>
      <c r="S417" s="5879"/>
      <c r="T417" s="2716"/>
      <c r="U417" s="5951"/>
      <c r="V417" s="782">
        <f t="shared" si="455"/>
        <v>0</v>
      </c>
      <c r="W417" s="5879"/>
      <c r="X417" s="2716"/>
      <c r="Y417" s="5902"/>
      <c r="Z417" s="781">
        <f t="shared" si="456"/>
        <v>0</v>
      </c>
      <c r="AA417" s="5909"/>
      <c r="AB417" s="3562">
        <f t="shared" si="457"/>
        <v>0</v>
      </c>
      <c r="AC417" s="5879"/>
      <c r="AD417" s="2716">
        <v>130.33999999999997</v>
      </c>
      <c r="AE417" s="5951"/>
      <c r="AF417" s="782">
        <f t="shared" si="458"/>
        <v>130.33999999999997</v>
      </c>
      <c r="AG417" s="5879"/>
      <c r="AH417" s="2716">
        <v>37.6</v>
      </c>
      <c r="AI417" s="3715"/>
      <c r="AJ417" s="782">
        <f t="shared" si="459"/>
        <v>167.93999999999997</v>
      </c>
      <c r="AK417" s="5879"/>
      <c r="AL417" s="2716">
        <v>64.52</v>
      </c>
      <c r="AM417" s="5902"/>
      <c r="AN417" s="378">
        <f t="shared" si="460"/>
        <v>232.45999999999998</v>
      </c>
      <c r="AO417" s="5951"/>
      <c r="AP417" s="782">
        <f t="shared" si="461"/>
        <v>232.45999999999998</v>
      </c>
      <c r="AQ417" s="5879"/>
      <c r="AR417" s="2716"/>
      <c r="AS417" s="3715"/>
      <c r="AT417" s="782">
        <f t="shared" si="467"/>
        <v>232.45999999999998</v>
      </c>
      <c r="AU417" s="5879"/>
      <c r="AV417" s="2716"/>
      <c r="AW417" s="3715"/>
      <c r="AX417" s="782">
        <f t="shared" si="468"/>
        <v>232.45999999999998</v>
      </c>
      <c r="AY417" s="5879"/>
      <c r="AZ417" s="2716"/>
      <c r="BA417" s="5902"/>
      <c r="BB417" s="378">
        <f t="shared" si="464"/>
        <v>0</v>
      </c>
      <c r="BC417" s="5909"/>
      <c r="BD417" s="544">
        <f t="shared" si="465"/>
        <v>232.45999999999998</v>
      </c>
      <c r="BE417" s="3715"/>
      <c r="BF417" s="782">
        <f t="shared" si="466"/>
        <v>232.45999999999998</v>
      </c>
      <c r="BG417" s="26"/>
      <c r="BH417" s="26"/>
      <c r="BI417" s="26"/>
      <c r="BJ417" s="26"/>
      <c r="BK417" s="26"/>
    </row>
    <row r="418" spans="1:63" x14ac:dyDescent="0.25">
      <c r="A418" s="93"/>
      <c r="B418" s="8" t="s">
        <v>1118</v>
      </c>
      <c r="C418" s="159" t="s">
        <v>50</v>
      </c>
      <c r="D418" s="159"/>
      <c r="E418" s="5874"/>
      <c r="F418" s="1134"/>
      <c r="G418" s="5874"/>
      <c r="H418" s="1134"/>
      <c r="I418" s="5946"/>
      <c r="J418" s="782">
        <f t="shared" si="452"/>
        <v>0</v>
      </c>
      <c r="K418" s="5874"/>
      <c r="L418" s="1134">
        <v>134.82</v>
      </c>
      <c r="M418" s="5897"/>
      <c r="N418" s="781">
        <f t="shared" si="453"/>
        <v>134.82</v>
      </c>
      <c r="O418" s="5874"/>
      <c r="P418" s="1134"/>
      <c r="Q418" s="5946"/>
      <c r="R418" s="782">
        <f t="shared" si="454"/>
        <v>134.82</v>
      </c>
      <c r="S418" s="5874"/>
      <c r="T418" s="1134">
        <v>393.38</v>
      </c>
      <c r="U418" s="5946"/>
      <c r="V418" s="782">
        <f t="shared" si="455"/>
        <v>528.20000000000005</v>
      </c>
      <c r="W418" s="5874"/>
      <c r="X418" s="1134"/>
      <c r="Y418" s="5897"/>
      <c r="Z418" s="781">
        <f t="shared" si="456"/>
        <v>393.38</v>
      </c>
      <c r="AA418" s="5904"/>
      <c r="AB418" s="3562">
        <f t="shared" si="457"/>
        <v>528.20000000000005</v>
      </c>
      <c r="AC418" s="5874"/>
      <c r="AD418" s="1134">
        <v>64.84</v>
      </c>
      <c r="AE418" s="5946"/>
      <c r="AF418" s="782">
        <f t="shared" si="458"/>
        <v>593.04000000000008</v>
      </c>
      <c r="AG418" s="5874"/>
      <c r="AH418" s="1134"/>
      <c r="AI418" s="3715"/>
      <c r="AJ418" s="782">
        <f t="shared" si="459"/>
        <v>593.04000000000008</v>
      </c>
      <c r="AK418" s="5874"/>
      <c r="AL418" s="1134"/>
      <c r="AM418" s="5897"/>
      <c r="AN418" s="378">
        <f t="shared" si="460"/>
        <v>64.84</v>
      </c>
      <c r="AO418" s="5946"/>
      <c r="AP418" s="782">
        <f t="shared" si="461"/>
        <v>593.04000000000008</v>
      </c>
      <c r="AQ418" s="5874"/>
      <c r="AR418" s="1134">
        <v>392.58000000000004</v>
      </c>
      <c r="AS418" s="3715"/>
      <c r="AT418" s="782">
        <f t="shared" si="467"/>
        <v>985.62000000000012</v>
      </c>
      <c r="AU418" s="5874"/>
      <c r="AV418" s="1134"/>
      <c r="AW418" s="3715"/>
      <c r="AX418" s="782">
        <f t="shared" si="468"/>
        <v>985.62000000000012</v>
      </c>
      <c r="AY418" s="5874"/>
      <c r="AZ418" s="1134"/>
      <c r="BA418" s="5897"/>
      <c r="BB418" s="378">
        <f t="shared" si="464"/>
        <v>392.58000000000004</v>
      </c>
      <c r="BC418" s="5904"/>
      <c r="BD418" s="544">
        <f t="shared" si="465"/>
        <v>457.42000000000007</v>
      </c>
      <c r="BE418" s="3715"/>
      <c r="BF418" s="782">
        <f t="shared" si="466"/>
        <v>985.62000000000012</v>
      </c>
      <c r="BG418" s="26"/>
      <c r="BH418" s="26"/>
      <c r="BI418" s="26"/>
      <c r="BJ418" s="26"/>
      <c r="BK418" s="26"/>
    </row>
    <row r="419" spans="1:63" x14ac:dyDescent="0.25">
      <c r="A419" s="93"/>
      <c r="B419" s="8" t="s">
        <v>1313</v>
      </c>
      <c r="C419" s="159" t="s">
        <v>50</v>
      </c>
      <c r="D419" s="159"/>
      <c r="E419" s="5874"/>
      <c r="F419" s="1134">
        <v>10390.709999999999</v>
      </c>
      <c r="G419" s="5874"/>
      <c r="H419" s="1134">
        <v>13325.969999999996</v>
      </c>
      <c r="I419" s="5946"/>
      <c r="J419" s="782">
        <f t="shared" si="452"/>
        <v>23716.679999999993</v>
      </c>
      <c r="K419" s="5874"/>
      <c r="L419" s="1134">
        <v>10286.739999999998</v>
      </c>
      <c r="M419" s="5897"/>
      <c r="N419" s="781">
        <f t="shared" si="453"/>
        <v>34003.419999999991</v>
      </c>
      <c r="O419" s="5874"/>
      <c r="P419" s="1134">
        <v>10198.68</v>
      </c>
      <c r="Q419" s="5946"/>
      <c r="R419" s="782">
        <f t="shared" si="454"/>
        <v>44202.099999999991</v>
      </c>
      <c r="S419" s="5874"/>
      <c r="T419" s="1134">
        <v>18858.320000000011</v>
      </c>
      <c r="U419" s="5946"/>
      <c r="V419" s="782">
        <f t="shared" si="455"/>
        <v>63060.42</v>
      </c>
      <c r="W419" s="5874"/>
      <c r="X419" s="1134">
        <v>10733.940000000004</v>
      </c>
      <c r="Y419" s="5897"/>
      <c r="Z419" s="781">
        <f t="shared" si="456"/>
        <v>39790.940000000017</v>
      </c>
      <c r="AA419" s="5904"/>
      <c r="AB419" s="3562">
        <f t="shared" si="457"/>
        <v>73794.360000000015</v>
      </c>
      <c r="AC419" s="5874"/>
      <c r="AD419" s="1134">
        <v>196.28</v>
      </c>
      <c r="AE419" s="5946"/>
      <c r="AF419" s="782">
        <f t="shared" si="458"/>
        <v>73990.640000000014</v>
      </c>
      <c r="AG419" s="5874"/>
      <c r="AH419" s="1134"/>
      <c r="AI419" s="3715"/>
      <c r="AJ419" s="782">
        <f t="shared" si="459"/>
        <v>73990.640000000014</v>
      </c>
      <c r="AK419" s="5874"/>
      <c r="AL419" s="1134">
        <v>13392.919999999995</v>
      </c>
      <c r="AM419" s="5897"/>
      <c r="AN419" s="378">
        <f t="shared" si="460"/>
        <v>13589.199999999995</v>
      </c>
      <c r="AO419" s="5946"/>
      <c r="AP419" s="782">
        <f t="shared" si="461"/>
        <v>87383.560000000012</v>
      </c>
      <c r="AQ419" s="5874"/>
      <c r="AR419" s="1134">
        <v>18569.010000000009</v>
      </c>
      <c r="AS419" s="3715"/>
      <c r="AT419" s="782">
        <f t="shared" si="467"/>
        <v>105952.57000000002</v>
      </c>
      <c r="AU419" s="5874"/>
      <c r="AV419" s="1134">
        <v>14665.02</v>
      </c>
      <c r="AW419" s="3715"/>
      <c r="AX419" s="782">
        <f t="shared" si="468"/>
        <v>120617.59000000003</v>
      </c>
      <c r="AY419" s="5874"/>
      <c r="AZ419" s="1134">
        <v>18131.479999999992</v>
      </c>
      <c r="BA419" s="5897"/>
      <c r="BB419" s="378">
        <f t="shared" si="464"/>
        <v>51365.510000000009</v>
      </c>
      <c r="BC419" s="5904"/>
      <c r="BD419" s="544">
        <f t="shared" si="465"/>
        <v>64954.710000000006</v>
      </c>
      <c r="BE419" s="3715"/>
      <c r="BF419" s="782">
        <f t="shared" si="466"/>
        <v>138749.07</v>
      </c>
      <c r="BG419" s="26"/>
      <c r="BH419" s="26"/>
      <c r="BI419" s="26"/>
      <c r="BJ419" s="26"/>
      <c r="BK419" s="26"/>
    </row>
    <row r="420" spans="1:63" x14ac:dyDescent="0.25">
      <c r="A420" s="93"/>
      <c r="B420" s="8" t="s">
        <v>2163</v>
      </c>
      <c r="C420" s="159" t="s">
        <v>50</v>
      </c>
      <c r="D420" s="159"/>
      <c r="E420" s="5874"/>
      <c r="F420" s="1134">
        <v>522.98</v>
      </c>
      <c r="G420" s="5874"/>
      <c r="H420" s="1134">
        <v>65.2</v>
      </c>
      <c r="I420" s="5946"/>
      <c r="J420" s="782">
        <f t="shared" si="452"/>
        <v>588.18000000000006</v>
      </c>
      <c r="K420" s="5874"/>
      <c r="L420" s="1134"/>
      <c r="M420" s="5897"/>
      <c r="N420" s="781">
        <f t="shared" si="453"/>
        <v>588.18000000000006</v>
      </c>
      <c r="O420" s="5874"/>
      <c r="P420" s="1134">
        <v>589.56000000000006</v>
      </c>
      <c r="Q420" s="5946"/>
      <c r="R420" s="782">
        <f t="shared" si="454"/>
        <v>1177.7400000000002</v>
      </c>
      <c r="S420" s="5874"/>
      <c r="T420" s="1134"/>
      <c r="U420" s="5946"/>
      <c r="V420" s="782">
        <f t="shared" si="455"/>
        <v>1177.7400000000002</v>
      </c>
      <c r="W420" s="5874"/>
      <c r="X420" s="1134">
        <v>65.22</v>
      </c>
      <c r="Y420" s="5897"/>
      <c r="Z420" s="781">
        <f t="shared" si="456"/>
        <v>654.78000000000009</v>
      </c>
      <c r="AA420" s="5904"/>
      <c r="AB420" s="3562">
        <f t="shared" si="457"/>
        <v>1242.96</v>
      </c>
      <c r="AC420" s="5874"/>
      <c r="AD420" s="1134"/>
      <c r="AE420" s="5946"/>
      <c r="AF420" s="782">
        <f t="shared" si="458"/>
        <v>1242.96</v>
      </c>
      <c r="AG420" s="5874"/>
      <c r="AH420" s="1134"/>
      <c r="AI420" s="3715"/>
      <c r="AJ420" s="782">
        <f t="shared" si="459"/>
        <v>1242.96</v>
      </c>
      <c r="AK420" s="5874"/>
      <c r="AL420" s="1134"/>
      <c r="AM420" s="5897"/>
      <c r="AN420" s="378">
        <f t="shared" si="460"/>
        <v>0</v>
      </c>
      <c r="AO420" s="5946"/>
      <c r="AP420" s="782">
        <f t="shared" si="461"/>
        <v>1242.96</v>
      </c>
      <c r="AQ420" s="5874"/>
      <c r="AR420" s="1134"/>
      <c r="AS420" s="3715"/>
      <c r="AT420" s="782">
        <f t="shared" si="467"/>
        <v>1242.96</v>
      </c>
      <c r="AU420" s="5874"/>
      <c r="AV420" s="1134"/>
      <c r="AW420" s="3715"/>
      <c r="AX420" s="782">
        <f t="shared" si="468"/>
        <v>1242.96</v>
      </c>
      <c r="AY420" s="5874"/>
      <c r="AZ420" s="1134"/>
      <c r="BA420" s="5897"/>
      <c r="BB420" s="378">
        <f t="shared" si="464"/>
        <v>0</v>
      </c>
      <c r="BC420" s="5904"/>
      <c r="BD420" s="544">
        <f t="shared" si="465"/>
        <v>0</v>
      </c>
      <c r="BE420" s="3715"/>
      <c r="BF420" s="782">
        <f t="shared" si="466"/>
        <v>1242.96</v>
      </c>
      <c r="BG420" s="26"/>
      <c r="BH420" s="26"/>
      <c r="BI420" s="26"/>
      <c r="BJ420" s="26"/>
      <c r="BK420" s="26"/>
    </row>
    <row r="421" spans="1:63" x14ac:dyDescent="0.25">
      <c r="A421" s="93"/>
      <c r="B421" s="8" t="s">
        <v>2164</v>
      </c>
      <c r="C421" s="159" t="s">
        <v>50</v>
      </c>
      <c r="D421" s="159"/>
      <c r="E421" s="5874"/>
      <c r="F421" s="1134"/>
      <c r="G421" s="5874"/>
      <c r="H421" s="1134"/>
      <c r="I421" s="5946"/>
      <c r="J421" s="782">
        <f t="shared" si="452"/>
        <v>0</v>
      </c>
      <c r="K421" s="5874"/>
      <c r="L421" s="1134">
        <v>3786.9599999999996</v>
      </c>
      <c r="M421" s="5897"/>
      <c r="N421" s="781">
        <f t="shared" si="453"/>
        <v>3786.9599999999996</v>
      </c>
      <c r="O421" s="5874"/>
      <c r="P421" s="1134"/>
      <c r="Q421" s="5946"/>
      <c r="R421" s="782">
        <f t="shared" si="454"/>
        <v>3786.9599999999996</v>
      </c>
      <c r="S421" s="5874"/>
      <c r="T421" s="1134">
        <v>67.78</v>
      </c>
      <c r="U421" s="5946"/>
      <c r="V421" s="782">
        <f t="shared" si="455"/>
        <v>3854.74</v>
      </c>
      <c r="W421" s="5874"/>
      <c r="X421" s="1134">
        <v>1827.2400000000005</v>
      </c>
      <c r="Y421" s="5897"/>
      <c r="Z421" s="781">
        <f t="shared" si="456"/>
        <v>1895.0200000000004</v>
      </c>
      <c r="AA421" s="5904"/>
      <c r="AB421" s="3562">
        <f t="shared" si="457"/>
        <v>5681.98</v>
      </c>
      <c r="AC421" s="5874"/>
      <c r="AD421" s="1134"/>
      <c r="AE421" s="5946"/>
      <c r="AF421" s="782">
        <f t="shared" si="458"/>
        <v>5681.98</v>
      </c>
      <c r="AG421" s="5874"/>
      <c r="AH421" s="1134"/>
      <c r="AI421" s="3715"/>
      <c r="AJ421" s="782">
        <f t="shared" si="459"/>
        <v>5681.98</v>
      </c>
      <c r="AK421" s="5874"/>
      <c r="AL421" s="1134">
        <v>5483.2599999999993</v>
      </c>
      <c r="AM421" s="5897"/>
      <c r="AN421" s="378">
        <f t="shared" si="460"/>
        <v>5483.2599999999993</v>
      </c>
      <c r="AO421" s="5946"/>
      <c r="AP421" s="782">
        <f t="shared" si="461"/>
        <v>11165.239999999998</v>
      </c>
      <c r="AQ421" s="5874"/>
      <c r="AR421" s="1134">
        <v>6876.74</v>
      </c>
      <c r="AS421" s="3715"/>
      <c r="AT421" s="782">
        <f t="shared" si="467"/>
        <v>18041.979999999996</v>
      </c>
      <c r="AU421" s="5874"/>
      <c r="AV421" s="1134">
        <v>2688.38</v>
      </c>
      <c r="AW421" s="3715"/>
      <c r="AX421" s="782">
        <f t="shared" si="468"/>
        <v>20730.359999999997</v>
      </c>
      <c r="AY421" s="5874"/>
      <c r="AZ421" s="1134">
        <v>3069.28</v>
      </c>
      <c r="BA421" s="5897"/>
      <c r="BB421" s="378">
        <f t="shared" si="464"/>
        <v>12634.4</v>
      </c>
      <c r="BC421" s="5904"/>
      <c r="BD421" s="544">
        <f t="shared" si="465"/>
        <v>18117.66</v>
      </c>
      <c r="BE421" s="3715"/>
      <c r="BF421" s="782">
        <f t="shared" si="466"/>
        <v>23799.639999999996</v>
      </c>
      <c r="BG421" s="26"/>
      <c r="BH421" s="26"/>
      <c r="BI421" s="26"/>
      <c r="BJ421" s="26"/>
      <c r="BK421" s="26"/>
    </row>
    <row r="422" spans="1:63" x14ac:dyDescent="0.25">
      <c r="A422" s="93"/>
      <c r="B422" s="8" t="s">
        <v>2165</v>
      </c>
      <c r="C422" s="159" t="s">
        <v>50</v>
      </c>
      <c r="D422" s="159"/>
      <c r="E422" s="5874"/>
      <c r="F422" s="1134"/>
      <c r="G422" s="5874"/>
      <c r="H422" s="1134"/>
      <c r="I422" s="5946"/>
      <c r="J422" s="782">
        <f t="shared" si="452"/>
        <v>0</v>
      </c>
      <c r="K422" s="5874"/>
      <c r="L422" s="1134"/>
      <c r="M422" s="5897"/>
      <c r="N422" s="781">
        <f t="shared" si="453"/>
        <v>0</v>
      </c>
      <c r="O422" s="5874"/>
      <c r="P422" s="1134"/>
      <c r="Q422" s="5946"/>
      <c r="R422" s="782">
        <f t="shared" si="454"/>
        <v>0</v>
      </c>
      <c r="S422" s="5874"/>
      <c r="T422" s="1134"/>
      <c r="U422" s="5946"/>
      <c r="V422" s="782">
        <f t="shared" si="455"/>
        <v>0</v>
      </c>
      <c r="W422" s="5874"/>
      <c r="X422" s="1134"/>
      <c r="Y422" s="5897"/>
      <c r="Z422" s="781">
        <f t="shared" si="456"/>
        <v>0</v>
      </c>
      <c r="AA422" s="5904"/>
      <c r="AB422" s="3562">
        <f t="shared" si="457"/>
        <v>0</v>
      </c>
      <c r="AC422" s="5874"/>
      <c r="AD422" s="1134"/>
      <c r="AE422" s="5946"/>
      <c r="AF422" s="782">
        <f t="shared" si="458"/>
        <v>0</v>
      </c>
      <c r="AG422" s="5874"/>
      <c r="AH422" s="1134"/>
      <c r="AI422" s="3715"/>
      <c r="AJ422" s="782">
        <f t="shared" si="459"/>
        <v>0</v>
      </c>
      <c r="AK422" s="5874"/>
      <c r="AL422" s="1134"/>
      <c r="AM422" s="5897"/>
      <c r="AN422" s="378">
        <f t="shared" si="460"/>
        <v>0</v>
      </c>
      <c r="AO422" s="5946"/>
      <c r="AP422" s="782">
        <f t="shared" si="461"/>
        <v>0</v>
      </c>
      <c r="AQ422" s="5874"/>
      <c r="AR422" s="1134"/>
      <c r="AS422" s="3715"/>
      <c r="AT422" s="782">
        <f t="shared" si="467"/>
        <v>0</v>
      </c>
      <c r="AU422" s="5874"/>
      <c r="AV422" s="1134"/>
      <c r="AW422" s="3715"/>
      <c r="AX422" s="782">
        <f t="shared" si="468"/>
        <v>0</v>
      </c>
      <c r="AY422" s="5874"/>
      <c r="AZ422" s="1134"/>
      <c r="BA422" s="5897"/>
      <c r="BB422" s="378">
        <f t="shared" si="464"/>
        <v>0</v>
      </c>
      <c r="BC422" s="5904"/>
      <c r="BD422" s="544">
        <f t="shared" si="465"/>
        <v>0</v>
      </c>
      <c r="BE422" s="3715"/>
      <c r="BF422" s="782">
        <f t="shared" si="466"/>
        <v>0</v>
      </c>
      <c r="BG422" s="26"/>
      <c r="BH422" s="26"/>
      <c r="BI422" s="26"/>
      <c r="BJ422" s="26"/>
      <c r="BK422" s="26"/>
    </row>
    <row r="423" spans="1:63" x14ac:dyDescent="0.25">
      <c r="A423" s="93"/>
      <c r="B423" s="8" t="s">
        <v>2166</v>
      </c>
      <c r="C423" s="159" t="s">
        <v>50</v>
      </c>
      <c r="D423" s="159"/>
      <c r="E423" s="5874"/>
      <c r="F423" s="1134"/>
      <c r="G423" s="5874"/>
      <c r="H423" s="1134"/>
      <c r="I423" s="5946"/>
      <c r="J423" s="782">
        <f t="shared" si="452"/>
        <v>0</v>
      </c>
      <c r="K423" s="5874"/>
      <c r="L423" s="1134"/>
      <c r="M423" s="5897"/>
      <c r="N423" s="781">
        <f t="shared" si="453"/>
        <v>0</v>
      </c>
      <c r="O423" s="5874"/>
      <c r="P423" s="1134"/>
      <c r="Q423" s="5946"/>
      <c r="R423" s="782">
        <f t="shared" si="454"/>
        <v>0</v>
      </c>
      <c r="S423" s="5874"/>
      <c r="T423" s="1134"/>
      <c r="U423" s="5946"/>
      <c r="V423" s="782">
        <f t="shared" si="455"/>
        <v>0</v>
      </c>
      <c r="W423" s="5874"/>
      <c r="X423" s="1134"/>
      <c r="Y423" s="5897"/>
      <c r="Z423" s="781">
        <f t="shared" si="456"/>
        <v>0</v>
      </c>
      <c r="AA423" s="5904"/>
      <c r="AB423" s="3562">
        <f t="shared" si="457"/>
        <v>0</v>
      </c>
      <c r="AC423" s="5874"/>
      <c r="AD423" s="1134"/>
      <c r="AE423" s="5946"/>
      <c r="AF423" s="782">
        <f t="shared" si="458"/>
        <v>0</v>
      </c>
      <c r="AG423" s="5874"/>
      <c r="AH423" s="1134"/>
      <c r="AI423" s="3715"/>
      <c r="AJ423" s="782">
        <f t="shared" si="459"/>
        <v>0</v>
      </c>
      <c r="AK423" s="5874"/>
      <c r="AL423" s="1134"/>
      <c r="AM423" s="5897"/>
      <c r="AN423" s="378">
        <f t="shared" si="460"/>
        <v>0</v>
      </c>
      <c r="AO423" s="5946"/>
      <c r="AP423" s="782">
        <f t="shared" si="461"/>
        <v>0</v>
      </c>
      <c r="AQ423" s="5874"/>
      <c r="AR423" s="1134"/>
      <c r="AS423" s="3715"/>
      <c r="AT423" s="782">
        <f t="shared" si="467"/>
        <v>0</v>
      </c>
      <c r="AU423" s="5874"/>
      <c r="AV423" s="1134"/>
      <c r="AW423" s="3715"/>
      <c r="AX423" s="782">
        <f t="shared" si="468"/>
        <v>0</v>
      </c>
      <c r="AY423" s="5874"/>
      <c r="AZ423" s="1134"/>
      <c r="BA423" s="5897"/>
      <c r="BB423" s="378">
        <f t="shared" si="464"/>
        <v>0</v>
      </c>
      <c r="BC423" s="5904"/>
      <c r="BD423" s="544">
        <f t="shared" si="465"/>
        <v>0</v>
      </c>
      <c r="BE423" s="3715"/>
      <c r="BF423" s="782">
        <f t="shared" si="466"/>
        <v>0</v>
      </c>
      <c r="BG423" s="26"/>
      <c r="BH423" s="26"/>
      <c r="BI423" s="26"/>
      <c r="BJ423" s="26"/>
      <c r="BK423" s="26"/>
    </row>
    <row r="424" spans="1:63" x14ac:dyDescent="0.25">
      <c r="A424" s="93"/>
      <c r="B424" s="4844" t="s">
        <v>2225</v>
      </c>
      <c r="C424" s="4828" t="s">
        <v>50</v>
      </c>
      <c r="D424" s="4828"/>
      <c r="E424" s="5880"/>
      <c r="F424" s="4845">
        <v>1627.1200000000001</v>
      </c>
      <c r="G424" s="5880"/>
      <c r="H424" s="4845"/>
      <c r="I424" s="5952"/>
      <c r="J424" s="782">
        <f t="shared" si="452"/>
        <v>1627.1200000000001</v>
      </c>
      <c r="K424" s="5880"/>
      <c r="L424" s="4845"/>
      <c r="M424" s="5903"/>
      <c r="N424" s="781">
        <f t="shared" si="453"/>
        <v>1627.1200000000001</v>
      </c>
      <c r="O424" s="5880"/>
      <c r="P424" s="4845"/>
      <c r="Q424" s="5952"/>
      <c r="R424" s="782">
        <f t="shared" si="454"/>
        <v>1627.1200000000001</v>
      </c>
      <c r="S424" s="5880"/>
      <c r="T424" s="4845"/>
      <c r="U424" s="5952"/>
      <c r="V424" s="782">
        <f t="shared" si="455"/>
        <v>1627.1200000000001</v>
      </c>
      <c r="W424" s="5880"/>
      <c r="X424" s="4845"/>
      <c r="Y424" s="5903"/>
      <c r="Z424" s="781">
        <f t="shared" si="456"/>
        <v>0</v>
      </c>
      <c r="AA424" s="5910"/>
      <c r="AB424" s="3562">
        <f t="shared" si="457"/>
        <v>1627.1200000000001</v>
      </c>
      <c r="AC424" s="5880"/>
      <c r="AD424" s="4845"/>
      <c r="AE424" s="5952"/>
      <c r="AF424" s="782">
        <f t="shared" si="458"/>
        <v>1627.1200000000001</v>
      </c>
      <c r="AG424" s="5880"/>
      <c r="AH424" s="4845"/>
      <c r="AI424" s="3715"/>
      <c r="AJ424" s="4807"/>
      <c r="AK424" s="5880"/>
      <c r="AL424" s="4845"/>
      <c r="AM424" s="5903"/>
      <c r="AN424" s="4846"/>
      <c r="AO424" s="5952"/>
      <c r="AP424" s="4807"/>
      <c r="AQ424" s="5880"/>
      <c r="AR424" s="4845"/>
      <c r="AS424" s="3715"/>
      <c r="AT424" s="4807"/>
      <c r="AU424" s="5880"/>
      <c r="AV424" s="4845"/>
      <c r="AW424" s="3715"/>
      <c r="AX424" s="4807"/>
      <c r="AY424" s="5880"/>
      <c r="AZ424" s="4845">
        <v>3961.7199999999989</v>
      </c>
      <c r="BA424" s="5903"/>
      <c r="BB424" s="378">
        <f t="shared" si="464"/>
        <v>3961.7199999999989</v>
      </c>
      <c r="BC424" s="5910"/>
      <c r="BD424" s="544">
        <f t="shared" si="465"/>
        <v>3961.7199999999989</v>
      </c>
      <c r="BE424" s="3715"/>
      <c r="BF424" s="782">
        <f t="shared" si="466"/>
        <v>3961.7199999999989</v>
      </c>
      <c r="BG424" s="26"/>
      <c r="BH424" s="26"/>
      <c r="BI424" s="26"/>
      <c r="BJ424" s="26"/>
      <c r="BK424" s="26"/>
    </row>
    <row r="425" spans="1:63" x14ac:dyDescent="0.25">
      <c r="A425" s="93"/>
      <c r="B425" s="8" t="s">
        <v>2173</v>
      </c>
      <c r="C425" s="2508" t="s">
        <v>50</v>
      </c>
      <c r="D425" s="2508"/>
      <c r="E425" s="5876"/>
      <c r="F425" s="2498"/>
      <c r="G425" s="5876"/>
      <c r="H425" s="2498">
        <v>261.55999999999995</v>
      </c>
      <c r="I425" s="5948"/>
      <c r="J425" s="782">
        <f t="shared" si="452"/>
        <v>261.55999999999995</v>
      </c>
      <c r="K425" s="5876"/>
      <c r="L425" s="2498"/>
      <c r="M425" s="5899"/>
      <c r="N425" s="781">
        <f t="shared" si="453"/>
        <v>261.55999999999995</v>
      </c>
      <c r="O425" s="5876"/>
      <c r="P425" s="2498">
        <v>389.58</v>
      </c>
      <c r="Q425" s="5948"/>
      <c r="R425" s="782">
        <f t="shared" si="454"/>
        <v>651.13999999999987</v>
      </c>
      <c r="S425" s="5876"/>
      <c r="T425" s="2498">
        <v>130.28</v>
      </c>
      <c r="U425" s="5948"/>
      <c r="V425" s="782">
        <f t="shared" si="455"/>
        <v>781.41999999999985</v>
      </c>
      <c r="W425" s="5876"/>
      <c r="X425" s="2498"/>
      <c r="Y425" s="5899"/>
      <c r="Z425" s="781">
        <f t="shared" si="456"/>
        <v>519.86</v>
      </c>
      <c r="AA425" s="5906"/>
      <c r="AB425" s="3562">
        <f t="shared" si="457"/>
        <v>781.42</v>
      </c>
      <c r="AC425" s="5876"/>
      <c r="AD425" s="2498">
        <v>60.66</v>
      </c>
      <c r="AE425" s="5948"/>
      <c r="AF425" s="782">
        <f t="shared" si="458"/>
        <v>842.07999999999993</v>
      </c>
      <c r="AG425" s="5876"/>
      <c r="AH425" s="2498"/>
      <c r="AI425" s="3715"/>
      <c r="AJ425" s="782">
        <f t="shared" si="459"/>
        <v>842.07999999999993</v>
      </c>
      <c r="AK425" s="5876"/>
      <c r="AL425" s="2498">
        <v>252.42000000000002</v>
      </c>
      <c r="AM425" s="5899"/>
      <c r="AN425" s="378">
        <f t="shared" si="460"/>
        <v>313.08000000000004</v>
      </c>
      <c r="AO425" s="5948"/>
      <c r="AP425" s="782">
        <f t="shared" si="461"/>
        <v>1094.5</v>
      </c>
      <c r="AQ425" s="5876"/>
      <c r="AR425" s="2498"/>
      <c r="AS425" s="3715"/>
      <c r="AT425" s="782">
        <f t="shared" si="467"/>
        <v>1094.5</v>
      </c>
      <c r="AU425" s="5876"/>
      <c r="AV425" s="2498"/>
      <c r="AW425" s="3715"/>
      <c r="AX425" s="782">
        <f t="shared" si="468"/>
        <v>1094.5</v>
      </c>
      <c r="AY425" s="5876"/>
      <c r="AZ425" s="2498"/>
      <c r="BA425" s="5899"/>
      <c r="BB425" s="378">
        <f t="shared" si="464"/>
        <v>0</v>
      </c>
      <c r="BC425" s="5906"/>
      <c r="BD425" s="544">
        <f t="shared" si="465"/>
        <v>313.08000000000004</v>
      </c>
      <c r="BE425" s="3715"/>
      <c r="BF425" s="782">
        <f t="shared" si="466"/>
        <v>1094.5</v>
      </c>
      <c r="BG425" s="26"/>
      <c r="BH425" s="26"/>
      <c r="BI425" s="26"/>
      <c r="BJ425" s="26"/>
      <c r="BK425" s="26"/>
    </row>
    <row r="426" spans="1:63" x14ac:dyDescent="0.25">
      <c r="A426" s="93"/>
      <c r="B426" s="8" t="s">
        <v>2174</v>
      </c>
      <c r="C426" s="2508" t="s">
        <v>50</v>
      </c>
      <c r="D426" s="2508"/>
      <c r="E426" s="5876"/>
      <c r="F426" s="2498">
        <v>5959.1999999999989</v>
      </c>
      <c r="G426" s="5876"/>
      <c r="H426" s="2498">
        <v>8654.3799999999992</v>
      </c>
      <c r="I426" s="5948"/>
      <c r="J426" s="782">
        <f t="shared" si="452"/>
        <v>14613.579999999998</v>
      </c>
      <c r="K426" s="5876"/>
      <c r="L426" s="2498">
        <v>6902.859999999996</v>
      </c>
      <c r="M426" s="5899"/>
      <c r="N426" s="781">
        <f t="shared" si="453"/>
        <v>21516.439999999995</v>
      </c>
      <c r="O426" s="5876"/>
      <c r="P426" s="2498">
        <v>5883.2600000000029</v>
      </c>
      <c r="Q426" s="5948"/>
      <c r="R426" s="782">
        <f t="shared" si="454"/>
        <v>27399.699999999997</v>
      </c>
      <c r="S426" s="5876"/>
      <c r="T426" s="2498">
        <v>7481.6499999999978</v>
      </c>
      <c r="U426" s="5948"/>
      <c r="V426" s="782">
        <f t="shared" si="455"/>
        <v>34881.349999999991</v>
      </c>
      <c r="W426" s="5876"/>
      <c r="X426" s="2498">
        <v>11791.330000000002</v>
      </c>
      <c r="Y426" s="5899"/>
      <c r="Z426" s="781">
        <f t="shared" si="456"/>
        <v>25156.240000000002</v>
      </c>
      <c r="AA426" s="5906"/>
      <c r="AB426" s="3562">
        <f t="shared" si="457"/>
        <v>46672.679999999993</v>
      </c>
      <c r="AC426" s="5876"/>
      <c r="AD426" s="2498">
        <v>12871.089999999997</v>
      </c>
      <c r="AE426" s="5948"/>
      <c r="AF426" s="782">
        <f t="shared" si="458"/>
        <v>59543.76999999999</v>
      </c>
      <c r="AG426" s="5876"/>
      <c r="AH426" s="2498"/>
      <c r="AI426" s="3715"/>
      <c r="AJ426" s="782">
        <f t="shared" si="459"/>
        <v>59543.76999999999</v>
      </c>
      <c r="AK426" s="5876"/>
      <c r="AL426" s="2498">
        <v>8164.82</v>
      </c>
      <c r="AM426" s="5899"/>
      <c r="AN426" s="378">
        <f t="shared" si="460"/>
        <v>21035.909999999996</v>
      </c>
      <c r="AO426" s="5948"/>
      <c r="AP426" s="782">
        <f t="shared" si="461"/>
        <v>67708.59</v>
      </c>
      <c r="AQ426" s="5876"/>
      <c r="AR426" s="2498">
        <v>7659.6999999999989</v>
      </c>
      <c r="AS426" s="3715"/>
      <c r="AT426" s="782">
        <f t="shared" si="467"/>
        <v>75368.289999999994</v>
      </c>
      <c r="AU426" s="5876"/>
      <c r="AV426" s="2498">
        <v>6727.5</v>
      </c>
      <c r="AW426" s="3715"/>
      <c r="AX426" s="782">
        <f t="shared" si="468"/>
        <v>82095.789999999994</v>
      </c>
      <c r="AY426" s="5876"/>
      <c r="AZ426" s="2498">
        <v>8280.9000000000015</v>
      </c>
      <c r="BA426" s="5899"/>
      <c r="BB426" s="378">
        <f t="shared" si="464"/>
        <v>22668.1</v>
      </c>
      <c r="BC426" s="5906"/>
      <c r="BD426" s="544">
        <f t="shared" si="465"/>
        <v>43704.009999999995</v>
      </c>
      <c r="BE426" s="3715"/>
      <c r="BF426" s="782">
        <f t="shared" si="466"/>
        <v>90376.69</v>
      </c>
      <c r="BG426" s="26"/>
      <c r="BH426" s="26"/>
      <c r="BI426" s="26"/>
      <c r="BJ426" s="26"/>
      <c r="BK426" s="26"/>
    </row>
    <row r="427" spans="1:63" x14ac:dyDescent="0.25">
      <c r="A427" s="93"/>
      <c r="B427" s="8" t="s">
        <v>1572</v>
      </c>
      <c r="C427" s="159" t="s">
        <v>50</v>
      </c>
      <c r="D427" s="159"/>
      <c r="E427" s="5874"/>
      <c r="F427" s="1134">
        <v>655.58</v>
      </c>
      <c r="G427" s="5874"/>
      <c r="H427" s="1134"/>
      <c r="I427" s="5946"/>
      <c r="J427" s="782">
        <f t="shared" si="452"/>
        <v>655.58</v>
      </c>
      <c r="K427" s="5874"/>
      <c r="L427" s="1134">
        <v>850.9</v>
      </c>
      <c r="M427" s="5897"/>
      <c r="N427" s="781">
        <f t="shared" si="453"/>
        <v>1506.48</v>
      </c>
      <c r="O427" s="5874"/>
      <c r="P427" s="1134">
        <v>381.94000000000005</v>
      </c>
      <c r="Q427" s="5946"/>
      <c r="R427" s="782">
        <f t="shared" si="454"/>
        <v>1888.42</v>
      </c>
      <c r="S427" s="5874"/>
      <c r="T427" s="1134">
        <v>668.14</v>
      </c>
      <c r="U427" s="5946"/>
      <c r="V427" s="782">
        <f t="shared" si="455"/>
        <v>2556.56</v>
      </c>
      <c r="W427" s="5874"/>
      <c r="X427" s="1134">
        <v>668.87999999999988</v>
      </c>
      <c r="Y427" s="5897"/>
      <c r="Z427" s="781">
        <f t="shared" si="456"/>
        <v>1718.9599999999998</v>
      </c>
      <c r="AA427" s="5904"/>
      <c r="AB427" s="3562">
        <f t="shared" si="457"/>
        <v>3225.4399999999996</v>
      </c>
      <c r="AC427" s="5874"/>
      <c r="AD427" s="1134">
        <v>62.79</v>
      </c>
      <c r="AE427" s="5946"/>
      <c r="AF427" s="782">
        <f t="shared" si="458"/>
        <v>3288.2299999999996</v>
      </c>
      <c r="AG427" s="5874"/>
      <c r="AH427" s="1134">
        <v>69.05</v>
      </c>
      <c r="AI427" s="3711"/>
      <c r="AJ427" s="782">
        <f t="shared" si="459"/>
        <v>3357.2799999999997</v>
      </c>
      <c r="AK427" s="5874"/>
      <c r="AL427" s="1134"/>
      <c r="AM427" s="5897"/>
      <c r="AN427" s="378">
        <f t="shared" si="460"/>
        <v>131.84</v>
      </c>
      <c r="AO427" s="5946"/>
      <c r="AP427" s="782">
        <f t="shared" si="461"/>
        <v>3357.2799999999997</v>
      </c>
      <c r="AQ427" s="5874"/>
      <c r="AR427" s="1134">
        <v>778.53</v>
      </c>
      <c r="AS427" s="3711"/>
      <c r="AT427" s="782">
        <f t="shared" si="467"/>
        <v>4135.8099999999995</v>
      </c>
      <c r="AU427" s="5874"/>
      <c r="AV427" s="1134">
        <v>652.78</v>
      </c>
      <c r="AW427" s="3711"/>
      <c r="AX427" s="782">
        <f t="shared" si="468"/>
        <v>4788.5899999999992</v>
      </c>
      <c r="AY427" s="5874"/>
      <c r="AZ427" s="1134">
        <v>1041.04</v>
      </c>
      <c r="BA427" s="5897"/>
      <c r="BB427" s="378">
        <f t="shared" si="464"/>
        <v>2472.35</v>
      </c>
      <c r="BC427" s="5904"/>
      <c r="BD427" s="544">
        <f t="shared" si="465"/>
        <v>2604.19</v>
      </c>
      <c r="BE427" s="3711"/>
      <c r="BF427" s="782">
        <f t="shared" si="466"/>
        <v>5829.6299999999992</v>
      </c>
      <c r="BG427" s="26"/>
      <c r="BH427" s="26"/>
      <c r="BI427" s="26"/>
      <c r="BJ427" s="26"/>
      <c r="BK427" s="26"/>
    </row>
    <row r="428" spans="1:63" x14ac:dyDescent="0.25">
      <c r="A428" s="93"/>
      <c r="B428" s="8" t="s">
        <v>2175</v>
      </c>
      <c r="C428" s="159" t="s">
        <v>50</v>
      </c>
      <c r="D428" s="159"/>
      <c r="E428" s="5874"/>
      <c r="F428" s="1134"/>
      <c r="G428" s="5874"/>
      <c r="H428" s="1134"/>
      <c r="I428" s="5946"/>
      <c r="J428" s="782">
        <f t="shared" si="452"/>
        <v>0</v>
      </c>
      <c r="K428" s="5874"/>
      <c r="L428" s="1134"/>
      <c r="M428" s="5897"/>
      <c r="N428" s="781">
        <f t="shared" si="453"/>
        <v>0</v>
      </c>
      <c r="O428" s="5874"/>
      <c r="P428" s="1134"/>
      <c r="Q428" s="5946"/>
      <c r="R428" s="782">
        <f t="shared" si="454"/>
        <v>0</v>
      </c>
      <c r="S428" s="5874"/>
      <c r="T428" s="1134"/>
      <c r="U428" s="5946"/>
      <c r="V428" s="782">
        <f t="shared" si="455"/>
        <v>0</v>
      </c>
      <c r="W428" s="5874"/>
      <c r="X428" s="1134"/>
      <c r="Y428" s="5897"/>
      <c r="Z428" s="781">
        <f t="shared" si="456"/>
        <v>0</v>
      </c>
      <c r="AA428" s="5904"/>
      <c r="AB428" s="3562">
        <f t="shared" si="457"/>
        <v>0</v>
      </c>
      <c r="AC428" s="5874"/>
      <c r="AD428" s="1134">
        <v>66.599999999999994</v>
      </c>
      <c r="AE428" s="5946"/>
      <c r="AF428" s="782">
        <f t="shared" si="458"/>
        <v>66.599999999999994</v>
      </c>
      <c r="AG428" s="5874"/>
      <c r="AH428" s="1134"/>
      <c r="AI428" s="3711"/>
      <c r="AJ428" s="782">
        <f t="shared" ref="AJ428:AJ430" si="469">AF428+AH428</f>
        <v>66.599999999999994</v>
      </c>
      <c r="AK428" s="5874"/>
      <c r="AL428" s="1134"/>
      <c r="AM428" s="5897"/>
      <c r="AN428" s="378">
        <f t="shared" si="460"/>
        <v>66.599999999999994</v>
      </c>
      <c r="AO428" s="5946"/>
      <c r="AP428" s="782">
        <f t="shared" si="461"/>
        <v>66.599999999999994</v>
      </c>
      <c r="AQ428" s="5874"/>
      <c r="AR428" s="1134"/>
      <c r="AS428" s="3711"/>
      <c r="AT428" s="782">
        <f t="shared" si="467"/>
        <v>66.599999999999994</v>
      </c>
      <c r="AU428" s="5874"/>
      <c r="AV428" s="1134"/>
      <c r="AW428" s="3711"/>
      <c r="AX428" s="782">
        <f t="shared" si="468"/>
        <v>66.599999999999994</v>
      </c>
      <c r="AY428" s="5874"/>
      <c r="AZ428" s="1134"/>
      <c r="BA428" s="5897"/>
      <c r="BB428" s="378">
        <f t="shared" si="464"/>
        <v>0</v>
      </c>
      <c r="BC428" s="5904"/>
      <c r="BD428" s="544">
        <f t="shared" si="465"/>
        <v>66.599999999999994</v>
      </c>
      <c r="BE428" s="3711"/>
      <c r="BF428" s="782">
        <f t="shared" ref="BF428:BF430" si="470">AX428+AZ428</f>
        <v>66.599999999999994</v>
      </c>
      <c r="BG428" s="26"/>
      <c r="BH428" s="26"/>
      <c r="BI428" s="26"/>
      <c r="BJ428" s="26"/>
      <c r="BK428" s="26"/>
    </row>
    <row r="429" spans="1:63" x14ac:dyDescent="0.25">
      <c r="A429" s="93"/>
      <c r="B429" s="8" t="s">
        <v>716</v>
      </c>
      <c r="C429" s="159" t="s">
        <v>50</v>
      </c>
      <c r="D429" s="159"/>
      <c r="E429" s="5874"/>
      <c r="F429" s="1134"/>
      <c r="G429" s="5874"/>
      <c r="H429" s="1134">
        <v>978.01999999999987</v>
      </c>
      <c r="I429" s="5946"/>
      <c r="J429" s="782">
        <f t="shared" si="452"/>
        <v>978.01999999999987</v>
      </c>
      <c r="K429" s="5874"/>
      <c r="L429" s="1134">
        <v>3812.76</v>
      </c>
      <c r="M429" s="5897"/>
      <c r="N429" s="781">
        <f t="shared" si="453"/>
        <v>4790.78</v>
      </c>
      <c r="O429" s="5874"/>
      <c r="P429" s="1134">
        <v>1691.12</v>
      </c>
      <c r="Q429" s="5946"/>
      <c r="R429" s="782">
        <f t="shared" si="454"/>
        <v>6481.9</v>
      </c>
      <c r="S429" s="5874"/>
      <c r="T429" s="1134">
        <v>2387.6999999999998</v>
      </c>
      <c r="U429" s="5946"/>
      <c r="V429" s="782">
        <f t="shared" si="455"/>
        <v>8869.5999999999985</v>
      </c>
      <c r="W429" s="5874"/>
      <c r="X429" s="1134"/>
      <c r="Y429" s="5897"/>
      <c r="Z429" s="781">
        <f t="shared" si="456"/>
        <v>4078.8199999999997</v>
      </c>
      <c r="AA429" s="5904"/>
      <c r="AB429" s="3562">
        <f t="shared" si="457"/>
        <v>8869.5999999999985</v>
      </c>
      <c r="AC429" s="5874"/>
      <c r="AD429" s="1134">
        <v>65.180000000000007</v>
      </c>
      <c r="AE429" s="5946"/>
      <c r="AF429" s="782">
        <f t="shared" si="458"/>
        <v>8934.7799999999988</v>
      </c>
      <c r="AG429" s="5874"/>
      <c r="AH429" s="1134"/>
      <c r="AI429" s="3716"/>
      <c r="AJ429" s="782">
        <f t="shared" si="469"/>
        <v>8934.7799999999988</v>
      </c>
      <c r="AK429" s="5874"/>
      <c r="AL429" s="1134">
        <v>1444.1</v>
      </c>
      <c r="AM429" s="5897"/>
      <c r="AN429" s="378">
        <f t="shared" si="460"/>
        <v>1509.28</v>
      </c>
      <c r="AO429" s="5946"/>
      <c r="AP429" s="782">
        <f t="shared" si="461"/>
        <v>10378.879999999999</v>
      </c>
      <c r="AQ429" s="5874"/>
      <c r="AR429" s="1134">
        <v>2212.6400000000003</v>
      </c>
      <c r="AS429" s="3716"/>
      <c r="AT429" s="782">
        <f t="shared" si="467"/>
        <v>12591.52</v>
      </c>
      <c r="AU429" s="5874"/>
      <c r="AV429" s="1134"/>
      <c r="AW429" s="3716"/>
      <c r="AX429" s="782">
        <f t="shared" si="468"/>
        <v>12591.52</v>
      </c>
      <c r="AY429" s="5874"/>
      <c r="AZ429" s="1134"/>
      <c r="BA429" s="5897"/>
      <c r="BB429" s="378">
        <f t="shared" ref="BB429:BB430" si="471">AR429+AV429+AZ429</f>
        <v>2212.6400000000003</v>
      </c>
      <c r="BC429" s="5904"/>
      <c r="BD429" s="544">
        <f t="shared" si="465"/>
        <v>3721.92</v>
      </c>
      <c r="BE429" s="3716"/>
      <c r="BF429" s="782">
        <f t="shared" si="470"/>
        <v>12591.52</v>
      </c>
      <c r="BG429" s="26"/>
      <c r="BH429" s="26"/>
      <c r="BI429" s="26"/>
      <c r="BJ429" s="26"/>
      <c r="BK429" s="26"/>
    </row>
    <row r="430" spans="1:63" x14ac:dyDescent="0.25">
      <c r="A430" s="93"/>
      <c r="B430" s="3467" t="s">
        <v>541</v>
      </c>
      <c r="C430" s="813" t="s">
        <v>50</v>
      </c>
      <c r="D430" s="457">
        <f>+D40</f>
        <v>524798</v>
      </c>
      <c r="E430" s="457"/>
      <c r="F430" s="457">
        <f>SUM(F398:F429)</f>
        <v>38297.31</v>
      </c>
      <c r="G430" s="457"/>
      <c r="H430" s="457">
        <f>SUM(H398:H429)</f>
        <v>50015.529999999984</v>
      </c>
      <c r="I430" s="376"/>
      <c r="J430" s="782">
        <f t="shared" si="452"/>
        <v>88312.839999999982</v>
      </c>
      <c r="K430" s="457"/>
      <c r="L430" s="457">
        <f>SUM(L398:L429)</f>
        <v>49786.529999999984</v>
      </c>
      <c r="M430" s="378"/>
      <c r="N430" s="781">
        <f t="shared" si="453"/>
        <v>138099.36999999997</v>
      </c>
      <c r="O430" s="457"/>
      <c r="P430" s="457">
        <f>SUM(P398:P429)</f>
        <v>57214.910000000011</v>
      </c>
      <c r="Q430" s="376"/>
      <c r="R430" s="782">
        <f t="shared" si="454"/>
        <v>195314.27999999997</v>
      </c>
      <c r="S430" s="457"/>
      <c r="T430" s="457">
        <f>SUM(T398:T429)</f>
        <v>62105.790000000008</v>
      </c>
      <c r="U430" s="376"/>
      <c r="V430" s="782">
        <f t="shared" si="455"/>
        <v>257420.06999999998</v>
      </c>
      <c r="W430" s="457"/>
      <c r="X430" s="457">
        <f>SUM(X398:X429)</f>
        <v>53278.05</v>
      </c>
      <c r="Y430" s="378"/>
      <c r="Z430" s="781">
        <f t="shared" si="456"/>
        <v>172598.75</v>
      </c>
      <c r="AA430" s="3565"/>
      <c r="AB430" s="3562">
        <f t="shared" si="457"/>
        <v>310698.12</v>
      </c>
      <c r="AC430" s="457"/>
      <c r="AD430" s="457">
        <f>SUM(AD398:AD429)</f>
        <v>31037.679999999993</v>
      </c>
      <c r="AE430" s="376"/>
      <c r="AF430" s="782">
        <f t="shared" si="458"/>
        <v>341735.8</v>
      </c>
      <c r="AG430" s="457"/>
      <c r="AH430" s="457">
        <f>SUM(AH398:AH429)</f>
        <v>11162.88</v>
      </c>
      <c r="AI430" s="376"/>
      <c r="AJ430" s="376">
        <f t="shared" si="469"/>
        <v>352898.68</v>
      </c>
      <c r="AK430" s="457"/>
      <c r="AL430" s="457">
        <f>SUM(AL398:AL429)</f>
        <v>55181.05</v>
      </c>
      <c r="AM430" s="378"/>
      <c r="AN430" s="378">
        <f t="shared" si="460"/>
        <v>97381.609999999986</v>
      </c>
      <c r="AO430" s="376"/>
      <c r="AP430" s="376">
        <f t="shared" si="461"/>
        <v>408079.73</v>
      </c>
      <c r="AQ430" s="457"/>
      <c r="AR430" s="457">
        <f>SUM(AR398:AR429)</f>
        <v>75737.14</v>
      </c>
      <c r="AS430" s="376"/>
      <c r="AT430" s="376">
        <f t="shared" si="467"/>
        <v>483816.87</v>
      </c>
      <c r="AU430" s="457"/>
      <c r="AV430" s="457">
        <f>SUM(AV398:AV429)</f>
        <v>44295.63</v>
      </c>
      <c r="AW430" s="376"/>
      <c r="AX430" s="376">
        <f t="shared" si="468"/>
        <v>528112.5</v>
      </c>
      <c r="AY430" s="457"/>
      <c r="AZ430" s="457">
        <f>SUM(AZ398:AZ429)</f>
        <v>67399.77</v>
      </c>
      <c r="BA430" s="378"/>
      <c r="BB430" s="378">
        <f t="shared" si="471"/>
        <v>187432.53999999998</v>
      </c>
      <c r="BC430" s="3565"/>
      <c r="BD430" s="544">
        <f t="shared" si="465"/>
        <v>284814.14999999997</v>
      </c>
      <c r="BE430" s="376">
        <v>462000</v>
      </c>
      <c r="BF430" s="376">
        <f t="shared" si="470"/>
        <v>595512.27</v>
      </c>
      <c r="BG430" s="26"/>
      <c r="BH430" s="26"/>
      <c r="BI430" s="26"/>
      <c r="BJ430" s="26"/>
      <c r="BK430" s="26"/>
    </row>
    <row r="431" spans="1:63" ht="20.25" customHeight="1" x14ac:dyDescent="0.25">
      <c r="A431" s="93"/>
      <c r="B431" s="3461" t="s">
        <v>540</v>
      </c>
      <c r="C431" s="3561"/>
      <c r="D431" s="3561"/>
      <c r="E431" s="3561"/>
      <c r="F431" s="3561"/>
      <c r="G431" s="3561"/>
      <c r="H431" s="3561"/>
      <c r="I431" s="3651"/>
      <c r="J431" s="782">
        <f t="shared" si="452"/>
        <v>0</v>
      </c>
      <c r="K431" s="3561"/>
      <c r="L431" s="3561"/>
      <c r="M431" s="3652"/>
      <c r="N431" s="781">
        <f t="shared" si="453"/>
        <v>0</v>
      </c>
      <c r="O431" s="3561"/>
      <c r="P431" s="3561"/>
      <c r="Q431" s="3651"/>
      <c r="R431" s="782">
        <f t="shared" si="454"/>
        <v>0</v>
      </c>
      <c r="S431" s="3561"/>
      <c r="T431" s="3561"/>
      <c r="U431" s="3651"/>
      <c r="V431" s="782">
        <f t="shared" si="455"/>
        <v>0</v>
      </c>
      <c r="W431" s="3561"/>
      <c r="X431" s="3561"/>
      <c r="Y431" s="3652"/>
      <c r="Z431" s="781">
        <f t="shared" si="456"/>
        <v>0</v>
      </c>
      <c r="AA431" s="3653"/>
      <c r="AB431" s="3562">
        <f t="shared" si="457"/>
        <v>0</v>
      </c>
      <c r="AC431" s="3561"/>
      <c r="AD431" s="3561"/>
      <c r="AE431" s="3651"/>
      <c r="AF431" s="782">
        <f t="shared" si="458"/>
        <v>0</v>
      </c>
      <c r="AG431" s="3561"/>
      <c r="AH431" s="3561"/>
      <c r="AI431" s="3651"/>
      <c r="AJ431" s="3651"/>
      <c r="AK431" s="3561"/>
      <c r="AL431" s="3561"/>
      <c r="AM431" s="3652"/>
      <c r="AN431" s="3652"/>
      <c r="AO431" s="3651"/>
      <c r="AP431" s="3651"/>
      <c r="AQ431" s="3561"/>
      <c r="AR431" s="3561"/>
      <c r="AS431" s="3651"/>
      <c r="AT431" s="3651"/>
      <c r="AU431" s="3561"/>
      <c r="AV431" s="3561"/>
      <c r="AW431" s="3651"/>
      <c r="AX431" s="3651"/>
      <c r="AY431" s="3561"/>
      <c r="AZ431" s="3561"/>
      <c r="BA431" s="3652"/>
      <c r="BB431" s="3652"/>
      <c r="BC431" s="3653"/>
      <c r="BD431" s="3717"/>
      <c r="BE431" s="3651"/>
      <c r="BF431" s="3651"/>
      <c r="BG431" s="26"/>
      <c r="BH431" s="26"/>
      <c r="BI431" s="26"/>
      <c r="BJ431" s="26"/>
      <c r="BK431" s="26"/>
    </row>
    <row r="432" spans="1:63" ht="20.25" hidden="1" customHeight="1" x14ac:dyDescent="0.3">
      <c r="A432" s="154"/>
      <c r="B432" s="3713" t="s">
        <v>1720</v>
      </c>
      <c r="C432" s="159"/>
      <c r="D432" s="159"/>
      <c r="E432" s="3718"/>
      <c r="F432" s="457">
        <f>+F433+F434+F435</f>
        <v>0</v>
      </c>
      <c r="G432" s="3718"/>
      <c r="H432" s="457">
        <f>+H433+H434+H435</f>
        <v>0</v>
      </c>
      <c r="I432" s="3651"/>
      <c r="J432" s="782">
        <f t="shared" si="452"/>
        <v>0</v>
      </c>
      <c r="K432" s="3718"/>
      <c r="L432" s="457">
        <f>+L433+L434+L435</f>
        <v>0</v>
      </c>
      <c r="M432" s="3652"/>
      <c r="N432" s="781">
        <f t="shared" si="453"/>
        <v>0</v>
      </c>
      <c r="O432" s="3718"/>
      <c r="P432" s="457">
        <f>+P433+P434+P435</f>
        <v>0</v>
      </c>
      <c r="Q432" s="3651"/>
      <c r="R432" s="782">
        <f t="shared" si="454"/>
        <v>0</v>
      </c>
      <c r="S432" s="3718"/>
      <c r="T432" s="457">
        <f>+T433+T434+T435</f>
        <v>0</v>
      </c>
      <c r="U432" s="3651"/>
      <c r="V432" s="782">
        <f t="shared" si="455"/>
        <v>0</v>
      </c>
      <c r="W432" s="3718"/>
      <c r="X432" s="457">
        <f>+X433+X434+X435</f>
        <v>0</v>
      </c>
      <c r="Y432" s="3652"/>
      <c r="Z432" s="781">
        <f t="shared" si="456"/>
        <v>0</v>
      </c>
      <c r="AA432" s="3653"/>
      <c r="AB432" s="3562">
        <f t="shared" si="457"/>
        <v>0</v>
      </c>
      <c r="AC432" s="3718"/>
      <c r="AD432" s="457">
        <f>+AD433+AD434+AD435</f>
        <v>0</v>
      </c>
      <c r="AE432" s="3651"/>
      <c r="AF432" s="782">
        <f t="shared" si="458"/>
        <v>0</v>
      </c>
      <c r="AG432" s="3718"/>
      <c r="AH432" s="457">
        <f>+AH433+AH434+AH435</f>
        <v>0</v>
      </c>
      <c r="AI432" s="3651"/>
      <c r="AJ432" s="376">
        <f>AF432+AH432</f>
        <v>0</v>
      </c>
      <c r="AK432" s="3718"/>
      <c r="AL432" s="457">
        <f>+AL433+AL434+AL435</f>
        <v>0</v>
      </c>
      <c r="AM432" s="3652"/>
      <c r="AN432" s="378">
        <f t="shared" si="460"/>
        <v>0</v>
      </c>
      <c r="AO432" s="3651"/>
      <c r="AP432" s="376">
        <f t="shared" si="461"/>
        <v>0</v>
      </c>
      <c r="AQ432" s="3718"/>
      <c r="AR432" s="457">
        <f>+AR433+AR434+AR435</f>
        <v>0</v>
      </c>
      <c r="AS432" s="3651"/>
      <c r="AT432" s="376">
        <f>AP432+AR432</f>
        <v>0</v>
      </c>
      <c r="AU432" s="3718"/>
      <c r="AV432" s="457">
        <f>+AV433+AV434+AV435</f>
        <v>0</v>
      </c>
      <c r="AW432" s="3651"/>
      <c r="AX432" s="376">
        <f>AT432+AV432</f>
        <v>0</v>
      </c>
      <c r="AY432" s="3718"/>
      <c r="AZ432" s="457">
        <f>+AZ433+AZ434+AZ435</f>
        <v>0</v>
      </c>
      <c r="BA432" s="3652"/>
      <c r="BB432" s="378">
        <f t="shared" ref="BB432:BB446" si="472">AR432+AV432+AZ432</f>
        <v>0</v>
      </c>
      <c r="BC432" s="3653"/>
      <c r="BD432" s="544">
        <f t="shared" si="465"/>
        <v>0</v>
      </c>
      <c r="BE432" s="3651"/>
      <c r="BF432" s="376">
        <f>AX432+AZ432</f>
        <v>0</v>
      </c>
      <c r="BG432" s="26"/>
      <c r="BH432" s="26"/>
      <c r="BI432" s="26"/>
      <c r="BJ432" s="26"/>
      <c r="BK432" s="26"/>
    </row>
    <row r="433" spans="1:63" ht="18.75" hidden="1" customHeight="1" x14ac:dyDescent="0.3">
      <c r="A433" s="154"/>
      <c r="B433" s="3719" t="s">
        <v>1507</v>
      </c>
      <c r="C433" s="159" t="s">
        <v>50</v>
      </c>
      <c r="D433" s="159"/>
      <c r="E433" s="3718"/>
      <c r="F433" s="1134">
        <v>0</v>
      </c>
      <c r="G433" s="3718"/>
      <c r="H433" s="1134">
        <v>0</v>
      </c>
      <c r="I433" s="3651"/>
      <c r="J433" s="782">
        <f t="shared" si="452"/>
        <v>0</v>
      </c>
      <c r="K433" s="3718"/>
      <c r="L433" s="1134">
        <v>0</v>
      </c>
      <c r="M433" s="3652"/>
      <c r="N433" s="781">
        <f t="shared" si="453"/>
        <v>0</v>
      </c>
      <c r="O433" s="3718"/>
      <c r="P433" s="1134">
        <v>0</v>
      </c>
      <c r="Q433" s="3651"/>
      <c r="R433" s="782">
        <f t="shared" si="454"/>
        <v>0</v>
      </c>
      <c r="S433" s="3718"/>
      <c r="T433" s="1134">
        <v>0</v>
      </c>
      <c r="U433" s="3651"/>
      <c r="V433" s="782">
        <f t="shared" si="455"/>
        <v>0</v>
      </c>
      <c r="W433" s="3718"/>
      <c r="X433" s="1134">
        <v>0</v>
      </c>
      <c r="Y433" s="3652"/>
      <c r="Z433" s="781">
        <f t="shared" si="456"/>
        <v>0</v>
      </c>
      <c r="AA433" s="3653"/>
      <c r="AB433" s="3562">
        <f t="shared" si="457"/>
        <v>0</v>
      </c>
      <c r="AC433" s="3718"/>
      <c r="AD433" s="1134"/>
      <c r="AE433" s="3651"/>
      <c r="AF433" s="782">
        <f t="shared" si="458"/>
        <v>0</v>
      </c>
      <c r="AG433" s="3718"/>
      <c r="AH433" s="1134"/>
      <c r="AI433" s="3651"/>
      <c r="AJ433" s="782">
        <f t="shared" ref="AJ433:AJ448" si="473">AF433+AH433</f>
        <v>0</v>
      </c>
      <c r="AK433" s="3718"/>
      <c r="AL433" s="1134"/>
      <c r="AM433" s="3652"/>
      <c r="AN433" s="781">
        <f t="shared" si="460"/>
        <v>0</v>
      </c>
      <c r="AO433" s="3651"/>
      <c r="AP433" s="782">
        <f t="shared" si="461"/>
        <v>0</v>
      </c>
      <c r="AQ433" s="3718"/>
      <c r="AR433" s="1134"/>
      <c r="AS433" s="3651"/>
      <c r="AT433" s="782">
        <f t="shared" ref="AT433:AT448" si="474">AP433+AR433</f>
        <v>0</v>
      </c>
      <c r="AU433" s="3718"/>
      <c r="AV433" s="1134"/>
      <c r="AW433" s="3651"/>
      <c r="AX433" s="782">
        <f t="shared" ref="AX433:AX448" si="475">AT433+AV433</f>
        <v>0</v>
      </c>
      <c r="AY433" s="3718"/>
      <c r="AZ433" s="1134"/>
      <c r="BA433" s="3652"/>
      <c r="BB433" s="781">
        <f t="shared" si="472"/>
        <v>0</v>
      </c>
      <c r="BC433" s="3653"/>
      <c r="BD433" s="465">
        <f t="shared" si="465"/>
        <v>0</v>
      </c>
      <c r="BE433" s="3651"/>
      <c r="BF433" s="782">
        <f t="shared" ref="BF433:BF448" si="476">AX433+AZ433</f>
        <v>0</v>
      </c>
      <c r="BG433" s="26"/>
      <c r="BH433" s="26"/>
      <c r="BI433" s="26"/>
      <c r="BJ433" s="26"/>
      <c r="BK433" s="26"/>
    </row>
    <row r="434" spans="1:63" ht="18.75" hidden="1" customHeight="1" x14ac:dyDescent="0.3">
      <c r="A434" s="154"/>
      <c r="B434" s="3719" t="s">
        <v>1134</v>
      </c>
      <c r="C434" s="159" t="s">
        <v>50</v>
      </c>
      <c r="D434" s="159"/>
      <c r="E434" s="3718"/>
      <c r="F434" s="1134">
        <v>0</v>
      </c>
      <c r="G434" s="3718"/>
      <c r="H434" s="1134">
        <v>0</v>
      </c>
      <c r="I434" s="3651"/>
      <c r="J434" s="782">
        <f t="shared" si="452"/>
        <v>0</v>
      </c>
      <c r="K434" s="3718"/>
      <c r="L434" s="1134">
        <v>0</v>
      </c>
      <c r="M434" s="3652"/>
      <c r="N434" s="781">
        <f t="shared" si="453"/>
        <v>0</v>
      </c>
      <c r="O434" s="3718"/>
      <c r="P434" s="1134">
        <v>0</v>
      </c>
      <c r="Q434" s="3651"/>
      <c r="R434" s="782">
        <f t="shared" si="454"/>
        <v>0</v>
      </c>
      <c r="S434" s="3718"/>
      <c r="T434" s="1134">
        <v>0</v>
      </c>
      <c r="U434" s="3651"/>
      <c r="V434" s="782">
        <f t="shared" si="455"/>
        <v>0</v>
      </c>
      <c r="W434" s="3718"/>
      <c r="X434" s="1134">
        <v>0</v>
      </c>
      <c r="Y434" s="3652"/>
      <c r="Z434" s="781">
        <f t="shared" si="456"/>
        <v>0</v>
      </c>
      <c r="AA434" s="3653"/>
      <c r="AB434" s="3562">
        <f t="shared" si="457"/>
        <v>0</v>
      </c>
      <c r="AC434" s="3718"/>
      <c r="AD434" s="1134"/>
      <c r="AE434" s="3651"/>
      <c r="AF434" s="782">
        <f t="shared" si="458"/>
        <v>0</v>
      </c>
      <c r="AG434" s="3718"/>
      <c r="AH434" s="1134"/>
      <c r="AI434" s="3651"/>
      <c r="AJ434" s="782">
        <f t="shared" si="473"/>
        <v>0</v>
      </c>
      <c r="AK434" s="3718"/>
      <c r="AL434" s="1134"/>
      <c r="AM434" s="3652"/>
      <c r="AN434" s="781">
        <f t="shared" si="460"/>
        <v>0</v>
      </c>
      <c r="AO434" s="3651"/>
      <c r="AP434" s="782">
        <f t="shared" si="461"/>
        <v>0</v>
      </c>
      <c r="AQ434" s="3718"/>
      <c r="AR434" s="1134"/>
      <c r="AS434" s="3651"/>
      <c r="AT434" s="782">
        <f t="shared" si="474"/>
        <v>0</v>
      </c>
      <c r="AU434" s="3718"/>
      <c r="AV434" s="1134"/>
      <c r="AW434" s="3651"/>
      <c r="AX434" s="782">
        <f t="shared" si="475"/>
        <v>0</v>
      </c>
      <c r="AY434" s="3718"/>
      <c r="AZ434" s="1134"/>
      <c r="BA434" s="3652"/>
      <c r="BB434" s="781">
        <f t="shared" si="472"/>
        <v>0</v>
      </c>
      <c r="BC434" s="3653"/>
      <c r="BD434" s="465">
        <f t="shared" si="465"/>
        <v>0</v>
      </c>
      <c r="BE434" s="3651"/>
      <c r="BF434" s="782">
        <f t="shared" si="476"/>
        <v>0</v>
      </c>
      <c r="BG434" s="26"/>
      <c r="BH434" s="26"/>
      <c r="BI434" s="26"/>
      <c r="BJ434" s="26"/>
      <c r="BK434" s="26"/>
    </row>
    <row r="435" spans="1:63" ht="18.75" hidden="1" customHeight="1" x14ac:dyDescent="0.3">
      <c r="A435" s="154"/>
      <c r="B435" s="3719" t="s">
        <v>1360</v>
      </c>
      <c r="C435" s="159" t="s">
        <v>50</v>
      </c>
      <c r="D435" s="159"/>
      <c r="E435" s="3718"/>
      <c r="F435" s="1134">
        <v>0</v>
      </c>
      <c r="G435" s="3718"/>
      <c r="H435" s="1134">
        <v>0</v>
      </c>
      <c r="I435" s="3651"/>
      <c r="J435" s="782">
        <f t="shared" si="452"/>
        <v>0</v>
      </c>
      <c r="K435" s="3718"/>
      <c r="L435" s="1134">
        <v>0</v>
      </c>
      <c r="M435" s="3652"/>
      <c r="N435" s="781">
        <f t="shared" si="453"/>
        <v>0</v>
      </c>
      <c r="O435" s="3718"/>
      <c r="P435" s="1134">
        <v>0</v>
      </c>
      <c r="Q435" s="3651"/>
      <c r="R435" s="782">
        <f t="shared" si="454"/>
        <v>0</v>
      </c>
      <c r="S435" s="3718"/>
      <c r="T435" s="1134">
        <v>0</v>
      </c>
      <c r="U435" s="3651"/>
      <c r="V435" s="782">
        <f t="shared" si="455"/>
        <v>0</v>
      </c>
      <c r="W435" s="3718"/>
      <c r="X435" s="1134">
        <v>0</v>
      </c>
      <c r="Y435" s="3652"/>
      <c r="Z435" s="781">
        <f t="shared" si="456"/>
        <v>0</v>
      </c>
      <c r="AA435" s="3653"/>
      <c r="AB435" s="3562">
        <f t="shared" si="457"/>
        <v>0</v>
      </c>
      <c r="AC435" s="3718"/>
      <c r="AD435" s="1134">
        <v>0</v>
      </c>
      <c r="AE435" s="3651"/>
      <c r="AF435" s="782">
        <f t="shared" si="458"/>
        <v>0</v>
      </c>
      <c r="AG435" s="3718"/>
      <c r="AH435" s="1134">
        <v>0</v>
      </c>
      <c r="AI435" s="3651"/>
      <c r="AJ435" s="782">
        <f t="shared" si="473"/>
        <v>0</v>
      </c>
      <c r="AK435" s="3718"/>
      <c r="AL435" s="1134">
        <v>0</v>
      </c>
      <c r="AM435" s="3652"/>
      <c r="AN435" s="781">
        <f t="shared" si="460"/>
        <v>0</v>
      </c>
      <c r="AO435" s="3651"/>
      <c r="AP435" s="782">
        <f t="shared" si="461"/>
        <v>0</v>
      </c>
      <c r="AQ435" s="3718"/>
      <c r="AR435" s="1134">
        <v>0</v>
      </c>
      <c r="AS435" s="3651"/>
      <c r="AT435" s="782">
        <f t="shared" si="474"/>
        <v>0</v>
      </c>
      <c r="AU435" s="3718"/>
      <c r="AV435" s="1134">
        <v>0</v>
      </c>
      <c r="AW435" s="3651"/>
      <c r="AX435" s="782">
        <f t="shared" si="475"/>
        <v>0</v>
      </c>
      <c r="AY435" s="3718"/>
      <c r="AZ435" s="1134">
        <v>0</v>
      </c>
      <c r="BA435" s="3652"/>
      <c r="BB435" s="781">
        <f t="shared" si="472"/>
        <v>0</v>
      </c>
      <c r="BC435" s="3653"/>
      <c r="BD435" s="465">
        <f t="shared" si="465"/>
        <v>0</v>
      </c>
      <c r="BE435" s="3651"/>
      <c r="BF435" s="3720">
        <f t="shared" si="476"/>
        <v>0</v>
      </c>
      <c r="BG435" s="26"/>
      <c r="BH435" s="26"/>
      <c r="BI435" s="26"/>
      <c r="BJ435" s="26"/>
      <c r="BK435" s="26"/>
    </row>
    <row r="436" spans="1:63" ht="20.25" customHeight="1" x14ac:dyDescent="0.25">
      <c r="A436" s="154"/>
      <c r="B436" s="3713" t="s">
        <v>1629</v>
      </c>
      <c r="C436" s="159" t="s">
        <v>50</v>
      </c>
      <c r="D436" s="159"/>
      <c r="E436" s="3718"/>
      <c r="F436" s="457">
        <f>+F437+F438</f>
        <v>0</v>
      </c>
      <c r="G436" s="3718"/>
      <c r="H436" s="457">
        <f>+H437+H438</f>
        <v>940.18000000000006</v>
      </c>
      <c r="I436" s="3651"/>
      <c r="J436" s="782">
        <f t="shared" si="452"/>
        <v>940.18000000000006</v>
      </c>
      <c r="K436" s="3718"/>
      <c r="L436" s="457">
        <f>+L437+L438</f>
        <v>1065.5999999999999</v>
      </c>
      <c r="M436" s="3652"/>
      <c r="N436" s="781">
        <f t="shared" si="453"/>
        <v>2005.78</v>
      </c>
      <c r="O436" s="3718"/>
      <c r="P436" s="457">
        <f>+P437+P438</f>
        <v>463.1</v>
      </c>
      <c r="Q436" s="3651"/>
      <c r="R436" s="782">
        <f t="shared" si="454"/>
        <v>2468.88</v>
      </c>
      <c r="S436" s="3718"/>
      <c r="T436" s="457">
        <f>+T437+T438</f>
        <v>2488</v>
      </c>
      <c r="U436" s="3651"/>
      <c r="V436" s="782">
        <f t="shared" si="455"/>
        <v>4956.88</v>
      </c>
      <c r="W436" s="3718"/>
      <c r="X436" s="457">
        <f>+X437+X438</f>
        <v>1911</v>
      </c>
      <c r="Y436" s="3652"/>
      <c r="Z436" s="781">
        <f t="shared" si="456"/>
        <v>4862.1000000000004</v>
      </c>
      <c r="AA436" s="3653"/>
      <c r="AB436" s="3562">
        <f t="shared" si="457"/>
        <v>6867.88</v>
      </c>
      <c r="AC436" s="3718"/>
      <c r="AD436" s="457">
        <f>+AD437+AD438</f>
        <v>632.55999999999995</v>
      </c>
      <c r="AE436" s="3651"/>
      <c r="AF436" s="782">
        <f t="shared" si="458"/>
        <v>7500.4400000000005</v>
      </c>
      <c r="AG436" s="3718"/>
      <c r="AH436" s="457">
        <f>+AH437+AH438</f>
        <v>637</v>
      </c>
      <c r="AI436" s="3651"/>
      <c r="AJ436" s="782">
        <f t="shared" si="473"/>
        <v>8137.4400000000005</v>
      </c>
      <c r="AK436" s="3718"/>
      <c r="AL436" s="457">
        <f>+AL437+AL438</f>
        <v>367.46</v>
      </c>
      <c r="AM436" s="3652"/>
      <c r="AN436" s="378">
        <f t="shared" si="460"/>
        <v>1637.02</v>
      </c>
      <c r="AO436" s="3651"/>
      <c r="AP436" s="782">
        <f t="shared" si="461"/>
        <v>8504.9</v>
      </c>
      <c r="AQ436" s="3718"/>
      <c r="AR436" s="457">
        <f>+AR437+AR438</f>
        <v>0</v>
      </c>
      <c r="AS436" s="3651"/>
      <c r="AT436" s="782">
        <f t="shared" si="474"/>
        <v>8504.9</v>
      </c>
      <c r="AU436" s="3718"/>
      <c r="AV436" s="457">
        <f>+AV437+AV438</f>
        <v>0</v>
      </c>
      <c r="AW436" s="3651"/>
      <c r="AX436" s="782">
        <f t="shared" si="475"/>
        <v>8504.9</v>
      </c>
      <c r="AY436" s="3718"/>
      <c r="AZ436" s="457">
        <f>+AZ437+AZ438</f>
        <v>516.62</v>
      </c>
      <c r="BA436" s="3652"/>
      <c r="BB436" s="378">
        <f t="shared" si="472"/>
        <v>516.62</v>
      </c>
      <c r="BC436" s="3653"/>
      <c r="BD436" s="544">
        <f t="shared" si="465"/>
        <v>2153.64</v>
      </c>
      <c r="BE436" s="3651"/>
      <c r="BF436" s="782">
        <f t="shared" si="476"/>
        <v>9021.52</v>
      </c>
      <c r="BG436" s="26"/>
      <c r="BH436" s="26"/>
      <c r="BI436" s="26"/>
      <c r="BJ436" s="26"/>
      <c r="BK436" s="26"/>
    </row>
    <row r="437" spans="1:63" ht="21.2" customHeight="1" x14ac:dyDescent="0.25">
      <c r="A437" s="154"/>
      <c r="B437" s="3719" t="s">
        <v>1343</v>
      </c>
      <c r="C437" s="706" t="s">
        <v>50</v>
      </c>
      <c r="D437" s="706"/>
      <c r="E437" s="3718"/>
      <c r="F437" s="1134"/>
      <c r="G437" s="3718"/>
      <c r="H437" s="1134">
        <v>299.72000000000003</v>
      </c>
      <c r="I437" s="3721"/>
      <c r="J437" s="782">
        <f t="shared" si="452"/>
        <v>299.72000000000003</v>
      </c>
      <c r="K437" s="3718"/>
      <c r="L437" s="1134"/>
      <c r="M437" s="3722"/>
      <c r="N437" s="781">
        <f t="shared" si="453"/>
        <v>299.72000000000003</v>
      </c>
      <c r="O437" s="3718"/>
      <c r="P437" s="1134"/>
      <c r="Q437" s="3721"/>
      <c r="R437" s="782">
        <f t="shared" si="454"/>
        <v>299.72000000000003</v>
      </c>
      <c r="S437" s="3718"/>
      <c r="T437" s="1134">
        <v>239</v>
      </c>
      <c r="U437" s="3721"/>
      <c r="V437" s="782">
        <f t="shared" si="455"/>
        <v>538.72</v>
      </c>
      <c r="W437" s="3718"/>
      <c r="X437" s="1134">
        <v>497.22999999999996</v>
      </c>
      <c r="Y437" s="3722"/>
      <c r="Z437" s="781">
        <f t="shared" si="456"/>
        <v>736.23</v>
      </c>
      <c r="AA437" s="3723"/>
      <c r="AB437" s="3562">
        <f t="shared" si="457"/>
        <v>1035.95</v>
      </c>
      <c r="AC437" s="3718"/>
      <c r="AD437" s="1134"/>
      <c r="AE437" s="3721"/>
      <c r="AF437" s="782">
        <f t="shared" si="458"/>
        <v>1035.95</v>
      </c>
      <c r="AG437" s="3718"/>
      <c r="AH437" s="1134"/>
      <c r="AI437" s="3721"/>
      <c r="AJ437" s="782">
        <f t="shared" si="473"/>
        <v>1035.95</v>
      </c>
      <c r="AK437" s="3718"/>
      <c r="AL437" s="1134"/>
      <c r="AM437" s="3722"/>
      <c r="AN437" s="781">
        <f t="shared" si="460"/>
        <v>0</v>
      </c>
      <c r="AO437" s="3721"/>
      <c r="AP437" s="782">
        <f t="shared" si="461"/>
        <v>1035.95</v>
      </c>
      <c r="AQ437" s="3718"/>
      <c r="AR437" s="1134"/>
      <c r="AS437" s="3721"/>
      <c r="AT437" s="782">
        <f t="shared" si="474"/>
        <v>1035.95</v>
      </c>
      <c r="AU437" s="3718"/>
      <c r="AV437" s="1134"/>
      <c r="AW437" s="3721"/>
      <c r="AX437" s="782">
        <f t="shared" si="475"/>
        <v>1035.95</v>
      </c>
      <c r="AY437" s="3718"/>
      <c r="AZ437" s="1134">
        <v>516.62</v>
      </c>
      <c r="BA437" s="3722"/>
      <c r="BB437" s="781">
        <f t="shared" si="472"/>
        <v>516.62</v>
      </c>
      <c r="BC437" s="3723"/>
      <c r="BD437" s="465">
        <f t="shared" si="465"/>
        <v>516.62</v>
      </c>
      <c r="BE437" s="3721"/>
      <c r="BF437" s="782">
        <f t="shared" si="476"/>
        <v>1552.5700000000002</v>
      </c>
      <c r="BG437" s="26"/>
      <c r="BH437" s="26"/>
      <c r="BI437" s="26"/>
      <c r="BJ437" s="26"/>
      <c r="BK437" s="26"/>
    </row>
    <row r="438" spans="1:63" ht="30" x14ac:dyDescent="0.25">
      <c r="A438" s="154"/>
      <c r="B438" s="3724" t="s">
        <v>1719</v>
      </c>
      <c r="C438" s="706" t="s">
        <v>50</v>
      </c>
      <c r="D438" s="706"/>
      <c r="E438" s="3718"/>
      <c r="F438" s="1134"/>
      <c r="G438" s="3718"/>
      <c r="H438" s="1134">
        <v>640.46</v>
      </c>
      <c r="I438" s="3721"/>
      <c r="J438" s="782">
        <f t="shared" si="452"/>
        <v>640.46</v>
      </c>
      <c r="K438" s="3718"/>
      <c r="L438" s="1134">
        <v>1065.5999999999999</v>
      </c>
      <c r="M438" s="3722"/>
      <c r="N438" s="781">
        <f t="shared" si="453"/>
        <v>1706.06</v>
      </c>
      <c r="O438" s="3718"/>
      <c r="P438" s="1134">
        <v>463.1</v>
      </c>
      <c r="Q438" s="3721"/>
      <c r="R438" s="782">
        <f t="shared" si="454"/>
        <v>2169.16</v>
      </c>
      <c r="S438" s="3718"/>
      <c r="T438" s="1134">
        <v>2249</v>
      </c>
      <c r="U438" s="3721"/>
      <c r="V438" s="782">
        <f t="shared" si="455"/>
        <v>4418.16</v>
      </c>
      <c r="W438" s="3718"/>
      <c r="X438" s="1134">
        <v>1413.77</v>
      </c>
      <c r="Y438" s="3722"/>
      <c r="Z438" s="781">
        <f t="shared" si="456"/>
        <v>4125.87</v>
      </c>
      <c r="AA438" s="3723"/>
      <c r="AB438" s="3562">
        <f t="shared" si="457"/>
        <v>5831.93</v>
      </c>
      <c r="AC438" s="3718"/>
      <c r="AD438" s="1134">
        <v>632.55999999999995</v>
      </c>
      <c r="AE438" s="3721"/>
      <c r="AF438" s="782">
        <f t="shared" si="458"/>
        <v>6464.49</v>
      </c>
      <c r="AG438" s="3718"/>
      <c r="AH438" s="1134">
        <v>637</v>
      </c>
      <c r="AI438" s="3721"/>
      <c r="AJ438" s="782">
        <f t="shared" si="473"/>
        <v>7101.49</v>
      </c>
      <c r="AK438" s="3718"/>
      <c r="AL438" s="1134">
        <v>367.46</v>
      </c>
      <c r="AM438" s="3722"/>
      <c r="AN438" s="781">
        <f t="shared" si="460"/>
        <v>1637.02</v>
      </c>
      <c r="AO438" s="3721"/>
      <c r="AP438" s="782">
        <f t="shared" si="461"/>
        <v>7468.95</v>
      </c>
      <c r="AQ438" s="3718"/>
      <c r="AR438" s="1134"/>
      <c r="AS438" s="3721"/>
      <c r="AT438" s="782">
        <f t="shared" si="474"/>
        <v>7468.95</v>
      </c>
      <c r="AU438" s="3718"/>
      <c r="AV438" s="1134"/>
      <c r="AW438" s="3721"/>
      <c r="AX438" s="782">
        <f t="shared" si="475"/>
        <v>7468.95</v>
      </c>
      <c r="AY438" s="3718"/>
      <c r="AZ438" s="1134"/>
      <c r="BA438" s="3722"/>
      <c r="BB438" s="781">
        <f t="shared" si="472"/>
        <v>0</v>
      </c>
      <c r="BC438" s="3723"/>
      <c r="BD438" s="465">
        <f t="shared" si="465"/>
        <v>1637.02</v>
      </c>
      <c r="BE438" s="3721"/>
      <c r="BF438" s="782">
        <f t="shared" si="476"/>
        <v>7468.95</v>
      </c>
      <c r="BG438" s="26"/>
      <c r="BH438" s="26"/>
      <c r="BI438" s="26"/>
      <c r="BJ438" s="26"/>
      <c r="BK438" s="26"/>
    </row>
    <row r="439" spans="1:63" ht="20.25" customHeight="1" x14ac:dyDescent="0.25">
      <c r="A439" s="154"/>
      <c r="B439" s="3713" t="s">
        <v>636</v>
      </c>
      <c r="C439" s="159" t="s">
        <v>50</v>
      </c>
      <c r="D439" s="159"/>
      <c r="E439" s="3725"/>
      <c r="F439" s="3561"/>
      <c r="G439" s="3725"/>
      <c r="H439" s="3561"/>
      <c r="I439" s="3711"/>
      <c r="J439" s="782">
        <f t="shared" si="452"/>
        <v>0</v>
      </c>
      <c r="K439" s="3725"/>
      <c r="L439" s="3561"/>
      <c r="M439" s="3726"/>
      <c r="N439" s="781">
        <f t="shared" si="453"/>
        <v>0</v>
      </c>
      <c r="O439" s="3725"/>
      <c r="P439" s="3561"/>
      <c r="Q439" s="3711"/>
      <c r="R439" s="782">
        <f t="shared" si="454"/>
        <v>0</v>
      </c>
      <c r="S439" s="3725"/>
      <c r="T439" s="3561"/>
      <c r="U439" s="3711"/>
      <c r="V439" s="782">
        <f t="shared" si="455"/>
        <v>0</v>
      </c>
      <c r="W439" s="3725"/>
      <c r="X439" s="3561"/>
      <c r="Y439" s="3726"/>
      <c r="Z439" s="781">
        <f t="shared" si="456"/>
        <v>0</v>
      </c>
      <c r="AA439" s="3727"/>
      <c r="AB439" s="3562">
        <f t="shared" si="457"/>
        <v>0</v>
      </c>
      <c r="AC439" s="3725"/>
      <c r="AD439" s="3561"/>
      <c r="AE439" s="3711"/>
      <c r="AF439" s="782">
        <f t="shared" si="458"/>
        <v>0</v>
      </c>
      <c r="AG439" s="3725"/>
      <c r="AH439" s="3561"/>
      <c r="AI439" s="3711"/>
      <c r="AJ439" s="782"/>
      <c r="AK439" s="3725"/>
      <c r="AL439" s="3561"/>
      <c r="AM439" s="3726"/>
      <c r="AN439" s="781"/>
      <c r="AO439" s="3711"/>
      <c r="AP439" s="782"/>
      <c r="AQ439" s="3725"/>
      <c r="AR439" s="3561"/>
      <c r="AS439" s="3711"/>
      <c r="AT439" s="782"/>
      <c r="AU439" s="3725"/>
      <c r="AV439" s="3561"/>
      <c r="AW439" s="3711"/>
      <c r="AX439" s="782"/>
      <c r="AY439" s="3725"/>
      <c r="AZ439" s="3561"/>
      <c r="BA439" s="3726"/>
      <c r="BB439" s="781"/>
      <c r="BC439" s="3727"/>
      <c r="BD439" s="465"/>
      <c r="BE439" s="3711"/>
      <c r="BF439" s="782"/>
      <c r="BG439" s="26"/>
      <c r="BH439" s="26"/>
      <c r="BI439" s="26"/>
      <c r="BJ439" s="26"/>
      <c r="BK439" s="26"/>
    </row>
    <row r="440" spans="1:63" x14ac:dyDescent="0.25">
      <c r="A440" s="93"/>
      <c r="B440" s="8" t="s">
        <v>1792</v>
      </c>
      <c r="C440" s="159" t="s">
        <v>50</v>
      </c>
      <c r="D440" s="159"/>
      <c r="E440" s="776"/>
      <c r="F440" s="1134">
        <v>126.98</v>
      </c>
      <c r="G440" s="776"/>
      <c r="H440" s="1134"/>
      <c r="I440" s="3711"/>
      <c r="J440" s="782">
        <f t="shared" si="452"/>
        <v>126.98</v>
      </c>
      <c r="K440" s="776"/>
      <c r="L440" s="1134">
        <v>247.89000000000001</v>
      </c>
      <c r="M440" s="3726"/>
      <c r="N440" s="781">
        <f t="shared" si="453"/>
        <v>374.87</v>
      </c>
      <c r="O440" s="776"/>
      <c r="P440" s="1134">
        <v>381.2</v>
      </c>
      <c r="Q440" s="3711"/>
      <c r="R440" s="782">
        <f t="shared" si="454"/>
        <v>756.06999999999994</v>
      </c>
      <c r="S440" s="776"/>
      <c r="T440" s="1134"/>
      <c r="U440" s="3711"/>
      <c r="V440" s="782">
        <f t="shared" si="455"/>
        <v>756.06999999999994</v>
      </c>
      <c r="W440" s="776"/>
      <c r="X440" s="1134">
        <v>39.79</v>
      </c>
      <c r="Y440" s="3726"/>
      <c r="Z440" s="781">
        <f t="shared" si="456"/>
        <v>420.99</v>
      </c>
      <c r="AA440" s="3727"/>
      <c r="AB440" s="3562">
        <f t="shared" si="457"/>
        <v>795.86</v>
      </c>
      <c r="AC440" s="776"/>
      <c r="AD440" s="1134">
        <v>890.42</v>
      </c>
      <c r="AE440" s="3711"/>
      <c r="AF440" s="782">
        <f t="shared" si="458"/>
        <v>1686.28</v>
      </c>
      <c r="AG440" s="776"/>
      <c r="AH440" s="1134">
        <v>2592</v>
      </c>
      <c r="AI440" s="3711"/>
      <c r="AJ440" s="782">
        <f t="shared" si="473"/>
        <v>4278.28</v>
      </c>
      <c r="AK440" s="776"/>
      <c r="AL440" s="1134">
        <v>190.94</v>
      </c>
      <c r="AM440" s="3726"/>
      <c r="AN440" s="781">
        <f t="shared" si="460"/>
        <v>3673.36</v>
      </c>
      <c r="AO440" s="3711"/>
      <c r="AP440" s="782">
        <f t="shared" si="461"/>
        <v>4469.2199999999993</v>
      </c>
      <c r="AQ440" s="776"/>
      <c r="AR440" s="1134">
        <v>63.74</v>
      </c>
      <c r="AS440" s="3711"/>
      <c r="AT440" s="782">
        <f t="shared" si="474"/>
        <v>4532.9599999999991</v>
      </c>
      <c r="AU440" s="776"/>
      <c r="AV440" s="1134">
        <v>127.34</v>
      </c>
      <c r="AW440" s="3711"/>
      <c r="AX440" s="782">
        <f t="shared" si="475"/>
        <v>4660.2999999999993</v>
      </c>
      <c r="AY440" s="776"/>
      <c r="AZ440" s="1134">
        <v>380.76000000000005</v>
      </c>
      <c r="BA440" s="3726"/>
      <c r="BB440" s="781">
        <f t="shared" si="472"/>
        <v>571.84</v>
      </c>
      <c r="BC440" s="3727"/>
      <c r="BD440" s="465">
        <f t="shared" si="465"/>
        <v>4245.2</v>
      </c>
      <c r="BE440" s="3711"/>
      <c r="BF440" s="782">
        <f t="shared" si="476"/>
        <v>5041.0599999999995</v>
      </c>
      <c r="BG440" s="26"/>
      <c r="BH440" s="26"/>
      <c r="BI440" s="26"/>
      <c r="BJ440" s="26"/>
      <c r="BK440" s="26"/>
    </row>
    <row r="441" spans="1:63" x14ac:dyDescent="0.25">
      <c r="A441" s="93"/>
      <c r="B441" s="8" t="s">
        <v>2162</v>
      </c>
      <c r="C441" s="159" t="s">
        <v>50</v>
      </c>
      <c r="D441" s="159"/>
      <c r="E441" s="776"/>
      <c r="F441" s="1134"/>
      <c r="G441" s="776"/>
      <c r="H441" s="1134"/>
      <c r="I441" s="3711"/>
      <c r="J441" s="782">
        <f t="shared" si="452"/>
        <v>0</v>
      </c>
      <c r="K441" s="776"/>
      <c r="L441" s="1134"/>
      <c r="M441" s="3726"/>
      <c r="N441" s="781">
        <f t="shared" si="453"/>
        <v>0</v>
      </c>
      <c r="O441" s="776"/>
      <c r="P441" s="1134"/>
      <c r="Q441" s="3711"/>
      <c r="R441" s="782">
        <f t="shared" si="454"/>
        <v>0</v>
      </c>
      <c r="S441" s="776"/>
      <c r="T441" s="1134"/>
      <c r="U441" s="3711"/>
      <c r="V441" s="782">
        <f t="shared" si="455"/>
        <v>0</v>
      </c>
      <c r="W441" s="776"/>
      <c r="X441" s="1134"/>
      <c r="Y441" s="3726"/>
      <c r="Z441" s="781">
        <f t="shared" si="456"/>
        <v>0</v>
      </c>
      <c r="AA441" s="3727"/>
      <c r="AB441" s="3562">
        <f t="shared" si="457"/>
        <v>0</v>
      </c>
      <c r="AC441" s="776"/>
      <c r="AD441" s="1134">
        <v>386.98</v>
      </c>
      <c r="AE441" s="3711"/>
      <c r="AF441" s="782">
        <f t="shared" si="458"/>
        <v>386.98</v>
      </c>
      <c r="AG441" s="776"/>
      <c r="AH441" s="1134">
        <v>272.37</v>
      </c>
      <c r="AI441" s="3711"/>
      <c r="AJ441" s="782">
        <f t="shared" si="473"/>
        <v>659.35</v>
      </c>
      <c r="AK441" s="776"/>
      <c r="AL441" s="1134">
        <v>318.32000000000005</v>
      </c>
      <c r="AM441" s="3726"/>
      <c r="AN441" s="781">
        <f t="shared" si="460"/>
        <v>977.67000000000007</v>
      </c>
      <c r="AO441" s="3711"/>
      <c r="AP441" s="782">
        <f t="shared" si="461"/>
        <v>977.67000000000007</v>
      </c>
      <c r="AQ441" s="776"/>
      <c r="AR441" s="1134">
        <v>503.91999999999996</v>
      </c>
      <c r="AS441" s="3711"/>
      <c r="AT441" s="782">
        <f t="shared" si="474"/>
        <v>1481.5900000000001</v>
      </c>
      <c r="AU441" s="776"/>
      <c r="AV441" s="1134"/>
      <c r="AW441" s="3711"/>
      <c r="AX441" s="782">
        <f t="shared" si="475"/>
        <v>1481.5900000000001</v>
      </c>
      <c r="AY441" s="776"/>
      <c r="AZ441" s="1134"/>
      <c r="BA441" s="3726"/>
      <c r="BB441" s="781">
        <f t="shared" si="472"/>
        <v>503.91999999999996</v>
      </c>
      <c r="BC441" s="3727"/>
      <c r="BD441" s="465">
        <f t="shared" si="465"/>
        <v>1481.5900000000001</v>
      </c>
      <c r="BE441" s="3711"/>
      <c r="BF441" s="782">
        <f t="shared" si="476"/>
        <v>1481.5900000000001</v>
      </c>
      <c r="BG441" s="26"/>
      <c r="BH441" s="26"/>
      <c r="BI441" s="26"/>
      <c r="BJ441" s="26"/>
      <c r="BK441" s="26"/>
    </row>
    <row r="442" spans="1:63" ht="15" hidden="1" customHeight="1" x14ac:dyDescent="0.3">
      <c r="A442" s="93"/>
      <c r="B442" s="8" t="s">
        <v>1623</v>
      </c>
      <c r="C442" s="159" t="s">
        <v>50</v>
      </c>
      <c r="D442" s="159"/>
      <c r="E442" s="776"/>
      <c r="F442" s="1134"/>
      <c r="G442" s="776"/>
      <c r="H442" s="1134"/>
      <c r="I442" s="3711"/>
      <c r="J442" s="782">
        <f t="shared" si="452"/>
        <v>0</v>
      </c>
      <c r="K442" s="776"/>
      <c r="L442" s="1134"/>
      <c r="M442" s="3726"/>
      <c r="N442" s="781">
        <f t="shared" si="453"/>
        <v>0</v>
      </c>
      <c r="O442" s="776"/>
      <c r="P442" s="1134"/>
      <c r="Q442" s="3711"/>
      <c r="R442" s="782">
        <f t="shared" si="454"/>
        <v>0</v>
      </c>
      <c r="S442" s="776"/>
      <c r="T442" s="1134"/>
      <c r="U442" s="3711"/>
      <c r="V442" s="782">
        <f t="shared" si="455"/>
        <v>0</v>
      </c>
      <c r="W442" s="776"/>
      <c r="X442" s="1134"/>
      <c r="Y442" s="3726"/>
      <c r="Z442" s="781">
        <f t="shared" si="456"/>
        <v>0</v>
      </c>
      <c r="AA442" s="3727"/>
      <c r="AB442" s="3562">
        <f t="shared" si="457"/>
        <v>0</v>
      </c>
      <c r="AC442" s="776"/>
      <c r="AD442" s="1134"/>
      <c r="AE442" s="3711"/>
      <c r="AF442" s="782">
        <f t="shared" si="458"/>
        <v>0</v>
      </c>
      <c r="AG442" s="776"/>
      <c r="AH442" s="1134"/>
      <c r="AI442" s="3711"/>
      <c r="AJ442" s="782">
        <f t="shared" si="473"/>
        <v>0</v>
      </c>
      <c r="AK442" s="776"/>
      <c r="AL442" s="1134"/>
      <c r="AM442" s="3726"/>
      <c r="AN442" s="781">
        <f t="shared" si="460"/>
        <v>0</v>
      </c>
      <c r="AO442" s="3711"/>
      <c r="AP442" s="782">
        <f t="shared" si="461"/>
        <v>0</v>
      </c>
      <c r="AQ442" s="776"/>
      <c r="AR442" s="1134"/>
      <c r="AS442" s="3711"/>
      <c r="AT442" s="782">
        <f t="shared" si="474"/>
        <v>0</v>
      </c>
      <c r="AU442" s="776"/>
      <c r="AV442" s="1134"/>
      <c r="AW442" s="3711"/>
      <c r="AX442" s="782">
        <f t="shared" si="475"/>
        <v>0</v>
      </c>
      <c r="AY442" s="776"/>
      <c r="AZ442" s="1134"/>
      <c r="BA442" s="3726"/>
      <c r="BB442" s="781">
        <f t="shared" si="472"/>
        <v>0</v>
      </c>
      <c r="BC442" s="3727"/>
      <c r="BD442" s="465">
        <f t="shared" si="465"/>
        <v>0</v>
      </c>
      <c r="BE442" s="3711"/>
      <c r="BF442" s="782">
        <f t="shared" si="476"/>
        <v>0</v>
      </c>
      <c r="BG442" s="26"/>
      <c r="BH442" s="26"/>
      <c r="BI442" s="26"/>
      <c r="BJ442" s="26"/>
      <c r="BK442" s="26"/>
    </row>
    <row r="443" spans="1:63" x14ac:dyDescent="0.25">
      <c r="A443" s="154"/>
      <c r="B443" s="8" t="s">
        <v>549</v>
      </c>
      <c r="C443" s="159" t="s">
        <v>50</v>
      </c>
      <c r="D443" s="159"/>
      <c r="E443" s="776"/>
      <c r="F443" s="1134"/>
      <c r="G443" s="776"/>
      <c r="H443" s="1134"/>
      <c r="I443" s="3711"/>
      <c r="J443" s="782">
        <f t="shared" si="452"/>
        <v>0</v>
      </c>
      <c r="K443" s="776"/>
      <c r="L443" s="1134"/>
      <c r="M443" s="3726"/>
      <c r="N443" s="781">
        <f t="shared" si="453"/>
        <v>0</v>
      </c>
      <c r="O443" s="776"/>
      <c r="P443" s="1134"/>
      <c r="Q443" s="3711"/>
      <c r="R443" s="782">
        <f t="shared" si="454"/>
        <v>0</v>
      </c>
      <c r="S443" s="776"/>
      <c r="T443" s="1134"/>
      <c r="U443" s="3711"/>
      <c r="V443" s="782">
        <f t="shared" si="455"/>
        <v>0</v>
      </c>
      <c r="W443" s="776"/>
      <c r="X443" s="1134"/>
      <c r="Y443" s="3726"/>
      <c r="Z443" s="781">
        <f t="shared" si="456"/>
        <v>0</v>
      </c>
      <c r="AA443" s="3727"/>
      <c r="AB443" s="3562">
        <f t="shared" si="457"/>
        <v>0</v>
      </c>
      <c r="AC443" s="776"/>
      <c r="AD443" s="1134"/>
      <c r="AE443" s="3711"/>
      <c r="AF443" s="782">
        <f t="shared" si="458"/>
        <v>0</v>
      </c>
      <c r="AG443" s="776"/>
      <c r="AH443" s="1134"/>
      <c r="AI443" s="3711"/>
      <c r="AJ443" s="782">
        <f t="shared" si="473"/>
        <v>0</v>
      </c>
      <c r="AK443" s="776"/>
      <c r="AL443" s="1134"/>
      <c r="AM443" s="3726"/>
      <c r="AN443" s="781">
        <f t="shared" si="460"/>
        <v>0</v>
      </c>
      <c r="AO443" s="3711"/>
      <c r="AP443" s="782">
        <f t="shared" si="461"/>
        <v>0</v>
      </c>
      <c r="AQ443" s="776"/>
      <c r="AR443" s="1134"/>
      <c r="AS443" s="3711"/>
      <c r="AT443" s="782">
        <f t="shared" si="474"/>
        <v>0</v>
      </c>
      <c r="AU443" s="776"/>
      <c r="AV443" s="1134"/>
      <c r="AW443" s="3711"/>
      <c r="AX443" s="782">
        <f t="shared" si="475"/>
        <v>0</v>
      </c>
      <c r="AY443" s="776"/>
      <c r="AZ443" s="1134"/>
      <c r="BA443" s="3726"/>
      <c r="BB443" s="781">
        <f t="shared" si="472"/>
        <v>0</v>
      </c>
      <c r="BC443" s="3727"/>
      <c r="BD443" s="465">
        <f t="shared" si="465"/>
        <v>0</v>
      </c>
      <c r="BE443" s="3711"/>
      <c r="BF443" s="782">
        <f t="shared" si="476"/>
        <v>0</v>
      </c>
      <c r="BG443" s="26"/>
      <c r="BH443" s="26"/>
      <c r="BI443" s="26"/>
      <c r="BJ443" s="26"/>
      <c r="BK443" s="26"/>
    </row>
    <row r="444" spans="1:63" x14ac:dyDescent="0.25">
      <c r="A444" s="93"/>
      <c r="B444" s="8" t="s">
        <v>714</v>
      </c>
      <c r="C444" s="159" t="s">
        <v>50</v>
      </c>
      <c r="D444" s="159"/>
      <c r="E444" s="776"/>
      <c r="F444" s="1134"/>
      <c r="G444" s="776"/>
      <c r="H444" s="1134">
        <v>2079.3999999999996</v>
      </c>
      <c r="I444" s="3711"/>
      <c r="J444" s="782">
        <f t="shared" si="452"/>
        <v>2079.3999999999996</v>
      </c>
      <c r="K444" s="776"/>
      <c r="L444" s="1134"/>
      <c r="M444" s="3726"/>
      <c r="N444" s="781">
        <f t="shared" si="453"/>
        <v>2079.3999999999996</v>
      </c>
      <c r="O444" s="776"/>
      <c r="P444" s="1134"/>
      <c r="Q444" s="3711"/>
      <c r="R444" s="782">
        <f t="shared" si="454"/>
        <v>2079.3999999999996</v>
      </c>
      <c r="S444" s="776"/>
      <c r="T444" s="1134">
        <v>5383.21</v>
      </c>
      <c r="U444" s="3711"/>
      <c r="V444" s="782">
        <f t="shared" si="455"/>
        <v>7462.61</v>
      </c>
      <c r="W444" s="776"/>
      <c r="X444" s="1134">
        <v>371.69000000000005</v>
      </c>
      <c r="Y444" s="3726"/>
      <c r="Z444" s="781">
        <f t="shared" si="456"/>
        <v>5754.9</v>
      </c>
      <c r="AA444" s="3727"/>
      <c r="AB444" s="3562">
        <f t="shared" si="457"/>
        <v>7834.2999999999993</v>
      </c>
      <c r="AC444" s="776"/>
      <c r="AD444" s="1134">
        <v>2134.6400000000003</v>
      </c>
      <c r="AE444" s="3711"/>
      <c r="AF444" s="782">
        <f t="shared" si="458"/>
        <v>9968.9399999999987</v>
      </c>
      <c r="AG444" s="776"/>
      <c r="AH444" s="1134">
        <v>3019.5200000000004</v>
      </c>
      <c r="AI444" s="3711"/>
      <c r="AJ444" s="782">
        <f t="shared" si="473"/>
        <v>12988.46</v>
      </c>
      <c r="AK444" s="776"/>
      <c r="AL444" s="1134">
        <v>3954.7500000000009</v>
      </c>
      <c r="AM444" s="3726"/>
      <c r="AN444" s="781">
        <f t="shared" si="460"/>
        <v>9108.9100000000017</v>
      </c>
      <c r="AO444" s="3711"/>
      <c r="AP444" s="782">
        <f t="shared" si="461"/>
        <v>16943.21</v>
      </c>
      <c r="AQ444" s="776"/>
      <c r="AR444" s="1134">
        <v>10111.370000000001</v>
      </c>
      <c r="AS444" s="3711"/>
      <c r="AT444" s="782">
        <f t="shared" si="474"/>
        <v>27054.58</v>
      </c>
      <c r="AU444" s="776"/>
      <c r="AV444" s="1134">
        <v>5794.090000000002</v>
      </c>
      <c r="AW444" s="3711"/>
      <c r="AX444" s="782">
        <f t="shared" si="475"/>
        <v>32848.670000000006</v>
      </c>
      <c r="AY444" s="776"/>
      <c r="AZ444" s="1134">
        <v>374.6</v>
      </c>
      <c r="BA444" s="3726"/>
      <c r="BB444" s="781">
        <f t="shared" si="472"/>
        <v>16280.060000000003</v>
      </c>
      <c r="BC444" s="3727"/>
      <c r="BD444" s="465">
        <f t="shared" si="465"/>
        <v>25388.970000000005</v>
      </c>
      <c r="BE444" s="3711"/>
      <c r="BF444" s="782">
        <f t="shared" si="476"/>
        <v>33223.270000000004</v>
      </c>
      <c r="BG444" s="26"/>
      <c r="BH444" s="26"/>
      <c r="BI444" s="26"/>
      <c r="BJ444" s="26"/>
      <c r="BK444" s="26"/>
    </row>
    <row r="445" spans="1:63" x14ac:dyDescent="0.25">
      <c r="A445" s="93"/>
      <c r="B445" s="8" t="s">
        <v>715</v>
      </c>
      <c r="C445" s="159" t="s">
        <v>50</v>
      </c>
      <c r="D445" s="159"/>
      <c r="E445" s="776"/>
      <c r="F445" s="1134"/>
      <c r="G445" s="776"/>
      <c r="H445" s="1134"/>
      <c r="I445" s="3711"/>
      <c r="J445" s="782">
        <f t="shared" si="452"/>
        <v>0</v>
      </c>
      <c r="K445" s="776"/>
      <c r="L445" s="1134"/>
      <c r="M445" s="3726"/>
      <c r="N445" s="781">
        <f t="shared" si="453"/>
        <v>0</v>
      </c>
      <c r="O445" s="776"/>
      <c r="P445" s="1134"/>
      <c r="Q445" s="3711"/>
      <c r="R445" s="782">
        <f t="shared" si="454"/>
        <v>0</v>
      </c>
      <c r="S445" s="776"/>
      <c r="T445" s="1134"/>
      <c r="U445" s="3711"/>
      <c r="V445" s="782">
        <f t="shared" si="455"/>
        <v>0</v>
      </c>
      <c r="W445" s="776"/>
      <c r="X445" s="1134"/>
      <c r="Y445" s="3726"/>
      <c r="Z445" s="781">
        <f t="shared" si="456"/>
        <v>0</v>
      </c>
      <c r="AA445" s="3727"/>
      <c r="AB445" s="3562">
        <f t="shared" si="457"/>
        <v>0</v>
      </c>
      <c r="AC445" s="776"/>
      <c r="AD445" s="1134"/>
      <c r="AE445" s="3711"/>
      <c r="AF445" s="782">
        <f t="shared" si="458"/>
        <v>0</v>
      </c>
      <c r="AG445" s="776"/>
      <c r="AH445" s="1134"/>
      <c r="AI445" s="3711"/>
      <c r="AJ445" s="782">
        <f t="shared" si="473"/>
        <v>0</v>
      </c>
      <c r="AK445" s="776"/>
      <c r="AL445" s="1134"/>
      <c r="AM445" s="3726"/>
      <c r="AN445" s="781">
        <f t="shared" si="460"/>
        <v>0</v>
      </c>
      <c r="AO445" s="3711"/>
      <c r="AP445" s="782">
        <f t="shared" si="461"/>
        <v>0</v>
      </c>
      <c r="AQ445" s="776"/>
      <c r="AR445" s="1134"/>
      <c r="AS445" s="3711"/>
      <c r="AT445" s="782">
        <f t="shared" si="474"/>
        <v>0</v>
      </c>
      <c r="AU445" s="776"/>
      <c r="AV445" s="1134"/>
      <c r="AW445" s="3711"/>
      <c r="AX445" s="782">
        <f t="shared" si="475"/>
        <v>0</v>
      </c>
      <c r="AY445" s="776"/>
      <c r="AZ445" s="1134"/>
      <c r="BA445" s="3726"/>
      <c r="BB445" s="781">
        <f t="shared" si="472"/>
        <v>0</v>
      </c>
      <c r="BC445" s="3727"/>
      <c r="BD445" s="465">
        <f t="shared" si="465"/>
        <v>0</v>
      </c>
      <c r="BE445" s="3711"/>
      <c r="BF445" s="782">
        <f t="shared" si="476"/>
        <v>0</v>
      </c>
      <c r="BG445" s="26"/>
      <c r="BH445" s="26"/>
      <c r="BI445" s="26"/>
      <c r="BJ445" s="26"/>
      <c r="BK445" s="26"/>
    </row>
    <row r="446" spans="1:63" x14ac:dyDescent="0.25">
      <c r="A446" s="93"/>
      <c r="B446" s="8" t="s">
        <v>716</v>
      </c>
      <c r="C446" s="159" t="s">
        <v>50</v>
      </c>
      <c r="D446" s="159"/>
      <c r="E446" s="776"/>
      <c r="F446" s="1134"/>
      <c r="G446" s="776"/>
      <c r="H446" s="1134"/>
      <c r="I446" s="3711"/>
      <c r="J446" s="782">
        <f t="shared" si="452"/>
        <v>0</v>
      </c>
      <c r="K446" s="776"/>
      <c r="L446" s="1134"/>
      <c r="M446" s="3726"/>
      <c r="N446" s="781">
        <f t="shared" si="453"/>
        <v>0</v>
      </c>
      <c r="O446" s="776"/>
      <c r="P446" s="1134"/>
      <c r="Q446" s="3711"/>
      <c r="R446" s="782">
        <f t="shared" si="454"/>
        <v>0</v>
      </c>
      <c r="S446" s="776"/>
      <c r="T446" s="1134"/>
      <c r="U446" s="3711"/>
      <c r="V446" s="782">
        <f t="shared" si="455"/>
        <v>0</v>
      </c>
      <c r="W446" s="776"/>
      <c r="X446" s="1134"/>
      <c r="Y446" s="3726"/>
      <c r="Z446" s="781">
        <f t="shared" si="456"/>
        <v>0</v>
      </c>
      <c r="AA446" s="3727"/>
      <c r="AB446" s="3562">
        <f t="shared" si="457"/>
        <v>0</v>
      </c>
      <c r="AC446" s="776"/>
      <c r="AD446" s="1134"/>
      <c r="AE446" s="3711"/>
      <c r="AF446" s="782">
        <f t="shared" si="458"/>
        <v>0</v>
      </c>
      <c r="AG446" s="776"/>
      <c r="AH446" s="1134"/>
      <c r="AI446" s="3711"/>
      <c r="AJ446" s="782">
        <f t="shared" si="473"/>
        <v>0</v>
      </c>
      <c r="AK446" s="776"/>
      <c r="AL446" s="1134"/>
      <c r="AM446" s="3726"/>
      <c r="AN446" s="781">
        <f t="shared" si="460"/>
        <v>0</v>
      </c>
      <c r="AO446" s="3711"/>
      <c r="AP446" s="782">
        <f t="shared" si="461"/>
        <v>0</v>
      </c>
      <c r="AQ446" s="776"/>
      <c r="AR446" s="1134"/>
      <c r="AS446" s="3711"/>
      <c r="AT446" s="782">
        <f t="shared" si="474"/>
        <v>0</v>
      </c>
      <c r="AU446" s="776"/>
      <c r="AV446" s="1134"/>
      <c r="AW446" s="3711"/>
      <c r="AX446" s="782">
        <f t="shared" si="475"/>
        <v>0</v>
      </c>
      <c r="AY446" s="776"/>
      <c r="AZ446" s="1134"/>
      <c r="BA446" s="3726"/>
      <c r="BB446" s="781">
        <f t="shared" si="472"/>
        <v>0</v>
      </c>
      <c r="BC446" s="3727"/>
      <c r="BD446" s="465">
        <f t="shared" si="465"/>
        <v>0</v>
      </c>
      <c r="BE446" s="3711"/>
      <c r="BF446" s="782">
        <f t="shared" si="476"/>
        <v>0</v>
      </c>
      <c r="BG446" s="26"/>
      <c r="BH446" s="26"/>
      <c r="BI446" s="26"/>
      <c r="BJ446" s="26"/>
      <c r="BK446" s="26"/>
    </row>
    <row r="447" spans="1:63" ht="20.25" customHeight="1" x14ac:dyDescent="0.25">
      <c r="A447" s="154"/>
      <c r="B447" s="3467" t="s">
        <v>542</v>
      </c>
      <c r="C447" s="813" t="s">
        <v>50</v>
      </c>
      <c r="D447" s="457">
        <f>+D47</f>
        <v>0</v>
      </c>
      <c r="E447" s="457"/>
      <c r="F447" s="457">
        <f>+F432+F436+SUM(F440:F446)</f>
        <v>126.98</v>
      </c>
      <c r="G447" s="457"/>
      <c r="H447" s="457">
        <f>+H432+H436+SUM(H440:H446)</f>
        <v>3019.58</v>
      </c>
      <c r="I447" s="376"/>
      <c r="J447" s="782">
        <f t="shared" si="452"/>
        <v>3146.56</v>
      </c>
      <c r="K447" s="457"/>
      <c r="L447" s="457">
        <f>+L432+L436+SUM(L440:L446)</f>
        <v>1313.49</v>
      </c>
      <c r="M447" s="378"/>
      <c r="N447" s="781">
        <f t="shared" si="453"/>
        <v>4460.05</v>
      </c>
      <c r="O447" s="457"/>
      <c r="P447" s="457">
        <f>+P432+P436+SUM(P440:P446)</f>
        <v>844.3</v>
      </c>
      <c r="Q447" s="376"/>
      <c r="R447" s="782">
        <f t="shared" si="454"/>
        <v>5304.35</v>
      </c>
      <c r="S447" s="457"/>
      <c r="T447" s="457">
        <f>+T432+T436+SUM(T440:T446)</f>
        <v>7871.21</v>
      </c>
      <c r="U447" s="376"/>
      <c r="V447" s="782">
        <f t="shared" si="455"/>
        <v>13175.560000000001</v>
      </c>
      <c r="W447" s="457"/>
      <c r="X447" s="457">
        <f>+X432+X436+SUM(X440:X446)</f>
        <v>2322.48</v>
      </c>
      <c r="Y447" s="378"/>
      <c r="Z447" s="781">
        <f t="shared" si="456"/>
        <v>11037.99</v>
      </c>
      <c r="AA447" s="3565"/>
      <c r="AB447" s="3562">
        <f t="shared" si="457"/>
        <v>15498.04</v>
      </c>
      <c r="AC447" s="457"/>
      <c r="AD447" s="457">
        <f>+AD432+AD436+SUM(AD440:AD446)</f>
        <v>4044.6000000000004</v>
      </c>
      <c r="AE447" s="376"/>
      <c r="AF447" s="782">
        <f t="shared" si="458"/>
        <v>19542.64</v>
      </c>
      <c r="AG447" s="457"/>
      <c r="AH447" s="457">
        <f>+AH432+AH436+SUM(AH440:AH446)</f>
        <v>6520.89</v>
      </c>
      <c r="AI447" s="376"/>
      <c r="AJ447" s="376">
        <f t="shared" si="473"/>
        <v>26063.53</v>
      </c>
      <c r="AK447" s="457"/>
      <c r="AL447" s="457">
        <f>+AL432+AL436+SUM(AL440:AL446)</f>
        <v>4831.4700000000012</v>
      </c>
      <c r="AM447" s="378"/>
      <c r="AN447" s="378">
        <f t="shared" si="460"/>
        <v>15396.960000000003</v>
      </c>
      <c r="AO447" s="376"/>
      <c r="AP447" s="376">
        <f t="shared" si="461"/>
        <v>30895</v>
      </c>
      <c r="AQ447" s="457"/>
      <c r="AR447" s="457">
        <f>+AR432+AR436+SUM(AR440:AR446)</f>
        <v>10679.03</v>
      </c>
      <c r="AS447" s="376"/>
      <c r="AT447" s="376">
        <f t="shared" si="474"/>
        <v>41574.03</v>
      </c>
      <c r="AU447" s="457"/>
      <c r="AV447" s="457">
        <f>+AV432+AV436+SUM(AV440:AV446)</f>
        <v>5921.4300000000021</v>
      </c>
      <c r="AW447" s="376"/>
      <c r="AX447" s="376">
        <f t="shared" si="475"/>
        <v>47495.46</v>
      </c>
      <c r="AY447" s="457"/>
      <c r="AZ447" s="457">
        <f>+AZ432+AZ436+SUM(AZ440:AZ446)</f>
        <v>1271.98</v>
      </c>
      <c r="BA447" s="378"/>
      <c r="BB447" s="378">
        <f>AR447+AV447+AZ447</f>
        <v>17872.440000000002</v>
      </c>
      <c r="BC447" s="3565"/>
      <c r="BD447" s="544">
        <f t="shared" si="465"/>
        <v>33269.400000000009</v>
      </c>
      <c r="BE447" s="376">
        <v>18000</v>
      </c>
      <c r="BF447" s="376">
        <f t="shared" si="476"/>
        <v>48767.44</v>
      </c>
      <c r="BG447" s="26"/>
      <c r="BH447" s="26"/>
      <c r="BI447" s="26"/>
      <c r="BJ447" s="26"/>
      <c r="BK447" s="26"/>
    </row>
    <row r="448" spans="1:63" ht="21" customHeight="1" thickBot="1" x14ac:dyDescent="0.3">
      <c r="A448" s="93"/>
      <c r="B448" s="1747" t="s">
        <v>543</v>
      </c>
      <c r="C448" s="3406" t="s">
        <v>50</v>
      </c>
      <c r="D448" s="1142">
        <f>+D33</f>
        <v>524798</v>
      </c>
      <c r="E448" s="1142">
        <f>+E33</f>
        <v>48499.815368603398</v>
      </c>
      <c r="F448" s="1142">
        <f>+F430+F447</f>
        <v>38424.29</v>
      </c>
      <c r="G448" s="1142">
        <f>+G33</f>
        <v>48499.576671657102</v>
      </c>
      <c r="H448" s="1142">
        <f>+H430+H447</f>
        <v>53035.109999999986</v>
      </c>
      <c r="I448" s="2291">
        <f>+I33</f>
        <v>96999.3920402605</v>
      </c>
      <c r="J448" s="782">
        <f t="shared" si="452"/>
        <v>91459.4</v>
      </c>
      <c r="K448" s="1142">
        <f>+K33</f>
        <v>48000.110883115201</v>
      </c>
      <c r="L448" s="1142">
        <f>+L430+L447</f>
        <v>51100.019999999982</v>
      </c>
      <c r="M448" s="2292">
        <f>E448+G448+K448</f>
        <v>144999.50292337569</v>
      </c>
      <c r="N448" s="781">
        <f t="shared" si="453"/>
        <v>142559.41999999998</v>
      </c>
      <c r="O448" s="1142">
        <f>+O33</f>
        <v>43500.141355320899</v>
      </c>
      <c r="P448" s="1142">
        <f>+P430+P447</f>
        <v>58059.210000000014</v>
      </c>
      <c r="Q448" s="2291">
        <f>+Q33</f>
        <v>188499.64427869659</v>
      </c>
      <c r="R448" s="782">
        <f t="shared" si="454"/>
        <v>200618.63</v>
      </c>
      <c r="S448" s="1142">
        <f>+S33</f>
        <v>43500.141355320899</v>
      </c>
      <c r="T448" s="1142">
        <f>+T430+T447</f>
        <v>69977.000000000015</v>
      </c>
      <c r="U448" s="2291">
        <f>+U33</f>
        <v>231999.78563401749</v>
      </c>
      <c r="V448" s="782">
        <f t="shared" si="455"/>
        <v>270595.63</v>
      </c>
      <c r="W448" s="1142">
        <f>+W33</f>
        <v>15300.0147648532</v>
      </c>
      <c r="X448" s="1142">
        <f>+X430+X447</f>
        <v>55600.530000000006</v>
      </c>
      <c r="Y448" s="2292">
        <f>O448+S448+W448</f>
        <v>102300.297475495</v>
      </c>
      <c r="Z448" s="781">
        <f t="shared" si="456"/>
        <v>183636.74000000002</v>
      </c>
      <c r="AA448" s="3728">
        <f>M448+Y448</f>
        <v>247299.80039887069</v>
      </c>
      <c r="AB448" s="3562">
        <f t="shared" si="457"/>
        <v>326196.16000000003</v>
      </c>
      <c r="AC448" s="1142">
        <f>+AC33</f>
        <v>47341.093867539748</v>
      </c>
      <c r="AD448" s="1142">
        <f>+AD430+AD447</f>
        <v>35082.279999999992</v>
      </c>
      <c r="AE448" s="2291">
        <f>+AE33</f>
        <v>294640.89426641044</v>
      </c>
      <c r="AF448" s="782">
        <f t="shared" si="458"/>
        <v>361278.44</v>
      </c>
      <c r="AG448" s="1142">
        <f>+AG33</f>
        <v>49680.915573301019</v>
      </c>
      <c r="AH448" s="1142">
        <f>+AH430+AH447</f>
        <v>17683.77</v>
      </c>
      <c r="AI448" s="2291">
        <f>+AI33</f>
        <v>344321.80983971147</v>
      </c>
      <c r="AJ448" s="2291">
        <f t="shared" si="473"/>
        <v>378962.21</v>
      </c>
      <c r="AK448" s="1142">
        <f>+AK33</f>
        <v>45710.062262521606</v>
      </c>
      <c r="AL448" s="1142">
        <f>+AL430+AL447</f>
        <v>60012.520000000004</v>
      </c>
      <c r="AM448" s="2292">
        <f>AC448+AG448+AK448</f>
        <v>142732.0717033624</v>
      </c>
      <c r="AN448" s="2292">
        <f t="shared" si="460"/>
        <v>112778.56999999999</v>
      </c>
      <c r="AO448" s="2291">
        <f t="shared" si="461"/>
        <v>390031.87210223306</v>
      </c>
      <c r="AP448" s="2291">
        <f t="shared" si="461"/>
        <v>438974.73000000004</v>
      </c>
      <c r="AQ448" s="1142">
        <f>+AQ33</f>
        <v>47339.612262521601</v>
      </c>
      <c r="AR448" s="1142">
        <f>+AR430+AR447</f>
        <v>86416.17</v>
      </c>
      <c r="AS448" s="2291">
        <f>+AS33</f>
        <v>437371.48436475464</v>
      </c>
      <c r="AT448" s="2291">
        <f t="shared" si="474"/>
        <v>525390.9</v>
      </c>
      <c r="AU448" s="1142">
        <f>+AU33</f>
        <v>46657.996091741836</v>
      </c>
      <c r="AV448" s="1142">
        <f>+AV430+AV447</f>
        <v>50217.06</v>
      </c>
      <c r="AW448" s="2291">
        <f>+AW33</f>
        <v>484029.48045649647</v>
      </c>
      <c r="AX448" s="2291">
        <f t="shared" si="475"/>
        <v>575607.96</v>
      </c>
      <c r="AY448" s="1142">
        <f>+AY33</f>
        <v>45452.612262521594</v>
      </c>
      <c r="AZ448" s="1142">
        <f>+AZ430+AZ447</f>
        <v>68671.75</v>
      </c>
      <c r="BA448" s="2292">
        <f>AQ448+AU448+AY448</f>
        <v>139450.22061678505</v>
      </c>
      <c r="BB448" s="2292">
        <f t="shared" ref="BB448" si="477">AR448+AV448+AZ448</f>
        <v>205304.97999999998</v>
      </c>
      <c r="BC448" s="3565">
        <f>AM448+BA448</f>
        <v>282182.29232014745</v>
      </c>
      <c r="BD448" s="2293">
        <f t="shared" si="465"/>
        <v>318083.55</v>
      </c>
      <c r="BE448" s="2291">
        <f>+BE33</f>
        <v>529482.09271901811</v>
      </c>
      <c r="BF448" s="2291">
        <f t="shared" si="476"/>
        <v>644279.71</v>
      </c>
      <c r="BG448" s="26"/>
      <c r="BH448" s="26"/>
      <c r="BI448" s="26"/>
      <c r="BJ448" s="26"/>
      <c r="BK448" s="26"/>
    </row>
    <row r="449" spans="1:63" ht="15" hidden="1" customHeight="1" x14ac:dyDescent="0.3">
      <c r="A449" s="5961"/>
      <c r="B449" s="2434"/>
      <c r="C449" s="2434"/>
      <c r="D449" s="2434"/>
      <c r="E449" s="2434"/>
      <c r="F449" s="2434"/>
      <c r="G449" s="2434"/>
      <c r="H449" s="2434"/>
      <c r="I449" s="2434"/>
      <c r="J449" s="782">
        <f t="shared" si="452"/>
        <v>0</v>
      </c>
      <c r="K449" s="2434"/>
      <c r="L449" s="2434"/>
      <c r="M449" s="2435"/>
      <c r="N449" s="781">
        <f t="shared" si="453"/>
        <v>0</v>
      </c>
      <c r="O449" s="2434"/>
      <c r="P449" s="2434"/>
      <c r="Q449" s="2434"/>
      <c r="R449" s="782">
        <f t="shared" si="454"/>
        <v>0</v>
      </c>
      <c r="S449" s="2434"/>
      <c r="T449" s="2434"/>
      <c r="U449" s="2434"/>
      <c r="V449" s="782">
        <f t="shared" si="455"/>
        <v>0</v>
      </c>
      <c r="W449" s="2434"/>
      <c r="X449" s="2434"/>
      <c r="Y449" s="2435"/>
      <c r="Z449" s="781">
        <f t="shared" si="456"/>
        <v>0</v>
      </c>
      <c r="AA449" s="2434"/>
      <c r="AB449" s="3562">
        <f t="shared" si="457"/>
        <v>0</v>
      </c>
      <c r="AC449" s="2434"/>
      <c r="AD449" s="2434"/>
      <c r="AE449" s="2434"/>
      <c r="AF449" s="782">
        <f t="shared" si="458"/>
        <v>0</v>
      </c>
      <c r="AG449" s="2434"/>
      <c r="AH449" s="2434"/>
      <c r="AK449" s="2434"/>
      <c r="AL449" s="2434"/>
      <c r="AM449" s="2435"/>
      <c r="AN449" s="2435"/>
      <c r="AQ449" s="2434"/>
      <c r="AR449" s="2434"/>
      <c r="AU449" s="2434"/>
      <c r="AV449" s="2434"/>
      <c r="AY449" s="2434"/>
      <c r="AZ449" s="2434"/>
      <c r="BA449" s="2435"/>
      <c r="BB449" s="2435"/>
      <c r="BC449" s="2434"/>
      <c r="BD449" s="2434"/>
      <c r="BG449" s="26"/>
      <c r="BH449" s="26"/>
      <c r="BI449" s="26"/>
      <c r="BJ449" s="26"/>
      <c r="BK449" s="26"/>
    </row>
    <row r="450" spans="1:63" ht="15" hidden="1" customHeight="1" x14ac:dyDescent="0.3">
      <c r="A450" s="5961"/>
      <c r="B450" s="642"/>
      <c r="C450" s="642"/>
      <c r="D450" s="642"/>
      <c r="E450" s="642"/>
      <c r="F450" s="642"/>
      <c r="G450" s="642"/>
      <c r="H450" s="642"/>
      <c r="I450" s="642"/>
      <c r="J450" s="782">
        <f t="shared" si="452"/>
        <v>0</v>
      </c>
      <c r="K450" s="642"/>
      <c r="L450" s="642"/>
      <c r="M450" s="875"/>
      <c r="N450" s="781">
        <f t="shared" si="453"/>
        <v>0</v>
      </c>
      <c r="O450" s="642"/>
      <c r="P450" s="642"/>
      <c r="Q450" s="642"/>
      <c r="R450" s="782">
        <f t="shared" si="454"/>
        <v>0</v>
      </c>
      <c r="S450" s="642"/>
      <c r="T450" s="642"/>
      <c r="U450" s="642"/>
      <c r="V450" s="782">
        <f t="shared" si="455"/>
        <v>0</v>
      </c>
      <c r="W450" s="642"/>
      <c r="X450" s="642"/>
      <c r="Y450" s="875"/>
      <c r="Z450" s="781">
        <f t="shared" si="456"/>
        <v>0</v>
      </c>
      <c r="AA450" s="642"/>
      <c r="AB450" s="3562">
        <f t="shared" si="457"/>
        <v>0</v>
      </c>
      <c r="AC450" s="642"/>
      <c r="AD450" s="642"/>
      <c r="AE450" s="642"/>
      <c r="AF450" s="782">
        <f t="shared" si="458"/>
        <v>0</v>
      </c>
      <c r="AG450" s="642"/>
      <c r="AH450" s="642"/>
      <c r="AK450" s="642"/>
      <c r="AL450" s="642"/>
      <c r="AM450" s="875"/>
      <c r="AN450" s="875"/>
      <c r="AQ450" s="642"/>
      <c r="AR450" s="642"/>
      <c r="AU450" s="642"/>
      <c r="AV450" s="642"/>
      <c r="AY450" s="642"/>
      <c r="AZ450" s="642"/>
      <c r="BA450" s="875"/>
      <c r="BB450" s="875"/>
      <c r="BC450" s="642"/>
      <c r="BD450" s="642"/>
      <c r="BG450" s="26"/>
      <c r="BH450" s="26"/>
      <c r="BI450" s="26"/>
      <c r="BJ450" s="26"/>
      <c r="BK450" s="26"/>
    </row>
    <row r="451" spans="1:63" ht="15" hidden="1" customHeight="1" x14ac:dyDescent="0.3">
      <c r="A451" s="5961"/>
      <c r="B451" s="642" t="s">
        <v>1109</v>
      </c>
      <c r="C451" s="642"/>
      <c r="D451" s="642"/>
      <c r="E451" s="1345">
        <f>+E448-E33</f>
        <v>0</v>
      </c>
      <c r="F451" s="1345">
        <f>+F448-F33</f>
        <v>0</v>
      </c>
      <c r="G451" s="1345">
        <f>+G448-G33</f>
        <v>0</v>
      </c>
      <c r="H451" s="1345">
        <f>+H448-H33</f>
        <v>0</v>
      </c>
      <c r="I451" s="1345">
        <f>+I448-I33</f>
        <v>0</v>
      </c>
      <c r="J451" s="782">
        <f t="shared" si="452"/>
        <v>0</v>
      </c>
      <c r="K451" s="1345">
        <f>+K448-K33</f>
        <v>0</v>
      </c>
      <c r="L451" s="1345">
        <f>+L448-L33</f>
        <v>0</v>
      </c>
      <c r="M451" s="1725">
        <f>+M448-M33</f>
        <v>0</v>
      </c>
      <c r="N451" s="781">
        <f t="shared" si="453"/>
        <v>0</v>
      </c>
      <c r="O451" s="1345">
        <f>+O448-O33</f>
        <v>0</v>
      </c>
      <c r="P451" s="1345">
        <f>+P448-P33</f>
        <v>0</v>
      </c>
      <c r="Q451" s="1345">
        <f>+Q448-Q33</f>
        <v>0</v>
      </c>
      <c r="R451" s="782">
        <f t="shared" si="454"/>
        <v>0</v>
      </c>
      <c r="S451" s="1345">
        <f>+S448-S33</f>
        <v>0</v>
      </c>
      <c r="T451" s="1345">
        <f>+T448-T33</f>
        <v>4.0000000008149073E-2</v>
      </c>
      <c r="U451" s="1345">
        <f>+U448-U33</f>
        <v>0</v>
      </c>
      <c r="V451" s="782">
        <f t="shared" si="455"/>
        <v>4.0000000008149073E-2</v>
      </c>
      <c r="W451" s="1345">
        <f>+W448-W33</f>
        <v>0</v>
      </c>
      <c r="X451" s="1345">
        <f>+X448-X33</f>
        <v>0</v>
      </c>
      <c r="Y451" s="1725">
        <f>+Y448-Y33</f>
        <v>0</v>
      </c>
      <c r="Z451" s="781">
        <f t="shared" si="456"/>
        <v>4.0000000008149073E-2</v>
      </c>
      <c r="AA451" s="1345">
        <f>+AA448-AA33</f>
        <v>0</v>
      </c>
      <c r="AB451" s="3562">
        <f t="shared" si="457"/>
        <v>4.0000000008149073E-2</v>
      </c>
      <c r="AC451" s="1345">
        <f>+AC448-AC33</f>
        <v>0</v>
      </c>
      <c r="AD451" s="1345">
        <f>+AD448-AD33</f>
        <v>4.0000000000873115E-2</v>
      </c>
      <c r="AE451" s="1345">
        <f>+AE448-AE33</f>
        <v>0</v>
      </c>
      <c r="AF451" s="782">
        <f t="shared" si="458"/>
        <v>8.0000000009022187E-2</v>
      </c>
      <c r="AG451" s="1345">
        <f t="shared" ref="AG451:BF451" si="478">+AG448-AG33</f>
        <v>0</v>
      </c>
      <c r="AH451" s="1345">
        <f t="shared" si="478"/>
        <v>0.11999999999898137</v>
      </c>
      <c r="AI451" s="1345">
        <f t="shared" si="478"/>
        <v>0</v>
      </c>
      <c r="AJ451" s="1345">
        <f t="shared" si="478"/>
        <v>0.20000000001164153</v>
      </c>
      <c r="AK451" s="1345">
        <f t="shared" si="478"/>
        <v>0</v>
      </c>
      <c r="AL451" s="1345">
        <f t="shared" si="478"/>
        <v>0</v>
      </c>
      <c r="AM451" s="1725">
        <f t="shared" si="478"/>
        <v>0</v>
      </c>
      <c r="AN451" s="1725">
        <f t="shared" si="478"/>
        <v>0.16000000001804437</v>
      </c>
      <c r="AO451" s="1345">
        <f t="shared" si="478"/>
        <v>0</v>
      </c>
      <c r="AP451" s="1345">
        <f t="shared" si="478"/>
        <v>0.20000000001164153</v>
      </c>
      <c r="AQ451" s="1345">
        <f t="shared" si="478"/>
        <v>0</v>
      </c>
      <c r="AR451" s="1345">
        <f t="shared" si="478"/>
        <v>0</v>
      </c>
      <c r="AS451" s="1345">
        <f t="shared" si="478"/>
        <v>0</v>
      </c>
      <c r="AT451" s="1345">
        <f t="shared" si="478"/>
        <v>0.19999999995343387</v>
      </c>
      <c r="AU451" s="1345">
        <f t="shared" si="478"/>
        <v>0</v>
      </c>
      <c r="AV451" s="1345">
        <f t="shared" si="478"/>
        <v>0</v>
      </c>
      <c r="AW451" s="1345">
        <f t="shared" si="478"/>
        <v>0</v>
      </c>
      <c r="AX451" s="1345">
        <f t="shared" si="478"/>
        <v>0.19999999983701855</v>
      </c>
      <c r="AY451" s="1345">
        <f t="shared" si="478"/>
        <v>0</v>
      </c>
      <c r="AZ451" s="1345">
        <f t="shared" si="478"/>
        <v>0</v>
      </c>
      <c r="BA451" s="1725">
        <f t="shared" si="478"/>
        <v>0</v>
      </c>
      <c r="BB451" s="1725">
        <f t="shared" si="478"/>
        <v>0</v>
      </c>
      <c r="BC451" s="1345">
        <f t="shared" si="478"/>
        <v>0</v>
      </c>
      <c r="BD451" s="1345">
        <f t="shared" si="478"/>
        <v>0.15999999997438863</v>
      </c>
      <c r="BE451" s="1345">
        <f t="shared" si="478"/>
        <v>0</v>
      </c>
      <c r="BF451" s="1345">
        <f t="shared" si="478"/>
        <v>0.19999999983701855</v>
      </c>
      <c r="BG451" s="26"/>
      <c r="BH451" s="26"/>
      <c r="BI451" s="26"/>
      <c r="BJ451" s="26"/>
      <c r="BK451" s="26"/>
    </row>
    <row r="452" spans="1:63" ht="15" hidden="1" customHeight="1" x14ac:dyDescent="0.3">
      <c r="A452" s="5961"/>
      <c r="B452" s="642"/>
      <c r="C452" s="642"/>
      <c r="D452" s="642"/>
      <c r="E452" s="1345">
        <f>+E448-E77</f>
        <v>0</v>
      </c>
      <c r="F452" s="1345">
        <f>+F448-F79</f>
        <v>0</v>
      </c>
      <c r="G452" s="1345">
        <f>+G448-G77</f>
        <v>0</v>
      </c>
      <c r="H452" s="1345">
        <f>+H448-H79</f>
        <v>0</v>
      </c>
      <c r="I452" s="1345">
        <f>+I448-I77</f>
        <v>0</v>
      </c>
      <c r="J452" s="782">
        <f t="shared" si="452"/>
        <v>0</v>
      </c>
      <c r="K452" s="1345">
        <f>+K448-K77</f>
        <v>0</v>
      </c>
      <c r="L452" s="1345">
        <f>+L448-L79</f>
        <v>0</v>
      </c>
      <c r="M452" s="1725">
        <f>+M448-M77</f>
        <v>0</v>
      </c>
      <c r="N452" s="781">
        <f t="shared" si="453"/>
        <v>0</v>
      </c>
      <c r="O452" s="1345">
        <f>+O448-O77</f>
        <v>0</v>
      </c>
      <c r="P452" s="1345">
        <f>+P448-P79</f>
        <v>0</v>
      </c>
      <c r="Q452" s="1345">
        <f>+Q448-Q77</f>
        <v>0</v>
      </c>
      <c r="R452" s="782">
        <f t="shared" si="454"/>
        <v>0</v>
      </c>
      <c r="S452" s="1345">
        <f>+S448-S77</f>
        <v>0</v>
      </c>
      <c r="T452" s="1345">
        <f>+T448-T79</f>
        <v>4.0000000008149073E-2</v>
      </c>
      <c r="U452" s="1345">
        <f>+U448-U77</f>
        <v>0</v>
      </c>
      <c r="V452" s="782">
        <f t="shared" si="455"/>
        <v>4.0000000008149073E-2</v>
      </c>
      <c r="W452" s="1345">
        <f>+W448-W77</f>
        <v>0</v>
      </c>
      <c r="X452" s="1345">
        <f>+X448-X79</f>
        <v>0</v>
      </c>
      <c r="Y452" s="1725">
        <f>+Y448-Y77</f>
        <v>0</v>
      </c>
      <c r="Z452" s="781">
        <f t="shared" si="456"/>
        <v>4.0000000008149073E-2</v>
      </c>
      <c r="AA452" s="1345">
        <f>+AA448-AA77</f>
        <v>0</v>
      </c>
      <c r="AB452" s="3562">
        <f t="shared" si="457"/>
        <v>4.0000000008149073E-2</v>
      </c>
      <c r="AC452" s="1345">
        <f>+AC448-AC77</f>
        <v>0</v>
      </c>
      <c r="AD452" s="1345">
        <f>+AD448-AD79</f>
        <v>0</v>
      </c>
      <c r="AE452" s="1345">
        <f>+AE448-AE77</f>
        <v>0</v>
      </c>
      <c r="AF452" s="782">
        <f t="shared" si="458"/>
        <v>4.0000000008149073E-2</v>
      </c>
      <c r="AG452" s="1345">
        <f>+AG448-AG77</f>
        <v>0</v>
      </c>
      <c r="AH452" s="1345">
        <f>+AH448-AH79</f>
        <v>0.11999999999898137</v>
      </c>
      <c r="AI452" s="1345">
        <f>+AI448-AI77</f>
        <v>0</v>
      </c>
      <c r="AJ452" s="1345">
        <f>+AJ448-AJ79</f>
        <v>0.15999999997438863</v>
      </c>
      <c r="AK452" s="1345">
        <f>+AK448-AK77</f>
        <v>0</v>
      </c>
      <c r="AL452" s="1345">
        <f>+AL448-AL79</f>
        <v>0</v>
      </c>
      <c r="AM452" s="1725">
        <f>+AM448-AM77</f>
        <v>0</v>
      </c>
      <c r="AN452" s="1725">
        <f>+AN448-AN79</f>
        <v>0.11999999999534339</v>
      </c>
      <c r="AO452" s="1345">
        <f>+AO448-AO77</f>
        <v>0</v>
      </c>
      <c r="AP452" s="1345">
        <f>+AP448-AP79</f>
        <v>0.15999999997438863</v>
      </c>
      <c r="AQ452" s="1345">
        <f>+AQ448-AQ77</f>
        <v>0</v>
      </c>
      <c r="AR452" s="1345">
        <f>+AR448-AR79</f>
        <v>0.44000000000232831</v>
      </c>
      <c r="AS452" s="1345">
        <f>+AS448-AS77</f>
        <v>0</v>
      </c>
      <c r="AT452" s="1345">
        <f>+AT448-AT79</f>
        <v>0.59999999997671694</v>
      </c>
      <c r="AU452" s="1345">
        <f>+AU448-AU77</f>
        <v>0</v>
      </c>
      <c r="AV452" s="1345">
        <f>+AV448-AV79</f>
        <v>0</v>
      </c>
      <c r="AW452" s="1345">
        <f>+AW448-AW77</f>
        <v>0</v>
      </c>
      <c r="AX452" s="1345">
        <f>+AX448-AX79</f>
        <v>0.59999999986030161</v>
      </c>
      <c r="AY452" s="1345">
        <f>+AY448-AY77</f>
        <v>0</v>
      </c>
      <c r="AZ452" s="1345">
        <f>+AZ448-AZ79</f>
        <v>0</v>
      </c>
      <c r="BA452" s="1725">
        <f>+BA448-BA77</f>
        <v>0</v>
      </c>
      <c r="BB452" s="1725">
        <f>+BB448-BB79</f>
        <v>0.43999999997322448</v>
      </c>
      <c r="BC452" s="1345">
        <f>+BC448-BC77</f>
        <v>0</v>
      </c>
      <c r="BD452" s="1345">
        <f>+BD448-BD79</f>
        <v>0.55999999999767169</v>
      </c>
      <c r="BE452" s="1345">
        <f>+BE448-BE77</f>
        <v>0</v>
      </c>
      <c r="BF452" s="1345">
        <f>+BF448-BF79</f>
        <v>0.59999999986030161</v>
      </c>
      <c r="BG452" s="26"/>
      <c r="BH452" s="26"/>
      <c r="BI452" s="26"/>
      <c r="BJ452" s="26"/>
      <c r="BK452" s="26"/>
    </row>
    <row r="453" spans="1:63" ht="15" hidden="1" customHeight="1" x14ac:dyDescent="0.3">
      <c r="A453" s="5961"/>
      <c r="B453" s="642"/>
      <c r="C453" s="642"/>
      <c r="D453" s="642"/>
      <c r="E453" s="642"/>
      <c r="F453" s="642"/>
      <c r="G453" s="642"/>
      <c r="H453" s="642"/>
      <c r="I453" s="642"/>
      <c r="J453" s="782">
        <f t="shared" si="452"/>
        <v>0</v>
      </c>
      <c r="K453" s="642"/>
      <c r="L453" s="642"/>
      <c r="M453" s="875"/>
      <c r="N453" s="781">
        <f t="shared" si="453"/>
        <v>0</v>
      </c>
      <c r="O453" s="642"/>
      <c r="P453" s="642"/>
      <c r="Q453" s="642"/>
      <c r="R453" s="782">
        <f t="shared" si="454"/>
        <v>0</v>
      </c>
      <c r="S453" s="642"/>
      <c r="T453" s="642"/>
      <c r="U453" s="642"/>
      <c r="V453" s="782">
        <f t="shared" si="455"/>
        <v>0</v>
      </c>
      <c r="W453" s="642"/>
      <c r="X453" s="642"/>
      <c r="Y453" s="875"/>
      <c r="Z453" s="781">
        <f t="shared" si="456"/>
        <v>0</v>
      </c>
      <c r="AA453" s="642"/>
      <c r="AB453" s="3562">
        <f t="shared" si="457"/>
        <v>0</v>
      </c>
      <c r="AC453" s="642"/>
      <c r="AD453" s="642"/>
      <c r="AE453" s="642"/>
      <c r="AF453" s="782">
        <f t="shared" si="458"/>
        <v>0</v>
      </c>
      <c r="AG453" s="642"/>
      <c r="AH453" s="642"/>
      <c r="AI453" s="642"/>
      <c r="AJ453" s="642"/>
      <c r="AK453" s="642"/>
      <c r="AL453" s="642"/>
      <c r="AM453" s="875"/>
      <c r="AN453" s="875"/>
      <c r="AO453" s="642"/>
      <c r="AP453" s="642"/>
      <c r="AQ453" s="642"/>
      <c r="AR453" s="642"/>
      <c r="AS453" s="642"/>
      <c r="AT453" s="642"/>
      <c r="AU453" s="642"/>
      <c r="AV453" s="642"/>
      <c r="AW453" s="642"/>
      <c r="AX453" s="642"/>
      <c r="AY453" s="642"/>
      <c r="AZ453" s="642"/>
      <c r="BA453" s="875"/>
      <c r="BB453" s="875"/>
      <c r="BC453" s="642"/>
      <c r="BD453" s="642"/>
      <c r="BE453" s="642"/>
      <c r="BF453" s="642"/>
      <c r="BG453" s="26"/>
      <c r="BH453" s="26"/>
      <c r="BI453" s="26"/>
      <c r="BJ453" s="26"/>
      <c r="BK453" s="26"/>
    </row>
    <row r="454" spans="1:63" ht="15" hidden="1" customHeight="1" x14ac:dyDescent="0.3">
      <c r="A454" s="5961"/>
      <c r="B454" s="642"/>
      <c r="C454" s="642"/>
      <c r="D454" s="642"/>
      <c r="E454" s="642"/>
      <c r="F454" s="642"/>
      <c r="G454" s="642"/>
      <c r="H454" s="642"/>
      <c r="I454" s="642"/>
      <c r="J454" s="782">
        <f t="shared" si="452"/>
        <v>0</v>
      </c>
      <c r="K454" s="642"/>
      <c r="L454" s="642"/>
      <c r="M454" s="875"/>
      <c r="N454" s="781">
        <f t="shared" si="453"/>
        <v>0</v>
      </c>
      <c r="O454" s="642"/>
      <c r="P454" s="642"/>
      <c r="Q454" s="642"/>
      <c r="R454" s="782">
        <f t="shared" si="454"/>
        <v>0</v>
      </c>
      <c r="S454" s="642"/>
      <c r="T454" s="642"/>
      <c r="U454" s="642"/>
      <c r="V454" s="782">
        <f t="shared" si="455"/>
        <v>0</v>
      </c>
      <c r="W454" s="642"/>
      <c r="X454" s="642"/>
      <c r="Y454" s="875"/>
      <c r="Z454" s="781">
        <f t="shared" si="456"/>
        <v>0</v>
      </c>
      <c r="AA454" s="642"/>
      <c r="AB454" s="3562">
        <f t="shared" si="457"/>
        <v>0</v>
      </c>
      <c r="AC454" s="642"/>
      <c r="AD454" s="642"/>
      <c r="AE454" s="642"/>
      <c r="AF454" s="782">
        <f t="shared" si="458"/>
        <v>0</v>
      </c>
      <c r="AG454" s="642"/>
      <c r="AH454" s="642"/>
      <c r="AI454" s="642"/>
      <c r="AJ454" s="642"/>
      <c r="AK454" s="642"/>
      <c r="AL454" s="642"/>
      <c r="AM454" s="875"/>
      <c r="AN454" s="875"/>
      <c r="AO454" s="642"/>
      <c r="AP454" s="642"/>
      <c r="AQ454" s="642"/>
      <c r="AR454" s="642"/>
      <c r="AS454" s="642"/>
      <c r="AT454" s="642"/>
      <c r="AU454" s="642"/>
      <c r="AV454" s="642"/>
      <c r="AW454" s="642"/>
      <c r="AX454" s="642"/>
      <c r="AY454" s="642"/>
      <c r="AZ454" s="642"/>
      <c r="BA454" s="875"/>
      <c r="BB454" s="875"/>
      <c r="BC454" s="642"/>
      <c r="BD454" s="642"/>
      <c r="BE454" s="642"/>
      <c r="BF454" s="642"/>
      <c r="BG454" s="26"/>
      <c r="BH454" s="26"/>
      <c r="BI454" s="26"/>
      <c r="BJ454" s="26"/>
      <c r="BK454" s="26"/>
    </row>
    <row r="455" spans="1:63" ht="15" hidden="1" customHeight="1" x14ac:dyDescent="0.3">
      <c r="A455" s="5961"/>
      <c r="B455" s="642"/>
      <c r="C455" s="642"/>
      <c r="D455" s="642"/>
      <c r="E455" s="642"/>
      <c r="F455" s="642"/>
      <c r="G455" s="642"/>
      <c r="H455" s="642"/>
      <c r="I455" s="642"/>
      <c r="J455" s="782">
        <f t="shared" si="452"/>
        <v>0</v>
      </c>
      <c r="K455" s="642"/>
      <c r="L455" s="642"/>
      <c r="M455" s="875"/>
      <c r="N455" s="781">
        <f t="shared" si="453"/>
        <v>0</v>
      </c>
      <c r="O455" s="642"/>
      <c r="P455" s="642"/>
      <c r="Q455" s="642"/>
      <c r="R455" s="782">
        <f t="shared" si="454"/>
        <v>0</v>
      </c>
      <c r="S455" s="642"/>
      <c r="T455" s="642"/>
      <c r="U455" s="642"/>
      <c r="V455" s="782">
        <f t="shared" si="455"/>
        <v>0</v>
      </c>
      <c r="W455" s="642"/>
      <c r="X455" s="642"/>
      <c r="Y455" s="875"/>
      <c r="Z455" s="781">
        <f t="shared" si="456"/>
        <v>0</v>
      </c>
      <c r="AA455" s="642"/>
      <c r="AB455" s="3562">
        <f t="shared" si="457"/>
        <v>0</v>
      </c>
      <c r="AC455" s="642"/>
      <c r="AD455" s="642"/>
      <c r="AE455" s="642"/>
      <c r="AF455" s="782">
        <f t="shared" si="458"/>
        <v>0</v>
      </c>
      <c r="AG455" s="642"/>
      <c r="AH455" s="642"/>
      <c r="AI455" s="642"/>
      <c r="AJ455" s="642"/>
      <c r="AK455" s="642"/>
      <c r="AL455" s="642"/>
      <c r="AM455" s="875"/>
      <c r="AN455" s="875"/>
      <c r="AO455" s="642"/>
      <c r="AP455" s="642"/>
      <c r="AQ455" s="642"/>
      <c r="AR455" s="642"/>
      <c r="AS455" s="642"/>
      <c r="AT455" s="642"/>
      <c r="AU455" s="642"/>
      <c r="AV455" s="642"/>
      <c r="AW455" s="642"/>
      <c r="AX455" s="642"/>
      <c r="AY455" s="642"/>
      <c r="AZ455" s="642"/>
      <c r="BA455" s="875"/>
      <c r="BB455" s="875"/>
      <c r="BC455" s="642"/>
      <c r="BD455" s="642"/>
      <c r="BE455" s="642"/>
      <c r="BF455" s="642"/>
      <c r="BG455" s="26"/>
      <c r="BH455" s="26"/>
      <c r="BI455" s="26"/>
      <c r="BJ455" s="26"/>
      <c r="BK455" s="26"/>
    </row>
    <row r="456" spans="1:63" ht="15" hidden="1" customHeight="1" x14ac:dyDescent="0.3">
      <c r="A456" s="5962"/>
      <c r="B456" s="642"/>
      <c r="C456" s="642"/>
      <c r="D456" s="642"/>
      <c r="E456" s="642"/>
      <c r="F456" s="642"/>
      <c r="G456" s="642"/>
      <c r="H456" s="642"/>
      <c r="I456" s="642"/>
      <c r="J456" s="782">
        <f t="shared" si="452"/>
        <v>0</v>
      </c>
      <c r="K456" s="642"/>
      <c r="L456" s="642"/>
      <c r="M456" s="875"/>
      <c r="N456" s="781">
        <f t="shared" si="453"/>
        <v>0</v>
      </c>
      <c r="O456" s="642"/>
      <c r="P456" s="642"/>
      <c r="Q456" s="642"/>
      <c r="R456" s="782">
        <f t="shared" si="454"/>
        <v>0</v>
      </c>
      <c r="S456" s="642"/>
      <c r="T456" s="642"/>
      <c r="U456" s="642"/>
      <c r="V456" s="782">
        <f t="shared" si="455"/>
        <v>0</v>
      </c>
      <c r="W456" s="642"/>
      <c r="X456" s="642"/>
      <c r="Y456" s="875"/>
      <c r="Z456" s="781">
        <f t="shared" si="456"/>
        <v>0</v>
      </c>
      <c r="AA456" s="642"/>
      <c r="AB456" s="3562">
        <f t="shared" si="457"/>
        <v>0</v>
      </c>
      <c r="AC456" s="642"/>
      <c r="AD456" s="642"/>
      <c r="AE456" s="642"/>
      <c r="AF456" s="782">
        <f t="shared" si="458"/>
        <v>0</v>
      </c>
      <c r="AG456" s="642"/>
      <c r="AH456" s="642"/>
      <c r="AI456" s="642"/>
      <c r="AJ456" s="642"/>
      <c r="AK456" s="642"/>
      <c r="AL456" s="642"/>
      <c r="AM456" s="875"/>
      <c r="AN456" s="875"/>
      <c r="AO456" s="642"/>
      <c r="AP456" s="642"/>
      <c r="AQ456" s="642"/>
      <c r="AR456" s="642"/>
      <c r="AS456" s="642"/>
      <c r="AT456" s="642"/>
      <c r="AU456" s="642"/>
      <c r="AV456" s="642"/>
      <c r="AW456" s="642"/>
      <c r="AX456" s="642"/>
      <c r="AY456" s="642"/>
      <c r="AZ456" s="642"/>
      <c r="BA456" s="875"/>
      <c r="BB456" s="875"/>
      <c r="BC456" s="642"/>
      <c r="BD456" s="642"/>
      <c r="BE456" s="642"/>
      <c r="BF456" s="642"/>
      <c r="BG456" s="26"/>
      <c r="BH456" s="26"/>
      <c r="BI456" s="26"/>
      <c r="BJ456" s="26"/>
      <c r="BK456" s="26"/>
    </row>
    <row r="457" spans="1:63" ht="15" hidden="1" customHeight="1" x14ac:dyDescent="0.3">
      <c r="A457" s="154"/>
      <c r="B457" s="642"/>
      <c r="C457" s="642"/>
      <c r="D457" s="642"/>
      <c r="E457" s="1345">
        <f>+E273-E69</f>
        <v>0</v>
      </c>
      <c r="F457" s="1345">
        <f>+F273-F71</f>
        <v>0</v>
      </c>
      <c r="G457" s="1345">
        <f>+G273-G69</f>
        <v>0</v>
      </c>
      <c r="H457" s="1345">
        <f>+H273-H71</f>
        <v>0</v>
      </c>
      <c r="I457" s="1345">
        <f>+I273-I69</f>
        <v>0</v>
      </c>
      <c r="J457" s="782">
        <f t="shared" si="452"/>
        <v>0</v>
      </c>
      <c r="K457" s="1345">
        <f>+K273-K69</f>
        <v>0</v>
      </c>
      <c r="L457" s="1345">
        <f>+L273-L71</f>
        <v>0</v>
      </c>
      <c r="M457" s="1725">
        <f>+M273-M69</f>
        <v>0</v>
      </c>
      <c r="N457" s="781">
        <f t="shared" si="453"/>
        <v>0</v>
      </c>
      <c r="O457" s="1345">
        <f>+O273-O69</f>
        <v>0</v>
      </c>
      <c r="P457" s="1345">
        <f>+P273-P71</f>
        <v>0</v>
      </c>
      <c r="Q457" s="1345">
        <f>+Q273-Q69</f>
        <v>0</v>
      </c>
      <c r="R457" s="782">
        <f t="shared" si="454"/>
        <v>0</v>
      </c>
      <c r="S457" s="1345">
        <f>+S273-S69</f>
        <v>0</v>
      </c>
      <c r="T457" s="1345">
        <f>+T273-T71</f>
        <v>0</v>
      </c>
      <c r="U457" s="1345">
        <f>+U273-U69</f>
        <v>0</v>
      </c>
      <c r="V457" s="782">
        <f t="shared" si="455"/>
        <v>0</v>
      </c>
      <c r="W457" s="1345">
        <f>+W273-W69</f>
        <v>0</v>
      </c>
      <c r="X457" s="1345">
        <f>+X273-X71</f>
        <v>0</v>
      </c>
      <c r="Y457" s="1725">
        <f>+Y273-Y69</f>
        <v>0</v>
      </c>
      <c r="Z457" s="781">
        <f t="shared" si="456"/>
        <v>0</v>
      </c>
      <c r="AA457" s="1345">
        <f>+AA273-AA69</f>
        <v>0</v>
      </c>
      <c r="AB457" s="3562">
        <f t="shared" si="457"/>
        <v>0</v>
      </c>
      <c r="AC457" s="1345">
        <f>+AC273-AC69</f>
        <v>0</v>
      </c>
      <c r="AD457" s="1345">
        <f>+AD273-AD71</f>
        <v>0</v>
      </c>
      <c r="AE457" s="1345">
        <f>+AE273-AE69</f>
        <v>0</v>
      </c>
      <c r="AF457" s="782">
        <f t="shared" si="458"/>
        <v>0</v>
      </c>
      <c r="AG457" s="1345">
        <f>+AG273-AG69</f>
        <v>0</v>
      </c>
      <c r="AH457" s="1345">
        <f>+AH273-AH71</f>
        <v>0</v>
      </c>
      <c r="AI457" s="1345">
        <f>+AI273-AI69</f>
        <v>0</v>
      </c>
      <c r="AJ457" s="1345">
        <f>+AJ273-AJ71</f>
        <v>0</v>
      </c>
      <c r="AK457" s="1345">
        <f>+AK273-AK69</f>
        <v>0</v>
      </c>
      <c r="AL457" s="1345">
        <f>+AL273-AL71</f>
        <v>0</v>
      </c>
      <c r="AM457" s="1725">
        <f>+AM273-AM69</f>
        <v>0</v>
      </c>
      <c r="AN457" s="1725">
        <f>+AN273-AN71</f>
        <v>0</v>
      </c>
      <c r="AO457" s="1345">
        <f>+AO273-AO69</f>
        <v>0</v>
      </c>
      <c r="AP457" s="1345">
        <f>+AP273-AP71</f>
        <v>0</v>
      </c>
      <c r="AQ457" s="1345">
        <f>+AQ273-AQ69</f>
        <v>0</v>
      </c>
      <c r="AR457" s="1345">
        <f>+AR273-AR71</f>
        <v>0</v>
      </c>
      <c r="AS457" s="1345">
        <f>+AS273-AS69</f>
        <v>0</v>
      </c>
      <c r="AT457" s="1345">
        <f>+AT273-AT71</f>
        <v>0</v>
      </c>
      <c r="AU457" s="1345">
        <f>+AU273-AU69</f>
        <v>0</v>
      </c>
      <c r="AV457" s="1345">
        <f>+AV273-AV71</f>
        <v>0</v>
      </c>
      <c r="AW457" s="1345">
        <f>+AW273-AW69</f>
        <v>0</v>
      </c>
      <c r="AX457" s="1345">
        <f>+AX273-AX71</f>
        <v>0</v>
      </c>
      <c r="AY457" s="1345">
        <f>+AY273-AY69</f>
        <v>0</v>
      </c>
      <c r="AZ457" s="1345">
        <f>+AZ273-AZ71</f>
        <v>0</v>
      </c>
      <c r="BA457" s="1725">
        <f>+BA273-BA69</f>
        <v>0</v>
      </c>
      <c r="BB457" s="1725">
        <f>+BB273-BB71</f>
        <v>0</v>
      </c>
      <c r="BC457" s="1345">
        <f>+BC273-BC69</f>
        <v>0</v>
      </c>
      <c r="BD457" s="1345">
        <f>+BD273-BD71</f>
        <v>0</v>
      </c>
      <c r="BE457" s="1345">
        <f>+BE273-BE69</f>
        <v>0</v>
      </c>
      <c r="BF457" s="1345">
        <f>+BF273-BF71</f>
        <v>0</v>
      </c>
      <c r="BG457" s="26"/>
      <c r="BH457" s="26"/>
      <c r="BI457" s="26"/>
      <c r="BJ457" s="26"/>
      <c r="BK457" s="26"/>
    </row>
    <row r="458" spans="1:63" ht="15" hidden="1" customHeight="1" x14ac:dyDescent="0.3">
      <c r="A458" s="154"/>
      <c r="B458" s="642"/>
      <c r="C458" s="642"/>
      <c r="D458" s="642"/>
      <c r="E458" s="1345">
        <f>+E273-E19</f>
        <v>0</v>
      </c>
      <c r="F458" s="1345">
        <f>+F273-F19</f>
        <v>0</v>
      </c>
      <c r="G458" s="1345">
        <f>+G273-G19</f>
        <v>0</v>
      </c>
      <c r="H458" s="1345">
        <f>+H273-H19</f>
        <v>0</v>
      </c>
      <c r="I458" s="1345">
        <f>+I273-I19</f>
        <v>0</v>
      </c>
      <c r="J458" s="782">
        <f t="shared" si="452"/>
        <v>0</v>
      </c>
      <c r="K458" s="1345">
        <f>+K273-K19</f>
        <v>0</v>
      </c>
      <c r="L458" s="1345">
        <f>+L273-L19</f>
        <v>0</v>
      </c>
      <c r="M458" s="1725">
        <f>+M273-M19</f>
        <v>0</v>
      </c>
      <c r="N458" s="781">
        <f t="shared" si="453"/>
        <v>0</v>
      </c>
      <c r="O458" s="1345">
        <f>+O273-O19</f>
        <v>0</v>
      </c>
      <c r="P458" s="1345">
        <f>+P273-P19</f>
        <v>0</v>
      </c>
      <c r="Q458" s="1345">
        <f>+Q273-Q19</f>
        <v>0</v>
      </c>
      <c r="R458" s="782">
        <f t="shared" si="454"/>
        <v>0</v>
      </c>
      <c r="S458" s="1345">
        <f>+S273-S19</f>
        <v>0</v>
      </c>
      <c r="T458" s="1345">
        <f>+T273-T19</f>
        <v>0</v>
      </c>
      <c r="U458" s="1345">
        <f>+U273-U19</f>
        <v>0</v>
      </c>
      <c r="V458" s="782">
        <f t="shared" si="455"/>
        <v>0</v>
      </c>
      <c r="W458" s="1345">
        <f>+W273-W19</f>
        <v>0</v>
      </c>
      <c r="X458" s="1345">
        <f>+X273-X19</f>
        <v>0</v>
      </c>
      <c r="Y458" s="1725">
        <f>+Y273-Y19</f>
        <v>0</v>
      </c>
      <c r="Z458" s="781">
        <f t="shared" si="456"/>
        <v>0</v>
      </c>
      <c r="AA458" s="1345">
        <f>+AA273-AA19</f>
        <v>0</v>
      </c>
      <c r="AB458" s="3562">
        <f t="shared" si="457"/>
        <v>0</v>
      </c>
      <c r="AC458" s="1345">
        <f>+AC273-AC19</f>
        <v>0</v>
      </c>
      <c r="AD458" s="1345">
        <f>+AD273-AD19</f>
        <v>0</v>
      </c>
      <c r="AE458" s="1345">
        <f>+AE273-AE19</f>
        <v>0</v>
      </c>
      <c r="AF458" s="782">
        <f t="shared" si="458"/>
        <v>0</v>
      </c>
      <c r="AG458" s="1345">
        <f t="shared" ref="AG458:BF458" si="479">+AG273-AG19</f>
        <v>0</v>
      </c>
      <c r="AH458" s="1345">
        <f t="shared" si="479"/>
        <v>0</v>
      </c>
      <c r="AI458" s="1345">
        <f t="shared" si="479"/>
        <v>0</v>
      </c>
      <c r="AJ458" s="1345">
        <f t="shared" si="479"/>
        <v>0</v>
      </c>
      <c r="AK458" s="1345">
        <f t="shared" si="479"/>
        <v>0</v>
      </c>
      <c r="AL458" s="1345">
        <f t="shared" si="479"/>
        <v>0</v>
      </c>
      <c r="AM458" s="1725">
        <f t="shared" si="479"/>
        <v>0</v>
      </c>
      <c r="AN458" s="1725">
        <f t="shared" si="479"/>
        <v>0</v>
      </c>
      <c r="AO458" s="1345">
        <f t="shared" si="479"/>
        <v>0</v>
      </c>
      <c r="AP458" s="1345">
        <f t="shared" si="479"/>
        <v>0</v>
      </c>
      <c r="AQ458" s="1345">
        <f t="shared" si="479"/>
        <v>0</v>
      </c>
      <c r="AR458" s="1345">
        <f t="shared" si="479"/>
        <v>0</v>
      </c>
      <c r="AS458" s="1345">
        <f t="shared" si="479"/>
        <v>0</v>
      </c>
      <c r="AT458" s="1345">
        <f t="shared" si="479"/>
        <v>0</v>
      </c>
      <c r="AU458" s="1345">
        <f t="shared" si="479"/>
        <v>0</v>
      </c>
      <c r="AV458" s="1345">
        <f t="shared" si="479"/>
        <v>0</v>
      </c>
      <c r="AW458" s="1345">
        <f t="shared" si="479"/>
        <v>0</v>
      </c>
      <c r="AX458" s="1345">
        <f t="shared" si="479"/>
        <v>0</v>
      </c>
      <c r="AY458" s="1345">
        <f t="shared" si="479"/>
        <v>0</v>
      </c>
      <c r="AZ458" s="1345">
        <f t="shared" si="479"/>
        <v>0</v>
      </c>
      <c r="BA458" s="1725">
        <f t="shared" si="479"/>
        <v>0</v>
      </c>
      <c r="BB458" s="1725">
        <f t="shared" si="479"/>
        <v>0</v>
      </c>
      <c r="BC458" s="1345">
        <f t="shared" si="479"/>
        <v>0</v>
      </c>
      <c r="BD458" s="1345">
        <f t="shared" si="479"/>
        <v>0</v>
      </c>
      <c r="BE458" s="1345">
        <f t="shared" si="479"/>
        <v>0</v>
      </c>
      <c r="BF458" s="1345">
        <f t="shared" si="479"/>
        <v>0</v>
      </c>
      <c r="BG458" s="26"/>
      <c r="BH458" s="26"/>
      <c r="BI458" s="26"/>
      <c r="BJ458" s="26"/>
      <c r="BK458" s="26"/>
    </row>
    <row r="459" spans="1:63" ht="15" hidden="1" customHeight="1" x14ac:dyDescent="0.3">
      <c r="A459" s="154"/>
      <c r="B459" s="642"/>
      <c r="C459" s="642"/>
      <c r="D459" s="642"/>
      <c r="E459" s="642"/>
      <c r="F459" s="642"/>
      <c r="G459" s="642"/>
      <c r="H459" s="642"/>
      <c r="I459" s="642"/>
      <c r="J459" s="782">
        <f t="shared" si="452"/>
        <v>0</v>
      </c>
      <c r="K459" s="642"/>
      <c r="L459" s="642"/>
      <c r="M459" s="875"/>
      <c r="N459" s="781">
        <f t="shared" si="453"/>
        <v>0</v>
      </c>
      <c r="O459" s="642"/>
      <c r="P459" s="642"/>
      <c r="Q459" s="642"/>
      <c r="R459" s="782">
        <f t="shared" si="454"/>
        <v>0</v>
      </c>
      <c r="S459" s="642"/>
      <c r="T459" s="642"/>
      <c r="U459" s="642"/>
      <c r="V459" s="782">
        <f t="shared" si="455"/>
        <v>0</v>
      </c>
      <c r="W459" s="642"/>
      <c r="X459" s="642"/>
      <c r="Y459" s="875"/>
      <c r="Z459" s="781">
        <f t="shared" si="456"/>
        <v>0</v>
      </c>
      <c r="AA459" s="642"/>
      <c r="AB459" s="3562">
        <f t="shared" si="457"/>
        <v>0</v>
      </c>
      <c r="AC459" s="642"/>
      <c r="AD459" s="642"/>
      <c r="AE459" s="642"/>
      <c r="AF459" s="782">
        <f t="shared" si="458"/>
        <v>0</v>
      </c>
      <c r="AG459" s="642"/>
      <c r="AH459" s="642"/>
      <c r="AI459" s="642"/>
      <c r="AJ459" s="642"/>
      <c r="AK459" s="642"/>
      <c r="AL459" s="642"/>
      <c r="AM459" s="875"/>
      <c r="AN459" s="875"/>
      <c r="AO459" s="642"/>
      <c r="AP459" s="642"/>
      <c r="AQ459" s="642"/>
      <c r="AR459" s="642"/>
      <c r="AS459" s="642"/>
      <c r="AT459" s="642"/>
      <c r="AU459" s="642"/>
      <c r="AV459" s="642"/>
      <c r="AW459" s="642"/>
      <c r="AX459" s="642"/>
      <c r="AY459" s="642"/>
      <c r="AZ459" s="642"/>
      <c r="BA459" s="875"/>
      <c r="BB459" s="875"/>
      <c r="BC459" s="642"/>
      <c r="BD459" s="642"/>
      <c r="BE459" s="642"/>
      <c r="BF459" s="642"/>
      <c r="BG459" s="26"/>
      <c r="BH459" s="26"/>
      <c r="BI459" s="26"/>
      <c r="BJ459" s="26"/>
      <c r="BK459" s="26"/>
    </row>
    <row r="460" spans="1:63" ht="15" hidden="1" customHeight="1" x14ac:dyDescent="0.3">
      <c r="A460" s="154"/>
      <c r="B460" s="5963" t="s">
        <v>114</v>
      </c>
      <c r="C460" s="839"/>
      <c r="D460" s="839"/>
      <c r="E460" s="397">
        <f>+E12-E65</f>
        <v>0</v>
      </c>
      <c r="F460" s="397">
        <f>+F12-F67</f>
        <v>0</v>
      </c>
      <c r="G460" s="397">
        <f>+G12-G65</f>
        <v>0</v>
      </c>
      <c r="H460" s="397">
        <f>+H12-H67</f>
        <v>0</v>
      </c>
      <c r="I460" s="397">
        <f>+I12-I65</f>
        <v>0</v>
      </c>
      <c r="J460" s="782">
        <f t="shared" si="452"/>
        <v>0</v>
      </c>
      <c r="K460" s="397">
        <f>+K12-K65</f>
        <v>0</v>
      </c>
      <c r="L460" s="397">
        <f>+L12-L67</f>
        <v>0</v>
      </c>
      <c r="M460" s="446">
        <f>+M12-M65</f>
        <v>0</v>
      </c>
      <c r="N460" s="781">
        <f t="shared" si="453"/>
        <v>0</v>
      </c>
      <c r="O460" s="397">
        <f>+O12-O65</f>
        <v>0</v>
      </c>
      <c r="P460" s="397">
        <f>+P12-P67</f>
        <v>0</v>
      </c>
      <c r="Q460" s="397">
        <f>+Q12-Q65</f>
        <v>0</v>
      </c>
      <c r="R460" s="782">
        <f t="shared" si="454"/>
        <v>0</v>
      </c>
      <c r="S460" s="397">
        <f>+S12-S65</f>
        <v>0</v>
      </c>
      <c r="T460" s="397">
        <f>+T12-T67</f>
        <v>0.27999999999883585</v>
      </c>
      <c r="U460" s="397">
        <f>+U12-U65</f>
        <v>0</v>
      </c>
      <c r="V460" s="782">
        <f t="shared" si="455"/>
        <v>0.27999999999883585</v>
      </c>
      <c r="W460" s="397">
        <f>+W12-W65</f>
        <v>0</v>
      </c>
      <c r="X460" s="397">
        <f>+X12-X67</f>
        <v>0</v>
      </c>
      <c r="Y460" s="446">
        <f>+Y12-Y65</f>
        <v>0</v>
      </c>
      <c r="Z460" s="781">
        <f t="shared" si="456"/>
        <v>0.27999999999883585</v>
      </c>
      <c r="AA460" s="397">
        <f>+AA12-AA65</f>
        <v>0</v>
      </c>
      <c r="AB460" s="3562">
        <f t="shared" si="457"/>
        <v>0.27999999999883585</v>
      </c>
      <c r="AC460" s="397">
        <f>+AC12-AC65</f>
        <v>0</v>
      </c>
      <c r="AD460" s="397">
        <f>+AD12-AD67</f>
        <v>0</v>
      </c>
      <c r="AE460" s="397">
        <f>+AE12-AE65</f>
        <v>0</v>
      </c>
      <c r="AF460" s="782">
        <f t="shared" si="458"/>
        <v>0.27999999999883585</v>
      </c>
      <c r="AG460" s="397">
        <f>+AG12-AG65</f>
        <v>0</v>
      </c>
      <c r="AH460" s="397">
        <f>+AH12-AH67</f>
        <v>0</v>
      </c>
      <c r="AI460" s="397">
        <f>+AI12-AI65</f>
        <v>0</v>
      </c>
      <c r="AJ460" s="397">
        <f>+AJ12-AJ67</f>
        <v>0.27999999996973202</v>
      </c>
      <c r="AK460" s="397">
        <f>+AK12-AK65</f>
        <v>0</v>
      </c>
      <c r="AL460" s="397">
        <f>+AL12-AL67</f>
        <v>0</v>
      </c>
      <c r="AM460" s="446">
        <f>+AM12-AM65</f>
        <v>0</v>
      </c>
      <c r="AN460" s="446">
        <f>+AN12-AN67</f>
        <v>0</v>
      </c>
      <c r="AO460" s="397">
        <f>+AO12-AO65</f>
        <v>0</v>
      </c>
      <c r="AP460" s="397">
        <f>+AP12-AP67</f>
        <v>0.27999999996973202</v>
      </c>
      <c r="AQ460" s="397">
        <f>+AQ12-AQ65</f>
        <v>0</v>
      </c>
      <c r="AR460" s="397">
        <f>+AR12-AR67</f>
        <v>0</v>
      </c>
      <c r="AS460" s="397">
        <f>+AS12-AS65</f>
        <v>0</v>
      </c>
      <c r="AT460" s="397">
        <f>+AT12-AT67</f>
        <v>0.27999999996973202</v>
      </c>
      <c r="AU460" s="397">
        <f>+AU12-AU65</f>
        <v>0</v>
      </c>
      <c r="AV460" s="397">
        <f>+AV12-AV67</f>
        <v>0</v>
      </c>
      <c r="AW460" s="397">
        <f>+AW12-AW65</f>
        <v>0</v>
      </c>
      <c r="AX460" s="397">
        <f>+AX12-AX67</f>
        <v>0.27999999996973202</v>
      </c>
      <c r="AY460" s="397">
        <f>+AY12-AY65</f>
        <v>0</v>
      </c>
      <c r="AZ460" s="397">
        <f>+AZ12-AZ67</f>
        <v>0</v>
      </c>
      <c r="BA460" s="446">
        <f>+BA12-BA65</f>
        <v>0</v>
      </c>
      <c r="BB460" s="446">
        <f>+BB12-BB67</f>
        <v>0</v>
      </c>
      <c r="BC460" s="397">
        <f>+BC12-BC65</f>
        <v>0</v>
      </c>
      <c r="BD460" s="397">
        <f>+BD12-BD67</f>
        <v>0</v>
      </c>
      <c r="BE460" s="397">
        <f>+BE12-BE65</f>
        <v>0</v>
      </c>
      <c r="BF460" s="397">
        <f>+BF12-BF67</f>
        <v>0.27999999996973202</v>
      </c>
      <c r="BG460" s="26"/>
      <c r="BH460" s="26"/>
      <c r="BI460" s="26"/>
      <c r="BJ460" s="26"/>
      <c r="BK460" s="26"/>
    </row>
    <row r="461" spans="1:63" ht="15" hidden="1" customHeight="1" x14ac:dyDescent="0.3">
      <c r="A461" s="154"/>
      <c r="B461" s="5963"/>
      <c r="C461" s="839"/>
      <c r="D461" s="839"/>
      <c r="E461" s="397">
        <f>+E65-E216</f>
        <v>0</v>
      </c>
      <c r="F461" s="397">
        <f>+F67-F216</f>
        <v>0</v>
      </c>
      <c r="G461" s="397">
        <f>+G65-G216</f>
        <v>0</v>
      </c>
      <c r="H461" s="397">
        <f>+H67-H216</f>
        <v>0</v>
      </c>
      <c r="I461" s="397">
        <f>+I65-I216</f>
        <v>0</v>
      </c>
      <c r="J461" s="782">
        <f t="shared" ref="J461:J524" si="480">F461+H461</f>
        <v>0</v>
      </c>
      <c r="K461" s="397">
        <f>+K65-K216</f>
        <v>0</v>
      </c>
      <c r="L461" s="397">
        <f>+L67-L216</f>
        <v>0</v>
      </c>
      <c r="M461" s="446">
        <f>+M65-M216</f>
        <v>0</v>
      </c>
      <c r="N461" s="781">
        <f t="shared" ref="N461:N524" si="481">J461+L461</f>
        <v>0</v>
      </c>
      <c r="O461" s="397">
        <f>+O65-O216</f>
        <v>0</v>
      </c>
      <c r="P461" s="397">
        <f>+P67-P216</f>
        <v>0</v>
      </c>
      <c r="Q461" s="397">
        <f>+Q65-Q216</f>
        <v>0</v>
      </c>
      <c r="R461" s="782">
        <f t="shared" ref="R461:R524" si="482">N461+P461</f>
        <v>0</v>
      </c>
      <c r="S461" s="397">
        <f>+S65-S216</f>
        <v>0</v>
      </c>
      <c r="T461" s="397">
        <f>+T67-T216</f>
        <v>-0.28000000001338776</v>
      </c>
      <c r="U461" s="397">
        <f>+U65-U216</f>
        <v>0</v>
      </c>
      <c r="V461" s="782">
        <f t="shared" ref="V461:V524" si="483">R461+T461</f>
        <v>-0.28000000001338776</v>
      </c>
      <c r="W461" s="397">
        <f>+W65-W216</f>
        <v>0</v>
      </c>
      <c r="X461" s="397">
        <f>+X67-X216</f>
        <v>0</v>
      </c>
      <c r="Y461" s="446">
        <f>+Y65-Y216</f>
        <v>0</v>
      </c>
      <c r="Z461" s="781">
        <f t="shared" ref="Z461:Z524" si="484">P461+T461+X461</f>
        <v>-0.28000000001338776</v>
      </c>
      <c r="AA461" s="397">
        <f>+AA65-AA216</f>
        <v>0</v>
      </c>
      <c r="AB461" s="3562">
        <f t="shared" ref="AB461:AB524" si="485">N461+Z461</f>
        <v>-0.28000000001338776</v>
      </c>
      <c r="AC461" s="397">
        <f>+AC65-AC216</f>
        <v>0</v>
      </c>
      <c r="AD461" s="397">
        <f>+AD67-AD216</f>
        <v>0</v>
      </c>
      <c r="AE461" s="397">
        <f>+AE65-AE216</f>
        <v>0</v>
      </c>
      <c r="AF461" s="782">
        <f t="shared" ref="AF461:AF524" si="486">AB461+AD461</f>
        <v>-0.28000000001338776</v>
      </c>
      <c r="AG461" s="397">
        <f>+AG65-AG216</f>
        <v>0</v>
      </c>
      <c r="AH461" s="397">
        <f>+AH67-AH216</f>
        <v>0</v>
      </c>
      <c r="AI461" s="397">
        <f>+AI65-AI216</f>
        <v>0</v>
      </c>
      <c r="AJ461" s="397">
        <f>+AJ67-AJ216</f>
        <v>-0.27999999996973202</v>
      </c>
      <c r="AK461" s="397">
        <f>+AK65-AK216</f>
        <v>0</v>
      </c>
      <c r="AL461" s="397">
        <f>+AL67-AL216</f>
        <v>0</v>
      </c>
      <c r="AM461" s="446">
        <f>+AM65-AM216</f>
        <v>0</v>
      </c>
      <c r="AN461" s="446">
        <f>+AN67-AN216</f>
        <v>0</v>
      </c>
      <c r="AO461" s="397">
        <f>+AO65-AO216</f>
        <v>0</v>
      </c>
      <c r="AP461" s="397">
        <f>+AP67-AP216</f>
        <v>-0.27999999996973202</v>
      </c>
      <c r="AQ461" s="397">
        <f>+AQ65-AQ216</f>
        <v>0</v>
      </c>
      <c r="AR461" s="397">
        <f>+AR67-AR216</f>
        <v>0</v>
      </c>
      <c r="AS461" s="397">
        <f>+AS65-AS216</f>
        <v>0</v>
      </c>
      <c r="AT461" s="397">
        <f>+AT67-AT216</f>
        <v>-0.27999999996973202</v>
      </c>
      <c r="AU461" s="397">
        <f>+AU65-AU216</f>
        <v>0</v>
      </c>
      <c r="AV461" s="397">
        <f>+AV67-AV216</f>
        <v>0</v>
      </c>
      <c r="AW461" s="397">
        <f>+AW65-AW216</f>
        <v>0</v>
      </c>
      <c r="AX461" s="397">
        <f>+AX67-AX216</f>
        <v>-0.27999999996973202</v>
      </c>
      <c r="AY461" s="397">
        <f>+AY65-AY216</f>
        <v>0</v>
      </c>
      <c r="AZ461" s="397">
        <f>+AZ67-AZ216</f>
        <v>0</v>
      </c>
      <c r="BA461" s="446">
        <f>+BA65-BA216</f>
        <v>0</v>
      </c>
      <c r="BB461" s="446">
        <f>+BB67-BB216</f>
        <v>0</v>
      </c>
      <c r="BC461" s="397">
        <f>+BC65-BC216</f>
        <v>0</v>
      </c>
      <c r="BD461" s="397">
        <f>+BD67-BD216</f>
        <v>0</v>
      </c>
      <c r="BE461" s="397">
        <f>+BE65-BE216</f>
        <v>0</v>
      </c>
      <c r="BF461" s="397">
        <f>+BF67-BF216</f>
        <v>-0.27999999996973202</v>
      </c>
      <c r="BG461" s="26"/>
      <c r="BH461" s="26"/>
      <c r="BI461" s="26"/>
      <c r="BJ461" s="26"/>
      <c r="BK461" s="26"/>
    </row>
    <row r="462" spans="1:63" ht="15" hidden="1" customHeight="1" x14ac:dyDescent="0.3">
      <c r="A462" s="154"/>
      <c r="B462" s="5963"/>
      <c r="C462" s="839"/>
      <c r="D462" s="839"/>
      <c r="E462" s="397">
        <f>+E12-E216</f>
        <v>0</v>
      </c>
      <c r="F462" s="397">
        <f>+F12-F216</f>
        <v>0</v>
      </c>
      <c r="G462" s="397">
        <f>+G12-G216</f>
        <v>0</v>
      </c>
      <c r="H462" s="397">
        <f>+H12-H216</f>
        <v>0</v>
      </c>
      <c r="I462" s="397">
        <f>+I12-I216</f>
        <v>0</v>
      </c>
      <c r="J462" s="782">
        <f t="shared" si="480"/>
        <v>0</v>
      </c>
      <c r="K462" s="397">
        <f>+K12-K216</f>
        <v>0</v>
      </c>
      <c r="L462" s="397">
        <f>+L12-L216</f>
        <v>0</v>
      </c>
      <c r="M462" s="446">
        <f>+M12-M216</f>
        <v>0</v>
      </c>
      <c r="N462" s="781">
        <f t="shared" si="481"/>
        <v>0</v>
      </c>
      <c r="O462" s="397">
        <f>+O12-O216</f>
        <v>0</v>
      </c>
      <c r="P462" s="397">
        <f>+P12-P216</f>
        <v>0</v>
      </c>
      <c r="Q462" s="397">
        <f>+Q12-Q216</f>
        <v>0</v>
      </c>
      <c r="R462" s="782">
        <f t="shared" si="482"/>
        <v>0</v>
      </c>
      <c r="S462" s="397">
        <f>+S12-S216</f>
        <v>0</v>
      </c>
      <c r="T462" s="397">
        <f>+T12-T216</f>
        <v>0</v>
      </c>
      <c r="U462" s="397">
        <f>+U12-U216</f>
        <v>0</v>
      </c>
      <c r="V462" s="782">
        <f t="shared" si="483"/>
        <v>0</v>
      </c>
      <c r="W462" s="397">
        <f>+W12-W216</f>
        <v>0</v>
      </c>
      <c r="X462" s="397">
        <f>+X12-X216</f>
        <v>0</v>
      </c>
      <c r="Y462" s="446">
        <f>+Y12-Y216</f>
        <v>0</v>
      </c>
      <c r="Z462" s="781">
        <f t="shared" si="484"/>
        <v>0</v>
      </c>
      <c r="AA462" s="397">
        <f>+AA12-AA216</f>
        <v>0</v>
      </c>
      <c r="AB462" s="3562">
        <f t="shared" si="485"/>
        <v>0</v>
      </c>
      <c r="AC462" s="397">
        <f>+AC12-AC216</f>
        <v>0</v>
      </c>
      <c r="AD462" s="397">
        <f>+AD12-AD216</f>
        <v>0</v>
      </c>
      <c r="AE462" s="397">
        <f>+AE12-AE216</f>
        <v>0</v>
      </c>
      <c r="AF462" s="782">
        <f t="shared" si="486"/>
        <v>0</v>
      </c>
      <c r="AG462" s="397">
        <f t="shared" ref="AG462:BF462" si="487">+AG12-AG216</f>
        <v>0</v>
      </c>
      <c r="AH462" s="397">
        <f t="shared" si="487"/>
        <v>0</v>
      </c>
      <c r="AI462" s="397">
        <f t="shared" si="487"/>
        <v>0</v>
      </c>
      <c r="AJ462" s="397">
        <f t="shared" si="487"/>
        <v>0</v>
      </c>
      <c r="AK462" s="397">
        <f t="shared" si="487"/>
        <v>0</v>
      </c>
      <c r="AL462" s="397">
        <f t="shared" si="487"/>
        <v>0</v>
      </c>
      <c r="AM462" s="446">
        <f t="shared" si="487"/>
        <v>0</v>
      </c>
      <c r="AN462" s="446">
        <f t="shared" si="487"/>
        <v>0</v>
      </c>
      <c r="AO462" s="397">
        <f t="shared" si="487"/>
        <v>0</v>
      </c>
      <c r="AP462" s="397">
        <f t="shared" si="487"/>
        <v>0</v>
      </c>
      <c r="AQ462" s="397">
        <f t="shared" si="487"/>
        <v>0</v>
      </c>
      <c r="AR462" s="397">
        <f t="shared" si="487"/>
        <v>0</v>
      </c>
      <c r="AS462" s="397">
        <f t="shared" si="487"/>
        <v>0</v>
      </c>
      <c r="AT462" s="397">
        <f t="shared" si="487"/>
        <v>0</v>
      </c>
      <c r="AU462" s="397">
        <f t="shared" si="487"/>
        <v>0</v>
      </c>
      <c r="AV462" s="397">
        <f t="shared" si="487"/>
        <v>0</v>
      </c>
      <c r="AW462" s="397">
        <f t="shared" si="487"/>
        <v>0</v>
      </c>
      <c r="AX462" s="397">
        <f t="shared" si="487"/>
        <v>0</v>
      </c>
      <c r="AY462" s="397">
        <f t="shared" si="487"/>
        <v>0</v>
      </c>
      <c r="AZ462" s="397">
        <f t="shared" si="487"/>
        <v>0</v>
      </c>
      <c r="BA462" s="446">
        <f t="shared" si="487"/>
        <v>0</v>
      </c>
      <c r="BB462" s="446">
        <f t="shared" si="487"/>
        <v>0</v>
      </c>
      <c r="BC462" s="397">
        <f t="shared" si="487"/>
        <v>0</v>
      </c>
      <c r="BD462" s="397">
        <f t="shared" si="487"/>
        <v>0</v>
      </c>
      <c r="BE462" s="397">
        <f t="shared" si="487"/>
        <v>0</v>
      </c>
      <c r="BF462" s="397">
        <f t="shared" si="487"/>
        <v>0</v>
      </c>
      <c r="BG462" s="26"/>
      <c r="BH462" s="26"/>
      <c r="BI462" s="26"/>
      <c r="BJ462" s="26"/>
      <c r="BK462" s="26"/>
    </row>
    <row r="463" spans="1:63" ht="15" hidden="1" customHeight="1" x14ac:dyDescent="0.3">
      <c r="A463" s="154"/>
      <c r="B463" s="5963"/>
      <c r="C463" s="899"/>
      <c r="D463" s="899"/>
      <c r="E463" s="899"/>
      <c r="F463" s="366">
        <f>+F9-F232</f>
        <v>0</v>
      </c>
      <c r="G463" s="899"/>
      <c r="H463" s="366">
        <f>+H9-H232</f>
        <v>0</v>
      </c>
      <c r="I463" s="899"/>
      <c r="J463" s="782">
        <f t="shared" si="480"/>
        <v>0</v>
      </c>
      <c r="K463" s="899"/>
      <c r="L463" s="366">
        <f>+L9-L232</f>
        <v>0</v>
      </c>
      <c r="M463" s="645"/>
      <c r="N463" s="781">
        <f t="shared" si="481"/>
        <v>0</v>
      </c>
      <c r="O463" s="899"/>
      <c r="P463" s="366">
        <f>+P9-P232</f>
        <v>0</v>
      </c>
      <c r="Q463" s="899"/>
      <c r="R463" s="782">
        <f t="shared" si="482"/>
        <v>0</v>
      </c>
      <c r="S463" s="899"/>
      <c r="T463" s="366">
        <f>+T9-T232</f>
        <v>0</v>
      </c>
      <c r="U463" s="899"/>
      <c r="V463" s="782">
        <f t="shared" si="483"/>
        <v>0</v>
      </c>
      <c r="W463" s="899"/>
      <c r="X463" s="366">
        <f>+X9-X232</f>
        <v>0</v>
      </c>
      <c r="Y463" s="645"/>
      <c r="Z463" s="781">
        <f t="shared" si="484"/>
        <v>0</v>
      </c>
      <c r="AA463" s="899"/>
      <c r="AB463" s="3562">
        <f t="shared" si="485"/>
        <v>0</v>
      </c>
      <c r="AC463" s="899"/>
      <c r="AD463" s="366">
        <f>+AD9-AD232</f>
        <v>0</v>
      </c>
      <c r="AE463" s="899"/>
      <c r="AF463" s="782">
        <f t="shared" si="486"/>
        <v>0</v>
      </c>
      <c r="AG463" s="899"/>
      <c r="AH463" s="366">
        <f>+AH9-AH232</f>
        <v>0</v>
      </c>
      <c r="AI463" s="899"/>
      <c r="AJ463" s="366">
        <f>+AJ9-AJ232</f>
        <v>0</v>
      </c>
      <c r="AK463" s="899"/>
      <c r="AL463" s="366">
        <f>+AL9-AL232</f>
        <v>0</v>
      </c>
      <c r="AM463" s="645"/>
      <c r="AN463" s="446">
        <f>+AN9-AN232</f>
        <v>0</v>
      </c>
      <c r="AO463" s="899"/>
      <c r="AP463" s="366">
        <f>+AP9-AP232</f>
        <v>0</v>
      </c>
      <c r="AQ463" s="899"/>
      <c r="AR463" s="366">
        <f>+AR9-AR232</f>
        <v>0</v>
      </c>
      <c r="AS463" s="899"/>
      <c r="AT463" s="366">
        <f>+AT9-AT232</f>
        <v>0</v>
      </c>
      <c r="AU463" s="899"/>
      <c r="AV463" s="366">
        <f>+AV9-AV232</f>
        <v>0</v>
      </c>
      <c r="AW463" s="899"/>
      <c r="AX463" s="366">
        <f>+AX9-AX232</f>
        <v>0</v>
      </c>
      <c r="AY463" s="899"/>
      <c r="AZ463" s="366">
        <f>+AZ9-AZ232</f>
        <v>0</v>
      </c>
      <c r="BA463" s="645"/>
      <c r="BB463" s="446">
        <f>+BB9-BB232</f>
        <v>0</v>
      </c>
      <c r="BC463" s="899"/>
      <c r="BD463" s="366">
        <f>+BD9-BD232</f>
        <v>0</v>
      </c>
      <c r="BE463" s="899"/>
      <c r="BF463" s="366">
        <f>+BF9-BF232</f>
        <v>0</v>
      </c>
      <c r="BG463" s="26"/>
      <c r="BH463" s="26"/>
      <c r="BI463" s="26"/>
      <c r="BJ463" s="26"/>
      <c r="BK463" s="26"/>
    </row>
    <row r="464" spans="1:63" ht="15" hidden="1" customHeight="1" x14ac:dyDescent="0.3">
      <c r="A464" s="154"/>
      <c r="B464" s="5963" t="s">
        <v>1142</v>
      </c>
      <c r="C464" s="271"/>
      <c r="D464" s="271"/>
      <c r="E464" s="366">
        <f>+E19-E69</f>
        <v>0</v>
      </c>
      <c r="F464" s="366">
        <f>+F19-F71</f>
        <v>0</v>
      </c>
      <c r="G464" s="366">
        <f>+G19-G69</f>
        <v>0</v>
      </c>
      <c r="H464" s="366">
        <f>+H19-H71</f>
        <v>0</v>
      </c>
      <c r="I464" s="366">
        <f>+I19-I69</f>
        <v>0</v>
      </c>
      <c r="J464" s="782">
        <f t="shared" si="480"/>
        <v>0</v>
      </c>
      <c r="K464" s="366">
        <f>+K19-K69</f>
        <v>0</v>
      </c>
      <c r="L464" s="366">
        <f>+L19-L71</f>
        <v>0</v>
      </c>
      <c r="M464" s="446">
        <f>+M19-M69</f>
        <v>0</v>
      </c>
      <c r="N464" s="781">
        <f t="shared" si="481"/>
        <v>0</v>
      </c>
      <c r="O464" s="366">
        <f>+O19-O69</f>
        <v>0</v>
      </c>
      <c r="P464" s="366">
        <f>+P19-P71</f>
        <v>0</v>
      </c>
      <c r="Q464" s="366">
        <f>+Q19-Q69</f>
        <v>0</v>
      </c>
      <c r="R464" s="782">
        <f t="shared" si="482"/>
        <v>0</v>
      </c>
      <c r="S464" s="366">
        <f>+S19-S69</f>
        <v>0</v>
      </c>
      <c r="T464" s="366">
        <f>+T19-T71</f>
        <v>0</v>
      </c>
      <c r="U464" s="366">
        <f>+U19-U69</f>
        <v>0</v>
      </c>
      <c r="V464" s="782">
        <f t="shared" si="483"/>
        <v>0</v>
      </c>
      <c r="W464" s="366">
        <f>+W19-W69</f>
        <v>0</v>
      </c>
      <c r="X464" s="366">
        <f>+X19-X71</f>
        <v>0</v>
      </c>
      <c r="Y464" s="446">
        <f>+Y19-Y69</f>
        <v>0</v>
      </c>
      <c r="Z464" s="781">
        <f t="shared" si="484"/>
        <v>0</v>
      </c>
      <c r="AA464" s="366">
        <f>+AA19-AA69</f>
        <v>0</v>
      </c>
      <c r="AB464" s="3562">
        <f t="shared" si="485"/>
        <v>0</v>
      </c>
      <c r="AC464" s="366">
        <f>+AC19-AC69</f>
        <v>0</v>
      </c>
      <c r="AD464" s="366">
        <f>+AD19-AD71</f>
        <v>0</v>
      </c>
      <c r="AE464" s="366">
        <f>+AE19-AE69</f>
        <v>0</v>
      </c>
      <c r="AF464" s="782">
        <f t="shared" si="486"/>
        <v>0</v>
      </c>
      <c r="AG464" s="366">
        <f>+AG19-AG69</f>
        <v>0</v>
      </c>
      <c r="AH464" s="366">
        <f>+AH19-AH71</f>
        <v>0</v>
      </c>
      <c r="AI464" s="366">
        <f>+AI19-AI69</f>
        <v>0</v>
      </c>
      <c r="AJ464" s="366">
        <f>+AJ19-AJ71</f>
        <v>0</v>
      </c>
      <c r="AK464" s="366">
        <f>+AK19-AK69</f>
        <v>0</v>
      </c>
      <c r="AL464" s="366">
        <f>+AL19-AL71</f>
        <v>0</v>
      </c>
      <c r="AM464" s="446">
        <f>+AM19-AM69</f>
        <v>0</v>
      </c>
      <c r="AN464" s="446">
        <f>+AN19-AN71</f>
        <v>0</v>
      </c>
      <c r="AO464" s="366">
        <f>+AO19-AO69</f>
        <v>0</v>
      </c>
      <c r="AP464" s="366">
        <f>+AP19-AP71</f>
        <v>0</v>
      </c>
      <c r="AQ464" s="366">
        <f>+AQ19-AQ69</f>
        <v>0</v>
      </c>
      <c r="AR464" s="366">
        <f>+AR19-AR71</f>
        <v>0</v>
      </c>
      <c r="AS464" s="366">
        <f>+AS19-AS69</f>
        <v>0</v>
      </c>
      <c r="AT464" s="366">
        <f>+AT19-AT71</f>
        <v>0</v>
      </c>
      <c r="AU464" s="366">
        <f>+AU19-AU69</f>
        <v>0</v>
      </c>
      <c r="AV464" s="366">
        <f>+AV19-AV71</f>
        <v>0</v>
      </c>
      <c r="AW464" s="366">
        <f>+AW19-AW69</f>
        <v>0</v>
      </c>
      <c r="AX464" s="366">
        <f>+AX19-AX71</f>
        <v>0</v>
      </c>
      <c r="AY464" s="366">
        <f>+AY19-AY69</f>
        <v>0</v>
      </c>
      <c r="AZ464" s="366">
        <f>+AZ19-AZ71</f>
        <v>0</v>
      </c>
      <c r="BA464" s="446">
        <f>+BA19-BA69</f>
        <v>0</v>
      </c>
      <c r="BB464" s="446">
        <f>+BB19-BB71</f>
        <v>0</v>
      </c>
      <c r="BC464" s="366">
        <f>+BC19-BC69</f>
        <v>0</v>
      </c>
      <c r="BD464" s="366">
        <f>+BD19-BD71</f>
        <v>0</v>
      </c>
      <c r="BE464" s="366">
        <f>+BE19-BE69</f>
        <v>0</v>
      </c>
      <c r="BF464" s="366">
        <f>+BF19-BF71</f>
        <v>0</v>
      </c>
      <c r="BG464" s="26"/>
      <c r="BH464" s="26"/>
      <c r="BI464" s="26"/>
      <c r="BJ464" s="26"/>
      <c r="BK464" s="26"/>
    </row>
    <row r="465" spans="1:63" ht="21.2" hidden="1" customHeight="1" x14ac:dyDescent="0.3">
      <c r="A465" s="154"/>
      <c r="B465" s="5963"/>
      <c r="C465" s="271"/>
      <c r="D465" s="271"/>
      <c r="E465" s="366">
        <f>+E69-E273</f>
        <v>0</v>
      </c>
      <c r="F465" s="366">
        <f>+F71-F273</f>
        <v>0</v>
      </c>
      <c r="G465" s="366">
        <f>+G69-G273</f>
        <v>0</v>
      </c>
      <c r="H465" s="366">
        <f>+H71-H273</f>
        <v>0</v>
      </c>
      <c r="I465" s="366">
        <f>+I69-I273</f>
        <v>0</v>
      </c>
      <c r="J465" s="782">
        <f t="shared" si="480"/>
        <v>0</v>
      </c>
      <c r="K465" s="366">
        <f>+K69-K273</f>
        <v>0</v>
      </c>
      <c r="L465" s="366">
        <f>+L71-L273</f>
        <v>0</v>
      </c>
      <c r="M465" s="446">
        <f>+M69-M273</f>
        <v>0</v>
      </c>
      <c r="N465" s="781">
        <f t="shared" si="481"/>
        <v>0</v>
      </c>
      <c r="O465" s="366">
        <f>+O69-O273</f>
        <v>0</v>
      </c>
      <c r="P465" s="366">
        <f>+P71-P273</f>
        <v>0</v>
      </c>
      <c r="Q465" s="366">
        <f>+Q69-Q273</f>
        <v>0</v>
      </c>
      <c r="R465" s="782">
        <f t="shared" si="482"/>
        <v>0</v>
      </c>
      <c r="S465" s="366">
        <f>+S69-S273</f>
        <v>0</v>
      </c>
      <c r="T465" s="366">
        <f>+T71-T273</f>
        <v>0</v>
      </c>
      <c r="U465" s="366">
        <f>+U69-U273</f>
        <v>0</v>
      </c>
      <c r="V465" s="782">
        <f t="shared" si="483"/>
        <v>0</v>
      </c>
      <c r="W465" s="366">
        <f>+W69-W273</f>
        <v>0</v>
      </c>
      <c r="X465" s="366">
        <f>+X71-X273</f>
        <v>0</v>
      </c>
      <c r="Y465" s="446">
        <f>+Y69-Y273</f>
        <v>0</v>
      </c>
      <c r="Z465" s="781">
        <f t="shared" si="484"/>
        <v>0</v>
      </c>
      <c r="AA465" s="366">
        <f>+AA69-AA273</f>
        <v>0</v>
      </c>
      <c r="AB465" s="3562">
        <f t="shared" si="485"/>
        <v>0</v>
      </c>
      <c r="AC465" s="366">
        <f>+AC69-AC273</f>
        <v>0</v>
      </c>
      <c r="AD465" s="366">
        <f>+AD71-AD273</f>
        <v>0</v>
      </c>
      <c r="AE465" s="366">
        <f>+AE69-AE273</f>
        <v>0</v>
      </c>
      <c r="AF465" s="782">
        <f t="shared" si="486"/>
        <v>0</v>
      </c>
      <c r="AG465" s="366">
        <f>+AG69-AG273</f>
        <v>0</v>
      </c>
      <c r="AH465" s="366">
        <f>+AH71-AH273</f>
        <v>0</v>
      </c>
      <c r="AI465" s="366">
        <f>+AI69-AI273</f>
        <v>0</v>
      </c>
      <c r="AJ465" s="366">
        <f>+AJ71-AJ273</f>
        <v>0</v>
      </c>
      <c r="AK465" s="366">
        <f>+AK69-AK273</f>
        <v>0</v>
      </c>
      <c r="AL465" s="366">
        <f>+AL71-AL273</f>
        <v>0</v>
      </c>
      <c r="AM465" s="446">
        <f>+AM69-AM273</f>
        <v>0</v>
      </c>
      <c r="AN465" s="446">
        <f>+AN71-AN273</f>
        <v>0</v>
      </c>
      <c r="AO465" s="366">
        <f>+AO69-AO273</f>
        <v>0</v>
      </c>
      <c r="AP465" s="366">
        <f>+AP71-AP273</f>
        <v>0</v>
      </c>
      <c r="AQ465" s="366">
        <f>+AQ69-AQ273</f>
        <v>0</v>
      </c>
      <c r="AR465" s="366">
        <f>+AR71-AR273</f>
        <v>0</v>
      </c>
      <c r="AS465" s="366">
        <f>+AS69-AS273</f>
        <v>0</v>
      </c>
      <c r="AT465" s="366">
        <f>+AT71-AT273</f>
        <v>0</v>
      </c>
      <c r="AU465" s="366">
        <f>+AU69-AU273</f>
        <v>0</v>
      </c>
      <c r="AV465" s="366">
        <f>+AV71-AV273</f>
        <v>0</v>
      </c>
      <c r="AW465" s="366">
        <f>+AW69-AW273</f>
        <v>0</v>
      </c>
      <c r="AX465" s="366">
        <f>+AX71-AX273</f>
        <v>0</v>
      </c>
      <c r="AY465" s="366">
        <f>+AY69-AY273</f>
        <v>0</v>
      </c>
      <c r="AZ465" s="366">
        <f>+AZ71-AZ273</f>
        <v>0</v>
      </c>
      <c r="BA465" s="446">
        <f>+BA69-BA273</f>
        <v>0</v>
      </c>
      <c r="BB465" s="446">
        <f>+BB71-BB273</f>
        <v>0</v>
      </c>
      <c r="BC465" s="366">
        <f>+BC69-BC273</f>
        <v>0</v>
      </c>
      <c r="BD465" s="366">
        <f>+BD71-BD273</f>
        <v>0</v>
      </c>
      <c r="BE465" s="366">
        <f>+BE69-BE273</f>
        <v>0</v>
      </c>
      <c r="BF465" s="366">
        <f>+BF71-BF273</f>
        <v>0</v>
      </c>
      <c r="BG465" s="26"/>
      <c r="BH465" s="26"/>
      <c r="BI465" s="26"/>
      <c r="BJ465" s="26"/>
      <c r="BK465" s="26"/>
    </row>
    <row r="466" spans="1:63" ht="15" hidden="1" customHeight="1" x14ac:dyDescent="0.3">
      <c r="A466" s="154"/>
      <c r="B466" s="5963"/>
      <c r="C466" s="271"/>
      <c r="D466" s="271"/>
      <c r="E466" s="366">
        <f>+E19-E273</f>
        <v>0</v>
      </c>
      <c r="F466" s="366">
        <f>+F19-F273</f>
        <v>0</v>
      </c>
      <c r="G466" s="366">
        <f>+G19-G273</f>
        <v>0</v>
      </c>
      <c r="H466" s="366">
        <f>+H19-H273</f>
        <v>0</v>
      </c>
      <c r="I466" s="366">
        <f>+I19-I273</f>
        <v>0</v>
      </c>
      <c r="J466" s="782">
        <f t="shared" si="480"/>
        <v>0</v>
      </c>
      <c r="K466" s="366">
        <f>+K19-K273</f>
        <v>0</v>
      </c>
      <c r="L466" s="366">
        <f>+L19-L273</f>
        <v>0</v>
      </c>
      <c r="M466" s="446">
        <f>+M19-M273</f>
        <v>0</v>
      </c>
      <c r="N466" s="781">
        <f t="shared" si="481"/>
        <v>0</v>
      </c>
      <c r="O466" s="366">
        <f>+O19-O273</f>
        <v>0</v>
      </c>
      <c r="P466" s="366">
        <f>+P19-P273</f>
        <v>0</v>
      </c>
      <c r="Q466" s="366">
        <f>+Q19-Q273</f>
        <v>0</v>
      </c>
      <c r="R466" s="782">
        <f t="shared" si="482"/>
        <v>0</v>
      </c>
      <c r="S466" s="366">
        <f>+S19-S273</f>
        <v>0</v>
      </c>
      <c r="T466" s="366">
        <f>+T19-T273</f>
        <v>0</v>
      </c>
      <c r="U466" s="366">
        <f>+U19-U273</f>
        <v>0</v>
      </c>
      <c r="V466" s="782">
        <f t="shared" si="483"/>
        <v>0</v>
      </c>
      <c r="W466" s="366">
        <f>+W19-W273</f>
        <v>0</v>
      </c>
      <c r="X466" s="366">
        <f>+X19-X273</f>
        <v>0</v>
      </c>
      <c r="Y466" s="446">
        <f>+Y19-Y273</f>
        <v>0</v>
      </c>
      <c r="Z466" s="781">
        <f t="shared" si="484"/>
        <v>0</v>
      </c>
      <c r="AA466" s="366">
        <f>+AA19-AA273</f>
        <v>0</v>
      </c>
      <c r="AB466" s="3562">
        <f t="shared" si="485"/>
        <v>0</v>
      </c>
      <c r="AC466" s="366">
        <f>+AC19-AC273</f>
        <v>0</v>
      </c>
      <c r="AD466" s="366">
        <f>+AD19-AD273</f>
        <v>0</v>
      </c>
      <c r="AE466" s="366">
        <f>+AE19-AE273</f>
        <v>0</v>
      </c>
      <c r="AF466" s="782">
        <f t="shared" si="486"/>
        <v>0</v>
      </c>
      <c r="AG466" s="366">
        <f t="shared" ref="AG466:BF466" si="488">+AG19-AG273</f>
        <v>0</v>
      </c>
      <c r="AH466" s="366">
        <f t="shared" si="488"/>
        <v>0</v>
      </c>
      <c r="AI466" s="366">
        <f t="shared" si="488"/>
        <v>0</v>
      </c>
      <c r="AJ466" s="366">
        <f t="shared" si="488"/>
        <v>0</v>
      </c>
      <c r="AK466" s="366">
        <f t="shared" si="488"/>
        <v>0</v>
      </c>
      <c r="AL466" s="366">
        <f t="shared" si="488"/>
        <v>0</v>
      </c>
      <c r="AM466" s="446">
        <f t="shared" si="488"/>
        <v>0</v>
      </c>
      <c r="AN466" s="446">
        <f t="shared" si="488"/>
        <v>0</v>
      </c>
      <c r="AO466" s="366">
        <f t="shared" si="488"/>
        <v>0</v>
      </c>
      <c r="AP466" s="366">
        <f t="shared" si="488"/>
        <v>0</v>
      </c>
      <c r="AQ466" s="366">
        <f t="shared" si="488"/>
        <v>0</v>
      </c>
      <c r="AR466" s="366">
        <f t="shared" si="488"/>
        <v>0</v>
      </c>
      <c r="AS466" s="366">
        <f t="shared" si="488"/>
        <v>0</v>
      </c>
      <c r="AT466" s="366">
        <f t="shared" si="488"/>
        <v>0</v>
      </c>
      <c r="AU466" s="366">
        <f t="shared" si="488"/>
        <v>0</v>
      </c>
      <c r="AV466" s="366">
        <f t="shared" si="488"/>
        <v>0</v>
      </c>
      <c r="AW466" s="366">
        <f t="shared" si="488"/>
        <v>0</v>
      </c>
      <c r="AX466" s="366">
        <f t="shared" si="488"/>
        <v>0</v>
      </c>
      <c r="AY466" s="366">
        <f t="shared" si="488"/>
        <v>0</v>
      </c>
      <c r="AZ466" s="366">
        <f t="shared" si="488"/>
        <v>0</v>
      </c>
      <c r="BA466" s="446">
        <f t="shared" si="488"/>
        <v>0</v>
      </c>
      <c r="BB466" s="446">
        <f t="shared" si="488"/>
        <v>0</v>
      </c>
      <c r="BC466" s="366">
        <f t="shared" si="488"/>
        <v>0</v>
      </c>
      <c r="BD466" s="366">
        <f t="shared" si="488"/>
        <v>0</v>
      </c>
      <c r="BE466" s="366">
        <f t="shared" si="488"/>
        <v>0</v>
      </c>
      <c r="BF466" s="366">
        <f t="shared" si="488"/>
        <v>0</v>
      </c>
      <c r="BG466" s="26"/>
      <c r="BH466" s="26"/>
      <c r="BI466" s="26"/>
      <c r="BJ466" s="26"/>
      <c r="BK466" s="26"/>
    </row>
    <row r="467" spans="1:63" ht="15" hidden="1" customHeight="1" x14ac:dyDescent="0.3">
      <c r="A467" s="154"/>
      <c r="B467" s="5963"/>
      <c r="C467" s="271"/>
      <c r="D467" s="271"/>
      <c r="E467" s="899"/>
      <c r="F467" s="366">
        <f>+F16-F278</f>
        <v>0</v>
      </c>
      <c r="G467" s="899"/>
      <c r="H467" s="366">
        <f>+H16-H278</f>
        <v>0</v>
      </c>
      <c r="I467" s="899"/>
      <c r="J467" s="782">
        <f t="shared" si="480"/>
        <v>0</v>
      </c>
      <c r="K467" s="899"/>
      <c r="L467" s="366">
        <f>+L16-L278</f>
        <v>0</v>
      </c>
      <c r="M467" s="645"/>
      <c r="N467" s="781">
        <f t="shared" si="481"/>
        <v>0</v>
      </c>
      <c r="O467" s="899"/>
      <c r="P467" s="366">
        <f>+P16-P278</f>
        <v>0</v>
      </c>
      <c r="Q467" s="899"/>
      <c r="R467" s="782">
        <f t="shared" si="482"/>
        <v>0</v>
      </c>
      <c r="S467" s="899"/>
      <c r="T467" s="366">
        <f>+T16-T278</f>
        <v>0</v>
      </c>
      <c r="U467" s="899"/>
      <c r="V467" s="782">
        <f t="shared" si="483"/>
        <v>0</v>
      </c>
      <c r="W467" s="899"/>
      <c r="X467" s="366">
        <f>+X16-X278</f>
        <v>0</v>
      </c>
      <c r="Y467" s="645"/>
      <c r="Z467" s="781">
        <f t="shared" si="484"/>
        <v>0</v>
      </c>
      <c r="AA467" s="899"/>
      <c r="AB467" s="3562">
        <f t="shared" si="485"/>
        <v>0</v>
      </c>
      <c r="AC467" s="899"/>
      <c r="AD467" s="366">
        <f>+AD16-AD278</f>
        <v>0</v>
      </c>
      <c r="AE467" s="899"/>
      <c r="AF467" s="782">
        <f t="shared" si="486"/>
        <v>0</v>
      </c>
      <c r="AG467" s="899"/>
      <c r="AH467" s="366">
        <f>+AH16-AH278</f>
        <v>0</v>
      </c>
      <c r="AI467" s="899"/>
      <c r="AJ467" s="366">
        <f>+AJ16-AJ278</f>
        <v>0</v>
      </c>
      <c r="AK467" s="899"/>
      <c r="AL467" s="366">
        <f>+AL16-AL278</f>
        <v>0</v>
      </c>
      <c r="AM467" s="645"/>
      <c r="AN467" s="366">
        <f>+AN16-AN278</f>
        <v>0</v>
      </c>
      <c r="AO467" s="899"/>
      <c r="AP467" s="366">
        <f>+AP16-AP278</f>
        <v>0</v>
      </c>
      <c r="AQ467" s="899"/>
      <c r="AR467" s="366">
        <f>+AR16-AR278</f>
        <v>0</v>
      </c>
      <c r="AS467" s="899"/>
      <c r="AT467" s="366">
        <f>+AT16-AT278</f>
        <v>0</v>
      </c>
      <c r="AU467" s="899"/>
      <c r="AV467" s="366">
        <f>+AV16-AV278</f>
        <v>0</v>
      </c>
      <c r="AW467" s="899"/>
      <c r="AX467" s="366">
        <f>+AX16-AX278</f>
        <v>0</v>
      </c>
      <c r="AY467" s="899"/>
      <c r="AZ467" s="366">
        <f>+AZ16-AZ278</f>
        <v>0</v>
      </c>
      <c r="BA467" s="645"/>
      <c r="BB467" s="446">
        <f>+BB16-BB278</f>
        <v>0</v>
      </c>
      <c r="BC467" s="899"/>
      <c r="BD467" s="366">
        <f>+BD16-BD278</f>
        <v>0</v>
      </c>
      <c r="BE467" s="899"/>
      <c r="BF467" s="366">
        <f>+BF16-BF278</f>
        <v>0</v>
      </c>
      <c r="BG467" s="26"/>
      <c r="BH467" s="26"/>
      <c r="BI467" s="26"/>
      <c r="BJ467" s="26"/>
      <c r="BK467" s="26"/>
    </row>
    <row r="468" spans="1:63" ht="15" hidden="1" customHeight="1" x14ac:dyDescent="0.3">
      <c r="A468" s="154"/>
      <c r="B468" s="5963" t="s">
        <v>1143</v>
      </c>
      <c r="C468" s="642"/>
      <c r="D468" s="642"/>
      <c r="E468" s="397">
        <f>+E26-E73</f>
        <v>0</v>
      </c>
      <c r="F468" s="397">
        <f>+F26-F75</f>
        <v>0</v>
      </c>
      <c r="G468" s="397">
        <f>+G26-G73</f>
        <v>0</v>
      </c>
      <c r="H468" s="397">
        <f>+H26-H75</f>
        <v>0</v>
      </c>
      <c r="I468" s="397">
        <f>+I26-I73</f>
        <v>0</v>
      </c>
      <c r="J468" s="782">
        <f t="shared" si="480"/>
        <v>0</v>
      </c>
      <c r="K468" s="397">
        <f>+K26-K73</f>
        <v>0</v>
      </c>
      <c r="L468" s="397">
        <f>+L26-L75</f>
        <v>0</v>
      </c>
      <c r="M468" s="446">
        <f>+M26-M73</f>
        <v>0</v>
      </c>
      <c r="N468" s="781">
        <f t="shared" si="481"/>
        <v>0</v>
      </c>
      <c r="O468" s="397">
        <f>+O26-O73</f>
        <v>0</v>
      </c>
      <c r="P468" s="397">
        <f>+P26-P75</f>
        <v>0</v>
      </c>
      <c r="Q468" s="397">
        <f>+Q26-Q73</f>
        <v>0</v>
      </c>
      <c r="R468" s="782">
        <f t="shared" si="482"/>
        <v>0</v>
      </c>
      <c r="S468" s="397">
        <f>+S26-S73</f>
        <v>0</v>
      </c>
      <c r="T468" s="397">
        <f>+T26-T75</f>
        <v>0</v>
      </c>
      <c r="U468" s="397">
        <f>+U26-U73</f>
        <v>0</v>
      </c>
      <c r="V468" s="782">
        <f t="shared" si="483"/>
        <v>0</v>
      </c>
      <c r="W468" s="397">
        <f>+W26-W73</f>
        <v>0</v>
      </c>
      <c r="X468" s="397">
        <f>+X26-X75</f>
        <v>0</v>
      </c>
      <c r="Y468" s="446">
        <f>+Y26-Y73</f>
        <v>0</v>
      </c>
      <c r="Z468" s="781">
        <f t="shared" si="484"/>
        <v>0</v>
      </c>
      <c r="AA468" s="397">
        <f>+AA26-AA73</f>
        <v>0</v>
      </c>
      <c r="AB468" s="3562">
        <f t="shared" si="485"/>
        <v>0</v>
      </c>
      <c r="AC468" s="397">
        <f>+AC26-AC73</f>
        <v>0</v>
      </c>
      <c r="AD468" s="397">
        <f>+AD26-AD75</f>
        <v>0</v>
      </c>
      <c r="AE468" s="397">
        <f>+AE26-AE73</f>
        <v>0</v>
      </c>
      <c r="AF468" s="782">
        <f t="shared" si="486"/>
        <v>0</v>
      </c>
      <c r="AG468" s="397">
        <f>+AG26-AG73</f>
        <v>0</v>
      </c>
      <c r="AH468" s="397">
        <f>+AH26-AH75</f>
        <v>0</v>
      </c>
      <c r="AI468" s="397">
        <f>+AI26-AI73</f>
        <v>0</v>
      </c>
      <c r="AJ468" s="397">
        <f>+AJ26-AJ75</f>
        <v>0</v>
      </c>
      <c r="AK468" s="397">
        <f>+AK26-AK73</f>
        <v>0</v>
      </c>
      <c r="AL468" s="397">
        <f>+AL26-AL75</f>
        <v>0</v>
      </c>
      <c r="AM468" s="446">
        <f>+AM26-AM73</f>
        <v>0</v>
      </c>
      <c r="AN468" s="446">
        <f>+AN26-AN75</f>
        <v>0</v>
      </c>
      <c r="AO468" s="397">
        <f>+AO26-AO73</f>
        <v>0</v>
      </c>
      <c r="AP468" s="397">
        <f>+AP26-AP75</f>
        <v>0</v>
      </c>
      <c r="AQ468" s="397">
        <f>+AQ26-AQ73</f>
        <v>0</v>
      </c>
      <c r="AR468" s="397">
        <f>+AR26-AR75</f>
        <v>0</v>
      </c>
      <c r="AS468" s="397">
        <f>+AS26-AS73</f>
        <v>0</v>
      </c>
      <c r="AT468" s="397">
        <f>+AT26-AT75</f>
        <v>0</v>
      </c>
      <c r="AU468" s="397">
        <f>+AU26-AU73</f>
        <v>0</v>
      </c>
      <c r="AV468" s="397">
        <f>+AV26-AV75</f>
        <v>0</v>
      </c>
      <c r="AW468" s="397">
        <f>+AW26-AW73</f>
        <v>0</v>
      </c>
      <c r="AX468" s="397">
        <f>+AX26-AX75</f>
        <v>0</v>
      </c>
      <c r="AY468" s="397">
        <f>+AY26-AY73</f>
        <v>0</v>
      </c>
      <c r="AZ468" s="397">
        <f>+AZ26-AZ75</f>
        <v>0</v>
      </c>
      <c r="BA468" s="446">
        <f>+BA26-BA73</f>
        <v>0</v>
      </c>
      <c r="BB468" s="446">
        <f>+BB26-BB75</f>
        <v>0</v>
      </c>
      <c r="BC468" s="397">
        <f>+BC26-BC73</f>
        <v>0</v>
      </c>
      <c r="BD468" s="397">
        <f>+BD26-BD75</f>
        <v>0</v>
      </c>
      <c r="BE468" s="397">
        <f>+BE26-BE73</f>
        <v>0</v>
      </c>
      <c r="BF468" s="397">
        <f>+BF26-BF75</f>
        <v>0</v>
      </c>
      <c r="BG468" s="26"/>
      <c r="BH468" s="26"/>
      <c r="BI468" s="26"/>
      <c r="BJ468" s="26"/>
      <c r="BK468" s="26"/>
    </row>
    <row r="469" spans="1:63" ht="15" hidden="1" customHeight="1" x14ac:dyDescent="0.3">
      <c r="A469" s="154"/>
      <c r="B469" s="5963"/>
      <c r="C469" s="642"/>
      <c r="D469" s="642"/>
      <c r="E469" s="397">
        <f>+E73-E377</f>
        <v>0</v>
      </c>
      <c r="F469" s="397">
        <f>+F75-F377</f>
        <v>0</v>
      </c>
      <c r="G469" s="397">
        <f>+G73-G377</f>
        <v>0</v>
      </c>
      <c r="H469" s="397">
        <f>+H75-H377</f>
        <v>0</v>
      </c>
      <c r="I469" s="397">
        <f>+I73-I377</f>
        <v>0</v>
      </c>
      <c r="J469" s="782">
        <f t="shared" si="480"/>
        <v>0</v>
      </c>
      <c r="K469" s="397">
        <f>+K73-K377</f>
        <v>0</v>
      </c>
      <c r="L469" s="397">
        <f>+L75-L377</f>
        <v>0</v>
      </c>
      <c r="M469" s="446">
        <f>+M73-M377</f>
        <v>0</v>
      </c>
      <c r="N469" s="781">
        <f t="shared" si="481"/>
        <v>0</v>
      </c>
      <c r="O469" s="397">
        <f>+O73-O377</f>
        <v>0</v>
      </c>
      <c r="P469" s="397">
        <f>+P75-P377</f>
        <v>0</v>
      </c>
      <c r="Q469" s="397">
        <f>+Q73-Q377</f>
        <v>0</v>
      </c>
      <c r="R469" s="782">
        <f t="shared" si="482"/>
        <v>0</v>
      </c>
      <c r="S469" s="397">
        <f>+S73-S377</f>
        <v>0</v>
      </c>
      <c r="T469" s="397">
        <f>+T75-T377</f>
        <v>0</v>
      </c>
      <c r="U469" s="397">
        <f>+U73-U377</f>
        <v>0</v>
      </c>
      <c r="V469" s="782">
        <f t="shared" si="483"/>
        <v>0</v>
      </c>
      <c r="W469" s="397">
        <f>+W73-W377</f>
        <v>0</v>
      </c>
      <c r="X469" s="397">
        <f>+X75-X377</f>
        <v>0</v>
      </c>
      <c r="Y469" s="446">
        <f>+Y73-Y377</f>
        <v>0</v>
      </c>
      <c r="Z469" s="781">
        <f t="shared" si="484"/>
        <v>0</v>
      </c>
      <c r="AA469" s="397">
        <f>+AA73-AA377</f>
        <v>0</v>
      </c>
      <c r="AB469" s="3562">
        <f t="shared" si="485"/>
        <v>0</v>
      </c>
      <c r="AC469" s="397">
        <f>+AC73-AC377</f>
        <v>0</v>
      </c>
      <c r="AD469" s="397">
        <f>+AD75-AD377</f>
        <v>0</v>
      </c>
      <c r="AE469" s="397">
        <f>+AE73-AE377</f>
        <v>0</v>
      </c>
      <c r="AF469" s="782">
        <f t="shared" si="486"/>
        <v>0</v>
      </c>
      <c r="AG469" s="397">
        <f>+AG73-AG377</f>
        <v>0</v>
      </c>
      <c r="AH469" s="397">
        <f>+AH75-AH377</f>
        <v>0</v>
      </c>
      <c r="AI469" s="397">
        <f>+AI73-AI377</f>
        <v>0</v>
      </c>
      <c r="AJ469" s="397">
        <f>+AJ75-AJ377</f>
        <v>0</v>
      </c>
      <c r="AK469" s="397">
        <f>+AK73-AK377</f>
        <v>0</v>
      </c>
      <c r="AL469" s="397">
        <f>+AL75-AL377</f>
        <v>0</v>
      </c>
      <c r="AM469" s="446">
        <f>+AM73-AM377</f>
        <v>0</v>
      </c>
      <c r="AN469" s="446">
        <f>+AN75-AN377</f>
        <v>0</v>
      </c>
      <c r="AO469" s="397">
        <f>+AO73-AO377</f>
        <v>0</v>
      </c>
      <c r="AP469" s="397">
        <f>+AP75-AP377</f>
        <v>0</v>
      </c>
      <c r="AQ469" s="397">
        <f>+AQ73-AQ377</f>
        <v>0</v>
      </c>
      <c r="AR469" s="397">
        <f>+AR75-AR377</f>
        <v>0</v>
      </c>
      <c r="AS469" s="397">
        <f>+AS73-AS377</f>
        <v>0</v>
      </c>
      <c r="AT469" s="397">
        <f>+AT75-AT377</f>
        <v>0</v>
      </c>
      <c r="AU469" s="397">
        <f>+AU73-AU377</f>
        <v>0</v>
      </c>
      <c r="AV469" s="397">
        <f>+AV75-AV377</f>
        <v>0</v>
      </c>
      <c r="AW469" s="397">
        <f>+AW73-AW377</f>
        <v>0</v>
      </c>
      <c r="AX469" s="397">
        <f>+AX75-AX377</f>
        <v>0</v>
      </c>
      <c r="AY469" s="397">
        <f>+AY73-AY377</f>
        <v>0</v>
      </c>
      <c r="AZ469" s="397">
        <f>+AZ75-AZ377</f>
        <v>0</v>
      </c>
      <c r="BA469" s="446">
        <f>+BA73-BA377</f>
        <v>0</v>
      </c>
      <c r="BB469" s="446">
        <f>+BB75-BB377</f>
        <v>0</v>
      </c>
      <c r="BC469" s="397">
        <f>+BC73-BC377</f>
        <v>0</v>
      </c>
      <c r="BD469" s="397">
        <f>+BD75-BD377</f>
        <v>0</v>
      </c>
      <c r="BE469" s="397">
        <f>+BE73-BE377</f>
        <v>0</v>
      </c>
      <c r="BF469" s="397">
        <f>+BF75-BF377</f>
        <v>0</v>
      </c>
      <c r="BG469" s="26"/>
      <c r="BH469" s="26"/>
      <c r="BI469" s="26"/>
      <c r="BJ469" s="26"/>
      <c r="BK469" s="26"/>
    </row>
    <row r="470" spans="1:63" ht="15" hidden="1" customHeight="1" x14ac:dyDescent="0.3">
      <c r="A470" s="154"/>
      <c r="B470" s="5963"/>
      <c r="C470" s="642"/>
      <c r="D470" s="642"/>
      <c r="E470" s="397">
        <f>E26-E377</f>
        <v>0</v>
      </c>
      <c r="F470" s="397">
        <f>+F26-F377</f>
        <v>0</v>
      </c>
      <c r="G470" s="397">
        <f>G26-G377</f>
        <v>0</v>
      </c>
      <c r="H470" s="397">
        <f>+H26-H377</f>
        <v>0</v>
      </c>
      <c r="I470" s="397">
        <f>I26-I377</f>
        <v>0</v>
      </c>
      <c r="J470" s="782">
        <f t="shared" si="480"/>
        <v>0</v>
      </c>
      <c r="K470" s="397">
        <f>K26-K377</f>
        <v>0</v>
      </c>
      <c r="L470" s="397">
        <f>+L26-L377</f>
        <v>0</v>
      </c>
      <c r="M470" s="446">
        <f>M26-M377</f>
        <v>0</v>
      </c>
      <c r="N470" s="781">
        <f t="shared" si="481"/>
        <v>0</v>
      </c>
      <c r="O470" s="397">
        <f>O26-O377</f>
        <v>0</v>
      </c>
      <c r="P470" s="397">
        <f>+P26-P377</f>
        <v>0</v>
      </c>
      <c r="Q470" s="397">
        <f>Q26-Q377</f>
        <v>0</v>
      </c>
      <c r="R470" s="782">
        <f t="shared" si="482"/>
        <v>0</v>
      </c>
      <c r="S470" s="397">
        <f>S26-S377</f>
        <v>0</v>
      </c>
      <c r="T470" s="397">
        <f>+T26-T377</f>
        <v>0</v>
      </c>
      <c r="U470" s="397">
        <f>U26-U377</f>
        <v>0</v>
      </c>
      <c r="V470" s="782">
        <f t="shared" si="483"/>
        <v>0</v>
      </c>
      <c r="W470" s="397">
        <f>W26-W377</f>
        <v>0</v>
      </c>
      <c r="X470" s="397">
        <f>+X26-X377</f>
        <v>0</v>
      </c>
      <c r="Y470" s="446">
        <f>Y26-Y377</f>
        <v>0</v>
      </c>
      <c r="Z470" s="781">
        <f t="shared" si="484"/>
        <v>0</v>
      </c>
      <c r="AA470" s="397">
        <f>AA26-AA377</f>
        <v>0</v>
      </c>
      <c r="AB470" s="3562">
        <f t="shared" si="485"/>
        <v>0</v>
      </c>
      <c r="AC470" s="397">
        <f>AC26-AC377</f>
        <v>0</v>
      </c>
      <c r="AD470" s="397">
        <f>+AD26-AD377</f>
        <v>0</v>
      </c>
      <c r="AE470" s="397">
        <f>AE26-AE377</f>
        <v>0</v>
      </c>
      <c r="AF470" s="782">
        <f t="shared" si="486"/>
        <v>0</v>
      </c>
      <c r="AG470" s="397">
        <f>AG26-AG377</f>
        <v>0</v>
      </c>
      <c r="AH470" s="397">
        <f>+AH26-AH377</f>
        <v>0</v>
      </c>
      <c r="AI470" s="397">
        <f>AI26-AI377</f>
        <v>0</v>
      </c>
      <c r="AJ470" s="397">
        <f>+AJ26-AJ377</f>
        <v>0</v>
      </c>
      <c r="AK470" s="397">
        <f>AK26-AK377</f>
        <v>0</v>
      </c>
      <c r="AL470" s="397">
        <f>+AL26-AL377</f>
        <v>0</v>
      </c>
      <c r="AM470" s="446">
        <f>AM26-AM377</f>
        <v>0</v>
      </c>
      <c r="AN470" s="446">
        <f>+AN26-AN377</f>
        <v>0</v>
      </c>
      <c r="AO470" s="397">
        <f>AO26-AO377</f>
        <v>0</v>
      </c>
      <c r="AP470" s="397">
        <f>+AP26-AP377</f>
        <v>0</v>
      </c>
      <c r="AQ470" s="397">
        <f>AQ26-AQ377</f>
        <v>0</v>
      </c>
      <c r="AR470" s="397">
        <f>+AR26-AR377</f>
        <v>0</v>
      </c>
      <c r="AS470" s="397">
        <f>AS26-AS377</f>
        <v>0</v>
      </c>
      <c r="AT470" s="397">
        <f>+AT26-AT377</f>
        <v>0</v>
      </c>
      <c r="AU470" s="397">
        <f>AU26-AU377</f>
        <v>0</v>
      </c>
      <c r="AV470" s="397">
        <f>+AV26-AV377</f>
        <v>0</v>
      </c>
      <c r="AW470" s="397">
        <f>AW26-AW377</f>
        <v>0</v>
      </c>
      <c r="AX470" s="397">
        <f>+AX26-AX377</f>
        <v>0</v>
      </c>
      <c r="AY470" s="397">
        <f>AY26-AY377</f>
        <v>0</v>
      </c>
      <c r="AZ470" s="397">
        <f>+AZ26-AZ377</f>
        <v>0</v>
      </c>
      <c r="BA470" s="446">
        <f>BA26-BA377</f>
        <v>0</v>
      </c>
      <c r="BB470" s="446">
        <f>+BB26-BB377</f>
        <v>0</v>
      </c>
      <c r="BC470" s="397">
        <f>BC26-BC377</f>
        <v>0</v>
      </c>
      <c r="BD470" s="397">
        <f>+BD26-BD377</f>
        <v>0</v>
      </c>
      <c r="BE470" s="397">
        <f>BE26-BE377</f>
        <v>0</v>
      </c>
      <c r="BF470" s="397">
        <f>+BF26-BF377</f>
        <v>0</v>
      </c>
      <c r="BG470" s="26"/>
      <c r="BH470" s="26"/>
      <c r="BI470" s="26"/>
      <c r="BJ470" s="26"/>
      <c r="BK470" s="26"/>
    </row>
    <row r="471" spans="1:63" ht="15" hidden="1" customHeight="1" x14ac:dyDescent="0.3">
      <c r="A471" s="154"/>
      <c r="B471" s="5963"/>
      <c r="C471" s="642"/>
      <c r="D471" s="642"/>
      <c r="E471" s="839"/>
      <c r="F471" s="397">
        <f>+F23-F392</f>
        <v>0</v>
      </c>
      <c r="G471" s="839"/>
      <c r="H471" s="397">
        <f>+H23-H392</f>
        <v>0</v>
      </c>
      <c r="I471" s="839"/>
      <c r="J471" s="782">
        <f t="shared" si="480"/>
        <v>0</v>
      </c>
      <c r="K471" s="839"/>
      <c r="L471" s="397">
        <f>+L23-L392</f>
        <v>0</v>
      </c>
      <c r="M471" s="645"/>
      <c r="N471" s="781">
        <f t="shared" si="481"/>
        <v>0</v>
      </c>
      <c r="O471" s="839"/>
      <c r="P471" s="397">
        <f>+P23-P392</f>
        <v>0</v>
      </c>
      <c r="Q471" s="839"/>
      <c r="R471" s="782">
        <f t="shared" si="482"/>
        <v>0</v>
      </c>
      <c r="S471" s="839"/>
      <c r="T471" s="397">
        <f>+T23-T392</f>
        <v>0</v>
      </c>
      <c r="U471" s="839"/>
      <c r="V471" s="782">
        <f t="shared" si="483"/>
        <v>0</v>
      </c>
      <c r="W471" s="839"/>
      <c r="X471" s="397">
        <f>+X23-X392</f>
        <v>0</v>
      </c>
      <c r="Y471" s="645"/>
      <c r="Z471" s="781">
        <f t="shared" si="484"/>
        <v>0</v>
      </c>
      <c r="AA471" s="839"/>
      <c r="AB471" s="3562">
        <f t="shared" si="485"/>
        <v>0</v>
      </c>
      <c r="AC471" s="839"/>
      <c r="AD471" s="397">
        <f>+AD23-AD392</f>
        <v>0</v>
      </c>
      <c r="AE471" s="839"/>
      <c r="AF471" s="782">
        <f t="shared" si="486"/>
        <v>0</v>
      </c>
      <c r="AG471" s="839"/>
      <c r="AH471" s="397">
        <f>+AH23-AH392</f>
        <v>0</v>
      </c>
      <c r="AI471" s="839"/>
      <c r="AJ471" s="397">
        <f>+AJ23-AJ392</f>
        <v>0</v>
      </c>
      <c r="AK471" s="839"/>
      <c r="AL471" s="397">
        <f>+AL23-AL392</f>
        <v>0</v>
      </c>
      <c r="AM471" s="645"/>
      <c r="AN471" s="446">
        <f>+AN23-AN392</f>
        <v>0</v>
      </c>
      <c r="AO471" s="839"/>
      <c r="AP471" s="397">
        <f>+AP23-AP392</f>
        <v>0</v>
      </c>
      <c r="AQ471" s="839"/>
      <c r="AR471" s="397">
        <f>+AR23-AR392</f>
        <v>0</v>
      </c>
      <c r="AS471" s="839"/>
      <c r="AT471" s="397">
        <f>+AT23-AT392</f>
        <v>0</v>
      </c>
      <c r="AU471" s="839"/>
      <c r="AV471" s="397">
        <f>+AV23-AV392</f>
        <v>0</v>
      </c>
      <c r="AW471" s="839"/>
      <c r="AX471" s="397">
        <f>+AX23-AX392</f>
        <v>0</v>
      </c>
      <c r="AY471" s="839"/>
      <c r="AZ471" s="397">
        <f>+AZ23-AZ392</f>
        <v>0</v>
      </c>
      <c r="BA471" s="645"/>
      <c r="BB471" s="446">
        <f>+BB23-BB392</f>
        <v>0</v>
      </c>
      <c r="BC471" s="839"/>
      <c r="BD471" s="397">
        <f>+BD23-BD392</f>
        <v>0</v>
      </c>
      <c r="BE471" s="839"/>
      <c r="BF471" s="397">
        <f>+BF23-BF392</f>
        <v>0</v>
      </c>
      <c r="BG471" s="26"/>
      <c r="BH471" s="26"/>
      <c r="BI471" s="26"/>
      <c r="BJ471" s="26"/>
      <c r="BK471" s="26"/>
    </row>
    <row r="472" spans="1:63" ht="15" hidden="1" customHeight="1" x14ac:dyDescent="0.3">
      <c r="A472" s="154"/>
      <c r="B472" s="5963" t="s">
        <v>513</v>
      </c>
      <c r="C472" s="839"/>
      <c r="D472" s="839"/>
      <c r="E472" s="397">
        <f>+E33-E77</f>
        <v>0</v>
      </c>
      <c r="F472" s="397">
        <f>+F33-F79</f>
        <v>0</v>
      </c>
      <c r="G472" s="397">
        <f>+G33-G77</f>
        <v>0</v>
      </c>
      <c r="H472" s="397">
        <f>+H33-H79</f>
        <v>0</v>
      </c>
      <c r="I472" s="397">
        <f>+I33-I77</f>
        <v>0</v>
      </c>
      <c r="J472" s="782">
        <f t="shared" si="480"/>
        <v>0</v>
      </c>
      <c r="K472" s="397">
        <f>+K33-K77</f>
        <v>0</v>
      </c>
      <c r="L472" s="397">
        <f>+L33-L79</f>
        <v>0</v>
      </c>
      <c r="M472" s="446">
        <f>+M33-M77</f>
        <v>0</v>
      </c>
      <c r="N472" s="781">
        <f t="shared" si="481"/>
        <v>0</v>
      </c>
      <c r="O472" s="397">
        <f>+O33-O77</f>
        <v>0</v>
      </c>
      <c r="P472" s="397">
        <f>+P33-P79</f>
        <v>0</v>
      </c>
      <c r="Q472" s="397">
        <f>+Q33-Q77</f>
        <v>0</v>
      </c>
      <c r="R472" s="782">
        <f t="shared" si="482"/>
        <v>0</v>
      </c>
      <c r="S472" s="397">
        <f>+S33-S77</f>
        <v>0</v>
      </c>
      <c r="T472" s="397">
        <f>+T33-T79</f>
        <v>0</v>
      </c>
      <c r="U472" s="397">
        <f>+U33-U77</f>
        <v>0</v>
      </c>
      <c r="V472" s="782">
        <f t="shared" si="483"/>
        <v>0</v>
      </c>
      <c r="W472" s="397">
        <f>+W33-W77</f>
        <v>0</v>
      </c>
      <c r="X472" s="397">
        <f>+X33-X79</f>
        <v>0</v>
      </c>
      <c r="Y472" s="446">
        <f>+Y33-Y77</f>
        <v>0</v>
      </c>
      <c r="Z472" s="781">
        <f t="shared" si="484"/>
        <v>0</v>
      </c>
      <c r="AA472" s="397">
        <f>+AA33-AA77</f>
        <v>0</v>
      </c>
      <c r="AB472" s="3562">
        <f t="shared" si="485"/>
        <v>0</v>
      </c>
      <c r="AC472" s="397">
        <f>+AC33-AC77</f>
        <v>0</v>
      </c>
      <c r="AD472" s="397">
        <f>+AD33-AD79</f>
        <v>-4.0000000008149073E-2</v>
      </c>
      <c r="AE472" s="397">
        <f>+AE33-AE77</f>
        <v>0</v>
      </c>
      <c r="AF472" s="782">
        <f t="shared" si="486"/>
        <v>-4.0000000008149073E-2</v>
      </c>
      <c r="AG472" s="397">
        <f>+AG33-AG77</f>
        <v>0</v>
      </c>
      <c r="AH472" s="397">
        <f>+AH33-AH79</f>
        <v>0</v>
      </c>
      <c r="AI472" s="397">
        <f>+AI33-AI77</f>
        <v>0</v>
      </c>
      <c r="AJ472" s="397">
        <f>+AJ33-AJ79</f>
        <v>-4.0000000037252903E-2</v>
      </c>
      <c r="AK472" s="397">
        <f>+AK33-AK77</f>
        <v>0</v>
      </c>
      <c r="AL472" s="397">
        <f>+AL33-AL79</f>
        <v>0</v>
      </c>
      <c r="AM472" s="446">
        <f>+AM33-AM77</f>
        <v>0</v>
      </c>
      <c r="AN472" s="446">
        <f>+AN33-AN79</f>
        <v>-4.0000000022700988E-2</v>
      </c>
      <c r="AO472" s="397">
        <f>+AO33-AO77</f>
        <v>0</v>
      </c>
      <c r="AP472" s="397">
        <f>+AP33-AP79</f>
        <v>-4.0000000037252903E-2</v>
      </c>
      <c r="AQ472" s="397">
        <f>+AQ33-AQ77</f>
        <v>0</v>
      </c>
      <c r="AR472" s="397">
        <f>+AR33-AR79</f>
        <v>0.44000000000232831</v>
      </c>
      <c r="AS472" s="397">
        <f>+AS33-AS77</f>
        <v>0</v>
      </c>
      <c r="AT472" s="397">
        <f>+AT33-AT79</f>
        <v>0.40000000002328306</v>
      </c>
      <c r="AU472" s="397">
        <f>+AU33-AU77</f>
        <v>0</v>
      </c>
      <c r="AV472" s="397">
        <f>+AV33-AV79</f>
        <v>0</v>
      </c>
      <c r="AW472" s="397">
        <f>+AW33-AW77</f>
        <v>0</v>
      </c>
      <c r="AX472" s="397">
        <f>+AX33-AX79</f>
        <v>0.40000000002328306</v>
      </c>
      <c r="AY472" s="397">
        <f>+AY33-AY77</f>
        <v>0</v>
      </c>
      <c r="AZ472" s="397">
        <f>+AZ33-AZ79</f>
        <v>0</v>
      </c>
      <c r="BA472" s="446">
        <f>+BA33-BA77</f>
        <v>0</v>
      </c>
      <c r="BB472" s="446">
        <f>+BB33-BB79</f>
        <v>0.44000000000232831</v>
      </c>
      <c r="BC472" s="397">
        <f>+BC33-BC77</f>
        <v>0</v>
      </c>
      <c r="BD472" s="397">
        <f>+BD33-BD79</f>
        <v>0.40000000002328306</v>
      </c>
      <c r="BE472" s="397">
        <f>+BE33-BE77</f>
        <v>0</v>
      </c>
      <c r="BF472" s="397">
        <f>+BF33-BF79</f>
        <v>0.40000000002328306</v>
      </c>
      <c r="BG472" s="26"/>
      <c r="BH472" s="26"/>
      <c r="BI472" s="26"/>
      <c r="BJ472" s="26"/>
      <c r="BK472" s="26"/>
    </row>
    <row r="473" spans="1:63" ht="15" hidden="1" customHeight="1" x14ac:dyDescent="0.3">
      <c r="A473" s="154"/>
      <c r="B473" s="5963"/>
      <c r="C473" s="839"/>
      <c r="D473" s="839"/>
      <c r="E473" s="397">
        <f>+E77-E448</f>
        <v>0</v>
      </c>
      <c r="F473" s="397">
        <f>+F79-F448</f>
        <v>0</v>
      </c>
      <c r="G473" s="397">
        <f>+G77-G448</f>
        <v>0</v>
      </c>
      <c r="H473" s="397">
        <f>+H79-H448</f>
        <v>0</v>
      </c>
      <c r="I473" s="397">
        <f>+I77-I448</f>
        <v>0</v>
      </c>
      <c r="J473" s="782">
        <f t="shared" si="480"/>
        <v>0</v>
      </c>
      <c r="K473" s="397">
        <f>+K77-K448</f>
        <v>0</v>
      </c>
      <c r="L473" s="397">
        <f>+L79-L448</f>
        <v>0</v>
      </c>
      <c r="M473" s="446">
        <f>+M77-M448</f>
        <v>0</v>
      </c>
      <c r="N473" s="781">
        <f t="shared" si="481"/>
        <v>0</v>
      </c>
      <c r="O473" s="397">
        <f>+O77-O448</f>
        <v>0</v>
      </c>
      <c r="P473" s="397">
        <f>+P79-P448</f>
        <v>0</v>
      </c>
      <c r="Q473" s="397">
        <f>+Q77-Q448</f>
        <v>0</v>
      </c>
      <c r="R473" s="782">
        <f t="shared" si="482"/>
        <v>0</v>
      </c>
      <c r="S473" s="397">
        <f>+S77-S448</f>
        <v>0</v>
      </c>
      <c r="T473" s="397">
        <f>+T79-T448</f>
        <v>-4.0000000008149073E-2</v>
      </c>
      <c r="U473" s="397">
        <f>+U77-U448</f>
        <v>0</v>
      </c>
      <c r="V473" s="782">
        <f t="shared" si="483"/>
        <v>-4.0000000008149073E-2</v>
      </c>
      <c r="W473" s="397">
        <f>+W77-W448</f>
        <v>0</v>
      </c>
      <c r="X473" s="397">
        <f>+X79-X448</f>
        <v>0</v>
      </c>
      <c r="Y473" s="446">
        <f>+Y77-Y448</f>
        <v>0</v>
      </c>
      <c r="Z473" s="781">
        <f t="shared" si="484"/>
        <v>-4.0000000008149073E-2</v>
      </c>
      <c r="AA473" s="397">
        <f>+AA77-AA448</f>
        <v>0</v>
      </c>
      <c r="AB473" s="3562">
        <f t="shared" si="485"/>
        <v>-4.0000000008149073E-2</v>
      </c>
      <c r="AC473" s="397">
        <f>+AC77-AC448</f>
        <v>0</v>
      </c>
      <c r="AD473" s="397">
        <f>+AD79-AD448</f>
        <v>0</v>
      </c>
      <c r="AE473" s="397">
        <f>+AE77-AE448</f>
        <v>0</v>
      </c>
      <c r="AF473" s="782">
        <f t="shared" si="486"/>
        <v>-4.0000000008149073E-2</v>
      </c>
      <c r="AG473" s="397">
        <f>+AG77-AG448</f>
        <v>0</v>
      </c>
      <c r="AH473" s="397">
        <f>+AH79-AH448</f>
        <v>-0.11999999999898137</v>
      </c>
      <c r="AI473" s="397">
        <f>+AI77-AI448</f>
        <v>0</v>
      </c>
      <c r="AJ473" s="397">
        <f>+AJ79-AJ448</f>
        <v>-0.15999999997438863</v>
      </c>
      <c r="AK473" s="397">
        <f>+AK77-AK448</f>
        <v>0</v>
      </c>
      <c r="AL473" s="397">
        <f>+AL79-AL448</f>
        <v>0</v>
      </c>
      <c r="AM473" s="446">
        <f>+AM77-AM448</f>
        <v>0</v>
      </c>
      <c r="AN473" s="446">
        <f>+AN79-AN448</f>
        <v>-0.11999999999534339</v>
      </c>
      <c r="AO473" s="397">
        <f>+AO77-AO448</f>
        <v>0</v>
      </c>
      <c r="AP473" s="397">
        <f>+AP79-AP448</f>
        <v>-0.15999999997438863</v>
      </c>
      <c r="AQ473" s="397">
        <f>+AQ77-AQ448</f>
        <v>0</v>
      </c>
      <c r="AR473" s="397">
        <f>+AR79-AR448</f>
        <v>-0.44000000000232831</v>
      </c>
      <c r="AS473" s="397">
        <f>+AS77-AS448</f>
        <v>0</v>
      </c>
      <c r="AT473" s="397">
        <f>+AT79-AT448</f>
        <v>-0.59999999997671694</v>
      </c>
      <c r="AU473" s="397">
        <f>+AU77-AU448</f>
        <v>0</v>
      </c>
      <c r="AV473" s="397">
        <f>+AV79-AV448</f>
        <v>0</v>
      </c>
      <c r="AW473" s="397">
        <f>+AW77-AW448</f>
        <v>0</v>
      </c>
      <c r="AX473" s="397">
        <f>+AX79-AX448</f>
        <v>-0.59999999986030161</v>
      </c>
      <c r="AY473" s="397">
        <f>+AY77-AY448</f>
        <v>0</v>
      </c>
      <c r="AZ473" s="397">
        <f>+AZ79-AZ448</f>
        <v>0</v>
      </c>
      <c r="BA473" s="446">
        <f>+BA77-BA448</f>
        <v>0</v>
      </c>
      <c r="BB473" s="446">
        <f>+BB79-BB448</f>
        <v>-0.43999999997322448</v>
      </c>
      <c r="BC473" s="397">
        <f>+BC77-BC448</f>
        <v>0</v>
      </c>
      <c r="BD473" s="397">
        <f>+BD79-BD448</f>
        <v>-0.55999999999767169</v>
      </c>
      <c r="BE473" s="397">
        <f>+BE77-BE448</f>
        <v>0</v>
      </c>
      <c r="BF473" s="397">
        <f>+BF79-BF448</f>
        <v>-0.59999999986030161</v>
      </c>
      <c r="BG473" s="26"/>
      <c r="BH473" s="26"/>
      <c r="BI473" s="26"/>
      <c r="BJ473" s="26"/>
      <c r="BK473" s="26"/>
    </row>
    <row r="474" spans="1:63" ht="15" hidden="1" customHeight="1" x14ac:dyDescent="0.3">
      <c r="A474" s="154"/>
      <c r="B474" s="5963"/>
      <c r="C474" s="839"/>
      <c r="D474" s="839"/>
      <c r="E474" s="397">
        <f>+E33-E448</f>
        <v>0</v>
      </c>
      <c r="F474" s="397">
        <f>+F33-F448</f>
        <v>0</v>
      </c>
      <c r="G474" s="397">
        <f>+G33-G448</f>
        <v>0</v>
      </c>
      <c r="H474" s="397">
        <f>+H33-H448</f>
        <v>0</v>
      </c>
      <c r="I474" s="397">
        <f>+I33-I448</f>
        <v>0</v>
      </c>
      <c r="J474" s="782">
        <f t="shared" si="480"/>
        <v>0</v>
      </c>
      <c r="K474" s="397">
        <f>+K33-K448</f>
        <v>0</v>
      </c>
      <c r="L474" s="397">
        <f>+L33-L448</f>
        <v>0</v>
      </c>
      <c r="M474" s="446">
        <f>+M33-M448</f>
        <v>0</v>
      </c>
      <c r="N474" s="781">
        <f t="shared" si="481"/>
        <v>0</v>
      </c>
      <c r="O474" s="397">
        <f>+O33-O448</f>
        <v>0</v>
      </c>
      <c r="P474" s="397">
        <f>+P33-P448</f>
        <v>0</v>
      </c>
      <c r="Q474" s="397">
        <f>+Q33-Q448</f>
        <v>0</v>
      </c>
      <c r="R474" s="782">
        <f t="shared" si="482"/>
        <v>0</v>
      </c>
      <c r="S474" s="397">
        <f>+S33-S448</f>
        <v>0</v>
      </c>
      <c r="T474" s="397">
        <f>+T33-T448</f>
        <v>-4.0000000008149073E-2</v>
      </c>
      <c r="U474" s="397">
        <f>+U33-U448</f>
        <v>0</v>
      </c>
      <c r="V474" s="782">
        <f t="shared" si="483"/>
        <v>-4.0000000008149073E-2</v>
      </c>
      <c r="W474" s="397">
        <f>+W33-W448</f>
        <v>0</v>
      </c>
      <c r="X474" s="397">
        <f>+X33-X448</f>
        <v>0</v>
      </c>
      <c r="Y474" s="446">
        <f>+Y33-Y448</f>
        <v>0</v>
      </c>
      <c r="Z474" s="781">
        <f t="shared" si="484"/>
        <v>-4.0000000008149073E-2</v>
      </c>
      <c r="AA474" s="397">
        <f>+AA33-AA448</f>
        <v>0</v>
      </c>
      <c r="AB474" s="3562">
        <f t="shared" si="485"/>
        <v>-4.0000000008149073E-2</v>
      </c>
      <c r="AC474" s="397">
        <f>+AC33-AC448</f>
        <v>0</v>
      </c>
      <c r="AD474" s="397">
        <f>+AD33-AD448</f>
        <v>-4.0000000000873115E-2</v>
      </c>
      <c r="AE474" s="397">
        <f>+AE33-AE448</f>
        <v>0</v>
      </c>
      <c r="AF474" s="782">
        <f t="shared" si="486"/>
        <v>-8.0000000009022187E-2</v>
      </c>
      <c r="AG474" s="397">
        <f t="shared" ref="AG474:BF474" si="489">+AG33-AG448</f>
        <v>0</v>
      </c>
      <c r="AH474" s="397">
        <f t="shared" si="489"/>
        <v>-0.11999999999898137</v>
      </c>
      <c r="AI474" s="397">
        <f t="shared" si="489"/>
        <v>0</v>
      </c>
      <c r="AJ474" s="397">
        <f t="shared" si="489"/>
        <v>-0.20000000001164153</v>
      </c>
      <c r="AK474" s="397">
        <f t="shared" si="489"/>
        <v>0</v>
      </c>
      <c r="AL474" s="397">
        <f t="shared" si="489"/>
        <v>0</v>
      </c>
      <c r="AM474" s="446">
        <f t="shared" si="489"/>
        <v>0</v>
      </c>
      <c r="AN474" s="446">
        <f t="shared" si="489"/>
        <v>-0.16000000001804437</v>
      </c>
      <c r="AO474" s="397">
        <f t="shared" si="489"/>
        <v>0</v>
      </c>
      <c r="AP474" s="397">
        <f t="shared" si="489"/>
        <v>-0.20000000001164153</v>
      </c>
      <c r="AQ474" s="397">
        <f t="shared" si="489"/>
        <v>0</v>
      </c>
      <c r="AR474" s="397">
        <f t="shared" si="489"/>
        <v>0</v>
      </c>
      <c r="AS474" s="397">
        <f t="shared" si="489"/>
        <v>0</v>
      </c>
      <c r="AT474" s="397">
        <f t="shared" si="489"/>
        <v>-0.19999999995343387</v>
      </c>
      <c r="AU474" s="397">
        <f t="shared" si="489"/>
        <v>0</v>
      </c>
      <c r="AV474" s="397">
        <f t="shared" si="489"/>
        <v>0</v>
      </c>
      <c r="AW474" s="397">
        <f t="shared" si="489"/>
        <v>0</v>
      </c>
      <c r="AX474" s="397">
        <f t="shared" si="489"/>
        <v>-0.19999999983701855</v>
      </c>
      <c r="AY474" s="397">
        <f t="shared" si="489"/>
        <v>0</v>
      </c>
      <c r="AZ474" s="397">
        <f t="shared" si="489"/>
        <v>0</v>
      </c>
      <c r="BA474" s="446">
        <f t="shared" si="489"/>
        <v>0</v>
      </c>
      <c r="BB474" s="446">
        <f t="shared" si="489"/>
        <v>0</v>
      </c>
      <c r="BC474" s="397">
        <f t="shared" si="489"/>
        <v>0</v>
      </c>
      <c r="BD474" s="397">
        <f t="shared" si="489"/>
        <v>-0.15999999997438863</v>
      </c>
      <c r="BE474" s="397">
        <f t="shared" si="489"/>
        <v>0</v>
      </c>
      <c r="BF474" s="397">
        <f t="shared" si="489"/>
        <v>-0.19999999983701855</v>
      </c>
      <c r="BG474" s="26"/>
      <c r="BH474" s="26"/>
      <c r="BI474" s="26"/>
      <c r="BJ474" s="26"/>
      <c r="BK474" s="26"/>
    </row>
    <row r="475" spans="1:63" ht="15" hidden="1" customHeight="1" x14ac:dyDescent="0.3">
      <c r="A475" s="154"/>
      <c r="B475" s="5963"/>
      <c r="C475" s="839"/>
      <c r="D475" s="839"/>
      <c r="E475" s="839"/>
      <c r="F475" s="839"/>
      <c r="G475" s="839"/>
      <c r="H475" s="839"/>
      <c r="I475" s="839"/>
      <c r="J475" s="782">
        <f t="shared" si="480"/>
        <v>0</v>
      </c>
      <c r="K475" s="839"/>
      <c r="L475" s="839"/>
      <c r="M475" s="645"/>
      <c r="N475" s="781">
        <f t="shared" si="481"/>
        <v>0</v>
      </c>
      <c r="O475" s="839"/>
      <c r="P475" s="839"/>
      <c r="Q475" s="839"/>
      <c r="R475" s="782">
        <f t="shared" si="482"/>
        <v>0</v>
      </c>
      <c r="S475" s="839"/>
      <c r="T475" s="839"/>
      <c r="U475" s="839"/>
      <c r="V475" s="782">
        <f t="shared" si="483"/>
        <v>0</v>
      </c>
      <c r="W475" s="839"/>
      <c r="X475" s="839"/>
      <c r="Y475" s="645"/>
      <c r="Z475" s="781">
        <f t="shared" si="484"/>
        <v>0</v>
      </c>
      <c r="AA475" s="839"/>
      <c r="AB475" s="3562">
        <f t="shared" si="485"/>
        <v>0</v>
      </c>
      <c r="AC475" s="839"/>
      <c r="AD475" s="839"/>
      <c r="AE475" s="839"/>
      <c r="AF475" s="782">
        <f t="shared" si="486"/>
        <v>0</v>
      </c>
      <c r="AG475" s="839"/>
      <c r="AH475" s="839"/>
      <c r="AI475" s="839"/>
      <c r="AJ475" s="839"/>
      <c r="AK475" s="839"/>
      <c r="AL475" s="839"/>
      <c r="AM475" s="645"/>
      <c r="AN475" s="645"/>
      <c r="AO475" s="839"/>
      <c r="AP475" s="839"/>
      <c r="AQ475" s="839"/>
      <c r="AR475" s="839"/>
      <c r="AS475" s="839"/>
      <c r="AT475" s="839"/>
      <c r="AU475" s="839"/>
      <c r="AV475" s="839"/>
      <c r="AW475" s="839"/>
      <c r="AX475" s="839"/>
      <c r="AY475" s="839"/>
      <c r="AZ475" s="839"/>
      <c r="BA475" s="645"/>
      <c r="BB475" s="645"/>
      <c r="BC475" s="839"/>
      <c r="BD475" s="839"/>
      <c r="BE475" s="839"/>
      <c r="BF475" s="839"/>
      <c r="BG475" s="26"/>
      <c r="BH475" s="26"/>
      <c r="BI475" s="26"/>
      <c r="BJ475" s="26"/>
      <c r="BK475" s="26"/>
    </row>
    <row r="476" spans="1:63" ht="21" hidden="1" customHeight="1" x14ac:dyDescent="0.3">
      <c r="A476" s="154"/>
      <c r="B476" s="642"/>
      <c r="C476" s="642"/>
      <c r="D476" s="642"/>
      <c r="E476" s="642"/>
      <c r="F476" s="642"/>
      <c r="G476" s="642"/>
      <c r="H476" s="642"/>
      <c r="I476" s="642"/>
      <c r="J476" s="782">
        <f t="shared" si="480"/>
        <v>0</v>
      </c>
      <c r="K476" s="642"/>
      <c r="L476" s="642"/>
      <c r="M476" s="875"/>
      <c r="N476" s="781">
        <f t="shared" si="481"/>
        <v>0</v>
      </c>
      <c r="O476" s="642"/>
      <c r="P476" s="642"/>
      <c r="Q476" s="642"/>
      <c r="R476" s="782">
        <f t="shared" si="482"/>
        <v>0</v>
      </c>
      <c r="S476" s="642"/>
      <c r="T476" s="642"/>
      <c r="U476" s="642"/>
      <c r="V476" s="782">
        <f t="shared" si="483"/>
        <v>0</v>
      </c>
      <c r="W476" s="642"/>
      <c r="X476" s="642"/>
      <c r="Y476" s="875"/>
      <c r="Z476" s="781">
        <f t="shared" si="484"/>
        <v>0</v>
      </c>
      <c r="AA476" s="642"/>
      <c r="AB476" s="3562">
        <f t="shared" si="485"/>
        <v>0</v>
      </c>
      <c r="AC476" s="642"/>
      <c r="AD476" s="642"/>
      <c r="AE476" s="642"/>
      <c r="AF476" s="782">
        <f t="shared" si="486"/>
        <v>0</v>
      </c>
      <c r="AG476" s="642"/>
      <c r="AH476" s="642"/>
      <c r="AI476" s="642"/>
      <c r="AJ476" s="642"/>
      <c r="AK476" s="642"/>
      <c r="AL476" s="642"/>
      <c r="AM476" s="875"/>
      <c r="AN476" s="875"/>
      <c r="AO476" s="642"/>
      <c r="AP476" s="642"/>
      <c r="AQ476" s="642"/>
      <c r="AR476" s="642"/>
      <c r="AS476" s="642"/>
      <c r="AT476" s="642"/>
      <c r="AU476" s="642"/>
      <c r="AV476" s="642"/>
      <c r="AW476" s="642"/>
      <c r="AX476" s="642"/>
      <c r="AY476" s="642"/>
      <c r="AZ476" s="642"/>
      <c r="BA476" s="875"/>
      <c r="BB476" s="875"/>
      <c r="BC476" s="642"/>
      <c r="BD476" s="642"/>
      <c r="BE476" s="642"/>
      <c r="BF476" s="642"/>
      <c r="BG476" s="26"/>
      <c r="BH476" s="26"/>
      <c r="BI476" s="26"/>
      <c r="BJ476" s="26"/>
      <c r="BK476" s="26"/>
    </row>
    <row r="477" spans="1:63" ht="21" hidden="1" customHeight="1" x14ac:dyDescent="0.3">
      <c r="A477" s="154"/>
      <c r="B477" s="3729" t="s">
        <v>1144</v>
      </c>
      <c r="C477" s="642"/>
      <c r="D477" s="642"/>
      <c r="E477" s="1345">
        <f>+E55-'Maj Despatch Summ'!E12</f>
        <v>0</v>
      </c>
      <c r="F477" s="1345">
        <f>+F55-'Maj Despatch Summ'!F12</f>
        <v>0</v>
      </c>
      <c r="G477" s="1345">
        <f>+G55-'Maj Despatch Summ'!G12</f>
        <v>0</v>
      </c>
      <c r="H477" s="1345">
        <f>+H55-'Maj Despatch Summ'!H12</f>
        <v>0</v>
      </c>
      <c r="I477" s="1345">
        <f>+I55-'Maj Despatch Summ'!I12</f>
        <v>0</v>
      </c>
      <c r="J477" s="782">
        <f t="shared" si="480"/>
        <v>0</v>
      </c>
      <c r="K477" s="1345">
        <f>+K55-'Maj Despatch Summ'!K12</f>
        <v>0</v>
      </c>
      <c r="L477" s="1345">
        <f>+L55-'Maj Despatch Summ'!L12</f>
        <v>0</v>
      </c>
      <c r="M477" s="1725">
        <f>+M55-'Maj Despatch Summ'!M12</f>
        <v>0</v>
      </c>
      <c r="N477" s="781">
        <f t="shared" si="481"/>
        <v>0</v>
      </c>
      <c r="O477" s="1345">
        <f>+O55-'Maj Despatch Summ'!O12</f>
        <v>0</v>
      </c>
      <c r="P477" s="1345">
        <f>+P55-'Maj Despatch Summ'!P12</f>
        <v>0</v>
      </c>
      <c r="Q477" s="1345">
        <f>+Q55-'Maj Despatch Summ'!Q12</f>
        <v>0</v>
      </c>
      <c r="R477" s="782">
        <f t="shared" si="482"/>
        <v>0</v>
      </c>
      <c r="S477" s="1345">
        <f>+S55-'Maj Despatch Summ'!S12</f>
        <v>0</v>
      </c>
      <c r="T477" s="1345">
        <f>+T55-'Maj Despatch Summ'!T12</f>
        <v>0</v>
      </c>
      <c r="U477" s="1345">
        <f>+U55-'Maj Despatch Summ'!U12</f>
        <v>0</v>
      </c>
      <c r="V477" s="782">
        <f t="shared" si="483"/>
        <v>0</v>
      </c>
      <c r="W477" s="1345">
        <f>+W55-'Maj Despatch Summ'!W12</f>
        <v>0.33333333328482695</v>
      </c>
      <c r="X477" s="1345">
        <f>+X55-'Maj Despatch Summ'!X12</f>
        <v>-0.27999999996973202</v>
      </c>
      <c r="Y477" s="1725">
        <f>+Y55-'Maj Despatch Summ'!Y12</f>
        <v>0.33333333337213844</v>
      </c>
      <c r="Z477" s="781">
        <f t="shared" si="484"/>
        <v>-0.27999999996973202</v>
      </c>
      <c r="AA477" s="1345">
        <f>+AA55-'Maj Despatch Summ'!AA12</f>
        <v>0.33333333348855376</v>
      </c>
      <c r="AB477" s="3562">
        <f t="shared" si="485"/>
        <v>-0.27999999996973202</v>
      </c>
      <c r="AC477" s="1345">
        <f>+AC55-'Maj Despatch Summ'!AC12</f>
        <v>0</v>
      </c>
      <c r="AD477" s="1345">
        <f>+AD55-'Maj Despatch Summ'!AD12</f>
        <v>-4.0000000008149073E-2</v>
      </c>
      <c r="AE477" s="1345">
        <f>+AE55-'Maj Despatch Summ'!AE12</f>
        <v>0.33333333325572312</v>
      </c>
      <c r="AF477" s="782">
        <f t="shared" si="486"/>
        <v>-0.31999999997788109</v>
      </c>
      <c r="AG477" s="1345">
        <f>+AG55-'Maj Despatch Summ'!AG12</f>
        <v>0</v>
      </c>
      <c r="AH477" s="1345">
        <f>+AH55-'Maj Despatch Summ'!AH12</f>
        <v>0</v>
      </c>
      <c r="AI477" s="1345">
        <f>+AI55-'Maj Despatch Summ'!AI12</f>
        <v>0.33333333325572312</v>
      </c>
      <c r="AJ477" s="1345">
        <f>+AJ55-'Maj Despatch Summ'!AJ12</f>
        <v>-0.31999999983236194</v>
      </c>
      <c r="AK477" s="1345">
        <f>+AK55-'Maj Despatch Summ'!AK12</f>
        <v>-3.1605018157279119E-2</v>
      </c>
      <c r="AL477" s="1345">
        <f>+AL55-'Maj Despatch Summ'!AL12</f>
        <v>0.31999999997788109</v>
      </c>
      <c r="AM477" s="1725">
        <f>+AM55-'Maj Despatch Summ'!AM12</f>
        <v>-3.1605018186382949E-2</v>
      </c>
      <c r="AN477" s="1725">
        <f>+AN55-'Maj Despatch Summ'!AN12</f>
        <v>0.27999999996973202</v>
      </c>
      <c r="AO477" s="1345">
        <f>+AO55-'Maj Despatch Summ'!AO12</f>
        <v>0.30172831518575549</v>
      </c>
      <c r="AP477" s="1345">
        <f>+AP55-'Maj Despatch Summ'!AP12</f>
        <v>0</v>
      </c>
      <c r="AQ477" s="1345">
        <f>+AQ55-'Maj Despatch Summ'!AQ12</f>
        <v>-0.48160501813981682</v>
      </c>
      <c r="AR477" s="1345">
        <f>+AR55-'Maj Despatch Summ'!AR12</f>
        <v>0</v>
      </c>
      <c r="AS477" s="1345">
        <f>+AS55-'Maj Despatch Summ'!AS12</f>
        <v>-0.17987670330330729</v>
      </c>
      <c r="AT477" s="1345">
        <f>+AT55-'Maj Despatch Summ'!AT12</f>
        <v>0</v>
      </c>
      <c r="AU477" s="1345">
        <f>+AU55-'Maj Despatch Summ'!AU12</f>
        <v>0</v>
      </c>
      <c r="AV477" s="1345">
        <f>+AV55-'Maj Despatch Summ'!AV12</f>
        <v>0</v>
      </c>
      <c r="AW477" s="1345">
        <f>+AW55-'Maj Despatch Summ'!AW12</f>
        <v>-0.17987670283764601</v>
      </c>
      <c r="AX477" s="1345">
        <f>+AX55-'Maj Despatch Summ'!AX12</f>
        <v>0</v>
      </c>
      <c r="AY477" s="1345">
        <f>+AY55-'Maj Despatch Summ'!AY12</f>
        <v>-2.7779160649515688E-2</v>
      </c>
      <c r="AZ477" s="1345">
        <f>+AZ55-'Maj Despatch Summ'!AZ12</f>
        <v>0</v>
      </c>
      <c r="BA477" s="1725">
        <f>+BA55-'Maj Despatch Summ'!BA12</f>
        <v>-0.50938417878933251</v>
      </c>
      <c r="BB477" s="1725">
        <f>+BB55-'Maj Despatch Summ'!BB12</f>
        <v>0</v>
      </c>
      <c r="BC477" s="1345">
        <f>+BC55-'Maj Despatch Summ'!BC12</f>
        <v>-0.54098919685930014</v>
      </c>
      <c r="BD477" s="1345">
        <f>+BD55-'Maj Despatch Summ'!BD12</f>
        <v>0.28000000002793968</v>
      </c>
      <c r="BE477" s="1345">
        <f>+BE55-'Maj Despatch Summ'!BE12</f>
        <v>-0.20765586383640766</v>
      </c>
      <c r="BF477" s="1345">
        <f>+BF55-'Maj Despatch Summ'!BF12</f>
        <v>0</v>
      </c>
      <c r="BG477" s="26"/>
      <c r="BH477" s="26"/>
      <c r="BI477" s="26"/>
      <c r="BJ477" s="26"/>
      <c r="BK477" s="26"/>
    </row>
    <row r="478" spans="1:63" ht="21" hidden="1" customHeight="1" x14ac:dyDescent="0.3">
      <c r="A478" s="154"/>
      <c r="B478" s="642"/>
      <c r="C478" s="642"/>
      <c r="D478" s="642"/>
      <c r="E478" s="1345">
        <f>+E62-'Maj Despatch Summ'!E12</f>
        <v>0</v>
      </c>
      <c r="F478" s="1345">
        <f>+F62-'Maj Despatch Summ'!F12</f>
        <v>0</v>
      </c>
      <c r="G478" s="1345">
        <f>+G62-'Maj Despatch Summ'!G12</f>
        <v>0</v>
      </c>
      <c r="H478" s="1345">
        <f>+H62-'Maj Despatch Summ'!H12</f>
        <v>0</v>
      </c>
      <c r="I478" s="1345">
        <f>+I62-'Maj Despatch Summ'!I12</f>
        <v>0</v>
      </c>
      <c r="J478" s="782">
        <f t="shared" si="480"/>
        <v>0</v>
      </c>
      <c r="K478" s="1345">
        <f>+K62-'Maj Despatch Summ'!K12</f>
        <v>0</v>
      </c>
      <c r="L478" s="1345">
        <f>+L62-'Maj Despatch Summ'!L12</f>
        <v>0</v>
      </c>
      <c r="M478" s="1725">
        <f>+M62-'Maj Despatch Summ'!M12</f>
        <v>0</v>
      </c>
      <c r="N478" s="781">
        <f t="shared" si="481"/>
        <v>0</v>
      </c>
      <c r="O478" s="1345">
        <f>+O62-'Maj Despatch Summ'!O12</f>
        <v>0</v>
      </c>
      <c r="P478" s="1345">
        <f>+P62-'Maj Despatch Summ'!P12</f>
        <v>0</v>
      </c>
      <c r="Q478" s="1345">
        <f>+Q62-'Maj Despatch Summ'!Q12</f>
        <v>0</v>
      </c>
      <c r="R478" s="782">
        <f t="shared" si="482"/>
        <v>0</v>
      </c>
      <c r="S478" s="1345">
        <f>+S62-'Maj Despatch Summ'!S12</f>
        <v>0</v>
      </c>
      <c r="T478" s="1345">
        <f>+T62-'Maj Despatch Summ'!T12</f>
        <v>0</v>
      </c>
      <c r="U478" s="1345">
        <f>+U62-'Maj Despatch Summ'!U12</f>
        <v>0</v>
      </c>
      <c r="V478" s="782">
        <f t="shared" si="483"/>
        <v>0</v>
      </c>
      <c r="W478" s="1345">
        <f>+W62-'Maj Despatch Summ'!W12</f>
        <v>0.33333333328482695</v>
      </c>
      <c r="X478" s="1345">
        <f>+X62-'Maj Despatch Summ'!X12</f>
        <v>-0.27999999999883585</v>
      </c>
      <c r="Y478" s="1725">
        <f>+Y62-'Maj Despatch Summ'!Y12</f>
        <v>0.33333333337213844</v>
      </c>
      <c r="Z478" s="781">
        <f t="shared" si="484"/>
        <v>-0.27999999999883585</v>
      </c>
      <c r="AA478" s="1345">
        <f>+AA62-'Maj Despatch Summ'!AA12</f>
        <v>0.33333333348855376</v>
      </c>
      <c r="AB478" s="3562">
        <f t="shared" si="485"/>
        <v>-0.27999999999883585</v>
      </c>
      <c r="AC478" s="1345">
        <f>+AC62-'Maj Despatch Summ'!AC12</f>
        <v>0</v>
      </c>
      <c r="AD478" s="1345">
        <f>+AD62-'Maj Despatch Summ'!AD12</f>
        <v>-4.0000000008149073E-2</v>
      </c>
      <c r="AE478" s="1345">
        <f>+AE62-'Maj Despatch Summ'!AE12</f>
        <v>0.33333333325572312</v>
      </c>
      <c r="AF478" s="782">
        <f t="shared" si="486"/>
        <v>-0.32000000000698492</v>
      </c>
      <c r="AG478" s="1345">
        <f>+AG62-'Maj Despatch Summ'!AG12</f>
        <v>0</v>
      </c>
      <c r="AH478" s="1345">
        <f>+AH62-'Maj Despatch Summ'!AH12</f>
        <v>0</v>
      </c>
      <c r="AI478" s="1345">
        <f>+AI62-'Maj Despatch Summ'!AI12</f>
        <v>0.33333333325572312</v>
      </c>
      <c r="AJ478" s="1345">
        <f>+AJ62-'Maj Despatch Summ'!AJ12</f>
        <v>-0.31999999983236194</v>
      </c>
      <c r="AK478" s="1345">
        <f>+AK62-'Maj Despatch Summ'!AK12</f>
        <v>-3.1605018157279119E-2</v>
      </c>
      <c r="AL478" s="1345">
        <f>+AL62-'Maj Despatch Summ'!AL12</f>
        <v>0.32000000000698492</v>
      </c>
      <c r="AM478" s="1725">
        <f>+AM62-'Maj Despatch Summ'!AM12</f>
        <v>-3.1605018186382949E-2</v>
      </c>
      <c r="AN478" s="1725">
        <f>+AN62-'Maj Despatch Summ'!AN12</f>
        <v>0.27999999996973202</v>
      </c>
      <c r="AO478" s="1345">
        <f>+AO62-'Maj Despatch Summ'!AO12</f>
        <v>0.30172831518575549</v>
      </c>
      <c r="AP478" s="1345">
        <f>+AP62-'Maj Despatch Summ'!AP12</f>
        <v>0</v>
      </c>
      <c r="AQ478" s="1345">
        <f>+AQ62-'Maj Despatch Summ'!AQ12</f>
        <v>-0.48160501813981682</v>
      </c>
      <c r="AR478" s="1345">
        <f>+AR62-'Maj Despatch Summ'!AR12</f>
        <v>0</v>
      </c>
      <c r="AS478" s="1345">
        <f>+AS62-'Maj Despatch Summ'!AS12</f>
        <v>-0.17987670330330729</v>
      </c>
      <c r="AT478" s="1345">
        <f>+AT62-'Maj Despatch Summ'!AT12</f>
        <v>0</v>
      </c>
      <c r="AU478" s="1345">
        <f>+AU62-'Maj Despatch Summ'!AU12</f>
        <v>0</v>
      </c>
      <c r="AV478" s="1345">
        <f>+AV62-'Maj Despatch Summ'!AV12</f>
        <v>0</v>
      </c>
      <c r="AW478" s="1345">
        <f>+AW62-'Maj Despatch Summ'!AW12</f>
        <v>-0.17987670283764601</v>
      </c>
      <c r="AX478" s="1345">
        <f>+AX62-'Maj Despatch Summ'!AX12</f>
        <v>0</v>
      </c>
      <c r="AY478" s="1345">
        <f>+AY62-'Maj Despatch Summ'!AY12</f>
        <v>-2.7779160649515688E-2</v>
      </c>
      <c r="AZ478" s="1345">
        <f>+AZ62-'Maj Despatch Summ'!AZ12</f>
        <v>0</v>
      </c>
      <c r="BA478" s="1725">
        <f>+BA62-'Maj Despatch Summ'!BA12</f>
        <v>-0.50938417878933251</v>
      </c>
      <c r="BB478" s="1725">
        <f>+BB62-'Maj Despatch Summ'!BB12</f>
        <v>0</v>
      </c>
      <c r="BC478" s="1345">
        <f>+BC62-'Maj Despatch Summ'!BC12</f>
        <v>-0.54098919685930014</v>
      </c>
      <c r="BD478" s="1345">
        <f>+BD62-'Maj Despatch Summ'!BD12</f>
        <v>0.28000000002793968</v>
      </c>
      <c r="BE478" s="1345">
        <f>+BE62-'Maj Despatch Summ'!BE12</f>
        <v>-0.20765586383640766</v>
      </c>
      <c r="BF478" s="1345">
        <f>+BF62-'Maj Despatch Summ'!BF12</f>
        <v>0</v>
      </c>
      <c r="BG478" s="26"/>
      <c r="BH478" s="26"/>
      <c r="BI478" s="26"/>
      <c r="BJ478" s="26"/>
      <c r="BK478" s="26"/>
    </row>
    <row r="479" spans="1:63" ht="21" hidden="1" customHeight="1" x14ac:dyDescent="0.3">
      <c r="A479" s="154"/>
      <c r="B479" s="642"/>
      <c r="C479" s="642"/>
      <c r="D479" s="642"/>
      <c r="E479" s="1345">
        <f>E447-E47</f>
        <v>0</v>
      </c>
      <c r="F479" s="1345">
        <f>F447-F47</f>
        <v>0</v>
      </c>
      <c r="G479" s="1345">
        <f>G447-G47</f>
        <v>0</v>
      </c>
      <c r="H479" s="1345">
        <f>H447-H47</f>
        <v>0</v>
      </c>
      <c r="I479" s="1345">
        <f>I447-I47</f>
        <v>0</v>
      </c>
      <c r="J479" s="782">
        <f t="shared" si="480"/>
        <v>0</v>
      </c>
      <c r="K479" s="1345">
        <f>K447-K47</f>
        <v>0</v>
      </c>
      <c r="L479" s="1345">
        <f>L447-L47</f>
        <v>0</v>
      </c>
      <c r="M479" s="1725">
        <f>M447-M47</f>
        <v>0</v>
      </c>
      <c r="N479" s="781">
        <f t="shared" si="481"/>
        <v>0</v>
      </c>
      <c r="O479" s="1345">
        <f>O447-O47</f>
        <v>0</v>
      </c>
      <c r="P479" s="1345">
        <f>P447-P47</f>
        <v>0</v>
      </c>
      <c r="Q479" s="1345">
        <f>Q447-Q47</f>
        <v>0</v>
      </c>
      <c r="R479" s="782">
        <f t="shared" si="482"/>
        <v>0</v>
      </c>
      <c r="S479" s="1345">
        <f>S447-S47</f>
        <v>0</v>
      </c>
      <c r="T479" s="1345">
        <f>T447-T47</f>
        <v>3.999999999996362E-2</v>
      </c>
      <c r="U479" s="1345">
        <f>U447-U47</f>
        <v>0</v>
      </c>
      <c r="V479" s="782">
        <f t="shared" si="483"/>
        <v>3.999999999996362E-2</v>
      </c>
      <c r="W479" s="1345">
        <f>W447-W47</f>
        <v>0</v>
      </c>
      <c r="X479" s="1345">
        <f>X447-X47</f>
        <v>0</v>
      </c>
      <c r="Y479" s="1725">
        <f>Y447-Y47</f>
        <v>0</v>
      </c>
      <c r="Z479" s="781">
        <f t="shared" si="484"/>
        <v>3.999999999996362E-2</v>
      </c>
      <c r="AA479" s="1345">
        <f>AA447-AA47</f>
        <v>0</v>
      </c>
      <c r="AB479" s="3562">
        <f t="shared" si="485"/>
        <v>3.999999999996362E-2</v>
      </c>
      <c r="AC479" s="1345">
        <f>AC447-AC47</f>
        <v>0</v>
      </c>
      <c r="AD479" s="1345">
        <f>AD447-AD47</f>
        <v>4.0000000000418368E-2</v>
      </c>
      <c r="AE479" s="1345">
        <f>AE447-AE47</f>
        <v>0</v>
      </c>
      <c r="AF479" s="782">
        <f t="shared" si="486"/>
        <v>8.0000000000381988E-2</v>
      </c>
      <c r="AG479" s="1345">
        <f t="shared" ref="AG479:BD479" si="490">AG447-AG47</f>
        <v>0</v>
      </c>
      <c r="AH479" s="1345">
        <f t="shared" si="490"/>
        <v>0.11999999999989086</v>
      </c>
      <c r="AI479" s="1345">
        <f t="shared" si="490"/>
        <v>0</v>
      </c>
      <c r="AJ479" s="1345">
        <f t="shared" si="490"/>
        <v>0.19999999999708962</v>
      </c>
      <c r="AK479" s="1345">
        <f t="shared" si="490"/>
        <v>0</v>
      </c>
      <c r="AL479" s="1345">
        <f t="shared" si="490"/>
        <v>0</v>
      </c>
      <c r="AM479" s="1725">
        <f t="shared" si="490"/>
        <v>0</v>
      </c>
      <c r="AN479" s="1725">
        <f t="shared" si="490"/>
        <v>0.16000000000167347</v>
      </c>
      <c r="AO479" s="1345">
        <f t="shared" si="490"/>
        <v>0</v>
      </c>
      <c r="AP479" s="1345">
        <f t="shared" si="490"/>
        <v>0.19999999999708962</v>
      </c>
      <c r="AQ479" s="1345">
        <f t="shared" si="490"/>
        <v>0</v>
      </c>
      <c r="AR479" s="1345">
        <f t="shared" si="490"/>
        <v>0</v>
      </c>
      <c r="AS479" s="1345">
        <f t="shared" si="490"/>
        <v>0</v>
      </c>
      <c r="AT479" s="1345">
        <f t="shared" si="490"/>
        <v>0.19999999999708962</v>
      </c>
      <c r="AU479" s="1345">
        <f t="shared" si="490"/>
        <v>0</v>
      </c>
      <c r="AV479" s="1345">
        <f t="shared" si="490"/>
        <v>0</v>
      </c>
      <c r="AW479" s="1345">
        <f t="shared" si="490"/>
        <v>0</v>
      </c>
      <c r="AX479" s="1345">
        <f t="shared" si="490"/>
        <v>0.19999999999708962</v>
      </c>
      <c r="AY479" s="1345">
        <f t="shared" si="490"/>
        <v>0</v>
      </c>
      <c r="AZ479" s="1345">
        <f t="shared" si="490"/>
        <v>0</v>
      </c>
      <c r="BA479" s="1725">
        <f t="shared" si="490"/>
        <v>0</v>
      </c>
      <c r="BB479" s="1725">
        <f t="shared" si="490"/>
        <v>0</v>
      </c>
      <c r="BC479" s="1345">
        <f t="shared" si="490"/>
        <v>0</v>
      </c>
      <c r="BD479" s="1345">
        <f t="shared" si="490"/>
        <v>0.16000000000349246</v>
      </c>
      <c r="BE479" s="1345"/>
      <c r="BF479" s="1345">
        <f>BF447-BF47</f>
        <v>0.19999999999708962</v>
      </c>
      <c r="BG479" s="26"/>
      <c r="BH479" s="26"/>
      <c r="BI479" s="26"/>
      <c r="BJ479" s="26"/>
      <c r="BK479" s="26"/>
    </row>
    <row r="480" spans="1:63" ht="21" hidden="1" customHeight="1" x14ac:dyDescent="0.3">
      <c r="A480" s="154"/>
      <c r="B480" s="642"/>
      <c r="C480" s="642"/>
      <c r="D480" s="642"/>
      <c r="E480" s="642"/>
      <c r="F480" s="1345">
        <f>F430-F40</f>
        <v>0</v>
      </c>
      <c r="G480" s="642"/>
      <c r="H480" s="1345">
        <f>H430-H40</f>
        <v>0</v>
      </c>
      <c r="I480" s="1345">
        <f>I430-I40</f>
        <v>0</v>
      </c>
      <c r="J480" s="782">
        <f t="shared" si="480"/>
        <v>0</v>
      </c>
      <c r="K480" s="642"/>
      <c r="L480" s="1345">
        <f>L430-L40</f>
        <v>0</v>
      </c>
      <c r="M480" s="1725">
        <f>M430-M40</f>
        <v>0</v>
      </c>
      <c r="N480" s="781">
        <f t="shared" si="481"/>
        <v>0</v>
      </c>
      <c r="O480" s="642"/>
      <c r="P480" s="1345">
        <f>P430-P40</f>
        <v>0</v>
      </c>
      <c r="Q480" s="1345">
        <f>Q430-Q40</f>
        <v>0</v>
      </c>
      <c r="R480" s="782">
        <f t="shared" si="482"/>
        <v>0</v>
      </c>
      <c r="S480" s="642"/>
      <c r="T480" s="1345">
        <f>T430-T40</f>
        <v>0</v>
      </c>
      <c r="U480" s="1345">
        <f>U430-U40</f>
        <v>0</v>
      </c>
      <c r="V480" s="782">
        <f t="shared" si="483"/>
        <v>0</v>
      </c>
      <c r="W480" s="642"/>
      <c r="X480" s="1345">
        <f>X430-X40</f>
        <v>0</v>
      </c>
      <c r="Y480" s="1725">
        <f>Y430-Y40</f>
        <v>0</v>
      </c>
      <c r="Z480" s="781">
        <f t="shared" si="484"/>
        <v>0</v>
      </c>
      <c r="AA480" s="1345">
        <f>AA430-AA40</f>
        <v>0</v>
      </c>
      <c r="AB480" s="3562">
        <f t="shared" si="485"/>
        <v>0</v>
      </c>
      <c r="AC480" s="642"/>
      <c r="AD480" s="1345">
        <f>AD430-AD40</f>
        <v>0</v>
      </c>
      <c r="AE480" s="1345">
        <f>AE430-AE40</f>
        <v>0</v>
      </c>
      <c r="AF480" s="782">
        <f t="shared" si="486"/>
        <v>0</v>
      </c>
      <c r="AG480" s="642"/>
      <c r="AH480" s="1345">
        <f>AH430-AH40</f>
        <v>0</v>
      </c>
      <c r="AI480" s="1345">
        <f>AI430-AI40</f>
        <v>0</v>
      </c>
      <c r="AJ480" s="1345">
        <f>AJ430-AJ40</f>
        <v>0</v>
      </c>
      <c r="AK480" s="642"/>
      <c r="AL480" s="1345">
        <f>AL430-AL40</f>
        <v>0</v>
      </c>
      <c r="AM480" s="1725">
        <f>AM430-AM40</f>
        <v>0</v>
      </c>
      <c r="AN480" s="1725">
        <f>AN430-AN40</f>
        <v>0</v>
      </c>
      <c r="AO480" s="1345">
        <f>AO430-AO40</f>
        <v>0</v>
      </c>
      <c r="AP480" s="1345">
        <f>AP430-AP40</f>
        <v>0</v>
      </c>
      <c r="AQ480" s="642"/>
      <c r="AR480" s="1345">
        <f>AR430-AR40</f>
        <v>0</v>
      </c>
      <c r="AS480" s="1345">
        <f>AS430-AS40</f>
        <v>0</v>
      </c>
      <c r="AT480" s="1345">
        <f>AT430-AT40</f>
        <v>0</v>
      </c>
      <c r="AU480" s="642"/>
      <c r="AV480" s="1345">
        <f>AV430-AV40</f>
        <v>0</v>
      </c>
      <c r="AW480" s="1345">
        <f>AW430-AW40</f>
        <v>0</v>
      </c>
      <c r="AX480" s="1345">
        <f>AX430-AX40</f>
        <v>0</v>
      </c>
      <c r="AY480" s="642"/>
      <c r="AZ480" s="1345">
        <f>AZ430-AZ40</f>
        <v>0</v>
      </c>
      <c r="BA480" s="1725">
        <f>BA430-BA40</f>
        <v>0</v>
      </c>
      <c r="BB480" s="1725">
        <f>BB430-BB40</f>
        <v>0</v>
      </c>
      <c r="BC480" s="1345">
        <f>BC430-BC40</f>
        <v>0</v>
      </c>
      <c r="BD480" s="1345">
        <f>BD430-BD40</f>
        <v>0</v>
      </c>
      <c r="BE480" s="1345"/>
      <c r="BF480" s="1345">
        <f>BF430-BF40</f>
        <v>0</v>
      </c>
      <c r="BG480" s="26"/>
      <c r="BH480" s="26"/>
      <c r="BI480" s="26"/>
      <c r="BJ480" s="26"/>
      <c r="BK480" s="26"/>
    </row>
    <row r="481" spans="1:63" ht="21" hidden="1" customHeight="1" x14ac:dyDescent="0.3">
      <c r="A481" s="154"/>
      <c r="B481" s="642"/>
      <c r="C481" s="642"/>
      <c r="D481" s="642"/>
      <c r="E481" s="642"/>
      <c r="F481" s="642"/>
      <c r="G481" s="642"/>
      <c r="H481" s="642"/>
      <c r="I481" s="642"/>
      <c r="J481" s="782">
        <f t="shared" si="480"/>
        <v>0</v>
      </c>
      <c r="K481" s="642"/>
      <c r="L481" s="642"/>
      <c r="M481" s="875"/>
      <c r="N481" s="781">
        <f t="shared" si="481"/>
        <v>0</v>
      </c>
      <c r="O481" s="642"/>
      <c r="P481" s="642"/>
      <c r="Q481" s="642"/>
      <c r="R481" s="782">
        <f t="shared" si="482"/>
        <v>0</v>
      </c>
      <c r="S481" s="642"/>
      <c r="T481" s="642"/>
      <c r="U481" s="642"/>
      <c r="V481" s="782">
        <f t="shared" si="483"/>
        <v>0</v>
      </c>
      <c r="W481" s="642"/>
      <c r="X481" s="642"/>
      <c r="Y481" s="875"/>
      <c r="Z481" s="781">
        <f t="shared" si="484"/>
        <v>0</v>
      </c>
      <c r="AA481" s="642"/>
      <c r="AB481" s="3562">
        <f t="shared" si="485"/>
        <v>0</v>
      </c>
      <c r="AC481" s="642"/>
      <c r="AD481" s="642"/>
      <c r="AE481" s="642"/>
      <c r="AF481" s="782">
        <f t="shared" si="486"/>
        <v>0</v>
      </c>
      <c r="AG481" s="642"/>
      <c r="AH481" s="642"/>
      <c r="AK481" s="642"/>
      <c r="AL481" s="642"/>
      <c r="AM481" s="875"/>
      <c r="AN481" s="875"/>
      <c r="AQ481" s="642"/>
      <c r="AR481" s="642"/>
      <c r="AU481" s="642"/>
      <c r="AV481" s="642"/>
      <c r="AY481" s="642"/>
      <c r="AZ481" s="642"/>
      <c r="BA481" s="875"/>
      <c r="BB481" s="875"/>
      <c r="BC481" s="642"/>
      <c r="BD481" s="642"/>
      <c r="BG481" s="26"/>
      <c r="BH481" s="26"/>
      <c r="BI481" s="26"/>
      <c r="BJ481" s="26"/>
      <c r="BK481" s="26"/>
    </row>
    <row r="482" spans="1:63" ht="21" hidden="1" customHeight="1" x14ac:dyDescent="0.3">
      <c r="A482" s="154"/>
      <c r="B482" s="642"/>
      <c r="C482" s="642"/>
      <c r="D482" s="642"/>
      <c r="E482" s="642"/>
      <c r="F482" s="642"/>
      <c r="G482" s="642"/>
      <c r="H482" s="642"/>
      <c r="I482" s="642"/>
      <c r="J482" s="782">
        <f t="shared" si="480"/>
        <v>0</v>
      </c>
      <c r="K482" s="642"/>
      <c r="L482" s="642"/>
      <c r="M482" s="875"/>
      <c r="N482" s="781">
        <f t="shared" si="481"/>
        <v>0</v>
      </c>
      <c r="O482" s="642"/>
      <c r="P482" s="642"/>
      <c r="Q482" s="642"/>
      <c r="R482" s="782">
        <f t="shared" si="482"/>
        <v>0</v>
      </c>
      <c r="S482" s="642"/>
      <c r="T482" s="642"/>
      <c r="U482" s="642"/>
      <c r="V482" s="782">
        <f t="shared" si="483"/>
        <v>0</v>
      </c>
      <c r="W482" s="642"/>
      <c r="X482" s="642"/>
      <c r="Y482" s="875"/>
      <c r="Z482" s="781">
        <f t="shared" si="484"/>
        <v>0</v>
      </c>
      <c r="AA482" s="642"/>
      <c r="AB482" s="3562">
        <f t="shared" si="485"/>
        <v>0</v>
      </c>
      <c r="AC482" s="642"/>
      <c r="AD482" s="642"/>
      <c r="AE482" s="642"/>
      <c r="AF482" s="782">
        <f t="shared" si="486"/>
        <v>0</v>
      </c>
      <c r="AG482" s="642"/>
      <c r="AH482" s="642"/>
      <c r="AK482" s="642"/>
      <c r="AL482" s="642"/>
      <c r="AM482" s="875"/>
      <c r="AN482" s="875"/>
      <c r="AQ482" s="642"/>
      <c r="AR482" s="642"/>
      <c r="AU482" s="642"/>
      <c r="AV482" s="642"/>
      <c r="AY482" s="642"/>
      <c r="AZ482" s="642"/>
      <c r="BA482" s="875"/>
      <c r="BB482" s="875"/>
      <c r="BC482" s="642"/>
      <c r="BD482" s="642"/>
      <c r="BG482" s="26"/>
      <c r="BH482" s="26"/>
      <c r="BI482" s="26"/>
      <c r="BJ482" s="26"/>
      <c r="BK482" s="26"/>
    </row>
    <row r="483" spans="1:63" ht="21" hidden="1" customHeight="1" x14ac:dyDescent="0.3">
      <c r="A483" s="154"/>
      <c r="B483" s="642"/>
      <c r="C483" s="642"/>
      <c r="D483" s="642"/>
      <c r="E483" s="642"/>
      <c r="F483" s="642"/>
      <c r="G483" s="642"/>
      <c r="H483" s="642"/>
      <c r="I483" s="642"/>
      <c r="J483" s="782">
        <f t="shared" si="480"/>
        <v>0</v>
      </c>
      <c r="K483" s="642"/>
      <c r="L483" s="642"/>
      <c r="M483" s="875"/>
      <c r="N483" s="781">
        <f t="shared" si="481"/>
        <v>0</v>
      </c>
      <c r="O483" s="642"/>
      <c r="P483" s="642"/>
      <c r="Q483" s="642"/>
      <c r="R483" s="782">
        <f t="shared" si="482"/>
        <v>0</v>
      </c>
      <c r="S483" s="642"/>
      <c r="T483" s="642"/>
      <c r="U483" s="642"/>
      <c r="V483" s="782">
        <f t="shared" si="483"/>
        <v>0</v>
      </c>
      <c r="W483" s="642"/>
      <c r="X483" s="642"/>
      <c r="Y483" s="875"/>
      <c r="Z483" s="781">
        <f t="shared" si="484"/>
        <v>0</v>
      </c>
      <c r="AA483" s="642"/>
      <c r="AB483" s="3562">
        <f t="shared" si="485"/>
        <v>0</v>
      </c>
      <c r="AC483" s="642"/>
      <c r="AD483" s="642"/>
      <c r="AE483" s="642"/>
      <c r="AF483" s="782">
        <f t="shared" si="486"/>
        <v>0</v>
      </c>
      <c r="AG483" s="642"/>
      <c r="AH483" s="642"/>
      <c r="AK483" s="642"/>
      <c r="AL483" s="642"/>
      <c r="AM483" s="875"/>
      <c r="AN483" s="875"/>
      <c r="AQ483" s="642"/>
      <c r="AR483" s="642"/>
      <c r="AU483" s="642"/>
      <c r="AV483" s="642"/>
      <c r="AY483" s="642"/>
      <c r="AZ483" s="642"/>
      <c r="BA483" s="875"/>
      <c r="BB483" s="875"/>
      <c r="BC483" s="642"/>
      <c r="BD483" s="642"/>
      <c r="BG483" s="26"/>
      <c r="BH483" s="26"/>
      <c r="BI483" s="26"/>
      <c r="BJ483" s="26"/>
      <c r="BK483" s="26"/>
    </row>
    <row r="484" spans="1:63" ht="21" hidden="1" customHeight="1" x14ac:dyDescent="0.3">
      <c r="A484" s="154"/>
      <c r="B484" s="642"/>
      <c r="C484" s="642"/>
      <c r="D484" s="642"/>
      <c r="E484" s="642"/>
      <c r="F484" s="642"/>
      <c r="G484" s="642"/>
      <c r="H484" s="642"/>
      <c r="I484" s="642"/>
      <c r="J484" s="782">
        <f t="shared" si="480"/>
        <v>0</v>
      </c>
      <c r="K484" s="642"/>
      <c r="L484" s="642"/>
      <c r="M484" s="875"/>
      <c r="N484" s="781">
        <f t="shared" si="481"/>
        <v>0</v>
      </c>
      <c r="O484" s="642"/>
      <c r="P484" s="642"/>
      <c r="Q484" s="642"/>
      <c r="R484" s="782">
        <f t="shared" si="482"/>
        <v>0</v>
      </c>
      <c r="S484" s="642"/>
      <c r="T484" s="642"/>
      <c r="U484" s="642"/>
      <c r="V484" s="782">
        <f t="shared" si="483"/>
        <v>0</v>
      </c>
      <c r="W484" s="642"/>
      <c r="X484" s="642"/>
      <c r="Y484" s="875"/>
      <c r="Z484" s="781">
        <f t="shared" si="484"/>
        <v>0</v>
      </c>
      <c r="AA484" s="642"/>
      <c r="AB484" s="3562">
        <f t="shared" si="485"/>
        <v>0</v>
      </c>
      <c r="AC484" s="642"/>
      <c r="AD484" s="642"/>
      <c r="AE484" s="642"/>
      <c r="AF484" s="782">
        <f t="shared" si="486"/>
        <v>0</v>
      </c>
      <c r="AG484" s="642"/>
      <c r="AH484" s="642"/>
      <c r="AK484" s="642"/>
      <c r="AL484" s="642"/>
      <c r="AM484" s="875"/>
      <c r="AN484" s="875"/>
      <c r="AQ484" s="642"/>
      <c r="AR484" s="642"/>
      <c r="AU484" s="642"/>
      <c r="AV484" s="642"/>
      <c r="AY484" s="642"/>
      <c r="AZ484" s="642"/>
      <c r="BA484" s="875"/>
      <c r="BB484" s="875"/>
      <c r="BC484" s="642"/>
      <c r="BD484" s="642"/>
      <c r="BG484" s="26"/>
      <c r="BH484" s="26"/>
      <c r="BI484" s="26"/>
      <c r="BJ484" s="26"/>
      <c r="BK484" s="26"/>
    </row>
    <row r="485" spans="1:63" ht="21" hidden="1" customHeight="1" x14ac:dyDescent="0.3">
      <c r="A485" s="154"/>
      <c r="B485" s="642"/>
      <c r="C485" s="642"/>
      <c r="D485" s="642"/>
      <c r="E485" s="642"/>
      <c r="F485" s="642"/>
      <c r="G485" s="642"/>
      <c r="H485" s="642"/>
      <c r="I485" s="642"/>
      <c r="J485" s="782">
        <f t="shared" si="480"/>
        <v>0</v>
      </c>
      <c r="K485" s="642"/>
      <c r="L485" s="642"/>
      <c r="M485" s="875"/>
      <c r="N485" s="781">
        <f t="shared" si="481"/>
        <v>0</v>
      </c>
      <c r="O485" s="642"/>
      <c r="P485" s="642"/>
      <c r="Q485" s="642"/>
      <c r="R485" s="782">
        <f t="shared" si="482"/>
        <v>0</v>
      </c>
      <c r="S485" s="642"/>
      <c r="T485" s="642"/>
      <c r="U485" s="642"/>
      <c r="V485" s="782">
        <f t="shared" si="483"/>
        <v>0</v>
      </c>
      <c r="W485" s="642"/>
      <c r="X485" s="642"/>
      <c r="Y485" s="875"/>
      <c r="Z485" s="781">
        <f t="shared" si="484"/>
        <v>0</v>
      </c>
      <c r="AA485" s="642"/>
      <c r="AB485" s="3562">
        <f t="shared" si="485"/>
        <v>0</v>
      </c>
      <c r="AC485" s="642"/>
      <c r="AD485" s="642"/>
      <c r="AE485" s="642"/>
      <c r="AF485" s="782">
        <f t="shared" si="486"/>
        <v>0</v>
      </c>
      <c r="AG485" s="642"/>
      <c r="AH485" s="642"/>
      <c r="AK485" s="642"/>
      <c r="AL485" s="642"/>
      <c r="AM485" s="875"/>
      <c r="AN485" s="875"/>
      <c r="AQ485" s="642"/>
      <c r="AR485" s="642"/>
      <c r="AU485" s="642"/>
      <c r="AV485" s="642"/>
      <c r="AY485" s="642"/>
      <c r="AZ485" s="642"/>
      <c r="BA485" s="875"/>
      <c r="BB485" s="875"/>
      <c r="BC485" s="642"/>
      <c r="BD485" s="642"/>
      <c r="BG485" s="26"/>
      <c r="BH485" s="26"/>
      <c r="BI485" s="26"/>
      <c r="BJ485" s="26"/>
      <c r="BK485" s="26"/>
    </row>
    <row r="486" spans="1:63" ht="21" hidden="1" customHeight="1" x14ac:dyDescent="0.3">
      <c r="A486" s="154"/>
      <c r="B486" s="642"/>
      <c r="C486" s="642"/>
      <c r="D486" s="642"/>
      <c r="E486" s="642"/>
      <c r="F486" s="642"/>
      <c r="G486" s="642"/>
      <c r="H486" s="642"/>
      <c r="I486" s="642"/>
      <c r="J486" s="782">
        <f t="shared" si="480"/>
        <v>0</v>
      </c>
      <c r="K486" s="642"/>
      <c r="L486" s="642"/>
      <c r="M486" s="875"/>
      <c r="N486" s="781">
        <f t="shared" si="481"/>
        <v>0</v>
      </c>
      <c r="O486" s="642"/>
      <c r="P486" s="642"/>
      <c r="Q486" s="642"/>
      <c r="R486" s="782">
        <f t="shared" si="482"/>
        <v>0</v>
      </c>
      <c r="S486" s="642"/>
      <c r="T486" s="642"/>
      <c r="U486" s="642"/>
      <c r="V486" s="782">
        <f t="shared" si="483"/>
        <v>0</v>
      </c>
      <c r="W486" s="642"/>
      <c r="X486" s="642"/>
      <c r="Y486" s="875"/>
      <c r="Z486" s="781">
        <f t="shared" si="484"/>
        <v>0</v>
      </c>
      <c r="AA486" s="642"/>
      <c r="AB486" s="3562">
        <f t="shared" si="485"/>
        <v>0</v>
      </c>
      <c r="AC486" s="642"/>
      <c r="AD486" s="642"/>
      <c r="AE486" s="642"/>
      <c r="AF486" s="782">
        <f t="shared" si="486"/>
        <v>0</v>
      </c>
      <c r="AG486" s="642"/>
      <c r="AH486" s="642"/>
      <c r="AK486" s="642"/>
      <c r="AL486" s="642"/>
      <c r="AM486" s="875"/>
      <c r="AN486" s="875"/>
      <c r="AQ486" s="642"/>
      <c r="AR486" s="642"/>
      <c r="AU486" s="642"/>
      <c r="AV486" s="642"/>
      <c r="AY486" s="642"/>
      <c r="AZ486" s="642"/>
      <c r="BA486" s="875"/>
      <c r="BB486" s="875"/>
      <c r="BC486" s="642"/>
      <c r="BD486" s="642"/>
      <c r="BG486" s="26"/>
      <c r="BH486" s="26"/>
      <c r="BI486" s="26"/>
      <c r="BJ486" s="26"/>
      <c r="BK486" s="26"/>
    </row>
    <row r="487" spans="1:63" ht="21" hidden="1" customHeight="1" x14ac:dyDescent="0.3">
      <c r="A487" s="154"/>
      <c r="B487" s="642"/>
      <c r="C487" s="642"/>
      <c r="D487" s="642"/>
      <c r="E487" s="642"/>
      <c r="F487" s="642"/>
      <c r="G487" s="642"/>
      <c r="H487" s="642"/>
      <c r="I487" s="642"/>
      <c r="J487" s="782">
        <f t="shared" si="480"/>
        <v>0</v>
      </c>
      <c r="K487" s="642"/>
      <c r="L487" s="642"/>
      <c r="M487" s="875"/>
      <c r="N487" s="781">
        <f t="shared" si="481"/>
        <v>0</v>
      </c>
      <c r="O487" s="642"/>
      <c r="P487" s="642"/>
      <c r="Q487" s="642"/>
      <c r="R487" s="782">
        <f t="shared" si="482"/>
        <v>0</v>
      </c>
      <c r="S487" s="642"/>
      <c r="T487" s="642"/>
      <c r="U487" s="642"/>
      <c r="V487" s="782">
        <f t="shared" si="483"/>
        <v>0</v>
      </c>
      <c r="W487" s="642"/>
      <c r="X487" s="642"/>
      <c r="Y487" s="875"/>
      <c r="Z487" s="781">
        <f t="shared" si="484"/>
        <v>0</v>
      </c>
      <c r="AA487" s="642"/>
      <c r="AB487" s="3562">
        <f t="shared" si="485"/>
        <v>0</v>
      </c>
      <c r="AC487" s="642"/>
      <c r="AD487" s="642"/>
      <c r="AE487" s="642"/>
      <c r="AF487" s="782">
        <f t="shared" si="486"/>
        <v>0</v>
      </c>
      <c r="AG487" s="642"/>
      <c r="AH487" s="642"/>
      <c r="AK487" s="642"/>
      <c r="AL487" s="642"/>
      <c r="AM487" s="875"/>
      <c r="AN487" s="875"/>
      <c r="AQ487" s="642"/>
      <c r="AR487" s="642"/>
      <c r="AU487" s="642"/>
      <c r="AV487" s="642"/>
      <c r="AY487" s="642"/>
      <c r="AZ487" s="642"/>
      <c r="BA487" s="875"/>
      <c r="BB487" s="875"/>
      <c r="BC487" s="642"/>
      <c r="BD487" s="642"/>
      <c r="BG487" s="26"/>
      <c r="BH487" s="26"/>
      <c r="BI487" s="26"/>
      <c r="BJ487" s="26"/>
      <c r="BK487" s="26"/>
    </row>
    <row r="488" spans="1:63" ht="21" hidden="1" customHeight="1" x14ac:dyDescent="0.3">
      <c r="A488" s="154"/>
      <c r="B488" s="642"/>
      <c r="C488" s="642"/>
      <c r="D488" s="642"/>
      <c r="E488" s="642"/>
      <c r="F488" s="642"/>
      <c r="G488" s="642"/>
      <c r="H488" s="642"/>
      <c r="I488" s="642"/>
      <c r="J488" s="782">
        <f t="shared" si="480"/>
        <v>0</v>
      </c>
      <c r="K488" s="642"/>
      <c r="L488" s="642"/>
      <c r="M488" s="875"/>
      <c r="N488" s="781">
        <f t="shared" si="481"/>
        <v>0</v>
      </c>
      <c r="O488" s="642"/>
      <c r="P488" s="642"/>
      <c r="Q488" s="642"/>
      <c r="R488" s="782">
        <f t="shared" si="482"/>
        <v>0</v>
      </c>
      <c r="S488" s="642"/>
      <c r="T488" s="642"/>
      <c r="U488" s="642"/>
      <c r="V488" s="782">
        <f t="shared" si="483"/>
        <v>0</v>
      </c>
      <c r="W488" s="642"/>
      <c r="X488" s="642"/>
      <c r="Y488" s="875"/>
      <c r="Z488" s="781">
        <f t="shared" si="484"/>
        <v>0</v>
      </c>
      <c r="AA488" s="642"/>
      <c r="AB488" s="3562">
        <f t="shared" si="485"/>
        <v>0</v>
      </c>
      <c r="AC488" s="642"/>
      <c r="AD488" s="642"/>
      <c r="AE488" s="642"/>
      <c r="AF488" s="782">
        <f t="shared" si="486"/>
        <v>0</v>
      </c>
      <c r="AG488" s="642"/>
      <c r="AH488" s="642"/>
      <c r="AK488" s="642"/>
      <c r="AL488" s="642"/>
      <c r="AM488" s="875"/>
      <c r="AN488" s="875"/>
      <c r="AQ488" s="642"/>
      <c r="AR488" s="642"/>
      <c r="AU488" s="642"/>
      <c r="AV488" s="642"/>
      <c r="AY488" s="642"/>
      <c r="AZ488" s="642"/>
      <c r="BA488" s="875"/>
      <c r="BB488" s="875"/>
      <c r="BC488" s="642"/>
      <c r="BD488" s="642"/>
      <c r="BG488" s="26"/>
      <c r="BH488" s="26"/>
      <c r="BI488" s="26"/>
      <c r="BJ488" s="26"/>
      <c r="BK488" s="26"/>
    </row>
    <row r="489" spans="1:63" ht="21" hidden="1" customHeight="1" x14ac:dyDescent="0.3">
      <c r="A489" s="154"/>
      <c r="B489" s="642"/>
      <c r="C489" s="642"/>
      <c r="D489" s="642"/>
      <c r="E489" s="642"/>
      <c r="F489" s="642"/>
      <c r="G489" s="642"/>
      <c r="H489" s="642"/>
      <c r="I489" s="642"/>
      <c r="J489" s="782">
        <f t="shared" si="480"/>
        <v>0</v>
      </c>
      <c r="K489" s="642"/>
      <c r="L489" s="642"/>
      <c r="M489" s="875"/>
      <c r="N489" s="781">
        <f t="shared" si="481"/>
        <v>0</v>
      </c>
      <c r="O489" s="642"/>
      <c r="P489" s="642"/>
      <c r="Q489" s="642"/>
      <c r="R489" s="782">
        <f t="shared" si="482"/>
        <v>0</v>
      </c>
      <c r="S489" s="642"/>
      <c r="T489" s="642"/>
      <c r="U489" s="642"/>
      <c r="V489" s="782">
        <f t="shared" si="483"/>
        <v>0</v>
      </c>
      <c r="W489" s="642"/>
      <c r="X489" s="642"/>
      <c r="Y489" s="875"/>
      <c r="Z489" s="781">
        <f t="shared" si="484"/>
        <v>0</v>
      </c>
      <c r="AA489" s="642"/>
      <c r="AB489" s="3562">
        <f t="shared" si="485"/>
        <v>0</v>
      </c>
      <c r="AC489" s="642"/>
      <c r="AD489" s="642"/>
      <c r="AE489" s="642"/>
      <c r="AF489" s="782">
        <f t="shared" si="486"/>
        <v>0</v>
      </c>
      <c r="AG489" s="642"/>
      <c r="AH489" s="642"/>
      <c r="AK489" s="642"/>
      <c r="AL489" s="642"/>
      <c r="AM489" s="875"/>
      <c r="AN489" s="875"/>
      <c r="AQ489" s="642"/>
      <c r="AR489" s="642"/>
      <c r="AU489" s="642"/>
      <c r="AV489" s="642"/>
      <c r="AY489" s="642"/>
      <c r="AZ489" s="642"/>
      <c r="BA489" s="875"/>
      <c r="BB489" s="875"/>
      <c r="BC489" s="642"/>
      <c r="BD489" s="642"/>
      <c r="BG489" s="26"/>
      <c r="BH489" s="26"/>
      <c r="BI489" s="26"/>
      <c r="BJ489" s="26"/>
      <c r="BK489" s="26"/>
    </row>
    <row r="490" spans="1:63" ht="21" hidden="1" customHeight="1" x14ac:dyDescent="0.3">
      <c r="A490" s="154"/>
      <c r="B490" s="642"/>
      <c r="C490" s="642"/>
      <c r="D490" s="642"/>
      <c r="E490" s="642"/>
      <c r="F490" s="642"/>
      <c r="G490" s="642"/>
      <c r="H490" s="642"/>
      <c r="I490" s="642"/>
      <c r="J490" s="782">
        <f t="shared" si="480"/>
        <v>0</v>
      </c>
      <c r="K490" s="642"/>
      <c r="L490" s="642"/>
      <c r="M490" s="875"/>
      <c r="N490" s="781">
        <f t="shared" si="481"/>
        <v>0</v>
      </c>
      <c r="O490" s="642"/>
      <c r="P490" s="642"/>
      <c r="Q490" s="642"/>
      <c r="R490" s="782">
        <f t="shared" si="482"/>
        <v>0</v>
      </c>
      <c r="S490" s="642"/>
      <c r="T490" s="642"/>
      <c r="U490" s="642"/>
      <c r="V490" s="782">
        <f t="shared" si="483"/>
        <v>0</v>
      </c>
      <c r="W490" s="642"/>
      <c r="X490" s="642"/>
      <c r="Y490" s="875"/>
      <c r="Z490" s="781">
        <f t="shared" si="484"/>
        <v>0</v>
      </c>
      <c r="AA490" s="642"/>
      <c r="AB490" s="3562">
        <f t="shared" si="485"/>
        <v>0</v>
      </c>
      <c r="AC490" s="642"/>
      <c r="AD490" s="642"/>
      <c r="AE490" s="642"/>
      <c r="AF490" s="782">
        <f t="shared" si="486"/>
        <v>0</v>
      </c>
      <c r="AG490" s="642"/>
      <c r="AH490" s="642"/>
      <c r="AK490" s="642"/>
      <c r="AL490" s="642"/>
      <c r="AM490" s="875"/>
      <c r="AN490" s="875"/>
      <c r="AQ490" s="642"/>
      <c r="AR490" s="642"/>
      <c r="AU490" s="642"/>
      <c r="AV490" s="642"/>
      <c r="AY490" s="642"/>
      <c r="AZ490" s="642"/>
      <c r="BA490" s="875"/>
      <c r="BB490" s="875"/>
      <c r="BC490" s="642"/>
      <c r="BD490" s="642"/>
      <c r="BG490" s="26"/>
      <c r="BH490" s="26"/>
      <c r="BI490" s="26"/>
      <c r="BJ490" s="26"/>
      <c r="BK490" s="26"/>
    </row>
    <row r="491" spans="1:63" ht="21" hidden="1" customHeight="1" x14ac:dyDescent="0.3">
      <c r="A491" s="154"/>
      <c r="B491" s="642"/>
      <c r="C491" s="642"/>
      <c r="D491" s="642"/>
      <c r="E491" s="642"/>
      <c r="F491" s="642"/>
      <c r="G491" s="642"/>
      <c r="H491" s="642"/>
      <c r="I491" s="642"/>
      <c r="J491" s="782">
        <f t="shared" si="480"/>
        <v>0</v>
      </c>
      <c r="K491" s="642"/>
      <c r="L491" s="642"/>
      <c r="M491" s="875"/>
      <c r="N491" s="781">
        <f t="shared" si="481"/>
        <v>0</v>
      </c>
      <c r="O491" s="642"/>
      <c r="P491" s="642"/>
      <c r="Q491" s="642"/>
      <c r="R491" s="782">
        <f t="shared" si="482"/>
        <v>0</v>
      </c>
      <c r="S491" s="642"/>
      <c r="T491" s="642"/>
      <c r="U491" s="642"/>
      <c r="V491" s="782">
        <f t="shared" si="483"/>
        <v>0</v>
      </c>
      <c r="W491" s="642"/>
      <c r="X491" s="642"/>
      <c r="Y491" s="875"/>
      <c r="Z491" s="781">
        <f t="shared" si="484"/>
        <v>0</v>
      </c>
      <c r="AA491" s="642"/>
      <c r="AB491" s="3562">
        <f t="shared" si="485"/>
        <v>0</v>
      </c>
      <c r="AC491" s="642"/>
      <c r="AD491" s="642"/>
      <c r="AE491" s="642"/>
      <c r="AF491" s="782">
        <f t="shared" si="486"/>
        <v>0</v>
      </c>
      <c r="AG491" s="642"/>
      <c r="AH491" s="642"/>
      <c r="AK491" s="642"/>
      <c r="AL491" s="642"/>
      <c r="AM491" s="875"/>
      <c r="AN491" s="875"/>
      <c r="AQ491" s="642"/>
      <c r="AR491" s="642"/>
      <c r="AU491" s="642"/>
      <c r="AV491" s="642"/>
      <c r="AY491" s="642"/>
      <c r="AZ491" s="642"/>
      <c r="BA491" s="875"/>
      <c r="BB491" s="875"/>
      <c r="BC491" s="642"/>
      <c r="BD491" s="642"/>
      <c r="BG491" s="26"/>
      <c r="BH491" s="26"/>
      <c r="BI491" s="26"/>
      <c r="BJ491" s="26"/>
      <c r="BK491" s="26"/>
    </row>
    <row r="492" spans="1:63" ht="21" hidden="1" customHeight="1" x14ac:dyDescent="0.3">
      <c r="A492" s="154"/>
      <c r="B492" s="642"/>
      <c r="C492" s="642"/>
      <c r="D492" s="642"/>
      <c r="E492" s="642"/>
      <c r="F492" s="642"/>
      <c r="G492" s="642"/>
      <c r="H492" s="642"/>
      <c r="I492" s="642"/>
      <c r="J492" s="782">
        <f t="shared" si="480"/>
        <v>0</v>
      </c>
      <c r="K492" s="642"/>
      <c r="L492" s="642"/>
      <c r="M492" s="875"/>
      <c r="N492" s="781">
        <f t="shared" si="481"/>
        <v>0</v>
      </c>
      <c r="O492" s="642"/>
      <c r="P492" s="642"/>
      <c r="Q492" s="642"/>
      <c r="R492" s="782">
        <f t="shared" si="482"/>
        <v>0</v>
      </c>
      <c r="S492" s="642"/>
      <c r="T492" s="642"/>
      <c r="U492" s="642"/>
      <c r="V492" s="782">
        <f t="shared" si="483"/>
        <v>0</v>
      </c>
      <c r="W492" s="642"/>
      <c r="X492" s="642"/>
      <c r="Y492" s="875"/>
      <c r="Z492" s="781">
        <f t="shared" si="484"/>
        <v>0</v>
      </c>
      <c r="AA492" s="642"/>
      <c r="AB492" s="3562">
        <f t="shared" si="485"/>
        <v>0</v>
      </c>
      <c r="AC492" s="642"/>
      <c r="AD492" s="642"/>
      <c r="AE492" s="642"/>
      <c r="AF492" s="782">
        <f t="shared" si="486"/>
        <v>0</v>
      </c>
      <c r="AG492" s="642"/>
      <c r="AH492" s="642"/>
      <c r="AK492" s="642"/>
      <c r="AL492" s="642"/>
      <c r="AM492" s="875"/>
      <c r="AN492" s="875"/>
      <c r="AQ492" s="642"/>
      <c r="AR492" s="642"/>
      <c r="AU492" s="642"/>
      <c r="AV492" s="642"/>
      <c r="AY492" s="642"/>
      <c r="AZ492" s="642"/>
      <c r="BA492" s="875"/>
      <c r="BB492" s="875"/>
      <c r="BC492" s="642"/>
      <c r="BD492" s="642"/>
      <c r="BG492" s="26"/>
      <c r="BH492" s="26"/>
      <c r="BI492" s="26"/>
      <c r="BJ492" s="26"/>
      <c r="BK492" s="26"/>
    </row>
    <row r="493" spans="1:63" ht="21" hidden="1" customHeight="1" x14ac:dyDescent="0.3">
      <c r="A493" s="154"/>
      <c r="B493" s="642"/>
      <c r="C493" s="642"/>
      <c r="D493" s="642"/>
      <c r="E493" s="642"/>
      <c r="F493" s="642"/>
      <c r="G493" s="642"/>
      <c r="H493" s="642"/>
      <c r="I493" s="642"/>
      <c r="J493" s="782">
        <f t="shared" si="480"/>
        <v>0</v>
      </c>
      <c r="K493" s="642"/>
      <c r="L493" s="642"/>
      <c r="M493" s="875"/>
      <c r="N493" s="781">
        <f t="shared" si="481"/>
        <v>0</v>
      </c>
      <c r="O493" s="642"/>
      <c r="P493" s="642"/>
      <c r="Q493" s="642"/>
      <c r="R493" s="782">
        <f t="shared" si="482"/>
        <v>0</v>
      </c>
      <c r="S493" s="642"/>
      <c r="T493" s="642"/>
      <c r="U493" s="642"/>
      <c r="V493" s="782">
        <f t="shared" si="483"/>
        <v>0</v>
      </c>
      <c r="W493" s="642"/>
      <c r="X493" s="642"/>
      <c r="Y493" s="875"/>
      <c r="Z493" s="781">
        <f t="shared" si="484"/>
        <v>0</v>
      </c>
      <c r="AA493" s="642"/>
      <c r="AB493" s="3562">
        <f t="shared" si="485"/>
        <v>0</v>
      </c>
      <c r="AC493" s="642"/>
      <c r="AD493" s="642"/>
      <c r="AE493" s="642"/>
      <c r="AF493" s="782">
        <f t="shared" si="486"/>
        <v>0</v>
      </c>
      <c r="AG493" s="642"/>
      <c r="AH493" s="642"/>
      <c r="AK493" s="642"/>
      <c r="AL493" s="642"/>
      <c r="AM493" s="875"/>
      <c r="AN493" s="875"/>
      <c r="AQ493" s="642"/>
      <c r="AR493" s="642"/>
      <c r="AU493" s="642"/>
      <c r="AV493" s="642"/>
      <c r="AY493" s="642"/>
      <c r="AZ493" s="642"/>
      <c r="BA493" s="875"/>
      <c r="BB493" s="875"/>
      <c r="BC493" s="642"/>
      <c r="BD493" s="642"/>
      <c r="BG493" s="26"/>
      <c r="BH493" s="26"/>
      <c r="BI493" s="26"/>
      <c r="BJ493" s="26"/>
      <c r="BK493" s="26"/>
    </row>
    <row r="494" spans="1:63" ht="21" hidden="1" customHeight="1" x14ac:dyDescent="0.3">
      <c r="A494" s="154"/>
      <c r="B494" s="642"/>
      <c r="C494" s="642"/>
      <c r="D494" s="642"/>
      <c r="E494" s="642"/>
      <c r="F494" s="642"/>
      <c r="G494" s="642"/>
      <c r="H494" s="642"/>
      <c r="I494" s="642"/>
      <c r="J494" s="782">
        <f t="shared" si="480"/>
        <v>0</v>
      </c>
      <c r="K494" s="642"/>
      <c r="L494" s="642"/>
      <c r="M494" s="875"/>
      <c r="N494" s="781">
        <f t="shared" si="481"/>
        <v>0</v>
      </c>
      <c r="O494" s="642"/>
      <c r="P494" s="642"/>
      <c r="Q494" s="642"/>
      <c r="R494" s="782">
        <f t="shared" si="482"/>
        <v>0</v>
      </c>
      <c r="S494" s="642"/>
      <c r="T494" s="642"/>
      <c r="U494" s="642"/>
      <c r="V494" s="782">
        <f t="shared" si="483"/>
        <v>0</v>
      </c>
      <c r="W494" s="642"/>
      <c r="X494" s="642"/>
      <c r="Y494" s="875"/>
      <c r="Z494" s="781">
        <f t="shared" si="484"/>
        <v>0</v>
      </c>
      <c r="AA494" s="642"/>
      <c r="AB494" s="3562">
        <f t="shared" si="485"/>
        <v>0</v>
      </c>
      <c r="AC494" s="642"/>
      <c r="AD494" s="642"/>
      <c r="AE494" s="642"/>
      <c r="AF494" s="782">
        <f t="shared" si="486"/>
        <v>0</v>
      </c>
      <c r="AG494" s="642"/>
      <c r="AH494" s="642"/>
      <c r="AK494" s="642"/>
      <c r="AL494" s="642"/>
      <c r="AM494" s="875"/>
      <c r="AN494" s="875"/>
      <c r="AQ494" s="642"/>
      <c r="AR494" s="642"/>
      <c r="AU494" s="642"/>
      <c r="AV494" s="642"/>
      <c r="AY494" s="642"/>
      <c r="AZ494" s="642"/>
      <c r="BA494" s="875"/>
      <c r="BB494" s="875"/>
      <c r="BC494" s="642"/>
      <c r="BD494" s="642"/>
      <c r="BG494" s="26"/>
      <c r="BH494" s="26"/>
      <c r="BI494" s="26"/>
      <c r="BJ494" s="26"/>
      <c r="BK494" s="26"/>
    </row>
    <row r="495" spans="1:63" ht="21" hidden="1" customHeight="1" x14ac:dyDescent="0.3">
      <c r="A495" s="154"/>
      <c r="B495" s="642"/>
      <c r="C495" s="642"/>
      <c r="D495" s="642"/>
      <c r="E495" s="642"/>
      <c r="F495" s="642"/>
      <c r="G495" s="642"/>
      <c r="H495" s="642"/>
      <c r="I495" s="642"/>
      <c r="J495" s="782">
        <f t="shared" si="480"/>
        <v>0</v>
      </c>
      <c r="K495" s="642"/>
      <c r="L495" s="642"/>
      <c r="M495" s="875"/>
      <c r="N495" s="781">
        <f t="shared" si="481"/>
        <v>0</v>
      </c>
      <c r="O495" s="642"/>
      <c r="P495" s="642"/>
      <c r="Q495" s="642"/>
      <c r="R495" s="782">
        <f t="shared" si="482"/>
        <v>0</v>
      </c>
      <c r="S495" s="642"/>
      <c r="T495" s="642"/>
      <c r="U495" s="642"/>
      <c r="V495" s="782">
        <f t="shared" si="483"/>
        <v>0</v>
      </c>
      <c r="W495" s="642"/>
      <c r="X495" s="642"/>
      <c r="Y495" s="875"/>
      <c r="Z495" s="781">
        <f t="shared" si="484"/>
        <v>0</v>
      </c>
      <c r="AA495" s="642"/>
      <c r="AB495" s="3562">
        <f t="shared" si="485"/>
        <v>0</v>
      </c>
      <c r="AC495" s="642"/>
      <c r="AD495" s="642"/>
      <c r="AE495" s="642"/>
      <c r="AF495" s="782">
        <f t="shared" si="486"/>
        <v>0</v>
      </c>
      <c r="AG495" s="642"/>
      <c r="AH495" s="642"/>
      <c r="AK495" s="642"/>
      <c r="AL495" s="642"/>
      <c r="AM495" s="875"/>
      <c r="AN495" s="875"/>
      <c r="AQ495" s="642"/>
      <c r="AR495" s="642"/>
      <c r="AU495" s="642"/>
      <c r="AV495" s="642"/>
      <c r="AY495" s="642"/>
      <c r="AZ495" s="642"/>
      <c r="BA495" s="875"/>
      <c r="BB495" s="875"/>
      <c r="BC495" s="642"/>
      <c r="BD495" s="642"/>
      <c r="BG495" s="26"/>
      <c r="BH495" s="26"/>
      <c r="BI495" s="26"/>
      <c r="BJ495" s="26"/>
      <c r="BK495" s="26"/>
    </row>
    <row r="496" spans="1:63" ht="21" hidden="1" customHeight="1" x14ac:dyDescent="0.3">
      <c r="A496" s="154"/>
      <c r="B496" s="642"/>
      <c r="C496" s="642"/>
      <c r="D496" s="642"/>
      <c r="E496" s="642"/>
      <c r="F496" s="642"/>
      <c r="G496" s="642"/>
      <c r="H496" s="642"/>
      <c r="I496" s="642"/>
      <c r="J496" s="782">
        <f t="shared" si="480"/>
        <v>0</v>
      </c>
      <c r="K496" s="642"/>
      <c r="L496" s="642"/>
      <c r="M496" s="875"/>
      <c r="N496" s="781">
        <f t="shared" si="481"/>
        <v>0</v>
      </c>
      <c r="O496" s="642"/>
      <c r="P496" s="642"/>
      <c r="Q496" s="642"/>
      <c r="R496" s="782">
        <f t="shared" si="482"/>
        <v>0</v>
      </c>
      <c r="S496" s="642"/>
      <c r="T496" s="642"/>
      <c r="U496" s="642"/>
      <c r="V496" s="782">
        <f t="shared" si="483"/>
        <v>0</v>
      </c>
      <c r="W496" s="642"/>
      <c r="X496" s="642"/>
      <c r="Y496" s="875"/>
      <c r="Z496" s="781">
        <f t="shared" si="484"/>
        <v>0</v>
      </c>
      <c r="AA496" s="642"/>
      <c r="AB496" s="3562">
        <f t="shared" si="485"/>
        <v>0</v>
      </c>
      <c r="AC496" s="642"/>
      <c r="AD496" s="642"/>
      <c r="AE496" s="642"/>
      <c r="AF496" s="782">
        <f t="shared" si="486"/>
        <v>0</v>
      </c>
      <c r="AG496" s="642"/>
      <c r="AH496" s="642"/>
      <c r="AK496" s="642"/>
      <c r="AL496" s="642"/>
      <c r="AM496" s="875"/>
      <c r="AN496" s="875"/>
      <c r="AQ496" s="642"/>
      <c r="AR496" s="642"/>
      <c r="AU496" s="642"/>
      <c r="AV496" s="642"/>
      <c r="AY496" s="642"/>
      <c r="AZ496" s="642"/>
      <c r="BA496" s="875"/>
      <c r="BB496" s="875"/>
      <c r="BC496" s="642"/>
      <c r="BD496" s="642"/>
      <c r="BG496" s="26"/>
      <c r="BH496" s="26"/>
      <c r="BI496" s="26"/>
      <c r="BJ496" s="26"/>
      <c r="BK496" s="26"/>
    </row>
    <row r="497" spans="1:63" ht="21" hidden="1" customHeight="1" x14ac:dyDescent="0.3">
      <c r="A497" s="154"/>
      <c r="B497" s="642"/>
      <c r="C497" s="642"/>
      <c r="D497" s="642"/>
      <c r="E497" s="642"/>
      <c r="F497" s="642"/>
      <c r="G497" s="642"/>
      <c r="H497" s="642"/>
      <c r="I497" s="642"/>
      <c r="J497" s="782">
        <f t="shared" si="480"/>
        <v>0</v>
      </c>
      <c r="K497" s="642"/>
      <c r="L497" s="642"/>
      <c r="M497" s="875"/>
      <c r="N497" s="781">
        <f t="shared" si="481"/>
        <v>0</v>
      </c>
      <c r="O497" s="642"/>
      <c r="P497" s="642"/>
      <c r="Q497" s="642"/>
      <c r="R497" s="782">
        <f t="shared" si="482"/>
        <v>0</v>
      </c>
      <c r="S497" s="642"/>
      <c r="T497" s="642"/>
      <c r="U497" s="642"/>
      <c r="V497" s="782">
        <f t="shared" si="483"/>
        <v>0</v>
      </c>
      <c r="W497" s="642"/>
      <c r="X497" s="642"/>
      <c r="Y497" s="875"/>
      <c r="Z497" s="781">
        <f t="shared" si="484"/>
        <v>0</v>
      </c>
      <c r="AA497" s="642"/>
      <c r="AB497" s="3562">
        <f t="shared" si="485"/>
        <v>0</v>
      </c>
      <c r="AC497" s="642"/>
      <c r="AD497" s="642"/>
      <c r="AE497" s="642"/>
      <c r="AF497" s="782">
        <f t="shared" si="486"/>
        <v>0</v>
      </c>
      <c r="AG497" s="642"/>
      <c r="AH497" s="642"/>
      <c r="AK497" s="642"/>
      <c r="AL497" s="642"/>
      <c r="AM497" s="875"/>
      <c r="AN497" s="875"/>
      <c r="AQ497" s="642"/>
      <c r="AR497" s="642"/>
      <c r="AU497" s="642"/>
      <c r="AV497" s="642"/>
      <c r="AY497" s="642"/>
      <c r="AZ497" s="642"/>
      <c r="BA497" s="875"/>
      <c r="BB497" s="875"/>
      <c r="BC497" s="642"/>
      <c r="BD497" s="642"/>
      <c r="BG497" s="26"/>
      <c r="BH497" s="26"/>
      <c r="BI497" s="26"/>
      <c r="BJ497" s="26"/>
      <c r="BK497" s="26"/>
    </row>
    <row r="498" spans="1:63" ht="21" hidden="1" customHeight="1" x14ac:dyDescent="0.3">
      <c r="A498" s="154"/>
      <c r="B498" s="642"/>
      <c r="C498" s="642"/>
      <c r="D498" s="642"/>
      <c r="E498" s="642"/>
      <c r="F498" s="642"/>
      <c r="G498" s="642"/>
      <c r="H498" s="642"/>
      <c r="I498" s="642"/>
      <c r="J498" s="782">
        <f t="shared" si="480"/>
        <v>0</v>
      </c>
      <c r="K498" s="642"/>
      <c r="L498" s="642"/>
      <c r="M498" s="875"/>
      <c r="N498" s="781">
        <f t="shared" si="481"/>
        <v>0</v>
      </c>
      <c r="O498" s="642"/>
      <c r="P498" s="642"/>
      <c r="Q498" s="642"/>
      <c r="R498" s="782">
        <f t="shared" si="482"/>
        <v>0</v>
      </c>
      <c r="S498" s="642"/>
      <c r="T498" s="642"/>
      <c r="U498" s="642"/>
      <c r="V498" s="782">
        <f t="shared" si="483"/>
        <v>0</v>
      </c>
      <c r="W498" s="642"/>
      <c r="X498" s="642"/>
      <c r="Y498" s="875"/>
      <c r="Z498" s="781">
        <f t="shared" si="484"/>
        <v>0</v>
      </c>
      <c r="AA498" s="642"/>
      <c r="AB498" s="3562">
        <f t="shared" si="485"/>
        <v>0</v>
      </c>
      <c r="AC498" s="642"/>
      <c r="AD498" s="642"/>
      <c r="AE498" s="642"/>
      <c r="AF498" s="782">
        <f t="shared" si="486"/>
        <v>0</v>
      </c>
      <c r="AG498" s="642"/>
      <c r="AH498" s="642"/>
      <c r="AK498" s="642"/>
      <c r="AL498" s="642"/>
      <c r="AM498" s="875"/>
      <c r="AN498" s="875"/>
      <c r="AQ498" s="642"/>
      <c r="AR498" s="642"/>
      <c r="AU498" s="642"/>
      <c r="AV498" s="642"/>
      <c r="AY498" s="642"/>
      <c r="AZ498" s="642"/>
      <c r="BA498" s="875"/>
      <c r="BB498" s="875"/>
      <c r="BC498" s="642"/>
      <c r="BD498" s="642"/>
      <c r="BG498" s="26"/>
      <c r="BH498" s="26"/>
      <c r="BI498" s="26"/>
      <c r="BJ498" s="26"/>
      <c r="BK498" s="26"/>
    </row>
    <row r="499" spans="1:63" ht="21" hidden="1" customHeight="1" x14ac:dyDescent="0.3">
      <c r="A499" s="154"/>
      <c r="B499" s="642"/>
      <c r="C499" s="642"/>
      <c r="D499" s="642"/>
      <c r="E499" s="642"/>
      <c r="F499" s="642"/>
      <c r="G499" s="642"/>
      <c r="H499" s="642"/>
      <c r="I499" s="642"/>
      <c r="J499" s="782">
        <f t="shared" si="480"/>
        <v>0</v>
      </c>
      <c r="K499" s="642"/>
      <c r="L499" s="642"/>
      <c r="M499" s="875"/>
      <c r="N499" s="781">
        <f t="shared" si="481"/>
        <v>0</v>
      </c>
      <c r="O499" s="642"/>
      <c r="P499" s="642"/>
      <c r="Q499" s="642"/>
      <c r="R499" s="782">
        <f t="shared" si="482"/>
        <v>0</v>
      </c>
      <c r="S499" s="642"/>
      <c r="T499" s="642"/>
      <c r="U499" s="642"/>
      <c r="V499" s="782">
        <f t="shared" si="483"/>
        <v>0</v>
      </c>
      <c r="W499" s="642"/>
      <c r="X499" s="642"/>
      <c r="Y499" s="875"/>
      <c r="Z499" s="781">
        <f t="shared" si="484"/>
        <v>0</v>
      </c>
      <c r="AA499" s="642"/>
      <c r="AB499" s="3562">
        <f t="shared" si="485"/>
        <v>0</v>
      </c>
      <c r="AC499" s="642"/>
      <c r="AD499" s="642"/>
      <c r="AE499" s="642"/>
      <c r="AF499" s="782">
        <f t="shared" si="486"/>
        <v>0</v>
      </c>
      <c r="AG499" s="642"/>
      <c r="AH499" s="642"/>
      <c r="AK499" s="642"/>
      <c r="AL499" s="642"/>
      <c r="AM499" s="875"/>
      <c r="AN499" s="875"/>
      <c r="AQ499" s="642"/>
      <c r="AR499" s="642"/>
      <c r="AU499" s="642"/>
      <c r="AV499" s="642"/>
      <c r="AY499" s="642"/>
      <c r="AZ499" s="642"/>
      <c r="BA499" s="875"/>
      <c r="BB499" s="875"/>
      <c r="BC499" s="642"/>
      <c r="BD499" s="642"/>
      <c r="BG499" s="26"/>
      <c r="BH499" s="26"/>
      <c r="BI499" s="26"/>
      <c r="BJ499" s="26"/>
      <c r="BK499" s="26"/>
    </row>
    <row r="500" spans="1:63" ht="21" hidden="1" customHeight="1" x14ac:dyDescent="0.3">
      <c r="A500" s="154"/>
      <c r="B500" s="642"/>
      <c r="C500" s="642"/>
      <c r="D500" s="642"/>
      <c r="E500" s="642"/>
      <c r="F500" s="642"/>
      <c r="G500" s="642"/>
      <c r="H500" s="642"/>
      <c r="I500" s="642"/>
      <c r="J500" s="782">
        <f t="shared" si="480"/>
        <v>0</v>
      </c>
      <c r="K500" s="642"/>
      <c r="L500" s="642"/>
      <c r="M500" s="875"/>
      <c r="N500" s="781">
        <f t="shared" si="481"/>
        <v>0</v>
      </c>
      <c r="O500" s="642"/>
      <c r="P500" s="642"/>
      <c r="Q500" s="642"/>
      <c r="R500" s="782">
        <f t="shared" si="482"/>
        <v>0</v>
      </c>
      <c r="S500" s="642"/>
      <c r="T500" s="642"/>
      <c r="U500" s="642"/>
      <c r="V500" s="782">
        <f t="shared" si="483"/>
        <v>0</v>
      </c>
      <c r="W500" s="642"/>
      <c r="X500" s="642"/>
      <c r="Y500" s="875"/>
      <c r="Z500" s="781">
        <f t="shared" si="484"/>
        <v>0</v>
      </c>
      <c r="AA500" s="642"/>
      <c r="AB500" s="3562">
        <f t="shared" si="485"/>
        <v>0</v>
      </c>
      <c r="AC500" s="642"/>
      <c r="AD500" s="642"/>
      <c r="AE500" s="642"/>
      <c r="AF500" s="782">
        <f t="shared" si="486"/>
        <v>0</v>
      </c>
      <c r="AG500" s="642"/>
      <c r="AH500" s="642"/>
      <c r="AK500" s="642"/>
      <c r="AL500" s="642"/>
      <c r="AM500" s="875"/>
      <c r="AN500" s="875"/>
      <c r="AQ500" s="642"/>
      <c r="AR500" s="642"/>
      <c r="AU500" s="642"/>
      <c r="AV500" s="642"/>
      <c r="AY500" s="642"/>
      <c r="AZ500" s="642"/>
      <c r="BA500" s="875"/>
      <c r="BB500" s="875"/>
      <c r="BC500" s="642"/>
      <c r="BD500" s="642"/>
      <c r="BG500" s="26"/>
      <c r="BH500" s="26"/>
      <c r="BI500" s="26"/>
      <c r="BJ500" s="26"/>
      <c r="BK500" s="26"/>
    </row>
    <row r="501" spans="1:63" ht="21" hidden="1" customHeight="1" x14ac:dyDescent="0.3">
      <c r="A501" s="154"/>
      <c r="B501" s="642"/>
      <c r="C501" s="642"/>
      <c r="D501" s="642"/>
      <c r="E501" s="642"/>
      <c r="F501" s="642"/>
      <c r="G501" s="642"/>
      <c r="H501" s="642"/>
      <c r="I501" s="642"/>
      <c r="J501" s="782">
        <f t="shared" si="480"/>
        <v>0</v>
      </c>
      <c r="K501" s="642"/>
      <c r="L501" s="642"/>
      <c r="M501" s="875"/>
      <c r="N501" s="781">
        <f t="shared" si="481"/>
        <v>0</v>
      </c>
      <c r="O501" s="642"/>
      <c r="P501" s="642"/>
      <c r="Q501" s="642"/>
      <c r="R501" s="782">
        <f t="shared" si="482"/>
        <v>0</v>
      </c>
      <c r="S501" s="642"/>
      <c r="T501" s="642"/>
      <c r="U501" s="642"/>
      <c r="V501" s="782">
        <f t="shared" si="483"/>
        <v>0</v>
      </c>
      <c r="W501" s="642"/>
      <c r="X501" s="642"/>
      <c r="Y501" s="875"/>
      <c r="Z501" s="781">
        <f t="shared" si="484"/>
        <v>0</v>
      </c>
      <c r="AA501" s="642"/>
      <c r="AB501" s="3562">
        <f t="shared" si="485"/>
        <v>0</v>
      </c>
      <c r="AC501" s="642"/>
      <c r="AD501" s="642"/>
      <c r="AE501" s="642"/>
      <c r="AF501" s="782">
        <f t="shared" si="486"/>
        <v>0</v>
      </c>
      <c r="AG501" s="642"/>
      <c r="AH501" s="642"/>
      <c r="AK501" s="642"/>
      <c r="AL501" s="642"/>
      <c r="AM501" s="875"/>
      <c r="AN501" s="875"/>
      <c r="AQ501" s="642"/>
      <c r="AR501" s="642"/>
      <c r="AU501" s="642"/>
      <c r="AV501" s="642"/>
      <c r="AY501" s="642"/>
      <c r="AZ501" s="642"/>
      <c r="BA501" s="875"/>
      <c r="BB501" s="875"/>
      <c r="BC501" s="642"/>
      <c r="BD501" s="642"/>
      <c r="BG501" s="26"/>
      <c r="BH501" s="26"/>
      <c r="BI501" s="26"/>
      <c r="BJ501" s="26"/>
      <c r="BK501" s="26"/>
    </row>
    <row r="502" spans="1:63" ht="21" hidden="1" customHeight="1" x14ac:dyDescent="0.3">
      <c r="A502" s="154"/>
      <c r="B502" s="642"/>
      <c r="C502" s="642"/>
      <c r="D502" s="642"/>
      <c r="E502" s="642"/>
      <c r="F502" s="642"/>
      <c r="G502" s="642"/>
      <c r="H502" s="642"/>
      <c r="I502" s="642"/>
      <c r="J502" s="782">
        <f t="shared" si="480"/>
        <v>0</v>
      </c>
      <c r="K502" s="642"/>
      <c r="L502" s="642"/>
      <c r="M502" s="875"/>
      <c r="N502" s="781">
        <f t="shared" si="481"/>
        <v>0</v>
      </c>
      <c r="O502" s="642"/>
      <c r="P502" s="642"/>
      <c r="Q502" s="642"/>
      <c r="R502" s="782">
        <f t="shared" si="482"/>
        <v>0</v>
      </c>
      <c r="S502" s="642"/>
      <c r="T502" s="642"/>
      <c r="U502" s="642"/>
      <c r="V502" s="782">
        <f t="shared" si="483"/>
        <v>0</v>
      </c>
      <c r="W502" s="642"/>
      <c r="X502" s="642"/>
      <c r="Y502" s="875"/>
      <c r="Z502" s="781">
        <f t="shared" si="484"/>
        <v>0</v>
      </c>
      <c r="AA502" s="642"/>
      <c r="AB502" s="3562">
        <f t="shared" si="485"/>
        <v>0</v>
      </c>
      <c r="AC502" s="642"/>
      <c r="AD502" s="642"/>
      <c r="AE502" s="642"/>
      <c r="AF502" s="782">
        <f t="shared" si="486"/>
        <v>0</v>
      </c>
      <c r="AG502" s="642"/>
      <c r="AH502" s="642"/>
      <c r="AK502" s="642"/>
      <c r="AL502" s="642"/>
      <c r="AM502" s="875"/>
      <c r="AN502" s="875"/>
      <c r="AQ502" s="642"/>
      <c r="AR502" s="642"/>
      <c r="AU502" s="642"/>
      <c r="AV502" s="642"/>
      <c r="AY502" s="642"/>
      <c r="AZ502" s="642"/>
      <c r="BA502" s="875"/>
      <c r="BB502" s="875"/>
      <c r="BC502" s="642"/>
      <c r="BD502" s="642"/>
      <c r="BG502" s="26"/>
      <c r="BH502" s="26"/>
      <c r="BI502" s="26"/>
      <c r="BJ502" s="26"/>
      <c r="BK502" s="26"/>
    </row>
    <row r="503" spans="1:63" ht="21" hidden="1" customHeight="1" x14ac:dyDescent="0.3">
      <c r="A503" s="154"/>
      <c r="B503" s="642"/>
      <c r="C503" s="642"/>
      <c r="D503" s="642"/>
      <c r="E503" s="642"/>
      <c r="F503" s="642"/>
      <c r="G503" s="642"/>
      <c r="H503" s="642"/>
      <c r="I503" s="642"/>
      <c r="J503" s="782">
        <f t="shared" si="480"/>
        <v>0</v>
      </c>
      <c r="K503" s="642"/>
      <c r="L503" s="642"/>
      <c r="M503" s="875"/>
      <c r="N503" s="781">
        <f t="shared" si="481"/>
        <v>0</v>
      </c>
      <c r="O503" s="642"/>
      <c r="P503" s="642"/>
      <c r="Q503" s="642"/>
      <c r="R503" s="782">
        <f t="shared" si="482"/>
        <v>0</v>
      </c>
      <c r="S503" s="642"/>
      <c r="T503" s="642"/>
      <c r="U503" s="642"/>
      <c r="V503" s="782">
        <f t="shared" si="483"/>
        <v>0</v>
      </c>
      <c r="W503" s="642"/>
      <c r="X503" s="642"/>
      <c r="Y503" s="875"/>
      <c r="Z503" s="781">
        <f t="shared" si="484"/>
        <v>0</v>
      </c>
      <c r="AA503" s="642"/>
      <c r="AB503" s="3562">
        <f t="shared" si="485"/>
        <v>0</v>
      </c>
      <c r="AC503" s="642"/>
      <c r="AD503" s="642"/>
      <c r="AE503" s="642"/>
      <c r="AF503" s="782">
        <f t="shared" si="486"/>
        <v>0</v>
      </c>
      <c r="AG503" s="642"/>
      <c r="AH503" s="642"/>
      <c r="AK503" s="642"/>
      <c r="AL503" s="642"/>
      <c r="AM503" s="875"/>
      <c r="AN503" s="875"/>
      <c r="AQ503" s="642"/>
      <c r="AR503" s="642"/>
      <c r="AU503" s="642"/>
      <c r="AV503" s="642"/>
      <c r="AY503" s="642"/>
      <c r="AZ503" s="642"/>
      <c r="BA503" s="875"/>
      <c r="BB503" s="875"/>
      <c r="BC503" s="642"/>
      <c r="BD503" s="642"/>
      <c r="BG503" s="26"/>
      <c r="BH503" s="26"/>
      <c r="BI503" s="26"/>
      <c r="BJ503" s="26"/>
      <c r="BK503" s="26"/>
    </row>
    <row r="504" spans="1:63" ht="21" hidden="1" customHeight="1" x14ac:dyDescent="0.3">
      <c r="A504" s="154"/>
      <c r="B504" s="642"/>
      <c r="C504" s="642"/>
      <c r="D504" s="642"/>
      <c r="E504" s="642"/>
      <c r="F504" s="642"/>
      <c r="G504" s="642"/>
      <c r="H504" s="642"/>
      <c r="I504" s="642"/>
      <c r="J504" s="782">
        <f t="shared" si="480"/>
        <v>0</v>
      </c>
      <c r="K504" s="642"/>
      <c r="L504" s="642"/>
      <c r="M504" s="875"/>
      <c r="N504" s="781">
        <f t="shared" si="481"/>
        <v>0</v>
      </c>
      <c r="O504" s="642"/>
      <c r="P504" s="642"/>
      <c r="Q504" s="642"/>
      <c r="R504" s="782">
        <f t="shared" si="482"/>
        <v>0</v>
      </c>
      <c r="S504" s="642"/>
      <c r="T504" s="642"/>
      <c r="U504" s="642"/>
      <c r="V504" s="782">
        <f t="shared" si="483"/>
        <v>0</v>
      </c>
      <c r="W504" s="642"/>
      <c r="X504" s="642"/>
      <c r="Y504" s="875"/>
      <c r="Z504" s="781">
        <f t="shared" si="484"/>
        <v>0</v>
      </c>
      <c r="AA504" s="642"/>
      <c r="AB504" s="3562">
        <f t="shared" si="485"/>
        <v>0</v>
      </c>
      <c r="AC504" s="642"/>
      <c r="AD504" s="642"/>
      <c r="AE504" s="642"/>
      <c r="AF504" s="782">
        <f t="shared" si="486"/>
        <v>0</v>
      </c>
      <c r="AG504" s="642"/>
      <c r="AH504" s="642"/>
      <c r="AK504" s="642"/>
      <c r="AL504" s="642"/>
      <c r="AM504" s="875"/>
      <c r="AN504" s="875"/>
      <c r="AQ504" s="642"/>
      <c r="AR504" s="642"/>
      <c r="AU504" s="642"/>
      <c r="AV504" s="642"/>
      <c r="AY504" s="642"/>
      <c r="AZ504" s="642"/>
      <c r="BA504" s="875"/>
      <c r="BB504" s="875"/>
      <c r="BC504" s="642"/>
      <c r="BD504" s="642"/>
      <c r="BG504" s="26"/>
      <c r="BH504" s="26"/>
      <c r="BI504" s="26"/>
      <c r="BJ504" s="26"/>
      <c r="BK504" s="26"/>
    </row>
    <row r="505" spans="1:63" ht="21" hidden="1" customHeight="1" x14ac:dyDescent="0.3">
      <c r="A505" s="154"/>
      <c r="B505" s="642"/>
      <c r="C505" s="642"/>
      <c r="D505" s="642"/>
      <c r="E505" s="642"/>
      <c r="F505" s="642"/>
      <c r="G505" s="642"/>
      <c r="H505" s="642"/>
      <c r="I505" s="642"/>
      <c r="J505" s="782">
        <f t="shared" si="480"/>
        <v>0</v>
      </c>
      <c r="K505" s="642"/>
      <c r="L505" s="642"/>
      <c r="M505" s="875"/>
      <c r="N505" s="781">
        <f t="shared" si="481"/>
        <v>0</v>
      </c>
      <c r="O505" s="642"/>
      <c r="P505" s="642"/>
      <c r="Q505" s="642"/>
      <c r="R505" s="782">
        <f t="shared" si="482"/>
        <v>0</v>
      </c>
      <c r="S505" s="642"/>
      <c r="T505" s="642"/>
      <c r="U505" s="642"/>
      <c r="V505" s="782">
        <f t="shared" si="483"/>
        <v>0</v>
      </c>
      <c r="W505" s="642"/>
      <c r="X505" s="642"/>
      <c r="Y505" s="875"/>
      <c r="Z505" s="781">
        <f t="shared" si="484"/>
        <v>0</v>
      </c>
      <c r="AA505" s="642"/>
      <c r="AB505" s="3562">
        <f t="shared" si="485"/>
        <v>0</v>
      </c>
      <c r="AC505" s="642"/>
      <c r="AD505" s="642"/>
      <c r="AE505" s="642"/>
      <c r="AF505" s="782">
        <f t="shared" si="486"/>
        <v>0</v>
      </c>
      <c r="AG505" s="642"/>
      <c r="AH505" s="642"/>
      <c r="AK505" s="642"/>
      <c r="AL505" s="642"/>
      <c r="AM505" s="875"/>
      <c r="AN505" s="875"/>
      <c r="AQ505" s="642"/>
      <c r="AR505" s="642"/>
      <c r="AU505" s="642"/>
      <c r="AV505" s="642"/>
      <c r="AY505" s="642"/>
      <c r="AZ505" s="642"/>
      <c r="BA505" s="875"/>
      <c r="BB505" s="875"/>
      <c r="BC505" s="642"/>
      <c r="BD505" s="642"/>
      <c r="BG505" s="26"/>
      <c r="BH505" s="26"/>
      <c r="BI505" s="26"/>
      <c r="BJ505" s="26"/>
      <c r="BK505" s="26"/>
    </row>
    <row r="506" spans="1:63" ht="21" hidden="1" customHeight="1" x14ac:dyDescent="0.3">
      <c r="A506" s="154"/>
      <c r="B506" s="642"/>
      <c r="C506" s="642"/>
      <c r="D506" s="642"/>
      <c r="E506" s="642"/>
      <c r="F506" s="642"/>
      <c r="G506" s="642"/>
      <c r="H506" s="642"/>
      <c r="I506" s="642"/>
      <c r="J506" s="782">
        <f t="shared" si="480"/>
        <v>0</v>
      </c>
      <c r="K506" s="642"/>
      <c r="L506" s="642"/>
      <c r="M506" s="875"/>
      <c r="N506" s="781">
        <f t="shared" si="481"/>
        <v>0</v>
      </c>
      <c r="O506" s="642"/>
      <c r="P506" s="642"/>
      <c r="Q506" s="642"/>
      <c r="R506" s="782">
        <f t="shared" si="482"/>
        <v>0</v>
      </c>
      <c r="S506" s="642"/>
      <c r="T506" s="642"/>
      <c r="U506" s="642"/>
      <c r="V506" s="782">
        <f t="shared" si="483"/>
        <v>0</v>
      </c>
      <c r="W506" s="642"/>
      <c r="X506" s="642"/>
      <c r="Y506" s="875"/>
      <c r="Z506" s="781">
        <f t="shared" si="484"/>
        <v>0</v>
      </c>
      <c r="AA506" s="642"/>
      <c r="AB506" s="3562">
        <f t="shared" si="485"/>
        <v>0</v>
      </c>
      <c r="AC506" s="642"/>
      <c r="AD506" s="642"/>
      <c r="AE506" s="642"/>
      <c r="AF506" s="782">
        <f t="shared" si="486"/>
        <v>0</v>
      </c>
      <c r="AG506" s="642"/>
      <c r="AH506" s="642"/>
      <c r="AK506" s="642"/>
      <c r="AL506" s="642"/>
      <c r="AM506" s="875"/>
      <c r="AN506" s="875"/>
      <c r="AQ506" s="642"/>
      <c r="AR506" s="642"/>
      <c r="AU506" s="642"/>
      <c r="AV506" s="642"/>
      <c r="AY506" s="642"/>
      <c r="AZ506" s="642"/>
      <c r="BA506" s="875"/>
      <c r="BB506" s="875"/>
      <c r="BC506" s="642"/>
      <c r="BD506" s="642"/>
      <c r="BG506" s="26"/>
      <c r="BH506" s="26"/>
      <c r="BI506" s="26"/>
      <c r="BJ506" s="26"/>
      <c r="BK506" s="26"/>
    </row>
    <row r="507" spans="1:63" ht="21" hidden="1" customHeight="1" x14ac:dyDescent="0.3">
      <c r="A507" s="154"/>
      <c r="B507" s="642"/>
      <c r="C507" s="642"/>
      <c r="D507" s="642"/>
      <c r="E507" s="642"/>
      <c r="F507" s="642"/>
      <c r="G507" s="642"/>
      <c r="H507" s="642"/>
      <c r="I507" s="642"/>
      <c r="J507" s="782">
        <f t="shared" si="480"/>
        <v>0</v>
      </c>
      <c r="K507" s="642"/>
      <c r="L507" s="642"/>
      <c r="M507" s="875"/>
      <c r="N507" s="781">
        <f t="shared" si="481"/>
        <v>0</v>
      </c>
      <c r="O507" s="642"/>
      <c r="P507" s="642"/>
      <c r="Q507" s="642"/>
      <c r="R507" s="782">
        <f t="shared" si="482"/>
        <v>0</v>
      </c>
      <c r="S507" s="642"/>
      <c r="T507" s="642"/>
      <c r="U507" s="642"/>
      <c r="V507" s="782">
        <f t="shared" si="483"/>
        <v>0</v>
      </c>
      <c r="W507" s="642"/>
      <c r="X507" s="642"/>
      <c r="Y507" s="875"/>
      <c r="Z507" s="781">
        <f t="shared" si="484"/>
        <v>0</v>
      </c>
      <c r="AA507" s="642"/>
      <c r="AB507" s="3562">
        <f t="shared" si="485"/>
        <v>0</v>
      </c>
      <c r="AC507" s="642"/>
      <c r="AD507" s="642"/>
      <c r="AE507" s="642"/>
      <c r="AF507" s="782">
        <f t="shared" si="486"/>
        <v>0</v>
      </c>
      <c r="AG507" s="642"/>
      <c r="AH507" s="642"/>
      <c r="AK507" s="642"/>
      <c r="AL507" s="642"/>
      <c r="AM507" s="875"/>
      <c r="AN507" s="875"/>
      <c r="AQ507" s="642"/>
      <c r="AR507" s="642"/>
      <c r="AU507" s="642"/>
      <c r="AV507" s="642"/>
      <c r="AY507" s="642"/>
      <c r="AZ507" s="642"/>
      <c r="BA507" s="875"/>
      <c r="BB507" s="875"/>
      <c r="BC507" s="642"/>
      <c r="BD507" s="642"/>
      <c r="BG507" s="26"/>
      <c r="BH507" s="26"/>
      <c r="BI507" s="26"/>
      <c r="BJ507" s="26"/>
      <c r="BK507" s="26"/>
    </row>
    <row r="508" spans="1:63" ht="21" hidden="1" customHeight="1" x14ac:dyDescent="0.3">
      <c r="A508" s="154"/>
      <c r="B508" s="642"/>
      <c r="C508" s="642"/>
      <c r="D508" s="642"/>
      <c r="E508" s="642"/>
      <c r="F508" s="642"/>
      <c r="G508" s="642"/>
      <c r="H508" s="642"/>
      <c r="I508" s="642"/>
      <c r="J508" s="782">
        <f t="shared" si="480"/>
        <v>0</v>
      </c>
      <c r="K508" s="642"/>
      <c r="L508" s="642"/>
      <c r="M508" s="875"/>
      <c r="N508" s="781">
        <f t="shared" si="481"/>
        <v>0</v>
      </c>
      <c r="O508" s="642"/>
      <c r="P508" s="642"/>
      <c r="Q508" s="642"/>
      <c r="R508" s="782">
        <f t="shared" si="482"/>
        <v>0</v>
      </c>
      <c r="S508" s="642"/>
      <c r="T508" s="642"/>
      <c r="U508" s="642"/>
      <c r="V508" s="782">
        <f t="shared" si="483"/>
        <v>0</v>
      </c>
      <c r="W508" s="642"/>
      <c r="X508" s="642"/>
      <c r="Y508" s="875"/>
      <c r="Z508" s="781">
        <f t="shared" si="484"/>
        <v>0</v>
      </c>
      <c r="AA508" s="642"/>
      <c r="AB508" s="3562">
        <f t="shared" si="485"/>
        <v>0</v>
      </c>
      <c r="AC508" s="642"/>
      <c r="AD508" s="642"/>
      <c r="AE508" s="642"/>
      <c r="AF508" s="782">
        <f t="shared" si="486"/>
        <v>0</v>
      </c>
      <c r="AG508" s="642"/>
      <c r="AH508" s="642"/>
      <c r="AK508" s="642"/>
      <c r="AL508" s="642"/>
      <c r="AM508" s="875"/>
      <c r="AN508" s="875"/>
      <c r="AQ508" s="642"/>
      <c r="AR508" s="642"/>
      <c r="AU508" s="642"/>
      <c r="AV508" s="642"/>
      <c r="AY508" s="642"/>
      <c r="AZ508" s="642"/>
      <c r="BA508" s="875"/>
      <c r="BB508" s="875"/>
      <c r="BC508" s="642"/>
      <c r="BD508" s="642"/>
      <c r="BG508" s="26"/>
      <c r="BH508" s="26"/>
      <c r="BI508" s="26"/>
      <c r="BJ508" s="26"/>
      <c r="BK508" s="26"/>
    </row>
    <row r="509" spans="1:63" ht="21" hidden="1" customHeight="1" x14ac:dyDescent="0.3">
      <c r="A509" s="154"/>
      <c r="B509" s="642"/>
      <c r="C509" s="642"/>
      <c r="D509" s="642"/>
      <c r="E509" s="642"/>
      <c r="F509" s="642"/>
      <c r="G509" s="642"/>
      <c r="H509" s="642"/>
      <c r="I509" s="642"/>
      <c r="J509" s="782">
        <f t="shared" si="480"/>
        <v>0</v>
      </c>
      <c r="K509" s="642"/>
      <c r="L509" s="642"/>
      <c r="M509" s="875"/>
      <c r="N509" s="781">
        <f t="shared" si="481"/>
        <v>0</v>
      </c>
      <c r="O509" s="642"/>
      <c r="P509" s="642"/>
      <c r="Q509" s="642"/>
      <c r="R509" s="782">
        <f t="shared" si="482"/>
        <v>0</v>
      </c>
      <c r="S509" s="642"/>
      <c r="T509" s="642"/>
      <c r="U509" s="642"/>
      <c r="V509" s="782">
        <f t="shared" si="483"/>
        <v>0</v>
      </c>
      <c r="W509" s="642"/>
      <c r="X509" s="642"/>
      <c r="Y509" s="875"/>
      <c r="Z509" s="781">
        <f t="shared" si="484"/>
        <v>0</v>
      </c>
      <c r="AA509" s="642"/>
      <c r="AB509" s="3562">
        <f t="shared" si="485"/>
        <v>0</v>
      </c>
      <c r="AC509" s="642"/>
      <c r="AD509" s="642"/>
      <c r="AE509" s="642"/>
      <c r="AF509" s="782">
        <f t="shared" si="486"/>
        <v>0</v>
      </c>
      <c r="AG509" s="642"/>
      <c r="AH509" s="642"/>
      <c r="AK509" s="642"/>
      <c r="AL509" s="642"/>
      <c r="AM509" s="875"/>
      <c r="AN509" s="875"/>
      <c r="AQ509" s="642"/>
      <c r="AR509" s="642"/>
      <c r="AU509" s="642"/>
      <c r="AV509" s="642"/>
      <c r="AY509" s="642"/>
      <c r="AZ509" s="642"/>
      <c r="BA509" s="875"/>
      <c r="BB509" s="875"/>
      <c r="BC509" s="642"/>
      <c r="BD509" s="642"/>
      <c r="BG509" s="26"/>
      <c r="BH509" s="26"/>
      <c r="BI509" s="26"/>
      <c r="BJ509" s="26"/>
      <c r="BK509" s="26"/>
    </row>
    <row r="510" spans="1:63" ht="21" hidden="1" customHeight="1" x14ac:dyDescent="0.3">
      <c r="A510" s="154"/>
      <c r="B510" s="642"/>
      <c r="C510" s="642"/>
      <c r="D510" s="642"/>
      <c r="E510" s="642"/>
      <c r="F510" s="642"/>
      <c r="G510" s="642"/>
      <c r="H510" s="642"/>
      <c r="I510" s="642"/>
      <c r="J510" s="782">
        <f t="shared" si="480"/>
        <v>0</v>
      </c>
      <c r="K510" s="642"/>
      <c r="L510" s="642"/>
      <c r="M510" s="875"/>
      <c r="N510" s="781">
        <f t="shared" si="481"/>
        <v>0</v>
      </c>
      <c r="O510" s="642"/>
      <c r="P510" s="642"/>
      <c r="Q510" s="642"/>
      <c r="R510" s="782">
        <f t="shared" si="482"/>
        <v>0</v>
      </c>
      <c r="S510" s="642"/>
      <c r="T510" s="642"/>
      <c r="U510" s="642"/>
      <c r="V510" s="782">
        <f t="shared" si="483"/>
        <v>0</v>
      </c>
      <c r="W510" s="642"/>
      <c r="X510" s="642"/>
      <c r="Y510" s="875"/>
      <c r="Z510" s="781">
        <f t="shared" si="484"/>
        <v>0</v>
      </c>
      <c r="AA510" s="642"/>
      <c r="AB510" s="3562">
        <f t="shared" si="485"/>
        <v>0</v>
      </c>
      <c r="AC510" s="642"/>
      <c r="AD510" s="642"/>
      <c r="AE510" s="642"/>
      <c r="AF510" s="782">
        <f t="shared" si="486"/>
        <v>0</v>
      </c>
      <c r="AG510" s="642"/>
      <c r="AH510" s="642"/>
      <c r="AK510" s="642"/>
      <c r="AL510" s="642"/>
      <c r="AM510" s="875"/>
      <c r="AN510" s="875"/>
      <c r="AQ510" s="642"/>
      <c r="AR510" s="642"/>
      <c r="AU510" s="642"/>
      <c r="AV510" s="642"/>
      <c r="AY510" s="642"/>
      <c r="AZ510" s="642"/>
      <c r="BA510" s="875"/>
      <c r="BB510" s="875"/>
      <c r="BC510" s="642"/>
      <c r="BD510" s="642"/>
      <c r="BG510" s="26"/>
      <c r="BH510" s="26"/>
      <c r="BI510" s="26"/>
      <c r="BJ510" s="26"/>
      <c r="BK510" s="26"/>
    </row>
    <row r="511" spans="1:63" ht="21" hidden="1" customHeight="1" x14ac:dyDescent="0.3">
      <c r="A511" s="154"/>
      <c r="B511" s="642"/>
      <c r="C511" s="642"/>
      <c r="D511" s="642"/>
      <c r="E511" s="642"/>
      <c r="F511" s="642"/>
      <c r="G511" s="642"/>
      <c r="H511" s="642"/>
      <c r="I511" s="642"/>
      <c r="J511" s="782">
        <f t="shared" si="480"/>
        <v>0</v>
      </c>
      <c r="K511" s="642"/>
      <c r="L511" s="642"/>
      <c r="M511" s="875"/>
      <c r="N511" s="781">
        <f t="shared" si="481"/>
        <v>0</v>
      </c>
      <c r="O511" s="642"/>
      <c r="P511" s="642"/>
      <c r="Q511" s="642"/>
      <c r="R511" s="782">
        <f t="shared" si="482"/>
        <v>0</v>
      </c>
      <c r="S511" s="642"/>
      <c r="T511" s="642"/>
      <c r="U511" s="642"/>
      <c r="V511" s="782">
        <f t="shared" si="483"/>
        <v>0</v>
      </c>
      <c r="W511" s="642"/>
      <c r="X511" s="642"/>
      <c r="Y511" s="875"/>
      <c r="Z511" s="781">
        <f t="shared" si="484"/>
        <v>0</v>
      </c>
      <c r="AA511" s="642"/>
      <c r="AB511" s="3562">
        <f t="shared" si="485"/>
        <v>0</v>
      </c>
      <c r="AC511" s="642"/>
      <c r="AD511" s="642"/>
      <c r="AE511" s="642"/>
      <c r="AF511" s="782">
        <f t="shared" si="486"/>
        <v>0</v>
      </c>
      <c r="AG511" s="642"/>
      <c r="AH511" s="642"/>
      <c r="AK511" s="642"/>
      <c r="AL511" s="642"/>
      <c r="AM511" s="875"/>
      <c r="AN511" s="875"/>
      <c r="AQ511" s="642"/>
      <c r="AR511" s="642"/>
      <c r="AU511" s="642"/>
      <c r="AV511" s="642"/>
      <c r="AY511" s="642"/>
      <c r="AZ511" s="642"/>
      <c r="BA511" s="875"/>
      <c r="BB511" s="875"/>
      <c r="BC511" s="642"/>
      <c r="BD511" s="642"/>
      <c r="BG511" s="26"/>
      <c r="BH511" s="26"/>
      <c r="BI511" s="26"/>
      <c r="BJ511" s="26"/>
      <c r="BK511" s="26"/>
    </row>
    <row r="512" spans="1:63" ht="21" hidden="1" customHeight="1" x14ac:dyDescent="0.3">
      <c r="A512" s="154"/>
      <c r="B512" s="642"/>
      <c r="C512" s="642"/>
      <c r="D512" s="642"/>
      <c r="E512" s="642"/>
      <c r="F512" s="642"/>
      <c r="G512" s="642"/>
      <c r="H512" s="642"/>
      <c r="I512" s="642"/>
      <c r="J512" s="782">
        <f t="shared" si="480"/>
        <v>0</v>
      </c>
      <c r="K512" s="642"/>
      <c r="L512" s="642"/>
      <c r="M512" s="875"/>
      <c r="N512" s="781">
        <f t="shared" si="481"/>
        <v>0</v>
      </c>
      <c r="O512" s="642"/>
      <c r="P512" s="642"/>
      <c r="Q512" s="642"/>
      <c r="R512" s="782">
        <f t="shared" si="482"/>
        <v>0</v>
      </c>
      <c r="S512" s="642"/>
      <c r="T512" s="642"/>
      <c r="U512" s="642"/>
      <c r="V512" s="782">
        <f t="shared" si="483"/>
        <v>0</v>
      </c>
      <c r="W512" s="642"/>
      <c r="X512" s="642"/>
      <c r="Y512" s="875"/>
      <c r="Z512" s="781">
        <f t="shared" si="484"/>
        <v>0</v>
      </c>
      <c r="AA512" s="642"/>
      <c r="AB512" s="3562">
        <f t="shared" si="485"/>
        <v>0</v>
      </c>
      <c r="AC512" s="642"/>
      <c r="AD512" s="642"/>
      <c r="AE512" s="642"/>
      <c r="AF512" s="782">
        <f t="shared" si="486"/>
        <v>0</v>
      </c>
      <c r="AG512" s="642"/>
      <c r="AH512" s="642"/>
      <c r="AK512" s="642"/>
      <c r="AL512" s="642"/>
      <c r="AM512" s="875"/>
      <c r="AN512" s="875"/>
      <c r="AQ512" s="642"/>
      <c r="AR512" s="642"/>
      <c r="AU512" s="642"/>
      <c r="AV512" s="642"/>
      <c r="AY512" s="642"/>
      <c r="AZ512" s="642"/>
      <c r="BA512" s="875"/>
      <c r="BB512" s="875"/>
      <c r="BC512" s="642"/>
      <c r="BD512" s="642"/>
      <c r="BG512" s="26"/>
      <c r="BH512" s="26"/>
      <c r="BI512" s="26"/>
      <c r="BJ512" s="26"/>
      <c r="BK512" s="26"/>
    </row>
    <row r="513" spans="1:63" ht="21" hidden="1" customHeight="1" x14ac:dyDescent="0.3">
      <c r="A513" s="154"/>
      <c r="B513" s="642"/>
      <c r="C513" s="642"/>
      <c r="D513" s="642"/>
      <c r="E513" s="642"/>
      <c r="F513" s="642"/>
      <c r="G513" s="642"/>
      <c r="H513" s="642"/>
      <c r="I513" s="642"/>
      <c r="J513" s="782">
        <f t="shared" si="480"/>
        <v>0</v>
      </c>
      <c r="K513" s="642"/>
      <c r="L513" s="642"/>
      <c r="M513" s="875"/>
      <c r="N513" s="781">
        <f t="shared" si="481"/>
        <v>0</v>
      </c>
      <c r="O513" s="642"/>
      <c r="P513" s="642"/>
      <c r="Q513" s="642"/>
      <c r="R513" s="782">
        <f t="shared" si="482"/>
        <v>0</v>
      </c>
      <c r="S513" s="642"/>
      <c r="T513" s="642"/>
      <c r="U513" s="642"/>
      <c r="V513" s="782">
        <f t="shared" si="483"/>
        <v>0</v>
      </c>
      <c r="W513" s="642"/>
      <c r="X513" s="642"/>
      <c r="Y513" s="875"/>
      <c r="Z513" s="781">
        <f t="shared" si="484"/>
        <v>0</v>
      </c>
      <c r="AA513" s="642"/>
      <c r="AB513" s="3562">
        <f t="shared" si="485"/>
        <v>0</v>
      </c>
      <c r="AC513" s="642"/>
      <c r="AD513" s="642"/>
      <c r="AE513" s="642"/>
      <c r="AF513" s="782">
        <f t="shared" si="486"/>
        <v>0</v>
      </c>
      <c r="AG513" s="642"/>
      <c r="AH513" s="642"/>
      <c r="AK513" s="642"/>
      <c r="AL513" s="642"/>
      <c r="AM513" s="875"/>
      <c r="AN513" s="875"/>
      <c r="AQ513" s="642"/>
      <c r="AR513" s="642"/>
      <c r="AU513" s="642"/>
      <c r="AV513" s="642"/>
      <c r="AY513" s="642"/>
      <c r="AZ513" s="642"/>
      <c r="BA513" s="875"/>
      <c r="BB513" s="875"/>
      <c r="BC513" s="642"/>
      <c r="BD513" s="642"/>
      <c r="BG513" s="26"/>
      <c r="BH513" s="26"/>
      <c r="BI513" s="26"/>
      <c r="BJ513" s="26"/>
      <c r="BK513" s="26"/>
    </row>
    <row r="514" spans="1:63" ht="21" hidden="1" customHeight="1" x14ac:dyDescent="0.3">
      <c r="A514" s="154"/>
      <c r="B514" s="642"/>
      <c r="C514" s="642"/>
      <c r="D514" s="642"/>
      <c r="E514" s="642"/>
      <c r="F514" s="642"/>
      <c r="G514" s="642"/>
      <c r="H514" s="642"/>
      <c r="I514" s="642"/>
      <c r="J514" s="782">
        <f t="shared" si="480"/>
        <v>0</v>
      </c>
      <c r="K514" s="642"/>
      <c r="L514" s="642"/>
      <c r="M514" s="875"/>
      <c r="N514" s="781">
        <f t="shared" si="481"/>
        <v>0</v>
      </c>
      <c r="O514" s="642"/>
      <c r="P514" s="642"/>
      <c r="Q514" s="642"/>
      <c r="R514" s="782">
        <f t="shared" si="482"/>
        <v>0</v>
      </c>
      <c r="S514" s="642"/>
      <c r="T514" s="642"/>
      <c r="U514" s="642"/>
      <c r="V514" s="782">
        <f t="shared" si="483"/>
        <v>0</v>
      </c>
      <c r="W514" s="642"/>
      <c r="X514" s="642"/>
      <c r="Y514" s="875"/>
      <c r="Z514" s="781">
        <f t="shared" si="484"/>
        <v>0</v>
      </c>
      <c r="AA514" s="642"/>
      <c r="AB514" s="3562">
        <f t="shared" si="485"/>
        <v>0</v>
      </c>
      <c r="AC514" s="642"/>
      <c r="AD514" s="642"/>
      <c r="AE514" s="642"/>
      <c r="AF514" s="782">
        <f t="shared" si="486"/>
        <v>0</v>
      </c>
      <c r="AG514" s="642"/>
      <c r="AH514" s="642"/>
      <c r="AK514" s="642"/>
      <c r="AL514" s="642"/>
      <c r="AM514" s="875"/>
      <c r="AN514" s="875"/>
      <c r="AQ514" s="642"/>
      <c r="AR514" s="642"/>
      <c r="AU514" s="642"/>
      <c r="AV514" s="642"/>
      <c r="AY514" s="642"/>
      <c r="AZ514" s="642"/>
      <c r="BA514" s="875"/>
      <c r="BB514" s="875"/>
      <c r="BC514" s="642"/>
      <c r="BD514" s="642"/>
      <c r="BG514" s="26"/>
      <c r="BH514" s="26"/>
      <c r="BI514" s="26"/>
      <c r="BJ514" s="26"/>
      <c r="BK514" s="26"/>
    </row>
    <row r="515" spans="1:63" ht="21" hidden="1" customHeight="1" x14ac:dyDescent="0.3">
      <c r="A515" s="154"/>
      <c r="B515" s="642"/>
      <c r="C515" s="642"/>
      <c r="D515" s="642"/>
      <c r="E515" s="642"/>
      <c r="F515" s="642"/>
      <c r="G515" s="642"/>
      <c r="H515" s="642"/>
      <c r="I515" s="642"/>
      <c r="J515" s="782">
        <f t="shared" si="480"/>
        <v>0</v>
      </c>
      <c r="K515" s="642"/>
      <c r="L515" s="642"/>
      <c r="M515" s="875"/>
      <c r="N515" s="781">
        <f t="shared" si="481"/>
        <v>0</v>
      </c>
      <c r="O515" s="642"/>
      <c r="P515" s="642"/>
      <c r="Q515" s="642"/>
      <c r="R515" s="782">
        <f t="shared" si="482"/>
        <v>0</v>
      </c>
      <c r="S515" s="642"/>
      <c r="T515" s="642"/>
      <c r="U515" s="642"/>
      <c r="V515" s="782">
        <f t="shared" si="483"/>
        <v>0</v>
      </c>
      <c r="W515" s="642"/>
      <c r="X515" s="642"/>
      <c r="Y515" s="875"/>
      <c r="Z515" s="781">
        <f t="shared" si="484"/>
        <v>0</v>
      </c>
      <c r="AA515" s="642"/>
      <c r="AB515" s="3562">
        <f t="shared" si="485"/>
        <v>0</v>
      </c>
      <c r="AC515" s="642"/>
      <c r="AD515" s="642"/>
      <c r="AE515" s="642"/>
      <c r="AF515" s="782">
        <f t="shared" si="486"/>
        <v>0</v>
      </c>
      <c r="AG515" s="642"/>
      <c r="AH515" s="642"/>
      <c r="AK515" s="642"/>
      <c r="AL515" s="642"/>
      <c r="AM515" s="875"/>
      <c r="AN515" s="875"/>
      <c r="AQ515" s="642"/>
      <c r="AR515" s="642"/>
      <c r="AU515" s="642"/>
      <c r="AV515" s="642"/>
      <c r="AY515" s="642"/>
      <c r="AZ515" s="642"/>
      <c r="BA515" s="875"/>
      <c r="BB515" s="875"/>
      <c r="BC515" s="642"/>
      <c r="BD515" s="642"/>
      <c r="BG515" s="26"/>
      <c r="BH515" s="26"/>
      <c r="BI515" s="26"/>
      <c r="BJ515" s="26"/>
      <c r="BK515" s="26"/>
    </row>
    <row r="516" spans="1:63" ht="21" hidden="1" customHeight="1" x14ac:dyDescent="0.3">
      <c r="A516" s="154"/>
      <c r="B516" s="642"/>
      <c r="C516" s="642"/>
      <c r="D516" s="642"/>
      <c r="E516" s="642"/>
      <c r="F516" s="642"/>
      <c r="G516" s="642"/>
      <c r="H516" s="642"/>
      <c r="I516" s="642"/>
      <c r="J516" s="782">
        <f t="shared" si="480"/>
        <v>0</v>
      </c>
      <c r="K516" s="642"/>
      <c r="L516" s="642"/>
      <c r="M516" s="875"/>
      <c r="N516" s="781">
        <f t="shared" si="481"/>
        <v>0</v>
      </c>
      <c r="O516" s="642"/>
      <c r="P516" s="642"/>
      <c r="Q516" s="642"/>
      <c r="R516" s="782">
        <f t="shared" si="482"/>
        <v>0</v>
      </c>
      <c r="S516" s="642"/>
      <c r="T516" s="642"/>
      <c r="U516" s="642"/>
      <c r="V516" s="782">
        <f t="shared" si="483"/>
        <v>0</v>
      </c>
      <c r="W516" s="642"/>
      <c r="X516" s="642"/>
      <c r="Y516" s="875"/>
      <c r="Z516" s="781">
        <f t="shared" si="484"/>
        <v>0</v>
      </c>
      <c r="AA516" s="642"/>
      <c r="AB516" s="3562">
        <f t="shared" si="485"/>
        <v>0</v>
      </c>
      <c r="AC516" s="642"/>
      <c r="AD516" s="642"/>
      <c r="AE516" s="642"/>
      <c r="AF516" s="782">
        <f t="shared" si="486"/>
        <v>0</v>
      </c>
      <c r="AG516" s="642"/>
      <c r="AH516" s="642"/>
      <c r="AK516" s="642"/>
      <c r="AL516" s="642"/>
      <c r="AM516" s="875"/>
      <c r="AN516" s="875"/>
      <c r="AQ516" s="642"/>
      <c r="AR516" s="642"/>
      <c r="AU516" s="642"/>
      <c r="AV516" s="642"/>
      <c r="AY516" s="642"/>
      <c r="AZ516" s="642"/>
      <c r="BA516" s="875"/>
      <c r="BB516" s="875"/>
      <c r="BC516" s="642"/>
      <c r="BD516" s="642"/>
      <c r="BG516" s="26"/>
      <c r="BH516" s="26"/>
      <c r="BI516" s="26"/>
      <c r="BJ516" s="26"/>
      <c r="BK516" s="26"/>
    </row>
    <row r="517" spans="1:63" ht="21" hidden="1" customHeight="1" x14ac:dyDescent="0.3">
      <c r="A517" s="154"/>
      <c r="B517" s="642"/>
      <c r="C517" s="642"/>
      <c r="D517" s="642"/>
      <c r="E517" s="642"/>
      <c r="F517" s="642"/>
      <c r="G517" s="642"/>
      <c r="H517" s="642"/>
      <c r="I517" s="642"/>
      <c r="J517" s="782">
        <f t="shared" si="480"/>
        <v>0</v>
      </c>
      <c r="K517" s="642"/>
      <c r="L517" s="642"/>
      <c r="M517" s="875"/>
      <c r="N517" s="781">
        <f t="shared" si="481"/>
        <v>0</v>
      </c>
      <c r="O517" s="642"/>
      <c r="P517" s="642"/>
      <c r="Q517" s="642"/>
      <c r="R517" s="782">
        <f t="shared" si="482"/>
        <v>0</v>
      </c>
      <c r="S517" s="642"/>
      <c r="T517" s="642"/>
      <c r="U517" s="642"/>
      <c r="V517" s="782">
        <f t="shared" si="483"/>
        <v>0</v>
      </c>
      <c r="W517" s="642"/>
      <c r="X517" s="642"/>
      <c r="Y517" s="875"/>
      <c r="Z517" s="781">
        <f t="shared" si="484"/>
        <v>0</v>
      </c>
      <c r="AA517" s="642"/>
      <c r="AB517" s="3562">
        <f t="shared" si="485"/>
        <v>0</v>
      </c>
      <c r="AC517" s="642"/>
      <c r="AD517" s="642"/>
      <c r="AE517" s="642"/>
      <c r="AF517" s="782">
        <f t="shared" si="486"/>
        <v>0</v>
      </c>
      <c r="AG517" s="642"/>
      <c r="AH517" s="642"/>
      <c r="AK517" s="642"/>
      <c r="AL517" s="642"/>
      <c r="AM517" s="875"/>
      <c r="AN517" s="875"/>
      <c r="AQ517" s="642"/>
      <c r="AR517" s="642"/>
      <c r="AU517" s="642"/>
      <c r="AV517" s="642"/>
      <c r="AY517" s="642"/>
      <c r="AZ517" s="642"/>
      <c r="BA517" s="875"/>
      <c r="BB517" s="875"/>
      <c r="BC517" s="642"/>
      <c r="BD517" s="642"/>
      <c r="BG517" s="26"/>
      <c r="BH517" s="26"/>
      <c r="BI517" s="26"/>
      <c r="BJ517" s="26"/>
      <c r="BK517" s="26"/>
    </row>
    <row r="518" spans="1:63" ht="21" hidden="1" customHeight="1" x14ac:dyDescent="0.3">
      <c r="A518" s="154"/>
      <c r="B518" s="642"/>
      <c r="C518" s="642"/>
      <c r="D518" s="642"/>
      <c r="E518" s="642"/>
      <c r="F518" s="642"/>
      <c r="G518" s="642"/>
      <c r="H518" s="642"/>
      <c r="I518" s="642"/>
      <c r="J518" s="782">
        <f t="shared" si="480"/>
        <v>0</v>
      </c>
      <c r="K518" s="642"/>
      <c r="L518" s="642"/>
      <c r="M518" s="875"/>
      <c r="N518" s="781">
        <f t="shared" si="481"/>
        <v>0</v>
      </c>
      <c r="O518" s="642"/>
      <c r="P518" s="642"/>
      <c r="Q518" s="642"/>
      <c r="R518" s="782">
        <f t="shared" si="482"/>
        <v>0</v>
      </c>
      <c r="S518" s="642"/>
      <c r="T518" s="642"/>
      <c r="U518" s="642"/>
      <c r="V518" s="782">
        <f t="shared" si="483"/>
        <v>0</v>
      </c>
      <c r="W518" s="642"/>
      <c r="X518" s="642"/>
      <c r="Y518" s="875"/>
      <c r="Z518" s="781">
        <f t="shared" si="484"/>
        <v>0</v>
      </c>
      <c r="AA518" s="642"/>
      <c r="AB518" s="3562">
        <f t="shared" si="485"/>
        <v>0</v>
      </c>
      <c r="AC518" s="642"/>
      <c r="AD518" s="642"/>
      <c r="AE518" s="642"/>
      <c r="AF518" s="782">
        <f t="shared" si="486"/>
        <v>0</v>
      </c>
      <c r="AG518" s="642"/>
      <c r="AH518" s="642"/>
      <c r="AK518" s="642"/>
      <c r="AL518" s="642"/>
      <c r="AM518" s="875"/>
      <c r="AN518" s="875"/>
      <c r="AQ518" s="642"/>
      <c r="AR518" s="642"/>
      <c r="AU518" s="642"/>
      <c r="AV518" s="642"/>
      <c r="AY518" s="642"/>
      <c r="AZ518" s="642"/>
      <c r="BA518" s="875"/>
      <c r="BB518" s="875"/>
      <c r="BC518" s="642"/>
      <c r="BD518" s="642"/>
      <c r="BG518" s="26"/>
      <c r="BH518" s="26"/>
      <c r="BI518" s="26"/>
      <c r="BJ518" s="26"/>
      <c r="BK518" s="26"/>
    </row>
    <row r="519" spans="1:63" ht="21" hidden="1" customHeight="1" x14ac:dyDescent="0.3">
      <c r="A519" s="154"/>
      <c r="B519" s="642"/>
      <c r="C519" s="642"/>
      <c r="D519" s="642"/>
      <c r="E519" s="642"/>
      <c r="F519" s="642"/>
      <c r="G519" s="642"/>
      <c r="H519" s="642"/>
      <c r="I519" s="642"/>
      <c r="J519" s="782">
        <f t="shared" si="480"/>
        <v>0</v>
      </c>
      <c r="K519" s="642"/>
      <c r="L519" s="642"/>
      <c r="M519" s="875"/>
      <c r="N519" s="781">
        <f t="shared" si="481"/>
        <v>0</v>
      </c>
      <c r="O519" s="642"/>
      <c r="P519" s="642"/>
      <c r="Q519" s="642"/>
      <c r="R519" s="782">
        <f t="shared" si="482"/>
        <v>0</v>
      </c>
      <c r="S519" s="642"/>
      <c r="T519" s="642"/>
      <c r="U519" s="642"/>
      <c r="V519" s="782">
        <f t="shared" si="483"/>
        <v>0</v>
      </c>
      <c r="W519" s="642"/>
      <c r="X519" s="642"/>
      <c r="Y519" s="875"/>
      <c r="Z519" s="781">
        <f t="shared" si="484"/>
        <v>0</v>
      </c>
      <c r="AA519" s="642"/>
      <c r="AB519" s="3562">
        <f t="shared" si="485"/>
        <v>0</v>
      </c>
      <c r="AC519" s="642"/>
      <c r="AD519" s="642"/>
      <c r="AE519" s="642"/>
      <c r="AF519" s="782">
        <f t="shared" si="486"/>
        <v>0</v>
      </c>
      <c r="AG519" s="642"/>
      <c r="AH519" s="642"/>
      <c r="AK519" s="642"/>
      <c r="AL519" s="642"/>
      <c r="AM519" s="875"/>
      <c r="AN519" s="875"/>
      <c r="AQ519" s="642"/>
      <c r="AR519" s="642"/>
      <c r="AU519" s="642"/>
      <c r="AV519" s="642"/>
      <c r="AY519" s="642"/>
      <c r="AZ519" s="642"/>
      <c r="BA519" s="875"/>
      <c r="BB519" s="875"/>
      <c r="BC519" s="642"/>
      <c r="BD519" s="642"/>
      <c r="BG519" s="26"/>
      <c r="BH519" s="26"/>
      <c r="BI519" s="26"/>
      <c r="BJ519" s="26"/>
      <c r="BK519" s="26"/>
    </row>
    <row r="520" spans="1:63" ht="21" hidden="1" customHeight="1" x14ac:dyDescent="0.3">
      <c r="A520" s="154"/>
      <c r="B520" s="642"/>
      <c r="C520" s="642"/>
      <c r="D520" s="642"/>
      <c r="E520" s="642"/>
      <c r="F520" s="642"/>
      <c r="G520" s="642"/>
      <c r="H520" s="642"/>
      <c r="I520" s="642"/>
      <c r="J520" s="782">
        <f t="shared" si="480"/>
        <v>0</v>
      </c>
      <c r="K520" s="642"/>
      <c r="L520" s="642"/>
      <c r="M520" s="875"/>
      <c r="N520" s="781">
        <f t="shared" si="481"/>
        <v>0</v>
      </c>
      <c r="O520" s="642"/>
      <c r="P520" s="642"/>
      <c r="Q520" s="642"/>
      <c r="R520" s="782">
        <f t="shared" si="482"/>
        <v>0</v>
      </c>
      <c r="S520" s="642"/>
      <c r="T520" s="642"/>
      <c r="U520" s="642"/>
      <c r="V520" s="782">
        <f t="shared" si="483"/>
        <v>0</v>
      </c>
      <c r="W520" s="642"/>
      <c r="X520" s="642"/>
      <c r="Y520" s="875"/>
      <c r="Z520" s="781">
        <f t="shared" si="484"/>
        <v>0</v>
      </c>
      <c r="AA520" s="642"/>
      <c r="AB520" s="3562">
        <f t="shared" si="485"/>
        <v>0</v>
      </c>
      <c r="AC520" s="642"/>
      <c r="AD520" s="642"/>
      <c r="AE520" s="642"/>
      <c r="AF520" s="782">
        <f t="shared" si="486"/>
        <v>0</v>
      </c>
      <c r="AG520" s="642"/>
      <c r="AH520" s="642"/>
      <c r="AK520" s="642"/>
      <c r="AL520" s="642"/>
      <c r="AM520" s="875"/>
      <c r="AN520" s="875"/>
      <c r="AQ520" s="642"/>
      <c r="AR520" s="642"/>
      <c r="AU520" s="642"/>
      <c r="AV520" s="642"/>
      <c r="AY520" s="642"/>
      <c r="AZ520" s="642"/>
      <c r="BA520" s="875"/>
      <c r="BB520" s="875"/>
      <c r="BC520" s="642"/>
      <c r="BD520" s="642"/>
      <c r="BG520" s="26"/>
      <c r="BH520" s="26"/>
      <c r="BI520" s="26"/>
      <c r="BJ520" s="26"/>
      <c r="BK520" s="26"/>
    </row>
    <row r="521" spans="1:63" ht="21" hidden="1" customHeight="1" x14ac:dyDescent="0.3">
      <c r="A521" s="154"/>
      <c r="B521" s="642"/>
      <c r="C521" s="642"/>
      <c r="D521" s="642"/>
      <c r="E521" s="642"/>
      <c r="F521" s="642"/>
      <c r="G521" s="642"/>
      <c r="H521" s="642"/>
      <c r="I521" s="642"/>
      <c r="J521" s="782">
        <f t="shared" si="480"/>
        <v>0</v>
      </c>
      <c r="K521" s="642"/>
      <c r="L521" s="642"/>
      <c r="M521" s="875"/>
      <c r="N521" s="781">
        <f t="shared" si="481"/>
        <v>0</v>
      </c>
      <c r="O521" s="642"/>
      <c r="P521" s="642"/>
      <c r="Q521" s="642"/>
      <c r="R521" s="782">
        <f t="shared" si="482"/>
        <v>0</v>
      </c>
      <c r="S521" s="642"/>
      <c r="T521" s="642"/>
      <c r="U521" s="642"/>
      <c r="V521" s="782">
        <f t="shared" si="483"/>
        <v>0</v>
      </c>
      <c r="W521" s="642"/>
      <c r="X521" s="642"/>
      <c r="Y521" s="875"/>
      <c r="Z521" s="781">
        <f t="shared" si="484"/>
        <v>0</v>
      </c>
      <c r="AA521" s="642"/>
      <c r="AB521" s="3562">
        <f t="shared" si="485"/>
        <v>0</v>
      </c>
      <c r="AC521" s="642"/>
      <c r="AD521" s="642"/>
      <c r="AE521" s="642"/>
      <c r="AF521" s="782">
        <f t="shared" si="486"/>
        <v>0</v>
      </c>
      <c r="AG521" s="642"/>
      <c r="AH521" s="642"/>
      <c r="AK521" s="642"/>
      <c r="AL521" s="642"/>
      <c r="AM521" s="875"/>
      <c r="AN521" s="875"/>
      <c r="AQ521" s="642"/>
      <c r="AR521" s="642"/>
      <c r="AU521" s="642"/>
      <c r="AV521" s="642"/>
      <c r="AY521" s="642"/>
      <c r="AZ521" s="642"/>
      <c r="BA521" s="875"/>
      <c r="BB521" s="875"/>
      <c r="BC521" s="642"/>
      <c r="BD521" s="642"/>
      <c r="BG521" s="26"/>
      <c r="BH521" s="26"/>
      <c r="BI521" s="26"/>
      <c r="BJ521" s="26"/>
      <c r="BK521" s="26"/>
    </row>
    <row r="522" spans="1:63" ht="21" hidden="1" customHeight="1" x14ac:dyDescent="0.3">
      <c r="A522" s="154"/>
      <c r="B522" s="642"/>
      <c r="C522" s="642"/>
      <c r="D522" s="642"/>
      <c r="E522" s="642"/>
      <c r="F522" s="642"/>
      <c r="G522" s="642"/>
      <c r="H522" s="642"/>
      <c r="I522" s="642"/>
      <c r="J522" s="782">
        <f t="shared" si="480"/>
        <v>0</v>
      </c>
      <c r="K522" s="642"/>
      <c r="L522" s="642"/>
      <c r="M522" s="875"/>
      <c r="N522" s="781">
        <f t="shared" si="481"/>
        <v>0</v>
      </c>
      <c r="O522" s="642"/>
      <c r="P522" s="642"/>
      <c r="Q522" s="642"/>
      <c r="R522" s="782">
        <f t="shared" si="482"/>
        <v>0</v>
      </c>
      <c r="S522" s="642"/>
      <c r="T522" s="642"/>
      <c r="U522" s="642"/>
      <c r="V522" s="782">
        <f t="shared" si="483"/>
        <v>0</v>
      </c>
      <c r="W522" s="642"/>
      <c r="X522" s="642"/>
      <c r="Y522" s="875"/>
      <c r="Z522" s="781">
        <f t="shared" si="484"/>
        <v>0</v>
      </c>
      <c r="AA522" s="642"/>
      <c r="AB522" s="3562">
        <f t="shared" si="485"/>
        <v>0</v>
      </c>
      <c r="AC522" s="642"/>
      <c r="AD522" s="642"/>
      <c r="AE522" s="642"/>
      <c r="AF522" s="782">
        <f t="shared" si="486"/>
        <v>0</v>
      </c>
      <c r="AG522" s="642"/>
      <c r="AH522" s="642"/>
      <c r="AK522" s="642"/>
      <c r="AL522" s="642"/>
      <c r="AM522" s="875"/>
      <c r="AN522" s="875"/>
      <c r="AQ522" s="642"/>
      <c r="AR522" s="642"/>
      <c r="AU522" s="642"/>
      <c r="AV522" s="642"/>
      <c r="AY522" s="642"/>
      <c r="AZ522" s="642"/>
      <c r="BA522" s="875"/>
      <c r="BB522" s="875"/>
      <c r="BC522" s="642"/>
      <c r="BD522" s="642"/>
      <c r="BG522" s="26"/>
      <c r="BH522" s="26"/>
      <c r="BI522" s="26"/>
      <c r="BJ522" s="26"/>
      <c r="BK522" s="26"/>
    </row>
    <row r="523" spans="1:63" ht="21" hidden="1" customHeight="1" x14ac:dyDescent="0.3">
      <c r="A523" s="154"/>
      <c r="B523" s="642"/>
      <c r="C523" s="642"/>
      <c r="D523" s="642"/>
      <c r="E523" s="642"/>
      <c r="F523" s="642"/>
      <c r="G523" s="642"/>
      <c r="H523" s="642"/>
      <c r="I523" s="642"/>
      <c r="J523" s="782">
        <f t="shared" si="480"/>
        <v>0</v>
      </c>
      <c r="K523" s="642"/>
      <c r="L523" s="642"/>
      <c r="M523" s="875"/>
      <c r="N523" s="781">
        <f t="shared" si="481"/>
        <v>0</v>
      </c>
      <c r="O523" s="642"/>
      <c r="P523" s="642"/>
      <c r="Q523" s="642"/>
      <c r="R523" s="782">
        <f t="shared" si="482"/>
        <v>0</v>
      </c>
      <c r="S523" s="642"/>
      <c r="T523" s="642"/>
      <c r="U523" s="642"/>
      <c r="V523" s="782">
        <f t="shared" si="483"/>
        <v>0</v>
      </c>
      <c r="W523" s="642"/>
      <c r="X523" s="642"/>
      <c r="Y523" s="875"/>
      <c r="Z523" s="781">
        <f t="shared" si="484"/>
        <v>0</v>
      </c>
      <c r="AA523" s="642"/>
      <c r="AB523" s="3562">
        <f t="shared" si="485"/>
        <v>0</v>
      </c>
      <c r="AC523" s="642"/>
      <c r="AD523" s="642"/>
      <c r="AE523" s="642"/>
      <c r="AF523" s="782">
        <f t="shared" si="486"/>
        <v>0</v>
      </c>
      <c r="AG523" s="642"/>
      <c r="AH523" s="642"/>
      <c r="AK523" s="642"/>
      <c r="AL523" s="642"/>
      <c r="AM523" s="875"/>
      <c r="AN523" s="875"/>
      <c r="AQ523" s="642"/>
      <c r="AR523" s="642"/>
      <c r="AU523" s="642"/>
      <c r="AV523" s="642"/>
      <c r="AY523" s="642"/>
      <c r="AZ523" s="642"/>
      <c r="BA523" s="875"/>
      <c r="BB523" s="875"/>
      <c r="BC523" s="642"/>
      <c r="BD523" s="642"/>
      <c r="BG523" s="26"/>
      <c r="BH523" s="26"/>
      <c r="BI523" s="26"/>
      <c r="BJ523" s="26"/>
      <c r="BK523" s="26"/>
    </row>
    <row r="524" spans="1:63" ht="21" hidden="1" customHeight="1" x14ac:dyDescent="0.3">
      <c r="A524" s="154"/>
      <c r="B524" s="642"/>
      <c r="C524" s="642"/>
      <c r="D524" s="642"/>
      <c r="E524" s="642"/>
      <c r="F524" s="642"/>
      <c r="G524" s="642"/>
      <c r="H524" s="642"/>
      <c r="I524" s="642"/>
      <c r="J524" s="782">
        <f t="shared" si="480"/>
        <v>0</v>
      </c>
      <c r="K524" s="642"/>
      <c r="L524" s="642"/>
      <c r="M524" s="875"/>
      <c r="N524" s="781">
        <f t="shared" si="481"/>
        <v>0</v>
      </c>
      <c r="O524" s="642"/>
      <c r="P524" s="642"/>
      <c r="Q524" s="642"/>
      <c r="R524" s="782">
        <f t="shared" si="482"/>
        <v>0</v>
      </c>
      <c r="S524" s="642"/>
      <c r="T524" s="642"/>
      <c r="U524" s="642"/>
      <c r="V524" s="782">
        <f t="shared" si="483"/>
        <v>0</v>
      </c>
      <c r="W524" s="642"/>
      <c r="X524" s="642"/>
      <c r="Y524" s="875"/>
      <c r="Z524" s="781">
        <f t="shared" si="484"/>
        <v>0</v>
      </c>
      <c r="AA524" s="642"/>
      <c r="AB524" s="3562">
        <f t="shared" si="485"/>
        <v>0</v>
      </c>
      <c r="AC524" s="642"/>
      <c r="AD524" s="642"/>
      <c r="AE524" s="642"/>
      <c r="AF524" s="782">
        <f t="shared" si="486"/>
        <v>0</v>
      </c>
      <c r="AG524" s="642"/>
      <c r="AH524" s="642"/>
      <c r="AK524" s="642"/>
      <c r="AL524" s="642"/>
      <c r="AM524" s="875"/>
      <c r="AN524" s="875"/>
      <c r="AQ524" s="642"/>
      <c r="AR524" s="642"/>
      <c r="AU524" s="642"/>
      <c r="AV524" s="642"/>
      <c r="AY524" s="642"/>
      <c r="AZ524" s="642"/>
      <c r="BA524" s="875"/>
      <c r="BB524" s="875"/>
      <c r="BC524" s="642"/>
      <c r="BD524" s="642"/>
      <c r="BG524" s="26"/>
      <c r="BH524" s="26"/>
      <c r="BI524" s="26"/>
      <c r="BJ524" s="26"/>
      <c r="BK524" s="26"/>
    </row>
    <row r="525" spans="1:63" ht="21" hidden="1" customHeight="1" x14ac:dyDescent="0.3">
      <c r="A525" s="154"/>
      <c r="B525" s="642"/>
      <c r="C525" s="642"/>
      <c r="D525" s="642"/>
      <c r="E525" s="642"/>
      <c r="F525" s="642"/>
      <c r="G525" s="642"/>
      <c r="H525" s="642"/>
      <c r="I525" s="642"/>
      <c r="J525" s="782">
        <f t="shared" ref="J525:J551" si="491">F525+H525</f>
        <v>0</v>
      </c>
      <c r="K525" s="642"/>
      <c r="L525" s="642"/>
      <c r="M525" s="875"/>
      <c r="N525" s="781">
        <f t="shared" ref="N525:N551" si="492">J525+L525</f>
        <v>0</v>
      </c>
      <c r="O525" s="642"/>
      <c r="P525" s="642"/>
      <c r="Q525" s="642"/>
      <c r="R525" s="782">
        <f t="shared" ref="R525:R551" si="493">N525+P525</f>
        <v>0</v>
      </c>
      <c r="S525" s="642"/>
      <c r="T525" s="642"/>
      <c r="U525" s="642"/>
      <c r="V525" s="782">
        <f t="shared" ref="V525:V551" si="494">R525+T525</f>
        <v>0</v>
      </c>
      <c r="W525" s="642"/>
      <c r="X525" s="642"/>
      <c r="Y525" s="875"/>
      <c r="Z525" s="781">
        <f t="shared" ref="Z525:Z551" si="495">P525+T525+X525</f>
        <v>0</v>
      </c>
      <c r="AA525" s="642"/>
      <c r="AB525" s="3562">
        <f t="shared" ref="AB525:AB551" si="496">N525+Z525</f>
        <v>0</v>
      </c>
      <c r="AC525" s="642"/>
      <c r="AD525" s="642"/>
      <c r="AE525" s="642"/>
      <c r="AF525" s="782">
        <f t="shared" ref="AF525:AF551" si="497">AB525+AD525</f>
        <v>0</v>
      </c>
      <c r="AG525" s="642"/>
      <c r="AH525" s="642"/>
      <c r="AK525" s="642"/>
      <c r="AL525" s="642"/>
      <c r="AM525" s="875"/>
      <c r="AN525" s="875"/>
      <c r="AQ525" s="642"/>
      <c r="AR525" s="642"/>
      <c r="AU525" s="642"/>
      <c r="AV525" s="642"/>
      <c r="AY525" s="642"/>
      <c r="AZ525" s="642"/>
      <c r="BA525" s="875"/>
      <c r="BB525" s="875"/>
      <c r="BC525" s="642"/>
      <c r="BD525" s="642"/>
      <c r="BG525" s="26"/>
      <c r="BH525" s="26"/>
      <c r="BI525" s="26"/>
      <c r="BJ525" s="26"/>
      <c r="BK525" s="26"/>
    </row>
    <row r="526" spans="1:63" ht="21" hidden="1" customHeight="1" x14ac:dyDescent="0.3">
      <c r="A526" s="154"/>
      <c r="B526" s="642"/>
      <c r="C526" s="642"/>
      <c r="D526" s="642"/>
      <c r="E526" s="642"/>
      <c r="F526" s="642"/>
      <c r="G526" s="642"/>
      <c r="H526" s="642"/>
      <c r="I526" s="642"/>
      <c r="J526" s="782">
        <f t="shared" si="491"/>
        <v>0</v>
      </c>
      <c r="K526" s="642"/>
      <c r="L526" s="642"/>
      <c r="M526" s="875"/>
      <c r="N526" s="781">
        <f t="shared" si="492"/>
        <v>0</v>
      </c>
      <c r="O526" s="642"/>
      <c r="P526" s="642"/>
      <c r="Q526" s="642"/>
      <c r="R526" s="782">
        <f t="shared" si="493"/>
        <v>0</v>
      </c>
      <c r="S526" s="642"/>
      <c r="T526" s="642"/>
      <c r="U526" s="642"/>
      <c r="V526" s="782">
        <f t="shared" si="494"/>
        <v>0</v>
      </c>
      <c r="W526" s="642"/>
      <c r="X526" s="642"/>
      <c r="Y526" s="875"/>
      <c r="Z526" s="781">
        <f t="shared" si="495"/>
        <v>0</v>
      </c>
      <c r="AA526" s="642"/>
      <c r="AB526" s="3562">
        <f t="shared" si="496"/>
        <v>0</v>
      </c>
      <c r="AC526" s="642"/>
      <c r="AD526" s="642"/>
      <c r="AE526" s="642"/>
      <c r="AF526" s="782">
        <f t="shared" si="497"/>
        <v>0</v>
      </c>
      <c r="AG526" s="642"/>
      <c r="AH526" s="642"/>
      <c r="AK526" s="642"/>
      <c r="AL526" s="642"/>
      <c r="AM526" s="875"/>
      <c r="AN526" s="875"/>
      <c r="AQ526" s="642"/>
      <c r="AR526" s="642"/>
      <c r="AU526" s="642"/>
      <c r="AV526" s="642"/>
      <c r="AY526" s="642"/>
      <c r="AZ526" s="642"/>
      <c r="BA526" s="875"/>
      <c r="BB526" s="875"/>
      <c r="BC526" s="642"/>
      <c r="BD526" s="642"/>
      <c r="BG526" s="26"/>
      <c r="BH526" s="26"/>
      <c r="BI526" s="26"/>
      <c r="BJ526" s="26"/>
      <c r="BK526" s="26"/>
    </row>
    <row r="527" spans="1:63" ht="21" hidden="1" customHeight="1" x14ac:dyDescent="0.3">
      <c r="A527" s="154"/>
      <c r="B527" s="642"/>
      <c r="C527" s="642"/>
      <c r="D527" s="642"/>
      <c r="E527" s="642"/>
      <c r="F527" s="642"/>
      <c r="G527" s="642"/>
      <c r="H527" s="642"/>
      <c r="I527" s="642"/>
      <c r="J527" s="782">
        <f t="shared" si="491"/>
        <v>0</v>
      </c>
      <c r="K527" s="642"/>
      <c r="L527" s="642"/>
      <c r="M527" s="875"/>
      <c r="N527" s="781">
        <f t="shared" si="492"/>
        <v>0</v>
      </c>
      <c r="O527" s="642"/>
      <c r="P527" s="642"/>
      <c r="Q527" s="642"/>
      <c r="R527" s="782">
        <f t="shared" si="493"/>
        <v>0</v>
      </c>
      <c r="S527" s="642"/>
      <c r="T527" s="642"/>
      <c r="U527" s="642"/>
      <c r="V527" s="782">
        <f t="shared" si="494"/>
        <v>0</v>
      </c>
      <c r="W527" s="642"/>
      <c r="X527" s="642"/>
      <c r="Y527" s="875"/>
      <c r="Z527" s="781">
        <f t="shared" si="495"/>
        <v>0</v>
      </c>
      <c r="AA527" s="642"/>
      <c r="AB527" s="3562">
        <f t="shared" si="496"/>
        <v>0</v>
      </c>
      <c r="AC527" s="642"/>
      <c r="AD527" s="642"/>
      <c r="AE527" s="642"/>
      <c r="AF527" s="782">
        <f t="shared" si="497"/>
        <v>0</v>
      </c>
      <c r="AG527" s="642"/>
      <c r="AH527" s="642"/>
      <c r="AK527" s="642"/>
      <c r="AL527" s="642"/>
      <c r="AM527" s="875"/>
      <c r="AN527" s="875"/>
      <c r="AQ527" s="642"/>
      <c r="AR527" s="642"/>
      <c r="AU527" s="642"/>
      <c r="AV527" s="642"/>
      <c r="AY527" s="642"/>
      <c r="AZ527" s="642"/>
      <c r="BA527" s="875"/>
      <c r="BB527" s="875"/>
      <c r="BC527" s="642"/>
      <c r="BD527" s="642"/>
      <c r="BG527" s="26"/>
      <c r="BH527" s="26"/>
      <c r="BI527" s="26"/>
      <c r="BJ527" s="26"/>
      <c r="BK527" s="26"/>
    </row>
    <row r="528" spans="1:63" ht="21" hidden="1" customHeight="1" x14ac:dyDescent="0.3">
      <c r="A528" s="154"/>
      <c r="B528" s="642"/>
      <c r="C528" s="642"/>
      <c r="D528" s="642"/>
      <c r="E528" s="642"/>
      <c r="F528" s="642"/>
      <c r="G528" s="642"/>
      <c r="H528" s="642"/>
      <c r="I528" s="642"/>
      <c r="J528" s="782">
        <f t="shared" si="491"/>
        <v>0</v>
      </c>
      <c r="K528" s="642"/>
      <c r="L528" s="642"/>
      <c r="M528" s="875"/>
      <c r="N528" s="781">
        <f t="shared" si="492"/>
        <v>0</v>
      </c>
      <c r="O528" s="642"/>
      <c r="P528" s="642"/>
      <c r="Q528" s="642"/>
      <c r="R528" s="782">
        <f t="shared" si="493"/>
        <v>0</v>
      </c>
      <c r="S528" s="642"/>
      <c r="T528" s="642"/>
      <c r="U528" s="642"/>
      <c r="V528" s="782">
        <f t="shared" si="494"/>
        <v>0</v>
      </c>
      <c r="W528" s="642"/>
      <c r="X528" s="642"/>
      <c r="Y528" s="875"/>
      <c r="Z528" s="781">
        <f t="shared" si="495"/>
        <v>0</v>
      </c>
      <c r="AA528" s="642"/>
      <c r="AB528" s="3562">
        <f t="shared" si="496"/>
        <v>0</v>
      </c>
      <c r="AC528" s="642"/>
      <c r="AD528" s="642"/>
      <c r="AE528" s="642"/>
      <c r="AF528" s="782">
        <f t="shared" si="497"/>
        <v>0</v>
      </c>
      <c r="AG528" s="642"/>
      <c r="AH528" s="642"/>
      <c r="AK528" s="642"/>
      <c r="AL528" s="642"/>
      <c r="AM528" s="875"/>
      <c r="AN528" s="875"/>
      <c r="AQ528" s="642"/>
      <c r="AR528" s="642"/>
      <c r="AU528" s="642"/>
      <c r="AV528" s="642"/>
      <c r="AY528" s="642"/>
      <c r="AZ528" s="642"/>
      <c r="BA528" s="875"/>
      <c r="BB528" s="875"/>
      <c r="BC528" s="642"/>
      <c r="BD528" s="642"/>
      <c r="BG528" s="26"/>
      <c r="BH528" s="26"/>
      <c r="BI528" s="26"/>
      <c r="BJ528" s="26"/>
      <c r="BK528" s="26"/>
    </row>
    <row r="529" spans="1:63" ht="21" hidden="1" customHeight="1" x14ac:dyDescent="0.3">
      <c r="A529" s="154"/>
      <c r="B529" s="642"/>
      <c r="C529" s="642"/>
      <c r="D529" s="642"/>
      <c r="E529" s="642"/>
      <c r="F529" s="642"/>
      <c r="G529" s="642"/>
      <c r="H529" s="642"/>
      <c r="I529" s="642"/>
      <c r="J529" s="782">
        <f t="shared" si="491"/>
        <v>0</v>
      </c>
      <c r="K529" s="642"/>
      <c r="L529" s="642"/>
      <c r="M529" s="875"/>
      <c r="N529" s="781">
        <f t="shared" si="492"/>
        <v>0</v>
      </c>
      <c r="O529" s="642"/>
      <c r="P529" s="642"/>
      <c r="Q529" s="642"/>
      <c r="R529" s="782">
        <f t="shared" si="493"/>
        <v>0</v>
      </c>
      <c r="S529" s="642"/>
      <c r="T529" s="642"/>
      <c r="U529" s="642"/>
      <c r="V529" s="782">
        <f t="shared" si="494"/>
        <v>0</v>
      </c>
      <c r="W529" s="642"/>
      <c r="X529" s="642"/>
      <c r="Y529" s="875"/>
      <c r="Z529" s="781">
        <f t="shared" si="495"/>
        <v>0</v>
      </c>
      <c r="AA529" s="642"/>
      <c r="AB529" s="3562">
        <f t="shared" si="496"/>
        <v>0</v>
      </c>
      <c r="AC529" s="642"/>
      <c r="AD529" s="642"/>
      <c r="AE529" s="642"/>
      <c r="AF529" s="782">
        <f t="shared" si="497"/>
        <v>0</v>
      </c>
      <c r="AG529" s="642"/>
      <c r="AH529" s="642"/>
      <c r="AK529" s="642"/>
      <c r="AL529" s="642"/>
      <c r="AM529" s="875"/>
      <c r="AN529" s="875"/>
      <c r="AQ529" s="642"/>
      <c r="AR529" s="642"/>
      <c r="AU529" s="642"/>
      <c r="AV529" s="642"/>
      <c r="AY529" s="642"/>
      <c r="AZ529" s="642"/>
      <c r="BA529" s="875"/>
      <c r="BB529" s="875"/>
      <c r="BC529" s="642"/>
      <c r="BD529" s="642"/>
      <c r="BG529" s="26"/>
      <c r="BH529" s="26"/>
      <c r="BI529" s="26"/>
      <c r="BJ529" s="26"/>
      <c r="BK529" s="26"/>
    </row>
    <row r="530" spans="1:63" ht="21" hidden="1" customHeight="1" x14ac:dyDescent="0.3">
      <c r="A530" s="154"/>
      <c r="B530" s="642"/>
      <c r="C530" s="642"/>
      <c r="D530" s="642"/>
      <c r="E530" s="642"/>
      <c r="F530" s="642"/>
      <c r="G530" s="642"/>
      <c r="H530" s="642"/>
      <c r="I530" s="642"/>
      <c r="J530" s="782">
        <f t="shared" si="491"/>
        <v>0</v>
      </c>
      <c r="K530" s="642"/>
      <c r="L530" s="642"/>
      <c r="M530" s="875"/>
      <c r="N530" s="781">
        <f t="shared" si="492"/>
        <v>0</v>
      </c>
      <c r="O530" s="642"/>
      <c r="P530" s="642"/>
      <c r="Q530" s="642"/>
      <c r="R530" s="782">
        <f t="shared" si="493"/>
        <v>0</v>
      </c>
      <c r="S530" s="642"/>
      <c r="T530" s="642"/>
      <c r="U530" s="642"/>
      <c r="V530" s="782">
        <f t="shared" si="494"/>
        <v>0</v>
      </c>
      <c r="W530" s="642"/>
      <c r="X530" s="642"/>
      <c r="Y530" s="875"/>
      <c r="Z530" s="781">
        <f t="shared" si="495"/>
        <v>0</v>
      </c>
      <c r="AA530" s="642"/>
      <c r="AB530" s="3562">
        <f t="shared" si="496"/>
        <v>0</v>
      </c>
      <c r="AC530" s="642"/>
      <c r="AD530" s="642"/>
      <c r="AE530" s="642"/>
      <c r="AF530" s="782">
        <f t="shared" si="497"/>
        <v>0</v>
      </c>
      <c r="AG530" s="642"/>
      <c r="AH530" s="642"/>
      <c r="AK530" s="642"/>
      <c r="AL530" s="642"/>
      <c r="AM530" s="875"/>
      <c r="AN530" s="875"/>
      <c r="AQ530" s="642"/>
      <c r="AR530" s="642"/>
      <c r="AU530" s="642"/>
      <c r="AV530" s="642"/>
      <c r="AY530" s="642"/>
      <c r="AZ530" s="642"/>
      <c r="BA530" s="875"/>
      <c r="BB530" s="875"/>
      <c r="BC530" s="642"/>
      <c r="BD530" s="642"/>
      <c r="BG530" s="26"/>
      <c r="BH530" s="26"/>
      <c r="BI530" s="26"/>
      <c r="BJ530" s="26"/>
      <c r="BK530" s="26"/>
    </row>
    <row r="531" spans="1:63" ht="21" hidden="1" customHeight="1" x14ac:dyDescent="0.3">
      <c r="A531" s="154"/>
      <c r="B531" s="642"/>
      <c r="C531" s="642"/>
      <c r="D531" s="642"/>
      <c r="E531" s="642"/>
      <c r="F531" s="642"/>
      <c r="G531" s="642"/>
      <c r="H531" s="642"/>
      <c r="I531" s="642"/>
      <c r="J531" s="782">
        <f t="shared" si="491"/>
        <v>0</v>
      </c>
      <c r="K531" s="642"/>
      <c r="L531" s="642"/>
      <c r="M531" s="875"/>
      <c r="N531" s="781">
        <f t="shared" si="492"/>
        <v>0</v>
      </c>
      <c r="O531" s="642"/>
      <c r="P531" s="642"/>
      <c r="Q531" s="642"/>
      <c r="R531" s="782">
        <f t="shared" si="493"/>
        <v>0</v>
      </c>
      <c r="S531" s="642"/>
      <c r="T531" s="642"/>
      <c r="U531" s="642"/>
      <c r="V531" s="782">
        <f t="shared" si="494"/>
        <v>0</v>
      </c>
      <c r="W531" s="642"/>
      <c r="X531" s="642"/>
      <c r="Y531" s="875"/>
      <c r="Z531" s="781">
        <f t="shared" si="495"/>
        <v>0</v>
      </c>
      <c r="AA531" s="642"/>
      <c r="AB531" s="3562">
        <f t="shared" si="496"/>
        <v>0</v>
      </c>
      <c r="AC531" s="642"/>
      <c r="AD531" s="642"/>
      <c r="AE531" s="642"/>
      <c r="AF531" s="782">
        <f t="shared" si="497"/>
        <v>0</v>
      </c>
      <c r="AG531" s="642"/>
      <c r="AH531" s="642"/>
      <c r="AK531" s="642"/>
      <c r="AL531" s="642"/>
      <c r="AM531" s="875"/>
      <c r="AN531" s="875"/>
      <c r="AQ531" s="642"/>
      <c r="AR531" s="642"/>
      <c r="AU531" s="642"/>
      <c r="AV531" s="642"/>
      <c r="AY531" s="642"/>
      <c r="AZ531" s="642"/>
      <c r="BA531" s="875"/>
      <c r="BB531" s="875"/>
      <c r="BC531" s="642"/>
      <c r="BD531" s="642"/>
      <c r="BG531" s="26"/>
      <c r="BH531" s="26"/>
      <c r="BI531" s="26"/>
      <c r="BJ531" s="26"/>
      <c r="BK531" s="26"/>
    </row>
    <row r="532" spans="1:63" ht="21" hidden="1" customHeight="1" x14ac:dyDescent="0.3">
      <c r="A532" s="154"/>
      <c r="B532" s="642"/>
      <c r="C532" s="642"/>
      <c r="D532" s="642"/>
      <c r="E532" s="642"/>
      <c r="F532" s="642"/>
      <c r="G532" s="642"/>
      <c r="H532" s="642"/>
      <c r="I532" s="642"/>
      <c r="J532" s="782">
        <f t="shared" si="491"/>
        <v>0</v>
      </c>
      <c r="K532" s="642"/>
      <c r="L532" s="642"/>
      <c r="M532" s="875"/>
      <c r="N532" s="781">
        <f t="shared" si="492"/>
        <v>0</v>
      </c>
      <c r="O532" s="642"/>
      <c r="P532" s="642"/>
      <c r="Q532" s="642"/>
      <c r="R532" s="782">
        <f t="shared" si="493"/>
        <v>0</v>
      </c>
      <c r="S532" s="642"/>
      <c r="T532" s="642"/>
      <c r="U532" s="642"/>
      <c r="V532" s="782">
        <f t="shared" si="494"/>
        <v>0</v>
      </c>
      <c r="W532" s="642"/>
      <c r="X532" s="642"/>
      <c r="Y532" s="875"/>
      <c r="Z532" s="781">
        <f t="shared" si="495"/>
        <v>0</v>
      </c>
      <c r="AA532" s="642"/>
      <c r="AB532" s="3562">
        <f t="shared" si="496"/>
        <v>0</v>
      </c>
      <c r="AC532" s="642"/>
      <c r="AD532" s="642"/>
      <c r="AE532" s="642"/>
      <c r="AF532" s="782">
        <f t="shared" si="497"/>
        <v>0</v>
      </c>
      <c r="AG532" s="642"/>
      <c r="AH532" s="642"/>
      <c r="AK532" s="642"/>
      <c r="AL532" s="642"/>
      <c r="AM532" s="875"/>
      <c r="AN532" s="875"/>
      <c r="AQ532" s="642"/>
      <c r="AR532" s="642"/>
      <c r="AU532" s="642"/>
      <c r="AV532" s="642"/>
      <c r="AY532" s="642"/>
      <c r="AZ532" s="642"/>
      <c r="BA532" s="875"/>
      <c r="BB532" s="875"/>
      <c r="BC532" s="642"/>
      <c r="BD532" s="642"/>
      <c r="BG532" s="26"/>
      <c r="BH532" s="26"/>
      <c r="BI532" s="26"/>
      <c r="BJ532" s="26"/>
      <c r="BK532" s="26"/>
    </row>
    <row r="533" spans="1:63" ht="15" hidden="1" customHeight="1" x14ac:dyDescent="0.3">
      <c r="J533" s="782">
        <f t="shared" si="491"/>
        <v>0</v>
      </c>
      <c r="N533" s="781">
        <f t="shared" si="492"/>
        <v>0</v>
      </c>
      <c r="R533" s="782">
        <f t="shared" si="493"/>
        <v>0</v>
      </c>
      <c r="V533" s="782">
        <f t="shared" si="494"/>
        <v>0</v>
      </c>
      <c r="Z533" s="781">
        <f t="shared" si="495"/>
        <v>0</v>
      </c>
      <c r="AB533" s="3562">
        <f t="shared" si="496"/>
        <v>0</v>
      </c>
      <c r="AF533" s="782">
        <f t="shared" si="497"/>
        <v>0</v>
      </c>
      <c r="BG533" s="26"/>
      <c r="BH533" s="26"/>
      <c r="BI533" s="26"/>
      <c r="BJ533" s="26"/>
      <c r="BK533" s="26"/>
    </row>
    <row r="534" spans="1:63" ht="15" hidden="1" customHeight="1" x14ac:dyDescent="0.3">
      <c r="J534" s="782">
        <f t="shared" si="491"/>
        <v>0</v>
      </c>
      <c r="N534" s="781">
        <f t="shared" si="492"/>
        <v>0</v>
      </c>
      <c r="R534" s="782">
        <f t="shared" si="493"/>
        <v>0</v>
      </c>
      <c r="V534" s="782">
        <f t="shared" si="494"/>
        <v>0</v>
      </c>
      <c r="Z534" s="781">
        <f t="shared" si="495"/>
        <v>0</v>
      </c>
      <c r="AB534" s="3562">
        <f t="shared" si="496"/>
        <v>0</v>
      </c>
      <c r="AF534" s="782">
        <f t="shared" si="497"/>
        <v>0</v>
      </c>
      <c r="BG534" s="26"/>
      <c r="BH534" s="26"/>
      <c r="BI534" s="26"/>
      <c r="BJ534" s="26"/>
      <c r="BK534" s="26"/>
    </row>
    <row r="535" spans="1:63" ht="15" hidden="1" customHeight="1" x14ac:dyDescent="0.3">
      <c r="J535" s="782">
        <f t="shared" si="491"/>
        <v>0</v>
      </c>
      <c r="N535" s="781">
        <f t="shared" si="492"/>
        <v>0</v>
      </c>
      <c r="R535" s="782">
        <f t="shared" si="493"/>
        <v>0</v>
      </c>
      <c r="V535" s="782">
        <f t="shared" si="494"/>
        <v>0</v>
      </c>
      <c r="Z535" s="781">
        <f t="shared" si="495"/>
        <v>0</v>
      </c>
      <c r="AB535" s="3562">
        <f t="shared" si="496"/>
        <v>0</v>
      </c>
      <c r="AF535" s="782">
        <f t="shared" si="497"/>
        <v>0</v>
      </c>
      <c r="BG535" s="26"/>
      <c r="BH535" s="26"/>
      <c r="BI535" s="26"/>
      <c r="BJ535" s="26"/>
      <c r="BK535" s="26"/>
    </row>
    <row r="536" spans="1:63" ht="15" hidden="1" customHeight="1" x14ac:dyDescent="0.3">
      <c r="J536" s="782">
        <f t="shared" si="491"/>
        <v>0</v>
      </c>
      <c r="N536" s="781">
        <f t="shared" si="492"/>
        <v>0</v>
      </c>
      <c r="R536" s="782">
        <f t="shared" si="493"/>
        <v>0</v>
      </c>
      <c r="V536" s="782">
        <f t="shared" si="494"/>
        <v>0</v>
      </c>
      <c r="Z536" s="781">
        <f t="shared" si="495"/>
        <v>0</v>
      </c>
      <c r="AB536" s="3562">
        <f t="shared" si="496"/>
        <v>0</v>
      </c>
      <c r="AF536" s="782">
        <f t="shared" si="497"/>
        <v>0</v>
      </c>
      <c r="BG536" s="26"/>
      <c r="BH536" s="26"/>
      <c r="BI536" s="26"/>
      <c r="BJ536" s="26"/>
      <c r="BK536" s="26"/>
    </row>
    <row r="537" spans="1:63" ht="5.25" hidden="1" customHeight="1" x14ac:dyDescent="0.3">
      <c r="J537" s="782">
        <f t="shared" si="491"/>
        <v>0</v>
      </c>
      <c r="N537" s="781">
        <f t="shared" si="492"/>
        <v>0</v>
      </c>
      <c r="R537" s="782">
        <f t="shared" si="493"/>
        <v>0</v>
      </c>
      <c r="V537" s="782">
        <f t="shared" si="494"/>
        <v>0</v>
      </c>
      <c r="Z537" s="781">
        <f t="shared" si="495"/>
        <v>0</v>
      </c>
      <c r="AB537" s="3562">
        <f t="shared" si="496"/>
        <v>0</v>
      </c>
      <c r="AF537" s="782">
        <f t="shared" si="497"/>
        <v>0</v>
      </c>
      <c r="BG537" s="26"/>
      <c r="BH537" s="26"/>
      <c r="BI537" s="26"/>
      <c r="BJ537" s="26"/>
      <c r="BK537" s="26"/>
    </row>
    <row r="538" spans="1:63" ht="15" hidden="1" customHeight="1" x14ac:dyDescent="0.3">
      <c r="J538" s="782">
        <f t="shared" si="491"/>
        <v>0</v>
      </c>
      <c r="N538" s="781">
        <f t="shared" si="492"/>
        <v>0</v>
      </c>
      <c r="R538" s="782">
        <f t="shared" si="493"/>
        <v>0</v>
      </c>
      <c r="V538" s="782">
        <f t="shared" si="494"/>
        <v>0</v>
      </c>
      <c r="Z538" s="781">
        <f t="shared" si="495"/>
        <v>0</v>
      </c>
      <c r="AB538" s="3562">
        <f t="shared" si="496"/>
        <v>0</v>
      </c>
      <c r="AF538" s="782">
        <f t="shared" si="497"/>
        <v>0</v>
      </c>
      <c r="BG538" s="26"/>
      <c r="BH538" s="26"/>
      <c r="BI538" s="26"/>
      <c r="BJ538" s="26"/>
      <c r="BK538" s="26"/>
    </row>
    <row r="539" spans="1:63" ht="15" hidden="1" customHeight="1" x14ac:dyDescent="0.3">
      <c r="J539" s="782">
        <f t="shared" si="491"/>
        <v>0</v>
      </c>
      <c r="N539" s="781">
        <f t="shared" si="492"/>
        <v>0</v>
      </c>
      <c r="R539" s="782">
        <f t="shared" si="493"/>
        <v>0</v>
      </c>
      <c r="V539" s="782">
        <f t="shared" si="494"/>
        <v>0</v>
      </c>
      <c r="Z539" s="781">
        <f t="shared" si="495"/>
        <v>0</v>
      </c>
      <c r="AB539" s="3562">
        <f t="shared" si="496"/>
        <v>0</v>
      </c>
      <c r="AF539" s="782">
        <f t="shared" si="497"/>
        <v>0</v>
      </c>
      <c r="BG539" s="26"/>
      <c r="BH539" s="26"/>
      <c r="BI539" s="26"/>
      <c r="BJ539" s="26"/>
      <c r="BK539" s="26"/>
    </row>
    <row r="540" spans="1:63" ht="15" hidden="1" customHeight="1" x14ac:dyDescent="0.3">
      <c r="J540" s="782">
        <f t="shared" si="491"/>
        <v>0</v>
      </c>
      <c r="N540" s="781">
        <f t="shared" si="492"/>
        <v>0</v>
      </c>
      <c r="R540" s="782">
        <f t="shared" si="493"/>
        <v>0</v>
      </c>
      <c r="V540" s="782">
        <f t="shared" si="494"/>
        <v>0</v>
      </c>
      <c r="Z540" s="781">
        <f t="shared" si="495"/>
        <v>0</v>
      </c>
      <c r="AB540" s="3562">
        <f t="shared" si="496"/>
        <v>0</v>
      </c>
      <c r="AF540" s="782">
        <f t="shared" si="497"/>
        <v>0</v>
      </c>
      <c r="BG540" s="26"/>
      <c r="BH540" s="26"/>
      <c r="BI540" s="26"/>
      <c r="BJ540" s="26"/>
      <c r="BK540" s="26"/>
    </row>
    <row r="541" spans="1:63" ht="15" hidden="1" customHeight="1" x14ac:dyDescent="0.3">
      <c r="J541" s="782">
        <f t="shared" si="491"/>
        <v>0</v>
      </c>
      <c r="N541" s="781">
        <f t="shared" si="492"/>
        <v>0</v>
      </c>
      <c r="R541" s="782">
        <f t="shared" si="493"/>
        <v>0</v>
      </c>
      <c r="V541" s="782">
        <f t="shared" si="494"/>
        <v>0</v>
      </c>
      <c r="Z541" s="781">
        <f t="shared" si="495"/>
        <v>0</v>
      </c>
      <c r="AB541" s="3562">
        <f t="shared" si="496"/>
        <v>0</v>
      </c>
      <c r="AF541" s="782">
        <f t="shared" si="497"/>
        <v>0</v>
      </c>
      <c r="BG541" s="26"/>
      <c r="BH541" s="26"/>
      <c r="BI541" s="26"/>
      <c r="BJ541" s="26"/>
      <c r="BK541" s="26"/>
    </row>
    <row r="542" spans="1:63" ht="15" hidden="1" customHeight="1" x14ac:dyDescent="0.3">
      <c r="J542" s="782">
        <f t="shared" si="491"/>
        <v>0</v>
      </c>
      <c r="N542" s="781">
        <f t="shared" si="492"/>
        <v>0</v>
      </c>
      <c r="R542" s="782">
        <f t="shared" si="493"/>
        <v>0</v>
      </c>
      <c r="V542" s="782">
        <f t="shared" si="494"/>
        <v>0</v>
      </c>
      <c r="Z542" s="781">
        <f t="shared" si="495"/>
        <v>0</v>
      </c>
      <c r="AB542" s="3562">
        <f t="shared" si="496"/>
        <v>0</v>
      </c>
      <c r="AF542" s="782">
        <f t="shared" si="497"/>
        <v>0</v>
      </c>
      <c r="BG542" s="26"/>
      <c r="BH542" s="26"/>
      <c r="BI542" s="26"/>
      <c r="BJ542" s="26"/>
      <c r="BK542" s="26"/>
    </row>
    <row r="543" spans="1:63" ht="15" hidden="1" customHeight="1" x14ac:dyDescent="0.3">
      <c r="J543" s="782">
        <f t="shared" si="491"/>
        <v>0</v>
      </c>
      <c r="N543" s="781">
        <f t="shared" si="492"/>
        <v>0</v>
      </c>
      <c r="R543" s="782">
        <f t="shared" si="493"/>
        <v>0</v>
      </c>
      <c r="V543" s="782">
        <f t="shared" si="494"/>
        <v>0</v>
      </c>
      <c r="Z543" s="781">
        <f t="shared" si="495"/>
        <v>0</v>
      </c>
      <c r="AB543" s="3562">
        <f t="shared" si="496"/>
        <v>0</v>
      </c>
      <c r="AF543" s="782">
        <f t="shared" si="497"/>
        <v>0</v>
      </c>
      <c r="BG543" s="26"/>
      <c r="BH543" s="26"/>
      <c r="BI543" s="26"/>
      <c r="BJ543" s="26"/>
      <c r="BK543" s="26"/>
    </row>
    <row r="544" spans="1:63" ht="15" hidden="1" customHeight="1" x14ac:dyDescent="0.3">
      <c r="J544" s="782">
        <f t="shared" si="491"/>
        <v>0</v>
      </c>
      <c r="N544" s="781">
        <f t="shared" si="492"/>
        <v>0</v>
      </c>
      <c r="R544" s="782">
        <f t="shared" si="493"/>
        <v>0</v>
      </c>
      <c r="V544" s="782">
        <f t="shared" si="494"/>
        <v>0</v>
      </c>
      <c r="Z544" s="781">
        <f t="shared" si="495"/>
        <v>0</v>
      </c>
      <c r="AB544" s="3562">
        <f t="shared" si="496"/>
        <v>0</v>
      </c>
      <c r="AF544" s="782">
        <f t="shared" si="497"/>
        <v>0</v>
      </c>
      <c r="BG544" s="26"/>
      <c r="BH544" s="26"/>
      <c r="BI544" s="26"/>
      <c r="BJ544" s="26"/>
      <c r="BK544" s="26"/>
    </row>
    <row r="545" spans="2:63" ht="15" hidden="1" customHeight="1" x14ac:dyDescent="0.3">
      <c r="J545" s="782">
        <f t="shared" si="491"/>
        <v>0</v>
      </c>
      <c r="N545" s="781">
        <f t="shared" si="492"/>
        <v>0</v>
      </c>
      <c r="R545" s="782">
        <f t="shared" si="493"/>
        <v>0</v>
      </c>
      <c r="V545" s="782">
        <f t="shared" si="494"/>
        <v>0</v>
      </c>
      <c r="Z545" s="781">
        <f t="shared" si="495"/>
        <v>0</v>
      </c>
      <c r="AB545" s="3562">
        <f t="shared" si="496"/>
        <v>0</v>
      </c>
      <c r="AF545" s="782">
        <f t="shared" si="497"/>
        <v>0</v>
      </c>
      <c r="BG545" s="26"/>
      <c r="BH545" s="26"/>
      <c r="BI545" s="26"/>
      <c r="BJ545" s="26"/>
      <c r="BK545" s="26"/>
    </row>
    <row r="546" spans="2:63" ht="15" hidden="1" customHeight="1" x14ac:dyDescent="0.3">
      <c r="J546" s="782">
        <f t="shared" si="491"/>
        <v>0</v>
      </c>
      <c r="N546" s="781">
        <f t="shared" si="492"/>
        <v>0</v>
      </c>
      <c r="R546" s="782">
        <f t="shared" si="493"/>
        <v>0</v>
      </c>
      <c r="V546" s="782">
        <f t="shared" si="494"/>
        <v>0</v>
      </c>
      <c r="Z546" s="781">
        <f t="shared" si="495"/>
        <v>0</v>
      </c>
      <c r="AB546" s="3562">
        <f t="shared" si="496"/>
        <v>0</v>
      </c>
      <c r="AF546" s="782">
        <f t="shared" si="497"/>
        <v>0</v>
      </c>
      <c r="BG546" s="26"/>
      <c r="BH546" s="26"/>
      <c r="BI546" s="26"/>
      <c r="BJ546" s="26"/>
      <c r="BK546" s="26"/>
    </row>
    <row r="547" spans="2:63" ht="15" hidden="1" customHeight="1" x14ac:dyDescent="0.3">
      <c r="J547" s="782">
        <f t="shared" si="491"/>
        <v>0</v>
      </c>
      <c r="N547" s="781">
        <f t="shared" si="492"/>
        <v>0</v>
      </c>
      <c r="R547" s="782">
        <f t="shared" si="493"/>
        <v>0</v>
      </c>
      <c r="V547" s="782">
        <f t="shared" si="494"/>
        <v>0</v>
      </c>
      <c r="Z547" s="781">
        <f t="shared" si="495"/>
        <v>0</v>
      </c>
      <c r="AB547" s="3562">
        <f t="shared" si="496"/>
        <v>0</v>
      </c>
      <c r="AF547" s="782">
        <f t="shared" si="497"/>
        <v>0</v>
      </c>
      <c r="BG547" s="26"/>
      <c r="BH547" s="26"/>
      <c r="BI547" s="26"/>
      <c r="BJ547" s="26"/>
      <c r="BK547" s="26"/>
    </row>
    <row r="548" spans="2:63" ht="15" hidden="1" customHeight="1" x14ac:dyDescent="0.3">
      <c r="J548" s="782">
        <f t="shared" si="491"/>
        <v>0</v>
      </c>
      <c r="N548" s="781">
        <f t="shared" si="492"/>
        <v>0</v>
      </c>
      <c r="R548" s="782">
        <f t="shared" si="493"/>
        <v>0</v>
      </c>
      <c r="V548" s="782">
        <f t="shared" si="494"/>
        <v>0</v>
      </c>
      <c r="Z548" s="781">
        <f t="shared" si="495"/>
        <v>0</v>
      </c>
      <c r="AB548" s="3562">
        <f t="shared" si="496"/>
        <v>0</v>
      </c>
      <c r="AF548" s="782">
        <f t="shared" si="497"/>
        <v>0</v>
      </c>
      <c r="BG548" s="26"/>
      <c r="BH548" s="26"/>
      <c r="BI548" s="26"/>
      <c r="BJ548" s="26"/>
      <c r="BK548" s="26"/>
    </row>
    <row r="549" spans="2:63" x14ac:dyDescent="0.25">
      <c r="B549" s="1018" t="s">
        <v>2241</v>
      </c>
      <c r="C549" s="159"/>
      <c r="D549" s="1134"/>
      <c r="E549" s="1134"/>
      <c r="F549" s="1201"/>
      <c r="G549" s="1134"/>
      <c r="H549" s="1201"/>
      <c r="I549" s="1201"/>
      <c r="J549" s="782">
        <f t="shared" si="491"/>
        <v>0</v>
      </c>
      <c r="K549" s="1134"/>
      <c r="L549" s="1201"/>
      <c r="M549" s="1134"/>
      <c r="N549" s="781">
        <f t="shared" si="492"/>
        <v>0</v>
      </c>
      <c r="O549" s="1134"/>
      <c r="P549" s="1201"/>
      <c r="Q549" s="1134"/>
      <c r="R549" s="782">
        <f t="shared" si="493"/>
        <v>0</v>
      </c>
      <c r="S549" s="1134"/>
      <c r="T549" s="1201"/>
      <c r="U549" s="1134"/>
      <c r="V549" s="782"/>
      <c r="W549" s="1134"/>
      <c r="X549" s="1201"/>
      <c r="Z549" s="781"/>
      <c r="AB549" s="3562"/>
      <c r="AF549" s="782"/>
      <c r="BG549" s="26"/>
      <c r="BH549" s="26"/>
      <c r="BI549" s="26"/>
      <c r="BJ549" s="26"/>
      <c r="BK549" s="26"/>
    </row>
    <row r="550" spans="2:63" x14ac:dyDescent="0.25">
      <c r="B550" s="1018" t="s">
        <v>1397</v>
      </c>
      <c r="C550" s="159"/>
      <c r="D550" s="1134"/>
      <c r="E550" s="1134"/>
      <c r="F550" s="1201">
        <v>5959</v>
      </c>
      <c r="G550" s="1134"/>
      <c r="H550" s="1201">
        <v>10028.82</v>
      </c>
      <c r="I550" s="1201"/>
      <c r="J550" s="782">
        <f t="shared" si="491"/>
        <v>15987.82</v>
      </c>
      <c r="K550" s="1134"/>
      <c r="L550" s="1201">
        <v>7885</v>
      </c>
      <c r="M550" s="1134"/>
      <c r="N550" s="781">
        <f t="shared" si="492"/>
        <v>23872.82</v>
      </c>
      <c r="O550" s="1134"/>
      <c r="P550" s="1201">
        <v>6996</v>
      </c>
      <c r="Q550" s="1134"/>
      <c r="R550" s="782">
        <f t="shared" si="493"/>
        <v>30868.82</v>
      </c>
      <c r="S550" s="1134"/>
      <c r="T550" s="1201">
        <v>9644</v>
      </c>
      <c r="U550" s="1134"/>
      <c r="V550" s="782">
        <f t="shared" si="494"/>
        <v>40512.82</v>
      </c>
      <c r="W550" s="1134"/>
      <c r="X550" s="1201">
        <v>13649</v>
      </c>
      <c r="Z550" s="781">
        <f t="shared" si="495"/>
        <v>30289</v>
      </c>
      <c r="AB550" s="3562">
        <f t="shared" si="496"/>
        <v>54161.82</v>
      </c>
      <c r="AF550" s="782">
        <f t="shared" si="497"/>
        <v>54161.82</v>
      </c>
      <c r="BG550" s="26"/>
      <c r="BH550" s="26"/>
      <c r="BI550" s="26"/>
      <c r="BJ550" s="26"/>
      <c r="BK550" s="26"/>
    </row>
    <row r="551" spans="2:63" x14ac:dyDescent="0.25">
      <c r="B551" s="1018" t="s">
        <v>1398</v>
      </c>
      <c r="C551" s="159"/>
      <c r="D551" s="1134"/>
      <c r="E551" s="1134"/>
      <c r="F551" s="1201">
        <v>0</v>
      </c>
      <c r="G551" s="1134"/>
      <c r="H551" s="1201">
        <v>0</v>
      </c>
      <c r="I551" s="1201"/>
      <c r="J551" s="782">
        <f t="shared" si="491"/>
        <v>0</v>
      </c>
      <c r="K551" s="1134"/>
      <c r="L551" s="1201">
        <v>0</v>
      </c>
      <c r="M551" s="1134"/>
      <c r="N551" s="781">
        <f t="shared" si="492"/>
        <v>0</v>
      </c>
      <c r="O551" s="1134"/>
      <c r="P551" s="1201">
        <v>0</v>
      </c>
      <c r="Q551" s="1134"/>
      <c r="R551" s="782">
        <f t="shared" si="493"/>
        <v>0</v>
      </c>
      <c r="S551" s="1134"/>
      <c r="T551" s="1201">
        <v>0</v>
      </c>
      <c r="U551" s="1134"/>
      <c r="V551" s="782">
        <f t="shared" si="494"/>
        <v>0</v>
      </c>
      <c r="W551" s="1134"/>
      <c r="X551" s="1201">
        <v>0</v>
      </c>
      <c r="Z551" s="781">
        <f t="shared" si="495"/>
        <v>0</v>
      </c>
      <c r="AB551" s="3562">
        <f t="shared" si="496"/>
        <v>0</v>
      </c>
      <c r="AF551" s="782">
        <f t="shared" si="497"/>
        <v>0</v>
      </c>
      <c r="BG551" s="26"/>
      <c r="BH551" s="26"/>
      <c r="BI551" s="26"/>
      <c r="BJ551" s="26"/>
    </row>
  </sheetData>
  <autoFilter ref="C280:C375"/>
  <mergeCells count="422">
    <mergeCell ref="AG397:AG429"/>
    <mergeCell ref="AU73:AU75"/>
    <mergeCell ref="AW73:AW75"/>
    <mergeCell ref="AU77:AU79"/>
    <mergeCell ref="AW77:AW79"/>
    <mergeCell ref="AU81:AU83"/>
    <mergeCell ref="AW81:AW83"/>
    <mergeCell ref="AU281:AU376"/>
    <mergeCell ref="AW281:AW376"/>
    <mergeCell ref="AQ73:AQ75"/>
    <mergeCell ref="AS73:AS75"/>
    <mergeCell ref="AQ77:AQ79"/>
    <mergeCell ref="AS77:AS79"/>
    <mergeCell ref="AQ81:AQ83"/>
    <mergeCell ref="AS81:AS83"/>
    <mergeCell ref="AQ281:AQ376"/>
    <mergeCell ref="AS281:AS376"/>
    <mergeCell ref="AG73:AG75"/>
    <mergeCell ref="AI73:AI75"/>
    <mergeCell ref="AG77:AG79"/>
    <mergeCell ref="AI77:AI79"/>
    <mergeCell ref="AG81:AG83"/>
    <mergeCell ref="AI81:AI83"/>
    <mergeCell ref="AG281:AG376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I281:AI376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C73:AC75"/>
    <mergeCell ref="AE73:AE75"/>
    <mergeCell ref="AC77:AC79"/>
    <mergeCell ref="AE77:AE79"/>
    <mergeCell ref="AC81:AC83"/>
    <mergeCell ref="AE81:AE83"/>
    <mergeCell ref="AC281:AC376"/>
    <mergeCell ref="AE281:AE376"/>
    <mergeCell ref="AC397:AC429"/>
    <mergeCell ref="AE397:AE429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A69:AA71"/>
    <mergeCell ref="AA73:AA75"/>
    <mergeCell ref="AA77:AA79"/>
    <mergeCell ref="AA81:AA83"/>
    <mergeCell ref="AA281:AA376"/>
    <mergeCell ref="AA397:AA429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W73:W75"/>
    <mergeCell ref="Y73:Y75"/>
    <mergeCell ref="W77:W79"/>
    <mergeCell ref="Y77:Y79"/>
    <mergeCell ref="W81:W83"/>
    <mergeCell ref="Y81:Y83"/>
    <mergeCell ref="W281:W376"/>
    <mergeCell ref="Y281:Y376"/>
    <mergeCell ref="W397:W429"/>
    <mergeCell ref="Y397:Y429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K77:K79"/>
    <mergeCell ref="M77:M79"/>
    <mergeCell ref="K81:K83"/>
    <mergeCell ref="M81:M83"/>
    <mergeCell ref="K281:K376"/>
    <mergeCell ref="M281:M376"/>
    <mergeCell ref="K397:K429"/>
    <mergeCell ref="M397:M429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I397:I429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G397:G429"/>
    <mergeCell ref="B468:B471"/>
    <mergeCell ref="E281:E376"/>
    <mergeCell ref="B472:B475"/>
    <mergeCell ref="B464:B467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A449:A456"/>
    <mergeCell ref="B460:B463"/>
    <mergeCell ref="E397:E429"/>
    <mergeCell ref="D77:D79"/>
    <mergeCell ref="D81:D83"/>
    <mergeCell ref="E77:E79"/>
    <mergeCell ref="E69:E71"/>
    <mergeCell ref="E42:E43"/>
    <mergeCell ref="E50:E51"/>
    <mergeCell ref="G35:G36"/>
    <mergeCell ref="G42:G43"/>
    <mergeCell ref="G50:G51"/>
    <mergeCell ref="G1:H1"/>
    <mergeCell ref="I73:I75"/>
    <mergeCell ref="I77:I79"/>
    <mergeCell ref="I81:I83"/>
    <mergeCell ref="I281:I376"/>
    <mergeCell ref="I3:J3"/>
    <mergeCell ref="I7:I8"/>
    <mergeCell ref="I14:I15"/>
    <mergeCell ref="I21:I22"/>
    <mergeCell ref="I28:I29"/>
    <mergeCell ref="G73:G75"/>
    <mergeCell ref="G77:G79"/>
    <mergeCell ref="G81:G83"/>
    <mergeCell ref="G281:G376"/>
    <mergeCell ref="G3:H3"/>
    <mergeCell ref="G7:G8"/>
    <mergeCell ref="G65:G67"/>
    <mergeCell ref="G69:G71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O73:O75"/>
    <mergeCell ref="O77:O79"/>
    <mergeCell ref="O81:O83"/>
    <mergeCell ref="O281:O376"/>
    <mergeCell ref="Q73:Q75"/>
    <mergeCell ref="Q77:Q79"/>
    <mergeCell ref="Q81:Q83"/>
    <mergeCell ref="Q281:Q376"/>
    <mergeCell ref="O397:O429"/>
    <mergeCell ref="Q397:Q429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73:S75"/>
    <mergeCell ref="U73:U75"/>
    <mergeCell ref="S77:S79"/>
    <mergeCell ref="U77:U79"/>
    <mergeCell ref="S81:S83"/>
    <mergeCell ref="U81:U83"/>
    <mergeCell ref="S281:S376"/>
    <mergeCell ref="U281:U376"/>
    <mergeCell ref="S397:S429"/>
    <mergeCell ref="U397:U429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73:AK75"/>
    <mergeCell ref="AM73:AM75"/>
    <mergeCell ref="AK77:AK79"/>
    <mergeCell ref="AM77:AM79"/>
    <mergeCell ref="AK81:AK83"/>
    <mergeCell ref="AM81:AM83"/>
    <mergeCell ref="AK281:AK376"/>
    <mergeCell ref="AM281:AM376"/>
    <mergeCell ref="AK397:AK429"/>
    <mergeCell ref="AM397:AM429"/>
    <mergeCell ref="AO69:AO71"/>
    <mergeCell ref="AO73:AO75"/>
    <mergeCell ref="AO77:AO79"/>
    <mergeCell ref="AO81:AO83"/>
    <mergeCell ref="AO281:AO376"/>
    <mergeCell ref="AO397:AO429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BE73:BE75"/>
    <mergeCell ref="AY77:AY79"/>
    <mergeCell ref="BE77:BE79"/>
    <mergeCell ref="AY81:AY83"/>
    <mergeCell ref="BE81:BE83"/>
    <mergeCell ref="AY281:AY376"/>
    <mergeCell ref="BE281:BE376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AY35:AY36"/>
    <mergeCell ref="AQ397:AQ429"/>
    <mergeCell ref="BA73:BA75"/>
    <mergeCell ref="BC73:BC75"/>
    <mergeCell ref="BA77:BA79"/>
    <mergeCell ref="BC77:BC79"/>
    <mergeCell ref="BA81:BA83"/>
    <mergeCell ref="BC81:BC83"/>
    <mergeCell ref="BA281:BA376"/>
    <mergeCell ref="BC281:BC376"/>
    <mergeCell ref="BA397:BA429"/>
    <mergeCell ref="BC397:BC429"/>
    <mergeCell ref="AY73:AY75"/>
    <mergeCell ref="AU397:AU429"/>
    <mergeCell ref="AY397:AY429"/>
  </mergeCells>
  <phoneticPr fontId="85" type="noConversion"/>
  <printOptions horizontalCentered="1" verticalCentered="1"/>
  <pageMargins left="0" right="0" top="0" bottom="0" header="0" footer="0"/>
  <pageSetup scale="4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theme="4" tint="0.39997558519241921"/>
  </sheetPr>
  <dimension ref="B1:CC116"/>
  <sheetViews>
    <sheetView zoomScale="85" zoomScaleNormal="85"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Y48" sqref="Y48"/>
    </sheetView>
  </sheetViews>
  <sheetFormatPr defaultRowHeight="15" x14ac:dyDescent="0.25"/>
  <cols>
    <col min="2" max="2" width="53.42578125" customWidth="1"/>
    <col min="3" max="3" width="44" customWidth="1"/>
    <col min="4" max="4" width="9.28515625" customWidth="1"/>
    <col min="5" max="5" width="11.5703125" customWidth="1"/>
    <col min="6" max="6" width="7.5703125" customWidth="1"/>
    <col min="7" max="7" width="9.42578125" customWidth="1"/>
    <col min="8" max="8" width="7.5703125" hidden="1" customWidth="1"/>
    <col min="9" max="9" width="9.42578125" hidden="1" customWidth="1"/>
    <col min="10" max="10" width="7.85546875" style="149" customWidth="1"/>
    <col min="11" max="11" width="10.28515625" style="149" customWidth="1"/>
    <col min="12" max="12" width="7.85546875" customWidth="1"/>
    <col min="13" max="13" width="11.42578125" customWidth="1"/>
    <col min="14" max="14" width="7.85546875" customWidth="1"/>
    <col min="15" max="15" width="11.28515625" customWidth="1"/>
    <col min="16" max="16" width="7.5703125" hidden="1" customWidth="1"/>
    <col min="17" max="17" width="9.42578125" hidden="1" customWidth="1"/>
    <col min="18" max="18" width="7.85546875" customWidth="1"/>
    <col min="19" max="19" width="10.28515625" customWidth="1"/>
    <col min="20" max="20" width="7.5703125" hidden="1" customWidth="1"/>
    <col min="21" max="21" width="9.42578125" hidden="1" customWidth="1"/>
    <col min="22" max="22" width="8" customWidth="1"/>
    <col min="23" max="23" width="10.28515625" customWidth="1"/>
    <col min="24" max="24" width="7.85546875" customWidth="1"/>
    <col min="25" max="25" width="11.42578125" customWidth="1"/>
    <col min="26" max="26" width="7.85546875" customWidth="1"/>
    <col min="27" max="27" width="11.5703125" customWidth="1"/>
    <col min="28" max="37" width="9.140625" hidden="1" customWidth="1"/>
    <col min="38" max="38" width="7.5703125" hidden="1" customWidth="1"/>
    <col min="39" max="39" width="8.140625" hidden="1" customWidth="1"/>
    <col min="40" max="40" width="9.140625" hidden="1" customWidth="1"/>
    <col min="41" max="41" width="9.42578125" hidden="1" customWidth="1"/>
    <col min="42" max="56" width="9.140625" hidden="1" customWidth="1"/>
    <col min="57" max="57" width="11.28515625" hidden="1" customWidth="1"/>
    <col min="58" max="58" width="9.7109375" bestFit="1" customWidth="1"/>
  </cols>
  <sheetData>
    <row r="1" spans="2:81" thickBot="1" x14ac:dyDescent="0.35">
      <c r="BE1" s="2730"/>
    </row>
    <row r="2" spans="2:81" ht="21.95" customHeight="1" x14ac:dyDescent="0.3">
      <c r="B2" s="1476"/>
      <c r="C2" s="1479"/>
      <c r="D2" s="5981">
        <v>45748</v>
      </c>
      <c r="E2" s="5982"/>
      <c r="F2" s="5981">
        <v>45778</v>
      </c>
      <c r="G2" s="5982"/>
      <c r="H2" s="5976" t="s">
        <v>658</v>
      </c>
      <c r="I2" s="5977"/>
      <c r="J2" s="5974">
        <v>45809</v>
      </c>
      <c r="K2" s="5983"/>
      <c r="L2" s="5984" t="s">
        <v>637</v>
      </c>
      <c r="M2" s="5985"/>
      <c r="N2" s="5974">
        <v>45839</v>
      </c>
      <c r="O2" s="5975"/>
      <c r="P2" s="5976" t="s">
        <v>651</v>
      </c>
      <c r="Q2" s="5977"/>
      <c r="R2" s="5974">
        <v>45870</v>
      </c>
      <c r="S2" s="5975"/>
      <c r="T2" s="5976" t="s">
        <v>836</v>
      </c>
      <c r="U2" s="5977"/>
      <c r="V2" s="5974">
        <v>45901</v>
      </c>
      <c r="W2" s="5975"/>
      <c r="X2" s="5984" t="s">
        <v>660</v>
      </c>
      <c r="Y2" s="5997"/>
      <c r="Z2" s="5980" t="s">
        <v>657</v>
      </c>
      <c r="AA2" s="5980"/>
      <c r="AB2" s="5974">
        <v>45566</v>
      </c>
      <c r="AC2" s="5975"/>
      <c r="AD2" s="5976" t="s">
        <v>1100</v>
      </c>
      <c r="AE2" s="5977"/>
      <c r="AF2" s="5974">
        <v>45597</v>
      </c>
      <c r="AG2" s="5975"/>
      <c r="AH2" s="5976" t="s">
        <v>1650</v>
      </c>
      <c r="AI2" s="5977"/>
      <c r="AJ2" s="5974">
        <v>45627</v>
      </c>
      <c r="AK2" s="5975"/>
      <c r="AL2" s="5984" t="s">
        <v>662</v>
      </c>
      <c r="AM2" s="5985"/>
      <c r="AN2" s="5976" t="s">
        <v>917</v>
      </c>
      <c r="AO2" s="5977"/>
      <c r="AP2" s="5974">
        <v>45658</v>
      </c>
      <c r="AQ2" s="5975"/>
      <c r="AR2" s="5976" t="s">
        <v>1688</v>
      </c>
      <c r="AS2" s="5977"/>
      <c r="AT2" s="5974">
        <v>45689</v>
      </c>
      <c r="AU2" s="5975"/>
      <c r="AV2" s="5976" t="s">
        <v>1697</v>
      </c>
      <c r="AW2" s="5977"/>
      <c r="AX2" s="5974">
        <v>45717</v>
      </c>
      <c r="AY2" s="5975"/>
      <c r="AZ2" s="5984" t="s">
        <v>663</v>
      </c>
      <c r="BA2" s="5997"/>
      <c r="BB2" s="5980" t="s">
        <v>671</v>
      </c>
      <c r="BC2" s="5980"/>
      <c r="BD2" s="5976" t="s">
        <v>1745</v>
      </c>
      <c r="BE2" s="5977"/>
    </row>
    <row r="3" spans="2:81" s="1355" customFormat="1" ht="21.95" customHeight="1" thickBot="1" x14ac:dyDescent="0.35">
      <c r="B3" s="1477"/>
      <c r="C3" s="1480"/>
      <c r="D3" s="1478" t="s">
        <v>1221</v>
      </c>
      <c r="E3" s="1475" t="s">
        <v>1222</v>
      </c>
      <c r="F3" s="1478" t="s">
        <v>1221</v>
      </c>
      <c r="G3" s="1475" t="s">
        <v>1222</v>
      </c>
      <c r="H3" s="1484" t="s">
        <v>1221</v>
      </c>
      <c r="I3" s="1483" t="s">
        <v>1222</v>
      </c>
      <c r="J3" s="1519" t="s">
        <v>1221</v>
      </c>
      <c r="K3" s="2159" t="s">
        <v>1222</v>
      </c>
      <c r="L3" s="2160" t="s">
        <v>1221</v>
      </c>
      <c r="M3" s="2161" t="s">
        <v>1222</v>
      </c>
      <c r="N3" s="1519" t="s">
        <v>1221</v>
      </c>
      <c r="O3" s="1520" t="s">
        <v>1222</v>
      </c>
      <c r="P3" s="1484" t="s">
        <v>1221</v>
      </c>
      <c r="Q3" s="1483" t="s">
        <v>1222</v>
      </c>
      <c r="R3" s="1519" t="s">
        <v>1221</v>
      </c>
      <c r="S3" s="1520" t="s">
        <v>1222</v>
      </c>
      <c r="T3" s="1484" t="s">
        <v>1221</v>
      </c>
      <c r="U3" s="1483" t="s">
        <v>1222</v>
      </c>
      <c r="V3" s="1519" t="s">
        <v>1221</v>
      </c>
      <c r="W3" s="1520" t="s">
        <v>1222</v>
      </c>
      <c r="X3" s="2160" t="s">
        <v>1221</v>
      </c>
      <c r="Y3" s="2776" t="s">
        <v>1222</v>
      </c>
      <c r="Z3" s="2778" t="s">
        <v>1221</v>
      </c>
      <c r="AA3" s="2778" t="s">
        <v>1222</v>
      </c>
      <c r="AB3" s="1519" t="s">
        <v>1221</v>
      </c>
      <c r="AC3" s="1520" t="s">
        <v>1222</v>
      </c>
      <c r="AD3" s="1484" t="s">
        <v>1221</v>
      </c>
      <c r="AE3" s="1483" t="s">
        <v>1222</v>
      </c>
      <c r="AF3" s="1519" t="s">
        <v>1221</v>
      </c>
      <c r="AG3" s="1520" t="s">
        <v>1222</v>
      </c>
      <c r="AH3" s="1484" t="s">
        <v>1221</v>
      </c>
      <c r="AI3" s="1483" t="s">
        <v>1222</v>
      </c>
      <c r="AJ3" s="1519" t="s">
        <v>1221</v>
      </c>
      <c r="AK3" s="1520" t="s">
        <v>1222</v>
      </c>
      <c r="AL3" s="2160" t="s">
        <v>1221</v>
      </c>
      <c r="AM3" s="2161" t="s">
        <v>1222</v>
      </c>
      <c r="AN3" s="1484" t="s">
        <v>1221</v>
      </c>
      <c r="AO3" s="1483" t="s">
        <v>1222</v>
      </c>
      <c r="AP3" s="1519" t="s">
        <v>1221</v>
      </c>
      <c r="AQ3" s="1520" t="s">
        <v>1222</v>
      </c>
      <c r="AR3" s="1484" t="s">
        <v>1221</v>
      </c>
      <c r="AS3" s="1483" t="s">
        <v>1222</v>
      </c>
      <c r="AT3" s="1519" t="s">
        <v>1221</v>
      </c>
      <c r="AU3" s="1520" t="s">
        <v>1222</v>
      </c>
      <c r="AV3" s="1484" t="s">
        <v>1221</v>
      </c>
      <c r="AW3" s="1483" t="s">
        <v>1222</v>
      </c>
      <c r="AX3" s="1519" t="s">
        <v>1221</v>
      </c>
      <c r="AY3" s="1520" t="s">
        <v>1222</v>
      </c>
      <c r="AZ3" s="2160" t="s">
        <v>1221</v>
      </c>
      <c r="BA3" s="2776" t="s">
        <v>1222</v>
      </c>
      <c r="BB3" s="2778" t="s">
        <v>1221</v>
      </c>
      <c r="BC3" s="2778" t="s">
        <v>1222</v>
      </c>
      <c r="BD3" s="1484" t="s">
        <v>1221</v>
      </c>
      <c r="BE3" s="1483" t="s">
        <v>1222</v>
      </c>
    </row>
    <row r="4" spans="2:81" ht="21.95" customHeight="1" thickBot="1" x14ac:dyDescent="0.3">
      <c r="B4" s="5968" t="s">
        <v>1223</v>
      </c>
      <c r="C4" s="1460" t="s">
        <v>1017</v>
      </c>
      <c r="D4" s="1474">
        <v>14.1</v>
      </c>
      <c r="E4" s="1481">
        <v>52558</v>
      </c>
      <c r="F4" s="1474">
        <v>14.2</v>
      </c>
      <c r="G4" s="1481">
        <v>51152</v>
      </c>
      <c r="H4" s="1485">
        <f>+D4+F4</f>
        <v>28.299999999999997</v>
      </c>
      <c r="I4" s="1486">
        <f>+G4+E4</f>
        <v>103710</v>
      </c>
      <c r="J4" s="1474">
        <v>10.5</v>
      </c>
      <c r="K4" s="1481">
        <v>39920</v>
      </c>
      <c r="L4" s="4895">
        <f>+D4+F4+J4</f>
        <v>38.799999999999997</v>
      </c>
      <c r="M4" s="4982">
        <f>+E4+G4+K4</f>
        <v>143630</v>
      </c>
      <c r="N4" s="1474">
        <v>11.4</v>
      </c>
      <c r="O4" s="1481">
        <v>45986</v>
      </c>
      <c r="P4" s="1548">
        <f>L4+N4</f>
        <v>50.199999999999996</v>
      </c>
      <c r="Q4" s="1548">
        <f>M4+O4</f>
        <v>189616</v>
      </c>
      <c r="R4" s="1474">
        <v>10.7</v>
      </c>
      <c r="S4" s="1481">
        <v>41746.199999999997</v>
      </c>
      <c r="T4" s="1548">
        <f>P4+R4</f>
        <v>60.899999999999991</v>
      </c>
      <c r="U4" s="1548">
        <f>Q4+S4</f>
        <v>231362.2</v>
      </c>
      <c r="V4" s="1474">
        <v>10.8</v>
      </c>
      <c r="W4" s="1481">
        <v>42309.4</v>
      </c>
      <c r="X4" s="4895">
        <f>+N4+R4+V4</f>
        <v>32.900000000000006</v>
      </c>
      <c r="Y4" s="4983">
        <f>+O4+S4+W4</f>
        <v>130041.60000000001</v>
      </c>
      <c r="Z4" s="4897">
        <f>L4+X4</f>
        <v>71.7</v>
      </c>
      <c r="AA4" s="4893">
        <f>M4+Y4</f>
        <v>273671.59999999998</v>
      </c>
      <c r="AB4" s="1474">
        <v>10</v>
      </c>
      <c r="AC4" s="1481">
        <v>38742</v>
      </c>
      <c r="AD4" s="1485">
        <f>Z4+AB4</f>
        <v>81.7</v>
      </c>
      <c r="AE4" s="1548">
        <f>AA4+AC4</f>
        <v>312413.59999999998</v>
      </c>
      <c r="AF4" s="1474">
        <v>0.5</v>
      </c>
      <c r="AG4" s="1481">
        <v>1869</v>
      </c>
      <c r="AH4" s="1485">
        <f>AD4+AF4</f>
        <v>82.2</v>
      </c>
      <c r="AI4" s="1548">
        <f>AE4+AG4</f>
        <v>314282.59999999998</v>
      </c>
      <c r="AJ4" s="1474">
        <v>6.4</v>
      </c>
      <c r="AK4" s="1481">
        <v>23321</v>
      </c>
      <c r="AL4" s="4895">
        <f>+AB4+AF4+AJ4</f>
        <v>16.899999999999999</v>
      </c>
      <c r="AM4" s="4982">
        <f>+AC4+AG4+AK4</f>
        <v>63932</v>
      </c>
      <c r="AN4" s="1485">
        <f>AH4+AJ4</f>
        <v>88.600000000000009</v>
      </c>
      <c r="AO4" s="1548">
        <f>AI4+AK4</f>
        <v>337603.6</v>
      </c>
      <c r="AP4" s="1474">
        <v>6.8</v>
      </c>
      <c r="AQ4" s="1481">
        <v>26387</v>
      </c>
      <c r="AR4" s="1485">
        <f>AN4+AP4</f>
        <v>95.4</v>
      </c>
      <c r="AS4" s="1548">
        <f>AO4+AQ4</f>
        <v>363990.6</v>
      </c>
      <c r="AT4" s="1521">
        <v>8.9</v>
      </c>
      <c r="AU4" s="1481">
        <v>32537</v>
      </c>
      <c r="AV4" s="1485">
        <f>AR4+AT4</f>
        <v>104.30000000000001</v>
      </c>
      <c r="AW4" s="1548">
        <f>AS4+AU4</f>
        <v>396527.6</v>
      </c>
      <c r="AX4" s="1521">
        <v>18.399999999999999</v>
      </c>
      <c r="AY4" s="1481">
        <v>68591</v>
      </c>
      <c r="AZ4" s="4895">
        <f>+AP4+AT4+AX4</f>
        <v>34.099999999999994</v>
      </c>
      <c r="BA4" s="4983">
        <f>+AQ4+AU4+AY4</f>
        <v>127515</v>
      </c>
      <c r="BB4" s="4897">
        <f>AL4+AZ4</f>
        <v>50.999999999999993</v>
      </c>
      <c r="BC4" s="4893">
        <f>AM4+BA4</f>
        <v>191447</v>
      </c>
      <c r="BD4" s="1485">
        <f>AV4+AX4</f>
        <v>122.70000000000002</v>
      </c>
      <c r="BE4" s="1548">
        <f>AW4+AY4</f>
        <v>465118.6</v>
      </c>
      <c r="BF4" s="533"/>
      <c r="BG4" s="533"/>
      <c r="BH4" s="533"/>
      <c r="BI4" s="533"/>
      <c r="BR4" s="533"/>
      <c r="BS4" s="533"/>
      <c r="BT4" s="533"/>
      <c r="BU4" s="533"/>
      <c r="BV4" s="533"/>
      <c r="BW4" s="533"/>
      <c r="BX4" s="533"/>
      <c r="BY4" s="533"/>
      <c r="BZ4" s="533"/>
      <c r="CA4" s="533"/>
      <c r="CB4" s="533"/>
      <c r="CC4" s="533"/>
    </row>
    <row r="5" spans="2:81" ht="21.95" customHeight="1" thickBot="1" x14ac:dyDescent="0.3">
      <c r="B5" s="5969"/>
      <c r="C5" s="4984" t="s">
        <v>1018</v>
      </c>
      <c r="D5" s="4985">
        <v>10.6</v>
      </c>
      <c r="E5" s="4986">
        <v>40502</v>
      </c>
      <c r="F5" s="4985">
        <v>13.2</v>
      </c>
      <c r="G5" s="4986">
        <v>47881</v>
      </c>
      <c r="H5" s="1485">
        <f t="shared" ref="H5:H72" si="0">+D5+F5</f>
        <v>23.799999999999997</v>
      </c>
      <c r="I5" s="1486">
        <f t="shared" ref="I5:I72" si="1">+G5+E5</f>
        <v>88383</v>
      </c>
      <c r="J5" s="4985">
        <v>10.6</v>
      </c>
      <c r="K5" s="4986">
        <v>40444</v>
      </c>
      <c r="L5" s="4895">
        <f>+D5+F5+J5</f>
        <v>34.4</v>
      </c>
      <c r="M5" s="4982">
        <f t="shared" ref="M5:M69" si="2">+E5+G5+K5</f>
        <v>128827</v>
      </c>
      <c r="N5" s="4985">
        <v>7.2</v>
      </c>
      <c r="O5" s="4986">
        <v>27251.599999999999</v>
      </c>
      <c r="P5" s="1548">
        <f t="shared" ref="P5:P18" si="3">L5+N5</f>
        <v>41.6</v>
      </c>
      <c r="Q5" s="1548">
        <f t="shared" ref="Q5:Q18" si="4">M5+O5</f>
        <v>156078.6</v>
      </c>
      <c r="R5" s="4985">
        <v>10</v>
      </c>
      <c r="S5" s="4986">
        <v>40295.519999999997</v>
      </c>
      <c r="T5" s="1548">
        <f t="shared" ref="T5:T68" si="5">P5+R5</f>
        <v>51.6</v>
      </c>
      <c r="U5" s="1548">
        <f t="shared" ref="U5:U68" si="6">Q5+S5</f>
        <v>196374.12</v>
      </c>
      <c r="V5" s="4985">
        <v>12.3</v>
      </c>
      <c r="W5" s="4986">
        <v>49970.600000000006</v>
      </c>
      <c r="X5" s="4895">
        <f t="shared" ref="X5:X68" si="7">+N5+R5+V5</f>
        <v>29.5</v>
      </c>
      <c r="Y5" s="4983">
        <f t="shared" ref="Y5:Y68" si="8">+O5+S5+W5</f>
        <v>117517.72</v>
      </c>
      <c r="Z5" s="4897">
        <f t="shared" ref="Z5:Z68" si="9">L5+X5</f>
        <v>63.9</v>
      </c>
      <c r="AA5" s="4893">
        <f t="shared" ref="AA5:AA68" si="10">M5+Y5</f>
        <v>246344.72</v>
      </c>
      <c r="AB5" s="4985">
        <v>9.6</v>
      </c>
      <c r="AC5" s="4986">
        <v>37736</v>
      </c>
      <c r="AD5" s="1485">
        <f t="shared" ref="AD5:AE6" si="11">Z5+AB5</f>
        <v>73.5</v>
      </c>
      <c r="AE5" s="1548">
        <f t="shared" si="11"/>
        <v>284080.71999999997</v>
      </c>
      <c r="AF5" s="4985">
        <v>0.7</v>
      </c>
      <c r="AG5" s="4986">
        <v>2579</v>
      </c>
      <c r="AH5" s="1485">
        <f t="shared" ref="AH5:AI6" si="12">AD5+AF5</f>
        <v>74.2</v>
      </c>
      <c r="AI5" s="1548">
        <f t="shared" si="12"/>
        <v>286659.71999999997</v>
      </c>
      <c r="AJ5" s="4985">
        <v>4.0999999999999996</v>
      </c>
      <c r="AK5" s="4986">
        <v>15473</v>
      </c>
      <c r="AL5" s="4895">
        <f t="shared" ref="AL5:AM6" si="13">+AB5+AF5+AJ5</f>
        <v>14.399999999999999</v>
      </c>
      <c r="AM5" s="4982">
        <f t="shared" si="13"/>
        <v>55788</v>
      </c>
      <c r="AN5" s="1485">
        <f t="shared" ref="AN5:AO23" si="14">AH5+AJ5</f>
        <v>78.3</v>
      </c>
      <c r="AO5" s="1548">
        <f t="shared" si="14"/>
        <v>302132.71999999997</v>
      </c>
      <c r="AP5" s="4985">
        <v>8.5</v>
      </c>
      <c r="AQ5" s="4986">
        <v>33896</v>
      </c>
      <c r="AR5" s="1485">
        <f t="shared" ref="AR5:AS6" si="15">AN5+AP5</f>
        <v>86.8</v>
      </c>
      <c r="AS5" s="1548">
        <f t="shared" si="15"/>
        <v>336028.72</v>
      </c>
      <c r="AT5" s="4987">
        <v>1.9</v>
      </c>
      <c r="AU5" s="4986">
        <v>7535</v>
      </c>
      <c r="AV5" s="1485">
        <f t="shared" ref="AV5:AW6" si="16">AR5+AT5</f>
        <v>88.7</v>
      </c>
      <c r="AW5" s="1548">
        <f t="shared" si="16"/>
        <v>343563.72</v>
      </c>
      <c r="AX5" s="4987">
        <v>14.9</v>
      </c>
      <c r="AY5" s="4986">
        <v>58029</v>
      </c>
      <c r="AZ5" s="4895">
        <f t="shared" ref="AZ5:BA6" si="17">+AP5+AT5+AX5</f>
        <v>25.3</v>
      </c>
      <c r="BA5" s="4983">
        <f t="shared" si="17"/>
        <v>99460</v>
      </c>
      <c r="BB5" s="4897">
        <f t="shared" ref="BB5:BC6" si="18">AL5+AZ5</f>
        <v>39.700000000000003</v>
      </c>
      <c r="BC5" s="4893">
        <f t="shared" si="18"/>
        <v>155248</v>
      </c>
      <c r="BD5" s="1485">
        <f t="shared" ref="BD5:BE6" si="19">AV5+AX5</f>
        <v>103.60000000000001</v>
      </c>
      <c r="BE5" s="1548">
        <f t="shared" si="19"/>
        <v>401592.72</v>
      </c>
      <c r="BF5" s="533"/>
      <c r="BG5" s="533"/>
      <c r="BH5" s="533"/>
      <c r="BI5" s="533"/>
      <c r="BR5" s="533"/>
      <c r="BS5" s="533"/>
      <c r="BT5" s="533"/>
      <c r="BU5" s="533"/>
      <c r="BV5" s="533"/>
      <c r="BW5" s="533"/>
      <c r="BX5" s="533"/>
      <c r="BY5" s="533"/>
      <c r="BZ5" s="533"/>
      <c r="CA5" s="533"/>
      <c r="CB5" s="533"/>
      <c r="CC5" s="533"/>
    </row>
    <row r="6" spans="2:81" ht="21.95" customHeight="1" thickBot="1" x14ac:dyDescent="0.3">
      <c r="B6" s="5969"/>
      <c r="C6" s="4984" t="s">
        <v>1224</v>
      </c>
      <c r="D6" s="4985">
        <v>0</v>
      </c>
      <c r="E6" s="4986">
        <v>0</v>
      </c>
      <c r="F6" s="4985">
        <v>0</v>
      </c>
      <c r="G6" s="4986">
        <v>0</v>
      </c>
      <c r="H6" s="1485">
        <f t="shared" si="0"/>
        <v>0</v>
      </c>
      <c r="I6" s="1486">
        <f t="shared" si="1"/>
        <v>0</v>
      </c>
      <c r="J6" s="4985">
        <v>0</v>
      </c>
      <c r="K6" s="4986">
        <v>0</v>
      </c>
      <c r="L6" s="4895">
        <f t="shared" ref="L6:L69" si="20">+D6+F6+J6</f>
        <v>0</v>
      </c>
      <c r="M6" s="4982">
        <f t="shared" si="2"/>
        <v>0</v>
      </c>
      <c r="N6" s="4985">
        <v>0</v>
      </c>
      <c r="O6" s="4986">
        <v>0</v>
      </c>
      <c r="P6" s="1548">
        <f t="shared" si="3"/>
        <v>0</v>
      </c>
      <c r="Q6" s="1548">
        <f t="shared" si="4"/>
        <v>0</v>
      </c>
      <c r="R6" s="4985">
        <v>0</v>
      </c>
      <c r="S6" s="4986">
        <v>0</v>
      </c>
      <c r="T6" s="1548">
        <f t="shared" si="5"/>
        <v>0</v>
      </c>
      <c r="U6" s="1548">
        <f t="shared" si="6"/>
        <v>0</v>
      </c>
      <c r="V6" s="4985">
        <v>0</v>
      </c>
      <c r="W6" s="4986">
        <v>0</v>
      </c>
      <c r="X6" s="4895">
        <f t="shared" si="7"/>
        <v>0</v>
      </c>
      <c r="Y6" s="4983">
        <f t="shared" si="8"/>
        <v>0</v>
      </c>
      <c r="Z6" s="4897">
        <f t="shared" si="9"/>
        <v>0</v>
      </c>
      <c r="AA6" s="4893">
        <f t="shared" si="10"/>
        <v>0</v>
      </c>
      <c r="AB6" s="4985">
        <v>0</v>
      </c>
      <c r="AC6" s="4986">
        <v>0</v>
      </c>
      <c r="AD6" s="1485">
        <f t="shared" si="11"/>
        <v>0</v>
      </c>
      <c r="AE6" s="1548">
        <f t="shared" si="11"/>
        <v>0</v>
      </c>
      <c r="AF6" s="4985">
        <v>0</v>
      </c>
      <c r="AG6" s="4986">
        <v>0</v>
      </c>
      <c r="AH6" s="1485">
        <f t="shared" si="12"/>
        <v>0</v>
      </c>
      <c r="AI6" s="1548">
        <f t="shared" si="12"/>
        <v>0</v>
      </c>
      <c r="AJ6" s="4985">
        <v>0</v>
      </c>
      <c r="AK6" s="4986">
        <v>0</v>
      </c>
      <c r="AL6" s="4895">
        <f t="shared" si="13"/>
        <v>0</v>
      </c>
      <c r="AM6" s="4982">
        <f t="shared" si="13"/>
        <v>0</v>
      </c>
      <c r="AN6" s="1485">
        <f t="shared" si="14"/>
        <v>0</v>
      </c>
      <c r="AO6" s="1548">
        <f t="shared" si="14"/>
        <v>0</v>
      </c>
      <c r="AP6" s="4985">
        <v>0</v>
      </c>
      <c r="AQ6" s="4986">
        <v>0</v>
      </c>
      <c r="AR6" s="1485">
        <f t="shared" si="15"/>
        <v>0</v>
      </c>
      <c r="AS6" s="1548">
        <f t="shared" si="15"/>
        <v>0</v>
      </c>
      <c r="AT6" s="4987">
        <v>0</v>
      </c>
      <c r="AU6" s="4986">
        <v>0</v>
      </c>
      <c r="AV6" s="1485">
        <f t="shared" si="16"/>
        <v>0</v>
      </c>
      <c r="AW6" s="1548">
        <f t="shared" si="16"/>
        <v>0</v>
      </c>
      <c r="AX6" s="4987">
        <v>0</v>
      </c>
      <c r="AY6" s="4986">
        <v>0</v>
      </c>
      <c r="AZ6" s="4895">
        <f t="shared" si="17"/>
        <v>0</v>
      </c>
      <c r="BA6" s="4983">
        <f t="shared" si="17"/>
        <v>0</v>
      </c>
      <c r="BB6" s="4897">
        <f t="shared" si="18"/>
        <v>0</v>
      </c>
      <c r="BC6" s="4893">
        <f t="shared" si="18"/>
        <v>0</v>
      </c>
      <c r="BD6" s="1485">
        <f t="shared" si="19"/>
        <v>0</v>
      </c>
      <c r="BE6" s="1548">
        <f t="shared" si="19"/>
        <v>0</v>
      </c>
      <c r="BF6" s="533"/>
      <c r="BG6" s="533"/>
      <c r="BH6" s="533"/>
      <c r="BI6" s="533"/>
      <c r="BR6" s="533"/>
      <c r="BS6" s="533"/>
      <c r="BT6" s="533"/>
      <c r="BU6" s="533"/>
      <c r="BV6" s="533"/>
      <c r="BW6" s="533"/>
      <c r="BX6" s="533"/>
      <c r="BY6" s="533"/>
      <c r="BZ6" s="533"/>
      <c r="CA6" s="533"/>
      <c r="CB6" s="533"/>
      <c r="CC6" s="533"/>
    </row>
    <row r="7" spans="2:81" ht="21.95" customHeight="1" thickBot="1" x14ac:dyDescent="0.3">
      <c r="B7" s="5969"/>
      <c r="C7" s="4988" t="s">
        <v>2</v>
      </c>
      <c r="D7" s="4989">
        <f>SUM(D4:D6)</f>
        <v>24.7</v>
      </c>
      <c r="E7" s="4990">
        <f t="shared" ref="E7:BE7" si="21">SUM(E4:E6)</f>
        <v>93060</v>
      </c>
      <c r="F7" s="4989">
        <f>SUM(F4:F6)</f>
        <v>27.4</v>
      </c>
      <c r="G7" s="4990">
        <f t="shared" ref="G7" si="22">SUM(G4:G6)</f>
        <v>99033</v>
      </c>
      <c r="H7" s="1485">
        <f t="shared" si="0"/>
        <v>52.099999999999994</v>
      </c>
      <c r="I7" s="1486">
        <f t="shared" si="1"/>
        <v>192093</v>
      </c>
      <c r="J7" s="4989">
        <f>SUM(J4:J6)</f>
        <v>21.1</v>
      </c>
      <c r="K7" s="4990">
        <f t="shared" ref="K7" si="23">SUM(K4:K6)</f>
        <v>80364</v>
      </c>
      <c r="L7" s="4991">
        <f t="shared" si="21"/>
        <v>73.199999999999989</v>
      </c>
      <c r="M7" s="4991">
        <f t="shared" si="21"/>
        <v>272457</v>
      </c>
      <c r="N7" s="4989">
        <f>SUM(N4:N6)</f>
        <v>18.600000000000001</v>
      </c>
      <c r="O7" s="4990">
        <f t="shared" ref="O7" si="24">SUM(O4:O6)</f>
        <v>73237.600000000006</v>
      </c>
      <c r="P7" s="1548">
        <f t="shared" si="3"/>
        <v>91.799999999999983</v>
      </c>
      <c r="Q7" s="1548">
        <f t="shared" si="4"/>
        <v>345694.6</v>
      </c>
      <c r="R7" s="4989">
        <f>SUM(R4:R6)</f>
        <v>20.7</v>
      </c>
      <c r="S7" s="4990">
        <f t="shared" ref="S7" si="25">SUM(S4:S6)</f>
        <v>82041.72</v>
      </c>
      <c r="T7" s="1548">
        <f t="shared" si="5"/>
        <v>112.49999999999999</v>
      </c>
      <c r="U7" s="1548">
        <f t="shared" si="6"/>
        <v>427736.31999999995</v>
      </c>
      <c r="V7" s="4989">
        <f>SUM(V4:V6)</f>
        <v>23.1</v>
      </c>
      <c r="W7" s="4990">
        <f t="shared" ref="W7" si="26">SUM(W4:W6)</f>
        <v>92280</v>
      </c>
      <c r="X7" s="4991">
        <f t="shared" si="7"/>
        <v>62.4</v>
      </c>
      <c r="Y7" s="4992">
        <f t="shared" si="8"/>
        <v>247559.32</v>
      </c>
      <c r="Z7" s="4888">
        <f t="shared" si="9"/>
        <v>135.6</v>
      </c>
      <c r="AA7" s="4888">
        <f t="shared" si="10"/>
        <v>520016.32</v>
      </c>
      <c r="AB7" s="4990">
        <f t="shared" si="21"/>
        <v>19.600000000000001</v>
      </c>
      <c r="AC7" s="4990">
        <f t="shared" si="21"/>
        <v>76478</v>
      </c>
      <c r="AD7" s="4990">
        <f t="shared" si="21"/>
        <v>155.19999999999999</v>
      </c>
      <c r="AE7" s="4990">
        <f t="shared" si="21"/>
        <v>596494.31999999995</v>
      </c>
      <c r="AF7" s="4990">
        <f t="shared" si="21"/>
        <v>1.2</v>
      </c>
      <c r="AG7" s="4990">
        <f t="shared" si="21"/>
        <v>4448</v>
      </c>
      <c r="AH7" s="4990">
        <f t="shared" si="21"/>
        <v>156.4</v>
      </c>
      <c r="AI7" s="4990">
        <f t="shared" si="21"/>
        <v>600942.31999999995</v>
      </c>
      <c r="AJ7" s="4990">
        <f t="shared" si="21"/>
        <v>10.5</v>
      </c>
      <c r="AK7" s="4990">
        <f t="shared" si="21"/>
        <v>38794</v>
      </c>
      <c r="AL7" s="4990">
        <f t="shared" si="21"/>
        <v>31.299999999999997</v>
      </c>
      <c r="AM7" s="4990">
        <f t="shared" si="21"/>
        <v>119720</v>
      </c>
      <c r="AN7" s="4990">
        <f t="shared" si="21"/>
        <v>166.9</v>
      </c>
      <c r="AO7" s="4990">
        <f t="shared" si="21"/>
        <v>639736.31999999995</v>
      </c>
      <c r="AP7" s="4990">
        <f t="shared" si="21"/>
        <v>15.3</v>
      </c>
      <c r="AQ7" s="4990">
        <f t="shared" si="21"/>
        <v>60283</v>
      </c>
      <c r="AR7" s="4990">
        <f t="shared" si="21"/>
        <v>182.2</v>
      </c>
      <c r="AS7" s="4990">
        <f t="shared" si="21"/>
        <v>700019.32</v>
      </c>
      <c r="AT7" s="4990">
        <f t="shared" si="21"/>
        <v>10.8</v>
      </c>
      <c r="AU7" s="4990">
        <f t="shared" si="21"/>
        <v>40072</v>
      </c>
      <c r="AV7" s="4990">
        <f t="shared" si="21"/>
        <v>193</v>
      </c>
      <c r="AW7" s="4990">
        <f t="shared" si="21"/>
        <v>740091.32</v>
      </c>
      <c r="AX7" s="4990">
        <f t="shared" si="21"/>
        <v>33.299999999999997</v>
      </c>
      <c r="AY7" s="4990">
        <f t="shared" si="21"/>
        <v>126620</v>
      </c>
      <c r="AZ7" s="4990">
        <f t="shared" si="21"/>
        <v>59.399999999999991</v>
      </c>
      <c r="BA7" s="4993">
        <f t="shared" si="21"/>
        <v>226975</v>
      </c>
      <c r="BB7" s="4887">
        <f t="shared" si="21"/>
        <v>90.699999999999989</v>
      </c>
      <c r="BC7" s="4887">
        <f t="shared" si="21"/>
        <v>346695</v>
      </c>
      <c r="BD7" s="4990">
        <f t="shared" si="21"/>
        <v>226.3</v>
      </c>
      <c r="BE7" s="4990">
        <f t="shared" si="21"/>
        <v>866711.32</v>
      </c>
      <c r="BF7" s="533"/>
      <c r="BG7" s="533"/>
      <c r="BH7" s="533"/>
      <c r="BI7" s="533"/>
      <c r="BR7" s="533"/>
      <c r="BS7" s="533"/>
      <c r="BT7" s="533"/>
      <c r="BU7" s="533"/>
      <c r="BV7" s="533"/>
      <c r="BW7" s="533"/>
      <c r="BX7" s="533"/>
      <c r="BY7" s="533"/>
      <c r="BZ7" s="533"/>
      <c r="CA7" s="533"/>
      <c r="CB7" s="533"/>
      <c r="CC7" s="533"/>
    </row>
    <row r="8" spans="2:81" ht="21.95" customHeight="1" thickBot="1" x14ac:dyDescent="0.3">
      <c r="B8" s="5969"/>
      <c r="C8" s="4984" t="s">
        <v>1015</v>
      </c>
      <c r="D8" s="4985">
        <v>20.5</v>
      </c>
      <c r="E8" s="4986">
        <v>78260</v>
      </c>
      <c r="F8" s="4985">
        <v>16</v>
      </c>
      <c r="G8" s="4986">
        <v>61793</v>
      </c>
      <c r="H8" s="1485">
        <f t="shared" si="0"/>
        <v>36.5</v>
      </c>
      <c r="I8" s="1486">
        <f t="shared" si="1"/>
        <v>140053</v>
      </c>
      <c r="J8" s="4985">
        <v>9.1</v>
      </c>
      <c r="K8" s="4986">
        <v>34541</v>
      </c>
      <c r="L8" s="4895">
        <f t="shared" si="20"/>
        <v>45.6</v>
      </c>
      <c r="M8" s="4982">
        <f t="shared" si="2"/>
        <v>174594</v>
      </c>
      <c r="N8" s="4985">
        <v>10.1</v>
      </c>
      <c r="O8" s="4986">
        <v>38148.699999999997</v>
      </c>
      <c r="P8" s="1548">
        <f t="shared" si="3"/>
        <v>55.7</v>
      </c>
      <c r="Q8" s="1548">
        <f t="shared" si="4"/>
        <v>212742.7</v>
      </c>
      <c r="R8" s="4985">
        <v>6.5</v>
      </c>
      <c r="S8" s="4986">
        <v>24877.300000000003</v>
      </c>
      <c r="T8" s="1548">
        <f t="shared" si="5"/>
        <v>62.2</v>
      </c>
      <c r="U8" s="1548">
        <f t="shared" si="6"/>
        <v>237620</v>
      </c>
      <c r="V8" s="4985">
        <v>3</v>
      </c>
      <c r="W8" s="4986">
        <v>11483.900000000001</v>
      </c>
      <c r="X8" s="4895">
        <f t="shared" si="7"/>
        <v>19.600000000000001</v>
      </c>
      <c r="Y8" s="4983">
        <f t="shared" si="8"/>
        <v>74509.899999999994</v>
      </c>
      <c r="Z8" s="4897">
        <f t="shared" si="9"/>
        <v>65.2</v>
      </c>
      <c r="AA8" s="4893">
        <f t="shared" si="10"/>
        <v>249103.9</v>
      </c>
      <c r="AB8" s="4985">
        <v>13.5</v>
      </c>
      <c r="AC8" s="4986">
        <v>51202</v>
      </c>
      <c r="AD8" s="1485">
        <f t="shared" ref="AD8:AE12" si="27">Z8+AB8</f>
        <v>78.7</v>
      </c>
      <c r="AE8" s="1548">
        <f t="shared" si="27"/>
        <v>300305.90000000002</v>
      </c>
      <c r="AF8" s="4985">
        <v>1.2</v>
      </c>
      <c r="AG8" s="4986">
        <v>4448</v>
      </c>
      <c r="AH8" s="1485">
        <f t="shared" ref="AH8:AI12" si="28">AD8+AF8</f>
        <v>79.900000000000006</v>
      </c>
      <c r="AI8" s="1548">
        <f t="shared" si="28"/>
        <v>304753.90000000002</v>
      </c>
      <c r="AJ8" s="4985">
        <v>7.6</v>
      </c>
      <c r="AK8" s="4986">
        <v>27576</v>
      </c>
      <c r="AL8" s="4895">
        <f t="shared" ref="AL8:AM12" si="29">+AB8+AF8+AJ8</f>
        <v>22.299999999999997</v>
      </c>
      <c r="AM8" s="4982">
        <f t="shared" si="29"/>
        <v>83226</v>
      </c>
      <c r="AN8" s="1485">
        <f t="shared" si="14"/>
        <v>87.5</v>
      </c>
      <c r="AO8" s="1548">
        <f t="shared" si="14"/>
        <v>332329.90000000002</v>
      </c>
      <c r="AP8" s="4985">
        <v>11.3</v>
      </c>
      <c r="AQ8" s="4986">
        <v>43446</v>
      </c>
      <c r="AR8" s="1485">
        <f t="shared" ref="AR8:AS12" si="30">AN8+AP8</f>
        <v>98.8</v>
      </c>
      <c r="AS8" s="1548">
        <f t="shared" si="30"/>
        <v>375775.9</v>
      </c>
      <c r="AT8" s="4987">
        <v>9.8000000000000007</v>
      </c>
      <c r="AU8" s="4986">
        <v>35811</v>
      </c>
      <c r="AV8" s="1485">
        <f t="shared" ref="AV8:AW12" si="31">AR8+AT8</f>
        <v>108.6</v>
      </c>
      <c r="AW8" s="1548">
        <f t="shared" si="31"/>
        <v>411586.9</v>
      </c>
      <c r="AX8" s="4987">
        <v>24.7</v>
      </c>
      <c r="AY8" s="4986">
        <v>92324</v>
      </c>
      <c r="AZ8" s="4895">
        <f t="shared" ref="AZ8:BA12" si="32">+AP8+AT8+AX8</f>
        <v>45.8</v>
      </c>
      <c r="BA8" s="4983">
        <f t="shared" si="32"/>
        <v>171581</v>
      </c>
      <c r="BB8" s="4897">
        <f t="shared" ref="BB8:BC12" si="33">AL8+AZ8</f>
        <v>68.099999999999994</v>
      </c>
      <c r="BC8" s="4893">
        <f t="shared" si="33"/>
        <v>254807</v>
      </c>
      <c r="BD8" s="1485">
        <f t="shared" ref="BD8:BE12" si="34">AV8+AX8</f>
        <v>133.29999999999998</v>
      </c>
      <c r="BE8" s="1548">
        <f t="shared" si="34"/>
        <v>503910.9</v>
      </c>
      <c r="BF8" s="533"/>
      <c r="BG8" s="533"/>
      <c r="BH8" s="533"/>
      <c r="BI8" s="533"/>
      <c r="BR8" s="533"/>
      <c r="BS8" s="533"/>
      <c r="BT8" s="533"/>
      <c r="BU8" s="533"/>
      <c r="BV8" s="533"/>
      <c r="BW8" s="533"/>
      <c r="BX8" s="533"/>
      <c r="BY8" s="533"/>
      <c r="BZ8" s="533"/>
      <c r="CA8" s="533"/>
      <c r="CB8" s="533"/>
      <c r="CC8" s="533"/>
    </row>
    <row r="9" spans="2:81" ht="21.95" customHeight="1" thickBot="1" x14ac:dyDescent="0.3">
      <c r="B9" s="5970"/>
      <c r="C9" s="1464" t="s">
        <v>1016</v>
      </c>
      <c r="D9" s="4994">
        <v>4.2</v>
      </c>
      <c r="E9" s="4995">
        <v>14800</v>
      </c>
      <c r="F9" s="4994">
        <v>11.4</v>
      </c>
      <c r="G9" s="4995">
        <v>37239</v>
      </c>
      <c r="H9" s="1485">
        <f t="shared" si="0"/>
        <v>15.600000000000001</v>
      </c>
      <c r="I9" s="1486">
        <f t="shared" si="1"/>
        <v>52039</v>
      </c>
      <c r="J9" s="4994">
        <v>12</v>
      </c>
      <c r="K9" s="4995">
        <v>45824</v>
      </c>
      <c r="L9" s="4895">
        <f t="shared" si="20"/>
        <v>27.6</v>
      </c>
      <c r="M9" s="4982">
        <f t="shared" si="2"/>
        <v>97863</v>
      </c>
      <c r="N9" s="4994">
        <v>8.5</v>
      </c>
      <c r="O9" s="4995">
        <v>35089.1</v>
      </c>
      <c r="P9" s="1548">
        <f t="shared" si="3"/>
        <v>36.1</v>
      </c>
      <c r="Q9" s="1548">
        <f t="shared" si="4"/>
        <v>132952.1</v>
      </c>
      <c r="R9" s="4994">
        <v>14.2</v>
      </c>
      <c r="S9" s="4995">
        <v>57164.42</v>
      </c>
      <c r="T9" s="1548">
        <f t="shared" si="5"/>
        <v>50.3</v>
      </c>
      <c r="U9" s="1548">
        <f t="shared" si="6"/>
        <v>190116.52000000002</v>
      </c>
      <c r="V9" s="4994">
        <v>20.100000000000001</v>
      </c>
      <c r="W9" s="4995">
        <v>80796.100000000006</v>
      </c>
      <c r="X9" s="4895">
        <f t="shared" si="7"/>
        <v>42.8</v>
      </c>
      <c r="Y9" s="4983">
        <f t="shared" si="8"/>
        <v>173049.62</v>
      </c>
      <c r="Z9" s="4897">
        <f t="shared" si="9"/>
        <v>70.400000000000006</v>
      </c>
      <c r="AA9" s="4893">
        <f t="shared" si="10"/>
        <v>270912.62</v>
      </c>
      <c r="AB9" s="4994">
        <v>6.2</v>
      </c>
      <c r="AC9" s="4995">
        <v>25276</v>
      </c>
      <c r="AD9" s="1485">
        <f t="shared" si="27"/>
        <v>76.600000000000009</v>
      </c>
      <c r="AE9" s="1548">
        <f t="shared" si="27"/>
        <v>296188.62</v>
      </c>
      <c r="AF9" s="4994">
        <v>0</v>
      </c>
      <c r="AG9" s="4995">
        <v>0</v>
      </c>
      <c r="AH9" s="1485">
        <f t="shared" si="28"/>
        <v>76.600000000000009</v>
      </c>
      <c r="AI9" s="1548">
        <f t="shared" si="28"/>
        <v>296188.62</v>
      </c>
      <c r="AJ9" s="4994">
        <v>2.9</v>
      </c>
      <c r="AK9" s="4995">
        <v>11251</v>
      </c>
      <c r="AL9" s="4895">
        <f t="shared" si="29"/>
        <v>9.1</v>
      </c>
      <c r="AM9" s="4982">
        <f t="shared" si="29"/>
        <v>36527</v>
      </c>
      <c r="AN9" s="1485">
        <f t="shared" si="14"/>
        <v>79.500000000000014</v>
      </c>
      <c r="AO9" s="1548">
        <f t="shared" si="14"/>
        <v>307439.62</v>
      </c>
      <c r="AP9" s="4994">
        <v>4</v>
      </c>
      <c r="AQ9" s="4995">
        <v>16837</v>
      </c>
      <c r="AR9" s="1485">
        <f t="shared" si="30"/>
        <v>83.500000000000014</v>
      </c>
      <c r="AS9" s="1548">
        <f t="shared" si="30"/>
        <v>324276.62</v>
      </c>
      <c r="AT9" s="4996">
        <v>0.9</v>
      </c>
      <c r="AU9" s="4995">
        <v>4260</v>
      </c>
      <c r="AV9" s="1485">
        <f t="shared" si="31"/>
        <v>84.40000000000002</v>
      </c>
      <c r="AW9" s="1548">
        <f t="shared" si="31"/>
        <v>328536.62</v>
      </c>
      <c r="AX9" s="4996">
        <v>8.5</v>
      </c>
      <c r="AY9" s="4995">
        <v>34296</v>
      </c>
      <c r="AZ9" s="4895">
        <f t="shared" si="32"/>
        <v>13.4</v>
      </c>
      <c r="BA9" s="4983">
        <f t="shared" si="32"/>
        <v>55393</v>
      </c>
      <c r="BB9" s="4897">
        <f t="shared" si="33"/>
        <v>22.5</v>
      </c>
      <c r="BC9" s="4893">
        <f t="shared" si="33"/>
        <v>91920</v>
      </c>
      <c r="BD9" s="1485">
        <f t="shared" si="34"/>
        <v>92.90000000000002</v>
      </c>
      <c r="BE9" s="1548">
        <f t="shared" si="34"/>
        <v>362832.62</v>
      </c>
      <c r="BF9" s="533"/>
      <c r="BG9" s="533"/>
      <c r="BH9" s="533"/>
      <c r="BI9" s="533"/>
      <c r="BR9" s="533"/>
      <c r="BS9" s="533"/>
      <c r="BT9" s="533"/>
      <c r="BU9" s="533"/>
      <c r="BV9" s="533"/>
      <c r="BW9" s="533"/>
      <c r="BX9" s="533"/>
      <c r="BY9" s="533"/>
      <c r="BZ9" s="533"/>
      <c r="CA9" s="533"/>
      <c r="CB9" s="533"/>
      <c r="CC9" s="533"/>
    </row>
    <row r="10" spans="2:81" ht="21.95" customHeight="1" thickBot="1" x14ac:dyDescent="0.3">
      <c r="B10" s="5968" t="s">
        <v>1225</v>
      </c>
      <c r="C10" s="1460" t="s">
        <v>1017</v>
      </c>
      <c r="D10" s="1474">
        <v>58.9</v>
      </c>
      <c r="E10" s="1481">
        <v>221633</v>
      </c>
      <c r="F10" s="1474">
        <v>60.8</v>
      </c>
      <c r="G10" s="1481">
        <v>214121</v>
      </c>
      <c r="H10" s="1485">
        <f t="shared" si="0"/>
        <v>119.69999999999999</v>
      </c>
      <c r="I10" s="1486">
        <f t="shared" si="1"/>
        <v>435754</v>
      </c>
      <c r="J10" s="1474">
        <v>55.5</v>
      </c>
      <c r="K10" s="1481">
        <v>210544</v>
      </c>
      <c r="L10" s="4895">
        <f t="shared" si="20"/>
        <v>175.2</v>
      </c>
      <c r="M10" s="4982">
        <f t="shared" si="2"/>
        <v>646298</v>
      </c>
      <c r="N10" s="1474">
        <v>62.3</v>
      </c>
      <c r="O10" s="1481">
        <v>245889.94</v>
      </c>
      <c r="P10" s="1548">
        <f t="shared" si="3"/>
        <v>237.5</v>
      </c>
      <c r="Q10" s="1548">
        <f t="shared" si="4"/>
        <v>892187.94</v>
      </c>
      <c r="R10" s="1474">
        <v>51.3</v>
      </c>
      <c r="S10" s="1481">
        <v>198519.24</v>
      </c>
      <c r="T10" s="1548">
        <f t="shared" si="5"/>
        <v>288.8</v>
      </c>
      <c r="U10" s="1548">
        <f t="shared" si="6"/>
        <v>1090707.18</v>
      </c>
      <c r="V10" s="1474">
        <v>63.8</v>
      </c>
      <c r="W10" s="1481">
        <v>248966.46999999997</v>
      </c>
      <c r="X10" s="4895">
        <f t="shared" si="7"/>
        <v>177.39999999999998</v>
      </c>
      <c r="Y10" s="4983">
        <f t="shared" si="8"/>
        <v>693375.64999999991</v>
      </c>
      <c r="Z10" s="4897">
        <f t="shared" si="9"/>
        <v>352.59999999999997</v>
      </c>
      <c r="AA10" s="4893">
        <f t="shared" si="10"/>
        <v>1339673.6499999999</v>
      </c>
      <c r="AB10" s="1474">
        <v>59.9</v>
      </c>
      <c r="AC10" s="1481">
        <v>229255</v>
      </c>
      <c r="AD10" s="1485">
        <f t="shared" si="27"/>
        <v>412.49999999999994</v>
      </c>
      <c r="AE10" s="1548">
        <f t="shared" si="27"/>
        <v>1568928.65</v>
      </c>
      <c r="AF10" s="1474">
        <v>34.5</v>
      </c>
      <c r="AG10" s="1481">
        <v>130110</v>
      </c>
      <c r="AH10" s="1485">
        <f t="shared" si="28"/>
        <v>446.99999999999994</v>
      </c>
      <c r="AI10" s="1548">
        <f t="shared" si="28"/>
        <v>1699038.65</v>
      </c>
      <c r="AJ10" s="1474">
        <v>60.6</v>
      </c>
      <c r="AK10" s="1481">
        <v>221782</v>
      </c>
      <c r="AL10" s="4895">
        <f t="shared" si="29"/>
        <v>155</v>
      </c>
      <c r="AM10" s="4982">
        <f t="shared" si="29"/>
        <v>581147</v>
      </c>
      <c r="AN10" s="1485">
        <f t="shared" si="14"/>
        <v>507.59999999999997</v>
      </c>
      <c r="AO10" s="1548">
        <f t="shared" si="14"/>
        <v>1920820.65</v>
      </c>
      <c r="AP10" s="1474">
        <v>56.2</v>
      </c>
      <c r="AQ10" s="1481">
        <v>217262</v>
      </c>
      <c r="AR10" s="1485">
        <f t="shared" si="30"/>
        <v>563.79999999999995</v>
      </c>
      <c r="AS10" s="1548">
        <f t="shared" si="30"/>
        <v>2138082.65</v>
      </c>
      <c r="AT10" s="1521">
        <v>59.3</v>
      </c>
      <c r="AU10" s="1481">
        <v>224403</v>
      </c>
      <c r="AV10" s="1485">
        <f t="shared" si="31"/>
        <v>623.09999999999991</v>
      </c>
      <c r="AW10" s="1548">
        <f t="shared" si="31"/>
        <v>2362485.65</v>
      </c>
      <c r="AX10" s="1521">
        <v>74.599999999999994</v>
      </c>
      <c r="AY10" s="1481">
        <v>281870</v>
      </c>
      <c r="AZ10" s="4895">
        <f t="shared" si="32"/>
        <v>190.1</v>
      </c>
      <c r="BA10" s="4983">
        <f t="shared" si="32"/>
        <v>723535</v>
      </c>
      <c r="BB10" s="4897">
        <f t="shared" si="33"/>
        <v>345.1</v>
      </c>
      <c r="BC10" s="4893">
        <f t="shared" si="33"/>
        <v>1304682</v>
      </c>
      <c r="BD10" s="1485">
        <f t="shared" si="34"/>
        <v>697.69999999999993</v>
      </c>
      <c r="BE10" s="1548">
        <f t="shared" si="34"/>
        <v>2644355.65</v>
      </c>
      <c r="BF10" s="533"/>
      <c r="BG10" s="533"/>
      <c r="BH10" s="533"/>
      <c r="BI10" s="533"/>
      <c r="BR10" s="533"/>
      <c r="BS10" s="533"/>
      <c r="BT10" s="533"/>
      <c r="BU10" s="533"/>
      <c r="BV10" s="533"/>
      <c r="BW10" s="533"/>
      <c r="BX10" s="533"/>
      <c r="BY10" s="533"/>
      <c r="BZ10" s="533"/>
      <c r="CA10" s="533"/>
      <c r="CB10" s="533"/>
      <c r="CC10" s="533"/>
    </row>
    <row r="11" spans="2:81" ht="21.95" customHeight="1" thickBot="1" x14ac:dyDescent="0.3">
      <c r="B11" s="5969"/>
      <c r="C11" s="4984" t="s">
        <v>1018</v>
      </c>
      <c r="D11" s="4985">
        <v>12.4</v>
      </c>
      <c r="E11" s="4997">
        <v>45947</v>
      </c>
      <c r="F11" s="4985">
        <v>12.8</v>
      </c>
      <c r="G11" s="4997">
        <v>37438</v>
      </c>
      <c r="H11" s="1485">
        <f t="shared" si="0"/>
        <v>25.200000000000003</v>
      </c>
      <c r="I11" s="1486">
        <f t="shared" si="1"/>
        <v>83385</v>
      </c>
      <c r="J11" s="4985">
        <v>11.4</v>
      </c>
      <c r="K11" s="4997">
        <v>43637</v>
      </c>
      <c r="L11" s="4895">
        <f t="shared" si="20"/>
        <v>36.6</v>
      </c>
      <c r="M11" s="4982">
        <f t="shared" si="2"/>
        <v>127022</v>
      </c>
      <c r="N11" s="4985">
        <v>8.8000000000000007</v>
      </c>
      <c r="O11" s="4997">
        <v>33986.5</v>
      </c>
      <c r="P11" s="1548">
        <f t="shared" si="3"/>
        <v>45.400000000000006</v>
      </c>
      <c r="Q11" s="1548">
        <f t="shared" si="4"/>
        <v>161008.5</v>
      </c>
      <c r="R11" s="4985">
        <v>15</v>
      </c>
      <c r="S11" s="4997">
        <v>59832.829999999994</v>
      </c>
      <c r="T11" s="1548">
        <f t="shared" si="5"/>
        <v>60.400000000000006</v>
      </c>
      <c r="U11" s="1548">
        <f t="shared" si="6"/>
        <v>220841.33</v>
      </c>
      <c r="V11" s="4985">
        <v>15.7</v>
      </c>
      <c r="W11" s="4997">
        <v>64874.799999999996</v>
      </c>
      <c r="X11" s="4895">
        <f t="shared" si="7"/>
        <v>39.5</v>
      </c>
      <c r="Y11" s="4983">
        <f t="shared" si="8"/>
        <v>158694.12999999998</v>
      </c>
      <c r="Z11" s="4897">
        <f t="shared" si="9"/>
        <v>76.099999999999994</v>
      </c>
      <c r="AA11" s="4893">
        <f t="shared" si="10"/>
        <v>285716.13</v>
      </c>
      <c r="AB11" s="4985">
        <v>10.4</v>
      </c>
      <c r="AC11" s="4986">
        <v>40992</v>
      </c>
      <c r="AD11" s="1485">
        <f t="shared" si="27"/>
        <v>86.5</v>
      </c>
      <c r="AE11" s="1548">
        <f t="shared" si="27"/>
        <v>326708.13</v>
      </c>
      <c r="AF11" s="4985">
        <v>1.3</v>
      </c>
      <c r="AG11" s="4986">
        <v>5255</v>
      </c>
      <c r="AH11" s="1485">
        <f t="shared" si="28"/>
        <v>87.8</v>
      </c>
      <c r="AI11" s="1548">
        <f t="shared" si="28"/>
        <v>331963.13</v>
      </c>
      <c r="AJ11" s="4985">
        <v>6.9</v>
      </c>
      <c r="AK11" s="4986">
        <v>25576</v>
      </c>
      <c r="AL11" s="4895">
        <f t="shared" si="29"/>
        <v>18.600000000000001</v>
      </c>
      <c r="AM11" s="4982">
        <f t="shared" si="29"/>
        <v>71823</v>
      </c>
      <c r="AN11" s="1485">
        <f t="shared" si="14"/>
        <v>94.7</v>
      </c>
      <c r="AO11" s="1548">
        <f t="shared" si="14"/>
        <v>357539.13</v>
      </c>
      <c r="AP11" s="4985">
        <v>9.5</v>
      </c>
      <c r="AQ11" s="4986">
        <v>38129</v>
      </c>
      <c r="AR11" s="1485">
        <f t="shared" si="30"/>
        <v>104.2</v>
      </c>
      <c r="AS11" s="1548">
        <f t="shared" si="30"/>
        <v>395668.13</v>
      </c>
      <c r="AT11" s="4987">
        <v>3.1</v>
      </c>
      <c r="AU11" s="4986">
        <v>12054</v>
      </c>
      <c r="AV11" s="1485">
        <f t="shared" si="31"/>
        <v>107.3</v>
      </c>
      <c r="AW11" s="1548">
        <f t="shared" si="31"/>
        <v>407722.13</v>
      </c>
      <c r="AX11" s="4987">
        <v>4.0999999999999996</v>
      </c>
      <c r="AY11" s="4986">
        <v>16178</v>
      </c>
      <c r="AZ11" s="4895">
        <f t="shared" si="32"/>
        <v>16.7</v>
      </c>
      <c r="BA11" s="4983">
        <f t="shared" si="32"/>
        <v>66361</v>
      </c>
      <c r="BB11" s="4897">
        <f t="shared" si="33"/>
        <v>35.299999999999997</v>
      </c>
      <c r="BC11" s="4893">
        <f t="shared" si="33"/>
        <v>138184</v>
      </c>
      <c r="BD11" s="1485">
        <f t="shared" si="34"/>
        <v>111.39999999999999</v>
      </c>
      <c r="BE11" s="1548">
        <f t="shared" si="34"/>
        <v>423900.13</v>
      </c>
      <c r="BF11" s="533"/>
      <c r="BG11" s="533"/>
      <c r="BH11" s="533"/>
      <c r="BI11" s="533"/>
      <c r="BR11" s="533"/>
      <c r="BS11" s="533"/>
      <c r="BT11" s="533"/>
      <c r="BU11" s="533"/>
      <c r="BV11" s="533"/>
      <c r="BW11" s="533"/>
      <c r="BX11" s="533"/>
      <c r="BY11" s="533"/>
      <c r="BZ11" s="533"/>
      <c r="CA11" s="533"/>
      <c r="CB11" s="533"/>
      <c r="CC11" s="533"/>
    </row>
    <row r="12" spans="2:81" ht="21.95" customHeight="1" thickBot="1" x14ac:dyDescent="0.3">
      <c r="B12" s="5969"/>
      <c r="C12" s="4984" t="s">
        <v>1224</v>
      </c>
      <c r="D12" s="4985">
        <v>5</v>
      </c>
      <c r="E12" s="4986">
        <v>15518</v>
      </c>
      <c r="F12" s="4985">
        <v>1</v>
      </c>
      <c r="G12" s="4986">
        <v>3081</v>
      </c>
      <c r="H12" s="1485">
        <f t="shared" si="0"/>
        <v>6</v>
      </c>
      <c r="I12" s="1486">
        <f t="shared" si="1"/>
        <v>18599</v>
      </c>
      <c r="J12" s="4985">
        <v>3</v>
      </c>
      <c r="K12" s="4986">
        <v>10570</v>
      </c>
      <c r="L12" s="4895">
        <f t="shared" si="20"/>
        <v>9</v>
      </c>
      <c r="M12" s="4982">
        <f t="shared" si="2"/>
        <v>29169</v>
      </c>
      <c r="N12" s="4985">
        <v>5</v>
      </c>
      <c r="O12" s="4986">
        <v>17532.900000000001</v>
      </c>
      <c r="P12" s="1548">
        <f t="shared" si="3"/>
        <v>14</v>
      </c>
      <c r="Q12" s="1548">
        <f t="shared" si="4"/>
        <v>46701.9</v>
      </c>
      <c r="R12" s="4985">
        <v>5</v>
      </c>
      <c r="S12" s="4986">
        <v>18020.079999999998</v>
      </c>
      <c r="T12" s="1548">
        <f t="shared" si="5"/>
        <v>19</v>
      </c>
      <c r="U12" s="1548">
        <f t="shared" si="6"/>
        <v>64721.979999999996</v>
      </c>
      <c r="V12" s="4985">
        <v>0</v>
      </c>
      <c r="W12" s="4986">
        <v>0</v>
      </c>
      <c r="X12" s="4895">
        <f t="shared" si="7"/>
        <v>10</v>
      </c>
      <c r="Y12" s="4983">
        <f t="shared" si="8"/>
        <v>35552.979999999996</v>
      </c>
      <c r="Z12" s="4897">
        <f t="shared" si="9"/>
        <v>19</v>
      </c>
      <c r="AA12" s="4893">
        <f t="shared" si="10"/>
        <v>64721.979999999996</v>
      </c>
      <c r="AB12" s="4985">
        <v>5</v>
      </c>
      <c r="AC12" s="4986">
        <v>19718</v>
      </c>
      <c r="AD12" s="1485">
        <f t="shared" si="27"/>
        <v>24</v>
      </c>
      <c r="AE12" s="1548">
        <f t="shared" si="27"/>
        <v>84439.98</v>
      </c>
      <c r="AF12" s="4985">
        <v>0</v>
      </c>
      <c r="AG12" s="4986">
        <v>0</v>
      </c>
      <c r="AH12" s="1485">
        <f t="shared" si="28"/>
        <v>24</v>
      </c>
      <c r="AI12" s="1548">
        <f t="shared" si="28"/>
        <v>84439.98</v>
      </c>
      <c r="AJ12" s="4985">
        <v>1</v>
      </c>
      <c r="AK12" s="4986">
        <v>3730</v>
      </c>
      <c r="AL12" s="4895">
        <f t="shared" si="29"/>
        <v>6</v>
      </c>
      <c r="AM12" s="4982">
        <f t="shared" si="29"/>
        <v>23448</v>
      </c>
      <c r="AN12" s="1485">
        <f t="shared" si="14"/>
        <v>25</v>
      </c>
      <c r="AO12" s="1548">
        <f t="shared" si="14"/>
        <v>88169.98</v>
      </c>
      <c r="AP12" s="4985">
        <v>0</v>
      </c>
      <c r="AQ12" s="4986">
        <v>0</v>
      </c>
      <c r="AR12" s="1485">
        <f t="shared" si="30"/>
        <v>25</v>
      </c>
      <c r="AS12" s="1548">
        <f t="shared" si="30"/>
        <v>88169.98</v>
      </c>
      <c r="AT12" s="4987">
        <v>2</v>
      </c>
      <c r="AU12" s="4986">
        <v>6684</v>
      </c>
      <c r="AV12" s="1485">
        <f t="shared" si="31"/>
        <v>27</v>
      </c>
      <c r="AW12" s="1548">
        <f t="shared" si="31"/>
        <v>94853.98</v>
      </c>
      <c r="AX12" s="4987">
        <v>2</v>
      </c>
      <c r="AY12" s="4986">
        <v>7139</v>
      </c>
      <c r="AZ12" s="4895">
        <f t="shared" si="32"/>
        <v>4</v>
      </c>
      <c r="BA12" s="4983">
        <f t="shared" si="32"/>
        <v>13823</v>
      </c>
      <c r="BB12" s="4897">
        <f t="shared" si="33"/>
        <v>10</v>
      </c>
      <c r="BC12" s="4893">
        <f t="shared" si="33"/>
        <v>37271</v>
      </c>
      <c r="BD12" s="1485">
        <f t="shared" si="34"/>
        <v>29</v>
      </c>
      <c r="BE12" s="1548">
        <f t="shared" si="34"/>
        <v>101992.98</v>
      </c>
      <c r="BF12" s="533"/>
      <c r="BG12" s="533"/>
      <c r="BH12" s="533"/>
      <c r="BI12" s="533"/>
      <c r="BR12" s="533"/>
      <c r="BS12" s="533"/>
      <c r="BT12" s="533"/>
      <c r="BU12" s="533"/>
      <c r="BV12" s="533"/>
      <c r="BW12" s="533"/>
      <c r="BX12" s="533"/>
      <c r="BY12" s="533"/>
      <c r="BZ12" s="533"/>
      <c r="CA12" s="533"/>
      <c r="CB12" s="533"/>
      <c r="CC12" s="533"/>
    </row>
    <row r="13" spans="2:81" ht="21.95" customHeight="1" thickBot="1" x14ac:dyDescent="0.3">
      <c r="B13" s="5969"/>
      <c r="C13" s="4988" t="s">
        <v>2</v>
      </c>
      <c r="D13" s="4990">
        <f>SUM(D10:D12)</f>
        <v>76.3</v>
      </c>
      <c r="E13" s="4990">
        <f t="shared" ref="E13:BE13" si="35">SUM(E10:E12)</f>
        <v>283098</v>
      </c>
      <c r="F13" s="4990">
        <f>SUM(F10:F12)</f>
        <v>74.599999999999994</v>
      </c>
      <c r="G13" s="4990">
        <f t="shared" ref="G13" si="36">SUM(G10:G12)</f>
        <v>254640</v>
      </c>
      <c r="H13" s="1485">
        <f t="shared" si="0"/>
        <v>150.89999999999998</v>
      </c>
      <c r="I13" s="1486">
        <f t="shared" si="1"/>
        <v>537738</v>
      </c>
      <c r="J13" s="4990">
        <f>SUM(J10:J12)</f>
        <v>69.900000000000006</v>
      </c>
      <c r="K13" s="4990">
        <f t="shared" ref="K13" si="37">SUM(K10:K12)</f>
        <v>264751</v>
      </c>
      <c r="L13" s="4991">
        <f t="shared" si="35"/>
        <v>220.79999999999998</v>
      </c>
      <c r="M13" s="4991">
        <f t="shared" si="35"/>
        <v>802489</v>
      </c>
      <c r="N13" s="4990">
        <f>SUM(N10:N12)</f>
        <v>76.099999999999994</v>
      </c>
      <c r="O13" s="4990">
        <f t="shared" ref="O13" si="38">SUM(O10:O12)</f>
        <v>297409.34000000003</v>
      </c>
      <c r="P13" s="1548">
        <f t="shared" si="3"/>
        <v>296.89999999999998</v>
      </c>
      <c r="Q13" s="1548">
        <f t="shared" si="4"/>
        <v>1099898.3400000001</v>
      </c>
      <c r="R13" s="4990">
        <f>SUM(R10:R12)</f>
        <v>71.3</v>
      </c>
      <c r="S13" s="4990">
        <f t="shared" ref="S13" si="39">SUM(S10:S12)</f>
        <v>276372.14999999997</v>
      </c>
      <c r="T13" s="1548">
        <f t="shared" si="5"/>
        <v>368.2</v>
      </c>
      <c r="U13" s="1548">
        <f t="shared" si="6"/>
        <v>1376270.49</v>
      </c>
      <c r="V13" s="4990">
        <f>SUM(V10:V12)</f>
        <v>79.5</v>
      </c>
      <c r="W13" s="4990">
        <f t="shared" ref="W13" si="40">SUM(W10:W12)</f>
        <v>313841.26999999996</v>
      </c>
      <c r="X13" s="4991">
        <f t="shared" si="7"/>
        <v>226.89999999999998</v>
      </c>
      <c r="Y13" s="4992">
        <f t="shared" si="8"/>
        <v>887622.76</v>
      </c>
      <c r="Z13" s="4888">
        <f t="shared" si="9"/>
        <v>447.69999999999993</v>
      </c>
      <c r="AA13" s="4888">
        <f t="shared" si="10"/>
        <v>1690111.76</v>
      </c>
      <c r="AB13" s="4990">
        <f t="shared" si="35"/>
        <v>75.3</v>
      </c>
      <c r="AC13" s="4990">
        <f t="shared" si="35"/>
        <v>289965</v>
      </c>
      <c r="AD13" s="4990">
        <f t="shared" si="35"/>
        <v>523</v>
      </c>
      <c r="AE13" s="4990">
        <f t="shared" si="35"/>
        <v>1980076.7599999998</v>
      </c>
      <c r="AF13" s="4990">
        <f t="shared" si="35"/>
        <v>35.799999999999997</v>
      </c>
      <c r="AG13" s="4990">
        <f t="shared" si="35"/>
        <v>135365</v>
      </c>
      <c r="AH13" s="4990">
        <f t="shared" si="35"/>
        <v>558.79999999999995</v>
      </c>
      <c r="AI13" s="4990">
        <f t="shared" si="35"/>
        <v>2115441.7599999998</v>
      </c>
      <c r="AJ13" s="4990">
        <f t="shared" si="35"/>
        <v>68.5</v>
      </c>
      <c r="AK13" s="4990">
        <f t="shared" si="35"/>
        <v>251088</v>
      </c>
      <c r="AL13" s="4990">
        <f t="shared" si="35"/>
        <v>179.6</v>
      </c>
      <c r="AM13" s="4990">
        <f t="shared" si="35"/>
        <v>676418</v>
      </c>
      <c r="AN13" s="4990">
        <f t="shared" si="35"/>
        <v>627.29999999999995</v>
      </c>
      <c r="AO13" s="4990">
        <f t="shared" si="35"/>
        <v>2366529.7599999998</v>
      </c>
      <c r="AP13" s="4990">
        <f t="shared" si="35"/>
        <v>65.7</v>
      </c>
      <c r="AQ13" s="4990">
        <f t="shared" si="35"/>
        <v>255391</v>
      </c>
      <c r="AR13" s="4990">
        <f t="shared" si="35"/>
        <v>693</v>
      </c>
      <c r="AS13" s="4990">
        <f t="shared" si="35"/>
        <v>2621920.7599999998</v>
      </c>
      <c r="AT13" s="4990">
        <f t="shared" si="35"/>
        <v>64.400000000000006</v>
      </c>
      <c r="AU13" s="4990">
        <f t="shared" si="35"/>
        <v>243141</v>
      </c>
      <c r="AV13" s="4990">
        <f t="shared" si="35"/>
        <v>757.39999999999986</v>
      </c>
      <c r="AW13" s="4990">
        <f t="shared" si="35"/>
        <v>2865061.76</v>
      </c>
      <c r="AX13" s="4990">
        <f t="shared" si="35"/>
        <v>80.699999999999989</v>
      </c>
      <c r="AY13" s="4990">
        <f t="shared" si="35"/>
        <v>305187</v>
      </c>
      <c r="AZ13" s="4990">
        <f t="shared" si="35"/>
        <v>210.79999999999998</v>
      </c>
      <c r="BA13" s="4993">
        <f t="shared" si="35"/>
        <v>803719</v>
      </c>
      <c r="BB13" s="4887">
        <f t="shared" si="35"/>
        <v>390.40000000000003</v>
      </c>
      <c r="BC13" s="4887">
        <f t="shared" si="35"/>
        <v>1480137</v>
      </c>
      <c r="BD13" s="4990">
        <f t="shared" si="35"/>
        <v>838.09999999999991</v>
      </c>
      <c r="BE13" s="4990">
        <f t="shared" si="35"/>
        <v>3170248.76</v>
      </c>
      <c r="BF13" s="533"/>
      <c r="BG13" s="533"/>
      <c r="BH13" s="533"/>
      <c r="BI13" s="533"/>
      <c r="BR13" s="533"/>
      <c r="BS13" s="533"/>
      <c r="BT13" s="533"/>
      <c r="BU13" s="533"/>
      <c r="BV13" s="533"/>
      <c r="BW13" s="533"/>
      <c r="BX13" s="533"/>
      <c r="BY13" s="533"/>
      <c r="BZ13" s="533"/>
      <c r="CA13" s="533"/>
      <c r="CB13" s="533"/>
      <c r="CC13" s="533"/>
    </row>
    <row r="14" spans="2:81" ht="21.95" customHeight="1" thickBot="1" x14ac:dyDescent="0.3">
      <c r="B14" s="5969"/>
      <c r="C14" s="4984" t="s">
        <v>1015</v>
      </c>
      <c r="D14" s="4985">
        <v>61.5</v>
      </c>
      <c r="E14" s="4986">
        <v>231475</v>
      </c>
      <c r="F14" s="4985">
        <v>43</v>
      </c>
      <c r="G14" s="4986">
        <v>157366</v>
      </c>
      <c r="H14" s="1485">
        <f t="shared" si="0"/>
        <v>104.5</v>
      </c>
      <c r="I14" s="1486">
        <f t="shared" si="1"/>
        <v>388841</v>
      </c>
      <c r="J14" s="4985">
        <v>40.9</v>
      </c>
      <c r="K14" s="4986">
        <v>156519</v>
      </c>
      <c r="L14" s="4895">
        <f t="shared" si="20"/>
        <v>145.4</v>
      </c>
      <c r="M14" s="4982">
        <f t="shared" si="2"/>
        <v>545360</v>
      </c>
      <c r="N14" s="4985">
        <v>41.6</v>
      </c>
      <c r="O14" s="4986">
        <v>157151</v>
      </c>
      <c r="P14" s="1548">
        <f t="shared" si="3"/>
        <v>187</v>
      </c>
      <c r="Q14" s="1548">
        <f t="shared" si="4"/>
        <v>702511</v>
      </c>
      <c r="R14" s="4985">
        <v>31.5</v>
      </c>
      <c r="S14" s="4986">
        <v>118600.1</v>
      </c>
      <c r="T14" s="1548">
        <f t="shared" si="5"/>
        <v>218.5</v>
      </c>
      <c r="U14" s="1548">
        <f t="shared" si="6"/>
        <v>821111.1</v>
      </c>
      <c r="V14" s="4985">
        <v>18.8</v>
      </c>
      <c r="W14" s="4986">
        <v>71715.3</v>
      </c>
      <c r="X14" s="4895">
        <f t="shared" si="7"/>
        <v>91.899999999999991</v>
      </c>
      <c r="Y14" s="4983">
        <f t="shared" si="8"/>
        <v>347466.39999999997</v>
      </c>
      <c r="Z14" s="4897">
        <f t="shared" si="9"/>
        <v>237.3</v>
      </c>
      <c r="AA14" s="4893">
        <f t="shared" si="10"/>
        <v>892826.39999999991</v>
      </c>
      <c r="AB14" s="4985">
        <v>50.5</v>
      </c>
      <c r="AC14" s="4986">
        <v>189847</v>
      </c>
      <c r="AD14" s="1485">
        <f t="shared" ref="AD14:AE20" si="41">Z14+AB14</f>
        <v>287.8</v>
      </c>
      <c r="AE14" s="1548">
        <f t="shared" si="41"/>
        <v>1082673.3999999999</v>
      </c>
      <c r="AF14" s="4985">
        <v>34.799999999999997</v>
      </c>
      <c r="AG14" s="4986">
        <v>131320</v>
      </c>
      <c r="AH14" s="1485">
        <f t="shared" ref="AH14:AI20" si="42">AD14+AF14</f>
        <v>322.60000000000002</v>
      </c>
      <c r="AI14" s="1548">
        <f t="shared" si="42"/>
        <v>1213993.3999999999</v>
      </c>
      <c r="AJ14" s="4985">
        <v>59.4</v>
      </c>
      <c r="AK14" s="4986">
        <v>215217</v>
      </c>
      <c r="AL14" s="4895">
        <f t="shared" ref="AL14:AM20" si="43">+AB14+AF14+AJ14</f>
        <v>144.69999999999999</v>
      </c>
      <c r="AM14" s="4982">
        <f t="shared" si="43"/>
        <v>536384</v>
      </c>
      <c r="AN14" s="1485">
        <f t="shared" si="14"/>
        <v>382</v>
      </c>
      <c r="AO14" s="1548">
        <f t="shared" si="14"/>
        <v>1429210.4</v>
      </c>
      <c r="AP14" s="4985">
        <v>53.7</v>
      </c>
      <c r="AQ14" s="4986">
        <v>206132</v>
      </c>
      <c r="AR14" s="1485">
        <f t="shared" ref="AR14:AS20" si="44">AN14+AP14</f>
        <v>435.7</v>
      </c>
      <c r="AS14" s="1548">
        <f t="shared" si="44"/>
        <v>1635342.4</v>
      </c>
      <c r="AT14" s="4987">
        <v>58.3</v>
      </c>
      <c r="AU14" s="4986">
        <v>216779</v>
      </c>
      <c r="AV14" s="1485">
        <f t="shared" ref="AV14:AW20" si="45">AR14+AT14</f>
        <v>494</v>
      </c>
      <c r="AW14" s="1548">
        <f t="shared" si="45"/>
        <v>1852121.4</v>
      </c>
      <c r="AX14" s="4987">
        <v>59.3</v>
      </c>
      <c r="AY14" s="4986">
        <v>218777</v>
      </c>
      <c r="AZ14" s="4895">
        <f t="shared" ref="AZ14:BA20" si="46">+AP14+AT14+AX14</f>
        <v>171.3</v>
      </c>
      <c r="BA14" s="4983">
        <f t="shared" si="46"/>
        <v>641688</v>
      </c>
      <c r="BB14" s="4897">
        <f t="shared" ref="BB14:BC20" si="47">AL14+AZ14</f>
        <v>316</v>
      </c>
      <c r="BC14" s="4893">
        <f t="shared" si="47"/>
        <v>1178072</v>
      </c>
      <c r="BD14" s="1485">
        <f t="shared" ref="BD14:BE20" si="48">AV14+AX14</f>
        <v>553.29999999999995</v>
      </c>
      <c r="BE14" s="1548">
        <f t="shared" si="48"/>
        <v>2070898.4</v>
      </c>
      <c r="BF14" s="533"/>
      <c r="BG14" s="533"/>
      <c r="BH14" s="533"/>
      <c r="BI14" s="533"/>
      <c r="BR14" s="533"/>
      <c r="BS14" s="533"/>
      <c r="BT14" s="533"/>
      <c r="BU14" s="533"/>
      <c r="BV14" s="533"/>
      <c r="BW14" s="533"/>
      <c r="BX14" s="533"/>
      <c r="BY14" s="533"/>
      <c r="BZ14" s="533"/>
      <c r="CA14" s="533"/>
      <c r="CB14" s="533"/>
      <c r="CC14" s="533"/>
    </row>
    <row r="15" spans="2:81" ht="21.95" customHeight="1" thickBot="1" x14ac:dyDescent="0.3">
      <c r="B15" s="5970"/>
      <c r="C15" s="1464" t="s">
        <v>1016</v>
      </c>
      <c r="D15" s="4994">
        <v>14.8</v>
      </c>
      <c r="E15" s="4995">
        <v>51623</v>
      </c>
      <c r="F15" s="4994">
        <v>31.6</v>
      </c>
      <c r="G15" s="4995">
        <v>97275</v>
      </c>
      <c r="H15" s="1485">
        <f t="shared" si="0"/>
        <v>46.400000000000006</v>
      </c>
      <c r="I15" s="1486">
        <f t="shared" si="1"/>
        <v>148898</v>
      </c>
      <c r="J15" s="4994">
        <v>29</v>
      </c>
      <c r="K15" s="4995">
        <v>108233</v>
      </c>
      <c r="L15" s="4895">
        <f t="shared" si="20"/>
        <v>75.400000000000006</v>
      </c>
      <c r="M15" s="4982">
        <f t="shared" si="2"/>
        <v>257131</v>
      </c>
      <c r="N15" s="4994">
        <v>34.5</v>
      </c>
      <c r="O15" s="4995">
        <v>140258.34</v>
      </c>
      <c r="P15" s="1548">
        <f t="shared" si="3"/>
        <v>109.9</v>
      </c>
      <c r="Q15" s="1548">
        <f t="shared" si="4"/>
        <v>397389.33999999997</v>
      </c>
      <c r="R15" s="4994">
        <v>39.799999999999997</v>
      </c>
      <c r="S15" s="4995">
        <v>157772.05000000002</v>
      </c>
      <c r="T15" s="1548">
        <f t="shared" si="5"/>
        <v>149.69999999999999</v>
      </c>
      <c r="U15" s="1548">
        <f t="shared" si="6"/>
        <v>555161.39</v>
      </c>
      <c r="V15" s="4994">
        <v>60.7</v>
      </c>
      <c r="W15" s="4995">
        <v>242125.96999999997</v>
      </c>
      <c r="X15" s="4895">
        <f t="shared" si="7"/>
        <v>135</v>
      </c>
      <c r="Y15" s="4983">
        <f t="shared" si="8"/>
        <v>540156.36</v>
      </c>
      <c r="Z15" s="4897">
        <f t="shared" si="9"/>
        <v>210.4</v>
      </c>
      <c r="AA15" s="4893">
        <f t="shared" si="10"/>
        <v>797287.36</v>
      </c>
      <c r="AB15" s="4994">
        <v>24.8</v>
      </c>
      <c r="AC15" s="4995">
        <v>100188</v>
      </c>
      <c r="AD15" s="1485">
        <f t="shared" si="41"/>
        <v>235.20000000000002</v>
      </c>
      <c r="AE15" s="1548">
        <f t="shared" si="41"/>
        <v>897475.36</v>
      </c>
      <c r="AF15" s="4994">
        <v>1</v>
      </c>
      <c r="AG15" s="4995">
        <v>4046</v>
      </c>
      <c r="AH15" s="1485">
        <f t="shared" si="42"/>
        <v>236.20000000000002</v>
      </c>
      <c r="AI15" s="1548">
        <f t="shared" si="42"/>
        <v>901521.36</v>
      </c>
      <c r="AJ15" s="4994">
        <v>9.1</v>
      </c>
      <c r="AK15" s="4995">
        <v>35871</v>
      </c>
      <c r="AL15" s="4895">
        <f t="shared" si="43"/>
        <v>34.9</v>
      </c>
      <c r="AM15" s="4982">
        <f t="shared" si="43"/>
        <v>140105</v>
      </c>
      <c r="AN15" s="1485">
        <f t="shared" si="14"/>
        <v>245.3</v>
      </c>
      <c r="AO15" s="1548">
        <f t="shared" si="14"/>
        <v>937392.36</v>
      </c>
      <c r="AP15" s="4994">
        <v>12</v>
      </c>
      <c r="AQ15" s="4995">
        <v>49259</v>
      </c>
      <c r="AR15" s="1485">
        <f t="shared" si="44"/>
        <v>257.3</v>
      </c>
      <c r="AS15" s="1548">
        <f t="shared" si="44"/>
        <v>986651.36</v>
      </c>
      <c r="AT15" s="4996">
        <v>6.1</v>
      </c>
      <c r="AU15" s="4995">
        <v>26362</v>
      </c>
      <c r="AV15" s="1485">
        <f t="shared" si="45"/>
        <v>263.40000000000003</v>
      </c>
      <c r="AW15" s="1548">
        <f t="shared" si="45"/>
        <v>1013013.36</v>
      </c>
      <c r="AX15" s="4996">
        <v>21.5</v>
      </c>
      <c r="AY15" s="4995">
        <v>86409</v>
      </c>
      <c r="AZ15" s="4895">
        <f t="shared" si="46"/>
        <v>39.6</v>
      </c>
      <c r="BA15" s="4983">
        <f t="shared" si="46"/>
        <v>162030</v>
      </c>
      <c r="BB15" s="4897">
        <f t="shared" si="47"/>
        <v>74.5</v>
      </c>
      <c r="BC15" s="4893">
        <f t="shared" si="47"/>
        <v>302135</v>
      </c>
      <c r="BD15" s="1485">
        <f t="shared" si="48"/>
        <v>284.90000000000003</v>
      </c>
      <c r="BE15" s="1548">
        <f t="shared" si="48"/>
        <v>1099422.3599999999</v>
      </c>
      <c r="BF15" s="533"/>
      <c r="BG15" s="533"/>
      <c r="BH15" s="533"/>
      <c r="BI15" s="533"/>
      <c r="BR15" s="533"/>
      <c r="BS15" s="533"/>
      <c r="BT15" s="533"/>
      <c r="BU15" s="533"/>
      <c r="BV15" s="533"/>
      <c r="BW15" s="533"/>
      <c r="BX15" s="533"/>
      <c r="BY15" s="533"/>
      <c r="BZ15" s="533"/>
      <c r="CA15" s="533"/>
      <c r="CB15" s="533"/>
      <c r="CC15" s="533"/>
    </row>
    <row r="16" spans="2:81" ht="21.95" customHeight="1" thickBot="1" x14ac:dyDescent="0.3">
      <c r="B16" s="5990" t="s">
        <v>1314</v>
      </c>
      <c r="C16" s="5356" t="s">
        <v>2272</v>
      </c>
      <c r="D16" s="5359">
        <v>17</v>
      </c>
      <c r="E16" s="5360">
        <v>69320</v>
      </c>
      <c r="F16" s="5359">
        <v>20</v>
      </c>
      <c r="G16" s="5360">
        <v>82611</v>
      </c>
      <c r="H16" s="1485">
        <f t="shared" si="0"/>
        <v>37</v>
      </c>
      <c r="I16" s="1486">
        <f t="shared" si="1"/>
        <v>151931</v>
      </c>
      <c r="J16" s="5359">
        <v>20</v>
      </c>
      <c r="K16" s="5360">
        <v>85063</v>
      </c>
      <c r="L16" s="4895">
        <f t="shared" ref="L16:L18" si="49">+D16+F16+J16</f>
        <v>57</v>
      </c>
      <c r="M16" s="4982">
        <f t="shared" ref="M16:M18" si="50">+E16+G16+K16</f>
        <v>236994</v>
      </c>
      <c r="N16" s="5359">
        <v>22</v>
      </c>
      <c r="O16" s="5360">
        <v>90744.8</v>
      </c>
      <c r="P16" s="1548">
        <f t="shared" si="3"/>
        <v>79</v>
      </c>
      <c r="Q16" s="1548">
        <f t="shared" si="4"/>
        <v>327738.8</v>
      </c>
      <c r="R16" s="5359">
        <v>18</v>
      </c>
      <c r="S16" s="5360">
        <v>74831.399999999994</v>
      </c>
      <c r="T16" s="1548">
        <f t="shared" si="5"/>
        <v>97</v>
      </c>
      <c r="U16" s="1548">
        <f t="shared" si="6"/>
        <v>402570.19999999995</v>
      </c>
      <c r="V16" s="5359">
        <v>18</v>
      </c>
      <c r="W16" s="5360">
        <v>73771.8</v>
      </c>
      <c r="X16" s="4895">
        <f t="shared" si="7"/>
        <v>58</v>
      </c>
      <c r="Y16" s="4983">
        <f t="shared" si="8"/>
        <v>239348</v>
      </c>
      <c r="Z16" s="4897">
        <f t="shared" si="9"/>
        <v>115</v>
      </c>
      <c r="AA16" s="4893">
        <f t="shared" si="10"/>
        <v>476342</v>
      </c>
      <c r="AB16" s="5359"/>
      <c r="AC16" s="5360"/>
      <c r="AD16" s="1485"/>
      <c r="AE16" s="1548"/>
      <c r="AF16" s="5359"/>
      <c r="AG16" s="5360"/>
      <c r="AH16" s="1485"/>
      <c r="AI16" s="1548"/>
      <c r="AJ16" s="5359"/>
      <c r="AK16" s="5360"/>
      <c r="AL16" s="4895"/>
      <c r="AM16" s="4982"/>
      <c r="AN16" s="1485"/>
      <c r="AO16" s="1548"/>
      <c r="AP16" s="5359"/>
      <c r="AQ16" s="5360"/>
      <c r="AR16" s="1485"/>
      <c r="AS16" s="1548"/>
      <c r="AT16" s="5361"/>
      <c r="AU16" s="5360"/>
      <c r="AV16" s="1485"/>
      <c r="AW16" s="1548"/>
      <c r="AX16" s="5361"/>
      <c r="AY16" s="5360"/>
      <c r="AZ16" s="4895"/>
      <c r="BA16" s="4983"/>
      <c r="BB16" s="4897"/>
      <c r="BC16" s="4893"/>
      <c r="BD16" s="1485"/>
      <c r="BE16" s="1548"/>
      <c r="BF16" s="533"/>
      <c r="BG16" s="533"/>
      <c r="BH16" s="533"/>
      <c r="BI16" s="533"/>
      <c r="BR16" s="533"/>
      <c r="BS16" s="533"/>
      <c r="BT16" s="533"/>
      <c r="BU16" s="533"/>
      <c r="BV16" s="533"/>
      <c r="BW16" s="533"/>
      <c r="BX16" s="533"/>
      <c r="BY16" s="533"/>
      <c r="BZ16" s="533"/>
      <c r="CA16" s="533"/>
      <c r="CB16" s="533"/>
      <c r="CC16" s="533"/>
    </row>
    <row r="17" spans="2:81" ht="21.95" customHeight="1" thickBot="1" x14ac:dyDescent="0.3">
      <c r="B17" s="5991"/>
      <c r="C17" s="5356" t="s">
        <v>1314</v>
      </c>
      <c r="D17" s="5359">
        <v>12</v>
      </c>
      <c r="E17" s="5360">
        <v>49705</v>
      </c>
      <c r="F17" s="5359">
        <v>16</v>
      </c>
      <c r="G17" s="5360">
        <v>60403</v>
      </c>
      <c r="H17" s="1485">
        <f t="shared" si="0"/>
        <v>28</v>
      </c>
      <c r="I17" s="1486">
        <f t="shared" si="1"/>
        <v>110108</v>
      </c>
      <c r="J17" s="5359">
        <v>16</v>
      </c>
      <c r="K17" s="5360">
        <v>66375</v>
      </c>
      <c r="L17" s="4895">
        <f t="shared" si="49"/>
        <v>44</v>
      </c>
      <c r="M17" s="4982">
        <f t="shared" si="50"/>
        <v>176483</v>
      </c>
      <c r="N17" s="5359">
        <v>16</v>
      </c>
      <c r="O17" s="5360">
        <v>65365.38</v>
      </c>
      <c r="P17" s="1548">
        <f t="shared" si="3"/>
        <v>60</v>
      </c>
      <c r="Q17" s="1548">
        <f t="shared" si="4"/>
        <v>241848.38</v>
      </c>
      <c r="R17" s="5359">
        <v>20</v>
      </c>
      <c r="S17" s="5360">
        <v>82261.61</v>
      </c>
      <c r="T17" s="1548">
        <f t="shared" si="5"/>
        <v>80</v>
      </c>
      <c r="U17" s="1548">
        <f t="shared" si="6"/>
        <v>324109.99</v>
      </c>
      <c r="V17" s="5359">
        <v>14</v>
      </c>
      <c r="W17" s="5360">
        <v>58497.16</v>
      </c>
      <c r="X17" s="4895">
        <f t="shared" si="7"/>
        <v>50</v>
      </c>
      <c r="Y17" s="4983">
        <f t="shared" si="8"/>
        <v>206124.15</v>
      </c>
      <c r="Z17" s="4897">
        <f t="shared" si="9"/>
        <v>94</v>
      </c>
      <c r="AA17" s="4893">
        <f t="shared" si="10"/>
        <v>382607.15</v>
      </c>
      <c r="AB17" s="5359"/>
      <c r="AC17" s="5360"/>
      <c r="AD17" s="1485"/>
      <c r="AE17" s="1548"/>
      <c r="AF17" s="5359"/>
      <c r="AG17" s="5360"/>
      <c r="AH17" s="1485"/>
      <c r="AI17" s="1548"/>
      <c r="AJ17" s="5359"/>
      <c r="AK17" s="5360"/>
      <c r="AL17" s="4895"/>
      <c r="AM17" s="4982"/>
      <c r="AN17" s="1485"/>
      <c r="AO17" s="1548"/>
      <c r="AP17" s="5359"/>
      <c r="AQ17" s="5360"/>
      <c r="AR17" s="1485"/>
      <c r="AS17" s="1548"/>
      <c r="AT17" s="5361"/>
      <c r="AU17" s="5360"/>
      <c r="AV17" s="1485"/>
      <c r="AW17" s="1548"/>
      <c r="AX17" s="5361"/>
      <c r="AY17" s="5360"/>
      <c r="AZ17" s="4895"/>
      <c r="BA17" s="4983"/>
      <c r="BB17" s="4897"/>
      <c r="BC17" s="4893"/>
      <c r="BD17" s="1485"/>
      <c r="BE17" s="1548"/>
      <c r="BF17" s="533"/>
      <c r="BG17" s="533"/>
      <c r="BH17" s="533"/>
      <c r="BI17" s="533"/>
      <c r="BR17" s="533"/>
      <c r="BS17" s="533"/>
      <c r="BT17" s="533"/>
      <c r="BU17" s="533"/>
      <c r="BV17" s="533"/>
      <c r="BW17" s="533"/>
      <c r="BX17" s="533"/>
      <c r="BY17" s="533"/>
      <c r="BZ17" s="533"/>
      <c r="CA17" s="533"/>
      <c r="CB17" s="533"/>
      <c r="CC17" s="533"/>
    </row>
    <row r="18" spans="2:81" ht="21.95" customHeight="1" thickBot="1" x14ac:dyDescent="0.35">
      <c r="B18" s="5358"/>
      <c r="C18" s="5357"/>
      <c r="D18" s="5359"/>
      <c r="E18" s="5360"/>
      <c r="F18" s="5359"/>
      <c r="G18" s="5360"/>
      <c r="H18" s="1485"/>
      <c r="I18" s="1486"/>
      <c r="J18" s="5359"/>
      <c r="K18" s="5360"/>
      <c r="L18" s="4895">
        <f t="shared" si="49"/>
        <v>0</v>
      </c>
      <c r="M18" s="4982">
        <f t="shared" si="50"/>
        <v>0</v>
      </c>
      <c r="N18" s="5359"/>
      <c r="O18" s="5360"/>
      <c r="P18" s="1548">
        <f t="shared" si="3"/>
        <v>0</v>
      </c>
      <c r="Q18" s="1548">
        <f t="shared" si="4"/>
        <v>0</v>
      </c>
      <c r="R18" s="5359"/>
      <c r="S18" s="5360"/>
      <c r="T18" s="1548">
        <f t="shared" si="5"/>
        <v>0</v>
      </c>
      <c r="U18" s="1548">
        <f t="shared" si="6"/>
        <v>0</v>
      </c>
      <c r="V18" s="5359"/>
      <c r="W18" s="5360"/>
      <c r="X18" s="4895">
        <f t="shared" si="7"/>
        <v>0</v>
      </c>
      <c r="Y18" s="4983">
        <f t="shared" si="8"/>
        <v>0</v>
      </c>
      <c r="Z18" s="4897">
        <f t="shared" si="9"/>
        <v>0</v>
      </c>
      <c r="AA18" s="4893">
        <f t="shared" si="10"/>
        <v>0</v>
      </c>
      <c r="AB18" s="5359"/>
      <c r="AC18" s="5360"/>
      <c r="AD18" s="1485"/>
      <c r="AE18" s="1548"/>
      <c r="AF18" s="5359"/>
      <c r="AG18" s="5360"/>
      <c r="AH18" s="1485"/>
      <c r="AI18" s="1548"/>
      <c r="AJ18" s="5359"/>
      <c r="AK18" s="5360"/>
      <c r="AL18" s="4895"/>
      <c r="AM18" s="4982"/>
      <c r="AN18" s="1485"/>
      <c r="AO18" s="1548"/>
      <c r="AP18" s="5359"/>
      <c r="AQ18" s="5360"/>
      <c r="AR18" s="1485"/>
      <c r="AS18" s="1548"/>
      <c r="AT18" s="5361"/>
      <c r="AU18" s="5360"/>
      <c r="AV18" s="1485"/>
      <c r="AW18" s="1548"/>
      <c r="AX18" s="5361"/>
      <c r="AY18" s="5360"/>
      <c r="AZ18" s="4895"/>
      <c r="BA18" s="4983"/>
      <c r="BB18" s="4897"/>
      <c r="BC18" s="4893"/>
      <c r="BD18" s="1485"/>
      <c r="BE18" s="1548"/>
      <c r="BF18" s="533"/>
      <c r="BG18" s="533"/>
      <c r="BH18" s="533"/>
      <c r="BI18" s="533"/>
      <c r="BR18" s="533"/>
      <c r="BS18" s="533"/>
      <c r="BT18" s="533"/>
      <c r="BU18" s="533"/>
      <c r="BV18" s="533"/>
      <c r="BW18" s="533"/>
      <c r="BX18" s="533"/>
      <c r="BY18" s="533"/>
      <c r="BZ18" s="533"/>
      <c r="CA18" s="533"/>
      <c r="CB18" s="533"/>
      <c r="CC18" s="533"/>
    </row>
    <row r="19" spans="2:81" ht="21.95" customHeight="1" thickBot="1" x14ac:dyDescent="0.3">
      <c r="B19" s="5971" t="s">
        <v>1226</v>
      </c>
      <c r="C19" s="1460" t="s">
        <v>1020</v>
      </c>
      <c r="D19" s="1474">
        <v>6</v>
      </c>
      <c r="E19" s="1481">
        <v>24753</v>
      </c>
      <c r="F19" s="1474">
        <v>7</v>
      </c>
      <c r="G19" s="1481">
        <v>28976</v>
      </c>
      <c r="H19" s="1485">
        <f t="shared" si="0"/>
        <v>13</v>
      </c>
      <c r="I19" s="1486">
        <f t="shared" si="1"/>
        <v>53729</v>
      </c>
      <c r="J19" s="1474">
        <v>5</v>
      </c>
      <c r="K19" s="1481">
        <v>20609</v>
      </c>
      <c r="L19" s="4895">
        <f t="shared" si="20"/>
        <v>18</v>
      </c>
      <c r="M19" s="4982">
        <f t="shared" si="2"/>
        <v>74338</v>
      </c>
      <c r="N19" s="1474">
        <v>10</v>
      </c>
      <c r="O19" s="1481">
        <v>41059.71</v>
      </c>
      <c r="P19" s="1548">
        <f t="shared" ref="P19:Q69" si="51">L19+N19</f>
        <v>28</v>
      </c>
      <c r="Q19" s="1548">
        <f t="shared" si="51"/>
        <v>115397.70999999999</v>
      </c>
      <c r="R19" s="1474">
        <v>8</v>
      </c>
      <c r="S19" s="1481">
        <v>33032.14</v>
      </c>
      <c r="T19" s="1548">
        <f t="shared" si="5"/>
        <v>36</v>
      </c>
      <c r="U19" s="1548">
        <f t="shared" si="6"/>
        <v>148429.84999999998</v>
      </c>
      <c r="V19" s="1474">
        <v>8</v>
      </c>
      <c r="W19" s="1481">
        <v>32927.870000000003</v>
      </c>
      <c r="X19" s="4895">
        <f t="shared" si="7"/>
        <v>26</v>
      </c>
      <c r="Y19" s="4983">
        <f t="shared" si="8"/>
        <v>107019.72</v>
      </c>
      <c r="Z19" s="4897">
        <f t="shared" si="9"/>
        <v>44</v>
      </c>
      <c r="AA19" s="4893">
        <f t="shared" si="10"/>
        <v>181357.72</v>
      </c>
      <c r="AB19" s="1474">
        <v>9</v>
      </c>
      <c r="AC19" s="1481">
        <v>37254</v>
      </c>
      <c r="AD19" s="1485">
        <f t="shared" si="41"/>
        <v>53</v>
      </c>
      <c r="AE19" s="1548">
        <f t="shared" si="41"/>
        <v>218611.72</v>
      </c>
      <c r="AF19" s="1474">
        <v>0</v>
      </c>
      <c r="AG19" s="1481">
        <v>0</v>
      </c>
      <c r="AH19" s="1485">
        <f t="shared" si="42"/>
        <v>53</v>
      </c>
      <c r="AI19" s="1548">
        <f t="shared" si="42"/>
        <v>218611.72</v>
      </c>
      <c r="AJ19" s="1474">
        <v>4</v>
      </c>
      <c r="AK19" s="1481">
        <v>16520</v>
      </c>
      <c r="AL19" s="4895">
        <f t="shared" si="43"/>
        <v>13</v>
      </c>
      <c r="AM19" s="4982">
        <f t="shared" si="43"/>
        <v>53774</v>
      </c>
      <c r="AN19" s="1485">
        <f t="shared" si="14"/>
        <v>57</v>
      </c>
      <c r="AO19" s="1548">
        <f t="shared" si="14"/>
        <v>235131.72</v>
      </c>
      <c r="AP19" s="1474">
        <v>11</v>
      </c>
      <c r="AQ19" s="1481">
        <v>45255</v>
      </c>
      <c r="AR19" s="1485">
        <f t="shared" si="44"/>
        <v>68</v>
      </c>
      <c r="AS19" s="1548">
        <f t="shared" si="44"/>
        <v>280386.71999999997</v>
      </c>
      <c r="AT19" s="1521">
        <v>6</v>
      </c>
      <c r="AU19" s="1481">
        <v>24764</v>
      </c>
      <c r="AV19" s="1485">
        <f t="shared" si="45"/>
        <v>74</v>
      </c>
      <c r="AW19" s="1548">
        <f t="shared" si="45"/>
        <v>305150.71999999997</v>
      </c>
      <c r="AX19" s="1521">
        <v>10</v>
      </c>
      <c r="AY19" s="1481">
        <v>41398</v>
      </c>
      <c r="AZ19" s="4895">
        <f t="shared" si="46"/>
        <v>27</v>
      </c>
      <c r="BA19" s="4983">
        <f t="shared" si="46"/>
        <v>111417</v>
      </c>
      <c r="BB19" s="4897">
        <f t="shared" si="47"/>
        <v>40</v>
      </c>
      <c r="BC19" s="4893">
        <f t="shared" si="47"/>
        <v>165191</v>
      </c>
      <c r="BD19" s="1485">
        <f t="shared" si="48"/>
        <v>84</v>
      </c>
      <c r="BE19" s="1548">
        <f t="shared" si="48"/>
        <v>346548.72</v>
      </c>
      <c r="BF19" s="533"/>
      <c r="BG19" s="533"/>
      <c r="BH19" s="533"/>
      <c r="BI19" s="533"/>
      <c r="BR19" s="533"/>
      <c r="BS19" s="533"/>
      <c r="BT19" s="533"/>
      <c r="BU19" s="533"/>
      <c r="BV19" s="533"/>
      <c r="BW19" s="533"/>
      <c r="BX19" s="533"/>
      <c r="BY19" s="533"/>
      <c r="BZ19" s="533"/>
      <c r="CA19" s="533"/>
      <c r="CB19" s="533"/>
      <c r="CC19" s="533"/>
    </row>
    <row r="20" spans="2:81" ht="21.95" customHeight="1" thickBot="1" x14ac:dyDescent="0.3">
      <c r="B20" s="5972"/>
      <c r="C20" s="4984" t="s">
        <v>1021</v>
      </c>
      <c r="D20" s="4985">
        <v>9</v>
      </c>
      <c r="E20" s="4986">
        <v>35195</v>
      </c>
      <c r="F20" s="4985">
        <v>9</v>
      </c>
      <c r="G20" s="4986">
        <v>34601</v>
      </c>
      <c r="H20" s="1485">
        <f t="shared" si="0"/>
        <v>18</v>
      </c>
      <c r="I20" s="1486">
        <f t="shared" si="1"/>
        <v>69796</v>
      </c>
      <c r="J20" s="4985">
        <v>8</v>
      </c>
      <c r="K20" s="4986">
        <v>31490</v>
      </c>
      <c r="L20" s="4895">
        <f t="shared" si="20"/>
        <v>26</v>
      </c>
      <c r="M20" s="4982">
        <f t="shared" si="2"/>
        <v>101286</v>
      </c>
      <c r="N20" s="4985">
        <v>9</v>
      </c>
      <c r="O20" s="4986">
        <v>31875</v>
      </c>
      <c r="P20" s="1548">
        <f t="shared" si="51"/>
        <v>35</v>
      </c>
      <c r="Q20" s="1548">
        <f t="shared" si="51"/>
        <v>133161</v>
      </c>
      <c r="R20" s="4985">
        <v>7</v>
      </c>
      <c r="S20" s="4986">
        <v>27437.95</v>
      </c>
      <c r="T20" s="1548">
        <f t="shared" si="5"/>
        <v>42</v>
      </c>
      <c r="U20" s="1548">
        <f t="shared" si="6"/>
        <v>160598.95000000001</v>
      </c>
      <c r="V20" s="4985">
        <v>6</v>
      </c>
      <c r="W20" s="4986">
        <v>23636</v>
      </c>
      <c r="X20" s="4895">
        <f t="shared" si="7"/>
        <v>22</v>
      </c>
      <c r="Y20" s="4983">
        <f t="shared" si="8"/>
        <v>82948.95</v>
      </c>
      <c r="Z20" s="4897">
        <f t="shared" si="9"/>
        <v>48</v>
      </c>
      <c r="AA20" s="4893">
        <f t="shared" si="10"/>
        <v>184234.95</v>
      </c>
      <c r="AB20" s="4985">
        <v>7</v>
      </c>
      <c r="AC20" s="4986">
        <v>25788</v>
      </c>
      <c r="AD20" s="1485">
        <f t="shared" si="41"/>
        <v>55</v>
      </c>
      <c r="AE20" s="1548">
        <f t="shared" si="41"/>
        <v>210022.95</v>
      </c>
      <c r="AF20" s="4985">
        <v>0</v>
      </c>
      <c r="AG20" s="4986">
        <v>0</v>
      </c>
      <c r="AH20" s="1485">
        <f t="shared" si="42"/>
        <v>55</v>
      </c>
      <c r="AI20" s="1548">
        <f t="shared" si="42"/>
        <v>210022.95</v>
      </c>
      <c r="AJ20" s="4985">
        <v>9</v>
      </c>
      <c r="AK20" s="4986">
        <v>34379</v>
      </c>
      <c r="AL20" s="4895">
        <f t="shared" si="43"/>
        <v>16</v>
      </c>
      <c r="AM20" s="4982">
        <f t="shared" si="43"/>
        <v>60167</v>
      </c>
      <c r="AN20" s="1485">
        <f t="shared" si="14"/>
        <v>64</v>
      </c>
      <c r="AO20" s="1548">
        <f t="shared" si="14"/>
        <v>244401.95</v>
      </c>
      <c r="AP20" s="4985">
        <v>6</v>
      </c>
      <c r="AQ20" s="4986">
        <v>23614</v>
      </c>
      <c r="AR20" s="1485">
        <f t="shared" si="44"/>
        <v>70</v>
      </c>
      <c r="AS20" s="1548">
        <f t="shared" si="44"/>
        <v>268015.95</v>
      </c>
      <c r="AT20" s="4987">
        <v>6</v>
      </c>
      <c r="AU20" s="4986">
        <v>23130</v>
      </c>
      <c r="AV20" s="1485">
        <f t="shared" si="45"/>
        <v>76</v>
      </c>
      <c r="AW20" s="1548">
        <f t="shared" si="45"/>
        <v>291145.95</v>
      </c>
      <c r="AX20" s="4987">
        <v>7</v>
      </c>
      <c r="AY20" s="4986">
        <v>26679</v>
      </c>
      <c r="AZ20" s="4895">
        <f t="shared" si="46"/>
        <v>19</v>
      </c>
      <c r="BA20" s="4983">
        <f t="shared" si="46"/>
        <v>73423</v>
      </c>
      <c r="BB20" s="4897">
        <f t="shared" si="47"/>
        <v>35</v>
      </c>
      <c r="BC20" s="4893">
        <f t="shared" si="47"/>
        <v>133590</v>
      </c>
      <c r="BD20" s="1485">
        <f t="shared" si="48"/>
        <v>83</v>
      </c>
      <c r="BE20" s="1548">
        <f t="shared" si="48"/>
        <v>317824.95</v>
      </c>
      <c r="BF20" s="533"/>
      <c r="BG20" s="533"/>
      <c r="BH20" s="533"/>
      <c r="BI20" s="533"/>
      <c r="BR20" s="533"/>
      <c r="BS20" s="533"/>
      <c r="BT20" s="533"/>
      <c r="BU20" s="533"/>
      <c r="BV20" s="533"/>
      <c r="BW20" s="533"/>
      <c r="BX20" s="533"/>
      <c r="BY20" s="533"/>
      <c r="BZ20" s="533"/>
      <c r="CA20" s="533"/>
      <c r="CB20" s="533"/>
      <c r="CC20" s="533"/>
    </row>
    <row r="21" spans="2:81" ht="21.95" customHeight="1" thickBot="1" x14ac:dyDescent="0.3">
      <c r="B21" s="5973"/>
      <c r="C21" s="4998" t="s">
        <v>2</v>
      </c>
      <c r="D21" s="4999">
        <f>SUM(D19:D20)</f>
        <v>15</v>
      </c>
      <c r="E21" s="4999">
        <f t="shared" ref="E21:BE21" si="52">SUM(E19:E20)</f>
        <v>59948</v>
      </c>
      <c r="F21" s="4999">
        <f>SUM(F19:F20)</f>
        <v>16</v>
      </c>
      <c r="G21" s="4999">
        <f t="shared" ref="G21" si="53">SUM(G19:G20)</f>
        <v>63577</v>
      </c>
      <c r="H21" s="1485">
        <f t="shared" si="0"/>
        <v>31</v>
      </c>
      <c r="I21" s="1486">
        <f t="shared" si="1"/>
        <v>123525</v>
      </c>
      <c r="J21" s="4999">
        <f>SUM(J19:J20)</f>
        <v>13</v>
      </c>
      <c r="K21" s="4999">
        <f t="shared" ref="K21" si="54">SUM(K19:K20)</f>
        <v>52099</v>
      </c>
      <c r="L21" s="5000">
        <f t="shared" si="52"/>
        <v>44</v>
      </c>
      <c r="M21" s="5000">
        <f t="shared" si="52"/>
        <v>175624</v>
      </c>
      <c r="N21" s="4999">
        <f>SUM(N19:N20)</f>
        <v>19</v>
      </c>
      <c r="O21" s="4999">
        <f t="shared" ref="O21" si="55">SUM(O19:O20)</f>
        <v>72934.709999999992</v>
      </c>
      <c r="P21" s="1548">
        <f t="shared" si="51"/>
        <v>63</v>
      </c>
      <c r="Q21" s="1548">
        <f t="shared" si="51"/>
        <v>248558.71</v>
      </c>
      <c r="R21" s="4999">
        <f>SUM(R19:R20)</f>
        <v>15</v>
      </c>
      <c r="S21" s="4999">
        <f t="shared" ref="S21" si="56">SUM(S19:S20)</f>
        <v>60470.09</v>
      </c>
      <c r="T21" s="1548">
        <f t="shared" si="5"/>
        <v>78</v>
      </c>
      <c r="U21" s="1548">
        <f t="shared" si="6"/>
        <v>309028.8</v>
      </c>
      <c r="V21" s="4999">
        <f>SUM(V19:V20)</f>
        <v>14</v>
      </c>
      <c r="W21" s="4999">
        <f t="shared" ref="W21" si="57">SUM(W19:W20)</f>
        <v>56563.87</v>
      </c>
      <c r="X21" s="5000">
        <f t="shared" si="7"/>
        <v>48</v>
      </c>
      <c r="Y21" s="5001">
        <f t="shared" si="8"/>
        <v>189968.66999999998</v>
      </c>
      <c r="Z21" s="4888">
        <f t="shared" si="9"/>
        <v>92</v>
      </c>
      <c r="AA21" s="4888">
        <f t="shared" si="10"/>
        <v>365592.67</v>
      </c>
      <c r="AB21" s="4999">
        <f t="shared" si="52"/>
        <v>16</v>
      </c>
      <c r="AC21" s="4999">
        <f t="shared" si="52"/>
        <v>63042</v>
      </c>
      <c r="AD21" s="4999">
        <f t="shared" si="52"/>
        <v>108</v>
      </c>
      <c r="AE21" s="4999">
        <f t="shared" si="52"/>
        <v>428634.67000000004</v>
      </c>
      <c r="AF21" s="4999">
        <f t="shared" si="52"/>
        <v>0</v>
      </c>
      <c r="AG21" s="4999">
        <f t="shared" si="52"/>
        <v>0</v>
      </c>
      <c r="AH21" s="4999">
        <f t="shared" si="52"/>
        <v>108</v>
      </c>
      <c r="AI21" s="4999">
        <f t="shared" si="52"/>
        <v>428634.67000000004</v>
      </c>
      <c r="AJ21" s="4999">
        <f t="shared" si="52"/>
        <v>13</v>
      </c>
      <c r="AK21" s="4999">
        <f t="shared" si="52"/>
        <v>50899</v>
      </c>
      <c r="AL21" s="4999">
        <f t="shared" si="52"/>
        <v>29</v>
      </c>
      <c r="AM21" s="4999">
        <f t="shared" si="52"/>
        <v>113941</v>
      </c>
      <c r="AN21" s="4999">
        <f t="shared" si="52"/>
        <v>121</v>
      </c>
      <c r="AO21" s="4999">
        <f t="shared" si="52"/>
        <v>479533.67000000004</v>
      </c>
      <c r="AP21" s="4999">
        <f t="shared" si="52"/>
        <v>17</v>
      </c>
      <c r="AQ21" s="4999">
        <f t="shared" si="52"/>
        <v>68869</v>
      </c>
      <c r="AR21" s="4999">
        <f t="shared" si="52"/>
        <v>138</v>
      </c>
      <c r="AS21" s="4999">
        <f t="shared" si="52"/>
        <v>548402.66999999993</v>
      </c>
      <c r="AT21" s="4999">
        <f t="shared" si="52"/>
        <v>12</v>
      </c>
      <c r="AU21" s="4999">
        <f t="shared" si="52"/>
        <v>47894</v>
      </c>
      <c r="AV21" s="4999">
        <f t="shared" si="52"/>
        <v>150</v>
      </c>
      <c r="AW21" s="4999">
        <f t="shared" si="52"/>
        <v>596296.66999999993</v>
      </c>
      <c r="AX21" s="4999">
        <f t="shared" si="52"/>
        <v>17</v>
      </c>
      <c r="AY21" s="4999">
        <f t="shared" si="52"/>
        <v>68077</v>
      </c>
      <c r="AZ21" s="4999">
        <f t="shared" si="52"/>
        <v>46</v>
      </c>
      <c r="BA21" s="5002">
        <f t="shared" si="52"/>
        <v>184840</v>
      </c>
      <c r="BB21" s="4887">
        <f t="shared" si="52"/>
        <v>75</v>
      </c>
      <c r="BC21" s="4887">
        <f t="shared" si="52"/>
        <v>298781</v>
      </c>
      <c r="BD21" s="4999">
        <f t="shared" si="52"/>
        <v>167</v>
      </c>
      <c r="BE21" s="4999">
        <f t="shared" si="52"/>
        <v>664373.66999999993</v>
      </c>
      <c r="BF21" s="533"/>
      <c r="BG21" s="533"/>
      <c r="BH21" s="533"/>
      <c r="BI21" s="533"/>
      <c r="BR21" s="533"/>
      <c r="BS21" s="533"/>
      <c r="BT21" s="533"/>
      <c r="BU21" s="533"/>
      <c r="BV21" s="533"/>
      <c r="BW21" s="533"/>
      <c r="BX21" s="533"/>
      <c r="BY21" s="533"/>
      <c r="BZ21" s="533"/>
      <c r="CA21" s="533"/>
      <c r="CB21" s="533"/>
      <c r="CC21" s="533"/>
    </row>
    <row r="22" spans="2:81" ht="21.95" customHeight="1" thickBot="1" x14ac:dyDescent="0.3">
      <c r="B22" s="5971" t="s">
        <v>1227</v>
      </c>
      <c r="C22" s="1609" t="s">
        <v>1020</v>
      </c>
      <c r="D22" s="1474">
        <v>0</v>
      </c>
      <c r="E22" s="1481">
        <v>0</v>
      </c>
      <c r="F22" s="1474">
        <v>0</v>
      </c>
      <c r="G22" s="1481">
        <v>0</v>
      </c>
      <c r="H22" s="1485">
        <f t="shared" si="0"/>
        <v>0</v>
      </c>
      <c r="I22" s="1486">
        <f t="shared" si="1"/>
        <v>0</v>
      </c>
      <c r="J22" s="1474">
        <v>0</v>
      </c>
      <c r="K22" s="1481">
        <v>0</v>
      </c>
      <c r="L22" s="4895">
        <f t="shared" si="20"/>
        <v>0</v>
      </c>
      <c r="M22" s="4982">
        <f t="shared" si="2"/>
        <v>0</v>
      </c>
      <c r="N22" s="1474"/>
      <c r="O22" s="1481"/>
      <c r="P22" s="1548">
        <f t="shared" si="51"/>
        <v>0</v>
      </c>
      <c r="Q22" s="1548">
        <f t="shared" si="51"/>
        <v>0</v>
      </c>
      <c r="R22" s="1474"/>
      <c r="S22" s="1481"/>
      <c r="T22" s="1548">
        <f t="shared" si="5"/>
        <v>0</v>
      </c>
      <c r="U22" s="1548">
        <f t="shared" si="6"/>
        <v>0</v>
      </c>
      <c r="V22" s="1474"/>
      <c r="W22" s="1481"/>
      <c r="X22" s="4895">
        <f t="shared" si="7"/>
        <v>0</v>
      </c>
      <c r="Y22" s="4983">
        <f t="shared" si="8"/>
        <v>0</v>
      </c>
      <c r="Z22" s="4897">
        <f t="shared" si="9"/>
        <v>0</v>
      </c>
      <c r="AA22" s="4893">
        <f t="shared" si="10"/>
        <v>0</v>
      </c>
      <c r="AB22" s="1474"/>
      <c r="AC22" s="1481"/>
      <c r="AD22" s="2105">
        <f t="shared" ref="AD22:AE25" si="58">Z22+AB22</f>
        <v>0</v>
      </c>
      <c r="AE22" s="1548">
        <f t="shared" si="58"/>
        <v>0</v>
      </c>
      <c r="AF22" s="1474"/>
      <c r="AG22" s="1481"/>
      <c r="AH22" s="2105">
        <f t="shared" ref="AH22:AI25" si="59">AD22+AF22</f>
        <v>0</v>
      </c>
      <c r="AI22" s="1548">
        <f t="shared" si="59"/>
        <v>0</v>
      </c>
      <c r="AJ22" s="1474">
        <v>0</v>
      </c>
      <c r="AK22" s="1481">
        <v>0</v>
      </c>
      <c r="AL22" s="4895">
        <f t="shared" ref="AL22:AM25" si="60">+AB22+AF22+AJ22</f>
        <v>0</v>
      </c>
      <c r="AM22" s="4982">
        <f t="shared" si="60"/>
        <v>0</v>
      </c>
      <c r="AN22" s="1485">
        <f t="shared" si="14"/>
        <v>0</v>
      </c>
      <c r="AO22" s="1548">
        <f t="shared" si="14"/>
        <v>0</v>
      </c>
      <c r="AP22" s="1474">
        <v>0</v>
      </c>
      <c r="AQ22" s="1481">
        <v>0</v>
      </c>
      <c r="AR22" s="2105">
        <f t="shared" ref="AR22:AS25" si="61">AN22+AP22</f>
        <v>0</v>
      </c>
      <c r="AS22" s="1548">
        <f t="shared" si="61"/>
        <v>0</v>
      </c>
      <c r="AT22" s="1521">
        <v>0</v>
      </c>
      <c r="AU22" s="1481">
        <v>0</v>
      </c>
      <c r="AV22" s="2105">
        <f t="shared" ref="AV22:AW25" si="62">AR22+AT22</f>
        <v>0</v>
      </c>
      <c r="AW22" s="1548">
        <f t="shared" si="62"/>
        <v>0</v>
      </c>
      <c r="AX22" s="1521"/>
      <c r="AY22" s="1481"/>
      <c r="AZ22" s="4895">
        <f t="shared" ref="AZ22:BA25" si="63">+AP22+AT22+AX22</f>
        <v>0</v>
      </c>
      <c r="BA22" s="4983">
        <f t="shared" si="63"/>
        <v>0</v>
      </c>
      <c r="BB22" s="4897">
        <f t="shared" ref="BB22:BC25" si="64">AL22+AZ22</f>
        <v>0</v>
      </c>
      <c r="BC22" s="4893">
        <f t="shared" si="64"/>
        <v>0</v>
      </c>
      <c r="BD22" s="1485">
        <f t="shared" ref="BD22:BE25" si="65">AV22+AX22</f>
        <v>0</v>
      </c>
      <c r="BE22" s="1548">
        <f t="shared" si="65"/>
        <v>0</v>
      </c>
      <c r="BF22" s="533"/>
      <c r="BG22" s="533"/>
      <c r="BH22" s="533"/>
      <c r="BI22" s="533"/>
      <c r="BR22" s="533"/>
      <c r="BS22" s="533"/>
      <c r="BT22" s="533"/>
      <c r="BU22" s="533"/>
      <c r="BV22" s="533"/>
      <c r="BW22" s="533"/>
      <c r="BX22" s="533"/>
      <c r="BY22" s="533"/>
      <c r="BZ22" s="533"/>
      <c r="CA22" s="533"/>
      <c r="CB22" s="533"/>
      <c r="CC22" s="533"/>
    </row>
    <row r="23" spans="2:81" ht="21.95" customHeight="1" thickBot="1" x14ac:dyDescent="0.3">
      <c r="B23" s="5972"/>
      <c r="C23" s="5003" t="s">
        <v>1021</v>
      </c>
      <c r="D23" s="4985">
        <v>0</v>
      </c>
      <c r="E23" s="4986">
        <v>0</v>
      </c>
      <c r="F23" s="4985">
        <v>0</v>
      </c>
      <c r="G23" s="4986">
        <v>0</v>
      </c>
      <c r="H23" s="1485">
        <f t="shared" si="0"/>
        <v>0</v>
      </c>
      <c r="I23" s="1486">
        <f t="shared" si="1"/>
        <v>0</v>
      </c>
      <c r="J23" s="4985">
        <v>0</v>
      </c>
      <c r="K23" s="4986">
        <v>0</v>
      </c>
      <c r="L23" s="4895">
        <f t="shared" si="20"/>
        <v>0</v>
      </c>
      <c r="M23" s="4982">
        <f t="shared" si="2"/>
        <v>0</v>
      </c>
      <c r="N23" s="4985"/>
      <c r="O23" s="4986"/>
      <c r="P23" s="1548">
        <f t="shared" si="51"/>
        <v>0</v>
      </c>
      <c r="Q23" s="1548">
        <f t="shared" si="51"/>
        <v>0</v>
      </c>
      <c r="R23" s="4985"/>
      <c r="S23" s="4986"/>
      <c r="T23" s="1548">
        <f t="shared" si="5"/>
        <v>0</v>
      </c>
      <c r="U23" s="1548">
        <f t="shared" si="6"/>
        <v>0</v>
      </c>
      <c r="V23" s="4985"/>
      <c r="W23" s="4986"/>
      <c r="X23" s="4895">
        <f t="shared" si="7"/>
        <v>0</v>
      </c>
      <c r="Y23" s="4983">
        <f t="shared" si="8"/>
        <v>0</v>
      </c>
      <c r="Z23" s="4897">
        <f t="shared" si="9"/>
        <v>0</v>
      </c>
      <c r="AA23" s="4893">
        <f t="shared" si="10"/>
        <v>0</v>
      </c>
      <c r="AB23" s="4985"/>
      <c r="AC23" s="4986"/>
      <c r="AD23" s="2105">
        <f t="shared" si="58"/>
        <v>0</v>
      </c>
      <c r="AE23" s="1548">
        <f t="shared" si="58"/>
        <v>0</v>
      </c>
      <c r="AF23" s="4985"/>
      <c r="AG23" s="4986"/>
      <c r="AH23" s="2105">
        <f t="shared" si="59"/>
        <v>0</v>
      </c>
      <c r="AI23" s="1548">
        <f t="shared" si="59"/>
        <v>0</v>
      </c>
      <c r="AJ23" s="4985">
        <v>0</v>
      </c>
      <c r="AK23" s="4986">
        <v>0</v>
      </c>
      <c r="AL23" s="4895">
        <f t="shared" si="60"/>
        <v>0</v>
      </c>
      <c r="AM23" s="4982">
        <f t="shared" si="60"/>
        <v>0</v>
      </c>
      <c r="AN23" s="1485">
        <f t="shared" si="14"/>
        <v>0</v>
      </c>
      <c r="AO23" s="1548">
        <f t="shared" si="14"/>
        <v>0</v>
      </c>
      <c r="AP23" s="4985">
        <v>0</v>
      </c>
      <c r="AQ23" s="4986">
        <v>0</v>
      </c>
      <c r="AR23" s="2105">
        <f t="shared" si="61"/>
        <v>0</v>
      </c>
      <c r="AS23" s="1548">
        <f t="shared" si="61"/>
        <v>0</v>
      </c>
      <c r="AT23" s="4987">
        <v>0</v>
      </c>
      <c r="AU23" s="4986">
        <v>0</v>
      </c>
      <c r="AV23" s="2105">
        <f t="shared" si="62"/>
        <v>0</v>
      </c>
      <c r="AW23" s="1548">
        <f t="shared" si="62"/>
        <v>0</v>
      </c>
      <c r="AX23" s="4987"/>
      <c r="AY23" s="4986"/>
      <c r="AZ23" s="4895">
        <f t="shared" si="63"/>
        <v>0</v>
      </c>
      <c r="BA23" s="4983">
        <f t="shared" si="63"/>
        <v>0</v>
      </c>
      <c r="BB23" s="4897">
        <f t="shared" si="64"/>
        <v>0</v>
      </c>
      <c r="BC23" s="4893">
        <f t="shared" si="64"/>
        <v>0</v>
      </c>
      <c r="BD23" s="1485">
        <f t="shared" si="65"/>
        <v>0</v>
      </c>
      <c r="BE23" s="1548">
        <f t="shared" si="65"/>
        <v>0</v>
      </c>
      <c r="BF23" s="533"/>
      <c r="BG23" s="533"/>
      <c r="BH23" s="533"/>
      <c r="BI23" s="533"/>
      <c r="BR23" s="533"/>
      <c r="BS23" s="533"/>
      <c r="BT23" s="533"/>
      <c r="BU23" s="533"/>
      <c r="BV23" s="533"/>
      <c r="BW23" s="533"/>
      <c r="BX23" s="533"/>
      <c r="BY23" s="533"/>
      <c r="BZ23" s="533"/>
      <c r="CA23" s="533"/>
      <c r="CB23" s="533"/>
      <c r="CC23" s="533"/>
    </row>
    <row r="24" spans="2:81" ht="21.95" customHeight="1" thickBot="1" x14ac:dyDescent="0.3">
      <c r="B24" s="5972"/>
      <c r="C24" s="5003" t="s">
        <v>1127</v>
      </c>
      <c r="D24" s="4985">
        <v>0</v>
      </c>
      <c r="E24" s="4986">
        <v>0</v>
      </c>
      <c r="F24" s="4985"/>
      <c r="G24" s="4986"/>
      <c r="H24" s="1485">
        <f t="shared" si="0"/>
        <v>0</v>
      </c>
      <c r="I24" s="1486">
        <f t="shared" si="1"/>
        <v>0</v>
      </c>
      <c r="J24" s="4985">
        <v>0</v>
      </c>
      <c r="K24" s="4986">
        <v>0</v>
      </c>
      <c r="L24" s="4895">
        <f t="shared" si="20"/>
        <v>0</v>
      </c>
      <c r="M24" s="4982">
        <f t="shared" si="2"/>
        <v>0</v>
      </c>
      <c r="N24" s="4985">
        <v>0</v>
      </c>
      <c r="O24" s="4986">
        <v>0</v>
      </c>
      <c r="P24" s="1548">
        <f t="shared" si="51"/>
        <v>0</v>
      </c>
      <c r="Q24" s="1548">
        <f t="shared" si="51"/>
        <v>0</v>
      </c>
      <c r="R24" s="4985"/>
      <c r="S24" s="4986"/>
      <c r="T24" s="1548">
        <f t="shared" si="5"/>
        <v>0</v>
      </c>
      <c r="U24" s="1548">
        <f t="shared" si="6"/>
        <v>0</v>
      </c>
      <c r="V24" s="4985"/>
      <c r="W24" s="4986"/>
      <c r="X24" s="4895">
        <f t="shared" si="7"/>
        <v>0</v>
      </c>
      <c r="Y24" s="4983">
        <f t="shared" si="8"/>
        <v>0</v>
      </c>
      <c r="Z24" s="4897">
        <f t="shared" si="9"/>
        <v>0</v>
      </c>
      <c r="AA24" s="4893">
        <f t="shared" si="10"/>
        <v>0</v>
      </c>
      <c r="AB24" s="4985"/>
      <c r="AC24" s="4986"/>
      <c r="AD24" s="2106">
        <f t="shared" si="58"/>
        <v>0</v>
      </c>
      <c r="AE24" s="1548">
        <f t="shared" si="58"/>
        <v>0</v>
      </c>
      <c r="AF24" s="4985"/>
      <c r="AG24" s="4986"/>
      <c r="AH24" s="2106">
        <f t="shared" si="59"/>
        <v>0</v>
      </c>
      <c r="AI24" s="1548">
        <f t="shared" si="59"/>
        <v>0</v>
      </c>
      <c r="AJ24" s="4985">
        <v>0</v>
      </c>
      <c r="AK24" s="4986">
        <v>0</v>
      </c>
      <c r="AL24" s="4895">
        <f t="shared" si="60"/>
        <v>0</v>
      </c>
      <c r="AM24" s="4982">
        <f t="shared" si="60"/>
        <v>0</v>
      </c>
      <c r="AN24" s="1485">
        <f t="shared" ref="AN24:AO40" si="66">AH24+AJ24</f>
        <v>0</v>
      </c>
      <c r="AO24" s="1548">
        <f t="shared" si="66"/>
        <v>0</v>
      </c>
      <c r="AP24" s="4985">
        <v>0</v>
      </c>
      <c r="AQ24" s="4986">
        <v>0</v>
      </c>
      <c r="AR24" s="2106">
        <f t="shared" si="61"/>
        <v>0</v>
      </c>
      <c r="AS24" s="1548">
        <f t="shared" si="61"/>
        <v>0</v>
      </c>
      <c r="AT24" s="4987">
        <v>0</v>
      </c>
      <c r="AU24" s="4986">
        <v>0</v>
      </c>
      <c r="AV24" s="2106">
        <f t="shared" si="62"/>
        <v>0</v>
      </c>
      <c r="AW24" s="1548">
        <f t="shared" si="62"/>
        <v>0</v>
      </c>
      <c r="AX24" s="4987"/>
      <c r="AY24" s="4986"/>
      <c r="AZ24" s="4895">
        <f t="shared" si="63"/>
        <v>0</v>
      </c>
      <c r="BA24" s="4983">
        <f t="shared" si="63"/>
        <v>0</v>
      </c>
      <c r="BB24" s="4897">
        <f t="shared" si="64"/>
        <v>0</v>
      </c>
      <c r="BC24" s="4893">
        <f t="shared" si="64"/>
        <v>0</v>
      </c>
      <c r="BD24" s="1485">
        <f t="shared" si="65"/>
        <v>0</v>
      </c>
      <c r="BE24" s="1548">
        <f t="shared" si="65"/>
        <v>0</v>
      </c>
      <c r="BF24" s="533"/>
      <c r="BG24" s="533"/>
      <c r="BH24" s="533"/>
      <c r="BI24" s="533"/>
      <c r="BR24" s="533"/>
      <c r="BS24" s="533"/>
      <c r="BT24" s="533"/>
      <c r="BU24" s="533"/>
      <c r="BV24" s="533"/>
      <c r="BW24" s="533"/>
      <c r="BX24" s="533"/>
      <c r="BY24" s="533"/>
      <c r="BZ24" s="533"/>
      <c r="CA24" s="533"/>
      <c r="CB24" s="533"/>
      <c r="CC24" s="533"/>
    </row>
    <row r="25" spans="2:81" ht="21.95" customHeight="1" thickBot="1" x14ac:dyDescent="0.3">
      <c r="B25" s="5973"/>
      <c r="C25" s="5004" t="s">
        <v>1283</v>
      </c>
      <c r="D25" s="5005">
        <v>1</v>
      </c>
      <c r="E25" s="5006">
        <v>4151</v>
      </c>
      <c r="F25" s="5005"/>
      <c r="G25" s="5006"/>
      <c r="H25" s="1485">
        <f t="shared" si="0"/>
        <v>1</v>
      </c>
      <c r="I25" s="1486">
        <f t="shared" si="1"/>
        <v>4151</v>
      </c>
      <c r="J25" s="5005">
        <v>0</v>
      </c>
      <c r="K25" s="5006">
        <v>0</v>
      </c>
      <c r="L25" s="4895">
        <f t="shared" si="20"/>
        <v>1</v>
      </c>
      <c r="M25" s="4982">
        <f t="shared" si="2"/>
        <v>4151</v>
      </c>
      <c r="N25" s="5005">
        <v>1</v>
      </c>
      <c r="O25" s="5006">
        <v>4039.73</v>
      </c>
      <c r="P25" s="1548">
        <f t="shared" si="51"/>
        <v>2</v>
      </c>
      <c r="Q25" s="1548">
        <f t="shared" si="51"/>
        <v>8190.73</v>
      </c>
      <c r="R25" s="5005"/>
      <c r="S25" s="5006"/>
      <c r="T25" s="1548">
        <f t="shared" si="5"/>
        <v>2</v>
      </c>
      <c r="U25" s="1548">
        <f t="shared" si="6"/>
        <v>8190.73</v>
      </c>
      <c r="V25" s="5005"/>
      <c r="W25" s="5006"/>
      <c r="X25" s="4895">
        <f t="shared" si="7"/>
        <v>1</v>
      </c>
      <c r="Y25" s="4983">
        <f t="shared" si="8"/>
        <v>4039.73</v>
      </c>
      <c r="Z25" s="4897">
        <f t="shared" si="9"/>
        <v>2</v>
      </c>
      <c r="AA25" s="4893">
        <f t="shared" si="10"/>
        <v>8190.73</v>
      </c>
      <c r="AB25" s="5005"/>
      <c r="AC25" s="5006"/>
      <c r="AD25" s="4901">
        <f t="shared" si="58"/>
        <v>2</v>
      </c>
      <c r="AE25" s="1548">
        <f t="shared" si="58"/>
        <v>8190.73</v>
      </c>
      <c r="AF25" s="5005"/>
      <c r="AG25" s="5006"/>
      <c r="AH25" s="4901">
        <f t="shared" si="59"/>
        <v>2</v>
      </c>
      <c r="AI25" s="1548">
        <f t="shared" si="59"/>
        <v>8190.73</v>
      </c>
      <c r="AJ25" s="5005">
        <v>1</v>
      </c>
      <c r="AK25" s="5006">
        <v>4066</v>
      </c>
      <c r="AL25" s="4895">
        <f t="shared" si="60"/>
        <v>1</v>
      </c>
      <c r="AM25" s="4982">
        <f t="shared" si="60"/>
        <v>4066</v>
      </c>
      <c r="AN25" s="1485">
        <f t="shared" si="66"/>
        <v>3</v>
      </c>
      <c r="AO25" s="1548">
        <f t="shared" si="66"/>
        <v>12256.73</v>
      </c>
      <c r="AP25" s="5005">
        <v>1</v>
      </c>
      <c r="AQ25" s="5006">
        <v>4041</v>
      </c>
      <c r="AR25" s="4901">
        <f t="shared" si="61"/>
        <v>4</v>
      </c>
      <c r="AS25" s="1548">
        <f t="shared" si="61"/>
        <v>16297.73</v>
      </c>
      <c r="AT25" s="5007">
        <v>1</v>
      </c>
      <c r="AU25" s="5006">
        <v>4044</v>
      </c>
      <c r="AV25" s="4901">
        <f t="shared" si="62"/>
        <v>5</v>
      </c>
      <c r="AW25" s="1548">
        <f t="shared" si="62"/>
        <v>20341.73</v>
      </c>
      <c r="AX25" s="5007"/>
      <c r="AY25" s="5006"/>
      <c r="AZ25" s="4895">
        <f t="shared" si="63"/>
        <v>2</v>
      </c>
      <c r="BA25" s="4983">
        <f t="shared" si="63"/>
        <v>8085</v>
      </c>
      <c r="BB25" s="4897">
        <f t="shared" si="64"/>
        <v>3</v>
      </c>
      <c r="BC25" s="4893">
        <f t="shared" si="64"/>
        <v>12151</v>
      </c>
      <c r="BD25" s="1485">
        <f t="shared" si="65"/>
        <v>5</v>
      </c>
      <c r="BE25" s="1548">
        <f t="shared" si="65"/>
        <v>20341.73</v>
      </c>
      <c r="BF25" s="533"/>
      <c r="BG25" s="533"/>
      <c r="BH25" s="533"/>
      <c r="BI25" s="533"/>
      <c r="BR25" s="533"/>
      <c r="BS25" s="533"/>
      <c r="BT25" s="533"/>
      <c r="BU25" s="533"/>
      <c r="BV25" s="533"/>
      <c r="BW25" s="533"/>
      <c r="BX25" s="533"/>
      <c r="BY25" s="533"/>
      <c r="BZ25" s="533"/>
      <c r="CA25" s="533"/>
      <c r="CB25" s="533"/>
      <c r="CC25" s="533"/>
    </row>
    <row r="26" spans="2:81" ht="21.95" customHeight="1" thickBot="1" x14ac:dyDescent="0.3">
      <c r="B26" s="5986"/>
      <c r="C26" s="1610" t="s">
        <v>2</v>
      </c>
      <c r="D26" s="5008">
        <f>SUM(D22:D25)</f>
        <v>1</v>
      </c>
      <c r="E26" s="5008">
        <f t="shared" ref="E26:BE26" si="67">SUM(E22:E25)</f>
        <v>4151</v>
      </c>
      <c r="F26" s="5008">
        <f>SUM(F22:F25)</f>
        <v>0</v>
      </c>
      <c r="G26" s="5008">
        <f t="shared" ref="G26" si="68">SUM(G22:G25)</f>
        <v>0</v>
      </c>
      <c r="H26" s="1485">
        <f t="shared" si="0"/>
        <v>1</v>
      </c>
      <c r="I26" s="1486">
        <f t="shared" si="1"/>
        <v>4151</v>
      </c>
      <c r="J26" s="5008">
        <f>SUM(J22:J25)</f>
        <v>0</v>
      </c>
      <c r="K26" s="5008">
        <f t="shared" ref="K26" si="69">SUM(K22:K25)</f>
        <v>0</v>
      </c>
      <c r="L26" s="5009">
        <f t="shared" si="67"/>
        <v>1</v>
      </c>
      <c r="M26" s="5009">
        <f t="shared" si="67"/>
        <v>4151</v>
      </c>
      <c r="N26" s="5008">
        <f>SUM(N22:N25)</f>
        <v>1</v>
      </c>
      <c r="O26" s="5008">
        <f t="shared" ref="O26" si="70">SUM(O22:O25)</f>
        <v>4039.73</v>
      </c>
      <c r="P26" s="1548">
        <f t="shared" si="51"/>
        <v>2</v>
      </c>
      <c r="Q26" s="1548">
        <f t="shared" si="51"/>
        <v>8190.73</v>
      </c>
      <c r="R26" s="5008">
        <f>SUM(R22:R25)</f>
        <v>0</v>
      </c>
      <c r="S26" s="5008">
        <f t="shared" ref="S26" si="71">SUM(S22:S25)</f>
        <v>0</v>
      </c>
      <c r="T26" s="1548">
        <f t="shared" si="5"/>
        <v>2</v>
      </c>
      <c r="U26" s="1548">
        <f t="shared" si="6"/>
        <v>8190.73</v>
      </c>
      <c r="V26" s="5008">
        <f>SUM(V22:V25)</f>
        <v>0</v>
      </c>
      <c r="W26" s="5008">
        <f t="shared" ref="W26" si="72">SUM(W22:W25)</f>
        <v>0</v>
      </c>
      <c r="X26" s="5009">
        <f t="shared" si="7"/>
        <v>1</v>
      </c>
      <c r="Y26" s="5010">
        <f t="shared" si="8"/>
        <v>4039.73</v>
      </c>
      <c r="Z26" s="4888">
        <f t="shared" si="9"/>
        <v>2</v>
      </c>
      <c r="AA26" s="4888">
        <f t="shared" si="10"/>
        <v>8190.73</v>
      </c>
      <c r="AB26" s="5008">
        <f t="shared" si="67"/>
        <v>0</v>
      </c>
      <c r="AC26" s="5008">
        <f t="shared" si="67"/>
        <v>0</v>
      </c>
      <c r="AD26" s="5008">
        <f t="shared" si="67"/>
        <v>2</v>
      </c>
      <c r="AE26" s="5008">
        <f t="shared" si="67"/>
        <v>8190.73</v>
      </c>
      <c r="AF26" s="5008">
        <f t="shared" si="67"/>
        <v>0</v>
      </c>
      <c r="AG26" s="5008">
        <f t="shared" si="67"/>
        <v>0</v>
      </c>
      <c r="AH26" s="5008">
        <f t="shared" si="67"/>
        <v>2</v>
      </c>
      <c r="AI26" s="5008">
        <f t="shared" si="67"/>
        <v>8190.73</v>
      </c>
      <c r="AJ26" s="5008">
        <f t="shared" si="67"/>
        <v>1</v>
      </c>
      <c r="AK26" s="5008">
        <f t="shared" si="67"/>
        <v>4066</v>
      </c>
      <c r="AL26" s="5008">
        <f t="shared" si="67"/>
        <v>1</v>
      </c>
      <c r="AM26" s="5008">
        <f t="shared" si="67"/>
        <v>4066</v>
      </c>
      <c r="AN26" s="5008">
        <f t="shared" si="67"/>
        <v>3</v>
      </c>
      <c r="AO26" s="5008">
        <f t="shared" si="67"/>
        <v>12256.73</v>
      </c>
      <c r="AP26" s="5008">
        <f t="shared" si="67"/>
        <v>1</v>
      </c>
      <c r="AQ26" s="5008">
        <f t="shared" si="67"/>
        <v>4041</v>
      </c>
      <c r="AR26" s="5008">
        <f t="shared" si="67"/>
        <v>4</v>
      </c>
      <c r="AS26" s="5008">
        <f t="shared" si="67"/>
        <v>16297.73</v>
      </c>
      <c r="AT26" s="5008">
        <f t="shared" si="67"/>
        <v>1</v>
      </c>
      <c r="AU26" s="5008">
        <f t="shared" si="67"/>
        <v>4044</v>
      </c>
      <c r="AV26" s="5008">
        <f t="shared" si="67"/>
        <v>5</v>
      </c>
      <c r="AW26" s="5008">
        <f t="shared" si="67"/>
        <v>20341.73</v>
      </c>
      <c r="AX26" s="5008">
        <f t="shared" si="67"/>
        <v>0</v>
      </c>
      <c r="AY26" s="5008">
        <f t="shared" si="67"/>
        <v>0</v>
      </c>
      <c r="AZ26" s="5008">
        <f t="shared" si="67"/>
        <v>2</v>
      </c>
      <c r="BA26" s="5011">
        <f t="shared" si="67"/>
        <v>8085</v>
      </c>
      <c r="BB26" s="4887">
        <f t="shared" si="67"/>
        <v>3</v>
      </c>
      <c r="BC26" s="4887">
        <f t="shared" si="67"/>
        <v>12151</v>
      </c>
      <c r="BD26" s="5008">
        <f t="shared" si="67"/>
        <v>5</v>
      </c>
      <c r="BE26" s="5008">
        <f t="shared" si="67"/>
        <v>20341.73</v>
      </c>
      <c r="BF26" s="533"/>
      <c r="BG26" s="533"/>
      <c r="BH26" s="533"/>
      <c r="BI26" s="533"/>
      <c r="BR26" s="533"/>
      <c r="BS26" s="533"/>
      <c r="BT26" s="533"/>
      <c r="BU26" s="533"/>
      <c r="BV26" s="533"/>
      <c r="BW26" s="533"/>
      <c r="BX26" s="533"/>
      <c r="BY26" s="533"/>
      <c r="BZ26" s="533"/>
      <c r="CA26" s="533"/>
      <c r="CB26" s="533"/>
      <c r="CC26" s="533"/>
    </row>
    <row r="27" spans="2:81" ht="21.95" customHeight="1" thickBot="1" x14ac:dyDescent="0.3">
      <c r="B27" s="5987" t="s">
        <v>1228</v>
      </c>
      <c r="C27" s="1611" t="s">
        <v>1229</v>
      </c>
      <c r="D27" s="1462">
        <v>1</v>
      </c>
      <c r="E27" s="1463">
        <v>4038</v>
      </c>
      <c r="F27" s="1462">
        <v>2</v>
      </c>
      <c r="G27" s="1463">
        <v>6631</v>
      </c>
      <c r="H27" s="1485">
        <f t="shared" si="0"/>
        <v>3</v>
      </c>
      <c r="I27" s="1486">
        <f t="shared" si="1"/>
        <v>10669</v>
      </c>
      <c r="J27" s="1462">
        <v>1</v>
      </c>
      <c r="K27" s="1463">
        <v>4115</v>
      </c>
      <c r="L27" s="4895">
        <f t="shared" si="20"/>
        <v>4</v>
      </c>
      <c r="M27" s="4982">
        <f t="shared" si="2"/>
        <v>14784</v>
      </c>
      <c r="N27" s="1462">
        <v>1</v>
      </c>
      <c r="O27" s="1463">
        <v>4030.11</v>
      </c>
      <c r="P27" s="1548">
        <f t="shared" si="51"/>
        <v>5</v>
      </c>
      <c r="Q27" s="1548">
        <f t="shared" si="51"/>
        <v>18814.11</v>
      </c>
      <c r="R27" s="1462">
        <v>2</v>
      </c>
      <c r="S27" s="1463">
        <v>7453.56</v>
      </c>
      <c r="T27" s="1548">
        <f t="shared" si="5"/>
        <v>7</v>
      </c>
      <c r="U27" s="1548">
        <f t="shared" si="6"/>
        <v>26267.670000000002</v>
      </c>
      <c r="V27" s="1462">
        <v>1</v>
      </c>
      <c r="W27" s="1463">
        <v>3900.83</v>
      </c>
      <c r="X27" s="4895">
        <f t="shared" si="7"/>
        <v>4</v>
      </c>
      <c r="Y27" s="4983">
        <f t="shared" si="8"/>
        <v>15384.5</v>
      </c>
      <c r="Z27" s="4897">
        <f t="shared" si="9"/>
        <v>8</v>
      </c>
      <c r="AA27" s="4893">
        <f t="shared" si="10"/>
        <v>30168.5</v>
      </c>
      <c r="AB27" s="1462">
        <v>1</v>
      </c>
      <c r="AC27" s="1463">
        <v>4059</v>
      </c>
      <c r="AD27" s="1485">
        <f t="shared" ref="AD27:AE31" si="73">Z27+AB27</f>
        <v>9</v>
      </c>
      <c r="AE27" s="1548">
        <f t="shared" si="73"/>
        <v>34227.5</v>
      </c>
      <c r="AF27" s="1462">
        <v>0</v>
      </c>
      <c r="AG27" s="1463">
        <v>0</v>
      </c>
      <c r="AH27" s="1485">
        <f t="shared" ref="AH27:AI31" si="74">AD27+AF27</f>
        <v>9</v>
      </c>
      <c r="AI27" s="1548">
        <f t="shared" si="74"/>
        <v>34227.5</v>
      </c>
      <c r="AJ27" s="1462">
        <v>1</v>
      </c>
      <c r="AK27" s="1463">
        <v>2825</v>
      </c>
      <c r="AL27" s="4895">
        <f t="shared" ref="AL27:AM31" si="75">+AB27+AF27+AJ27</f>
        <v>2</v>
      </c>
      <c r="AM27" s="4982">
        <f t="shared" si="75"/>
        <v>6884</v>
      </c>
      <c r="AN27" s="1485">
        <f t="shared" si="66"/>
        <v>10</v>
      </c>
      <c r="AO27" s="1548">
        <f t="shared" si="66"/>
        <v>37052.5</v>
      </c>
      <c r="AP27" s="1462">
        <v>0</v>
      </c>
      <c r="AQ27" s="1463">
        <v>0</v>
      </c>
      <c r="AR27" s="1485">
        <f t="shared" ref="AR27:AS31" si="76">AN27+AP27</f>
        <v>10</v>
      </c>
      <c r="AS27" s="1548">
        <f t="shared" si="76"/>
        <v>37052.5</v>
      </c>
      <c r="AT27" s="1523">
        <v>1</v>
      </c>
      <c r="AU27" s="1463">
        <v>3992</v>
      </c>
      <c r="AV27" s="1485">
        <f t="shared" ref="AV27:AW31" si="77">AR27+AT27</f>
        <v>11</v>
      </c>
      <c r="AW27" s="1548">
        <f t="shared" si="77"/>
        <v>41044.5</v>
      </c>
      <c r="AX27" s="1523">
        <v>1</v>
      </c>
      <c r="AY27" s="1463">
        <v>3886</v>
      </c>
      <c r="AZ27" s="4895">
        <f t="shared" ref="AZ27:BA31" si="78">+AP27+AT27+AX27</f>
        <v>2</v>
      </c>
      <c r="BA27" s="4983">
        <f t="shared" si="78"/>
        <v>7878</v>
      </c>
      <c r="BB27" s="4897">
        <f t="shared" ref="BB27:BC31" si="79">AL27+AZ27</f>
        <v>4</v>
      </c>
      <c r="BC27" s="4893">
        <f t="shared" si="79"/>
        <v>14762</v>
      </c>
      <c r="BD27" s="1485">
        <f t="shared" ref="BD27:BE31" si="80">AV27+AX27</f>
        <v>12</v>
      </c>
      <c r="BE27" s="1548">
        <f t="shared" si="80"/>
        <v>44930.5</v>
      </c>
      <c r="BF27" s="533"/>
      <c r="BG27" s="533"/>
      <c r="BH27" s="533"/>
      <c r="BI27" s="533"/>
      <c r="BR27" s="533"/>
      <c r="BS27" s="533"/>
      <c r="BT27" s="533"/>
      <c r="BU27" s="533"/>
      <c r="BV27" s="533"/>
      <c r="BW27" s="533"/>
      <c r="BX27" s="533"/>
      <c r="BY27" s="533"/>
      <c r="BZ27" s="533"/>
      <c r="CA27" s="533"/>
      <c r="CB27" s="533"/>
      <c r="CC27" s="533"/>
    </row>
    <row r="28" spans="2:81" ht="21.95" customHeight="1" thickBot="1" x14ac:dyDescent="0.3">
      <c r="B28" s="5988"/>
      <c r="C28" s="5003" t="s">
        <v>1230</v>
      </c>
      <c r="D28" s="5012">
        <v>0</v>
      </c>
      <c r="E28" s="5013">
        <v>0</v>
      </c>
      <c r="F28" s="5012"/>
      <c r="G28" s="5013"/>
      <c r="H28" s="1485">
        <f t="shared" si="0"/>
        <v>0</v>
      </c>
      <c r="I28" s="1486">
        <f t="shared" si="1"/>
        <v>0</v>
      </c>
      <c r="J28" s="5012"/>
      <c r="K28" s="5013"/>
      <c r="L28" s="4895">
        <f t="shared" si="20"/>
        <v>0</v>
      </c>
      <c r="M28" s="4982">
        <f t="shared" si="2"/>
        <v>0</v>
      </c>
      <c r="N28" s="5012"/>
      <c r="O28" s="5013"/>
      <c r="P28" s="1548">
        <f t="shared" si="51"/>
        <v>0</v>
      </c>
      <c r="Q28" s="1548">
        <f t="shared" si="51"/>
        <v>0</v>
      </c>
      <c r="R28" s="5012"/>
      <c r="S28" s="5013"/>
      <c r="T28" s="1548">
        <f t="shared" si="5"/>
        <v>0</v>
      </c>
      <c r="U28" s="1548">
        <f t="shared" si="6"/>
        <v>0</v>
      </c>
      <c r="V28" s="5012"/>
      <c r="W28" s="5013"/>
      <c r="X28" s="4895">
        <f t="shared" si="7"/>
        <v>0</v>
      </c>
      <c r="Y28" s="4983">
        <f t="shared" si="8"/>
        <v>0</v>
      </c>
      <c r="Z28" s="4897">
        <f t="shared" si="9"/>
        <v>0</v>
      </c>
      <c r="AA28" s="4893">
        <f t="shared" si="10"/>
        <v>0</v>
      </c>
      <c r="AB28" s="5012"/>
      <c r="AC28" s="5013"/>
      <c r="AD28" s="1485">
        <f t="shared" si="73"/>
        <v>0</v>
      </c>
      <c r="AE28" s="1548">
        <f t="shared" si="73"/>
        <v>0</v>
      </c>
      <c r="AF28" s="5012"/>
      <c r="AG28" s="5013"/>
      <c r="AH28" s="1485">
        <f t="shared" si="74"/>
        <v>0</v>
      </c>
      <c r="AI28" s="1548">
        <f t="shared" si="74"/>
        <v>0</v>
      </c>
      <c r="AJ28" s="5012"/>
      <c r="AK28" s="5013"/>
      <c r="AL28" s="4895">
        <f t="shared" si="75"/>
        <v>0</v>
      </c>
      <c r="AM28" s="4982">
        <f t="shared" si="75"/>
        <v>0</v>
      </c>
      <c r="AN28" s="1485">
        <f t="shared" si="66"/>
        <v>0</v>
      </c>
      <c r="AO28" s="1548">
        <f t="shared" si="66"/>
        <v>0</v>
      </c>
      <c r="AP28" s="5012"/>
      <c r="AQ28" s="5013"/>
      <c r="AR28" s="1485">
        <f t="shared" si="76"/>
        <v>0</v>
      </c>
      <c r="AS28" s="1548">
        <f t="shared" si="76"/>
        <v>0</v>
      </c>
      <c r="AT28" s="4987"/>
      <c r="AU28" s="5013"/>
      <c r="AV28" s="1485">
        <f t="shared" si="77"/>
        <v>0</v>
      </c>
      <c r="AW28" s="1548">
        <f t="shared" si="77"/>
        <v>0</v>
      </c>
      <c r="AX28" s="4987"/>
      <c r="AY28" s="5013"/>
      <c r="AZ28" s="4895">
        <f t="shared" si="78"/>
        <v>0</v>
      </c>
      <c r="BA28" s="4983">
        <f t="shared" si="78"/>
        <v>0</v>
      </c>
      <c r="BB28" s="4897">
        <f t="shared" si="79"/>
        <v>0</v>
      </c>
      <c r="BC28" s="4893">
        <f t="shared" si="79"/>
        <v>0</v>
      </c>
      <c r="BD28" s="1485">
        <f t="shared" si="80"/>
        <v>0</v>
      </c>
      <c r="BE28" s="1548">
        <f t="shared" si="80"/>
        <v>0</v>
      </c>
      <c r="BF28" s="533"/>
      <c r="BG28" s="533"/>
      <c r="BH28" s="533"/>
      <c r="BI28" s="533"/>
      <c r="BR28" s="533"/>
      <c r="BS28" s="533"/>
      <c r="BT28" s="533"/>
      <c r="BU28" s="533"/>
      <c r="BV28" s="533"/>
      <c r="BW28" s="533"/>
      <c r="BX28" s="533"/>
      <c r="BY28" s="533"/>
      <c r="BZ28" s="533"/>
      <c r="CA28" s="533"/>
      <c r="CB28" s="533"/>
      <c r="CC28" s="533"/>
    </row>
    <row r="29" spans="2:81" ht="21.95" customHeight="1" thickBot="1" x14ac:dyDescent="0.3">
      <c r="B29" s="5988"/>
      <c r="C29" s="5003" t="s">
        <v>1019</v>
      </c>
      <c r="D29" s="4985">
        <v>4</v>
      </c>
      <c r="E29" s="4986">
        <v>15454</v>
      </c>
      <c r="F29" s="4985">
        <v>3</v>
      </c>
      <c r="G29" s="4986">
        <v>11998</v>
      </c>
      <c r="H29" s="1485">
        <f t="shared" si="0"/>
        <v>7</v>
      </c>
      <c r="I29" s="1486">
        <f t="shared" si="1"/>
        <v>27452</v>
      </c>
      <c r="J29" s="4985">
        <v>4</v>
      </c>
      <c r="K29" s="4986">
        <v>15764</v>
      </c>
      <c r="L29" s="4895">
        <f t="shared" si="20"/>
        <v>11</v>
      </c>
      <c r="M29" s="4982">
        <f t="shared" si="2"/>
        <v>43216</v>
      </c>
      <c r="N29" s="4985">
        <v>4</v>
      </c>
      <c r="O29" s="4986">
        <v>16007.35</v>
      </c>
      <c r="P29" s="1548">
        <f t="shared" si="51"/>
        <v>15</v>
      </c>
      <c r="Q29" s="1548">
        <f t="shared" si="51"/>
        <v>59223.35</v>
      </c>
      <c r="R29" s="4985">
        <v>4</v>
      </c>
      <c r="S29" s="4986">
        <v>15772.76</v>
      </c>
      <c r="T29" s="1548">
        <f t="shared" si="5"/>
        <v>19</v>
      </c>
      <c r="U29" s="1548">
        <f t="shared" si="6"/>
        <v>74996.11</v>
      </c>
      <c r="V29" s="4985">
        <v>4</v>
      </c>
      <c r="W29" s="4986">
        <v>15524.81</v>
      </c>
      <c r="X29" s="4895">
        <f t="shared" si="7"/>
        <v>12</v>
      </c>
      <c r="Y29" s="4983">
        <f t="shared" si="8"/>
        <v>47304.92</v>
      </c>
      <c r="Z29" s="4897">
        <f t="shared" si="9"/>
        <v>23</v>
      </c>
      <c r="AA29" s="4893">
        <f t="shared" si="10"/>
        <v>90520.92</v>
      </c>
      <c r="AB29" s="4985">
        <v>5</v>
      </c>
      <c r="AC29" s="4986">
        <v>19669</v>
      </c>
      <c r="AD29" s="1485">
        <f t="shared" si="73"/>
        <v>28</v>
      </c>
      <c r="AE29" s="1548">
        <f t="shared" si="73"/>
        <v>110189.92</v>
      </c>
      <c r="AF29" s="4985">
        <v>0</v>
      </c>
      <c r="AG29" s="4986">
        <v>0</v>
      </c>
      <c r="AH29" s="1485">
        <f t="shared" si="74"/>
        <v>28</v>
      </c>
      <c r="AI29" s="1548">
        <f t="shared" si="74"/>
        <v>110189.92</v>
      </c>
      <c r="AJ29" s="4985">
        <v>2</v>
      </c>
      <c r="AK29" s="4986">
        <v>8001</v>
      </c>
      <c r="AL29" s="4895">
        <f t="shared" si="75"/>
        <v>7</v>
      </c>
      <c r="AM29" s="4982">
        <f t="shared" si="75"/>
        <v>27670</v>
      </c>
      <c r="AN29" s="1485">
        <f t="shared" si="66"/>
        <v>30</v>
      </c>
      <c r="AO29" s="1548">
        <f t="shared" si="66"/>
        <v>118190.92</v>
      </c>
      <c r="AP29" s="4985">
        <v>2</v>
      </c>
      <c r="AQ29" s="4986">
        <v>7849</v>
      </c>
      <c r="AR29" s="1485">
        <f t="shared" si="76"/>
        <v>32</v>
      </c>
      <c r="AS29" s="1548">
        <f t="shared" si="76"/>
        <v>126039.92</v>
      </c>
      <c r="AT29" s="4987">
        <v>7</v>
      </c>
      <c r="AU29" s="4986">
        <v>27533</v>
      </c>
      <c r="AV29" s="1485">
        <f t="shared" si="77"/>
        <v>39</v>
      </c>
      <c r="AW29" s="1548">
        <f t="shared" si="77"/>
        <v>153572.91999999998</v>
      </c>
      <c r="AX29" s="4987">
        <v>6</v>
      </c>
      <c r="AY29" s="4986">
        <v>23696</v>
      </c>
      <c r="AZ29" s="4895">
        <f t="shared" si="78"/>
        <v>15</v>
      </c>
      <c r="BA29" s="4983">
        <f t="shared" si="78"/>
        <v>59078</v>
      </c>
      <c r="BB29" s="4897">
        <f t="shared" si="79"/>
        <v>22</v>
      </c>
      <c r="BC29" s="4893">
        <f t="shared" si="79"/>
        <v>86748</v>
      </c>
      <c r="BD29" s="1485">
        <f t="shared" si="80"/>
        <v>45</v>
      </c>
      <c r="BE29" s="1548">
        <f t="shared" si="80"/>
        <v>177268.91999999998</v>
      </c>
      <c r="BF29" s="533"/>
      <c r="BG29" s="533"/>
      <c r="BH29" s="533"/>
      <c r="BI29" s="533"/>
      <c r="BR29" s="533"/>
      <c r="BS29" s="533"/>
      <c r="BT29" s="533"/>
      <c r="BU29" s="533"/>
      <c r="BV29" s="533"/>
      <c r="BW29" s="533"/>
      <c r="BX29" s="533"/>
      <c r="BY29" s="533"/>
      <c r="BZ29" s="533"/>
      <c r="CA29" s="533"/>
      <c r="CB29" s="533"/>
      <c r="CC29" s="533"/>
    </row>
    <row r="30" spans="2:81" ht="21.95" customHeight="1" thickBot="1" x14ac:dyDescent="0.3">
      <c r="B30" s="5988"/>
      <c r="C30" s="5003" t="s">
        <v>1231</v>
      </c>
      <c r="D30" s="4985">
        <v>0</v>
      </c>
      <c r="E30" s="4986">
        <v>0</v>
      </c>
      <c r="F30" s="4985">
        <v>0</v>
      </c>
      <c r="G30" s="4986">
        <v>0</v>
      </c>
      <c r="H30" s="1485">
        <f t="shared" si="0"/>
        <v>0</v>
      </c>
      <c r="I30" s="1486">
        <f t="shared" si="1"/>
        <v>0</v>
      </c>
      <c r="J30" s="4985">
        <v>1</v>
      </c>
      <c r="K30" s="4986">
        <v>4048</v>
      </c>
      <c r="L30" s="4895">
        <f t="shared" si="20"/>
        <v>1</v>
      </c>
      <c r="M30" s="4982">
        <f t="shared" si="2"/>
        <v>4048</v>
      </c>
      <c r="N30" s="4985">
        <v>1</v>
      </c>
      <c r="O30" s="4986">
        <v>4083.64</v>
      </c>
      <c r="P30" s="1548">
        <f t="shared" si="51"/>
        <v>2</v>
      </c>
      <c r="Q30" s="1548">
        <f t="shared" si="51"/>
        <v>8131.6399999999994</v>
      </c>
      <c r="R30" s="4985">
        <v>0</v>
      </c>
      <c r="S30" s="4986">
        <v>0</v>
      </c>
      <c r="T30" s="1548">
        <f t="shared" si="5"/>
        <v>2</v>
      </c>
      <c r="U30" s="1548">
        <f t="shared" si="6"/>
        <v>8131.6399999999994</v>
      </c>
      <c r="V30" s="4985">
        <v>0</v>
      </c>
      <c r="W30" s="4986">
        <v>0</v>
      </c>
      <c r="X30" s="4895">
        <f t="shared" si="7"/>
        <v>1</v>
      </c>
      <c r="Y30" s="4983">
        <f t="shared" si="8"/>
        <v>4083.64</v>
      </c>
      <c r="Z30" s="4897">
        <f t="shared" si="9"/>
        <v>2</v>
      </c>
      <c r="AA30" s="4893">
        <f t="shared" si="10"/>
        <v>8131.6399999999994</v>
      </c>
      <c r="AB30" s="4985">
        <v>1</v>
      </c>
      <c r="AC30" s="4986">
        <v>4084</v>
      </c>
      <c r="AD30" s="1485">
        <f t="shared" si="73"/>
        <v>3</v>
      </c>
      <c r="AE30" s="1548">
        <f t="shared" si="73"/>
        <v>12215.64</v>
      </c>
      <c r="AF30" s="4985">
        <v>0</v>
      </c>
      <c r="AG30" s="4986">
        <v>0</v>
      </c>
      <c r="AH30" s="1485">
        <f t="shared" si="74"/>
        <v>3</v>
      </c>
      <c r="AI30" s="1548">
        <f t="shared" si="74"/>
        <v>12215.64</v>
      </c>
      <c r="AJ30" s="4985">
        <v>1</v>
      </c>
      <c r="AK30" s="4986">
        <v>4094</v>
      </c>
      <c r="AL30" s="4895">
        <f t="shared" si="75"/>
        <v>2</v>
      </c>
      <c r="AM30" s="4982">
        <f t="shared" si="75"/>
        <v>8178</v>
      </c>
      <c r="AN30" s="1485">
        <f t="shared" si="66"/>
        <v>4</v>
      </c>
      <c r="AO30" s="1548">
        <f t="shared" si="66"/>
        <v>16309.64</v>
      </c>
      <c r="AP30" s="4985">
        <v>1</v>
      </c>
      <c r="AQ30" s="4986">
        <v>4090</v>
      </c>
      <c r="AR30" s="1485">
        <f t="shared" si="76"/>
        <v>5</v>
      </c>
      <c r="AS30" s="1548">
        <f t="shared" si="76"/>
        <v>20399.64</v>
      </c>
      <c r="AT30" s="4987">
        <v>0</v>
      </c>
      <c r="AU30" s="4986">
        <v>0</v>
      </c>
      <c r="AV30" s="1485">
        <f t="shared" si="77"/>
        <v>5</v>
      </c>
      <c r="AW30" s="1548">
        <f t="shared" si="77"/>
        <v>20399.64</v>
      </c>
      <c r="AX30" s="4987">
        <v>0</v>
      </c>
      <c r="AY30" s="4986">
        <v>0</v>
      </c>
      <c r="AZ30" s="4895">
        <f t="shared" si="78"/>
        <v>1</v>
      </c>
      <c r="BA30" s="4983">
        <f t="shared" si="78"/>
        <v>4090</v>
      </c>
      <c r="BB30" s="4897">
        <f t="shared" si="79"/>
        <v>3</v>
      </c>
      <c r="BC30" s="4893">
        <f t="shared" si="79"/>
        <v>12268</v>
      </c>
      <c r="BD30" s="1485">
        <f t="shared" si="80"/>
        <v>5</v>
      </c>
      <c r="BE30" s="1548">
        <f t="shared" si="80"/>
        <v>20399.64</v>
      </c>
      <c r="BF30" s="533"/>
      <c r="BG30" s="533"/>
      <c r="BH30" s="533"/>
      <c r="BI30" s="533"/>
      <c r="BR30" s="533"/>
      <c r="BS30" s="533"/>
      <c r="BT30" s="533"/>
      <c r="BU30" s="533"/>
      <c r="BV30" s="533"/>
      <c r="BW30" s="533"/>
      <c r="BX30" s="533"/>
      <c r="BY30" s="533"/>
      <c r="BZ30" s="533"/>
      <c r="CA30" s="533"/>
      <c r="CB30" s="533"/>
      <c r="CC30" s="533"/>
    </row>
    <row r="31" spans="2:81" ht="21.95" customHeight="1" thickBot="1" x14ac:dyDescent="0.3">
      <c r="B31" s="5988"/>
      <c r="C31" s="5003" t="s">
        <v>1232</v>
      </c>
      <c r="D31" s="4985">
        <v>0</v>
      </c>
      <c r="E31" s="4986">
        <v>0</v>
      </c>
      <c r="F31" s="4985">
        <v>0</v>
      </c>
      <c r="G31" s="4986">
        <v>0</v>
      </c>
      <c r="H31" s="1485">
        <f t="shared" si="0"/>
        <v>0</v>
      </c>
      <c r="I31" s="1486">
        <f t="shared" si="1"/>
        <v>0</v>
      </c>
      <c r="J31" s="4985">
        <v>0</v>
      </c>
      <c r="K31" s="4986">
        <v>0</v>
      </c>
      <c r="L31" s="4895">
        <f t="shared" si="20"/>
        <v>0</v>
      </c>
      <c r="M31" s="4982">
        <f t="shared" si="2"/>
        <v>0</v>
      </c>
      <c r="N31" s="4985">
        <v>1</v>
      </c>
      <c r="O31" s="4986">
        <v>3850.4</v>
      </c>
      <c r="P31" s="1548">
        <f t="shared" si="51"/>
        <v>1</v>
      </c>
      <c r="Q31" s="1548">
        <f t="shared" si="51"/>
        <v>3850.4</v>
      </c>
      <c r="R31" s="4985">
        <v>1</v>
      </c>
      <c r="S31" s="4986">
        <v>3852.88</v>
      </c>
      <c r="T31" s="1548">
        <f t="shared" si="5"/>
        <v>2</v>
      </c>
      <c r="U31" s="1548">
        <f t="shared" si="6"/>
        <v>7703.2800000000007</v>
      </c>
      <c r="V31" s="4985">
        <v>0</v>
      </c>
      <c r="W31" s="4986">
        <v>0</v>
      </c>
      <c r="X31" s="4895">
        <f t="shared" si="7"/>
        <v>2</v>
      </c>
      <c r="Y31" s="4983">
        <f t="shared" si="8"/>
        <v>7703.2800000000007</v>
      </c>
      <c r="Z31" s="4897">
        <f t="shared" si="9"/>
        <v>2</v>
      </c>
      <c r="AA31" s="4893">
        <f t="shared" si="10"/>
        <v>7703.2800000000007</v>
      </c>
      <c r="AB31" s="4985">
        <v>1</v>
      </c>
      <c r="AC31" s="4986">
        <v>4022</v>
      </c>
      <c r="AD31" s="1485">
        <f t="shared" si="73"/>
        <v>3</v>
      </c>
      <c r="AE31" s="1548">
        <f t="shared" si="73"/>
        <v>11725.28</v>
      </c>
      <c r="AF31" s="4985">
        <v>1</v>
      </c>
      <c r="AG31" s="4986">
        <v>3841</v>
      </c>
      <c r="AH31" s="1485">
        <f t="shared" si="74"/>
        <v>4</v>
      </c>
      <c r="AI31" s="1548">
        <f t="shared" si="74"/>
        <v>15566.28</v>
      </c>
      <c r="AJ31" s="4985">
        <v>0</v>
      </c>
      <c r="AK31" s="4986">
        <v>0</v>
      </c>
      <c r="AL31" s="4895">
        <f t="shared" si="75"/>
        <v>2</v>
      </c>
      <c r="AM31" s="4982">
        <f t="shared" si="75"/>
        <v>7863</v>
      </c>
      <c r="AN31" s="1485">
        <f t="shared" si="66"/>
        <v>4</v>
      </c>
      <c r="AO31" s="1548">
        <f t="shared" si="66"/>
        <v>15566.28</v>
      </c>
      <c r="AP31" s="4985">
        <v>1</v>
      </c>
      <c r="AQ31" s="4986">
        <v>3952</v>
      </c>
      <c r="AR31" s="1485">
        <f t="shared" si="76"/>
        <v>5</v>
      </c>
      <c r="AS31" s="1548">
        <f t="shared" si="76"/>
        <v>19518.28</v>
      </c>
      <c r="AT31" s="4987">
        <v>1</v>
      </c>
      <c r="AU31" s="4986">
        <v>3774</v>
      </c>
      <c r="AV31" s="1485">
        <f t="shared" si="77"/>
        <v>6</v>
      </c>
      <c r="AW31" s="1548">
        <f t="shared" si="77"/>
        <v>23292.28</v>
      </c>
      <c r="AX31" s="4987">
        <v>0</v>
      </c>
      <c r="AY31" s="4986">
        <v>0</v>
      </c>
      <c r="AZ31" s="4895">
        <f t="shared" si="78"/>
        <v>2</v>
      </c>
      <c r="BA31" s="4983">
        <f t="shared" si="78"/>
        <v>7726</v>
      </c>
      <c r="BB31" s="4897">
        <f t="shared" si="79"/>
        <v>4</v>
      </c>
      <c r="BC31" s="4893">
        <f t="shared" si="79"/>
        <v>15589</v>
      </c>
      <c r="BD31" s="1485">
        <f t="shared" si="80"/>
        <v>6</v>
      </c>
      <c r="BE31" s="1548">
        <f t="shared" si="80"/>
        <v>23292.28</v>
      </c>
      <c r="BF31" s="533"/>
      <c r="BG31" s="533"/>
      <c r="BH31" s="533"/>
      <c r="BI31" s="533"/>
      <c r="BR31" s="533"/>
      <c r="BS31" s="533"/>
      <c r="BT31" s="533"/>
      <c r="BU31" s="533"/>
      <c r="BV31" s="533"/>
      <c r="BW31" s="533"/>
      <c r="BX31" s="533"/>
      <c r="BY31" s="533"/>
      <c r="BZ31" s="533"/>
      <c r="CA31" s="533"/>
      <c r="CB31" s="533"/>
      <c r="CC31" s="533"/>
    </row>
    <row r="32" spans="2:81" ht="21.95" customHeight="1" thickBot="1" x14ac:dyDescent="0.3">
      <c r="B32" s="5989"/>
      <c r="C32" s="1610" t="s">
        <v>2</v>
      </c>
      <c r="D32" s="5008">
        <f>SUM(D27:D31)</f>
        <v>5</v>
      </c>
      <c r="E32" s="5008">
        <f t="shared" ref="E32:BE32" si="81">SUM(E27:E31)</f>
        <v>19492</v>
      </c>
      <c r="F32" s="5008">
        <f>SUM(F27:F31)</f>
        <v>5</v>
      </c>
      <c r="G32" s="5008">
        <f t="shared" ref="G32" si="82">SUM(G27:G31)</f>
        <v>18629</v>
      </c>
      <c r="H32" s="1485">
        <f t="shared" si="0"/>
        <v>10</v>
      </c>
      <c r="I32" s="1486">
        <f t="shared" si="1"/>
        <v>38121</v>
      </c>
      <c r="J32" s="5008">
        <f>SUM(J27:J31)</f>
        <v>6</v>
      </c>
      <c r="K32" s="5008">
        <f t="shared" ref="K32" si="83">SUM(K27:K31)</f>
        <v>23927</v>
      </c>
      <c r="L32" s="5009">
        <f t="shared" si="81"/>
        <v>16</v>
      </c>
      <c r="M32" s="5009">
        <f t="shared" si="81"/>
        <v>62048</v>
      </c>
      <c r="N32" s="5008">
        <f>SUM(N27:N31)</f>
        <v>7</v>
      </c>
      <c r="O32" s="5008">
        <f t="shared" ref="O32" si="84">SUM(O27:O31)</f>
        <v>27971.5</v>
      </c>
      <c r="P32" s="1548">
        <f t="shared" si="51"/>
        <v>23</v>
      </c>
      <c r="Q32" s="1548">
        <f t="shared" si="51"/>
        <v>90019.5</v>
      </c>
      <c r="R32" s="5008">
        <f>SUM(R27:R31)</f>
        <v>7</v>
      </c>
      <c r="S32" s="5008">
        <f t="shared" ref="S32" si="85">SUM(S27:S31)</f>
        <v>27079.200000000001</v>
      </c>
      <c r="T32" s="1548">
        <f t="shared" si="5"/>
        <v>30</v>
      </c>
      <c r="U32" s="1548">
        <f t="shared" si="6"/>
        <v>117098.7</v>
      </c>
      <c r="V32" s="5008">
        <f>SUM(V27:V31)</f>
        <v>5</v>
      </c>
      <c r="W32" s="5008">
        <f t="shared" ref="W32" si="86">SUM(W27:W31)</f>
        <v>19425.64</v>
      </c>
      <c r="X32" s="5009">
        <f t="shared" si="7"/>
        <v>19</v>
      </c>
      <c r="Y32" s="5010">
        <f t="shared" si="8"/>
        <v>74476.34</v>
      </c>
      <c r="Z32" s="4888">
        <f t="shared" si="9"/>
        <v>35</v>
      </c>
      <c r="AA32" s="4888">
        <f t="shared" si="10"/>
        <v>136524.34</v>
      </c>
      <c r="AB32" s="5008">
        <f t="shared" si="81"/>
        <v>8</v>
      </c>
      <c r="AC32" s="5008">
        <f t="shared" si="81"/>
        <v>31834</v>
      </c>
      <c r="AD32" s="5008">
        <f t="shared" si="81"/>
        <v>43</v>
      </c>
      <c r="AE32" s="5008">
        <f t="shared" si="81"/>
        <v>168358.34</v>
      </c>
      <c r="AF32" s="5008">
        <f t="shared" si="81"/>
        <v>1</v>
      </c>
      <c r="AG32" s="5008">
        <f t="shared" si="81"/>
        <v>3841</v>
      </c>
      <c r="AH32" s="5008">
        <f t="shared" si="81"/>
        <v>44</v>
      </c>
      <c r="AI32" s="5008">
        <f t="shared" si="81"/>
        <v>172199.34</v>
      </c>
      <c r="AJ32" s="5008">
        <f t="shared" si="81"/>
        <v>4</v>
      </c>
      <c r="AK32" s="5008">
        <f t="shared" si="81"/>
        <v>14920</v>
      </c>
      <c r="AL32" s="5008">
        <f t="shared" si="81"/>
        <v>13</v>
      </c>
      <c r="AM32" s="5008">
        <f t="shared" si="81"/>
        <v>50595</v>
      </c>
      <c r="AN32" s="5008">
        <f t="shared" si="81"/>
        <v>48</v>
      </c>
      <c r="AO32" s="5008">
        <f t="shared" si="81"/>
        <v>187119.34</v>
      </c>
      <c r="AP32" s="5008">
        <f t="shared" si="81"/>
        <v>4</v>
      </c>
      <c r="AQ32" s="5008">
        <f t="shared" si="81"/>
        <v>15891</v>
      </c>
      <c r="AR32" s="5008">
        <f t="shared" si="81"/>
        <v>52</v>
      </c>
      <c r="AS32" s="5008">
        <f t="shared" si="81"/>
        <v>203010.34</v>
      </c>
      <c r="AT32" s="5008">
        <f t="shared" si="81"/>
        <v>9</v>
      </c>
      <c r="AU32" s="5008">
        <f t="shared" si="81"/>
        <v>35299</v>
      </c>
      <c r="AV32" s="5008">
        <f t="shared" si="81"/>
        <v>61</v>
      </c>
      <c r="AW32" s="5008">
        <f t="shared" si="81"/>
        <v>238309.34</v>
      </c>
      <c r="AX32" s="5008">
        <f t="shared" si="81"/>
        <v>7</v>
      </c>
      <c r="AY32" s="5008">
        <f t="shared" si="81"/>
        <v>27582</v>
      </c>
      <c r="AZ32" s="5008">
        <f t="shared" si="81"/>
        <v>20</v>
      </c>
      <c r="BA32" s="5011">
        <f t="shared" si="81"/>
        <v>78772</v>
      </c>
      <c r="BB32" s="4887">
        <f t="shared" si="81"/>
        <v>33</v>
      </c>
      <c r="BC32" s="4887">
        <f t="shared" si="81"/>
        <v>129367</v>
      </c>
      <c r="BD32" s="5008">
        <f t="shared" si="81"/>
        <v>68</v>
      </c>
      <c r="BE32" s="5008">
        <f t="shared" si="81"/>
        <v>265891.33999999997</v>
      </c>
      <c r="BF32" s="533"/>
      <c r="BG32" s="533"/>
      <c r="BH32" s="533"/>
      <c r="BI32" s="533"/>
      <c r="BR32" s="533"/>
      <c r="BS32" s="533"/>
      <c r="BT32" s="533"/>
      <c r="BU32" s="533"/>
      <c r="BV32" s="533"/>
      <c r="BW32" s="533"/>
      <c r="BX32" s="533"/>
      <c r="BY32" s="533"/>
      <c r="BZ32" s="533"/>
      <c r="CA32" s="533"/>
      <c r="CB32" s="533"/>
      <c r="CC32" s="533"/>
    </row>
    <row r="33" spans="2:81" ht="21.95" customHeight="1" thickBot="1" x14ac:dyDescent="0.3">
      <c r="B33" s="5998" t="s">
        <v>1233</v>
      </c>
      <c r="C33" s="1609" t="s">
        <v>1019</v>
      </c>
      <c r="D33" s="1474">
        <v>7</v>
      </c>
      <c r="E33" s="1481">
        <v>27201</v>
      </c>
      <c r="F33" s="1474">
        <v>4</v>
      </c>
      <c r="G33" s="1481">
        <v>15831</v>
      </c>
      <c r="H33" s="1485">
        <f t="shared" si="0"/>
        <v>11</v>
      </c>
      <c r="I33" s="1486">
        <f t="shared" si="1"/>
        <v>43032</v>
      </c>
      <c r="J33" s="1474">
        <v>5</v>
      </c>
      <c r="K33" s="1481">
        <v>19803</v>
      </c>
      <c r="L33" s="4895">
        <f t="shared" si="20"/>
        <v>16</v>
      </c>
      <c r="M33" s="4982">
        <f t="shared" si="2"/>
        <v>62835</v>
      </c>
      <c r="N33" s="1474">
        <v>4</v>
      </c>
      <c r="O33" s="1481">
        <v>15864.51</v>
      </c>
      <c r="P33" s="1548">
        <f t="shared" si="51"/>
        <v>20</v>
      </c>
      <c r="Q33" s="1548">
        <f t="shared" si="51"/>
        <v>78699.509999999995</v>
      </c>
      <c r="R33" s="1474">
        <v>6</v>
      </c>
      <c r="S33" s="1481">
        <v>23547.25</v>
      </c>
      <c r="T33" s="1548">
        <f t="shared" si="5"/>
        <v>26</v>
      </c>
      <c r="U33" s="1548">
        <f t="shared" si="6"/>
        <v>102246.76</v>
      </c>
      <c r="V33" s="1474">
        <v>3</v>
      </c>
      <c r="W33" s="1481">
        <v>11744.630000000001</v>
      </c>
      <c r="X33" s="4895">
        <f t="shared" si="7"/>
        <v>13</v>
      </c>
      <c r="Y33" s="4983">
        <f t="shared" si="8"/>
        <v>51156.39</v>
      </c>
      <c r="Z33" s="4897">
        <f t="shared" si="9"/>
        <v>29</v>
      </c>
      <c r="AA33" s="4893">
        <f t="shared" si="10"/>
        <v>113991.39</v>
      </c>
      <c r="AB33" s="1474">
        <v>7</v>
      </c>
      <c r="AC33" s="1481">
        <v>27469</v>
      </c>
      <c r="AD33" s="1485">
        <f t="shared" ref="AD33:AE35" si="87">Z33+AB33</f>
        <v>36</v>
      </c>
      <c r="AE33" s="1548">
        <f t="shared" si="87"/>
        <v>141460.39000000001</v>
      </c>
      <c r="AF33" s="1474">
        <v>1</v>
      </c>
      <c r="AG33" s="1481">
        <v>3949</v>
      </c>
      <c r="AH33" s="1485">
        <f t="shared" ref="AH33:AI35" si="88">AD33+AF33</f>
        <v>37</v>
      </c>
      <c r="AI33" s="1548">
        <f t="shared" si="88"/>
        <v>145409.39000000001</v>
      </c>
      <c r="AJ33" s="1474">
        <v>3</v>
      </c>
      <c r="AK33" s="1481">
        <v>11762</v>
      </c>
      <c r="AL33" s="4895">
        <f t="shared" ref="AL33:AM35" si="89">+AB33+AF33+AJ33</f>
        <v>11</v>
      </c>
      <c r="AM33" s="4982">
        <f t="shared" si="89"/>
        <v>43180</v>
      </c>
      <c r="AN33" s="1485">
        <f t="shared" si="66"/>
        <v>40</v>
      </c>
      <c r="AO33" s="1548">
        <f t="shared" si="66"/>
        <v>157171.39000000001</v>
      </c>
      <c r="AP33" s="1474">
        <v>3</v>
      </c>
      <c r="AQ33" s="1481">
        <v>11742</v>
      </c>
      <c r="AR33" s="1485">
        <f t="shared" ref="AR33:AS35" si="90">AN33+AP33</f>
        <v>43</v>
      </c>
      <c r="AS33" s="1548">
        <f t="shared" si="90"/>
        <v>168913.39</v>
      </c>
      <c r="AT33" s="1521">
        <v>4</v>
      </c>
      <c r="AU33" s="1481">
        <v>15829</v>
      </c>
      <c r="AV33" s="1485">
        <f t="shared" ref="AV33:AW35" si="91">AR33+AT33</f>
        <v>47</v>
      </c>
      <c r="AW33" s="1548">
        <f t="shared" si="91"/>
        <v>184742.39</v>
      </c>
      <c r="AX33" s="1521">
        <v>4</v>
      </c>
      <c r="AY33" s="1481">
        <v>15959</v>
      </c>
      <c r="AZ33" s="4895">
        <f t="shared" ref="AZ33:BA35" si="92">+AP33+AT33+AX33</f>
        <v>11</v>
      </c>
      <c r="BA33" s="4983">
        <f t="shared" si="92"/>
        <v>43530</v>
      </c>
      <c r="BB33" s="4897">
        <f t="shared" ref="BB33:BC35" si="93">AL33+AZ33</f>
        <v>22</v>
      </c>
      <c r="BC33" s="4893">
        <f t="shared" si="93"/>
        <v>86710</v>
      </c>
      <c r="BD33" s="1485">
        <f t="shared" ref="BD33:BE35" si="94">AV33+AX33</f>
        <v>51</v>
      </c>
      <c r="BE33" s="1548">
        <f t="shared" si="94"/>
        <v>200701.39</v>
      </c>
      <c r="BF33" s="533"/>
      <c r="BG33" s="533"/>
      <c r="BH33" s="533"/>
      <c r="BI33" s="533"/>
      <c r="BR33" s="533"/>
      <c r="BS33" s="533"/>
      <c r="BT33" s="533"/>
      <c r="BU33" s="533"/>
      <c r="BV33" s="533"/>
      <c r="BW33" s="533"/>
      <c r="BX33" s="533"/>
      <c r="BY33" s="533"/>
      <c r="BZ33" s="533"/>
      <c r="CA33" s="533"/>
      <c r="CB33" s="533"/>
      <c r="CC33" s="533"/>
    </row>
    <row r="34" spans="2:81" ht="21.95" customHeight="1" thickBot="1" x14ac:dyDescent="0.3">
      <c r="B34" s="5988"/>
      <c r="C34" s="4984" t="s">
        <v>1231</v>
      </c>
      <c r="D34" s="4985">
        <v>2</v>
      </c>
      <c r="E34" s="4986">
        <v>8111</v>
      </c>
      <c r="F34" s="4985">
        <v>1</v>
      </c>
      <c r="G34" s="4986">
        <v>4163</v>
      </c>
      <c r="H34" s="1485">
        <f t="shared" si="0"/>
        <v>3</v>
      </c>
      <c r="I34" s="1486">
        <f t="shared" si="1"/>
        <v>12274</v>
      </c>
      <c r="J34" s="4985">
        <v>0</v>
      </c>
      <c r="K34" s="4986">
        <v>0</v>
      </c>
      <c r="L34" s="4895">
        <f t="shared" si="20"/>
        <v>3</v>
      </c>
      <c r="M34" s="4982">
        <f t="shared" si="2"/>
        <v>12274</v>
      </c>
      <c r="N34" s="4985">
        <v>1</v>
      </c>
      <c r="O34" s="4986">
        <v>4073.51</v>
      </c>
      <c r="P34" s="1548">
        <f t="shared" si="51"/>
        <v>4</v>
      </c>
      <c r="Q34" s="1548">
        <f t="shared" si="51"/>
        <v>16347.51</v>
      </c>
      <c r="R34" s="4985">
        <v>1</v>
      </c>
      <c r="S34" s="4986">
        <v>4102.3900000000003</v>
      </c>
      <c r="T34" s="1548">
        <f t="shared" si="5"/>
        <v>5</v>
      </c>
      <c r="U34" s="1548">
        <f t="shared" si="6"/>
        <v>20449.900000000001</v>
      </c>
      <c r="V34" s="4985">
        <v>1</v>
      </c>
      <c r="W34" s="4986">
        <v>4138.8</v>
      </c>
      <c r="X34" s="4895">
        <f t="shared" si="7"/>
        <v>3</v>
      </c>
      <c r="Y34" s="4983">
        <f t="shared" si="8"/>
        <v>12314.7</v>
      </c>
      <c r="Z34" s="4897">
        <f t="shared" si="9"/>
        <v>6</v>
      </c>
      <c r="AA34" s="4893">
        <f t="shared" si="10"/>
        <v>24588.7</v>
      </c>
      <c r="AB34" s="4985">
        <v>0</v>
      </c>
      <c r="AC34" s="4986">
        <v>0</v>
      </c>
      <c r="AD34" s="1485">
        <f t="shared" si="87"/>
        <v>6</v>
      </c>
      <c r="AE34" s="1548">
        <f t="shared" si="87"/>
        <v>24588.7</v>
      </c>
      <c r="AF34" s="4985">
        <v>0</v>
      </c>
      <c r="AG34" s="4986">
        <v>0</v>
      </c>
      <c r="AH34" s="1485">
        <f t="shared" si="88"/>
        <v>6</v>
      </c>
      <c r="AI34" s="1548">
        <f t="shared" si="88"/>
        <v>24588.7</v>
      </c>
      <c r="AJ34" s="4985">
        <v>0</v>
      </c>
      <c r="AK34" s="4986">
        <v>0</v>
      </c>
      <c r="AL34" s="4895">
        <f t="shared" si="89"/>
        <v>0</v>
      </c>
      <c r="AM34" s="4982">
        <f t="shared" si="89"/>
        <v>0</v>
      </c>
      <c r="AN34" s="1485">
        <f t="shared" si="66"/>
        <v>6</v>
      </c>
      <c r="AO34" s="1548">
        <f t="shared" si="66"/>
        <v>24588.7</v>
      </c>
      <c r="AP34" s="4985">
        <v>2</v>
      </c>
      <c r="AQ34" s="4986">
        <v>8241</v>
      </c>
      <c r="AR34" s="1485">
        <f t="shared" si="90"/>
        <v>8</v>
      </c>
      <c r="AS34" s="1548">
        <f t="shared" si="90"/>
        <v>32829.699999999997</v>
      </c>
      <c r="AT34" s="4987">
        <v>1</v>
      </c>
      <c r="AU34" s="4986">
        <v>4101</v>
      </c>
      <c r="AV34" s="1485">
        <f t="shared" si="91"/>
        <v>9</v>
      </c>
      <c r="AW34" s="1548">
        <f t="shared" si="91"/>
        <v>36930.699999999997</v>
      </c>
      <c r="AX34" s="4987">
        <v>0</v>
      </c>
      <c r="AY34" s="4986">
        <v>0</v>
      </c>
      <c r="AZ34" s="4895">
        <f t="shared" si="92"/>
        <v>3</v>
      </c>
      <c r="BA34" s="4983">
        <f t="shared" si="92"/>
        <v>12342</v>
      </c>
      <c r="BB34" s="4897">
        <f t="shared" si="93"/>
        <v>3</v>
      </c>
      <c r="BC34" s="4893">
        <f t="shared" si="93"/>
        <v>12342</v>
      </c>
      <c r="BD34" s="1485">
        <f t="shared" si="94"/>
        <v>9</v>
      </c>
      <c r="BE34" s="1548">
        <f t="shared" si="94"/>
        <v>36930.699999999997</v>
      </c>
      <c r="BF34" s="533"/>
      <c r="BG34" s="533"/>
      <c r="BH34" s="533"/>
      <c r="BI34" s="533"/>
      <c r="BR34" s="533"/>
      <c r="BS34" s="533"/>
      <c r="BT34" s="533"/>
      <c r="BU34" s="533"/>
      <c r="BV34" s="533"/>
      <c r="BW34" s="533"/>
      <c r="BX34" s="533"/>
      <c r="BY34" s="533"/>
      <c r="BZ34" s="533"/>
      <c r="CA34" s="533"/>
      <c r="CB34" s="533"/>
      <c r="CC34" s="533"/>
    </row>
    <row r="35" spans="2:81" ht="21.95" customHeight="1" thickBot="1" x14ac:dyDescent="0.3">
      <c r="B35" s="5999"/>
      <c r="C35" s="5003" t="s">
        <v>1232</v>
      </c>
      <c r="D35" s="5005">
        <v>0</v>
      </c>
      <c r="E35" s="5006">
        <v>0</v>
      </c>
      <c r="F35" s="5005">
        <v>0</v>
      </c>
      <c r="G35" s="5006">
        <v>0</v>
      </c>
      <c r="H35" s="1485">
        <f t="shared" si="0"/>
        <v>0</v>
      </c>
      <c r="I35" s="1486">
        <f t="shared" si="1"/>
        <v>0</v>
      </c>
      <c r="J35" s="5005">
        <v>0</v>
      </c>
      <c r="K35" s="5006">
        <v>0</v>
      </c>
      <c r="L35" s="4895">
        <f t="shared" si="20"/>
        <v>0</v>
      </c>
      <c r="M35" s="4982">
        <f t="shared" si="2"/>
        <v>0</v>
      </c>
      <c r="N35" s="5005">
        <v>0</v>
      </c>
      <c r="O35" s="5006">
        <v>0</v>
      </c>
      <c r="P35" s="1548">
        <f t="shared" si="51"/>
        <v>0</v>
      </c>
      <c r="Q35" s="1548">
        <f t="shared" si="51"/>
        <v>0</v>
      </c>
      <c r="R35" s="5005"/>
      <c r="S35" s="5006"/>
      <c r="T35" s="1548">
        <f t="shared" si="5"/>
        <v>0</v>
      </c>
      <c r="U35" s="1548">
        <f t="shared" si="6"/>
        <v>0</v>
      </c>
      <c r="V35" s="5005">
        <v>0</v>
      </c>
      <c r="W35" s="5006">
        <v>0</v>
      </c>
      <c r="X35" s="4895">
        <f t="shared" si="7"/>
        <v>0</v>
      </c>
      <c r="Y35" s="4983">
        <f t="shared" si="8"/>
        <v>0</v>
      </c>
      <c r="Z35" s="4897">
        <f t="shared" si="9"/>
        <v>0</v>
      </c>
      <c r="AA35" s="4893">
        <f t="shared" si="10"/>
        <v>0</v>
      </c>
      <c r="AB35" s="5005">
        <v>0</v>
      </c>
      <c r="AC35" s="5006">
        <v>0</v>
      </c>
      <c r="AD35" s="1485">
        <f t="shared" si="87"/>
        <v>0</v>
      </c>
      <c r="AE35" s="1548">
        <f t="shared" si="87"/>
        <v>0</v>
      </c>
      <c r="AF35" s="5005">
        <v>0</v>
      </c>
      <c r="AG35" s="5006">
        <v>0</v>
      </c>
      <c r="AH35" s="1485">
        <f t="shared" si="88"/>
        <v>0</v>
      </c>
      <c r="AI35" s="1548">
        <f t="shared" si="88"/>
        <v>0</v>
      </c>
      <c r="AJ35" s="5005">
        <v>0</v>
      </c>
      <c r="AK35" s="5006">
        <v>0</v>
      </c>
      <c r="AL35" s="4895">
        <f t="shared" si="89"/>
        <v>0</v>
      </c>
      <c r="AM35" s="4982">
        <f t="shared" si="89"/>
        <v>0</v>
      </c>
      <c r="AN35" s="1485">
        <f t="shared" si="66"/>
        <v>0</v>
      </c>
      <c r="AO35" s="1548">
        <f t="shared" si="66"/>
        <v>0</v>
      </c>
      <c r="AP35" s="5005">
        <v>0</v>
      </c>
      <c r="AQ35" s="5006">
        <v>0</v>
      </c>
      <c r="AR35" s="1485">
        <f t="shared" si="90"/>
        <v>0</v>
      </c>
      <c r="AS35" s="1548">
        <f t="shared" si="90"/>
        <v>0</v>
      </c>
      <c r="AT35" s="4987">
        <v>0</v>
      </c>
      <c r="AU35" s="5006">
        <v>0</v>
      </c>
      <c r="AV35" s="1485">
        <f t="shared" si="91"/>
        <v>0</v>
      </c>
      <c r="AW35" s="1548">
        <f t="shared" si="91"/>
        <v>0</v>
      </c>
      <c r="AX35" s="4987">
        <v>0</v>
      </c>
      <c r="AY35" s="5006">
        <v>0</v>
      </c>
      <c r="AZ35" s="4895">
        <f t="shared" si="92"/>
        <v>0</v>
      </c>
      <c r="BA35" s="4983">
        <f t="shared" si="92"/>
        <v>0</v>
      </c>
      <c r="BB35" s="4897">
        <f t="shared" si="93"/>
        <v>0</v>
      </c>
      <c r="BC35" s="4893">
        <f t="shared" si="93"/>
        <v>0</v>
      </c>
      <c r="BD35" s="1485">
        <f t="shared" si="94"/>
        <v>0</v>
      </c>
      <c r="BE35" s="1548">
        <f t="shared" si="94"/>
        <v>0</v>
      </c>
      <c r="BF35" s="533"/>
      <c r="BG35" s="533"/>
      <c r="BH35" s="533"/>
      <c r="BI35" s="533"/>
      <c r="BR35" s="533"/>
      <c r="BS35" s="533"/>
      <c r="BT35" s="533"/>
      <c r="BU35" s="533"/>
      <c r="BV35" s="533"/>
      <c r="BW35" s="533"/>
      <c r="BX35" s="533"/>
      <c r="BY35" s="533"/>
      <c r="BZ35" s="533"/>
      <c r="CA35" s="533"/>
      <c r="CB35" s="533"/>
      <c r="CC35" s="533"/>
    </row>
    <row r="36" spans="2:81" ht="21.95" customHeight="1" thickBot="1" x14ac:dyDescent="0.3">
      <c r="B36" s="5989"/>
      <c r="C36" s="1461" t="s">
        <v>2</v>
      </c>
      <c r="D36" s="5008">
        <f>SUM(D33:D35)</f>
        <v>9</v>
      </c>
      <c r="E36" s="5008">
        <f t="shared" ref="E36:BE36" si="95">SUM(E33:E35)</f>
        <v>35312</v>
      </c>
      <c r="F36" s="5008">
        <f>SUM(F33:F35)</f>
        <v>5</v>
      </c>
      <c r="G36" s="5008">
        <f t="shared" ref="G36" si="96">SUM(G33:G35)</f>
        <v>19994</v>
      </c>
      <c r="H36" s="1485">
        <f t="shared" si="0"/>
        <v>14</v>
      </c>
      <c r="I36" s="1486">
        <f t="shared" si="1"/>
        <v>55306</v>
      </c>
      <c r="J36" s="5008">
        <f>SUM(J33:J35)</f>
        <v>5</v>
      </c>
      <c r="K36" s="5008">
        <f t="shared" ref="K36" si="97">SUM(K33:K35)</f>
        <v>19803</v>
      </c>
      <c r="L36" s="5009">
        <f t="shared" si="95"/>
        <v>19</v>
      </c>
      <c r="M36" s="5009">
        <f t="shared" si="95"/>
        <v>75109</v>
      </c>
      <c r="N36" s="5008">
        <f>SUM(N33:N35)</f>
        <v>5</v>
      </c>
      <c r="O36" s="5008">
        <f t="shared" ref="O36" si="98">SUM(O33:O35)</f>
        <v>19938.02</v>
      </c>
      <c r="P36" s="1548">
        <f t="shared" si="51"/>
        <v>24</v>
      </c>
      <c r="Q36" s="1548">
        <f t="shared" si="51"/>
        <v>95047.02</v>
      </c>
      <c r="R36" s="5008">
        <f>SUM(R33:R35)</f>
        <v>7</v>
      </c>
      <c r="S36" s="5008">
        <f t="shared" ref="S36" si="99">SUM(S33:S35)</f>
        <v>27649.64</v>
      </c>
      <c r="T36" s="1548">
        <f t="shared" si="5"/>
        <v>31</v>
      </c>
      <c r="U36" s="1548">
        <f t="shared" si="6"/>
        <v>122696.66</v>
      </c>
      <c r="V36" s="5008">
        <f>SUM(V33:V35)</f>
        <v>4</v>
      </c>
      <c r="W36" s="5008">
        <f t="shared" ref="W36" si="100">SUM(W33:W35)</f>
        <v>15883.43</v>
      </c>
      <c r="X36" s="5009">
        <f t="shared" si="7"/>
        <v>16</v>
      </c>
      <c r="Y36" s="5010">
        <f t="shared" si="8"/>
        <v>63471.090000000004</v>
      </c>
      <c r="Z36" s="4888">
        <f t="shared" si="9"/>
        <v>35</v>
      </c>
      <c r="AA36" s="4888">
        <f t="shared" si="10"/>
        <v>138580.09</v>
      </c>
      <c r="AB36" s="5008">
        <f t="shared" si="95"/>
        <v>7</v>
      </c>
      <c r="AC36" s="5008">
        <f t="shared" si="95"/>
        <v>27469</v>
      </c>
      <c r="AD36" s="5008">
        <f t="shared" si="95"/>
        <v>42</v>
      </c>
      <c r="AE36" s="5008">
        <f t="shared" si="95"/>
        <v>166049.09000000003</v>
      </c>
      <c r="AF36" s="5008">
        <f t="shared" si="95"/>
        <v>1</v>
      </c>
      <c r="AG36" s="5008">
        <f t="shared" si="95"/>
        <v>3949</v>
      </c>
      <c r="AH36" s="5008">
        <f t="shared" si="95"/>
        <v>43</v>
      </c>
      <c r="AI36" s="5008">
        <f t="shared" si="95"/>
        <v>169998.09000000003</v>
      </c>
      <c r="AJ36" s="5008">
        <f t="shared" si="95"/>
        <v>3</v>
      </c>
      <c r="AK36" s="5008">
        <f t="shared" si="95"/>
        <v>11762</v>
      </c>
      <c r="AL36" s="5008">
        <f t="shared" si="95"/>
        <v>11</v>
      </c>
      <c r="AM36" s="5008">
        <f t="shared" si="95"/>
        <v>43180</v>
      </c>
      <c r="AN36" s="5008">
        <f t="shared" si="95"/>
        <v>46</v>
      </c>
      <c r="AO36" s="5008">
        <f t="shared" si="95"/>
        <v>181760.09000000003</v>
      </c>
      <c r="AP36" s="5008">
        <f t="shared" si="95"/>
        <v>5</v>
      </c>
      <c r="AQ36" s="5008">
        <f t="shared" si="95"/>
        <v>19983</v>
      </c>
      <c r="AR36" s="5008">
        <f t="shared" si="95"/>
        <v>51</v>
      </c>
      <c r="AS36" s="5008">
        <f t="shared" si="95"/>
        <v>201743.09000000003</v>
      </c>
      <c r="AT36" s="5008">
        <f t="shared" si="95"/>
        <v>5</v>
      </c>
      <c r="AU36" s="5008">
        <f t="shared" si="95"/>
        <v>19930</v>
      </c>
      <c r="AV36" s="5008">
        <f t="shared" si="95"/>
        <v>56</v>
      </c>
      <c r="AW36" s="5008">
        <f t="shared" si="95"/>
        <v>221673.09000000003</v>
      </c>
      <c r="AX36" s="5008">
        <f t="shared" si="95"/>
        <v>4</v>
      </c>
      <c r="AY36" s="5008">
        <f t="shared" si="95"/>
        <v>15959</v>
      </c>
      <c r="AZ36" s="5008">
        <f t="shared" si="95"/>
        <v>14</v>
      </c>
      <c r="BA36" s="5011">
        <f t="shared" si="95"/>
        <v>55872</v>
      </c>
      <c r="BB36" s="4887">
        <f t="shared" si="95"/>
        <v>25</v>
      </c>
      <c r="BC36" s="4887">
        <f t="shared" si="95"/>
        <v>99052</v>
      </c>
      <c r="BD36" s="5008">
        <f t="shared" si="95"/>
        <v>60</v>
      </c>
      <c r="BE36" s="5008">
        <f t="shared" si="95"/>
        <v>237632.09000000003</v>
      </c>
      <c r="BF36" s="533"/>
      <c r="BG36" s="533"/>
      <c r="BH36" s="533"/>
      <c r="BI36" s="533"/>
      <c r="BR36" s="533"/>
      <c r="BS36" s="533"/>
      <c r="BT36" s="533"/>
      <c r="BU36" s="533"/>
      <c r="BV36" s="533"/>
      <c r="BW36" s="533"/>
      <c r="BX36" s="533"/>
      <c r="BY36" s="533"/>
      <c r="BZ36" s="533"/>
      <c r="CA36" s="533"/>
      <c r="CB36" s="533"/>
      <c r="CC36" s="533"/>
    </row>
    <row r="37" spans="2:81" ht="21.95" customHeight="1" thickBot="1" x14ac:dyDescent="0.3">
      <c r="B37" s="5978" t="s">
        <v>1234</v>
      </c>
      <c r="C37" s="1460" t="s">
        <v>1235</v>
      </c>
      <c r="D37" s="1474">
        <v>11</v>
      </c>
      <c r="E37" s="1481">
        <v>43009</v>
      </c>
      <c r="F37" s="1474">
        <v>14</v>
      </c>
      <c r="G37" s="1481">
        <v>55133</v>
      </c>
      <c r="H37" s="1485">
        <f t="shared" si="0"/>
        <v>25</v>
      </c>
      <c r="I37" s="1486">
        <f t="shared" si="1"/>
        <v>98142</v>
      </c>
      <c r="J37" s="1474">
        <v>10</v>
      </c>
      <c r="K37" s="1481">
        <v>39886</v>
      </c>
      <c r="L37" s="4895">
        <f t="shared" si="20"/>
        <v>35</v>
      </c>
      <c r="M37" s="4982">
        <f t="shared" si="2"/>
        <v>138028</v>
      </c>
      <c r="N37" s="1474">
        <v>13.5</v>
      </c>
      <c r="O37" s="1481">
        <v>50563.76</v>
      </c>
      <c r="P37" s="1548">
        <f t="shared" si="51"/>
        <v>48.5</v>
      </c>
      <c r="Q37" s="1548">
        <f t="shared" si="51"/>
        <v>188591.76</v>
      </c>
      <c r="R37" s="1474">
        <v>10</v>
      </c>
      <c r="S37" s="1481">
        <v>38128.58</v>
      </c>
      <c r="T37" s="1548">
        <f t="shared" si="5"/>
        <v>58.5</v>
      </c>
      <c r="U37" s="1548">
        <f t="shared" si="6"/>
        <v>226720.34000000003</v>
      </c>
      <c r="V37" s="1474">
        <v>12.7</v>
      </c>
      <c r="W37" s="1481">
        <v>49886.91</v>
      </c>
      <c r="X37" s="4895">
        <f t="shared" si="7"/>
        <v>36.200000000000003</v>
      </c>
      <c r="Y37" s="4983">
        <f t="shared" si="8"/>
        <v>138579.25</v>
      </c>
      <c r="Z37" s="4897">
        <f t="shared" si="9"/>
        <v>71.2</v>
      </c>
      <c r="AA37" s="4893">
        <f t="shared" si="10"/>
        <v>276607.25</v>
      </c>
      <c r="AB37" s="1474">
        <v>14</v>
      </c>
      <c r="AC37" s="1481">
        <v>55460</v>
      </c>
      <c r="AD37" s="1485">
        <f t="shared" ref="AD37:AE46" si="101">Z37+AB37</f>
        <v>85.2</v>
      </c>
      <c r="AE37" s="1548">
        <f t="shared" si="101"/>
        <v>332067.25</v>
      </c>
      <c r="AF37" s="1474">
        <v>9.6999999999999993</v>
      </c>
      <c r="AG37" s="1481">
        <v>37126</v>
      </c>
      <c r="AH37" s="1485">
        <f t="shared" ref="AH37:AI46" si="102">AD37+AF37</f>
        <v>94.9</v>
      </c>
      <c r="AI37" s="1548">
        <f t="shared" si="102"/>
        <v>369193.25</v>
      </c>
      <c r="AJ37" s="1474">
        <v>13.7</v>
      </c>
      <c r="AK37" s="1481">
        <v>54121</v>
      </c>
      <c r="AL37" s="4895">
        <f t="shared" ref="AL37:AM46" si="103">+AB37+AF37+AJ37</f>
        <v>37.4</v>
      </c>
      <c r="AM37" s="4982">
        <f t="shared" si="103"/>
        <v>146707</v>
      </c>
      <c r="AN37" s="1485">
        <f t="shared" si="66"/>
        <v>108.60000000000001</v>
      </c>
      <c r="AO37" s="1548">
        <f t="shared" si="66"/>
        <v>423314.25</v>
      </c>
      <c r="AP37" s="1474">
        <v>15.7</v>
      </c>
      <c r="AQ37" s="1481">
        <v>66011</v>
      </c>
      <c r="AR37" s="1485">
        <f t="shared" ref="AR37:AS46" si="104">AN37+AP37</f>
        <v>124.30000000000001</v>
      </c>
      <c r="AS37" s="1548">
        <f t="shared" si="104"/>
        <v>489325.25</v>
      </c>
      <c r="AT37" s="1521">
        <v>13.5</v>
      </c>
      <c r="AU37" s="1481">
        <v>53546</v>
      </c>
      <c r="AV37" s="1485">
        <f t="shared" ref="AV37:AW46" si="105">AR37+AT37</f>
        <v>137.80000000000001</v>
      </c>
      <c r="AW37" s="1548">
        <f t="shared" si="105"/>
        <v>542871.25</v>
      </c>
      <c r="AX37" s="1521">
        <v>8.5</v>
      </c>
      <c r="AY37" s="1481">
        <v>52750</v>
      </c>
      <c r="AZ37" s="4895">
        <f t="shared" ref="AZ37:BA46" si="106">+AP37+AT37+AX37</f>
        <v>37.700000000000003</v>
      </c>
      <c r="BA37" s="4983">
        <f t="shared" si="106"/>
        <v>172307</v>
      </c>
      <c r="BB37" s="4897">
        <f t="shared" ref="BB37:BC46" si="107">AL37+AZ37</f>
        <v>75.099999999999994</v>
      </c>
      <c r="BC37" s="4893">
        <f t="shared" si="107"/>
        <v>319014</v>
      </c>
      <c r="BD37" s="1485">
        <f t="shared" ref="BD37:BE46" si="108">AV37+AX37</f>
        <v>146.30000000000001</v>
      </c>
      <c r="BE37" s="1548">
        <f t="shared" si="108"/>
        <v>595621.25</v>
      </c>
      <c r="BF37" s="533"/>
      <c r="BG37" s="533"/>
      <c r="BH37" s="533"/>
      <c r="BI37" s="533"/>
      <c r="BR37" s="533"/>
      <c r="BS37" s="533"/>
      <c r="BT37" s="533"/>
      <c r="BU37" s="533"/>
      <c r="BV37" s="533"/>
      <c r="BW37" s="533"/>
      <c r="BX37" s="533"/>
      <c r="BY37" s="533"/>
      <c r="BZ37" s="533"/>
      <c r="CA37" s="533"/>
      <c r="CB37" s="533"/>
      <c r="CC37" s="533"/>
    </row>
    <row r="38" spans="2:81" ht="21.95" customHeight="1" thickBot="1" x14ac:dyDescent="0.3">
      <c r="B38" s="5965"/>
      <c r="C38" s="5528" t="s">
        <v>2308</v>
      </c>
      <c r="D38" s="1462"/>
      <c r="E38" s="1463"/>
      <c r="F38" s="1462"/>
      <c r="G38" s="1463"/>
      <c r="H38" s="1485"/>
      <c r="I38" s="1486"/>
      <c r="J38" s="1462"/>
      <c r="K38" s="1463"/>
      <c r="L38" s="4895"/>
      <c r="M38" s="4982"/>
      <c r="N38" s="1462">
        <v>3.8</v>
      </c>
      <c r="O38" s="1463">
        <v>13797.21</v>
      </c>
      <c r="P38" s="1548">
        <f t="shared" ref="P38" si="109">L38+N38</f>
        <v>3.8</v>
      </c>
      <c r="Q38" s="1548">
        <f t="shared" ref="Q38" si="110">M38+O38</f>
        <v>13797.21</v>
      </c>
      <c r="R38" s="1462">
        <v>3</v>
      </c>
      <c r="S38" s="1463">
        <v>11960.6</v>
      </c>
      <c r="T38" s="1548">
        <f t="shared" si="5"/>
        <v>6.8</v>
      </c>
      <c r="U38" s="1548">
        <f t="shared" si="6"/>
        <v>25757.809999999998</v>
      </c>
      <c r="V38" s="1462">
        <v>3.3</v>
      </c>
      <c r="W38" s="1463">
        <v>12937.04</v>
      </c>
      <c r="X38" s="4895">
        <f t="shared" si="7"/>
        <v>10.1</v>
      </c>
      <c r="Y38" s="4983">
        <f t="shared" si="8"/>
        <v>38694.85</v>
      </c>
      <c r="Z38" s="5529">
        <f t="shared" si="9"/>
        <v>10.1</v>
      </c>
      <c r="AA38" s="5530">
        <f t="shared" si="10"/>
        <v>38694.85</v>
      </c>
      <c r="AB38" s="1462"/>
      <c r="AC38" s="1463"/>
      <c r="AD38" s="1485"/>
      <c r="AE38" s="1548"/>
      <c r="AF38" s="1462"/>
      <c r="AG38" s="1463"/>
      <c r="AH38" s="1485"/>
      <c r="AI38" s="1548"/>
      <c r="AJ38" s="1462"/>
      <c r="AK38" s="1463"/>
      <c r="AL38" s="4895"/>
      <c r="AM38" s="4982"/>
      <c r="AN38" s="1485"/>
      <c r="AO38" s="1548"/>
      <c r="AP38" s="1462"/>
      <c r="AQ38" s="1463"/>
      <c r="AR38" s="1485"/>
      <c r="AS38" s="1548"/>
      <c r="AT38" s="1523"/>
      <c r="AU38" s="1463"/>
      <c r="AV38" s="1485"/>
      <c r="AW38" s="1548"/>
      <c r="AX38" s="1523"/>
      <c r="AY38" s="1463"/>
      <c r="AZ38" s="4895"/>
      <c r="BA38" s="4983"/>
      <c r="BB38" s="5529"/>
      <c r="BC38" s="5530"/>
      <c r="BD38" s="1485"/>
      <c r="BE38" s="1548"/>
      <c r="BF38" s="533"/>
      <c r="BG38" s="533"/>
      <c r="BH38" s="533"/>
      <c r="BI38" s="533"/>
      <c r="BR38" s="533"/>
      <c r="BS38" s="533"/>
      <c r="BT38" s="533"/>
      <c r="BU38" s="533"/>
      <c r="BV38" s="533"/>
      <c r="BW38" s="533"/>
      <c r="BX38" s="533"/>
      <c r="BY38" s="533"/>
      <c r="BZ38" s="533"/>
      <c r="CA38" s="533"/>
      <c r="CB38" s="533"/>
      <c r="CC38" s="533"/>
    </row>
    <row r="39" spans="2:81" ht="21.95" customHeight="1" thickBot="1" x14ac:dyDescent="0.3">
      <c r="B39" s="5966"/>
      <c r="C39" s="4984" t="s">
        <v>1236</v>
      </c>
      <c r="D39" s="4985">
        <v>3</v>
      </c>
      <c r="E39" s="4986">
        <v>11237</v>
      </c>
      <c r="F39" s="4985">
        <v>4</v>
      </c>
      <c r="G39" s="4986">
        <v>15810</v>
      </c>
      <c r="H39" s="1485">
        <f t="shared" si="0"/>
        <v>7</v>
      </c>
      <c r="I39" s="1486">
        <f t="shared" si="1"/>
        <v>27047</v>
      </c>
      <c r="J39" s="4985">
        <v>0</v>
      </c>
      <c r="K39" s="4986">
        <v>0</v>
      </c>
      <c r="L39" s="4895">
        <f t="shared" si="20"/>
        <v>7</v>
      </c>
      <c r="M39" s="4982">
        <f t="shared" si="2"/>
        <v>27047</v>
      </c>
      <c r="N39" s="4985">
        <v>1</v>
      </c>
      <c r="O39" s="4986">
        <v>3727.57</v>
      </c>
      <c r="P39" s="1548">
        <f t="shared" si="51"/>
        <v>8</v>
      </c>
      <c r="Q39" s="1548">
        <f t="shared" si="51"/>
        <v>30774.57</v>
      </c>
      <c r="R39" s="4985">
        <v>3</v>
      </c>
      <c r="S39" s="4986">
        <v>11163.08</v>
      </c>
      <c r="T39" s="1548">
        <f t="shared" si="5"/>
        <v>11</v>
      </c>
      <c r="U39" s="1548">
        <f t="shared" si="6"/>
        <v>41937.65</v>
      </c>
      <c r="V39" s="4985">
        <v>3</v>
      </c>
      <c r="W39" s="4986">
        <v>11682.16</v>
      </c>
      <c r="X39" s="4895">
        <f t="shared" si="7"/>
        <v>7</v>
      </c>
      <c r="Y39" s="4983">
        <f t="shared" si="8"/>
        <v>26572.809999999998</v>
      </c>
      <c r="Z39" s="4897">
        <f t="shared" si="9"/>
        <v>14</v>
      </c>
      <c r="AA39" s="4893">
        <f t="shared" si="10"/>
        <v>53619.81</v>
      </c>
      <c r="AB39" s="4985">
        <v>3</v>
      </c>
      <c r="AC39" s="4986">
        <v>11591</v>
      </c>
      <c r="AD39" s="1485">
        <f t="shared" si="101"/>
        <v>17</v>
      </c>
      <c r="AE39" s="1548">
        <f t="shared" si="101"/>
        <v>65210.81</v>
      </c>
      <c r="AF39" s="4985">
        <v>2.2999999999999998</v>
      </c>
      <c r="AG39" s="4986">
        <v>9181</v>
      </c>
      <c r="AH39" s="1485">
        <f t="shared" si="102"/>
        <v>19.3</v>
      </c>
      <c r="AI39" s="1548">
        <f t="shared" si="102"/>
        <v>74391.81</v>
      </c>
      <c r="AJ39" s="4985">
        <v>1.8</v>
      </c>
      <c r="AK39" s="4986">
        <v>10907</v>
      </c>
      <c r="AL39" s="4895">
        <f t="shared" si="103"/>
        <v>7.1</v>
      </c>
      <c r="AM39" s="4982">
        <f t="shared" si="103"/>
        <v>31679</v>
      </c>
      <c r="AN39" s="1485">
        <f t="shared" si="66"/>
        <v>21.1</v>
      </c>
      <c r="AO39" s="1548">
        <f t="shared" si="66"/>
        <v>85298.81</v>
      </c>
      <c r="AP39" s="4985">
        <v>2</v>
      </c>
      <c r="AQ39" s="4986">
        <v>7734</v>
      </c>
      <c r="AR39" s="1485">
        <f t="shared" si="104"/>
        <v>23.1</v>
      </c>
      <c r="AS39" s="1548">
        <f t="shared" si="104"/>
        <v>93032.81</v>
      </c>
      <c r="AT39" s="4987">
        <v>2</v>
      </c>
      <c r="AU39" s="4986">
        <v>7786</v>
      </c>
      <c r="AV39" s="1485">
        <f t="shared" si="105"/>
        <v>25.1</v>
      </c>
      <c r="AW39" s="1548">
        <f t="shared" si="105"/>
        <v>100818.81</v>
      </c>
      <c r="AX39" s="4987">
        <v>2.2000000000000002</v>
      </c>
      <c r="AY39" s="4986">
        <v>12217</v>
      </c>
      <c r="AZ39" s="4895">
        <f t="shared" si="106"/>
        <v>6.2</v>
      </c>
      <c r="BA39" s="4983">
        <f t="shared" si="106"/>
        <v>27737</v>
      </c>
      <c r="BB39" s="4897">
        <f t="shared" si="107"/>
        <v>13.3</v>
      </c>
      <c r="BC39" s="4893">
        <f t="shared" si="107"/>
        <v>59416</v>
      </c>
      <c r="BD39" s="1485">
        <f t="shared" si="108"/>
        <v>27.3</v>
      </c>
      <c r="BE39" s="1548">
        <f t="shared" si="108"/>
        <v>113035.81</v>
      </c>
      <c r="BF39" s="533"/>
      <c r="BG39" s="533"/>
      <c r="BH39" s="533"/>
      <c r="BI39" s="533"/>
      <c r="BR39" s="533"/>
      <c r="BS39" s="533"/>
      <c r="BT39" s="533"/>
      <c r="BU39" s="533"/>
      <c r="BV39" s="533"/>
      <c r="BW39" s="533"/>
      <c r="BX39" s="533"/>
      <c r="BY39" s="533"/>
      <c r="BZ39" s="533"/>
      <c r="CA39" s="533"/>
      <c r="CB39" s="533"/>
      <c r="CC39" s="533"/>
    </row>
    <row r="40" spans="2:81" s="1356" customFormat="1" ht="21.95" customHeight="1" thickBot="1" x14ac:dyDescent="0.3">
      <c r="B40" s="5966"/>
      <c r="C40" s="4984" t="s">
        <v>1237</v>
      </c>
      <c r="D40" s="4985">
        <v>0</v>
      </c>
      <c r="E40" s="4986">
        <v>0</v>
      </c>
      <c r="F40" s="4985">
        <v>0</v>
      </c>
      <c r="G40" s="4986">
        <v>0</v>
      </c>
      <c r="H40" s="1485">
        <f t="shared" si="0"/>
        <v>0</v>
      </c>
      <c r="I40" s="1486">
        <f t="shared" si="1"/>
        <v>0</v>
      </c>
      <c r="J40" s="4985">
        <v>0</v>
      </c>
      <c r="K40" s="4986">
        <v>0</v>
      </c>
      <c r="L40" s="4895">
        <f t="shared" si="20"/>
        <v>0</v>
      </c>
      <c r="M40" s="4982">
        <f t="shared" si="2"/>
        <v>0</v>
      </c>
      <c r="N40" s="4985">
        <v>3</v>
      </c>
      <c r="O40" s="4986">
        <v>10982.12</v>
      </c>
      <c r="P40" s="1548">
        <f t="shared" si="51"/>
        <v>3</v>
      </c>
      <c r="Q40" s="1548">
        <f t="shared" si="51"/>
        <v>10982.12</v>
      </c>
      <c r="R40" s="4985">
        <v>0</v>
      </c>
      <c r="S40" s="4986">
        <v>0</v>
      </c>
      <c r="T40" s="1548">
        <f t="shared" si="5"/>
        <v>3</v>
      </c>
      <c r="U40" s="1548">
        <f t="shared" si="6"/>
        <v>10982.12</v>
      </c>
      <c r="V40" s="4985">
        <v>0</v>
      </c>
      <c r="W40" s="4986">
        <v>0</v>
      </c>
      <c r="X40" s="4895">
        <f t="shared" si="7"/>
        <v>3</v>
      </c>
      <c r="Y40" s="4983">
        <f t="shared" si="8"/>
        <v>10982.12</v>
      </c>
      <c r="Z40" s="4897">
        <f t="shared" si="9"/>
        <v>3</v>
      </c>
      <c r="AA40" s="4893">
        <f t="shared" si="10"/>
        <v>10982.12</v>
      </c>
      <c r="AB40" s="4985">
        <v>1.6</v>
      </c>
      <c r="AC40" s="4986">
        <v>6144</v>
      </c>
      <c r="AD40" s="1485">
        <f t="shared" si="101"/>
        <v>4.5999999999999996</v>
      </c>
      <c r="AE40" s="1548">
        <f t="shared" si="101"/>
        <v>17126.120000000003</v>
      </c>
      <c r="AF40" s="4985">
        <v>1</v>
      </c>
      <c r="AG40" s="4986">
        <v>3860</v>
      </c>
      <c r="AH40" s="1485">
        <f t="shared" si="102"/>
        <v>5.6</v>
      </c>
      <c r="AI40" s="1548">
        <f t="shared" si="102"/>
        <v>20986.120000000003</v>
      </c>
      <c r="AJ40" s="4985">
        <v>0</v>
      </c>
      <c r="AK40" s="4986">
        <v>0</v>
      </c>
      <c r="AL40" s="4895">
        <f t="shared" si="103"/>
        <v>2.6</v>
      </c>
      <c r="AM40" s="4982">
        <f t="shared" si="103"/>
        <v>10004</v>
      </c>
      <c r="AN40" s="1485">
        <f t="shared" si="66"/>
        <v>5.6</v>
      </c>
      <c r="AO40" s="1548">
        <f t="shared" si="66"/>
        <v>20986.120000000003</v>
      </c>
      <c r="AP40" s="4985">
        <v>0</v>
      </c>
      <c r="AQ40" s="4986">
        <v>0</v>
      </c>
      <c r="AR40" s="1485">
        <f t="shared" si="104"/>
        <v>5.6</v>
      </c>
      <c r="AS40" s="1548">
        <f t="shared" si="104"/>
        <v>20986.120000000003</v>
      </c>
      <c r="AT40" s="4987">
        <v>0</v>
      </c>
      <c r="AU40" s="4986">
        <v>0</v>
      </c>
      <c r="AV40" s="1485">
        <f t="shared" si="105"/>
        <v>5.6</v>
      </c>
      <c r="AW40" s="1548">
        <f t="shared" si="105"/>
        <v>20986.120000000003</v>
      </c>
      <c r="AX40" s="4987">
        <v>1.5</v>
      </c>
      <c r="AY40" s="4986">
        <v>5976</v>
      </c>
      <c r="AZ40" s="4895">
        <f t="shared" si="106"/>
        <v>1.5</v>
      </c>
      <c r="BA40" s="4983">
        <f t="shared" si="106"/>
        <v>5976</v>
      </c>
      <c r="BB40" s="4897">
        <f t="shared" si="107"/>
        <v>4.0999999999999996</v>
      </c>
      <c r="BC40" s="4893">
        <f t="shared" si="107"/>
        <v>15980</v>
      </c>
      <c r="BD40" s="1485">
        <f t="shared" si="108"/>
        <v>7.1</v>
      </c>
      <c r="BE40" s="1548">
        <f t="shared" si="108"/>
        <v>26962.120000000003</v>
      </c>
      <c r="BF40" s="533"/>
      <c r="BG40" s="533"/>
      <c r="BH40" s="533"/>
      <c r="BI40" s="533"/>
      <c r="BR40" s="533"/>
      <c r="BS40" s="533"/>
      <c r="BT40" s="533"/>
      <c r="BU40" s="533"/>
      <c r="BV40" s="533"/>
      <c r="BW40" s="533"/>
      <c r="BX40" s="533"/>
      <c r="BY40" s="533"/>
      <c r="BZ40" s="533"/>
      <c r="CA40" s="533"/>
      <c r="CB40" s="533"/>
      <c r="CC40" s="533"/>
    </row>
    <row r="41" spans="2:81" s="1356" customFormat="1" ht="21.95" customHeight="1" thickBot="1" x14ac:dyDescent="0.3">
      <c r="B41" s="5966"/>
      <c r="C41" s="5003" t="s">
        <v>1284</v>
      </c>
      <c r="D41" s="4985">
        <v>0</v>
      </c>
      <c r="E41" s="4986">
        <v>0</v>
      </c>
      <c r="F41" s="4985"/>
      <c r="G41" s="4986"/>
      <c r="H41" s="1485">
        <f t="shared" si="0"/>
        <v>0</v>
      </c>
      <c r="I41" s="1486">
        <f t="shared" si="1"/>
        <v>0</v>
      </c>
      <c r="J41" s="4985">
        <v>1</v>
      </c>
      <c r="K41" s="4986">
        <v>3956</v>
      </c>
      <c r="L41" s="4895">
        <f t="shared" si="20"/>
        <v>1</v>
      </c>
      <c r="M41" s="4982">
        <f t="shared" si="2"/>
        <v>3956</v>
      </c>
      <c r="N41" s="4985">
        <v>0</v>
      </c>
      <c r="O41" s="4986">
        <v>0</v>
      </c>
      <c r="P41" s="1548">
        <f t="shared" si="51"/>
        <v>1</v>
      </c>
      <c r="Q41" s="1548">
        <f t="shared" si="51"/>
        <v>3956</v>
      </c>
      <c r="R41" s="4985">
        <v>0</v>
      </c>
      <c r="S41" s="4986">
        <v>0</v>
      </c>
      <c r="T41" s="1548">
        <f t="shared" si="5"/>
        <v>1</v>
      </c>
      <c r="U41" s="1548">
        <f t="shared" si="6"/>
        <v>3956</v>
      </c>
      <c r="V41" s="4985">
        <v>0</v>
      </c>
      <c r="W41" s="4986">
        <v>0</v>
      </c>
      <c r="X41" s="4895">
        <f t="shared" si="7"/>
        <v>0</v>
      </c>
      <c r="Y41" s="4983">
        <f t="shared" si="8"/>
        <v>0</v>
      </c>
      <c r="Z41" s="4897">
        <f t="shared" si="9"/>
        <v>1</v>
      </c>
      <c r="AA41" s="4893">
        <f t="shared" si="10"/>
        <v>3956</v>
      </c>
      <c r="AB41" s="4985">
        <v>0</v>
      </c>
      <c r="AC41" s="4986">
        <v>0</v>
      </c>
      <c r="AD41" s="1485">
        <f t="shared" si="101"/>
        <v>1</v>
      </c>
      <c r="AE41" s="1548">
        <f t="shared" si="101"/>
        <v>3956</v>
      </c>
      <c r="AF41" s="4985">
        <v>0</v>
      </c>
      <c r="AG41" s="4986">
        <v>0</v>
      </c>
      <c r="AH41" s="1485">
        <f t="shared" si="102"/>
        <v>1</v>
      </c>
      <c r="AI41" s="1548">
        <f t="shared" si="102"/>
        <v>3956</v>
      </c>
      <c r="AJ41" s="4985">
        <v>0</v>
      </c>
      <c r="AK41" s="4986">
        <v>0</v>
      </c>
      <c r="AL41" s="4895">
        <f t="shared" si="103"/>
        <v>0</v>
      </c>
      <c r="AM41" s="4982">
        <f t="shared" si="103"/>
        <v>0</v>
      </c>
      <c r="AN41" s="1485">
        <f t="shared" ref="AN41:AO57" si="111">AH41+AJ41</f>
        <v>1</v>
      </c>
      <c r="AO41" s="1548">
        <f t="shared" si="111"/>
        <v>3956</v>
      </c>
      <c r="AP41" s="4985">
        <v>0</v>
      </c>
      <c r="AQ41" s="4986">
        <v>0</v>
      </c>
      <c r="AR41" s="1485">
        <f t="shared" si="104"/>
        <v>1</v>
      </c>
      <c r="AS41" s="1548">
        <f t="shared" si="104"/>
        <v>3956</v>
      </c>
      <c r="AT41" s="4987">
        <v>0</v>
      </c>
      <c r="AU41" s="4986">
        <v>0</v>
      </c>
      <c r="AV41" s="1485">
        <f t="shared" si="105"/>
        <v>1</v>
      </c>
      <c r="AW41" s="1548">
        <f t="shared" si="105"/>
        <v>3956</v>
      </c>
      <c r="AX41" s="4987">
        <v>0</v>
      </c>
      <c r="AY41" s="4986">
        <v>0</v>
      </c>
      <c r="AZ41" s="4895">
        <f t="shared" si="106"/>
        <v>0</v>
      </c>
      <c r="BA41" s="4983">
        <f t="shared" si="106"/>
        <v>0</v>
      </c>
      <c r="BB41" s="4897">
        <f t="shared" si="107"/>
        <v>0</v>
      </c>
      <c r="BC41" s="4893">
        <f t="shared" si="107"/>
        <v>0</v>
      </c>
      <c r="BD41" s="1485">
        <f t="shared" si="108"/>
        <v>1</v>
      </c>
      <c r="BE41" s="1548">
        <f t="shared" si="108"/>
        <v>3956</v>
      </c>
      <c r="BF41" s="533"/>
      <c r="BG41" s="533"/>
      <c r="BH41" s="533"/>
      <c r="BI41" s="533"/>
      <c r="BR41" s="533"/>
      <c r="BS41" s="533"/>
      <c r="BT41" s="533"/>
      <c r="BU41" s="533"/>
      <c r="BV41" s="533"/>
      <c r="BW41" s="533"/>
      <c r="BX41" s="533"/>
      <c r="BY41" s="533"/>
      <c r="BZ41" s="533"/>
      <c r="CA41" s="533"/>
      <c r="CB41" s="533"/>
      <c r="CC41" s="533"/>
    </row>
    <row r="42" spans="2:81" s="1356" customFormat="1" ht="21.95" customHeight="1" thickBot="1" x14ac:dyDescent="0.3">
      <c r="B42" s="5966"/>
      <c r="C42" s="5003" t="s">
        <v>1238</v>
      </c>
      <c r="D42" s="4985">
        <v>4</v>
      </c>
      <c r="E42" s="4986">
        <v>14972</v>
      </c>
      <c r="F42" s="4985">
        <v>4</v>
      </c>
      <c r="G42" s="4986">
        <v>15821</v>
      </c>
      <c r="H42" s="1485">
        <f t="shared" si="0"/>
        <v>8</v>
      </c>
      <c r="I42" s="1486">
        <f t="shared" si="1"/>
        <v>30793</v>
      </c>
      <c r="J42" s="4985">
        <v>3.5</v>
      </c>
      <c r="K42" s="4986">
        <v>13254</v>
      </c>
      <c r="L42" s="4895">
        <f t="shared" si="20"/>
        <v>11.5</v>
      </c>
      <c r="M42" s="4982">
        <f t="shared" si="2"/>
        <v>44047</v>
      </c>
      <c r="N42" s="4985">
        <v>1</v>
      </c>
      <c r="O42" s="4986">
        <v>3837.17</v>
      </c>
      <c r="P42" s="1548">
        <f t="shared" si="51"/>
        <v>12.5</v>
      </c>
      <c r="Q42" s="1548">
        <f t="shared" si="51"/>
        <v>47884.17</v>
      </c>
      <c r="R42" s="4985">
        <v>1</v>
      </c>
      <c r="S42" s="4986">
        <v>3854.78</v>
      </c>
      <c r="T42" s="1548">
        <f t="shared" si="5"/>
        <v>13.5</v>
      </c>
      <c r="U42" s="1548">
        <f t="shared" si="6"/>
        <v>51738.95</v>
      </c>
      <c r="V42" s="4985">
        <v>0</v>
      </c>
      <c r="W42" s="4986">
        <v>0</v>
      </c>
      <c r="X42" s="4895">
        <f t="shared" si="7"/>
        <v>2</v>
      </c>
      <c r="Y42" s="4983">
        <f t="shared" si="8"/>
        <v>7691.9500000000007</v>
      </c>
      <c r="Z42" s="4897">
        <f t="shared" si="9"/>
        <v>13.5</v>
      </c>
      <c r="AA42" s="4893">
        <f t="shared" si="10"/>
        <v>51738.95</v>
      </c>
      <c r="AB42" s="4985">
        <v>2</v>
      </c>
      <c r="AC42" s="4986">
        <v>7559</v>
      </c>
      <c r="AD42" s="1485">
        <f t="shared" si="101"/>
        <v>15.5</v>
      </c>
      <c r="AE42" s="1548">
        <f t="shared" si="101"/>
        <v>59297.95</v>
      </c>
      <c r="AF42" s="4985">
        <v>3</v>
      </c>
      <c r="AG42" s="4986">
        <v>11166</v>
      </c>
      <c r="AH42" s="1485">
        <f t="shared" si="102"/>
        <v>18.5</v>
      </c>
      <c r="AI42" s="1548">
        <f t="shared" si="102"/>
        <v>70463.95</v>
      </c>
      <c r="AJ42" s="4985">
        <v>2.5</v>
      </c>
      <c r="AK42" s="4986">
        <v>9650</v>
      </c>
      <c r="AL42" s="4895">
        <f t="shared" si="103"/>
        <v>7.5</v>
      </c>
      <c r="AM42" s="4982">
        <f t="shared" si="103"/>
        <v>28375</v>
      </c>
      <c r="AN42" s="1485">
        <f t="shared" si="111"/>
        <v>21</v>
      </c>
      <c r="AO42" s="1548">
        <f t="shared" si="111"/>
        <v>80113.95</v>
      </c>
      <c r="AP42" s="4985">
        <v>3</v>
      </c>
      <c r="AQ42" s="4986">
        <v>11726</v>
      </c>
      <c r="AR42" s="1485">
        <f t="shared" si="104"/>
        <v>24</v>
      </c>
      <c r="AS42" s="1548">
        <f t="shared" si="104"/>
        <v>91839.95</v>
      </c>
      <c r="AT42" s="4987">
        <v>2</v>
      </c>
      <c r="AU42" s="4986">
        <v>7770</v>
      </c>
      <c r="AV42" s="1485">
        <f t="shared" si="105"/>
        <v>26</v>
      </c>
      <c r="AW42" s="1548">
        <f t="shared" si="105"/>
        <v>99609.95</v>
      </c>
      <c r="AX42" s="4987">
        <v>1</v>
      </c>
      <c r="AY42" s="4986">
        <v>4017</v>
      </c>
      <c r="AZ42" s="4895">
        <f t="shared" si="106"/>
        <v>6</v>
      </c>
      <c r="BA42" s="4983">
        <f t="shared" si="106"/>
        <v>23513</v>
      </c>
      <c r="BB42" s="4897">
        <f t="shared" si="107"/>
        <v>13.5</v>
      </c>
      <c r="BC42" s="4893">
        <f t="shared" si="107"/>
        <v>51888</v>
      </c>
      <c r="BD42" s="1485">
        <f t="shared" si="108"/>
        <v>27</v>
      </c>
      <c r="BE42" s="1548">
        <f t="shared" si="108"/>
        <v>103626.95</v>
      </c>
      <c r="BF42" s="533"/>
      <c r="BG42" s="533"/>
      <c r="BH42" s="533"/>
      <c r="BI42" s="533"/>
      <c r="BR42" s="533"/>
      <c r="BS42" s="533"/>
      <c r="BT42" s="533"/>
      <c r="BU42" s="533"/>
      <c r="BV42" s="533"/>
      <c r="BW42" s="533"/>
      <c r="BX42" s="533"/>
      <c r="BY42" s="533"/>
      <c r="BZ42" s="533"/>
      <c r="CA42" s="533"/>
      <c r="CB42" s="533"/>
      <c r="CC42" s="533"/>
    </row>
    <row r="43" spans="2:81" s="1356" customFormat="1" ht="21.95" customHeight="1" thickBot="1" x14ac:dyDescent="0.3">
      <c r="B43" s="5966"/>
      <c r="C43" s="5003" t="s">
        <v>1239</v>
      </c>
      <c r="D43" s="4985">
        <v>7</v>
      </c>
      <c r="E43" s="4986">
        <v>26618</v>
      </c>
      <c r="F43" s="4985">
        <v>5</v>
      </c>
      <c r="G43" s="4986">
        <v>19520</v>
      </c>
      <c r="H43" s="1485">
        <f t="shared" si="0"/>
        <v>12</v>
      </c>
      <c r="I43" s="1486">
        <f t="shared" si="1"/>
        <v>46138</v>
      </c>
      <c r="J43" s="4985">
        <v>3.5</v>
      </c>
      <c r="K43" s="4986">
        <v>13724</v>
      </c>
      <c r="L43" s="4895">
        <f t="shared" si="20"/>
        <v>15.5</v>
      </c>
      <c r="M43" s="4982">
        <f t="shared" si="2"/>
        <v>59862</v>
      </c>
      <c r="N43" s="4985">
        <v>4.7</v>
      </c>
      <c r="O43" s="4986">
        <v>18259.91</v>
      </c>
      <c r="P43" s="1548">
        <f t="shared" si="51"/>
        <v>20.2</v>
      </c>
      <c r="Q43" s="1548">
        <f t="shared" si="51"/>
        <v>78121.91</v>
      </c>
      <c r="R43" s="4985">
        <v>4</v>
      </c>
      <c r="S43" s="4986">
        <v>15716.369999999999</v>
      </c>
      <c r="T43" s="1548">
        <f t="shared" si="5"/>
        <v>24.2</v>
      </c>
      <c r="U43" s="1548">
        <f t="shared" si="6"/>
        <v>93838.28</v>
      </c>
      <c r="V43" s="4985">
        <v>5</v>
      </c>
      <c r="W43" s="4986">
        <v>19564.97</v>
      </c>
      <c r="X43" s="4895">
        <f t="shared" si="7"/>
        <v>13.7</v>
      </c>
      <c r="Y43" s="4983">
        <f t="shared" si="8"/>
        <v>53541.25</v>
      </c>
      <c r="Z43" s="4897">
        <f t="shared" si="9"/>
        <v>29.2</v>
      </c>
      <c r="AA43" s="4893">
        <f t="shared" si="10"/>
        <v>113403.25</v>
      </c>
      <c r="AB43" s="4985">
        <v>4.4000000000000004</v>
      </c>
      <c r="AC43" s="4986">
        <v>16175</v>
      </c>
      <c r="AD43" s="1485">
        <f t="shared" si="101"/>
        <v>33.6</v>
      </c>
      <c r="AE43" s="1548">
        <f t="shared" si="101"/>
        <v>129578.25</v>
      </c>
      <c r="AF43" s="4985">
        <v>5</v>
      </c>
      <c r="AG43" s="4986">
        <v>19336</v>
      </c>
      <c r="AH43" s="1485">
        <f t="shared" si="102"/>
        <v>38.6</v>
      </c>
      <c r="AI43" s="1548">
        <f t="shared" si="102"/>
        <v>148914.25</v>
      </c>
      <c r="AJ43" s="4985">
        <v>5</v>
      </c>
      <c r="AK43" s="4986">
        <v>19436</v>
      </c>
      <c r="AL43" s="4895">
        <f t="shared" si="103"/>
        <v>14.4</v>
      </c>
      <c r="AM43" s="4982">
        <f t="shared" si="103"/>
        <v>54947</v>
      </c>
      <c r="AN43" s="1485">
        <f t="shared" si="111"/>
        <v>43.6</v>
      </c>
      <c r="AO43" s="1548">
        <f t="shared" si="111"/>
        <v>168350.25</v>
      </c>
      <c r="AP43" s="4985">
        <v>6.3</v>
      </c>
      <c r="AQ43" s="4986">
        <v>24202</v>
      </c>
      <c r="AR43" s="1485">
        <f t="shared" si="104"/>
        <v>49.9</v>
      </c>
      <c r="AS43" s="1548">
        <f t="shared" si="104"/>
        <v>192552.25</v>
      </c>
      <c r="AT43" s="4987">
        <v>4.5</v>
      </c>
      <c r="AU43" s="4986">
        <v>16911</v>
      </c>
      <c r="AV43" s="1485">
        <f t="shared" si="105"/>
        <v>54.4</v>
      </c>
      <c r="AW43" s="1548">
        <f t="shared" si="105"/>
        <v>209463.25</v>
      </c>
      <c r="AX43" s="4987">
        <v>4</v>
      </c>
      <c r="AY43" s="4986">
        <v>15403</v>
      </c>
      <c r="AZ43" s="4895">
        <f t="shared" si="106"/>
        <v>14.8</v>
      </c>
      <c r="BA43" s="4983">
        <f t="shared" si="106"/>
        <v>56516</v>
      </c>
      <c r="BB43" s="4897">
        <f t="shared" si="107"/>
        <v>29.200000000000003</v>
      </c>
      <c r="BC43" s="4893">
        <f t="shared" si="107"/>
        <v>111463</v>
      </c>
      <c r="BD43" s="1485">
        <f t="shared" si="108"/>
        <v>58.4</v>
      </c>
      <c r="BE43" s="1548">
        <f t="shared" si="108"/>
        <v>224866.25</v>
      </c>
      <c r="BF43" s="533"/>
      <c r="BG43" s="533"/>
      <c r="BH43" s="533"/>
      <c r="BI43" s="533"/>
      <c r="BR43" s="533"/>
      <c r="BS43" s="533"/>
      <c r="BT43" s="533"/>
      <c r="BU43" s="533"/>
      <c r="BV43" s="533"/>
      <c r="BW43" s="533"/>
      <c r="BX43" s="533"/>
      <c r="BY43" s="533"/>
      <c r="BZ43" s="533"/>
      <c r="CA43" s="533"/>
      <c r="CB43" s="533"/>
      <c r="CC43" s="533"/>
    </row>
    <row r="44" spans="2:81" s="1356" customFormat="1" ht="21.95" customHeight="1" thickBot="1" x14ac:dyDescent="0.3">
      <c r="B44" s="5966"/>
      <c r="C44" s="5003" t="s">
        <v>1240</v>
      </c>
      <c r="D44" s="4985">
        <v>0</v>
      </c>
      <c r="E44" s="4986">
        <v>0</v>
      </c>
      <c r="F44" s="4985"/>
      <c r="G44" s="4986"/>
      <c r="H44" s="1485">
        <f t="shared" si="0"/>
        <v>0</v>
      </c>
      <c r="I44" s="1486">
        <f t="shared" si="1"/>
        <v>0</v>
      </c>
      <c r="J44" s="4985"/>
      <c r="K44" s="4986"/>
      <c r="L44" s="4895">
        <f t="shared" si="20"/>
        <v>0</v>
      </c>
      <c r="M44" s="4982">
        <f t="shared" si="2"/>
        <v>0</v>
      </c>
      <c r="N44" s="4985">
        <v>1</v>
      </c>
      <c r="O44" s="4986">
        <v>3982.2</v>
      </c>
      <c r="P44" s="1548">
        <f t="shared" si="51"/>
        <v>1</v>
      </c>
      <c r="Q44" s="1548">
        <f t="shared" si="51"/>
        <v>3982.2</v>
      </c>
      <c r="R44" s="4985">
        <v>2</v>
      </c>
      <c r="S44" s="4986">
        <v>7945.68</v>
      </c>
      <c r="T44" s="1548">
        <f t="shared" si="5"/>
        <v>3</v>
      </c>
      <c r="U44" s="1548">
        <f t="shared" si="6"/>
        <v>11927.880000000001</v>
      </c>
      <c r="V44" s="4985">
        <v>0</v>
      </c>
      <c r="W44" s="4986">
        <v>0</v>
      </c>
      <c r="X44" s="4895">
        <f t="shared" si="7"/>
        <v>3</v>
      </c>
      <c r="Y44" s="4983">
        <f t="shared" si="8"/>
        <v>11927.880000000001</v>
      </c>
      <c r="Z44" s="4897">
        <f t="shared" si="9"/>
        <v>3</v>
      </c>
      <c r="AA44" s="4893">
        <f t="shared" si="10"/>
        <v>11927.880000000001</v>
      </c>
      <c r="AB44" s="4985"/>
      <c r="AC44" s="4986"/>
      <c r="AD44" s="1485">
        <f t="shared" si="101"/>
        <v>3</v>
      </c>
      <c r="AE44" s="1548">
        <f t="shared" si="101"/>
        <v>11927.880000000001</v>
      </c>
      <c r="AF44" s="4985"/>
      <c r="AG44" s="4986"/>
      <c r="AH44" s="1485">
        <f t="shared" si="102"/>
        <v>3</v>
      </c>
      <c r="AI44" s="1548">
        <f t="shared" si="102"/>
        <v>11927.880000000001</v>
      </c>
      <c r="AJ44" s="4985"/>
      <c r="AK44" s="4986"/>
      <c r="AL44" s="4895">
        <f t="shared" si="103"/>
        <v>0</v>
      </c>
      <c r="AM44" s="4982">
        <f t="shared" si="103"/>
        <v>0</v>
      </c>
      <c r="AN44" s="1485">
        <f t="shared" si="111"/>
        <v>3</v>
      </c>
      <c r="AO44" s="1548">
        <f t="shared" si="111"/>
        <v>11927.880000000001</v>
      </c>
      <c r="AP44" s="4985"/>
      <c r="AQ44" s="4986"/>
      <c r="AR44" s="1485">
        <f t="shared" si="104"/>
        <v>3</v>
      </c>
      <c r="AS44" s="1548">
        <f t="shared" si="104"/>
        <v>11927.880000000001</v>
      </c>
      <c r="AT44" s="4987"/>
      <c r="AU44" s="4986"/>
      <c r="AV44" s="1485">
        <f t="shared" si="105"/>
        <v>3</v>
      </c>
      <c r="AW44" s="1548">
        <f t="shared" si="105"/>
        <v>11927.880000000001</v>
      </c>
      <c r="AX44" s="4987"/>
      <c r="AY44" s="4986"/>
      <c r="AZ44" s="4895">
        <f t="shared" si="106"/>
        <v>0</v>
      </c>
      <c r="BA44" s="4983">
        <f t="shared" si="106"/>
        <v>0</v>
      </c>
      <c r="BB44" s="4897">
        <f t="shared" si="107"/>
        <v>0</v>
      </c>
      <c r="BC44" s="4893">
        <f t="shared" si="107"/>
        <v>0</v>
      </c>
      <c r="BD44" s="1485">
        <f t="shared" si="108"/>
        <v>3</v>
      </c>
      <c r="BE44" s="1548">
        <f t="shared" si="108"/>
        <v>11927.880000000001</v>
      </c>
      <c r="BF44" s="533"/>
      <c r="BG44" s="533"/>
      <c r="BH44" s="533"/>
      <c r="BI44" s="533"/>
      <c r="BR44" s="533"/>
      <c r="BS44" s="533"/>
      <c r="BT44" s="533"/>
      <c r="BU44" s="533"/>
      <c r="BV44" s="533"/>
      <c r="BW44" s="533"/>
      <c r="BX44" s="533"/>
      <c r="BY44" s="533"/>
      <c r="BZ44" s="533"/>
      <c r="CA44" s="533"/>
      <c r="CB44" s="533"/>
      <c r="CC44" s="533"/>
    </row>
    <row r="45" spans="2:81" s="1356" customFormat="1" ht="21.95" customHeight="1" thickBot="1" x14ac:dyDescent="0.3">
      <c r="B45" s="5966"/>
      <c r="C45" s="5003" t="s">
        <v>1241</v>
      </c>
      <c r="D45" s="4985">
        <v>0</v>
      </c>
      <c r="E45" s="4986">
        <v>68</v>
      </c>
      <c r="F45" s="4985">
        <v>0</v>
      </c>
      <c r="G45" s="4986">
        <v>0</v>
      </c>
      <c r="H45" s="1485">
        <f t="shared" si="0"/>
        <v>0</v>
      </c>
      <c r="I45" s="1486">
        <f t="shared" si="1"/>
        <v>68</v>
      </c>
      <c r="J45" s="4985">
        <v>0</v>
      </c>
      <c r="K45" s="4986">
        <v>0</v>
      </c>
      <c r="L45" s="4895">
        <f t="shared" si="20"/>
        <v>0</v>
      </c>
      <c r="M45" s="4982">
        <f t="shared" si="2"/>
        <v>68</v>
      </c>
      <c r="N45" s="4985">
        <v>0</v>
      </c>
      <c r="O45" s="4986">
        <v>0</v>
      </c>
      <c r="P45" s="1548">
        <f t="shared" si="51"/>
        <v>0</v>
      </c>
      <c r="Q45" s="1548">
        <f t="shared" si="51"/>
        <v>68</v>
      </c>
      <c r="R45" s="4985">
        <v>0</v>
      </c>
      <c r="S45" s="4986">
        <v>0</v>
      </c>
      <c r="T45" s="1548">
        <f t="shared" si="5"/>
        <v>0</v>
      </c>
      <c r="U45" s="1548">
        <f t="shared" si="6"/>
        <v>68</v>
      </c>
      <c r="V45" s="4985">
        <v>0</v>
      </c>
      <c r="W45" s="4986">
        <v>0</v>
      </c>
      <c r="X45" s="4895">
        <f t="shared" si="7"/>
        <v>0</v>
      </c>
      <c r="Y45" s="4983">
        <f t="shared" si="8"/>
        <v>0</v>
      </c>
      <c r="Z45" s="4897">
        <f t="shared" si="9"/>
        <v>0</v>
      </c>
      <c r="AA45" s="4893">
        <f t="shared" si="10"/>
        <v>68</v>
      </c>
      <c r="AB45" s="4985">
        <v>1</v>
      </c>
      <c r="AC45" s="4986">
        <v>7662</v>
      </c>
      <c r="AD45" s="1485">
        <f t="shared" si="101"/>
        <v>1</v>
      </c>
      <c r="AE45" s="1548">
        <f t="shared" si="101"/>
        <v>7730</v>
      </c>
      <c r="AF45" s="4985">
        <v>2</v>
      </c>
      <c r="AG45" s="4986">
        <v>7643</v>
      </c>
      <c r="AH45" s="1485">
        <f t="shared" si="102"/>
        <v>3</v>
      </c>
      <c r="AI45" s="1548">
        <f t="shared" si="102"/>
        <v>15373</v>
      </c>
      <c r="AJ45" s="4985">
        <v>1</v>
      </c>
      <c r="AK45" s="4986">
        <v>3426</v>
      </c>
      <c r="AL45" s="4895">
        <f t="shared" si="103"/>
        <v>4</v>
      </c>
      <c r="AM45" s="4982">
        <f t="shared" si="103"/>
        <v>18731</v>
      </c>
      <c r="AN45" s="1485">
        <f t="shared" si="111"/>
        <v>4</v>
      </c>
      <c r="AO45" s="1548">
        <f t="shared" si="111"/>
        <v>18799</v>
      </c>
      <c r="AP45" s="4985">
        <v>0</v>
      </c>
      <c r="AQ45" s="4986">
        <v>0</v>
      </c>
      <c r="AR45" s="1485">
        <f t="shared" si="104"/>
        <v>4</v>
      </c>
      <c r="AS45" s="1548">
        <f t="shared" si="104"/>
        <v>18799</v>
      </c>
      <c r="AT45" s="4987">
        <v>0</v>
      </c>
      <c r="AU45" s="4986">
        <v>0</v>
      </c>
      <c r="AV45" s="1485">
        <f t="shared" si="105"/>
        <v>4</v>
      </c>
      <c r="AW45" s="1548">
        <f t="shared" si="105"/>
        <v>18799</v>
      </c>
      <c r="AX45" s="4987">
        <v>2</v>
      </c>
      <c r="AY45" s="4986">
        <v>7801</v>
      </c>
      <c r="AZ45" s="4895">
        <f t="shared" si="106"/>
        <v>2</v>
      </c>
      <c r="BA45" s="4983">
        <f t="shared" si="106"/>
        <v>7801</v>
      </c>
      <c r="BB45" s="4897">
        <f t="shared" si="107"/>
        <v>6</v>
      </c>
      <c r="BC45" s="4893">
        <f t="shared" si="107"/>
        <v>26532</v>
      </c>
      <c r="BD45" s="1485">
        <f t="shared" si="108"/>
        <v>6</v>
      </c>
      <c r="BE45" s="1548">
        <f t="shared" si="108"/>
        <v>26600</v>
      </c>
      <c r="BF45" s="533"/>
      <c r="BG45" s="533"/>
      <c r="BH45" s="533"/>
      <c r="BI45" s="533"/>
      <c r="BR45" s="533"/>
      <c r="BS45" s="533"/>
      <c r="BT45" s="533"/>
      <c r="BU45" s="533"/>
      <c r="BV45" s="533"/>
      <c r="BW45" s="533"/>
      <c r="BX45" s="533"/>
      <c r="BY45" s="533"/>
      <c r="BZ45" s="533"/>
      <c r="CA45" s="533"/>
      <c r="CB45" s="533"/>
      <c r="CC45" s="533"/>
    </row>
    <row r="46" spans="2:81" s="1356" customFormat="1" ht="21.95" customHeight="1" thickBot="1" x14ac:dyDescent="0.3">
      <c r="B46" s="5966"/>
      <c r="C46" s="5003" t="s">
        <v>1368</v>
      </c>
      <c r="D46" s="4985">
        <v>0</v>
      </c>
      <c r="E46" s="4986">
        <v>0</v>
      </c>
      <c r="F46" s="4985">
        <v>0</v>
      </c>
      <c r="G46" s="4986">
        <v>0</v>
      </c>
      <c r="H46" s="1485">
        <f t="shared" si="0"/>
        <v>0</v>
      </c>
      <c r="I46" s="1486">
        <f t="shared" si="1"/>
        <v>0</v>
      </c>
      <c r="J46" s="4985">
        <v>0</v>
      </c>
      <c r="K46" s="4986">
        <v>0</v>
      </c>
      <c r="L46" s="4895">
        <f t="shared" si="20"/>
        <v>0</v>
      </c>
      <c r="M46" s="4982">
        <f t="shared" si="2"/>
        <v>0</v>
      </c>
      <c r="N46" s="4985">
        <v>0</v>
      </c>
      <c r="O46" s="4986">
        <v>0</v>
      </c>
      <c r="P46" s="1548">
        <f t="shared" si="51"/>
        <v>0</v>
      </c>
      <c r="Q46" s="1548">
        <f t="shared" si="51"/>
        <v>0</v>
      </c>
      <c r="R46" s="4985">
        <v>0</v>
      </c>
      <c r="S46" s="4986">
        <v>0</v>
      </c>
      <c r="T46" s="1548">
        <f t="shared" si="5"/>
        <v>0</v>
      </c>
      <c r="U46" s="1548">
        <f t="shared" si="6"/>
        <v>0</v>
      </c>
      <c r="V46" s="4985">
        <v>2</v>
      </c>
      <c r="W46" s="4986">
        <v>7822</v>
      </c>
      <c r="X46" s="4895">
        <f t="shared" si="7"/>
        <v>2</v>
      </c>
      <c r="Y46" s="4983">
        <f t="shared" si="8"/>
        <v>7822</v>
      </c>
      <c r="Z46" s="4897">
        <f t="shared" si="9"/>
        <v>2</v>
      </c>
      <c r="AA46" s="4893">
        <f t="shared" si="10"/>
        <v>7822</v>
      </c>
      <c r="AB46" s="4985">
        <v>0</v>
      </c>
      <c r="AC46" s="4986">
        <v>0</v>
      </c>
      <c r="AD46" s="1485">
        <f t="shared" si="101"/>
        <v>2</v>
      </c>
      <c r="AE46" s="1548">
        <f t="shared" si="101"/>
        <v>7822</v>
      </c>
      <c r="AF46" s="4985">
        <v>0</v>
      </c>
      <c r="AG46" s="4986">
        <v>0</v>
      </c>
      <c r="AH46" s="1485">
        <f t="shared" si="102"/>
        <v>2</v>
      </c>
      <c r="AI46" s="1548">
        <f t="shared" si="102"/>
        <v>7822</v>
      </c>
      <c r="AJ46" s="4985">
        <v>0</v>
      </c>
      <c r="AK46" s="4986">
        <v>0</v>
      </c>
      <c r="AL46" s="4895">
        <f t="shared" si="103"/>
        <v>0</v>
      </c>
      <c r="AM46" s="4982">
        <f t="shared" si="103"/>
        <v>0</v>
      </c>
      <c r="AN46" s="1485">
        <f t="shared" si="111"/>
        <v>2</v>
      </c>
      <c r="AO46" s="1548">
        <f t="shared" si="111"/>
        <v>7822</v>
      </c>
      <c r="AP46" s="4985">
        <v>0</v>
      </c>
      <c r="AQ46" s="4986">
        <v>0</v>
      </c>
      <c r="AR46" s="1485">
        <f t="shared" si="104"/>
        <v>2</v>
      </c>
      <c r="AS46" s="1548">
        <f t="shared" si="104"/>
        <v>7822</v>
      </c>
      <c r="AT46" s="4987">
        <v>0</v>
      </c>
      <c r="AU46" s="4986">
        <v>0</v>
      </c>
      <c r="AV46" s="1485">
        <f t="shared" si="105"/>
        <v>2</v>
      </c>
      <c r="AW46" s="1548">
        <f t="shared" si="105"/>
        <v>7822</v>
      </c>
      <c r="AX46" s="4987">
        <v>0</v>
      </c>
      <c r="AY46" s="4986">
        <v>0</v>
      </c>
      <c r="AZ46" s="4895">
        <f t="shared" si="106"/>
        <v>0</v>
      </c>
      <c r="BA46" s="4983">
        <f t="shared" si="106"/>
        <v>0</v>
      </c>
      <c r="BB46" s="4897">
        <f t="shared" si="107"/>
        <v>0</v>
      </c>
      <c r="BC46" s="4893">
        <f t="shared" si="107"/>
        <v>0</v>
      </c>
      <c r="BD46" s="1485">
        <f t="shared" si="108"/>
        <v>2</v>
      </c>
      <c r="BE46" s="1548">
        <f t="shared" si="108"/>
        <v>7822</v>
      </c>
      <c r="BF46" s="533"/>
      <c r="BG46" s="533"/>
      <c r="BH46" s="533"/>
      <c r="BI46" s="533"/>
      <c r="BR46" s="533"/>
      <c r="BS46" s="533"/>
      <c r="BT46" s="533"/>
      <c r="BU46" s="533"/>
      <c r="BV46" s="533"/>
      <c r="BW46" s="533"/>
      <c r="BX46" s="533"/>
      <c r="BY46" s="533"/>
      <c r="BZ46" s="533"/>
      <c r="CA46" s="533"/>
      <c r="CB46" s="533"/>
      <c r="CC46" s="533"/>
    </row>
    <row r="47" spans="2:81" s="1356" customFormat="1" ht="21.95" customHeight="1" thickBot="1" x14ac:dyDescent="0.3">
      <c r="B47" s="5966"/>
      <c r="C47" s="5014" t="s">
        <v>2</v>
      </c>
      <c r="D47" s="5015">
        <f>SUM(D37:D46)</f>
        <v>25</v>
      </c>
      <c r="E47" s="5015">
        <f t="shared" ref="E47:BE47" si="112">SUM(E37:E46)</f>
        <v>95904</v>
      </c>
      <c r="F47" s="5015">
        <f>SUM(F37:F46)</f>
        <v>27</v>
      </c>
      <c r="G47" s="5015">
        <f t="shared" ref="G47" si="113">SUM(G37:G46)</f>
        <v>106284</v>
      </c>
      <c r="H47" s="1485">
        <f t="shared" si="0"/>
        <v>52</v>
      </c>
      <c r="I47" s="1486">
        <f t="shared" si="1"/>
        <v>202188</v>
      </c>
      <c r="J47" s="5015">
        <f>SUM(J37:J46)</f>
        <v>18</v>
      </c>
      <c r="K47" s="5015">
        <f t="shared" ref="K47" si="114">SUM(K37:K46)</f>
        <v>70820</v>
      </c>
      <c r="L47" s="5016">
        <f t="shared" si="112"/>
        <v>70</v>
      </c>
      <c r="M47" s="5016">
        <f t="shared" si="112"/>
        <v>273008</v>
      </c>
      <c r="N47" s="5015">
        <f>SUM(N37:N46)</f>
        <v>28</v>
      </c>
      <c r="O47" s="5015">
        <f t="shared" ref="O47" si="115">SUM(O37:O46)</f>
        <v>105149.94</v>
      </c>
      <c r="P47" s="1548">
        <f t="shared" si="51"/>
        <v>98</v>
      </c>
      <c r="Q47" s="1548">
        <f t="shared" si="51"/>
        <v>378157.94</v>
      </c>
      <c r="R47" s="5015">
        <f>SUM(R37:R46)</f>
        <v>23</v>
      </c>
      <c r="S47" s="5015">
        <f t="shared" ref="S47" si="116">SUM(S37:S46)</f>
        <v>88769.09</v>
      </c>
      <c r="T47" s="1548">
        <f t="shared" si="5"/>
        <v>121</v>
      </c>
      <c r="U47" s="1548">
        <f t="shared" si="6"/>
        <v>466927.03</v>
      </c>
      <c r="V47" s="5015">
        <f>SUM(V37:V46)</f>
        <v>26</v>
      </c>
      <c r="W47" s="5015">
        <f t="shared" ref="W47" si="117">SUM(W37:W46)</f>
        <v>101893.08</v>
      </c>
      <c r="X47" s="5016">
        <f t="shared" si="7"/>
        <v>77</v>
      </c>
      <c r="Y47" s="5017">
        <f t="shared" si="8"/>
        <v>295812.11</v>
      </c>
      <c r="Z47" s="4888">
        <f t="shared" si="9"/>
        <v>147</v>
      </c>
      <c r="AA47" s="4888">
        <f t="shared" si="10"/>
        <v>568820.11</v>
      </c>
      <c r="AB47" s="5015">
        <f t="shared" si="112"/>
        <v>26</v>
      </c>
      <c r="AC47" s="5015">
        <f t="shared" si="112"/>
        <v>104591</v>
      </c>
      <c r="AD47" s="5015">
        <f t="shared" si="112"/>
        <v>162.9</v>
      </c>
      <c r="AE47" s="5015">
        <f t="shared" si="112"/>
        <v>634716.26</v>
      </c>
      <c r="AF47" s="5015">
        <f t="shared" si="112"/>
        <v>23</v>
      </c>
      <c r="AG47" s="5015">
        <f t="shared" si="112"/>
        <v>88312</v>
      </c>
      <c r="AH47" s="5015">
        <f t="shared" si="112"/>
        <v>185.9</v>
      </c>
      <c r="AI47" s="5015">
        <f t="shared" si="112"/>
        <v>723028.26</v>
      </c>
      <c r="AJ47" s="5015">
        <f t="shared" si="112"/>
        <v>24</v>
      </c>
      <c r="AK47" s="5015">
        <f t="shared" si="112"/>
        <v>97540</v>
      </c>
      <c r="AL47" s="5015">
        <f t="shared" si="112"/>
        <v>73</v>
      </c>
      <c r="AM47" s="5015">
        <f t="shared" si="112"/>
        <v>290443</v>
      </c>
      <c r="AN47" s="5015">
        <f t="shared" si="112"/>
        <v>209.9</v>
      </c>
      <c r="AO47" s="5015">
        <f t="shared" si="112"/>
        <v>820568.26</v>
      </c>
      <c r="AP47" s="5015">
        <f t="shared" si="112"/>
        <v>27</v>
      </c>
      <c r="AQ47" s="5015">
        <f t="shared" si="112"/>
        <v>109673</v>
      </c>
      <c r="AR47" s="5015">
        <f t="shared" si="112"/>
        <v>236.9</v>
      </c>
      <c r="AS47" s="5015">
        <f t="shared" si="112"/>
        <v>930241.26</v>
      </c>
      <c r="AT47" s="5015">
        <f t="shared" si="112"/>
        <v>22</v>
      </c>
      <c r="AU47" s="5015">
        <f t="shared" si="112"/>
        <v>86013</v>
      </c>
      <c r="AV47" s="5015">
        <f t="shared" si="112"/>
        <v>258.89999999999998</v>
      </c>
      <c r="AW47" s="5015">
        <f t="shared" si="112"/>
        <v>1016254.26</v>
      </c>
      <c r="AX47" s="5015">
        <f t="shared" si="112"/>
        <v>19.2</v>
      </c>
      <c r="AY47" s="5015">
        <f t="shared" si="112"/>
        <v>98164</v>
      </c>
      <c r="AZ47" s="5015">
        <f t="shared" si="112"/>
        <v>68.2</v>
      </c>
      <c r="BA47" s="5018">
        <f t="shared" si="112"/>
        <v>293850</v>
      </c>
      <c r="BB47" s="5019">
        <f t="shared" si="112"/>
        <v>141.19999999999999</v>
      </c>
      <c r="BC47" s="5019">
        <f t="shared" si="112"/>
        <v>584293</v>
      </c>
      <c r="BD47" s="5020">
        <f t="shared" si="112"/>
        <v>278.10000000000002</v>
      </c>
      <c r="BE47" s="5015">
        <f t="shared" si="112"/>
        <v>1114418.2599999998</v>
      </c>
      <c r="BF47" s="533"/>
      <c r="BG47" s="533"/>
      <c r="BH47" s="533"/>
      <c r="BI47" s="533"/>
      <c r="BR47" s="533"/>
      <c r="BS47" s="533"/>
      <c r="BT47" s="533"/>
      <c r="BU47" s="533"/>
      <c r="BV47" s="533"/>
      <c r="BW47" s="533"/>
      <c r="BX47" s="533"/>
      <c r="BY47" s="533"/>
      <c r="BZ47" s="533"/>
      <c r="CA47" s="533"/>
      <c r="CB47" s="533"/>
      <c r="CC47" s="533"/>
    </row>
    <row r="48" spans="2:81" s="1356" customFormat="1" ht="21.95" customHeight="1" thickBot="1" x14ac:dyDescent="0.3">
      <c r="B48" s="5966"/>
      <c r="C48" s="5003" t="s">
        <v>1242</v>
      </c>
      <c r="D48" s="4985">
        <v>21</v>
      </c>
      <c r="E48" s="4986">
        <v>79885</v>
      </c>
      <c r="F48" s="4985">
        <v>15</v>
      </c>
      <c r="G48" s="4986">
        <v>58396</v>
      </c>
      <c r="H48" s="1485">
        <f t="shared" si="0"/>
        <v>36</v>
      </c>
      <c r="I48" s="1486">
        <f t="shared" si="1"/>
        <v>138281</v>
      </c>
      <c r="J48" s="4985">
        <v>12</v>
      </c>
      <c r="K48" s="4986">
        <v>46825</v>
      </c>
      <c r="L48" s="4895">
        <f t="shared" si="20"/>
        <v>48</v>
      </c>
      <c r="M48" s="4982">
        <f t="shared" si="2"/>
        <v>185106</v>
      </c>
      <c r="N48" s="4985">
        <v>18</v>
      </c>
      <c r="O48" s="4986">
        <v>66738.19</v>
      </c>
      <c r="P48" s="1548">
        <f t="shared" si="51"/>
        <v>66</v>
      </c>
      <c r="Q48" s="1548">
        <f t="shared" si="51"/>
        <v>251844.19</v>
      </c>
      <c r="R48" s="4985">
        <v>11</v>
      </c>
      <c r="S48" s="4986">
        <v>42077</v>
      </c>
      <c r="T48" s="1548">
        <f t="shared" si="5"/>
        <v>77</v>
      </c>
      <c r="U48" s="1548">
        <f t="shared" si="6"/>
        <v>293921.19</v>
      </c>
      <c r="V48" s="4985">
        <v>26</v>
      </c>
      <c r="W48" s="4986">
        <v>101893.08</v>
      </c>
      <c r="X48" s="4895">
        <f t="shared" si="7"/>
        <v>55</v>
      </c>
      <c r="Y48" s="4983">
        <f t="shared" si="8"/>
        <v>210708.27000000002</v>
      </c>
      <c r="Z48" s="4897">
        <f t="shared" si="9"/>
        <v>103</v>
      </c>
      <c r="AA48" s="4893">
        <f t="shared" si="10"/>
        <v>395814.27</v>
      </c>
      <c r="AB48" s="4985">
        <v>15</v>
      </c>
      <c r="AC48" s="4986">
        <v>60387</v>
      </c>
      <c r="AD48" s="1485">
        <f t="shared" ref="AD48:AE63" si="118">Z48+AB48</f>
        <v>118</v>
      </c>
      <c r="AE48" s="1548">
        <f t="shared" si="118"/>
        <v>456201.27</v>
      </c>
      <c r="AF48" s="4985">
        <v>17</v>
      </c>
      <c r="AG48" s="4986">
        <v>64194</v>
      </c>
      <c r="AH48" s="1485">
        <f t="shared" ref="AH48:AI63" si="119">AD48+AF48</f>
        <v>135</v>
      </c>
      <c r="AI48" s="1548">
        <f t="shared" si="119"/>
        <v>520395.27</v>
      </c>
      <c r="AJ48" s="4985">
        <v>15</v>
      </c>
      <c r="AK48" s="4986">
        <v>57349</v>
      </c>
      <c r="AL48" s="4895">
        <f t="shared" ref="AL48:AM63" si="120">+AB48+AF48+AJ48</f>
        <v>47</v>
      </c>
      <c r="AM48" s="4982">
        <f t="shared" si="120"/>
        <v>181930</v>
      </c>
      <c r="AN48" s="1485">
        <f t="shared" si="111"/>
        <v>150</v>
      </c>
      <c r="AO48" s="1548">
        <f t="shared" si="111"/>
        <v>577744.27</v>
      </c>
      <c r="AP48" s="4985">
        <v>17</v>
      </c>
      <c r="AQ48" s="4986">
        <v>69453</v>
      </c>
      <c r="AR48" s="1485">
        <f t="shared" ref="AR48:AS63" si="121">AN48+AP48</f>
        <v>167</v>
      </c>
      <c r="AS48" s="1548">
        <f t="shared" si="121"/>
        <v>647197.27</v>
      </c>
      <c r="AT48" s="4987">
        <v>12</v>
      </c>
      <c r="AU48" s="4986">
        <v>45854</v>
      </c>
      <c r="AV48" s="1485">
        <f t="shared" ref="AV48:AW63" si="122">AR48+AT48</f>
        <v>179</v>
      </c>
      <c r="AW48" s="1548">
        <f t="shared" si="122"/>
        <v>693051.27</v>
      </c>
      <c r="AX48" s="4987">
        <v>18.2</v>
      </c>
      <c r="AY48" s="4986">
        <v>70066</v>
      </c>
      <c r="AZ48" s="4895">
        <f t="shared" ref="AZ48:BA63" si="123">+AP48+AT48+AX48</f>
        <v>47.2</v>
      </c>
      <c r="BA48" s="4983">
        <f t="shared" si="123"/>
        <v>185373</v>
      </c>
      <c r="BB48" s="4897">
        <f t="shared" ref="BB48:BC63" si="124">AL48+AZ48</f>
        <v>94.2</v>
      </c>
      <c r="BC48" s="4893">
        <f t="shared" si="124"/>
        <v>367303</v>
      </c>
      <c r="BD48" s="1485">
        <f t="shared" ref="BD48:BE63" si="125">AV48+AX48</f>
        <v>197.2</v>
      </c>
      <c r="BE48" s="1548">
        <f t="shared" si="125"/>
        <v>763117.27</v>
      </c>
      <c r="BF48" s="533"/>
      <c r="BG48" s="533"/>
      <c r="BH48" s="533"/>
      <c r="BI48" s="533"/>
      <c r="BR48" s="533"/>
      <c r="BS48" s="533"/>
      <c r="BT48" s="533"/>
      <c r="BU48" s="533"/>
      <c r="BV48" s="533"/>
      <c r="BW48" s="533"/>
      <c r="BX48" s="533"/>
      <c r="BY48" s="533"/>
      <c r="BZ48" s="533"/>
      <c r="CA48" s="533"/>
      <c r="CB48" s="533"/>
      <c r="CC48" s="533"/>
    </row>
    <row r="49" spans="2:81" s="1356" customFormat="1" ht="21.95" customHeight="1" thickBot="1" x14ac:dyDescent="0.3">
      <c r="B49" s="5966"/>
      <c r="C49" s="5003" t="s">
        <v>1243</v>
      </c>
      <c r="D49" s="4985">
        <v>4</v>
      </c>
      <c r="E49" s="4986">
        <v>16019</v>
      </c>
      <c r="F49" s="4985">
        <v>12</v>
      </c>
      <c r="G49" s="4986">
        <v>47888</v>
      </c>
      <c r="H49" s="1485">
        <f t="shared" si="0"/>
        <v>16</v>
      </c>
      <c r="I49" s="1486">
        <f t="shared" si="1"/>
        <v>63907</v>
      </c>
      <c r="J49" s="4985">
        <v>6</v>
      </c>
      <c r="K49" s="4986">
        <v>23996</v>
      </c>
      <c r="L49" s="4895">
        <f t="shared" si="20"/>
        <v>22</v>
      </c>
      <c r="M49" s="4982">
        <f t="shared" si="2"/>
        <v>87903</v>
      </c>
      <c r="N49" s="4985">
        <v>10</v>
      </c>
      <c r="O49" s="4986">
        <v>38411.75</v>
      </c>
      <c r="P49" s="1548">
        <f t="shared" si="51"/>
        <v>32</v>
      </c>
      <c r="Q49" s="1548">
        <f t="shared" si="51"/>
        <v>126314.75</v>
      </c>
      <c r="R49" s="4985">
        <v>12</v>
      </c>
      <c r="S49" s="4986">
        <v>46692</v>
      </c>
      <c r="T49" s="1548">
        <f t="shared" si="5"/>
        <v>44</v>
      </c>
      <c r="U49" s="1548">
        <f t="shared" si="6"/>
        <v>173006.75</v>
      </c>
      <c r="V49" s="4985">
        <v>11</v>
      </c>
      <c r="W49" s="4986">
        <v>41994.29</v>
      </c>
      <c r="X49" s="4895">
        <f t="shared" si="7"/>
        <v>33</v>
      </c>
      <c r="Y49" s="4983">
        <f t="shared" si="8"/>
        <v>127098.04000000001</v>
      </c>
      <c r="Z49" s="4897">
        <f t="shared" si="9"/>
        <v>55</v>
      </c>
      <c r="AA49" s="4893">
        <f t="shared" si="10"/>
        <v>215001.04</v>
      </c>
      <c r="AB49" s="4985">
        <v>11</v>
      </c>
      <c r="AC49" s="4986">
        <v>44204</v>
      </c>
      <c r="AD49" s="1485">
        <f t="shared" si="118"/>
        <v>66</v>
      </c>
      <c r="AE49" s="1548">
        <f t="shared" si="118"/>
        <v>259205.04</v>
      </c>
      <c r="AF49" s="4985">
        <v>6</v>
      </c>
      <c r="AG49" s="4986">
        <v>24118</v>
      </c>
      <c r="AH49" s="1485">
        <f t="shared" si="119"/>
        <v>72</v>
      </c>
      <c r="AI49" s="1548">
        <f t="shared" si="119"/>
        <v>283323.04000000004</v>
      </c>
      <c r="AJ49" s="4985">
        <v>10</v>
      </c>
      <c r="AK49" s="4986">
        <v>40191</v>
      </c>
      <c r="AL49" s="4895">
        <f t="shared" si="120"/>
        <v>27</v>
      </c>
      <c r="AM49" s="4982">
        <f t="shared" si="120"/>
        <v>108513</v>
      </c>
      <c r="AN49" s="1485">
        <f t="shared" si="111"/>
        <v>82</v>
      </c>
      <c r="AO49" s="1548">
        <f t="shared" si="111"/>
        <v>323514.04000000004</v>
      </c>
      <c r="AP49" s="4985">
        <v>10</v>
      </c>
      <c r="AQ49" s="4986">
        <v>40219</v>
      </c>
      <c r="AR49" s="1485">
        <f t="shared" si="121"/>
        <v>92</v>
      </c>
      <c r="AS49" s="1548">
        <f t="shared" si="121"/>
        <v>363733.04000000004</v>
      </c>
      <c r="AT49" s="4987">
        <v>10</v>
      </c>
      <c r="AU49" s="4986">
        <v>40159</v>
      </c>
      <c r="AV49" s="1485">
        <f t="shared" si="122"/>
        <v>102</v>
      </c>
      <c r="AW49" s="1548">
        <f t="shared" si="122"/>
        <v>403892.04000000004</v>
      </c>
      <c r="AX49" s="4987">
        <v>7</v>
      </c>
      <c r="AY49" s="4986">
        <v>28097</v>
      </c>
      <c r="AZ49" s="4895">
        <f t="shared" si="123"/>
        <v>27</v>
      </c>
      <c r="BA49" s="4983">
        <f t="shared" si="123"/>
        <v>108475</v>
      </c>
      <c r="BB49" s="4897">
        <f t="shared" si="124"/>
        <v>54</v>
      </c>
      <c r="BC49" s="4893">
        <f t="shared" si="124"/>
        <v>216988</v>
      </c>
      <c r="BD49" s="1485">
        <f t="shared" si="125"/>
        <v>109</v>
      </c>
      <c r="BE49" s="1548">
        <f t="shared" si="125"/>
        <v>431989.04000000004</v>
      </c>
      <c r="BF49" s="533"/>
      <c r="BG49" s="533"/>
      <c r="BH49" s="533"/>
      <c r="BI49" s="533"/>
      <c r="BR49" s="533"/>
      <c r="BS49" s="533"/>
      <c r="BT49" s="533"/>
      <c r="BU49" s="533"/>
      <c r="BV49" s="533"/>
      <c r="BW49" s="533"/>
      <c r="BX49" s="533"/>
      <c r="BY49" s="533"/>
      <c r="BZ49" s="533"/>
      <c r="CA49" s="533"/>
      <c r="CB49" s="533"/>
      <c r="CC49" s="533"/>
    </row>
    <row r="50" spans="2:81" s="1356" customFormat="1" ht="21.95" customHeight="1" thickBot="1" x14ac:dyDescent="0.3">
      <c r="B50" s="5979"/>
      <c r="C50" s="1608" t="s">
        <v>1244</v>
      </c>
      <c r="D50" s="4994">
        <v>0</v>
      </c>
      <c r="E50" s="4995">
        <v>0</v>
      </c>
      <c r="F50" s="4994">
        <v>0</v>
      </c>
      <c r="G50" s="4995">
        <v>0</v>
      </c>
      <c r="H50" s="1485">
        <f t="shared" si="0"/>
        <v>0</v>
      </c>
      <c r="I50" s="1486">
        <f t="shared" si="1"/>
        <v>0</v>
      </c>
      <c r="J50" s="4994"/>
      <c r="K50" s="4995"/>
      <c r="L50" s="4895">
        <f t="shared" si="20"/>
        <v>0</v>
      </c>
      <c r="M50" s="4982">
        <f t="shared" si="2"/>
        <v>0</v>
      </c>
      <c r="N50" s="4994">
        <v>0</v>
      </c>
      <c r="O50" s="4995">
        <v>0</v>
      </c>
      <c r="P50" s="1548">
        <f t="shared" si="51"/>
        <v>0</v>
      </c>
      <c r="Q50" s="1548">
        <f t="shared" si="51"/>
        <v>0</v>
      </c>
      <c r="R50" s="4994">
        <v>0</v>
      </c>
      <c r="S50" s="4995">
        <v>0</v>
      </c>
      <c r="T50" s="1548">
        <f t="shared" si="5"/>
        <v>0</v>
      </c>
      <c r="U50" s="1548">
        <f t="shared" si="6"/>
        <v>0</v>
      </c>
      <c r="V50" s="4994">
        <v>0</v>
      </c>
      <c r="W50" s="4995">
        <v>0</v>
      </c>
      <c r="X50" s="4895">
        <f t="shared" si="7"/>
        <v>0</v>
      </c>
      <c r="Y50" s="4983">
        <f t="shared" si="8"/>
        <v>0</v>
      </c>
      <c r="Z50" s="4897">
        <f t="shared" si="9"/>
        <v>0</v>
      </c>
      <c r="AA50" s="4893">
        <f t="shared" si="10"/>
        <v>0</v>
      </c>
      <c r="AB50" s="4994">
        <v>0</v>
      </c>
      <c r="AC50" s="4995">
        <v>0</v>
      </c>
      <c r="AD50" s="1485">
        <f t="shared" si="118"/>
        <v>0</v>
      </c>
      <c r="AE50" s="1548">
        <f t="shared" si="118"/>
        <v>0</v>
      </c>
      <c r="AF50" s="4994">
        <v>0</v>
      </c>
      <c r="AG50" s="4995">
        <v>0</v>
      </c>
      <c r="AH50" s="1485">
        <f t="shared" si="119"/>
        <v>0</v>
      </c>
      <c r="AI50" s="1548">
        <f t="shared" si="119"/>
        <v>0</v>
      </c>
      <c r="AJ50" s="4994">
        <v>0</v>
      </c>
      <c r="AK50" s="4995">
        <v>0</v>
      </c>
      <c r="AL50" s="4895">
        <f t="shared" si="120"/>
        <v>0</v>
      </c>
      <c r="AM50" s="4982">
        <f t="shared" si="120"/>
        <v>0</v>
      </c>
      <c r="AN50" s="1485">
        <f t="shared" si="111"/>
        <v>0</v>
      </c>
      <c r="AO50" s="1548">
        <f t="shared" si="111"/>
        <v>0</v>
      </c>
      <c r="AP50" s="4994">
        <v>0</v>
      </c>
      <c r="AQ50" s="4995">
        <v>0</v>
      </c>
      <c r="AR50" s="1485">
        <f t="shared" si="121"/>
        <v>0</v>
      </c>
      <c r="AS50" s="1548">
        <f t="shared" si="121"/>
        <v>0</v>
      </c>
      <c r="AT50" s="4996">
        <v>0</v>
      </c>
      <c r="AU50" s="4995">
        <v>0</v>
      </c>
      <c r="AV50" s="1485">
        <f t="shared" si="122"/>
        <v>0</v>
      </c>
      <c r="AW50" s="1548">
        <f t="shared" si="122"/>
        <v>0</v>
      </c>
      <c r="AX50" s="4996">
        <v>0</v>
      </c>
      <c r="AY50" s="4995">
        <v>0</v>
      </c>
      <c r="AZ50" s="4895">
        <f t="shared" si="123"/>
        <v>0</v>
      </c>
      <c r="BA50" s="4983">
        <f t="shared" si="123"/>
        <v>0</v>
      </c>
      <c r="BB50" s="4897">
        <f t="shared" si="124"/>
        <v>0</v>
      </c>
      <c r="BC50" s="4893">
        <f t="shared" si="124"/>
        <v>0</v>
      </c>
      <c r="BD50" s="1485">
        <f t="shared" si="125"/>
        <v>0</v>
      </c>
      <c r="BE50" s="1548">
        <f t="shared" si="125"/>
        <v>0</v>
      </c>
      <c r="BF50" s="533"/>
      <c r="BG50" s="533"/>
      <c r="BH50" s="533"/>
      <c r="BI50" s="533"/>
      <c r="BR50" s="533"/>
      <c r="BS50" s="533"/>
      <c r="BT50" s="533"/>
      <c r="BU50" s="533"/>
      <c r="BV50" s="533"/>
      <c r="BW50" s="533"/>
      <c r="BX50" s="533"/>
      <c r="BY50" s="533"/>
      <c r="BZ50" s="533"/>
      <c r="CA50" s="533"/>
      <c r="CB50" s="533"/>
      <c r="CC50" s="533"/>
    </row>
    <row r="51" spans="2:81" s="1356" customFormat="1" ht="21.95" customHeight="1" thickBot="1" x14ac:dyDescent="0.3">
      <c r="B51" s="4012" t="s">
        <v>1245</v>
      </c>
      <c r="C51" s="4013" t="s">
        <v>1022</v>
      </c>
      <c r="D51" s="2266">
        <v>2</v>
      </c>
      <c r="E51" s="2265">
        <v>7722</v>
      </c>
      <c r="F51" s="2266">
        <v>1</v>
      </c>
      <c r="G51" s="2265">
        <v>2902</v>
      </c>
      <c r="H51" s="1485">
        <f t="shared" si="0"/>
        <v>3</v>
      </c>
      <c r="I51" s="1486">
        <f t="shared" si="1"/>
        <v>10624</v>
      </c>
      <c r="J51" s="2266">
        <v>2</v>
      </c>
      <c r="K51" s="2265">
        <v>7189</v>
      </c>
      <c r="L51" s="5021">
        <f t="shared" si="20"/>
        <v>5</v>
      </c>
      <c r="M51" s="5022">
        <f t="shared" si="2"/>
        <v>17813</v>
      </c>
      <c r="N51" s="2266">
        <v>1</v>
      </c>
      <c r="O51" s="2265">
        <v>3551.31</v>
      </c>
      <c r="P51" s="1548">
        <f t="shared" si="51"/>
        <v>6</v>
      </c>
      <c r="Q51" s="1548">
        <f t="shared" si="51"/>
        <v>21364.31</v>
      </c>
      <c r="R51" s="2266">
        <v>1</v>
      </c>
      <c r="S51" s="2265">
        <v>4030.6</v>
      </c>
      <c r="T51" s="1548">
        <f t="shared" si="5"/>
        <v>7</v>
      </c>
      <c r="U51" s="1548">
        <f t="shared" si="6"/>
        <v>25394.91</v>
      </c>
      <c r="V51" s="2266">
        <v>2</v>
      </c>
      <c r="W51" s="2265">
        <v>7324.35</v>
      </c>
      <c r="X51" s="5021">
        <f t="shared" si="7"/>
        <v>4</v>
      </c>
      <c r="Y51" s="5023">
        <f t="shared" si="8"/>
        <v>14906.26</v>
      </c>
      <c r="Z51" s="5024">
        <f t="shared" si="9"/>
        <v>9</v>
      </c>
      <c r="AA51" s="5025">
        <f t="shared" si="10"/>
        <v>32719.260000000002</v>
      </c>
      <c r="AB51" s="2266">
        <v>0</v>
      </c>
      <c r="AC51" s="2265">
        <v>0</v>
      </c>
      <c r="AD51" s="2267">
        <f t="shared" si="118"/>
        <v>9</v>
      </c>
      <c r="AE51" s="2268">
        <f t="shared" si="118"/>
        <v>32719.260000000002</v>
      </c>
      <c r="AF51" s="2266">
        <v>1</v>
      </c>
      <c r="AG51" s="2265">
        <v>3943</v>
      </c>
      <c r="AH51" s="2267">
        <f t="shared" si="119"/>
        <v>10</v>
      </c>
      <c r="AI51" s="2268">
        <f t="shared" si="119"/>
        <v>36662.26</v>
      </c>
      <c r="AJ51" s="2266">
        <v>1</v>
      </c>
      <c r="AK51" s="2265">
        <v>3842</v>
      </c>
      <c r="AL51" s="5021">
        <f t="shared" si="120"/>
        <v>2</v>
      </c>
      <c r="AM51" s="5022">
        <f t="shared" si="120"/>
        <v>7785</v>
      </c>
      <c r="AN51" s="2267">
        <f t="shared" si="111"/>
        <v>11</v>
      </c>
      <c r="AO51" s="2268">
        <f t="shared" si="111"/>
        <v>40504.26</v>
      </c>
      <c r="AP51" s="2266">
        <v>1</v>
      </c>
      <c r="AQ51" s="2265">
        <v>4093</v>
      </c>
      <c r="AR51" s="2267">
        <f t="shared" si="121"/>
        <v>12</v>
      </c>
      <c r="AS51" s="2268">
        <f t="shared" si="121"/>
        <v>44597.26</v>
      </c>
      <c r="AT51" s="2269"/>
      <c r="AU51" s="2265"/>
      <c r="AV51" s="2267">
        <f t="shared" si="122"/>
        <v>12</v>
      </c>
      <c r="AW51" s="2268">
        <f t="shared" si="122"/>
        <v>44597.26</v>
      </c>
      <c r="AX51" s="2269">
        <v>1</v>
      </c>
      <c r="AY51" s="2265">
        <v>3829</v>
      </c>
      <c r="AZ51" s="5021">
        <f t="shared" si="123"/>
        <v>2</v>
      </c>
      <c r="BA51" s="5023">
        <f t="shared" si="123"/>
        <v>7922</v>
      </c>
      <c r="BB51" s="5026">
        <f t="shared" si="124"/>
        <v>4</v>
      </c>
      <c r="BC51" s="5027">
        <f t="shared" si="124"/>
        <v>15707</v>
      </c>
      <c r="BD51" s="1485">
        <f t="shared" si="125"/>
        <v>13</v>
      </c>
      <c r="BE51" s="1548">
        <f t="shared" si="125"/>
        <v>48426.26</v>
      </c>
      <c r="BF51" s="533"/>
      <c r="BG51" s="533"/>
      <c r="BH51" s="533"/>
      <c r="BI51" s="533"/>
      <c r="BR51" s="533"/>
      <c r="BS51" s="533"/>
      <c r="BT51" s="533"/>
      <c r="BU51" s="533"/>
      <c r="BV51" s="533"/>
      <c r="BW51" s="533"/>
      <c r="BX51" s="533"/>
      <c r="BY51" s="533"/>
      <c r="BZ51" s="533"/>
      <c r="CA51" s="533"/>
      <c r="CB51" s="533"/>
      <c r="CC51" s="533"/>
    </row>
    <row r="52" spans="2:81" s="1356" customFormat="1" ht="21.95" customHeight="1" thickBot="1" x14ac:dyDescent="0.3">
      <c r="B52" s="5995" t="s">
        <v>1900</v>
      </c>
      <c r="C52" s="4033" t="s">
        <v>1246</v>
      </c>
      <c r="D52" s="4025">
        <v>8</v>
      </c>
      <c r="E52" s="4026">
        <v>31874</v>
      </c>
      <c r="F52" s="4025">
        <v>12</v>
      </c>
      <c r="G52" s="4026">
        <v>45506</v>
      </c>
      <c r="H52" s="1485">
        <f t="shared" si="0"/>
        <v>20</v>
      </c>
      <c r="I52" s="1486">
        <f t="shared" si="1"/>
        <v>77380</v>
      </c>
      <c r="J52" s="4025">
        <v>13</v>
      </c>
      <c r="K52" s="4026">
        <v>48829</v>
      </c>
      <c r="L52" s="4029">
        <f t="shared" si="20"/>
        <v>33</v>
      </c>
      <c r="M52" s="4034">
        <f t="shared" si="2"/>
        <v>126209</v>
      </c>
      <c r="N52" s="4025">
        <v>11</v>
      </c>
      <c r="O52" s="4026">
        <v>41938</v>
      </c>
      <c r="P52" s="1548">
        <f t="shared" si="51"/>
        <v>44</v>
      </c>
      <c r="Q52" s="1548">
        <f t="shared" si="51"/>
        <v>168147</v>
      </c>
      <c r="R52" s="4025">
        <v>10</v>
      </c>
      <c r="S52" s="4026">
        <v>38260.080000000002</v>
      </c>
      <c r="T52" s="1548">
        <f t="shared" si="5"/>
        <v>54</v>
      </c>
      <c r="U52" s="1548">
        <f t="shared" si="6"/>
        <v>206407.08000000002</v>
      </c>
      <c r="V52" s="4025">
        <v>10</v>
      </c>
      <c r="W52" s="4026">
        <v>39261.86</v>
      </c>
      <c r="X52" s="4029">
        <f t="shared" si="7"/>
        <v>31</v>
      </c>
      <c r="Y52" s="4029">
        <f t="shared" si="8"/>
        <v>119459.94</v>
      </c>
      <c r="Z52" s="4195">
        <f t="shared" si="9"/>
        <v>64</v>
      </c>
      <c r="AA52" s="4196">
        <f t="shared" si="10"/>
        <v>245668.94</v>
      </c>
      <c r="AB52" s="4025">
        <v>9</v>
      </c>
      <c r="AC52" s="4026">
        <v>34616</v>
      </c>
      <c r="AD52" s="4027">
        <f t="shared" si="118"/>
        <v>73</v>
      </c>
      <c r="AE52" s="4028">
        <f t="shared" si="118"/>
        <v>280284.94</v>
      </c>
      <c r="AF52" s="4025">
        <v>0</v>
      </c>
      <c r="AG52" s="4026">
        <v>0</v>
      </c>
      <c r="AH52" s="4027">
        <f t="shared" si="119"/>
        <v>73</v>
      </c>
      <c r="AI52" s="4028">
        <f t="shared" si="119"/>
        <v>280284.94</v>
      </c>
      <c r="AJ52" s="4025">
        <v>8</v>
      </c>
      <c r="AK52" s="4026">
        <v>30552</v>
      </c>
      <c r="AL52" s="4029">
        <f t="shared" si="120"/>
        <v>17</v>
      </c>
      <c r="AM52" s="4029">
        <f t="shared" si="120"/>
        <v>65168</v>
      </c>
      <c r="AN52" s="4027">
        <f t="shared" si="111"/>
        <v>81</v>
      </c>
      <c r="AO52" s="4028">
        <f t="shared" si="111"/>
        <v>310836.94</v>
      </c>
      <c r="AP52" s="4025">
        <v>10</v>
      </c>
      <c r="AQ52" s="4026">
        <v>42707</v>
      </c>
      <c r="AR52" s="4027">
        <f t="shared" si="121"/>
        <v>91</v>
      </c>
      <c r="AS52" s="4028">
        <f t="shared" si="121"/>
        <v>353543.94</v>
      </c>
      <c r="AT52" s="4030">
        <v>9</v>
      </c>
      <c r="AU52" s="4026">
        <v>35232</v>
      </c>
      <c r="AV52" s="4027">
        <f t="shared" si="122"/>
        <v>100</v>
      </c>
      <c r="AW52" s="4028">
        <f t="shared" si="122"/>
        <v>388775.94</v>
      </c>
      <c r="AX52" s="4030">
        <v>11.8</v>
      </c>
      <c r="AY52" s="4026">
        <v>46288</v>
      </c>
      <c r="AZ52" s="4029">
        <f t="shared" si="123"/>
        <v>30.8</v>
      </c>
      <c r="BA52" s="4029">
        <f t="shared" si="123"/>
        <v>124227</v>
      </c>
      <c r="BB52" s="4031">
        <f t="shared" si="124"/>
        <v>47.8</v>
      </c>
      <c r="BC52" s="4032">
        <f t="shared" si="124"/>
        <v>189395</v>
      </c>
      <c r="BD52" s="1485">
        <f t="shared" si="125"/>
        <v>111.8</v>
      </c>
      <c r="BE52" s="1548">
        <f t="shared" si="125"/>
        <v>435063.94</v>
      </c>
      <c r="BF52" s="533"/>
      <c r="BG52" s="533"/>
      <c r="BH52" s="533"/>
      <c r="BI52" s="533"/>
      <c r="BR52" s="533"/>
      <c r="BS52" s="533"/>
      <c r="BT52" s="533"/>
      <c r="BU52" s="533"/>
      <c r="BV52" s="533"/>
      <c r="BW52" s="533"/>
      <c r="BX52" s="533"/>
      <c r="BY52" s="533"/>
      <c r="BZ52" s="533"/>
      <c r="CA52" s="533"/>
      <c r="CB52" s="533"/>
      <c r="CC52" s="533"/>
    </row>
    <row r="53" spans="2:81" s="1356" customFormat="1" ht="21.95" customHeight="1" thickBot="1" x14ac:dyDescent="0.3">
      <c r="B53" s="5996"/>
      <c r="C53" s="5028" t="s">
        <v>1899</v>
      </c>
      <c r="D53" s="5029">
        <v>0</v>
      </c>
      <c r="E53" s="5030">
        <v>0</v>
      </c>
      <c r="F53" s="5029">
        <v>0</v>
      </c>
      <c r="G53" s="5030">
        <v>0</v>
      </c>
      <c r="H53" s="1485">
        <f t="shared" si="0"/>
        <v>0</v>
      </c>
      <c r="I53" s="1486">
        <f t="shared" si="1"/>
        <v>0</v>
      </c>
      <c r="J53" s="5029">
        <v>0</v>
      </c>
      <c r="K53" s="5030">
        <v>0</v>
      </c>
      <c r="L53" s="5031">
        <f t="shared" si="20"/>
        <v>0</v>
      </c>
      <c r="M53" s="5032">
        <f t="shared" si="2"/>
        <v>0</v>
      </c>
      <c r="N53" s="5029">
        <v>0</v>
      </c>
      <c r="O53" s="5030">
        <v>0</v>
      </c>
      <c r="P53" s="1548">
        <f t="shared" si="51"/>
        <v>0</v>
      </c>
      <c r="Q53" s="1548">
        <f t="shared" si="51"/>
        <v>0</v>
      </c>
      <c r="R53" s="5029">
        <v>0</v>
      </c>
      <c r="S53" s="5030">
        <v>0</v>
      </c>
      <c r="T53" s="1548">
        <f t="shared" si="5"/>
        <v>0</v>
      </c>
      <c r="U53" s="1548">
        <f t="shared" si="6"/>
        <v>0</v>
      </c>
      <c r="V53" s="5029">
        <v>0</v>
      </c>
      <c r="W53" s="5030">
        <v>0</v>
      </c>
      <c r="X53" s="4029">
        <f t="shared" si="7"/>
        <v>0</v>
      </c>
      <c r="Y53" s="4029">
        <f t="shared" si="8"/>
        <v>0</v>
      </c>
      <c r="Z53" s="4195">
        <f t="shared" si="9"/>
        <v>0</v>
      </c>
      <c r="AA53" s="4196">
        <f t="shared" si="10"/>
        <v>0</v>
      </c>
      <c r="AB53" s="5029">
        <v>1</v>
      </c>
      <c r="AC53" s="5030">
        <v>3993</v>
      </c>
      <c r="AD53" s="4894">
        <f t="shared" si="118"/>
        <v>1</v>
      </c>
      <c r="AE53" s="4894">
        <f t="shared" si="118"/>
        <v>3993</v>
      </c>
      <c r="AF53" s="5029">
        <v>0</v>
      </c>
      <c r="AG53" s="5030">
        <v>0</v>
      </c>
      <c r="AH53" s="4027">
        <f t="shared" si="119"/>
        <v>1</v>
      </c>
      <c r="AI53" s="4028">
        <f t="shared" si="119"/>
        <v>3993</v>
      </c>
      <c r="AJ53" s="5029">
        <v>0</v>
      </c>
      <c r="AK53" s="5030">
        <v>0</v>
      </c>
      <c r="AL53" s="4029">
        <f t="shared" si="120"/>
        <v>1</v>
      </c>
      <c r="AM53" s="4029">
        <f t="shared" si="120"/>
        <v>3993</v>
      </c>
      <c r="AN53" s="4027">
        <f t="shared" si="111"/>
        <v>1</v>
      </c>
      <c r="AO53" s="4028">
        <f t="shared" si="111"/>
        <v>3993</v>
      </c>
      <c r="AP53" s="5029">
        <v>1</v>
      </c>
      <c r="AQ53" s="5030">
        <v>3705</v>
      </c>
      <c r="AR53" s="4027">
        <f t="shared" si="121"/>
        <v>2</v>
      </c>
      <c r="AS53" s="4028">
        <f t="shared" si="121"/>
        <v>7698</v>
      </c>
      <c r="AT53" s="5033">
        <v>0</v>
      </c>
      <c r="AU53" s="5030">
        <v>0</v>
      </c>
      <c r="AV53" s="4027">
        <f t="shared" si="122"/>
        <v>2</v>
      </c>
      <c r="AW53" s="4028">
        <f t="shared" si="122"/>
        <v>7698</v>
      </c>
      <c r="AX53" s="5033">
        <v>0</v>
      </c>
      <c r="AY53" s="5030">
        <v>0</v>
      </c>
      <c r="AZ53" s="4029">
        <f t="shared" si="123"/>
        <v>1</v>
      </c>
      <c r="BA53" s="4029">
        <f t="shared" si="123"/>
        <v>3705</v>
      </c>
      <c r="BB53" s="4031">
        <f t="shared" si="124"/>
        <v>2</v>
      </c>
      <c r="BC53" s="4032">
        <f t="shared" si="124"/>
        <v>7698</v>
      </c>
      <c r="BD53" s="1485">
        <f t="shared" si="125"/>
        <v>2</v>
      </c>
      <c r="BE53" s="1548">
        <f t="shared" si="125"/>
        <v>7698</v>
      </c>
      <c r="BF53" s="533"/>
      <c r="BG53" s="533"/>
      <c r="BH53" s="533"/>
      <c r="BI53" s="533"/>
      <c r="BR53" s="533"/>
      <c r="BS53" s="533"/>
      <c r="BT53" s="533"/>
      <c r="BU53" s="533"/>
      <c r="BV53" s="533"/>
      <c r="BW53" s="533"/>
      <c r="BX53" s="533"/>
      <c r="BY53" s="533"/>
      <c r="BZ53" s="533"/>
      <c r="CA53" s="533"/>
      <c r="CB53" s="533"/>
      <c r="CC53" s="533"/>
    </row>
    <row r="54" spans="2:81" s="1356" customFormat="1" ht="21.95" customHeight="1" thickBot="1" x14ac:dyDescent="0.3">
      <c r="B54" s="5965" t="s">
        <v>1247</v>
      </c>
      <c r="C54" s="4014" t="s">
        <v>1235</v>
      </c>
      <c r="D54" s="4015">
        <v>5.5</v>
      </c>
      <c r="E54" s="4016">
        <v>21324</v>
      </c>
      <c r="F54" s="4015">
        <v>5.6</v>
      </c>
      <c r="G54" s="4016">
        <v>20685</v>
      </c>
      <c r="H54" s="1485">
        <f t="shared" si="0"/>
        <v>11.1</v>
      </c>
      <c r="I54" s="1486">
        <f t="shared" si="1"/>
        <v>42009</v>
      </c>
      <c r="J54" s="4015">
        <v>6.8</v>
      </c>
      <c r="K54" s="4016">
        <v>24848</v>
      </c>
      <c r="L54" s="4017">
        <f t="shared" si="20"/>
        <v>17.899999999999999</v>
      </c>
      <c r="M54" s="4017">
        <f t="shared" si="2"/>
        <v>66857</v>
      </c>
      <c r="N54" s="4015">
        <v>6.4</v>
      </c>
      <c r="O54" s="4016">
        <v>24200.09</v>
      </c>
      <c r="P54" s="1548">
        <f t="shared" si="51"/>
        <v>24.299999999999997</v>
      </c>
      <c r="Q54" s="1548">
        <f t="shared" si="51"/>
        <v>91057.09</v>
      </c>
      <c r="R54" s="4015">
        <v>6</v>
      </c>
      <c r="S54" s="4016">
        <v>23022</v>
      </c>
      <c r="T54" s="1548">
        <f t="shared" si="5"/>
        <v>30.299999999999997</v>
      </c>
      <c r="U54" s="1548">
        <f t="shared" si="6"/>
        <v>114079.09</v>
      </c>
      <c r="V54" s="4015">
        <v>7</v>
      </c>
      <c r="W54" s="4016">
        <v>26804.1</v>
      </c>
      <c r="X54" s="4020">
        <f t="shared" si="7"/>
        <v>19.399999999999999</v>
      </c>
      <c r="Y54" s="4021">
        <f t="shared" si="8"/>
        <v>74026.19</v>
      </c>
      <c r="Z54" s="4023">
        <f t="shared" si="9"/>
        <v>37.299999999999997</v>
      </c>
      <c r="AA54" s="4024">
        <f t="shared" si="10"/>
        <v>140883.19</v>
      </c>
      <c r="AB54" s="4015">
        <v>7.5</v>
      </c>
      <c r="AC54" s="4016">
        <v>29076</v>
      </c>
      <c r="AD54" s="4019">
        <f t="shared" si="118"/>
        <v>44.8</v>
      </c>
      <c r="AE54" s="4018">
        <f t="shared" si="118"/>
        <v>169959.19</v>
      </c>
      <c r="AF54" s="4015">
        <v>5.5</v>
      </c>
      <c r="AG54" s="4016">
        <v>20360</v>
      </c>
      <c r="AH54" s="4019">
        <f t="shared" si="119"/>
        <v>50.3</v>
      </c>
      <c r="AI54" s="4018">
        <f t="shared" si="119"/>
        <v>190319.19</v>
      </c>
      <c r="AJ54" s="4015">
        <v>4.9000000000000004</v>
      </c>
      <c r="AK54" s="4016">
        <v>23061</v>
      </c>
      <c r="AL54" s="4020">
        <f t="shared" si="120"/>
        <v>17.899999999999999</v>
      </c>
      <c r="AM54" s="4022">
        <f t="shared" si="120"/>
        <v>72497</v>
      </c>
      <c r="AN54" s="4019">
        <f t="shared" si="111"/>
        <v>55.199999999999996</v>
      </c>
      <c r="AO54" s="4018">
        <f t="shared" si="111"/>
        <v>213380.19</v>
      </c>
      <c r="AP54" s="4015">
        <v>7.4</v>
      </c>
      <c r="AQ54" s="4016">
        <v>28133</v>
      </c>
      <c r="AR54" s="4019">
        <f t="shared" si="121"/>
        <v>62.599999999999994</v>
      </c>
      <c r="AS54" s="4018">
        <f t="shared" si="121"/>
        <v>241513.19</v>
      </c>
      <c r="AT54" s="1523">
        <v>7</v>
      </c>
      <c r="AU54" s="4016">
        <v>26988</v>
      </c>
      <c r="AV54" s="4019">
        <f t="shared" si="122"/>
        <v>69.599999999999994</v>
      </c>
      <c r="AW54" s="4018">
        <f t="shared" si="122"/>
        <v>268501.19</v>
      </c>
      <c r="AX54" s="1523">
        <v>6.5</v>
      </c>
      <c r="AY54" s="4016">
        <v>23943</v>
      </c>
      <c r="AZ54" s="4020">
        <f t="shared" si="123"/>
        <v>20.9</v>
      </c>
      <c r="BA54" s="4021">
        <f t="shared" si="123"/>
        <v>79064</v>
      </c>
      <c r="BB54" s="4023">
        <f t="shared" si="124"/>
        <v>38.799999999999997</v>
      </c>
      <c r="BC54" s="4024">
        <f t="shared" si="124"/>
        <v>151561</v>
      </c>
      <c r="BD54" s="1485">
        <f t="shared" si="125"/>
        <v>76.099999999999994</v>
      </c>
      <c r="BE54" s="1548">
        <f t="shared" si="125"/>
        <v>292444.19</v>
      </c>
      <c r="BF54" s="533"/>
      <c r="BG54" s="533"/>
      <c r="BH54" s="533"/>
      <c r="BI54" s="533"/>
      <c r="BR54" s="533"/>
      <c r="BS54" s="533"/>
      <c r="BT54" s="533"/>
      <c r="BU54" s="533"/>
      <c r="BV54" s="533"/>
      <c r="BW54" s="533"/>
      <c r="BX54" s="533"/>
      <c r="BY54" s="533"/>
      <c r="BZ54" s="533"/>
      <c r="CA54" s="533"/>
      <c r="CB54" s="533"/>
      <c r="CC54" s="533"/>
    </row>
    <row r="55" spans="2:81" s="1356" customFormat="1" ht="21.95" customHeight="1" thickBot="1" x14ac:dyDescent="0.3">
      <c r="B55" s="5965"/>
      <c r="C55" s="4014" t="s">
        <v>2308</v>
      </c>
      <c r="D55" s="4015"/>
      <c r="E55" s="4016"/>
      <c r="F55" s="4015"/>
      <c r="G55" s="4016"/>
      <c r="H55" s="1485"/>
      <c r="I55" s="1486"/>
      <c r="J55" s="4015"/>
      <c r="K55" s="4016"/>
      <c r="L55" s="4017"/>
      <c r="M55" s="4017"/>
      <c r="N55" s="4015">
        <v>1</v>
      </c>
      <c r="O55" s="4016">
        <v>3959.9</v>
      </c>
      <c r="P55" s="1548">
        <f t="shared" ref="P55" si="126">L55+N55</f>
        <v>1</v>
      </c>
      <c r="Q55" s="1548">
        <f t="shared" ref="Q55" si="127">M55+O55</f>
        <v>3959.9</v>
      </c>
      <c r="R55" s="4015">
        <v>2</v>
      </c>
      <c r="S55" s="4016">
        <v>7316</v>
      </c>
      <c r="T55" s="1548">
        <f t="shared" si="5"/>
        <v>3</v>
      </c>
      <c r="U55" s="1548">
        <f t="shared" si="6"/>
        <v>11275.9</v>
      </c>
      <c r="V55" s="4015">
        <v>0</v>
      </c>
      <c r="W55" s="4016">
        <v>0</v>
      </c>
      <c r="X55" s="4020">
        <f t="shared" si="7"/>
        <v>3</v>
      </c>
      <c r="Y55" s="4021">
        <f t="shared" si="8"/>
        <v>11275.9</v>
      </c>
      <c r="Z55" s="4023">
        <f t="shared" ref="Z55:Z63" si="128">L55+X55</f>
        <v>3</v>
      </c>
      <c r="AA55" s="4024">
        <f t="shared" ref="AA55:AA63" si="129">M55+Y55</f>
        <v>11275.9</v>
      </c>
      <c r="AB55" s="4015"/>
      <c r="AC55" s="4016"/>
      <c r="AD55" s="4019"/>
      <c r="AE55" s="4018"/>
      <c r="AF55" s="4015"/>
      <c r="AG55" s="4016"/>
      <c r="AH55" s="4019"/>
      <c r="AI55" s="4018"/>
      <c r="AJ55" s="4015"/>
      <c r="AK55" s="4016"/>
      <c r="AL55" s="4020"/>
      <c r="AM55" s="4022"/>
      <c r="AN55" s="4019"/>
      <c r="AO55" s="4018"/>
      <c r="AP55" s="4015"/>
      <c r="AQ55" s="4016"/>
      <c r="AR55" s="4019"/>
      <c r="AS55" s="4018"/>
      <c r="AT55" s="1523"/>
      <c r="AU55" s="4016"/>
      <c r="AV55" s="4019"/>
      <c r="AW55" s="4018"/>
      <c r="AX55" s="1523"/>
      <c r="AY55" s="4016"/>
      <c r="AZ55" s="4020"/>
      <c r="BA55" s="4021"/>
      <c r="BB55" s="4023"/>
      <c r="BC55" s="4024"/>
      <c r="BD55" s="1485"/>
      <c r="BE55" s="1548"/>
      <c r="BF55" s="533"/>
      <c r="BG55" s="533"/>
      <c r="BH55" s="533"/>
      <c r="BI55" s="533"/>
      <c r="BR55" s="533"/>
      <c r="BS55" s="533"/>
      <c r="BT55" s="533"/>
      <c r="BU55" s="533"/>
      <c r="BV55" s="533"/>
      <c r="BW55" s="533"/>
      <c r="BX55" s="533"/>
      <c r="BY55" s="533"/>
      <c r="BZ55" s="533"/>
      <c r="CA55" s="533"/>
      <c r="CB55" s="533"/>
      <c r="CC55" s="533"/>
    </row>
    <row r="56" spans="2:81" s="1356" customFormat="1" ht="21.95" customHeight="1" thickBot="1" x14ac:dyDescent="0.3">
      <c r="B56" s="5966"/>
      <c r="C56" s="5034" t="s">
        <v>1236</v>
      </c>
      <c r="D56" s="4889">
        <v>2</v>
      </c>
      <c r="E56" s="4891">
        <v>7732</v>
      </c>
      <c r="F56" s="4889">
        <v>1.4</v>
      </c>
      <c r="G56" s="4891">
        <v>5659</v>
      </c>
      <c r="H56" s="1485">
        <f t="shared" si="0"/>
        <v>3.4</v>
      </c>
      <c r="I56" s="1486">
        <f t="shared" si="1"/>
        <v>13391</v>
      </c>
      <c r="J56" s="4889">
        <v>1.2</v>
      </c>
      <c r="K56" s="4891">
        <v>4510</v>
      </c>
      <c r="L56" s="4892">
        <f t="shared" si="20"/>
        <v>4.5999999999999996</v>
      </c>
      <c r="M56" s="4892">
        <f t="shared" si="2"/>
        <v>17901</v>
      </c>
      <c r="N56" s="4889">
        <v>1</v>
      </c>
      <c r="O56" s="4891">
        <v>3313.04</v>
      </c>
      <c r="P56" s="1548">
        <f t="shared" si="51"/>
        <v>5.6</v>
      </c>
      <c r="Q56" s="1548">
        <f t="shared" si="51"/>
        <v>21214.04</v>
      </c>
      <c r="R56" s="4889">
        <v>1</v>
      </c>
      <c r="S56" s="4891">
        <v>3787</v>
      </c>
      <c r="T56" s="1548">
        <f t="shared" si="5"/>
        <v>6.6</v>
      </c>
      <c r="U56" s="1548">
        <f t="shared" si="6"/>
        <v>25001.040000000001</v>
      </c>
      <c r="V56" s="4889">
        <v>1</v>
      </c>
      <c r="W56" s="4891">
        <v>3992.12</v>
      </c>
      <c r="X56" s="4895">
        <f t="shared" si="7"/>
        <v>3</v>
      </c>
      <c r="Y56" s="4983">
        <f t="shared" si="8"/>
        <v>11092.16</v>
      </c>
      <c r="Z56" s="4023">
        <f t="shared" si="128"/>
        <v>7.6</v>
      </c>
      <c r="AA56" s="4024">
        <f t="shared" si="129"/>
        <v>28993.16</v>
      </c>
      <c r="AB56" s="4889">
        <v>2</v>
      </c>
      <c r="AC56" s="4891">
        <v>7764</v>
      </c>
      <c r="AD56" s="1485">
        <f t="shared" si="118"/>
        <v>9.6</v>
      </c>
      <c r="AE56" s="1548">
        <f t="shared" si="118"/>
        <v>36757.160000000003</v>
      </c>
      <c r="AF56" s="4889">
        <v>1</v>
      </c>
      <c r="AG56" s="4891">
        <v>4025</v>
      </c>
      <c r="AH56" s="1485">
        <f t="shared" si="119"/>
        <v>10.6</v>
      </c>
      <c r="AI56" s="1548">
        <f t="shared" si="119"/>
        <v>40782.160000000003</v>
      </c>
      <c r="AJ56" s="4889">
        <v>2</v>
      </c>
      <c r="AK56" s="4891">
        <v>7106</v>
      </c>
      <c r="AL56" s="4895">
        <f t="shared" si="120"/>
        <v>5</v>
      </c>
      <c r="AM56" s="4982">
        <f t="shared" si="120"/>
        <v>18895</v>
      </c>
      <c r="AN56" s="1485">
        <f t="shared" si="111"/>
        <v>12.6</v>
      </c>
      <c r="AO56" s="1548">
        <f t="shared" si="111"/>
        <v>47888.160000000003</v>
      </c>
      <c r="AP56" s="4889">
        <v>2</v>
      </c>
      <c r="AQ56" s="4891">
        <v>7666</v>
      </c>
      <c r="AR56" s="1485">
        <f t="shared" si="121"/>
        <v>14.6</v>
      </c>
      <c r="AS56" s="1548">
        <f t="shared" si="121"/>
        <v>55554.16</v>
      </c>
      <c r="AT56" s="4987">
        <v>1</v>
      </c>
      <c r="AU56" s="4891">
        <v>3827</v>
      </c>
      <c r="AV56" s="1485">
        <f t="shared" si="122"/>
        <v>15.6</v>
      </c>
      <c r="AW56" s="1548">
        <f t="shared" si="122"/>
        <v>59381.16</v>
      </c>
      <c r="AX56" s="4987">
        <v>1</v>
      </c>
      <c r="AY56" s="4891">
        <v>3556</v>
      </c>
      <c r="AZ56" s="4895">
        <f t="shared" si="123"/>
        <v>4</v>
      </c>
      <c r="BA56" s="4983">
        <f t="shared" si="123"/>
        <v>15049</v>
      </c>
      <c r="BB56" s="4897">
        <f t="shared" si="124"/>
        <v>9</v>
      </c>
      <c r="BC56" s="4893">
        <f t="shared" si="124"/>
        <v>33944</v>
      </c>
      <c r="BD56" s="1485">
        <f t="shared" si="125"/>
        <v>16.600000000000001</v>
      </c>
      <c r="BE56" s="1548">
        <f t="shared" si="125"/>
        <v>62937.16</v>
      </c>
      <c r="BF56" s="533"/>
      <c r="BG56" s="533"/>
      <c r="BH56" s="533"/>
      <c r="BI56" s="533"/>
      <c r="BR56" s="533"/>
      <c r="BS56" s="533"/>
      <c r="BT56" s="533"/>
      <c r="BU56" s="533"/>
      <c r="BV56" s="533"/>
      <c r="BW56" s="533"/>
      <c r="BX56" s="533"/>
      <c r="BY56" s="533"/>
      <c r="BZ56" s="533"/>
      <c r="CA56" s="533"/>
      <c r="CB56" s="533"/>
      <c r="CC56" s="533"/>
    </row>
    <row r="57" spans="2:81" s="1356" customFormat="1" ht="21.95" customHeight="1" thickBot="1" x14ac:dyDescent="0.3">
      <c r="B57" s="5966"/>
      <c r="C57" s="5034" t="s">
        <v>1237</v>
      </c>
      <c r="D57" s="4889">
        <v>0</v>
      </c>
      <c r="E57" s="4891">
        <v>0</v>
      </c>
      <c r="F57" s="4889">
        <v>0</v>
      </c>
      <c r="G57" s="4891">
        <v>0</v>
      </c>
      <c r="H57" s="1485">
        <f t="shared" si="0"/>
        <v>0</v>
      </c>
      <c r="I57" s="1486">
        <f t="shared" si="1"/>
        <v>0</v>
      </c>
      <c r="J57" s="4889">
        <v>1</v>
      </c>
      <c r="K57" s="4891">
        <v>3625</v>
      </c>
      <c r="L57" s="4892">
        <f t="shared" si="20"/>
        <v>1</v>
      </c>
      <c r="M57" s="4892">
        <f t="shared" si="2"/>
        <v>3625</v>
      </c>
      <c r="N57" s="4889">
        <v>1</v>
      </c>
      <c r="O57" s="4891">
        <v>3739.07</v>
      </c>
      <c r="P57" s="1548">
        <f t="shared" si="51"/>
        <v>2</v>
      </c>
      <c r="Q57" s="1548">
        <f t="shared" si="51"/>
        <v>7364.07</v>
      </c>
      <c r="R57" s="4889">
        <v>0</v>
      </c>
      <c r="S57" s="4891">
        <v>0</v>
      </c>
      <c r="T57" s="1548">
        <f t="shared" si="5"/>
        <v>2</v>
      </c>
      <c r="U57" s="1548">
        <f t="shared" si="6"/>
        <v>7364.07</v>
      </c>
      <c r="V57" s="4889"/>
      <c r="W57" s="4891">
        <v>67.2</v>
      </c>
      <c r="X57" s="4895">
        <f t="shared" si="7"/>
        <v>1</v>
      </c>
      <c r="Y57" s="4983">
        <f t="shared" si="8"/>
        <v>3806.27</v>
      </c>
      <c r="Z57" s="4023">
        <f t="shared" si="128"/>
        <v>2</v>
      </c>
      <c r="AA57" s="4024">
        <f t="shared" si="129"/>
        <v>7431.27</v>
      </c>
      <c r="AB57" s="4889">
        <v>0</v>
      </c>
      <c r="AC57" s="4891">
        <v>0</v>
      </c>
      <c r="AD57" s="1485">
        <f t="shared" si="118"/>
        <v>2</v>
      </c>
      <c r="AE57" s="1548">
        <f t="shared" si="118"/>
        <v>7431.27</v>
      </c>
      <c r="AF57" s="4889">
        <v>0</v>
      </c>
      <c r="AG57" s="4891">
        <v>0</v>
      </c>
      <c r="AH57" s="1485">
        <f t="shared" si="119"/>
        <v>2</v>
      </c>
      <c r="AI57" s="1548">
        <f t="shared" si="119"/>
        <v>7431.27</v>
      </c>
      <c r="AJ57" s="4889">
        <v>0</v>
      </c>
      <c r="AK57" s="4891">
        <v>0</v>
      </c>
      <c r="AL57" s="4895">
        <f t="shared" si="120"/>
        <v>0</v>
      </c>
      <c r="AM57" s="4982">
        <f t="shared" si="120"/>
        <v>0</v>
      </c>
      <c r="AN57" s="1485">
        <f t="shared" si="111"/>
        <v>2</v>
      </c>
      <c r="AO57" s="1548">
        <f t="shared" si="111"/>
        <v>7431.27</v>
      </c>
      <c r="AP57" s="4889">
        <v>0</v>
      </c>
      <c r="AQ57" s="4891">
        <v>0</v>
      </c>
      <c r="AR57" s="1485">
        <f t="shared" si="121"/>
        <v>2</v>
      </c>
      <c r="AS57" s="1548">
        <f t="shared" si="121"/>
        <v>7431.27</v>
      </c>
      <c r="AT57" s="4987">
        <v>1</v>
      </c>
      <c r="AU57" s="4891">
        <v>4022</v>
      </c>
      <c r="AV57" s="1485">
        <f t="shared" si="122"/>
        <v>3</v>
      </c>
      <c r="AW57" s="1548">
        <f t="shared" si="122"/>
        <v>11453.27</v>
      </c>
      <c r="AX57" s="4987">
        <v>0.5</v>
      </c>
      <c r="AY57" s="4891">
        <v>1971</v>
      </c>
      <c r="AZ57" s="4895">
        <f t="shared" si="123"/>
        <v>1.5</v>
      </c>
      <c r="BA57" s="4983">
        <f t="shared" si="123"/>
        <v>5993</v>
      </c>
      <c r="BB57" s="4897">
        <f t="shared" si="124"/>
        <v>1.5</v>
      </c>
      <c r="BC57" s="4893">
        <f t="shared" si="124"/>
        <v>5993</v>
      </c>
      <c r="BD57" s="1485">
        <f t="shared" si="125"/>
        <v>3.5</v>
      </c>
      <c r="BE57" s="1548">
        <f t="shared" si="125"/>
        <v>13424.27</v>
      </c>
      <c r="BF57" s="533"/>
      <c r="BG57" s="533"/>
      <c r="BH57" s="533"/>
      <c r="BI57" s="533"/>
      <c r="BR57" s="533"/>
      <c r="BS57" s="533"/>
      <c r="BT57" s="533"/>
      <c r="BU57" s="533"/>
      <c r="BV57" s="533"/>
      <c r="BW57" s="533"/>
      <c r="BX57" s="533"/>
      <c r="BY57" s="533"/>
      <c r="BZ57" s="533"/>
      <c r="CA57" s="533"/>
      <c r="CB57" s="533"/>
      <c r="CC57" s="533"/>
    </row>
    <row r="58" spans="2:81" s="1356" customFormat="1" ht="21.95" customHeight="1" thickBot="1" x14ac:dyDescent="0.3">
      <c r="B58" s="5966"/>
      <c r="C58" s="5034" t="s">
        <v>1284</v>
      </c>
      <c r="D58" s="4889">
        <v>0</v>
      </c>
      <c r="E58" s="4891">
        <v>0</v>
      </c>
      <c r="F58" s="4889"/>
      <c r="G58" s="4891"/>
      <c r="H58" s="1485">
        <f t="shared" si="0"/>
        <v>0</v>
      </c>
      <c r="I58" s="1486">
        <f t="shared" si="1"/>
        <v>0</v>
      </c>
      <c r="J58" s="4889"/>
      <c r="K58" s="4891"/>
      <c r="L58" s="4892">
        <f t="shared" si="20"/>
        <v>0</v>
      </c>
      <c r="M58" s="4892">
        <f t="shared" si="2"/>
        <v>0</v>
      </c>
      <c r="N58" s="4889">
        <v>0</v>
      </c>
      <c r="O58" s="4891">
        <v>0</v>
      </c>
      <c r="P58" s="1548">
        <f t="shared" si="51"/>
        <v>0</v>
      </c>
      <c r="Q58" s="1548">
        <f t="shared" si="51"/>
        <v>0</v>
      </c>
      <c r="R58" s="4889">
        <v>0</v>
      </c>
      <c r="S58" s="4891">
        <v>0</v>
      </c>
      <c r="T58" s="1548">
        <f t="shared" si="5"/>
        <v>0</v>
      </c>
      <c r="U58" s="1548">
        <f t="shared" si="6"/>
        <v>0</v>
      </c>
      <c r="V58" s="4889">
        <v>0</v>
      </c>
      <c r="W58" s="4891">
        <v>0</v>
      </c>
      <c r="X58" s="4895">
        <f t="shared" si="7"/>
        <v>0</v>
      </c>
      <c r="Y58" s="4983">
        <f t="shared" si="8"/>
        <v>0</v>
      </c>
      <c r="Z58" s="4023">
        <f t="shared" si="128"/>
        <v>0</v>
      </c>
      <c r="AA58" s="4024">
        <f t="shared" si="129"/>
        <v>0</v>
      </c>
      <c r="AB58" s="4889">
        <v>0</v>
      </c>
      <c r="AC58" s="4891">
        <v>0</v>
      </c>
      <c r="AD58" s="1485">
        <f t="shared" si="118"/>
        <v>0</v>
      </c>
      <c r="AE58" s="1548">
        <f t="shared" si="118"/>
        <v>0</v>
      </c>
      <c r="AF58" s="4889">
        <v>0</v>
      </c>
      <c r="AG58" s="4891">
        <v>0</v>
      </c>
      <c r="AH58" s="1485">
        <f t="shared" si="119"/>
        <v>0</v>
      </c>
      <c r="AI58" s="1548">
        <f t="shared" si="119"/>
        <v>0</v>
      </c>
      <c r="AJ58" s="4889">
        <v>0</v>
      </c>
      <c r="AK58" s="4891">
        <v>0</v>
      </c>
      <c r="AL58" s="4895">
        <f t="shared" si="120"/>
        <v>0</v>
      </c>
      <c r="AM58" s="4982">
        <f t="shared" si="120"/>
        <v>0</v>
      </c>
      <c r="AN58" s="1485">
        <f t="shared" ref="AN58:AO69" si="130">AH58+AJ58</f>
        <v>0</v>
      </c>
      <c r="AO58" s="1548">
        <f t="shared" si="130"/>
        <v>0</v>
      </c>
      <c r="AP58" s="4889">
        <v>0</v>
      </c>
      <c r="AQ58" s="4891">
        <v>0</v>
      </c>
      <c r="AR58" s="1485">
        <f t="shared" si="121"/>
        <v>0</v>
      </c>
      <c r="AS58" s="1548">
        <f t="shared" si="121"/>
        <v>0</v>
      </c>
      <c r="AT58" s="4987">
        <v>0</v>
      </c>
      <c r="AU58" s="4891">
        <v>0</v>
      </c>
      <c r="AV58" s="1485">
        <f t="shared" si="122"/>
        <v>0</v>
      </c>
      <c r="AW58" s="1548">
        <f t="shared" si="122"/>
        <v>0</v>
      </c>
      <c r="AX58" s="4987">
        <v>0</v>
      </c>
      <c r="AY58" s="4891">
        <v>0</v>
      </c>
      <c r="AZ58" s="4895">
        <f t="shared" si="123"/>
        <v>0</v>
      </c>
      <c r="BA58" s="4983">
        <f t="shared" si="123"/>
        <v>0</v>
      </c>
      <c r="BB58" s="4897">
        <f t="shared" si="124"/>
        <v>0</v>
      </c>
      <c r="BC58" s="4893">
        <f t="shared" si="124"/>
        <v>0</v>
      </c>
      <c r="BD58" s="1485">
        <f t="shared" si="125"/>
        <v>0</v>
      </c>
      <c r="BE58" s="1548">
        <f t="shared" si="125"/>
        <v>0</v>
      </c>
      <c r="BF58" s="533"/>
      <c r="BG58" s="533"/>
      <c r="BH58" s="533"/>
      <c r="BI58" s="533"/>
      <c r="BR58" s="533"/>
      <c r="BS58" s="533"/>
      <c r="BT58" s="533"/>
      <c r="BU58" s="533"/>
      <c r="BV58" s="533"/>
      <c r="BW58" s="533"/>
      <c r="BX58" s="533"/>
      <c r="BY58" s="533"/>
      <c r="BZ58" s="533"/>
      <c r="CA58" s="533"/>
      <c r="CB58" s="533"/>
      <c r="CC58" s="533"/>
    </row>
    <row r="59" spans="2:81" s="1356" customFormat="1" ht="21.95" customHeight="1" thickBot="1" x14ac:dyDescent="0.3">
      <c r="B59" s="5966"/>
      <c r="C59" s="5034" t="s">
        <v>1238</v>
      </c>
      <c r="D59" s="4889">
        <v>1.5</v>
      </c>
      <c r="E59" s="4891">
        <v>5744</v>
      </c>
      <c r="F59" s="4889">
        <v>2</v>
      </c>
      <c r="G59" s="4891">
        <v>7436</v>
      </c>
      <c r="H59" s="1485">
        <f t="shared" si="0"/>
        <v>3.5</v>
      </c>
      <c r="I59" s="1486">
        <f t="shared" si="1"/>
        <v>13180</v>
      </c>
      <c r="J59" s="4889">
        <v>1.5</v>
      </c>
      <c r="K59" s="4891">
        <v>5747</v>
      </c>
      <c r="L59" s="4892">
        <f t="shared" si="20"/>
        <v>5</v>
      </c>
      <c r="M59" s="4892">
        <f t="shared" si="2"/>
        <v>18927</v>
      </c>
      <c r="N59" s="4889">
        <v>0.5</v>
      </c>
      <c r="O59" s="4891">
        <v>1959.58</v>
      </c>
      <c r="P59" s="1548">
        <f t="shared" si="51"/>
        <v>5.5</v>
      </c>
      <c r="Q59" s="1548">
        <f t="shared" si="51"/>
        <v>20886.580000000002</v>
      </c>
      <c r="R59" s="4889">
        <v>1</v>
      </c>
      <c r="S59" s="4891">
        <v>3837</v>
      </c>
      <c r="T59" s="1548">
        <f t="shared" si="5"/>
        <v>6.5</v>
      </c>
      <c r="U59" s="1548">
        <f t="shared" si="6"/>
        <v>24723.58</v>
      </c>
      <c r="V59" s="4889">
        <v>1</v>
      </c>
      <c r="W59" s="4891">
        <v>3646.95</v>
      </c>
      <c r="X59" s="4895">
        <f t="shared" si="7"/>
        <v>2.5</v>
      </c>
      <c r="Y59" s="4983">
        <f t="shared" si="8"/>
        <v>9443.5299999999988</v>
      </c>
      <c r="Z59" s="4023">
        <f t="shared" si="128"/>
        <v>7.5</v>
      </c>
      <c r="AA59" s="4024">
        <f t="shared" si="129"/>
        <v>28370.53</v>
      </c>
      <c r="AB59" s="4889">
        <v>1</v>
      </c>
      <c r="AC59" s="4891">
        <v>3929</v>
      </c>
      <c r="AD59" s="1485">
        <f t="shared" si="118"/>
        <v>8.5</v>
      </c>
      <c r="AE59" s="1548">
        <f t="shared" si="118"/>
        <v>32299.53</v>
      </c>
      <c r="AF59" s="4889">
        <v>2</v>
      </c>
      <c r="AG59" s="4891">
        <v>8145</v>
      </c>
      <c r="AH59" s="1485">
        <f t="shared" si="119"/>
        <v>10.5</v>
      </c>
      <c r="AI59" s="1548">
        <f t="shared" si="119"/>
        <v>40444.53</v>
      </c>
      <c r="AJ59" s="4889">
        <v>1</v>
      </c>
      <c r="AK59" s="4891">
        <v>3767</v>
      </c>
      <c r="AL59" s="4895">
        <f t="shared" si="120"/>
        <v>4</v>
      </c>
      <c r="AM59" s="4982">
        <f t="shared" si="120"/>
        <v>15841</v>
      </c>
      <c r="AN59" s="1485">
        <f t="shared" si="130"/>
        <v>11.5</v>
      </c>
      <c r="AO59" s="1548">
        <f t="shared" si="130"/>
        <v>44211.53</v>
      </c>
      <c r="AP59" s="4889">
        <v>2.6</v>
      </c>
      <c r="AQ59" s="4891">
        <v>9755</v>
      </c>
      <c r="AR59" s="1485">
        <f t="shared" si="121"/>
        <v>14.1</v>
      </c>
      <c r="AS59" s="1548">
        <f t="shared" si="121"/>
        <v>53966.53</v>
      </c>
      <c r="AT59" s="4987">
        <v>2</v>
      </c>
      <c r="AU59" s="4891">
        <v>6806</v>
      </c>
      <c r="AV59" s="1485">
        <f t="shared" si="122"/>
        <v>16.100000000000001</v>
      </c>
      <c r="AW59" s="1548">
        <f t="shared" si="122"/>
        <v>60772.53</v>
      </c>
      <c r="AX59" s="4987">
        <v>1</v>
      </c>
      <c r="AY59" s="4891">
        <v>3996</v>
      </c>
      <c r="AZ59" s="4895">
        <f t="shared" si="123"/>
        <v>5.6</v>
      </c>
      <c r="BA59" s="4983">
        <f t="shared" si="123"/>
        <v>20557</v>
      </c>
      <c r="BB59" s="4897">
        <f t="shared" si="124"/>
        <v>9.6</v>
      </c>
      <c r="BC59" s="4893">
        <f t="shared" si="124"/>
        <v>36398</v>
      </c>
      <c r="BD59" s="1485">
        <f t="shared" si="125"/>
        <v>17.100000000000001</v>
      </c>
      <c r="BE59" s="1548">
        <f t="shared" si="125"/>
        <v>64768.53</v>
      </c>
      <c r="BF59" s="533"/>
      <c r="BG59" s="533"/>
      <c r="BH59" s="533"/>
      <c r="BI59" s="533"/>
      <c r="BR59" s="533"/>
      <c r="BS59" s="533"/>
      <c r="BT59" s="533"/>
      <c r="BU59" s="533"/>
      <c r="BV59" s="533"/>
      <c r="BW59" s="533"/>
      <c r="BX59" s="533"/>
      <c r="BY59" s="533"/>
      <c r="BZ59" s="533"/>
      <c r="CA59" s="533"/>
      <c r="CB59" s="533"/>
      <c r="CC59" s="533"/>
    </row>
    <row r="60" spans="2:81" s="1356" customFormat="1" ht="21.95" customHeight="1" thickBot="1" x14ac:dyDescent="0.3">
      <c r="B60" s="5966"/>
      <c r="C60" s="5035" t="s">
        <v>1239</v>
      </c>
      <c r="D60" s="4889">
        <v>4</v>
      </c>
      <c r="E60" s="4891">
        <v>14168</v>
      </c>
      <c r="F60" s="4889">
        <v>4</v>
      </c>
      <c r="G60" s="4891">
        <v>15561</v>
      </c>
      <c r="H60" s="1485">
        <f t="shared" si="0"/>
        <v>8</v>
      </c>
      <c r="I60" s="1486">
        <f t="shared" si="1"/>
        <v>29729</v>
      </c>
      <c r="J60" s="4889">
        <v>3.5</v>
      </c>
      <c r="K60" s="4891">
        <v>13444</v>
      </c>
      <c r="L60" s="4892">
        <f t="shared" si="20"/>
        <v>11.5</v>
      </c>
      <c r="M60" s="4892">
        <f t="shared" si="2"/>
        <v>43173</v>
      </c>
      <c r="N60" s="4889">
        <v>2.7</v>
      </c>
      <c r="O60" s="4891">
        <v>10099.59</v>
      </c>
      <c r="P60" s="1548">
        <f t="shared" si="51"/>
        <v>14.2</v>
      </c>
      <c r="Q60" s="1548">
        <f t="shared" si="51"/>
        <v>53272.59</v>
      </c>
      <c r="R60" s="4889">
        <v>3</v>
      </c>
      <c r="S60" s="4891">
        <v>11501</v>
      </c>
      <c r="T60" s="1548">
        <f t="shared" si="5"/>
        <v>17.2</v>
      </c>
      <c r="U60" s="1548">
        <f t="shared" si="6"/>
        <v>64773.59</v>
      </c>
      <c r="V60" s="4889">
        <v>3</v>
      </c>
      <c r="W60" s="4891">
        <v>11708.05</v>
      </c>
      <c r="X60" s="4895">
        <f t="shared" si="7"/>
        <v>8.6999999999999993</v>
      </c>
      <c r="Y60" s="4983">
        <f t="shared" si="8"/>
        <v>33308.639999999999</v>
      </c>
      <c r="Z60" s="4023">
        <f t="shared" si="128"/>
        <v>20.2</v>
      </c>
      <c r="AA60" s="4024">
        <f t="shared" si="129"/>
        <v>76481.64</v>
      </c>
      <c r="AB60" s="4889">
        <v>3</v>
      </c>
      <c r="AC60" s="4891">
        <v>11711</v>
      </c>
      <c r="AD60" s="1485">
        <f t="shared" si="118"/>
        <v>23.2</v>
      </c>
      <c r="AE60" s="1548">
        <f t="shared" si="118"/>
        <v>88192.639999999999</v>
      </c>
      <c r="AF60" s="4889">
        <v>3</v>
      </c>
      <c r="AG60" s="4891">
        <v>10778</v>
      </c>
      <c r="AH60" s="1485">
        <f t="shared" si="119"/>
        <v>26.2</v>
      </c>
      <c r="AI60" s="1548">
        <f t="shared" si="119"/>
        <v>98970.64</v>
      </c>
      <c r="AJ60" s="4889">
        <v>2.5</v>
      </c>
      <c r="AK60" s="4891">
        <v>10278</v>
      </c>
      <c r="AL60" s="4895">
        <f t="shared" si="120"/>
        <v>8.5</v>
      </c>
      <c r="AM60" s="4982">
        <f t="shared" si="120"/>
        <v>32767</v>
      </c>
      <c r="AN60" s="1485">
        <f t="shared" si="130"/>
        <v>28.7</v>
      </c>
      <c r="AO60" s="1548">
        <f t="shared" si="130"/>
        <v>109248.64</v>
      </c>
      <c r="AP60" s="4889">
        <v>3</v>
      </c>
      <c r="AQ60" s="4891">
        <v>11704</v>
      </c>
      <c r="AR60" s="1485">
        <f t="shared" si="121"/>
        <v>31.7</v>
      </c>
      <c r="AS60" s="1548">
        <f t="shared" si="121"/>
        <v>120952.64</v>
      </c>
      <c r="AT60" s="4987">
        <v>3</v>
      </c>
      <c r="AU60" s="4891">
        <v>11380</v>
      </c>
      <c r="AV60" s="1485">
        <f t="shared" si="122"/>
        <v>34.700000000000003</v>
      </c>
      <c r="AW60" s="1548">
        <f t="shared" si="122"/>
        <v>132332.64000000001</v>
      </c>
      <c r="AX60" s="4987">
        <v>3</v>
      </c>
      <c r="AY60" s="4891">
        <v>15138</v>
      </c>
      <c r="AZ60" s="4895">
        <f t="shared" si="123"/>
        <v>9</v>
      </c>
      <c r="BA60" s="4983">
        <f t="shared" si="123"/>
        <v>38222</v>
      </c>
      <c r="BB60" s="4897">
        <f t="shared" si="124"/>
        <v>17.5</v>
      </c>
      <c r="BC60" s="4893">
        <f t="shared" si="124"/>
        <v>70989</v>
      </c>
      <c r="BD60" s="1485">
        <f t="shared" si="125"/>
        <v>37.700000000000003</v>
      </c>
      <c r="BE60" s="1548">
        <f t="shared" si="125"/>
        <v>147470.64000000001</v>
      </c>
      <c r="BF60" s="533"/>
      <c r="BG60" s="533"/>
      <c r="BH60" s="533"/>
      <c r="BI60" s="533"/>
      <c r="BR60" s="533"/>
      <c r="BS60" s="533"/>
      <c r="BT60" s="533"/>
      <c r="BU60" s="533"/>
      <c r="BV60" s="533"/>
      <c r="BW60" s="533"/>
      <c r="BX60" s="533"/>
      <c r="BY60" s="533"/>
      <c r="BZ60" s="533"/>
      <c r="CA60" s="533"/>
      <c r="CB60" s="533"/>
      <c r="CC60" s="533"/>
    </row>
    <row r="61" spans="2:81" s="1356" customFormat="1" ht="21.95" customHeight="1" thickBot="1" x14ac:dyDescent="0.3">
      <c r="B61" s="5966"/>
      <c r="C61" s="5035" t="s">
        <v>1240</v>
      </c>
      <c r="D61" s="4889">
        <v>0</v>
      </c>
      <c r="E61" s="4891">
        <v>0</v>
      </c>
      <c r="F61" s="4889"/>
      <c r="G61" s="4891"/>
      <c r="H61" s="1485">
        <f t="shared" si="0"/>
        <v>0</v>
      </c>
      <c r="I61" s="1486">
        <f t="shared" si="1"/>
        <v>0</v>
      </c>
      <c r="J61" s="4889"/>
      <c r="K61" s="4891"/>
      <c r="L61" s="4892">
        <f t="shared" si="20"/>
        <v>0</v>
      </c>
      <c r="M61" s="4892">
        <f t="shared" si="2"/>
        <v>0</v>
      </c>
      <c r="N61" s="4889">
        <v>0.4</v>
      </c>
      <c r="O61" s="4891">
        <v>1487.75</v>
      </c>
      <c r="P61" s="1548">
        <f t="shared" si="51"/>
        <v>0.4</v>
      </c>
      <c r="Q61" s="1548">
        <f t="shared" si="51"/>
        <v>1487.75</v>
      </c>
      <c r="R61" s="4889">
        <v>1</v>
      </c>
      <c r="S61" s="4891">
        <v>3983</v>
      </c>
      <c r="T61" s="1548">
        <f t="shared" si="5"/>
        <v>1.4</v>
      </c>
      <c r="U61" s="1548">
        <f t="shared" si="6"/>
        <v>5470.75</v>
      </c>
      <c r="V61" s="4889">
        <v>0</v>
      </c>
      <c r="W61" s="4891">
        <v>0</v>
      </c>
      <c r="X61" s="4895">
        <f t="shared" si="7"/>
        <v>1.4</v>
      </c>
      <c r="Y61" s="4983">
        <f t="shared" si="8"/>
        <v>5470.75</v>
      </c>
      <c r="Z61" s="4023">
        <f t="shared" si="128"/>
        <v>1.4</v>
      </c>
      <c r="AA61" s="4024">
        <f t="shared" si="129"/>
        <v>5470.75</v>
      </c>
      <c r="AB61" s="4889">
        <v>0</v>
      </c>
      <c r="AC61" s="4891">
        <v>0</v>
      </c>
      <c r="AD61" s="1485">
        <f t="shared" si="118"/>
        <v>1.4</v>
      </c>
      <c r="AE61" s="1548">
        <f t="shared" si="118"/>
        <v>5470.75</v>
      </c>
      <c r="AF61" s="4889">
        <v>0</v>
      </c>
      <c r="AG61" s="4891">
        <v>0</v>
      </c>
      <c r="AH61" s="1485">
        <f t="shared" si="119"/>
        <v>1.4</v>
      </c>
      <c r="AI61" s="1548">
        <f t="shared" si="119"/>
        <v>5470.75</v>
      </c>
      <c r="AJ61" s="4889">
        <v>0</v>
      </c>
      <c r="AK61" s="4891">
        <v>0</v>
      </c>
      <c r="AL61" s="4895">
        <f t="shared" si="120"/>
        <v>0</v>
      </c>
      <c r="AM61" s="4982">
        <f t="shared" si="120"/>
        <v>0</v>
      </c>
      <c r="AN61" s="1485">
        <f t="shared" si="130"/>
        <v>1.4</v>
      </c>
      <c r="AO61" s="1548">
        <f t="shared" si="130"/>
        <v>5470.75</v>
      </c>
      <c r="AP61" s="4889">
        <v>0</v>
      </c>
      <c r="AQ61" s="4891">
        <v>0</v>
      </c>
      <c r="AR61" s="1485">
        <f t="shared" si="121"/>
        <v>1.4</v>
      </c>
      <c r="AS61" s="1548">
        <f t="shared" si="121"/>
        <v>5470.75</v>
      </c>
      <c r="AT61" s="4987">
        <v>0</v>
      </c>
      <c r="AU61" s="4891">
        <v>0</v>
      </c>
      <c r="AV61" s="1485">
        <f t="shared" si="122"/>
        <v>1.4</v>
      </c>
      <c r="AW61" s="1548">
        <f t="shared" si="122"/>
        <v>5470.75</v>
      </c>
      <c r="AX61" s="4987">
        <v>0</v>
      </c>
      <c r="AY61" s="4891">
        <v>0</v>
      </c>
      <c r="AZ61" s="4895">
        <f t="shared" si="123"/>
        <v>0</v>
      </c>
      <c r="BA61" s="4983">
        <f t="shared" si="123"/>
        <v>0</v>
      </c>
      <c r="BB61" s="4897">
        <f t="shared" si="124"/>
        <v>0</v>
      </c>
      <c r="BC61" s="4893">
        <f t="shared" si="124"/>
        <v>0</v>
      </c>
      <c r="BD61" s="1485">
        <f t="shared" si="125"/>
        <v>1.4</v>
      </c>
      <c r="BE61" s="1548">
        <f t="shared" si="125"/>
        <v>5470.75</v>
      </c>
      <c r="BF61" s="533"/>
      <c r="BG61" s="533"/>
      <c r="BH61" s="533"/>
      <c r="BI61" s="533"/>
      <c r="BR61" s="533"/>
      <c r="BS61" s="533"/>
      <c r="BT61" s="533"/>
      <c r="BU61" s="533"/>
      <c r="BV61" s="533"/>
      <c r="BW61" s="533"/>
      <c r="BX61" s="533"/>
      <c r="BY61" s="533"/>
      <c r="BZ61" s="533"/>
      <c r="CA61" s="533"/>
      <c r="CB61" s="533"/>
      <c r="CC61" s="533"/>
    </row>
    <row r="62" spans="2:81" s="1356" customFormat="1" ht="21.95" customHeight="1" thickBot="1" x14ac:dyDescent="0.3">
      <c r="B62" s="5966"/>
      <c r="C62" s="5035" t="s">
        <v>1368</v>
      </c>
      <c r="D62" s="4889">
        <v>0</v>
      </c>
      <c r="E62" s="4891">
        <v>0</v>
      </c>
      <c r="F62" s="4889">
        <v>0</v>
      </c>
      <c r="G62" s="4891">
        <v>0</v>
      </c>
      <c r="H62" s="1485">
        <f t="shared" si="0"/>
        <v>0</v>
      </c>
      <c r="I62" s="1486">
        <f t="shared" si="1"/>
        <v>0</v>
      </c>
      <c r="J62" s="4889">
        <v>1</v>
      </c>
      <c r="K62" s="4891">
        <v>3871</v>
      </c>
      <c r="L62" s="4892">
        <f t="shared" si="20"/>
        <v>1</v>
      </c>
      <c r="M62" s="4892">
        <f t="shared" si="2"/>
        <v>3871</v>
      </c>
      <c r="N62" s="4889">
        <v>0</v>
      </c>
      <c r="O62" s="4891">
        <v>0</v>
      </c>
      <c r="P62" s="1548">
        <f t="shared" si="51"/>
        <v>1</v>
      </c>
      <c r="Q62" s="1548">
        <f t="shared" si="51"/>
        <v>3871</v>
      </c>
      <c r="R62" s="4889">
        <v>0</v>
      </c>
      <c r="S62" s="4891">
        <v>0</v>
      </c>
      <c r="T62" s="1548">
        <f t="shared" si="5"/>
        <v>1</v>
      </c>
      <c r="U62" s="1548">
        <f t="shared" si="6"/>
        <v>3871</v>
      </c>
      <c r="V62" s="4889">
        <v>1</v>
      </c>
      <c r="W62" s="4891">
        <v>4044.42</v>
      </c>
      <c r="X62" s="4895">
        <f t="shared" si="7"/>
        <v>1</v>
      </c>
      <c r="Y62" s="4983">
        <f t="shared" si="8"/>
        <v>4044.42</v>
      </c>
      <c r="Z62" s="4023">
        <f t="shared" si="128"/>
        <v>2</v>
      </c>
      <c r="AA62" s="4024">
        <f t="shared" si="129"/>
        <v>7915.42</v>
      </c>
      <c r="AB62" s="4889">
        <v>0.5</v>
      </c>
      <c r="AC62" s="4891">
        <v>1916</v>
      </c>
      <c r="AD62" s="1485">
        <f t="shared" si="118"/>
        <v>2.5</v>
      </c>
      <c r="AE62" s="1548">
        <f t="shared" si="118"/>
        <v>9831.42</v>
      </c>
      <c r="AF62" s="4889">
        <v>0.5</v>
      </c>
      <c r="AG62" s="4891">
        <v>1856</v>
      </c>
      <c r="AH62" s="1485">
        <f t="shared" si="119"/>
        <v>3</v>
      </c>
      <c r="AI62" s="1548">
        <f t="shared" si="119"/>
        <v>11687.42</v>
      </c>
      <c r="AJ62" s="4889">
        <v>0.5</v>
      </c>
      <c r="AK62" s="4891">
        <v>1976</v>
      </c>
      <c r="AL62" s="4895">
        <f t="shared" si="120"/>
        <v>1.5</v>
      </c>
      <c r="AM62" s="4982">
        <f t="shared" si="120"/>
        <v>5748</v>
      </c>
      <c r="AN62" s="1485">
        <f t="shared" si="130"/>
        <v>3.5</v>
      </c>
      <c r="AO62" s="1548">
        <f t="shared" si="130"/>
        <v>13663.42</v>
      </c>
      <c r="AP62" s="4889">
        <v>0</v>
      </c>
      <c r="AQ62" s="4891">
        <v>0</v>
      </c>
      <c r="AR62" s="1485">
        <f t="shared" si="121"/>
        <v>3.5</v>
      </c>
      <c r="AS62" s="1548">
        <f t="shared" si="121"/>
        <v>13663.42</v>
      </c>
      <c r="AT62" s="4987">
        <v>0</v>
      </c>
      <c r="AU62" s="4891">
        <v>0</v>
      </c>
      <c r="AV62" s="1485">
        <f t="shared" si="122"/>
        <v>3.5</v>
      </c>
      <c r="AW62" s="1548">
        <f t="shared" si="122"/>
        <v>13663.42</v>
      </c>
      <c r="AX62" s="4987">
        <v>0</v>
      </c>
      <c r="AY62" s="4891">
        <v>0</v>
      </c>
      <c r="AZ62" s="4895">
        <f t="shared" si="123"/>
        <v>0</v>
      </c>
      <c r="BA62" s="4983">
        <f t="shared" si="123"/>
        <v>0</v>
      </c>
      <c r="BB62" s="4897">
        <f t="shared" si="124"/>
        <v>1.5</v>
      </c>
      <c r="BC62" s="4893">
        <f t="shared" si="124"/>
        <v>5748</v>
      </c>
      <c r="BD62" s="1485">
        <f t="shared" si="125"/>
        <v>3.5</v>
      </c>
      <c r="BE62" s="1548">
        <f t="shared" si="125"/>
        <v>13663.42</v>
      </c>
      <c r="BF62" s="533"/>
      <c r="BG62" s="533"/>
      <c r="BH62" s="533"/>
      <c r="BI62" s="533"/>
      <c r="BR62" s="533"/>
      <c r="BS62" s="533"/>
      <c r="BT62" s="533"/>
      <c r="BU62" s="533"/>
      <c r="BV62" s="533"/>
      <c r="BW62" s="533"/>
      <c r="BX62" s="533"/>
      <c r="BY62" s="533"/>
      <c r="BZ62" s="533"/>
      <c r="CA62" s="533"/>
      <c r="CB62" s="533"/>
      <c r="CC62" s="533"/>
    </row>
    <row r="63" spans="2:81" s="1356" customFormat="1" ht="21.95" customHeight="1" thickBot="1" x14ac:dyDescent="0.3">
      <c r="B63" s="5966"/>
      <c r="C63" s="5035" t="s">
        <v>1241</v>
      </c>
      <c r="D63" s="4889">
        <v>0</v>
      </c>
      <c r="E63" s="4891">
        <v>0</v>
      </c>
      <c r="F63" s="4889">
        <v>0</v>
      </c>
      <c r="G63" s="4891">
        <v>0</v>
      </c>
      <c r="H63" s="1485">
        <f t="shared" si="0"/>
        <v>0</v>
      </c>
      <c r="I63" s="1486">
        <f t="shared" si="1"/>
        <v>0</v>
      </c>
      <c r="J63" s="4889">
        <v>0</v>
      </c>
      <c r="K63" s="4891">
        <v>0</v>
      </c>
      <c r="L63" s="4892">
        <f t="shared" si="20"/>
        <v>0</v>
      </c>
      <c r="M63" s="4892">
        <f t="shared" si="2"/>
        <v>0</v>
      </c>
      <c r="N63" s="4889">
        <v>0</v>
      </c>
      <c r="O63" s="4891">
        <v>0</v>
      </c>
      <c r="P63" s="1548">
        <f t="shared" si="51"/>
        <v>0</v>
      </c>
      <c r="Q63" s="1548">
        <f t="shared" si="51"/>
        <v>0</v>
      </c>
      <c r="R63" s="4889">
        <v>0</v>
      </c>
      <c r="S63" s="4891">
        <v>0</v>
      </c>
      <c r="T63" s="1548">
        <f t="shared" si="5"/>
        <v>0</v>
      </c>
      <c r="U63" s="1548">
        <f t="shared" si="6"/>
        <v>0</v>
      </c>
      <c r="V63" s="4889">
        <v>0</v>
      </c>
      <c r="W63" s="4891">
        <v>0</v>
      </c>
      <c r="X63" s="4895">
        <f t="shared" si="7"/>
        <v>0</v>
      </c>
      <c r="Y63" s="4983">
        <f t="shared" si="8"/>
        <v>0</v>
      </c>
      <c r="Z63" s="4023">
        <f t="shared" si="128"/>
        <v>0</v>
      </c>
      <c r="AA63" s="4024">
        <f t="shared" si="129"/>
        <v>0</v>
      </c>
      <c r="AB63" s="4889">
        <v>0</v>
      </c>
      <c r="AC63" s="4891">
        <v>0</v>
      </c>
      <c r="AD63" s="1485">
        <f t="shared" si="118"/>
        <v>0</v>
      </c>
      <c r="AE63" s="1548">
        <f t="shared" si="118"/>
        <v>0</v>
      </c>
      <c r="AF63" s="4889">
        <v>0</v>
      </c>
      <c r="AG63" s="4891">
        <v>0</v>
      </c>
      <c r="AH63" s="1485">
        <f t="shared" si="119"/>
        <v>0</v>
      </c>
      <c r="AI63" s="1548">
        <f t="shared" si="119"/>
        <v>0</v>
      </c>
      <c r="AJ63" s="4889">
        <v>0</v>
      </c>
      <c r="AK63" s="4891">
        <v>0</v>
      </c>
      <c r="AL63" s="4895">
        <f t="shared" si="120"/>
        <v>0</v>
      </c>
      <c r="AM63" s="4982">
        <f t="shared" si="120"/>
        <v>0</v>
      </c>
      <c r="AN63" s="1485">
        <f t="shared" si="130"/>
        <v>0</v>
      </c>
      <c r="AO63" s="1548">
        <f t="shared" si="130"/>
        <v>0</v>
      </c>
      <c r="AP63" s="4889">
        <v>0</v>
      </c>
      <c r="AQ63" s="4891">
        <v>0</v>
      </c>
      <c r="AR63" s="1485">
        <f t="shared" si="121"/>
        <v>0</v>
      </c>
      <c r="AS63" s="1548">
        <f t="shared" si="121"/>
        <v>0</v>
      </c>
      <c r="AT63" s="4987">
        <v>0</v>
      </c>
      <c r="AU63" s="4891">
        <v>0</v>
      </c>
      <c r="AV63" s="1485">
        <f t="shared" si="122"/>
        <v>0</v>
      </c>
      <c r="AW63" s="1548">
        <f t="shared" si="122"/>
        <v>0</v>
      </c>
      <c r="AX63" s="4987">
        <v>0</v>
      </c>
      <c r="AY63" s="4891">
        <v>0</v>
      </c>
      <c r="AZ63" s="4895">
        <f t="shared" si="123"/>
        <v>0</v>
      </c>
      <c r="BA63" s="4983">
        <f t="shared" si="123"/>
        <v>0</v>
      </c>
      <c r="BB63" s="4897">
        <f t="shared" si="124"/>
        <v>0</v>
      </c>
      <c r="BC63" s="4893">
        <f t="shared" si="124"/>
        <v>0</v>
      </c>
      <c r="BD63" s="1485">
        <f t="shared" si="125"/>
        <v>0</v>
      </c>
      <c r="BE63" s="1548">
        <f t="shared" si="125"/>
        <v>0</v>
      </c>
      <c r="BF63" s="533"/>
      <c r="BG63" s="533"/>
      <c r="BH63" s="533"/>
      <c r="BI63" s="533"/>
      <c r="BR63" s="533"/>
      <c r="BS63" s="533"/>
      <c r="BT63" s="533"/>
      <c r="BU63" s="533"/>
      <c r="BV63" s="533"/>
      <c r="BW63" s="533"/>
      <c r="BX63" s="533"/>
      <c r="BY63" s="533"/>
      <c r="BZ63" s="533"/>
      <c r="CA63" s="533"/>
      <c r="CB63" s="533"/>
      <c r="CC63" s="533"/>
    </row>
    <row r="64" spans="2:81" s="1356" customFormat="1" ht="21.95" customHeight="1" thickBot="1" x14ac:dyDescent="0.3">
      <c r="B64" s="5966"/>
      <c r="C64" s="5036" t="s">
        <v>2</v>
      </c>
      <c r="D64" s="5019">
        <f>SUM(D54:D63)</f>
        <v>13</v>
      </c>
      <c r="E64" s="5019">
        <f t="shared" ref="E64:BE64" si="131">SUM(E54:E63)</f>
        <v>48968</v>
      </c>
      <c r="F64" s="5019">
        <f>SUM(F54:F63)</f>
        <v>13</v>
      </c>
      <c r="G64" s="5019">
        <f t="shared" ref="G64" si="132">SUM(G54:G63)</f>
        <v>49341</v>
      </c>
      <c r="H64" s="1485">
        <f t="shared" si="0"/>
        <v>26</v>
      </c>
      <c r="I64" s="1486">
        <f t="shared" si="1"/>
        <v>98309</v>
      </c>
      <c r="J64" s="5019">
        <f>SUM(J54:J63)</f>
        <v>15</v>
      </c>
      <c r="K64" s="5019">
        <f t="shared" ref="K64" si="133">SUM(K54:K63)</f>
        <v>56045</v>
      </c>
      <c r="L64" s="4885">
        <f t="shared" si="131"/>
        <v>41</v>
      </c>
      <c r="M64" s="4885">
        <f t="shared" si="131"/>
        <v>154354</v>
      </c>
      <c r="N64" s="5019">
        <f>SUM(N54:N63)</f>
        <v>13.000000000000002</v>
      </c>
      <c r="O64" s="5019">
        <f t="shared" ref="O64" si="134">SUM(O54:O63)</f>
        <v>48759.020000000004</v>
      </c>
      <c r="P64" s="1548">
        <f t="shared" si="51"/>
        <v>54</v>
      </c>
      <c r="Q64" s="1548">
        <f t="shared" si="51"/>
        <v>203113.02000000002</v>
      </c>
      <c r="R64" s="5019">
        <f>SUM(R54:R63)</f>
        <v>14</v>
      </c>
      <c r="S64" s="5019">
        <f t="shared" ref="S64" si="135">SUM(S54:S63)</f>
        <v>53446</v>
      </c>
      <c r="T64" s="1548">
        <f t="shared" si="5"/>
        <v>68</v>
      </c>
      <c r="U64" s="1548">
        <f t="shared" si="6"/>
        <v>256559.02000000002</v>
      </c>
      <c r="V64" s="5019">
        <f>SUM(V54:V63)</f>
        <v>13</v>
      </c>
      <c r="W64" s="5019">
        <f t="shared" ref="W64" si="136">SUM(W54:W63)</f>
        <v>50262.84</v>
      </c>
      <c r="X64" s="5016">
        <f t="shared" si="7"/>
        <v>40</v>
      </c>
      <c r="Y64" s="5017">
        <f t="shared" si="8"/>
        <v>152467.85999999999</v>
      </c>
      <c r="Z64" s="4888">
        <f t="shared" si="9"/>
        <v>81</v>
      </c>
      <c r="AA64" s="4888">
        <f t="shared" si="10"/>
        <v>306821.86</v>
      </c>
      <c r="AB64" s="5019">
        <f t="shared" si="131"/>
        <v>14</v>
      </c>
      <c r="AC64" s="5019">
        <f t="shared" si="131"/>
        <v>54396</v>
      </c>
      <c r="AD64" s="5015">
        <f t="shared" si="131"/>
        <v>92.000000000000014</v>
      </c>
      <c r="AE64" s="5015">
        <f t="shared" si="131"/>
        <v>349941.95999999996</v>
      </c>
      <c r="AF64" s="5019">
        <f t="shared" si="131"/>
        <v>12</v>
      </c>
      <c r="AG64" s="5019">
        <f t="shared" si="131"/>
        <v>45164</v>
      </c>
      <c r="AH64" s="5015">
        <f t="shared" si="131"/>
        <v>104.00000000000001</v>
      </c>
      <c r="AI64" s="5015">
        <f t="shared" si="131"/>
        <v>395105.96</v>
      </c>
      <c r="AJ64" s="5019">
        <f t="shared" si="131"/>
        <v>10.9</v>
      </c>
      <c r="AK64" s="5019">
        <f t="shared" si="131"/>
        <v>46188</v>
      </c>
      <c r="AL64" s="5015">
        <f t="shared" si="131"/>
        <v>36.9</v>
      </c>
      <c r="AM64" s="5015">
        <f t="shared" si="131"/>
        <v>145748</v>
      </c>
      <c r="AN64" s="5015">
        <f t="shared" si="131"/>
        <v>114.9</v>
      </c>
      <c r="AO64" s="5015">
        <f t="shared" si="131"/>
        <v>441293.96</v>
      </c>
      <c r="AP64" s="5019">
        <f t="shared" si="131"/>
        <v>15</v>
      </c>
      <c r="AQ64" s="5019">
        <f t="shared" si="131"/>
        <v>57258</v>
      </c>
      <c r="AR64" s="5015">
        <f t="shared" si="131"/>
        <v>129.89999999999998</v>
      </c>
      <c r="AS64" s="5015">
        <f t="shared" si="131"/>
        <v>498551.96</v>
      </c>
      <c r="AT64" s="5015">
        <f t="shared" si="131"/>
        <v>14</v>
      </c>
      <c r="AU64" s="5019">
        <f t="shared" si="131"/>
        <v>53023</v>
      </c>
      <c r="AV64" s="5015">
        <f t="shared" si="131"/>
        <v>143.9</v>
      </c>
      <c r="AW64" s="5015">
        <f t="shared" si="131"/>
        <v>551574.96000000008</v>
      </c>
      <c r="AX64" s="5015">
        <f t="shared" si="131"/>
        <v>12</v>
      </c>
      <c r="AY64" s="5019">
        <f t="shared" si="131"/>
        <v>48604</v>
      </c>
      <c r="AZ64" s="5015">
        <f t="shared" si="131"/>
        <v>41</v>
      </c>
      <c r="BA64" s="5018">
        <f t="shared" si="131"/>
        <v>158885</v>
      </c>
      <c r="BB64" s="5019">
        <f t="shared" si="131"/>
        <v>77.900000000000006</v>
      </c>
      <c r="BC64" s="5019">
        <f t="shared" si="131"/>
        <v>304633</v>
      </c>
      <c r="BD64" s="5020">
        <f t="shared" si="131"/>
        <v>155.9</v>
      </c>
      <c r="BE64" s="5015">
        <f t="shared" si="131"/>
        <v>600178.96000000008</v>
      </c>
      <c r="BF64" s="533"/>
      <c r="BG64" s="533"/>
      <c r="BH64" s="533"/>
      <c r="BI64" s="533"/>
      <c r="BR64" s="533"/>
      <c r="BS64" s="533"/>
      <c r="BT64" s="533"/>
      <c r="BU64" s="533"/>
      <c r="BV64" s="533"/>
      <c r="BW64" s="533"/>
      <c r="BX64" s="533"/>
      <c r="BY64" s="533"/>
      <c r="BZ64" s="533"/>
      <c r="CA64" s="533"/>
      <c r="CB64" s="533"/>
      <c r="CC64" s="533"/>
    </row>
    <row r="65" spans="2:81" s="1356" customFormat="1" ht="21.95" customHeight="1" thickBot="1" x14ac:dyDescent="0.3">
      <c r="B65" s="5966"/>
      <c r="C65" s="5035" t="s">
        <v>1242</v>
      </c>
      <c r="D65" s="4889">
        <v>13</v>
      </c>
      <c r="E65" s="4891">
        <v>48968</v>
      </c>
      <c r="F65" s="4889">
        <v>13</v>
      </c>
      <c r="G65" s="4891">
        <v>49341</v>
      </c>
      <c r="H65" s="1485">
        <f t="shared" si="0"/>
        <v>26</v>
      </c>
      <c r="I65" s="1486">
        <f t="shared" si="1"/>
        <v>98309</v>
      </c>
      <c r="J65" s="4889">
        <v>15</v>
      </c>
      <c r="K65" s="4891">
        <v>56046</v>
      </c>
      <c r="L65" s="4892">
        <f t="shared" si="20"/>
        <v>41</v>
      </c>
      <c r="M65" s="4892">
        <f t="shared" si="2"/>
        <v>154355</v>
      </c>
      <c r="N65" s="4889">
        <v>12</v>
      </c>
      <c r="O65" s="4891">
        <v>45011.32</v>
      </c>
      <c r="P65" s="1548">
        <f t="shared" si="51"/>
        <v>53</v>
      </c>
      <c r="Q65" s="1548">
        <f t="shared" si="51"/>
        <v>199366.32</v>
      </c>
      <c r="R65" s="4889">
        <v>13</v>
      </c>
      <c r="S65" s="4891">
        <v>49463</v>
      </c>
      <c r="T65" s="1548">
        <f t="shared" si="5"/>
        <v>66</v>
      </c>
      <c r="U65" s="1548">
        <f t="shared" si="6"/>
        <v>248829.32</v>
      </c>
      <c r="V65" s="4889">
        <v>13</v>
      </c>
      <c r="W65" s="4891">
        <v>50262.84</v>
      </c>
      <c r="X65" s="4895">
        <f t="shared" si="7"/>
        <v>38</v>
      </c>
      <c r="Y65" s="4983">
        <f t="shared" si="8"/>
        <v>144737.16</v>
      </c>
      <c r="Z65" s="4897">
        <f t="shared" si="9"/>
        <v>79</v>
      </c>
      <c r="AA65" s="4893">
        <f t="shared" si="10"/>
        <v>299092.16000000003</v>
      </c>
      <c r="AB65" s="4889">
        <v>9</v>
      </c>
      <c r="AC65" s="4891">
        <v>34790</v>
      </c>
      <c r="AD65" s="1485">
        <f t="shared" ref="AD65:AE69" si="137">Z65+AB65</f>
        <v>88</v>
      </c>
      <c r="AE65" s="1548">
        <f t="shared" si="137"/>
        <v>333882.16000000003</v>
      </c>
      <c r="AF65" s="4889">
        <v>6</v>
      </c>
      <c r="AG65" s="4891">
        <v>20934</v>
      </c>
      <c r="AH65" s="1485">
        <f t="shared" ref="AH65:AI69" si="138">AD65+AF65</f>
        <v>94</v>
      </c>
      <c r="AI65" s="1548">
        <f t="shared" si="138"/>
        <v>354816.16000000003</v>
      </c>
      <c r="AJ65" s="4889">
        <v>7</v>
      </c>
      <c r="AK65" s="4891">
        <v>26018</v>
      </c>
      <c r="AL65" s="4895">
        <f t="shared" ref="AL65:AM69" si="139">+AB65+AF65+AJ65</f>
        <v>22</v>
      </c>
      <c r="AM65" s="4982">
        <f t="shared" si="139"/>
        <v>81742</v>
      </c>
      <c r="AN65" s="1485">
        <f t="shared" si="130"/>
        <v>101</v>
      </c>
      <c r="AO65" s="1548">
        <f t="shared" si="130"/>
        <v>380834.16000000003</v>
      </c>
      <c r="AP65" s="4889">
        <v>14</v>
      </c>
      <c r="AQ65" s="4891">
        <v>53219</v>
      </c>
      <c r="AR65" s="1485">
        <f t="shared" ref="AR65:AS69" si="140">AN65+AP65</f>
        <v>115</v>
      </c>
      <c r="AS65" s="1548">
        <f t="shared" si="140"/>
        <v>434053.16000000003</v>
      </c>
      <c r="AT65" s="4987">
        <v>13</v>
      </c>
      <c r="AU65" s="4891">
        <v>48986</v>
      </c>
      <c r="AV65" s="1485">
        <f t="shared" ref="AV65:AW69" si="141">AR65+AT65</f>
        <v>128</v>
      </c>
      <c r="AW65" s="1548">
        <f t="shared" si="141"/>
        <v>483039.16000000003</v>
      </c>
      <c r="AX65" s="4987">
        <v>13</v>
      </c>
      <c r="AY65" s="4891">
        <v>48604</v>
      </c>
      <c r="AZ65" s="4895">
        <f t="shared" ref="AZ65:BA69" si="142">+AP65+AT65+AX65</f>
        <v>40</v>
      </c>
      <c r="BA65" s="4983">
        <f t="shared" si="142"/>
        <v>150809</v>
      </c>
      <c r="BB65" s="4897">
        <f t="shared" ref="BB65:BC69" si="143">AL65+AZ65</f>
        <v>62</v>
      </c>
      <c r="BC65" s="4893">
        <f t="shared" si="143"/>
        <v>232551</v>
      </c>
      <c r="BD65" s="1485">
        <f t="shared" ref="BD65:BE69" si="144">AV65+AX65</f>
        <v>141</v>
      </c>
      <c r="BE65" s="1548">
        <f t="shared" si="144"/>
        <v>531643.16</v>
      </c>
      <c r="BF65" s="533"/>
      <c r="BG65" s="533"/>
      <c r="BH65" s="533"/>
      <c r="BI65" s="533"/>
      <c r="BR65" s="533"/>
      <c r="BS65" s="533"/>
      <c r="BT65" s="533"/>
      <c r="BU65" s="533"/>
      <c r="BV65" s="533"/>
      <c r="BW65" s="533"/>
      <c r="BX65" s="533"/>
      <c r="BY65" s="533"/>
      <c r="BZ65" s="533"/>
      <c r="CA65" s="533"/>
      <c r="CB65" s="533"/>
      <c r="CC65" s="533"/>
    </row>
    <row r="66" spans="2:81" s="1356" customFormat="1" ht="21.95" customHeight="1" thickBot="1" x14ac:dyDescent="0.3">
      <c r="B66" s="5966"/>
      <c r="C66" s="5035" t="s">
        <v>1243</v>
      </c>
      <c r="D66" s="4889">
        <v>0</v>
      </c>
      <c r="E66" s="4891">
        <v>0</v>
      </c>
      <c r="F66" s="4889">
        <v>0</v>
      </c>
      <c r="G66" s="4891">
        <v>0</v>
      </c>
      <c r="H66" s="1485">
        <f t="shared" si="0"/>
        <v>0</v>
      </c>
      <c r="I66" s="1486">
        <f t="shared" si="1"/>
        <v>0</v>
      </c>
      <c r="J66" s="4889">
        <v>0</v>
      </c>
      <c r="K66" s="4891">
        <v>0</v>
      </c>
      <c r="L66" s="4892">
        <f t="shared" si="20"/>
        <v>0</v>
      </c>
      <c r="M66" s="4892">
        <f t="shared" si="2"/>
        <v>0</v>
      </c>
      <c r="N66" s="4889">
        <v>1</v>
      </c>
      <c r="O66" s="4891">
        <v>3747.7</v>
      </c>
      <c r="P66" s="1548">
        <f t="shared" si="51"/>
        <v>1</v>
      </c>
      <c r="Q66" s="1548">
        <f t="shared" si="51"/>
        <v>3747.7</v>
      </c>
      <c r="R66" s="4889">
        <v>1</v>
      </c>
      <c r="S66" s="4891">
        <v>3983</v>
      </c>
      <c r="T66" s="1548">
        <f t="shared" si="5"/>
        <v>2</v>
      </c>
      <c r="U66" s="1548">
        <f t="shared" si="6"/>
        <v>7730.7</v>
      </c>
      <c r="V66" s="4889">
        <v>0</v>
      </c>
      <c r="W66" s="4891">
        <v>0</v>
      </c>
      <c r="X66" s="4895">
        <f t="shared" si="7"/>
        <v>2</v>
      </c>
      <c r="Y66" s="4983">
        <f t="shared" si="8"/>
        <v>7730.7</v>
      </c>
      <c r="Z66" s="4897">
        <f t="shared" si="9"/>
        <v>2</v>
      </c>
      <c r="AA66" s="4893">
        <f t="shared" si="10"/>
        <v>7730.7</v>
      </c>
      <c r="AB66" s="4889">
        <v>5</v>
      </c>
      <c r="AC66" s="4891">
        <v>19607</v>
      </c>
      <c r="AD66" s="1485">
        <f t="shared" si="137"/>
        <v>7</v>
      </c>
      <c r="AE66" s="1548">
        <f t="shared" si="137"/>
        <v>27337.7</v>
      </c>
      <c r="AF66" s="4889">
        <v>6</v>
      </c>
      <c r="AG66" s="4891">
        <v>24229</v>
      </c>
      <c r="AH66" s="1485">
        <f t="shared" si="138"/>
        <v>13</v>
      </c>
      <c r="AI66" s="1548">
        <f t="shared" si="138"/>
        <v>51566.7</v>
      </c>
      <c r="AJ66" s="4889">
        <v>5</v>
      </c>
      <c r="AK66" s="4891">
        <v>20170</v>
      </c>
      <c r="AL66" s="4895">
        <f t="shared" si="139"/>
        <v>16</v>
      </c>
      <c r="AM66" s="4982">
        <f t="shared" si="139"/>
        <v>64006</v>
      </c>
      <c r="AN66" s="1485">
        <f t="shared" si="130"/>
        <v>18</v>
      </c>
      <c r="AO66" s="1548">
        <f t="shared" si="130"/>
        <v>71736.7</v>
      </c>
      <c r="AP66" s="4889">
        <v>1</v>
      </c>
      <c r="AQ66" s="4891">
        <v>4040</v>
      </c>
      <c r="AR66" s="1485">
        <f t="shared" si="140"/>
        <v>19</v>
      </c>
      <c r="AS66" s="1548">
        <f t="shared" si="140"/>
        <v>75776.7</v>
      </c>
      <c r="AT66" s="4987">
        <v>1</v>
      </c>
      <c r="AU66" s="4891">
        <v>4037</v>
      </c>
      <c r="AV66" s="1485">
        <f t="shared" si="141"/>
        <v>20</v>
      </c>
      <c r="AW66" s="1548">
        <f t="shared" si="141"/>
        <v>79813.7</v>
      </c>
      <c r="AX66" s="4987">
        <v>0</v>
      </c>
      <c r="AY66" s="4891">
        <v>0</v>
      </c>
      <c r="AZ66" s="4895">
        <f t="shared" si="142"/>
        <v>2</v>
      </c>
      <c r="BA66" s="4983">
        <f t="shared" si="142"/>
        <v>8077</v>
      </c>
      <c r="BB66" s="4897">
        <f t="shared" si="143"/>
        <v>18</v>
      </c>
      <c r="BC66" s="4893">
        <f t="shared" si="143"/>
        <v>72083</v>
      </c>
      <c r="BD66" s="1485">
        <f t="shared" si="144"/>
        <v>20</v>
      </c>
      <c r="BE66" s="1548">
        <f t="shared" si="144"/>
        <v>79813.7</v>
      </c>
      <c r="BF66" s="533"/>
      <c r="BG66" s="533"/>
      <c r="BH66" s="533"/>
      <c r="BI66" s="533"/>
      <c r="BR66" s="533"/>
      <c r="BS66" s="533"/>
      <c r="BT66" s="533"/>
      <c r="BU66" s="533"/>
      <c r="BV66" s="533"/>
      <c r="BW66" s="533"/>
      <c r="BX66" s="533"/>
      <c r="BY66" s="533"/>
      <c r="BZ66" s="533"/>
      <c r="CA66" s="533"/>
      <c r="CB66" s="533"/>
      <c r="CC66" s="533"/>
    </row>
    <row r="67" spans="2:81" s="1356" customFormat="1" ht="21.95" customHeight="1" thickBot="1" x14ac:dyDescent="0.3">
      <c r="B67" s="5967"/>
      <c r="C67" s="5035" t="s">
        <v>1244</v>
      </c>
      <c r="D67" s="4889">
        <v>0</v>
      </c>
      <c r="E67" s="4891">
        <v>0</v>
      </c>
      <c r="F67" s="4889">
        <v>0</v>
      </c>
      <c r="G67" s="4891">
        <v>0</v>
      </c>
      <c r="H67" s="1485">
        <f t="shared" si="0"/>
        <v>0</v>
      </c>
      <c r="I67" s="1486">
        <f t="shared" si="1"/>
        <v>0</v>
      </c>
      <c r="J67" s="4889"/>
      <c r="K67" s="4891"/>
      <c r="L67" s="4892">
        <f t="shared" si="20"/>
        <v>0</v>
      </c>
      <c r="M67" s="4892">
        <f t="shared" si="2"/>
        <v>0</v>
      </c>
      <c r="N67" s="4889"/>
      <c r="O67" s="4891"/>
      <c r="P67" s="1548">
        <f t="shared" si="51"/>
        <v>0</v>
      </c>
      <c r="Q67" s="1548">
        <f t="shared" si="51"/>
        <v>0</v>
      </c>
      <c r="R67" s="4889">
        <v>0</v>
      </c>
      <c r="S67" s="4891">
        <v>0</v>
      </c>
      <c r="T67" s="1548">
        <f t="shared" si="5"/>
        <v>0</v>
      </c>
      <c r="U67" s="1548">
        <f t="shared" si="6"/>
        <v>0</v>
      </c>
      <c r="V67" s="4889">
        <v>0</v>
      </c>
      <c r="W67" s="4891">
        <v>0</v>
      </c>
      <c r="X67" s="4895">
        <f t="shared" si="7"/>
        <v>0</v>
      </c>
      <c r="Y67" s="4983">
        <f t="shared" si="8"/>
        <v>0</v>
      </c>
      <c r="Z67" s="4897">
        <f t="shared" si="9"/>
        <v>0</v>
      </c>
      <c r="AA67" s="4893">
        <f t="shared" si="10"/>
        <v>0</v>
      </c>
      <c r="AB67" s="4889">
        <v>0</v>
      </c>
      <c r="AC67" s="4891">
        <v>0</v>
      </c>
      <c r="AD67" s="1485">
        <f t="shared" si="137"/>
        <v>0</v>
      </c>
      <c r="AE67" s="1548">
        <f t="shared" si="137"/>
        <v>0</v>
      </c>
      <c r="AF67" s="4889">
        <v>0</v>
      </c>
      <c r="AG67" s="4891">
        <v>0</v>
      </c>
      <c r="AH67" s="1485">
        <f t="shared" si="138"/>
        <v>0</v>
      </c>
      <c r="AI67" s="1548">
        <f t="shared" si="138"/>
        <v>0</v>
      </c>
      <c r="AJ67" s="4889">
        <v>0</v>
      </c>
      <c r="AK67" s="4891">
        <v>0</v>
      </c>
      <c r="AL67" s="4895">
        <f t="shared" si="139"/>
        <v>0</v>
      </c>
      <c r="AM67" s="4982">
        <f t="shared" si="139"/>
        <v>0</v>
      </c>
      <c r="AN67" s="1485">
        <f t="shared" si="130"/>
        <v>0</v>
      </c>
      <c r="AO67" s="1548">
        <f t="shared" si="130"/>
        <v>0</v>
      </c>
      <c r="AP67" s="4889">
        <v>0</v>
      </c>
      <c r="AQ67" s="4891">
        <v>0</v>
      </c>
      <c r="AR67" s="1485">
        <f t="shared" si="140"/>
        <v>0</v>
      </c>
      <c r="AS67" s="1548">
        <f t="shared" si="140"/>
        <v>0</v>
      </c>
      <c r="AT67" s="4996">
        <v>0</v>
      </c>
      <c r="AU67" s="4891">
        <v>0</v>
      </c>
      <c r="AV67" s="1485">
        <f t="shared" si="141"/>
        <v>0</v>
      </c>
      <c r="AW67" s="1548">
        <f t="shared" si="141"/>
        <v>0</v>
      </c>
      <c r="AX67" s="4996">
        <v>0</v>
      </c>
      <c r="AY67" s="4891">
        <v>0</v>
      </c>
      <c r="AZ67" s="4895">
        <f t="shared" si="142"/>
        <v>0</v>
      </c>
      <c r="BA67" s="4983">
        <f t="shared" si="142"/>
        <v>0</v>
      </c>
      <c r="BB67" s="4897">
        <f t="shared" si="143"/>
        <v>0</v>
      </c>
      <c r="BC67" s="4893">
        <f t="shared" si="143"/>
        <v>0</v>
      </c>
      <c r="BD67" s="1485">
        <f t="shared" si="144"/>
        <v>0</v>
      </c>
      <c r="BE67" s="1548">
        <f t="shared" si="144"/>
        <v>0</v>
      </c>
      <c r="BF67" s="533"/>
      <c r="BG67" s="533"/>
      <c r="BH67" s="533"/>
      <c r="BI67" s="533"/>
      <c r="BR67" s="533"/>
      <c r="BS67" s="533"/>
      <c r="BT67" s="533"/>
      <c r="BU67" s="533"/>
      <c r="BV67" s="533"/>
      <c r="BW67" s="533"/>
      <c r="BX67" s="533"/>
      <c r="BY67" s="533"/>
      <c r="BZ67" s="533"/>
      <c r="CA67" s="533"/>
      <c r="CB67" s="533"/>
      <c r="CC67" s="533"/>
    </row>
    <row r="68" spans="2:81" s="1356" customFormat="1" ht="21.95" customHeight="1" thickBot="1" x14ac:dyDescent="0.3">
      <c r="B68" s="1482" t="s">
        <v>1245</v>
      </c>
      <c r="C68" s="4881" t="s">
        <v>1022</v>
      </c>
      <c r="D68" s="4882">
        <v>2</v>
      </c>
      <c r="E68" s="4887">
        <v>7808</v>
      </c>
      <c r="F68" s="4882">
        <v>1</v>
      </c>
      <c r="G68" s="4887">
        <v>4038</v>
      </c>
      <c r="H68" s="1485">
        <f t="shared" si="0"/>
        <v>3</v>
      </c>
      <c r="I68" s="1486">
        <f t="shared" si="1"/>
        <v>11846</v>
      </c>
      <c r="J68" s="4882">
        <v>1</v>
      </c>
      <c r="K68" s="4887">
        <v>4028</v>
      </c>
      <c r="L68" s="4885">
        <f t="shared" si="20"/>
        <v>4</v>
      </c>
      <c r="M68" s="4885">
        <f t="shared" si="2"/>
        <v>15874</v>
      </c>
      <c r="N68" s="4882">
        <v>1</v>
      </c>
      <c r="O68" s="4887">
        <v>4022.73</v>
      </c>
      <c r="P68" s="1548">
        <f t="shared" si="51"/>
        <v>5</v>
      </c>
      <c r="Q68" s="1548">
        <f t="shared" si="51"/>
        <v>19896.73</v>
      </c>
      <c r="R68" s="4882">
        <v>2</v>
      </c>
      <c r="S68" s="4887">
        <v>7987.9</v>
      </c>
      <c r="T68" s="1548">
        <f t="shared" si="5"/>
        <v>7</v>
      </c>
      <c r="U68" s="1548">
        <f t="shared" si="6"/>
        <v>27884.629999999997</v>
      </c>
      <c r="V68" s="4882">
        <v>1</v>
      </c>
      <c r="W68" s="4887">
        <v>4000.69</v>
      </c>
      <c r="X68" s="5016">
        <f t="shared" si="7"/>
        <v>4</v>
      </c>
      <c r="Y68" s="4896">
        <f t="shared" si="8"/>
        <v>16011.32</v>
      </c>
      <c r="Z68" s="5037">
        <f t="shared" si="9"/>
        <v>8</v>
      </c>
      <c r="AA68" s="4888">
        <f t="shared" si="10"/>
        <v>31885.32</v>
      </c>
      <c r="AB68" s="4882">
        <v>1</v>
      </c>
      <c r="AC68" s="4887">
        <v>3283</v>
      </c>
      <c r="AD68" s="2267">
        <f t="shared" si="137"/>
        <v>9</v>
      </c>
      <c r="AE68" s="2268">
        <f t="shared" si="137"/>
        <v>35168.32</v>
      </c>
      <c r="AF68" s="4882">
        <v>1</v>
      </c>
      <c r="AG68" s="4887">
        <v>3954</v>
      </c>
      <c r="AH68" s="2267">
        <f t="shared" si="138"/>
        <v>10</v>
      </c>
      <c r="AI68" s="2268">
        <f t="shared" si="138"/>
        <v>39122.32</v>
      </c>
      <c r="AJ68" s="4882">
        <v>1</v>
      </c>
      <c r="AK68" s="4887">
        <v>3454</v>
      </c>
      <c r="AL68" s="5016">
        <f t="shared" si="139"/>
        <v>3</v>
      </c>
      <c r="AM68" s="4898">
        <f t="shared" si="139"/>
        <v>10691</v>
      </c>
      <c r="AN68" s="2267">
        <f t="shared" si="130"/>
        <v>11</v>
      </c>
      <c r="AO68" s="2268">
        <f t="shared" si="130"/>
        <v>42576.32</v>
      </c>
      <c r="AP68" s="4882">
        <v>1</v>
      </c>
      <c r="AQ68" s="4887">
        <v>3842</v>
      </c>
      <c r="AR68" s="2267">
        <f t="shared" si="140"/>
        <v>12</v>
      </c>
      <c r="AS68" s="2268">
        <f t="shared" si="140"/>
        <v>46418.32</v>
      </c>
      <c r="AT68" s="2269">
        <v>1</v>
      </c>
      <c r="AU68" s="4887">
        <v>3909</v>
      </c>
      <c r="AV68" s="2267">
        <f t="shared" si="141"/>
        <v>13</v>
      </c>
      <c r="AW68" s="2268">
        <f t="shared" si="141"/>
        <v>50327.32</v>
      </c>
      <c r="AX68" s="2269">
        <v>2</v>
      </c>
      <c r="AY68" s="4887">
        <v>7300</v>
      </c>
      <c r="AZ68" s="5016">
        <f t="shared" si="142"/>
        <v>4</v>
      </c>
      <c r="BA68" s="4896">
        <f t="shared" si="142"/>
        <v>15051</v>
      </c>
      <c r="BB68" s="4897">
        <f t="shared" si="143"/>
        <v>7</v>
      </c>
      <c r="BC68" s="4893">
        <f t="shared" si="143"/>
        <v>25742</v>
      </c>
      <c r="BD68" s="1485">
        <f t="shared" si="144"/>
        <v>15</v>
      </c>
      <c r="BE68" s="1548">
        <f t="shared" si="144"/>
        <v>57627.32</v>
      </c>
      <c r="BF68" s="533"/>
      <c r="BG68" s="533"/>
      <c r="BH68" s="533"/>
      <c r="BI68" s="533"/>
      <c r="BR68" s="533"/>
      <c r="BS68" s="533"/>
      <c r="BT68" s="533"/>
      <c r="BU68" s="533"/>
      <c r="BV68" s="533"/>
      <c r="BW68" s="533"/>
      <c r="BX68" s="533"/>
      <c r="BY68" s="533"/>
      <c r="BZ68" s="533"/>
      <c r="CA68" s="533"/>
      <c r="CB68" s="533"/>
      <c r="CC68" s="533"/>
    </row>
    <row r="69" spans="2:81" s="1354" customFormat="1" ht="21.95" customHeight="1" thickBot="1" x14ac:dyDescent="0.3">
      <c r="B69" s="5992" t="s">
        <v>2342</v>
      </c>
      <c r="C69" s="5035" t="s">
        <v>1248</v>
      </c>
      <c r="D69" s="4882">
        <v>0</v>
      </c>
      <c r="E69" s="4887">
        <v>0</v>
      </c>
      <c r="F69" s="4882">
        <v>0</v>
      </c>
      <c r="G69" s="4887">
        <v>0</v>
      </c>
      <c r="H69" s="1485">
        <f t="shared" si="0"/>
        <v>0</v>
      </c>
      <c r="I69" s="1486">
        <f t="shared" si="1"/>
        <v>0</v>
      </c>
      <c r="J69" s="4882">
        <v>0</v>
      </c>
      <c r="K69" s="4887">
        <v>0</v>
      </c>
      <c r="L69" s="4885">
        <f t="shared" si="20"/>
        <v>0</v>
      </c>
      <c r="M69" s="4885">
        <f t="shared" si="2"/>
        <v>0</v>
      </c>
      <c r="N69" s="4882"/>
      <c r="O69" s="4887"/>
      <c r="P69" s="1548">
        <f t="shared" si="51"/>
        <v>0</v>
      </c>
      <c r="Q69" s="1548">
        <f t="shared" si="51"/>
        <v>0</v>
      </c>
      <c r="R69" s="4882"/>
      <c r="S69" s="4887"/>
      <c r="T69" s="1548">
        <f t="shared" ref="T69:T87" si="145">P69+R69</f>
        <v>0</v>
      </c>
      <c r="U69" s="1548">
        <f t="shared" ref="U69:U87" si="146">Q69+S69</f>
        <v>0</v>
      </c>
      <c r="V69" s="4882"/>
      <c r="W69" s="4887"/>
      <c r="X69" s="5021">
        <f t="shared" ref="X69:X90" si="147">+N69+R69+V69</f>
        <v>0</v>
      </c>
      <c r="Y69" s="5023">
        <f t="shared" ref="Y69:Y90" si="148">+O69+S69+W69</f>
        <v>0</v>
      </c>
      <c r="Z69" s="5037">
        <f t="shared" ref="Z69:Z90" si="149">L69+X69</f>
        <v>0</v>
      </c>
      <c r="AA69" s="4888">
        <f t="shared" ref="AA69:AA90" si="150">M69+Y69</f>
        <v>0</v>
      </c>
      <c r="AB69" s="4882">
        <v>1</v>
      </c>
      <c r="AC69" s="4887">
        <v>3785</v>
      </c>
      <c r="AD69" s="5038">
        <f t="shared" si="137"/>
        <v>1</v>
      </c>
      <c r="AE69" s="5039">
        <f t="shared" si="137"/>
        <v>3785</v>
      </c>
      <c r="AF69" s="4882"/>
      <c r="AG69" s="4887"/>
      <c r="AH69" s="5038">
        <f t="shared" si="138"/>
        <v>1</v>
      </c>
      <c r="AI69" s="5039">
        <f t="shared" si="138"/>
        <v>3785</v>
      </c>
      <c r="AJ69" s="4882">
        <v>0</v>
      </c>
      <c r="AK69" s="4887">
        <v>0</v>
      </c>
      <c r="AL69" s="5021">
        <f t="shared" si="139"/>
        <v>1</v>
      </c>
      <c r="AM69" s="5022">
        <f t="shared" si="139"/>
        <v>3785</v>
      </c>
      <c r="AN69" s="5038">
        <f t="shared" si="130"/>
        <v>1</v>
      </c>
      <c r="AO69" s="5039">
        <f t="shared" si="130"/>
        <v>3785</v>
      </c>
      <c r="AP69" s="4882">
        <v>0</v>
      </c>
      <c r="AQ69" s="4887">
        <v>0</v>
      </c>
      <c r="AR69" s="5038">
        <f t="shared" si="140"/>
        <v>1</v>
      </c>
      <c r="AS69" s="5039">
        <f t="shared" si="140"/>
        <v>3785</v>
      </c>
      <c r="AT69" s="5040">
        <v>0</v>
      </c>
      <c r="AU69" s="4887">
        <v>0</v>
      </c>
      <c r="AV69" s="5038">
        <f t="shared" si="141"/>
        <v>1</v>
      </c>
      <c r="AW69" s="5039">
        <f t="shared" si="141"/>
        <v>3785</v>
      </c>
      <c r="AX69" s="5040">
        <v>0</v>
      </c>
      <c r="AY69" s="4887">
        <v>0</v>
      </c>
      <c r="AZ69" s="5021">
        <f t="shared" si="142"/>
        <v>0</v>
      </c>
      <c r="BA69" s="5023">
        <f t="shared" si="142"/>
        <v>0</v>
      </c>
      <c r="BB69" s="4897">
        <f t="shared" si="143"/>
        <v>1</v>
      </c>
      <c r="BC69" s="4893">
        <f t="shared" si="143"/>
        <v>3785</v>
      </c>
      <c r="BD69" s="1485">
        <f t="shared" si="144"/>
        <v>1</v>
      </c>
      <c r="BE69" s="1548">
        <f t="shared" si="144"/>
        <v>3785</v>
      </c>
      <c r="BF69" s="533"/>
      <c r="BG69" s="533"/>
      <c r="BH69" s="533"/>
      <c r="BI69" s="533"/>
      <c r="BR69" s="533"/>
      <c r="BS69" s="533"/>
      <c r="BT69" s="533"/>
      <c r="BU69" s="533"/>
      <c r="BV69" s="533"/>
      <c r="BW69" s="533"/>
      <c r="BX69" s="533"/>
      <c r="BY69" s="533"/>
      <c r="BZ69" s="533"/>
      <c r="CA69" s="533"/>
      <c r="CB69" s="533"/>
      <c r="CC69" s="533"/>
    </row>
    <row r="70" spans="2:81" s="1354" customFormat="1" ht="21.95" customHeight="1" thickBot="1" x14ac:dyDescent="0.3">
      <c r="B70" s="5993"/>
      <c r="C70" s="4881" t="s">
        <v>1927</v>
      </c>
      <c r="D70" s="4882"/>
      <c r="E70" s="5019">
        <v>687.45</v>
      </c>
      <c r="F70" s="4882"/>
      <c r="G70" s="5019">
        <v>417.51</v>
      </c>
      <c r="H70" s="1485">
        <f>+D70+F70</f>
        <v>0</v>
      </c>
      <c r="I70" s="1486">
        <f>+G70+E70</f>
        <v>1104.96</v>
      </c>
      <c r="J70" s="4882"/>
      <c r="K70" s="5019"/>
      <c r="L70" s="4885">
        <f>+D70+F70+J70</f>
        <v>0</v>
      </c>
      <c r="M70" s="4885">
        <f>+E70+G70+K70</f>
        <v>1104.96</v>
      </c>
      <c r="N70" s="4882"/>
      <c r="O70" s="5019"/>
      <c r="P70" s="1548"/>
      <c r="Q70" s="1548">
        <f>M70+O70</f>
        <v>1104.96</v>
      </c>
      <c r="R70" s="4882"/>
      <c r="S70" s="5019"/>
      <c r="T70" s="1548">
        <f>P70+R70</f>
        <v>0</v>
      </c>
      <c r="U70" s="1548">
        <f>Q70+S70</f>
        <v>1104.96</v>
      </c>
      <c r="V70" s="4882"/>
      <c r="W70" s="5019"/>
      <c r="X70" s="4900">
        <f t="shared" si="147"/>
        <v>0</v>
      </c>
      <c r="Y70" s="4896">
        <f t="shared" si="148"/>
        <v>0</v>
      </c>
      <c r="Z70" s="4897">
        <f t="shared" si="149"/>
        <v>0</v>
      </c>
      <c r="AA70" s="4893">
        <f t="shared" si="150"/>
        <v>1104.96</v>
      </c>
      <c r="AB70" s="4882"/>
      <c r="AC70" s="4887">
        <v>507</v>
      </c>
      <c r="AD70" s="4894"/>
      <c r="AE70" s="4894">
        <f>AA70+AC70</f>
        <v>1611.96</v>
      </c>
      <c r="AF70" s="4882"/>
      <c r="AG70" s="4887">
        <v>31</v>
      </c>
      <c r="AH70" s="4894"/>
      <c r="AI70" s="4894">
        <f>AE70+AG70</f>
        <v>1642.96</v>
      </c>
      <c r="AJ70" s="4882">
        <v>0</v>
      </c>
      <c r="AK70" s="4887">
        <v>689</v>
      </c>
      <c r="AL70" s="4898">
        <f>+AB70+AF70+AJ70</f>
        <v>0</v>
      </c>
      <c r="AM70" s="4898">
        <f>+AC70+AG70+AK70</f>
        <v>1227</v>
      </c>
      <c r="AN70" s="4894"/>
      <c r="AO70" s="4894">
        <f>AI70+AK70</f>
        <v>2331.96</v>
      </c>
      <c r="AP70" s="4882">
        <v>0</v>
      </c>
      <c r="AQ70" s="4887">
        <v>0</v>
      </c>
      <c r="AR70" s="4894">
        <f>AN70+AP70</f>
        <v>0</v>
      </c>
      <c r="AS70" s="4894">
        <f>AO70+AQ70</f>
        <v>2331.96</v>
      </c>
      <c r="AT70" s="4899"/>
      <c r="AU70" s="4887"/>
      <c r="AV70" s="4894">
        <f>AR70+AT70</f>
        <v>0</v>
      </c>
      <c r="AW70" s="4894">
        <f>AS70+AU70</f>
        <v>2331.96</v>
      </c>
      <c r="AX70" s="4899"/>
      <c r="AY70" s="4887"/>
      <c r="AZ70" s="4892">
        <f t="shared" ref="AZ70" si="151">AV70+AX70</f>
        <v>0</v>
      </c>
      <c r="BA70" s="2777">
        <f>+AQ70+AU70+AY70</f>
        <v>0</v>
      </c>
      <c r="BB70" s="4893">
        <f t="shared" ref="BB70" si="152">AX70+AZ70</f>
        <v>0</v>
      </c>
      <c r="BC70" s="2764">
        <f>AM70+BA70</f>
        <v>1227</v>
      </c>
      <c r="BD70" s="1485">
        <f>AV70+AX70</f>
        <v>0</v>
      </c>
      <c r="BE70" s="1548">
        <f>AW70+AY70</f>
        <v>2331.96</v>
      </c>
      <c r="BF70" s="533"/>
      <c r="BG70" s="533"/>
      <c r="BH70" s="533"/>
      <c r="BI70" s="533"/>
      <c r="BR70" s="533"/>
      <c r="BS70" s="533"/>
      <c r="BT70" s="533"/>
      <c r="BU70" s="533"/>
      <c r="BV70" s="533"/>
      <c r="BW70" s="533"/>
      <c r="BX70" s="533"/>
      <c r="BY70" s="533"/>
      <c r="BZ70" s="533"/>
      <c r="CA70" s="533"/>
      <c r="CB70" s="533"/>
      <c r="CC70" s="533"/>
    </row>
    <row r="71" spans="2:81" s="1354" customFormat="1" ht="21.95" customHeight="1" thickBot="1" x14ac:dyDescent="0.3">
      <c r="B71" s="5576"/>
      <c r="C71" s="5570"/>
      <c r="D71" s="5565"/>
      <c r="E71" s="5571"/>
      <c r="F71" s="5565"/>
      <c r="G71" s="5571"/>
      <c r="H71" s="1485"/>
      <c r="I71" s="1486"/>
      <c r="J71" s="5565"/>
      <c r="K71" s="5571"/>
      <c r="L71" s="5567"/>
      <c r="M71" s="5567"/>
      <c r="N71" s="5565"/>
      <c r="O71" s="5571"/>
      <c r="P71" s="1548"/>
      <c r="Q71" s="1548"/>
      <c r="R71" s="5565"/>
      <c r="S71" s="5571"/>
      <c r="T71" s="1548"/>
      <c r="U71" s="1548"/>
      <c r="V71" s="5565"/>
      <c r="W71" s="5571"/>
      <c r="X71" s="5572"/>
      <c r="Y71" s="4896"/>
      <c r="Z71" s="5568"/>
      <c r="AA71" s="5569"/>
      <c r="AB71" s="5565"/>
      <c r="AC71" s="5566"/>
      <c r="AD71" s="5573"/>
      <c r="AE71" s="5573"/>
      <c r="AF71" s="5565"/>
      <c r="AG71" s="5566"/>
      <c r="AH71" s="5573"/>
      <c r="AI71" s="5573"/>
      <c r="AJ71" s="5565"/>
      <c r="AK71" s="5566"/>
      <c r="AL71" s="4896"/>
      <c r="AM71" s="4896"/>
      <c r="AN71" s="5573"/>
      <c r="AO71" s="5573"/>
      <c r="AP71" s="5565"/>
      <c r="AQ71" s="5566"/>
      <c r="AR71" s="5573"/>
      <c r="AS71" s="5573"/>
      <c r="AT71" s="5574"/>
      <c r="AU71" s="5566"/>
      <c r="AV71" s="5573"/>
      <c r="AW71" s="5573"/>
      <c r="AX71" s="5574"/>
      <c r="AY71" s="5566"/>
      <c r="AZ71" s="5575"/>
      <c r="BA71" s="4983"/>
      <c r="BB71" s="5569"/>
      <c r="BC71" s="5569"/>
      <c r="BD71" s="4019"/>
      <c r="BE71" s="4018"/>
      <c r="BF71" s="533"/>
      <c r="BG71" s="533"/>
      <c r="BH71" s="533"/>
      <c r="BI71" s="533"/>
      <c r="BR71" s="533"/>
      <c r="BS71" s="533"/>
      <c r="BT71" s="533"/>
      <c r="BU71" s="533"/>
      <c r="BV71" s="533"/>
      <c r="BW71" s="533"/>
      <c r="BX71" s="533"/>
      <c r="BY71" s="533"/>
      <c r="BZ71" s="533"/>
      <c r="CA71" s="533"/>
      <c r="CB71" s="533"/>
      <c r="CC71" s="533"/>
    </row>
    <row r="72" spans="2:81" s="1354" customFormat="1" ht="21.95" customHeight="1" thickBot="1" x14ac:dyDescent="0.3">
      <c r="B72" s="5994" t="s">
        <v>2343</v>
      </c>
      <c r="C72" s="5577" t="s">
        <v>1362</v>
      </c>
      <c r="D72" s="4882">
        <f>SUM(D73:D73)</f>
        <v>0</v>
      </c>
      <c r="E72" s="4882">
        <f>SUM(E73:E73)</f>
        <v>0</v>
      </c>
      <c r="F72" s="4882">
        <f>SUM(F73:F73)</f>
        <v>0</v>
      </c>
      <c r="G72" s="4882">
        <f>SUM(G73:G73)</f>
        <v>0</v>
      </c>
      <c r="H72" s="1485">
        <f t="shared" si="0"/>
        <v>0</v>
      </c>
      <c r="I72" s="1486">
        <f t="shared" si="1"/>
        <v>0</v>
      </c>
      <c r="J72" s="4882">
        <f>SUM(J73:J73)</f>
        <v>0</v>
      </c>
      <c r="K72" s="4882">
        <f>SUM(K73:K73)</f>
        <v>0</v>
      </c>
      <c r="L72" s="4885">
        <f t="shared" ref="L72:L73" si="153">+D72+F72+J72</f>
        <v>0</v>
      </c>
      <c r="M72" s="4885">
        <f t="shared" ref="M72:M73" si="154">+E72+G72+K72</f>
        <v>0</v>
      </c>
      <c r="N72" s="4882">
        <f>SUM(N73:N73)</f>
        <v>0</v>
      </c>
      <c r="O72" s="4882">
        <f>SUM(O73:O73)</f>
        <v>0</v>
      </c>
      <c r="P72" s="4886">
        <f t="shared" ref="P72:P73" si="155">L72+N72</f>
        <v>0</v>
      </c>
      <c r="Q72" s="4886">
        <f t="shared" ref="Q72:Q73" si="156">M72+O72</f>
        <v>0</v>
      </c>
      <c r="R72" s="4882">
        <f>SUM(R73:R73)</f>
        <v>0</v>
      </c>
      <c r="S72" s="4882">
        <f>SUM(S73:S73)</f>
        <v>0</v>
      </c>
      <c r="T72" s="1548">
        <f t="shared" si="145"/>
        <v>0</v>
      </c>
      <c r="U72" s="1548">
        <f t="shared" si="146"/>
        <v>0</v>
      </c>
      <c r="V72" s="4882">
        <f>SUM(V73:V73)</f>
        <v>0</v>
      </c>
      <c r="W72" s="4882">
        <f>SUM(W73:W73)</f>
        <v>0</v>
      </c>
      <c r="X72" s="4887">
        <f t="shared" si="147"/>
        <v>0</v>
      </c>
      <c r="Y72" s="4885">
        <f t="shared" si="148"/>
        <v>0</v>
      </c>
      <c r="Z72" s="4887">
        <f t="shared" si="149"/>
        <v>0</v>
      </c>
      <c r="AA72" s="4888">
        <f t="shared" si="150"/>
        <v>0</v>
      </c>
      <c r="AB72" s="4882">
        <f t="shared" ref="AB72:AW72" si="157">SUM(AB73:AB73)</f>
        <v>0</v>
      </c>
      <c r="AC72" s="4882">
        <f t="shared" si="157"/>
        <v>0</v>
      </c>
      <c r="AD72" s="4887">
        <f t="shared" si="157"/>
        <v>0</v>
      </c>
      <c r="AE72" s="4887">
        <f t="shared" si="157"/>
        <v>0</v>
      </c>
      <c r="AF72" s="4882">
        <f t="shared" si="157"/>
        <v>0</v>
      </c>
      <c r="AG72" s="4882">
        <f t="shared" si="157"/>
        <v>0</v>
      </c>
      <c r="AH72" s="4887">
        <f t="shared" si="157"/>
        <v>0</v>
      </c>
      <c r="AI72" s="4887">
        <f t="shared" si="157"/>
        <v>0</v>
      </c>
      <c r="AJ72" s="4882">
        <f t="shared" si="157"/>
        <v>0</v>
      </c>
      <c r="AK72" s="4882">
        <f t="shared" si="157"/>
        <v>0</v>
      </c>
      <c r="AL72" s="4887">
        <f t="shared" si="157"/>
        <v>0</v>
      </c>
      <c r="AM72" s="4885">
        <f t="shared" si="157"/>
        <v>0</v>
      </c>
      <c r="AN72" s="4887">
        <f t="shared" si="157"/>
        <v>0</v>
      </c>
      <c r="AO72" s="4887">
        <f t="shared" si="157"/>
        <v>0</v>
      </c>
      <c r="AP72" s="4882">
        <f t="shared" si="157"/>
        <v>0</v>
      </c>
      <c r="AQ72" s="4882">
        <f t="shared" si="157"/>
        <v>0</v>
      </c>
      <c r="AR72" s="4887">
        <f t="shared" si="157"/>
        <v>0</v>
      </c>
      <c r="AS72" s="4887">
        <f t="shared" si="157"/>
        <v>0</v>
      </c>
      <c r="AT72" s="4887">
        <f t="shared" si="157"/>
        <v>0</v>
      </c>
      <c r="AU72" s="4882">
        <f t="shared" si="157"/>
        <v>0</v>
      </c>
      <c r="AV72" s="4887">
        <f t="shared" si="157"/>
        <v>0</v>
      </c>
      <c r="AW72" s="4887">
        <f t="shared" si="157"/>
        <v>0</v>
      </c>
      <c r="AX72" s="4887">
        <v>0</v>
      </c>
      <c r="AY72" s="4882">
        <v>0</v>
      </c>
      <c r="AZ72" s="4885">
        <f t="shared" ref="AZ72:BE72" si="158">SUM(AZ73:AZ73)</f>
        <v>0</v>
      </c>
      <c r="BA72" s="4885">
        <f t="shared" si="158"/>
        <v>0</v>
      </c>
      <c r="BB72" s="4888">
        <f t="shared" si="158"/>
        <v>0</v>
      </c>
      <c r="BC72" s="4888">
        <f t="shared" si="158"/>
        <v>0</v>
      </c>
      <c r="BD72" s="4884">
        <f t="shared" si="158"/>
        <v>0</v>
      </c>
      <c r="BE72" s="4884">
        <f t="shared" si="158"/>
        <v>0</v>
      </c>
      <c r="BF72" s="533"/>
      <c r="BG72" s="533"/>
      <c r="BH72" s="533"/>
      <c r="BI72" s="533"/>
      <c r="BR72" s="533"/>
      <c r="BS72" s="533"/>
      <c r="BT72" s="533"/>
      <c r="BU72" s="533"/>
      <c r="BV72" s="533"/>
      <c r="BW72" s="533"/>
      <c r="BX72" s="533"/>
      <c r="BY72" s="533"/>
      <c r="BZ72" s="533"/>
      <c r="CA72" s="533"/>
      <c r="CB72" s="533"/>
      <c r="CC72" s="533"/>
    </row>
    <row r="73" spans="2:81" s="1354" customFormat="1" ht="21.95" customHeight="1" thickBot="1" x14ac:dyDescent="0.3">
      <c r="B73" s="5994"/>
      <c r="C73" s="5578" t="s">
        <v>1695</v>
      </c>
      <c r="D73" s="4889"/>
      <c r="E73" s="4890"/>
      <c r="F73" s="4889"/>
      <c r="G73" s="4890"/>
      <c r="H73" s="1485">
        <f t="shared" ref="H73:H90" si="159">+D73+F73</f>
        <v>0</v>
      </c>
      <c r="I73" s="1486">
        <f t="shared" ref="I73:I90" si="160">+G73+E73</f>
        <v>0</v>
      </c>
      <c r="J73" s="4889"/>
      <c r="K73" s="4890"/>
      <c r="L73" s="4892">
        <f t="shared" si="153"/>
        <v>0</v>
      </c>
      <c r="M73" s="4892">
        <f t="shared" si="154"/>
        <v>0</v>
      </c>
      <c r="N73" s="4889"/>
      <c r="O73" s="4890"/>
      <c r="P73" s="4890">
        <f t="shared" si="155"/>
        <v>0</v>
      </c>
      <c r="Q73" s="4890">
        <f t="shared" si="156"/>
        <v>0</v>
      </c>
      <c r="R73" s="4889"/>
      <c r="S73" s="4890"/>
      <c r="T73" s="1548">
        <f t="shared" si="145"/>
        <v>0</v>
      </c>
      <c r="U73" s="1548">
        <f t="shared" si="146"/>
        <v>0</v>
      </c>
      <c r="V73" s="4889"/>
      <c r="W73" s="4890"/>
      <c r="X73" s="4891">
        <f t="shared" si="147"/>
        <v>0</v>
      </c>
      <c r="Y73" s="4892">
        <f t="shared" si="148"/>
        <v>0</v>
      </c>
      <c r="Z73" s="4891">
        <f t="shared" si="149"/>
        <v>0</v>
      </c>
      <c r="AA73" s="4893">
        <f t="shared" si="150"/>
        <v>0</v>
      </c>
      <c r="AB73" s="4891"/>
      <c r="AC73" s="4890"/>
      <c r="AD73" s="4890">
        <f t="shared" ref="AD73" si="161">Z73+AB73</f>
        <v>0</v>
      </c>
      <c r="AE73" s="4890">
        <f t="shared" ref="AE73" si="162">SUM(AA73,AC73)</f>
        <v>0</v>
      </c>
      <c r="AF73" s="4890"/>
      <c r="AG73" s="4890"/>
      <c r="AH73" s="4890">
        <f t="shared" ref="AH73:AI73" si="163">SUM(AD73,AF73)</f>
        <v>0</v>
      </c>
      <c r="AI73" s="4890">
        <f t="shared" si="163"/>
        <v>0</v>
      </c>
      <c r="AJ73" s="4890">
        <v>0</v>
      </c>
      <c r="AK73" s="4890">
        <v>0</v>
      </c>
      <c r="AL73" s="4891"/>
      <c r="AM73" s="4892">
        <f t="shared" ref="AL73:AM90" si="164">+AC73+AG73+AK73</f>
        <v>0</v>
      </c>
      <c r="AN73" s="4891">
        <f t="shared" ref="AN73:AO90" si="165">AH73+AJ73</f>
        <v>0</v>
      </c>
      <c r="AO73" s="4891">
        <f t="shared" si="165"/>
        <v>0</v>
      </c>
      <c r="AP73" s="4891"/>
      <c r="AQ73" s="4890"/>
      <c r="AR73" s="4890">
        <f t="shared" ref="AR73" si="166">AN73+AP73</f>
        <v>0</v>
      </c>
      <c r="AS73" s="4890">
        <f t="shared" ref="AS73" si="167">SUM(AO73,AQ73)</f>
        <v>0</v>
      </c>
      <c r="AT73" s="4890">
        <v>0</v>
      </c>
      <c r="AU73" s="4890">
        <v>0</v>
      </c>
      <c r="AV73" s="4890">
        <f t="shared" ref="AV73:AW80" si="168">AR73+AT73</f>
        <v>0</v>
      </c>
      <c r="AW73" s="4890">
        <f t="shared" ref="AW73" si="169">SUM(AS73,AU73)</f>
        <v>0</v>
      </c>
      <c r="AX73" s="4890"/>
      <c r="AY73" s="4890"/>
      <c r="AZ73" s="4892"/>
      <c r="BA73" s="4892">
        <f t="shared" ref="BA73:BA90" si="170">+AQ73+AU73+AY73</f>
        <v>0</v>
      </c>
      <c r="BB73" s="4893"/>
      <c r="BC73" s="4893">
        <f t="shared" ref="BC73" si="171">AM73+BA73</f>
        <v>0</v>
      </c>
      <c r="BD73" s="1485">
        <f t="shared" ref="BD73" si="172">AV73+AX73</f>
        <v>0</v>
      </c>
      <c r="BE73" s="1548">
        <f t="shared" ref="BE73" si="173">AW73+AY73</f>
        <v>0</v>
      </c>
      <c r="BF73" s="533"/>
      <c r="BG73" s="533"/>
      <c r="BH73" s="533"/>
      <c r="BI73" s="533"/>
      <c r="BR73" s="533"/>
      <c r="BS73" s="533"/>
      <c r="BT73" s="533"/>
      <c r="BU73" s="533"/>
      <c r="BV73" s="533"/>
      <c r="BW73" s="533"/>
      <c r="BX73" s="533"/>
      <c r="BY73" s="533"/>
      <c r="BZ73" s="533"/>
      <c r="CA73" s="533"/>
      <c r="CB73" s="533"/>
      <c r="CC73" s="533"/>
    </row>
    <row r="74" spans="2:81" s="1354" customFormat="1" ht="21.95" customHeight="1" thickBot="1" x14ac:dyDescent="0.3">
      <c r="B74" s="5994"/>
      <c r="C74" s="5577" t="s">
        <v>1361</v>
      </c>
      <c r="D74" s="4882"/>
      <c r="E74" s="4890">
        <f>+E75+E76+E78+E77</f>
        <v>0</v>
      </c>
      <c r="F74" s="4882"/>
      <c r="G74" s="4890">
        <f>+G75+G76+G78+G77</f>
        <v>2041.5</v>
      </c>
      <c r="H74" s="1485">
        <f t="shared" si="159"/>
        <v>0</v>
      </c>
      <c r="I74" s="1486">
        <f t="shared" si="160"/>
        <v>2041.5</v>
      </c>
      <c r="J74" s="4890">
        <f>+J75+J76+J78</f>
        <v>0</v>
      </c>
      <c r="K74" s="4890">
        <f>+K75+K76+K78+K77</f>
        <v>0</v>
      </c>
      <c r="L74" s="4892">
        <f t="shared" ref="L74:BE74" si="174">+L75+L76+L78</f>
        <v>0</v>
      </c>
      <c r="M74" s="4892">
        <f t="shared" si="174"/>
        <v>2041.5</v>
      </c>
      <c r="N74" s="4890">
        <f>+N75+N76+N78</f>
        <v>0</v>
      </c>
      <c r="O74" s="4890">
        <f>+O75+O76+O78+O77</f>
        <v>0</v>
      </c>
      <c r="P74" s="4890">
        <f t="shared" si="174"/>
        <v>0</v>
      </c>
      <c r="Q74" s="4890">
        <f t="shared" si="174"/>
        <v>2041.5</v>
      </c>
      <c r="R74" s="4890">
        <f>+R75+R76+R78</f>
        <v>0</v>
      </c>
      <c r="S74" s="4890">
        <f>+S75+S76+S78+S77</f>
        <v>2542.38</v>
      </c>
      <c r="T74" s="1548">
        <f t="shared" si="145"/>
        <v>0</v>
      </c>
      <c r="U74" s="1548">
        <f t="shared" si="146"/>
        <v>4583.88</v>
      </c>
      <c r="V74" s="4890">
        <f>+V75+V76+V78</f>
        <v>0</v>
      </c>
      <c r="W74" s="4890">
        <f>+W75+W76+W78+W77</f>
        <v>9859.3100000000013</v>
      </c>
      <c r="X74" s="4891">
        <f t="shared" si="147"/>
        <v>0</v>
      </c>
      <c r="Y74" s="4892">
        <f t="shared" si="148"/>
        <v>12401.690000000002</v>
      </c>
      <c r="Z74" s="4891">
        <f t="shared" si="149"/>
        <v>0</v>
      </c>
      <c r="AA74" s="4893">
        <f t="shared" si="150"/>
        <v>14443.190000000002</v>
      </c>
      <c r="AB74" s="4891">
        <f t="shared" si="174"/>
        <v>0</v>
      </c>
      <c r="AC74" s="4890">
        <f t="shared" si="174"/>
        <v>9182.4</v>
      </c>
      <c r="AD74" s="4890">
        <f t="shared" si="174"/>
        <v>0</v>
      </c>
      <c r="AE74" s="4890">
        <f t="shared" si="174"/>
        <v>50107.25</v>
      </c>
      <c r="AF74" s="4890">
        <f t="shared" si="174"/>
        <v>0</v>
      </c>
      <c r="AG74" s="4890">
        <f t="shared" si="174"/>
        <v>73</v>
      </c>
      <c r="AH74" s="4890">
        <f t="shared" si="174"/>
        <v>0</v>
      </c>
      <c r="AI74" s="4890">
        <f t="shared" si="174"/>
        <v>50180.25</v>
      </c>
      <c r="AJ74" s="4890">
        <f t="shared" si="174"/>
        <v>0</v>
      </c>
      <c r="AK74" s="4890">
        <f t="shared" si="174"/>
        <v>2135</v>
      </c>
      <c r="AL74" s="4891">
        <f t="shared" si="174"/>
        <v>0</v>
      </c>
      <c r="AM74" s="4892">
        <f t="shared" si="174"/>
        <v>11390.4</v>
      </c>
      <c r="AN74" s="4891">
        <f t="shared" si="174"/>
        <v>0</v>
      </c>
      <c r="AO74" s="4891">
        <f t="shared" si="174"/>
        <v>52315.25</v>
      </c>
      <c r="AP74" s="4891">
        <f t="shared" si="174"/>
        <v>0</v>
      </c>
      <c r="AQ74" s="4890">
        <f t="shared" si="174"/>
        <v>2282</v>
      </c>
      <c r="AR74" s="4890">
        <f t="shared" si="174"/>
        <v>0</v>
      </c>
      <c r="AS74" s="4890">
        <f t="shared" si="174"/>
        <v>54597.25</v>
      </c>
      <c r="AT74" s="4890">
        <f t="shared" si="174"/>
        <v>0</v>
      </c>
      <c r="AU74" s="4890">
        <f t="shared" si="174"/>
        <v>0</v>
      </c>
      <c r="AV74" s="4890">
        <f t="shared" si="174"/>
        <v>0</v>
      </c>
      <c r="AW74" s="4890">
        <f t="shared" si="174"/>
        <v>54597.25</v>
      </c>
      <c r="AX74" s="4890">
        <f t="shared" si="174"/>
        <v>0</v>
      </c>
      <c r="AY74" s="4890">
        <f t="shared" si="174"/>
        <v>2541</v>
      </c>
      <c r="AZ74" s="4892">
        <f t="shared" si="174"/>
        <v>0</v>
      </c>
      <c r="BA74" s="4892">
        <f t="shared" si="174"/>
        <v>4823</v>
      </c>
      <c r="BB74" s="4893">
        <f t="shared" si="174"/>
        <v>0</v>
      </c>
      <c r="BC74" s="4893">
        <f t="shared" si="174"/>
        <v>16213.4</v>
      </c>
      <c r="BD74" s="4894">
        <f t="shared" si="174"/>
        <v>0</v>
      </c>
      <c r="BE74" s="4894">
        <f t="shared" si="174"/>
        <v>57138.25</v>
      </c>
      <c r="BF74" s="533"/>
      <c r="BG74" s="533"/>
      <c r="BH74" s="533"/>
      <c r="BI74" s="533"/>
      <c r="BR74" s="533"/>
      <c r="BS74" s="533"/>
      <c r="BT74" s="533"/>
      <c r="BU74" s="533"/>
      <c r="BV74" s="533"/>
      <c r="BW74" s="533"/>
      <c r="BX74" s="533"/>
      <c r="BY74" s="533"/>
      <c r="BZ74" s="533"/>
      <c r="CA74" s="533"/>
      <c r="CB74" s="533"/>
      <c r="CC74" s="533"/>
    </row>
    <row r="75" spans="2:81" s="1354" customFormat="1" ht="21.95" customHeight="1" thickBot="1" x14ac:dyDescent="0.3">
      <c r="B75" s="5994"/>
      <c r="C75" s="5578" t="s">
        <v>2121</v>
      </c>
      <c r="D75" s="4889"/>
      <c r="E75" s="4890">
        <f>'Direct sales IPT details'!E205</f>
        <v>0</v>
      </c>
      <c r="F75" s="4889"/>
      <c r="G75" s="4890">
        <f>'Direct sales IPT details'!G205</f>
        <v>2041.5</v>
      </c>
      <c r="H75" s="1485">
        <f t="shared" si="159"/>
        <v>0</v>
      </c>
      <c r="I75" s="1486">
        <f t="shared" si="160"/>
        <v>2041.5</v>
      </c>
      <c r="J75" s="4889"/>
      <c r="K75" s="4890">
        <f>'Direct sales IPT details'!K205</f>
        <v>0</v>
      </c>
      <c r="L75" s="4892">
        <f>'Direct sales IPT details'!L205</f>
        <v>0</v>
      </c>
      <c r="M75" s="4892">
        <f>'Direct sales IPT details'!M205</f>
        <v>2041.5</v>
      </c>
      <c r="N75" s="4889"/>
      <c r="O75" s="4890">
        <f>'Direct sales IPT details'!O205</f>
        <v>0</v>
      </c>
      <c r="P75" s="4890">
        <f>'Direct sales IPT details'!P205</f>
        <v>0</v>
      </c>
      <c r="Q75" s="4890">
        <f>'Direct sales IPT details'!Q205</f>
        <v>2041.5</v>
      </c>
      <c r="R75" s="4889"/>
      <c r="S75" s="4890">
        <f>'Direct sales IPT details'!S205</f>
        <v>0</v>
      </c>
      <c r="T75" s="1548">
        <f t="shared" si="145"/>
        <v>0</v>
      </c>
      <c r="U75" s="1548">
        <f t="shared" si="146"/>
        <v>2041.5</v>
      </c>
      <c r="V75" s="4889"/>
      <c r="W75" s="4890">
        <f>'Direct sales IPT details'!W205</f>
        <v>0</v>
      </c>
      <c r="X75" s="4891">
        <f t="shared" si="147"/>
        <v>0</v>
      </c>
      <c r="Y75" s="4892">
        <f t="shared" si="148"/>
        <v>0</v>
      </c>
      <c r="Z75" s="4891">
        <f t="shared" si="149"/>
        <v>0</v>
      </c>
      <c r="AA75" s="4893">
        <f t="shared" si="150"/>
        <v>2041.5</v>
      </c>
      <c r="AB75" s="4891">
        <f>'Direct sales IPT details'!AB205</f>
        <v>0</v>
      </c>
      <c r="AC75" s="4890">
        <f>'Direct sales IPT details'!AC205</f>
        <v>4379</v>
      </c>
      <c r="AD75" s="4890">
        <f>'Direct sales IPT details'!AD205</f>
        <v>0</v>
      </c>
      <c r="AE75" s="4890">
        <f>'Direct sales IPT details'!AE205</f>
        <v>40652.1</v>
      </c>
      <c r="AF75" s="4890">
        <f>'Direct sales IPT details'!AF205</f>
        <v>0</v>
      </c>
      <c r="AG75" s="4890">
        <f>'Direct sales IPT details'!AG205</f>
        <v>73</v>
      </c>
      <c r="AH75" s="4890">
        <f>'Direct sales IPT details'!AH205</f>
        <v>0</v>
      </c>
      <c r="AI75" s="4890">
        <f>'Direct sales IPT details'!AI205</f>
        <v>40725.1</v>
      </c>
      <c r="AJ75" s="4890">
        <f>'Direct sales IPT details'!AJ205</f>
        <v>0</v>
      </c>
      <c r="AK75" s="4890">
        <f>'Direct sales IPT details'!AK205</f>
        <v>2135</v>
      </c>
      <c r="AL75" s="4891">
        <f>'Direct sales IPT details'!AL205</f>
        <v>0</v>
      </c>
      <c r="AM75" s="4892">
        <f>'Direct sales IPT details'!AM205</f>
        <v>6587</v>
      </c>
      <c r="AN75" s="4891">
        <f>'Direct sales IPT details'!AN205</f>
        <v>0</v>
      </c>
      <c r="AO75" s="4891">
        <f>'Direct sales IPT details'!AO205</f>
        <v>42860.1</v>
      </c>
      <c r="AP75" s="4891">
        <f>'Direct sales IPT details'!AP205</f>
        <v>0</v>
      </c>
      <c r="AQ75" s="4890">
        <f>'Direct sales IPT details'!AQ205</f>
        <v>2164</v>
      </c>
      <c r="AR75" s="4890">
        <f>'Direct sales IPT details'!AR205</f>
        <v>0</v>
      </c>
      <c r="AS75" s="4890">
        <f>'Direct sales IPT details'!AS205</f>
        <v>45024.1</v>
      </c>
      <c r="AT75" s="4890">
        <f>'Direct sales IPT details'!AT205</f>
        <v>0</v>
      </c>
      <c r="AU75" s="4890">
        <f>'Direct sales IPT details'!AU205</f>
        <v>0</v>
      </c>
      <c r="AV75" s="4890">
        <f>'Direct sales IPT details'!AV205</f>
        <v>0</v>
      </c>
      <c r="AW75" s="4890">
        <f>'Direct sales IPT details'!AW205</f>
        <v>45024.1</v>
      </c>
      <c r="AX75" s="4890">
        <f>'Direct sales IPT details'!AX205</f>
        <v>0</v>
      </c>
      <c r="AY75" s="4890">
        <f>'Direct sales IPT details'!AY205</f>
        <v>2365</v>
      </c>
      <c r="AZ75" s="4892">
        <f>'Direct sales IPT details'!AZ205</f>
        <v>0</v>
      </c>
      <c r="BA75" s="4892">
        <f>'Direct sales IPT details'!BA205</f>
        <v>4529</v>
      </c>
      <c r="BB75" s="4893">
        <f>'Direct sales IPT details'!BB205</f>
        <v>0</v>
      </c>
      <c r="BC75" s="4893">
        <f>'Direct sales IPT details'!BC205</f>
        <v>11116</v>
      </c>
      <c r="BD75" s="4894">
        <f>'Direct sales IPT details'!BD205</f>
        <v>0</v>
      </c>
      <c r="BE75" s="4894">
        <f>'Direct sales IPT details'!BE205</f>
        <v>47389.1</v>
      </c>
      <c r="BF75" s="533"/>
      <c r="BG75" s="533"/>
      <c r="BH75" s="533"/>
      <c r="BI75" s="533"/>
      <c r="BR75" s="533"/>
      <c r="BS75" s="533"/>
      <c r="BT75" s="533"/>
      <c r="BU75" s="533"/>
      <c r="BV75" s="533"/>
      <c r="BW75" s="533"/>
      <c r="BX75" s="533"/>
      <c r="BY75" s="533"/>
      <c r="BZ75" s="533"/>
      <c r="CA75" s="533"/>
      <c r="CB75" s="533"/>
      <c r="CC75" s="533"/>
    </row>
    <row r="76" spans="2:81" s="1354" customFormat="1" ht="21.95" customHeight="1" thickBot="1" x14ac:dyDescent="0.3">
      <c r="B76" s="5994"/>
      <c r="C76" s="5578" t="s">
        <v>1626</v>
      </c>
      <c r="D76" s="4889"/>
      <c r="E76" s="4890">
        <f>'Direct sales IPT details'!E206</f>
        <v>0</v>
      </c>
      <c r="F76" s="4889"/>
      <c r="G76" s="4890">
        <f>'Direct sales IPT details'!G206</f>
        <v>0</v>
      </c>
      <c r="H76" s="1485">
        <f t="shared" si="159"/>
        <v>0</v>
      </c>
      <c r="I76" s="1486">
        <f t="shared" si="160"/>
        <v>0</v>
      </c>
      <c r="J76" s="4889"/>
      <c r="K76" s="4890">
        <f>'Direct sales IPT details'!K206</f>
        <v>0</v>
      </c>
      <c r="L76" s="4892">
        <f>'Direct sales IPT details'!L206</f>
        <v>0</v>
      </c>
      <c r="M76" s="4892">
        <f>'Direct sales IPT details'!M206</f>
        <v>0</v>
      </c>
      <c r="N76" s="4889"/>
      <c r="O76" s="4890">
        <f>'Direct sales IPT details'!O206</f>
        <v>0</v>
      </c>
      <c r="P76" s="4890">
        <f>'Direct sales IPT details'!P206</f>
        <v>0</v>
      </c>
      <c r="Q76" s="4890">
        <f>'Direct sales IPT details'!Q206</f>
        <v>0</v>
      </c>
      <c r="R76" s="4889"/>
      <c r="S76" s="4890">
        <f>'Direct sales IPT details'!S206</f>
        <v>0</v>
      </c>
      <c r="T76" s="1548">
        <f t="shared" si="145"/>
        <v>0</v>
      </c>
      <c r="U76" s="1548">
        <f t="shared" si="146"/>
        <v>0</v>
      </c>
      <c r="V76" s="4889"/>
      <c r="W76" s="4890">
        <f>'Direct sales IPT details'!W206</f>
        <v>4878.29</v>
      </c>
      <c r="X76" s="4891">
        <f t="shared" si="147"/>
        <v>0</v>
      </c>
      <c r="Y76" s="4892">
        <f t="shared" si="148"/>
        <v>4878.29</v>
      </c>
      <c r="Z76" s="4891">
        <f t="shared" si="149"/>
        <v>0</v>
      </c>
      <c r="AA76" s="4893">
        <f t="shared" si="150"/>
        <v>4878.29</v>
      </c>
      <c r="AB76" s="4891">
        <f>'Direct sales IPT details'!AB206</f>
        <v>0</v>
      </c>
      <c r="AC76" s="4890">
        <f>'Direct sales IPT details'!AC206</f>
        <v>4803.3999999999996</v>
      </c>
      <c r="AD76" s="4890">
        <f>'Direct sales IPT details'!AD206</f>
        <v>0</v>
      </c>
      <c r="AE76" s="4890">
        <f>'Direct sales IPT details'!AE206</f>
        <v>9414.15</v>
      </c>
      <c r="AF76" s="4890">
        <f>'Direct sales IPT details'!AF206</f>
        <v>0</v>
      </c>
      <c r="AG76" s="4890">
        <f>'Direct sales IPT details'!AG206</f>
        <v>0</v>
      </c>
      <c r="AH76" s="4890">
        <f>'Direct sales IPT details'!AH206</f>
        <v>0</v>
      </c>
      <c r="AI76" s="4890">
        <f>'Direct sales IPT details'!AI206</f>
        <v>9414.15</v>
      </c>
      <c r="AJ76" s="4890">
        <f>'Direct sales IPT details'!AJ206</f>
        <v>0</v>
      </c>
      <c r="AK76" s="4890">
        <f>'Direct sales IPT details'!AK206</f>
        <v>0</v>
      </c>
      <c r="AL76" s="4891">
        <f>'Direct sales IPT details'!AL206</f>
        <v>0</v>
      </c>
      <c r="AM76" s="4892">
        <f>'Direct sales IPT details'!AM206</f>
        <v>4803.3999999999996</v>
      </c>
      <c r="AN76" s="4891">
        <f>'Direct sales IPT details'!AN206</f>
        <v>0</v>
      </c>
      <c r="AO76" s="4891">
        <f>'Direct sales IPT details'!AO206</f>
        <v>9414.15</v>
      </c>
      <c r="AP76" s="4891">
        <f>'Direct sales IPT details'!AP206</f>
        <v>0</v>
      </c>
      <c r="AQ76" s="4890">
        <f>'Direct sales IPT details'!AQ206</f>
        <v>118</v>
      </c>
      <c r="AR76" s="4890">
        <f>'Direct sales IPT details'!AR206</f>
        <v>0</v>
      </c>
      <c r="AS76" s="4890">
        <f>'Direct sales IPT details'!AS206</f>
        <v>9532.15</v>
      </c>
      <c r="AT76" s="4890">
        <f>'Direct sales IPT details'!AT206</f>
        <v>0</v>
      </c>
      <c r="AU76" s="4890">
        <f>'Direct sales IPT details'!AU206</f>
        <v>0</v>
      </c>
      <c r="AV76" s="4890">
        <f>'Direct sales IPT details'!AV206</f>
        <v>0</v>
      </c>
      <c r="AW76" s="4890">
        <f>'Direct sales IPT details'!AW206</f>
        <v>9532.15</v>
      </c>
      <c r="AX76" s="4890">
        <f>'Direct sales IPT details'!AX206</f>
        <v>0</v>
      </c>
      <c r="AY76" s="4890">
        <f>'Direct sales IPT details'!AY206</f>
        <v>176</v>
      </c>
      <c r="AZ76" s="4892">
        <f>'Direct sales IPT details'!AZ206</f>
        <v>0</v>
      </c>
      <c r="BA76" s="4892">
        <f>'Direct sales IPT details'!BA206</f>
        <v>294</v>
      </c>
      <c r="BB76" s="4893">
        <f>'Direct sales IPT details'!BB206</f>
        <v>0</v>
      </c>
      <c r="BC76" s="4893">
        <f>'Direct sales IPT details'!BC206</f>
        <v>5097.3999999999996</v>
      </c>
      <c r="BD76" s="4894">
        <f>'Direct sales IPT details'!BD206</f>
        <v>0</v>
      </c>
      <c r="BE76" s="4894">
        <f>'Direct sales IPT details'!BE206</f>
        <v>9708.15</v>
      </c>
      <c r="BF76" s="533"/>
      <c r="BG76" s="533"/>
      <c r="BH76" s="533"/>
      <c r="BI76" s="533"/>
      <c r="BR76" s="533"/>
      <c r="BS76" s="533"/>
      <c r="BT76" s="533"/>
      <c r="BU76" s="533"/>
      <c r="BV76" s="533"/>
      <c r="BW76" s="533"/>
      <c r="BX76" s="533"/>
      <c r="BY76" s="533"/>
      <c r="BZ76" s="533"/>
      <c r="CA76" s="533"/>
      <c r="CB76" s="533"/>
      <c r="CC76" s="533"/>
    </row>
    <row r="77" spans="2:81" s="1354" customFormat="1" ht="21.95" customHeight="1" thickBot="1" x14ac:dyDescent="0.3">
      <c r="B77" s="5994"/>
      <c r="C77" s="5578" t="s">
        <v>2369</v>
      </c>
      <c r="D77" s="5647"/>
      <c r="E77" s="5648"/>
      <c r="F77" s="5647"/>
      <c r="G77" s="5648"/>
      <c r="H77" s="1485"/>
      <c r="I77" s="1486"/>
      <c r="J77" s="5647"/>
      <c r="K77" s="5648"/>
      <c r="L77" s="4892">
        <f>'Direct sales IPT details'!L207</f>
        <v>0</v>
      </c>
      <c r="M77" s="4892">
        <f>'Direct sales IPT details'!M207</f>
        <v>0</v>
      </c>
      <c r="N77" s="5647"/>
      <c r="O77" s="5648"/>
      <c r="P77" s="5648"/>
      <c r="Q77" s="5648"/>
      <c r="R77" s="5647"/>
      <c r="S77" s="5648"/>
      <c r="T77" s="1548">
        <f t="shared" ref="T77" si="175">P77+R77</f>
        <v>0</v>
      </c>
      <c r="U77" s="1548">
        <f t="shared" ref="U77" si="176">Q77+S77</f>
        <v>0</v>
      </c>
      <c r="V77" s="5647"/>
      <c r="W77" s="5648">
        <f>'Direct sales IPT details'!W207</f>
        <v>2391.88</v>
      </c>
      <c r="X77" s="4891">
        <f t="shared" ref="X77" si="177">+N77+R77+V77</f>
        <v>0</v>
      </c>
      <c r="Y77" s="4892">
        <f t="shared" ref="Y77" si="178">+O77+S77+W77</f>
        <v>2391.88</v>
      </c>
      <c r="Z77" s="4891">
        <f t="shared" ref="Z77" si="179">L77+X77</f>
        <v>0</v>
      </c>
      <c r="AA77" s="4893">
        <f t="shared" ref="AA77" si="180">M77+Y77</f>
        <v>2391.88</v>
      </c>
      <c r="AB77" s="5649"/>
      <c r="AC77" s="5648"/>
      <c r="AD77" s="5648"/>
      <c r="AE77" s="5648"/>
      <c r="AF77" s="5648"/>
      <c r="AG77" s="5648"/>
      <c r="AH77" s="5648"/>
      <c r="AI77" s="5648"/>
      <c r="AJ77" s="5648"/>
      <c r="AK77" s="5648"/>
      <c r="AL77" s="5649"/>
      <c r="AM77" s="5575"/>
      <c r="AN77" s="5649"/>
      <c r="AO77" s="5649"/>
      <c r="AP77" s="5649"/>
      <c r="AQ77" s="5648"/>
      <c r="AR77" s="5648"/>
      <c r="AS77" s="5648"/>
      <c r="AT77" s="5648"/>
      <c r="AU77" s="5648"/>
      <c r="AV77" s="5648"/>
      <c r="AW77" s="5648"/>
      <c r="AX77" s="5648"/>
      <c r="AY77" s="5648"/>
      <c r="AZ77" s="5575"/>
      <c r="BA77" s="5575"/>
      <c r="BB77" s="5569"/>
      <c r="BC77" s="5569"/>
      <c r="BD77" s="5573"/>
      <c r="BE77" s="5573"/>
      <c r="BF77" s="533"/>
      <c r="BG77" s="533"/>
      <c r="BH77" s="533"/>
      <c r="BI77" s="533"/>
      <c r="BR77" s="533"/>
      <c r="BS77" s="533"/>
      <c r="BT77" s="533"/>
      <c r="BU77" s="533"/>
      <c r="BV77" s="533"/>
      <c r="BW77" s="533"/>
      <c r="BX77" s="533"/>
      <c r="BY77" s="533"/>
      <c r="BZ77" s="533"/>
      <c r="CA77" s="533"/>
      <c r="CB77" s="533"/>
      <c r="CC77" s="533"/>
    </row>
    <row r="78" spans="2:81" s="1354" customFormat="1" ht="21.95" customHeight="1" thickBot="1" x14ac:dyDescent="0.3">
      <c r="B78" s="5994"/>
      <c r="C78" s="5578" t="s">
        <v>2341</v>
      </c>
      <c r="D78" s="4889"/>
      <c r="E78" s="4890">
        <f>'Direct sales IPT details'!E207</f>
        <v>0</v>
      </c>
      <c r="F78" s="4889"/>
      <c r="G78" s="4890">
        <f>'Direct sales IPT details'!G207</f>
        <v>0</v>
      </c>
      <c r="H78" s="1485">
        <f t="shared" si="159"/>
        <v>0</v>
      </c>
      <c r="I78" s="1486">
        <f t="shared" si="160"/>
        <v>0</v>
      </c>
      <c r="J78" s="4889"/>
      <c r="K78" s="4890">
        <f>'Direct sales IPT details'!K207</f>
        <v>0</v>
      </c>
      <c r="L78" s="4892">
        <f>'Direct sales IPT details'!L207</f>
        <v>0</v>
      </c>
      <c r="M78" s="4892">
        <f>'Direct sales IPT details'!M207</f>
        <v>0</v>
      </c>
      <c r="N78" s="4889"/>
      <c r="O78" s="4890">
        <f>'Direct sales IPT details'!O207</f>
        <v>0</v>
      </c>
      <c r="P78" s="4890">
        <f>'Direct sales IPT details'!P207</f>
        <v>0</v>
      </c>
      <c r="Q78" s="4890">
        <f>'Direct sales IPT details'!Q207</f>
        <v>0</v>
      </c>
      <c r="R78" s="4889"/>
      <c r="S78" s="4890">
        <f>'Direct sales IPT details'!S208</f>
        <v>2542.38</v>
      </c>
      <c r="T78" s="1548">
        <f t="shared" si="145"/>
        <v>0</v>
      </c>
      <c r="U78" s="1548">
        <f t="shared" si="146"/>
        <v>2542.38</v>
      </c>
      <c r="V78" s="4889"/>
      <c r="W78" s="4890">
        <f>'Direct sales IPT details'!W208</f>
        <v>2589.14</v>
      </c>
      <c r="X78" s="4891">
        <f t="shared" si="147"/>
        <v>0</v>
      </c>
      <c r="Y78" s="4892">
        <f t="shared" si="148"/>
        <v>5131.5200000000004</v>
      </c>
      <c r="Z78" s="4891">
        <f t="shared" si="149"/>
        <v>0</v>
      </c>
      <c r="AA78" s="4893">
        <f t="shared" si="150"/>
        <v>5131.5200000000004</v>
      </c>
      <c r="AB78" s="4891">
        <f>'Direct sales IPT details'!AB207</f>
        <v>0</v>
      </c>
      <c r="AC78" s="4890">
        <f>'Direct sales IPT details'!AC207</f>
        <v>0</v>
      </c>
      <c r="AD78" s="4890">
        <f>'Direct sales IPT details'!AD207</f>
        <v>0</v>
      </c>
      <c r="AE78" s="4890">
        <f>'Direct sales IPT details'!AE207</f>
        <v>41</v>
      </c>
      <c r="AF78" s="4890">
        <f>'Direct sales IPT details'!AF207</f>
        <v>0</v>
      </c>
      <c r="AG78" s="4890">
        <f>'Direct sales IPT details'!AG207</f>
        <v>0</v>
      </c>
      <c r="AH78" s="4890">
        <f>'Direct sales IPT details'!AH207</f>
        <v>0</v>
      </c>
      <c r="AI78" s="4890">
        <f>'Direct sales IPT details'!AI207</f>
        <v>41</v>
      </c>
      <c r="AJ78" s="4890">
        <f>'Direct sales IPT details'!AJ207</f>
        <v>0</v>
      </c>
      <c r="AK78" s="4890">
        <f>'Direct sales IPT details'!AK207</f>
        <v>0</v>
      </c>
      <c r="AL78" s="4891">
        <f>'Direct sales IPT details'!AL207</f>
        <v>0</v>
      </c>
      <c r="AM78" s="4892">
        <f>'Direct sales IPT details'!AM207</f>
        <v>0</v>
      </c>
      <c r="AN78" s="4891">
        <f>'Direct sales IPT details'!AN207</f>
        <v>0</v>
      </c>
      <c r="AO78" s="4891">
        <f>'Direct sales IPT details'!AO207</f>
        <v>41</v>
      </c>
      <c r="AP78" s="4891">
        <f>'Direct sales IPT details'!AP207</f>
        <v>0</v>
      </c>
      <c r="AQ78" s="4890">
        <f>'Direct sales IPT details'!AQ207</f>
        <v>0</v>
      </c>
      <c r="AR78" s="4890">
        <f>'Direct sales IPT details'!AR207</f>
        <v>0</v>
      </c>
      <c r="AS78" s="4890">
        <f>'Direct sales IPT details'!AS207</f>
        <v>41</v>
      </c>
      <c r="AT78" s="4890">
        <f>'Direct sales IPT details'!AT207</f>
        <v>0</v>
      </c>
      <c r="AU78" s="4890">
        <f>'Direct sales IPT details'!AU207</f>
        <v>0</v>
      </c>
      <c r="AV78" s="4890">
        <f>'Direct sales IPT details'!AV207</f>
        <v>0</v>
      </c>
      <c r="AW78" s="4890">
        <f>'Direct sales IPT details'!AW207</f>
        <v>41</v>
      </c>
      <c r="AX78" s="4890">
        <f>'Direct sales IPT details'!AX207</f>
        <v>0</v>
      </c>
      <c r="AY78" s="4890">
        <f>'Direct sales IPT details'!AY207</f>
        <v>0</v>
      </c>
      <c r="AZ78" s="4892">
        <f>'Direct sales IPT details'!AZ207</f>
        <v>0</v>
      </c>
      <c r="BA78" s="4892">
        <f>'Direct sales IPT details'!BA207</f>
        <v>0</v>
      </c>
      <c r="BB78" s="4893">
        <f>'Direct sales IPT details'!BB207</f>
        <v>0</v>
      </c>
      <c r="BC78" s="4893">
        <f>'Direct sales IPT details'!BC207</f>
        <v>0</v>
      </c>
      <c r="BD78" s="4894">
        <f>'Direct sales IPT details'!BD207</f>
        <v>0</v>
      </c>
      <c r="BE78" s="4894">
        <f>'Direct sales IPT details'!BE207</f>
        <v>41</v>
      </c>
      <c r="BF78" s="533"/>
      <c r="BG78" s="533"/>
      <c r="BH78" s="533"/>
      <c r="BI78" s="533"/>
      <c r="BR78" s="533"/>
      <c r="BS78" s="533"/>
      <c r="BT78" s="533"/>
      <c r="BU78" s="533"/>
      <c r="BV78" s="533"/>
      <c r="BW78" s="533"/>
      <c r="BX78" s="533"/>
      <c r="BY78" s="533"/>
      <c r="BZ78" s="533"/>
      <c r="CA78" s="533"/>
      <c r="CB78" s="533"/>
      <c r="CC78" s="533"/>
    </row>
    <row r="79" spans="2:81" s="1354" customFormat="1" ht="21.95" customHeight="1" thickBot="1" x14ac:dyDescent="0.3">
      <c r="B79" s="5994"/>
      <c r="C79" s="5577" t="s">
        <v>1363</v>
      </c>
      <c r="D79" s="4887">
        <f>+D72+D74</f>
        <v>0</v>
      </c>
      <c r="E79" s="4887">
        <f t="shared" ref="E79:BE79" si="181">+E72+E74</f>
        <v>0</v>
      </c>
      <c r="F79" s="4887">
        <f>+F72+F74</f>
        <v>0</v>
      </c>
      <c r="G79" s="4887">
        <f t="shared" ref="G79" si="182">+G72+G74</f>
        <v>2041.5</v>
      </c>
      <c r="H79" s="1485">
        <f t="shared" si="159"/>
        <v>0</v>
      </c>
      <c r="I79" s="1486">
        <f t="shared" si="160"/>
        <v>2041.5</v>
      </c>
      <c r="J79" s="4887">
        <f>+J72+J74</f>
        <v>0</v>
      </c>
      <c r="K79" s="4887">
        <f t="shared" ref="K79" si="183">+K72+K74</f>
        <v>0</v>
      </c>
      <c r="L79" s="4887">
        <f t="shared" si="181"/>
        <v>0</v>
      </c>
      <c r="M79" s="4887">
        <f t="shared" si="181"/>
        <v>2041.5</v>
      </c>
      <c r="N79" s="4887">
        <f>+N72+N74</f>
        <v>0</v>
      </c>
      <c r="O79" s="4887">
        <f t="shared" ref="O79" si="184">+O72+O74</f>
        <v>0</v>
      </c>
      <c r="P79" s="4887">
        <f t="shared" si="181"/>
        <v>0</v>
      </c>
      <c r="Q79" s="4887">
        <f t="shared" si="181"/>
        <v>2041.5</v>
      </c>
      <c r="R79" s="4887">
        <f>+R72+R74</f>
        <v>0</v>
      </c>
      <c r="S79" s="4887">
        <f t="shared" ref="S79" si="185">+S72+S74</f>
        <v>2542.38</v>
      </c>
      <c r="T79" s="1548">
        <f t="shared" si="145"/>
        <v>0</v>
      </c>
      <c r="U79" s="1548">
        <f t="shared" si="146"/>
        <v>4583.88</v>
      </c>
      <c r="V79" s="4887">
        <f>+V72+V74</f>
        <v>0</v>
      </c>
      <c r="W79" s="4887">
        <f t="shared" ref="W79" si="186">+W72+W74</f>
        <v>9859.3100000000013</v>
      </c>
      <c r="X79" s="4887">
        <f t="shared" si="147"/>
        <v>0</v>
      </c>
      <c r="Y79" s="4887">
        <f t="shared" si="148"/>
        <v>12401.690000000002</v>
      </c>
      <c r="Z79" s="4887">
        <f t="shared" si="149"/>
        <v>0</v>
      </c>
      <c r="AA79" s="4887">
        <f t="shared" si="150"/>
        <v>14443.190000000002</v>
      </c>
      <c r="AB79" s="4887">
        <f t="shared" si="181"/>
        <v>0</v>
      </c>
      <c r="AC79" s="4887">
        <f t="shared" si="181"/>
        <v>9182.4</v>
      </c>
      <c r="AD79" s="4887">
        <f t="shared" si="181"/>
        <v>0</v>
      </c>
      <c r="AE79" s="4887">
        <f t="shared" si="181"/>
        <v>50107.25</v>
      </c>
      <c r="AF79" s="4887">
        <f t="shared" si="181"/>
        <v>0</v>
      </c>
      <c r="AG79" s="4887">
        <f t="shared" si="181"/>
        <v>73</v>
      </c>
      <c r="AH79" s="4887">
        <f t="shared" si="181"/>
        <v>0</v>
      </c>
      <c r="AI79" s="4887">
        <f t="shared" si="181"/>
        <v>50180.25</v>
      </c>
      <c r="AJ79" s="4887">
        <f t="shared" si="181"/>
        <v>0</v>
      </c>
      <c r="AK79" s="4887">
        <f t="shared" si="181"/>
        <v>2135</v>
      </c>
      <c r="AL79" s="4887">
        <f t="shared" si="181"/>
        <v>0</v>
      </c>
      <c r="AM79" s="4887">
        <f t="shared" si="181"/>
        <v>11390.4</v>
      </c>
      <c r="AN79" s="4887">
        <f t="shared" si="181"/>
        <v>0</v>
      </c>
      <c r="AO79" s="4887">
        <f t="shared" si="181"/>
        <v>52315.25</v>
      </c>
      <c r="AP79" s="4887">
        <f t="shared" si="181"/>
        <v>0</v>
      </c>
      <c r="AQ79" s="4887">
        <f t="shared" si="181"/>
        <v>2282</v>
      </c>
      <c r="AR79" s="4887">
        <f t="shared" si="181"/>
        <v>0</v>
      </c>
      <c r="AS79" s="4887">
        <f t="shared" si="181"/>
        <v>54597.25</v>
      </c>
      <c r="AT79" s="4887">
        <f t="shared" si="181"/>
        <v>0</v>
      </c>
      <c r="AU79" s="4887">
        <f t="shared" si="181"/>
        <v>0</v>
      </c>
      <c r="AV79" s="4887">
        <f t="shared" si="181"/>
        <v>0</v>
      </c>
      <c r="AW79" s="4887">
        <f t="shared" si="181"/>
        <v>54597.25</v>
      </c>
      <c r="AX79" s="4887">
        <f t="shared" si="181"/>
        <v>0</v>
      </c>
      <c r="AY79" s="4887">
        <f t="shared" si="181"/>
        <v>2541</v>
      </c>
      <c r="AZ79" s="4887">
        <f t="shared" si="181"/>
        <v>0</v>
      </c>
      <c r="BA79" s="4887">
        <f t="shared" si="181"/>
        <v>4823</v>
      </c>
      <c r="BB79" s="4887">
        <f t="shared" si="181"/>
        <v>0</v>
      </c>
      <c r="BC79" s="4887">
        <f t="shared" si="181"/>
        <v>16213.4</v>
      </c>
      <c r="BD79" s="4887">
        <f t="shared" si="181"/>
        <v>0</v>
      </c>
      <c r="BE79" s="4887">
        <f t="shared" si="181"/>
        <v>57138.25</v>
      </c>
      <c r="BF79" s="533"/>
      <c r="BG79" s="533"/>
      <c r="BH79" s="533"/>
      <c r="BI79" s="533"/>
      <c r="BR79" s="533"/>
      <c r="BS79" s="533"/>
      <c r="BT79" s="533"/>
      <c r="BU79" s="533"/>
      <c r="BV79" s="533"/>
      <c r="BW79" s="533"/>
      <c r="BX79" s="533"/>
      <c r="BY79" s="533"/>
      <c r="BZ79" s="533"/>
      <c r="CA79" s="533"/>
      <c r="CB79" s="533"/>
      <c r="CC79" s="533"/>
    </row>
    <row r="80" spans="2:81" s="1354" customFormat="1" ht="21.75" customHeight="1" x14ac:dyDescent="0.25">
      <c r="B80" s="5994"/>
      <c r="C80" s="5577"/>
      <c r="D80" s="4882"/>
      <c r="E80" s="4887"/>
      <c r="F80" s="4882"/>
      <c r="G80" s="4887"/>
      <c r="H80" s="1485">
        <f t="shared" si="159"/>
        <v>0</v>
      </c>
      <c r="I80" s="1486">
        <f t="shared" si="160"/>
        <v>0</v>
      </c>
      <c r="J80" s="4882"/>
      <c r="K80" s="4887"/>
      <c r="L80" s="4885">
        <f t="shared" ref="L80:M80" si="187">+D80+F80+J80</f>
        <v>0</v>
      </c>
      <c r="M80" s="4885">
        <f t="shared" si="187"/>
        <v>0</v>
      </c>
      <c r="N80" s="4882"/>
      <c r="O80" s="4887"/>
      <c r="P80" s="1548">
        <f t="shared" ref="P80:Q80" si="188">L80+N80</f>
        <v>0</v>
      </c>
      <c r="Q80" s="1548">
        <f t="shared" si="188"/>
        <v>0</v>
      </c>
      <c r="R80" s="4882"/>
      <c r="S80" s="4887"/>
      <c r="T80" s="1548">
        <f t="shared" si="145"/>
        <v>0</v>
      </c>
      <c r="U80" s="1548">
        <f t="shared" si="146"/>
        <v>0</v>
      </c>
      <c r="V80" s="4882"/>
      <c r="W80" s="4887"/>
      <c r="X80" s="4895">
        <f t="shared" si="147"/>
        <v>0</v>
      </c>
      <c r="Y80" s="4896">
        <f t="shared" si="148"/>
        <v>0</v>
      </c>
      <c r="Z80" s="4897">
        <f t="shared" si="149"/>
        <v>0</v>
      </c>
      <c r="AA80" s="4893">
        <f t="shared" si="150"/>
        <v>0</v>
      </c>
      <c r="AB80" s="4882">
        <v>15</v>
      </c>
      <c r="AC80" s="4887">
        <v>61288</v>
      </c>
      <c r="AD80" s="4894">
        <f t="shared" ref="AD80:AE80" si="189">Z80+AB80</f>
        <v>15</v>
      </c>
      <c r="AE80" s="4894">
        <f t="shared" si="189"/>
        <v>61288</v>
      </c>
      <c r="AF80" s="4882">
        <v>2</v>
      </c>
      <c r="AG80" s="4887">
        <v>8219</v>
      </c>
      <c r="AH80" s="4894">
        <f t="shared" ref="AH80:AI80" si="190">AD80+AF80</f>
        <v>17</v>
      </c>
      <c r="AI80" s="4894">
        <f t="shared" si="190"/>
        <v>69507</v>
      </c>
      <c r="AJ80" s="4882">
        <v>19</v>
      </c>
      <c r="AK80" s="4887">
        <v>78541</v>
      </c>
      <c r="AL80" s="4898">
        <f t="shared" si="164"/>
        <v>36</v>
      </c>
      <c r="AM80" s="4898">
        <f t="shared" si="164"/>
        <v>148048</v>
      </c>
      <c r="AN80" s="4894">
        <f t="shared" si="165"/>
        <v>36</v>
      </c>
      <c r="AO80" s="4894">
        <f t="shared" si="165"/>
        <v>148048</v>
      </c>
      <c r="AP80" s="4882">
        <v>19</v>
      </c>
      <c r="AQ80" s="4887">
        <v>78071</v>
      </c>
      <c r="AR80" s="4894">
        <f t="shared" ref="AR80:AS90" si="191">AN80+AP80</f>
        <v>55</v>
      </c>
      <c r="AS80" s="4894">
        <f t="shared" si="191"/>
        <v>226119</v>
      </c>
      <c r="AT80" s="4899">
        <v>12</v>
      </c>
      <c r="AU80" s="4887">
        <v>48920</v>
      </c>
      <c r="AV80" s="4894">
        <f t="shared" si="168"/>
        <v>67</v>
      </c>
      <c r="AW80" s="4894">
        <f t="shared" si="168"/>
        <v>275039</v>
      </c>
      <c r="AX80" s="4887">
        <v>20</v>
      </c>
      <c r="AY80" s="4887">
        <v>82408</v>
      </c>
      <c r="AZ80" s="4892">
        <f t="shared" ref="AZ80:BB80" si="192">AV80+AX80</f>
        <v>87</v>
      </c>
      <c r="BA80" s="2777">
        <f t="shared" ref="BA80" si="193">+AQ80+AU80+AY80</f>
        <v>209399</v>
      </c>
      <c r="BB80" s="4893">
        <f t="shared" si="192"/>
        <v>107</v>
      </c>
      <c r="BC80" s="2764">
        <f t="shared" ref="BC80" si="194">AM80+BA80</f>
        <v>357447</v>
      </c>
      <c r="BD80" s="1485">
        <f t="shared" ref="BD80" si="195">AV80+AX80</f>
        <v>87</v>
      </c>
      <c r="BE80" s="1548">
        <f t="shared" ref="BE80" si="196">AW80+AY80</f>
        <v>357447</v>
      </c>
      <c r="BF80" s="533"/>
      <c r="BG80" s="533"/>
      <c r="BH80" s="533"/>
      <c r="BI80" s="533"/>
      <c r="BR80" s="533"/>
      <c r="BS80" s="533"/>
      <c r="BT80" s="533"/>
      <c r="BU80" s="533"/>
      <c r="BV80" s="533"/>
      <c r="BW80" s="533"/>
      <c r="BX80" s="533"/>
      <c r="BY80" s="533"/>
      <c r="BZ80" s="533"/>
      <c r="CA80" s="533"/>
      <c r="CB80" s="533"/>
      <c r="CC80" s="533"/>
    </row>
    <row r="81" spans="2:81" ht="15.75" customHeight="1" thickBot="1" x14ac:dyDescent="0.3">
      <c r="B81" s="5994"/>
      <c r="BF81" s="533"/>
      <c r="BG81" s="533"/>
      <c r="BH81" s="533"/>
      <c r="BI81" s="533"/>
      <c r="BR81" s="533"/>
      <c r="BS81" s="533"/>
      <c r="BT81" s="533"/>
      <c r="BU81" s="533"/>
      <c r="BV81" s="533"/>
      <c r="BW81" s="533"/>
      <c r="BX81" s="533"/>
      <c r="BY81" s="533"/>
      <c r="BZ81" s="533"/>
      <c r="CA81" s="533"/>
      <c r="CB81" s="533"/>
      <c r="CC81" s="533"/>
    </row>
    <row r="82" spans="2:81" ht="16.5" thickBot="1" x14ac:dyDescent="0.3">
      <c r="B82" s="5994"/>
      <c r="C82" s="5577" t="s">
        <v>2122</v>
      </c>
      <c r="D82" s="149"/>
      <c r="E82" s="4887">
        <f>+SUM(E83:E83)</f>
        <v>0</v>
      </c>
      <c r="F82" s="4887">
        <f>+SUM(F83:F83)</f>
        <v>3</v>
      </c>
      <c r="G82" s="4887">
        <f>+SUM(G83:G83)</f>
        <v>10196</v>
      </c>
      <c r="H82" s="1485">
        <f t="shared" si="159"/>
        <v>3</v>
      </c>
      <c r="I82" s="1486">
        <f t="shared" si="160"/>
        <v>10196</v>
      </c>
      <c r="J82" s="4887">
        <f t="shared" ref="J82:S82" si="197">+SUM(J83:J83)</f>
        <v>0</v>
      </c>
      <c r="K82" s="4887">
        <f t="shared" si="197"/>
        <v>0</v>
      </c>
      <c r="L82" s="4887">
        <f t="shared" si="197"/>
        <v>3</v>
      </c>
      <c r="M82" s="4887">
        <f t="shared" si="197"/>
        <v>10196</v>
      </c>
      <c r="N82" s="4887">
        <f t="shared" si="197"/>
        <v>1</v>
      </c>
      <c r="O82" s="4887">
        <f t="shared" si="197"/>
        <v>3764</v>
      </c>
      <c r="P82" s="4887">
        <f t="shared" si="197"/>
        <v>4</v>
      </c>
      <c r="Q82" s="4887">
        <f t="shared" si="197"/>
        <v>13960</v>
      </c>
      <c r="R82" s="4887">
        <f t="shared" si="197"/>
        <v>0</v>
      </c>
      <c r="S82" s="4887">
        <f t="shared" si="197"/>
        <v>0</v>
      </c>
      <c r="T82" s="1548">
        <f t="shared" si="145"/>
        <v>4</v>
      </c>
      <c r="U82" s="1548">
        <f t="shared" si="146"/>
        <v>13960</v>
      </c>
      <c r="V82" s="4887">
        <f t="shared" ref="V82:W82" si="198">+SUM(V83:V83)</f>
        <v>0</v>
      </c>
      <c r="W82" s="4887">
        <f t="shared" si="198"/>
        <v>0</v>
      </c>
      <c r="X82" s="4887">
        <f t="shared" si="147"/>
        <v>1</v>
      </c>
      <c r="Y82" s="4887">
        <f t="shared" si="148"/>
        <v>3764</v>
      </c>
      <c r="Z82" s="4887">
        <f t="shared" si="149"/>
        <v>4</v>
      </c>
      <c r="AA82" s="4887">
        <f t="shared" si="150"/>
        <v>13960</v>
      </c>
      <c r="AB82" s="4887">
        <f t="shared" ref="AB82:BE82" si="199">+SUM(AB83:AB83)</f>
        <v>0</v>
      </c>
      <c r="AC82" s="4887">
        <f t="shared" si="199"/>
        <v>7253.71</v>
      </c>
      <c r="AD82" s="4887">
        <f t="shared" si="199"/>
        <v>4</v>
      </c>
      <c r="AE82" s="4887">
        <f t="shared" si="199"/>
        <v>21213.71</v>
      </c>
      <c r="AF82" s="4887">
        <f t="shared" si="199"/>
        <v>0</v>
      </c>
      <c r="AG82" s="4887">
        <f t="shared" si="199"/>
        <v>0</v>
      </c>
      <c r="AH82" s="4887">
        <f t="shared" si="199"/>
        <v>4</v>
      </c>
      <c r="AI82" s="4887">
        <f t="shared" si="199"/>
        <v>21213.71</v>
      </c>
      <c r="AJ82" s="4887">
        <f t="shared" si="199"/>
        <v>0</v>
      </c>
      <c r="AK82" s="4887">
        <f t="shared" si="199"/>
        <v>0</v>
      </c>
      <c r="AL82" s="4887">
        <f t="shared" si="199"/>
        <v>0</v>
      </c>
      <c r="AM82" s="4887">
        <f t="shared" si="199"/>
        <v>7253.71</v>
      </c>
      <c r="AN82" s="4887">
        <f t="shared" si="199"/>
        <v>4</v>
      </c>
      <c r="AO82" s="4887">
        <f t="shared" si="199"/>
        <v>21213.71</v>
      </c>
      <c r="AP82" s="4887">
        <f t="shared" si="199"/>
        <v>0</v>
      </c>
      <c r="AQ82" s="4887">
        <f t="shared" si="199"/>
        <v>0</v>
      </c>
      <c r="AR82" s="4887">
        <f t="shared" si="199"/>
        <v>4</v>
      </c>
      <c r="AS82" s="4887">
        <f t="shared" si="199"/>
        <v>21213.71</v>
      </c>
      <c r="AT82" s="4887">
        <f t="shared" si="199"/>
        <v>0</v>
      </c>
      <c r="AU82" s="4887">
        <f t="shared" si="199"/>
        <v>0</v>
      </c>
      <c r="AV82" s="4887">
        <f t="shared" si="199"/>
        <v>4</v>
      </c>
      <c r="AW82" s="4887">
        <f t="shared" si="199"/>
        <v>21213.71</v>
      </c>
      <c r="AX82" s="4887">
        <f t="shared" si="199"/>
        <v>0</v>
      </c>
      <c r="AY82" s="4887">
        <f t="shared" si="199"/>
        <v>0</v>
      </c>
      <c r="AZ82" s="4887">
        <f t="shared" si="199"/>
        <v>0</v>
      </c>
      <c r="BA82" s="4887">
        <f t="shared" si="199"/>
        <v>0</v>
      </c>
      <c r="BB82" s="4887">
        <f t="shared" si="199"/>
        <v>0</v>
      </c>
      <c r="BC82" s="4887">
        <f t="shared" si="199"/>
        <v>7253.71</v>
      </c>
      <c r="BD82" s="4887">
        <f t="shared" si="199"/>
        <v>4</v>
      </c>
      <c r="BE82" s="4887">
        <f t="shared" si="199"/>
        <v>21213.71</v>
      </c>
      <c r="BF82" s="533"/>
      <c r="BG82" s="533"/>
      <c r="BH82" s="533"/>
      <c r="BI82" s="533"/>
      <c r="BR82" s="533"/>
      <c r="BS82" s="533"/>
      <c r="BT82" s="533"/>
      <c r="BU82" s="533"/>
      <c r="BV82" s="533"/>
      <c r="BW82" s="533"/>
      <c r="BX82" s="533"/>
      <c r="BY82" s="533"/>
      <c r="BZ82" s="533"/>
      <c r="CA82" s="533"/>
      <c r="CB82" s="533"/>
      <c r="CC82" s="533"/>
    </row>
    <row r="83" spans="2:81" ht="19.5" thickBot="1" x14ac:dyDescent="0.3">
      <c r="B83" s="5994"/>
      <c r="C83" s="5579" t="s">
        <v>1889</v>
      </c>
      <c r="D83" s="4887"/>
      <c r="E83" s="5019"/>
      <c r="F83" s="4887">
        <v>3</v>
      </c>
      <c r="G83" s="5019">
        <v>10196</v>
      </c>
      <c r="H83" s="1485">
        <f t="shared" si="159"/>
        <v>3</v>
      </c>
      <c r="I83" s="1486">
        <f t="shared" si="160"/>
        <v>10196</v>
      </c>
      <c r="J83" s="4887"/>
      <c r="K83" s="5019"/>
      <c r="L83" s="4885">
        <f t="shared" ref="L83:M87" si="200">+D83+F83+J83</f>
        <v>3</v>
      </c>
      <c r="M83" s="4885">
        <f t="shared" si="200"/>
        <v>10196</v>
      </c>
      <c r="N83" s="4887">
        <v>1</v>
      </c>
      <c r="O83" s="5019">
        <v>3764</v>
      </c>
      <c r="P83" s="4894">
        <f t="shared" ref="P83:Q83" si="201">L83+N83</f>
        <v>4</v>
      </c>
      <c r="Q83" s="4894">
        <f t="shared" si="201"/>
        <v>13960</v>
      </c>
      <c r="R83" s="4887"/>
      <c r="S83" s="5019"/>
      <c r="T83" s="1548">
        <f t="shared" si="145"/>
        <v>4</v>
      </c>
      <c r="U83" s="1548">
        <f t="shared" si="146"/>
        <v>13960</v>
      </c>
      <c r="V83" s="4887"/>
      <c r="W83" s="5019"/>
      <c r="X83" s="4892">
        <f t="shared" si="147"/>
        <v>1</v>
      </c>
      <c r="Y83" s="4892">
        <f t="shared" si="148"/>
        <v>3764</v>
      </c>
      <c r="Z83" s="4897">
        <f t="shared" si="149"/>
        <v>4</v>
      </c>
      <c r="AA83" s="4893">
        <f t="shared" si="150"/>
        <v>13960</v>
      </c>
      <c r="AB83" s="4887"/>
      <c r="AC83" s="4891">
        <v>7253.71</v>
      </c>
      <c r="AD83" s="4901">
        <f t="shared" ref="AD83" si="202">Z83+AB83</f>
        <v>4</v>
      </c>
      <c r="AE83" s="4894">
        <f t="shared" ref="AE83" si="203">SUM(AA83,AC83)</f>
        <v>21213.71</v>
      </c>
      <c r="AF83" s="4891"/>
      <c r="AG83" s="4891"/>
      <c r="AH83" s="4901">
        <f t="shared" ref="AH83:AI83" si="204">AD83+AF83</f>
        <v>4</v>
      </c>
      <c r="AI83" s="4894">
        <f t="shared" si="204"/>
        <v>21213.71</v>
      </c>
      <c r="AJ83" s="4891"/>
      <c r="AK83" s="4891"/>
      <c r="AL83" s="4885">
        <f t="shared" ref="AL83:AM83" si="205">+AB83+AF83+AJ83</f>
        <v>0</v>
      </c>
      <c r="AM83" s="4885">
        <f t="shared" si="205"/>
        <v>7253.71</v>
      </c>
      <c r="AN83" s="4883">
        <f t="shared" ref="AN83:AO83" si="206">AH83+AJ83</f>
        <v>4</v>
      </c>
      <c r="AO83" s="4884">
        <f t="shared" si="206"/>
        <v>21213.71</v>
      </c>
      <c r="AP83" s="4891"/>
      <c r="AQ83" s="4891"/>
      <c r="AR83" s="4894">
        <f t="shared" ref="AR83:AS83" si="207">AN83+AP83</f>
        <v>4</v>
      </c>
      <c r="AS83" s="4894">
        <f t="shared" si="207"/>
        <v>21213.71</v>
      </c>
      <c r="AT83" s="4887"/>
      <c r="AU83" s="4891"/>
      <c r="AV83" s="4894">
        <f t="shared" ref="AV83:AW83" si="208">AR83+AT83</f>
        <v>4</v>
      </c>
      <c r="AW83" s="4894">
        <f t="shared" si="208"/>
        <v>21213.71</v>
      </c>
      <c r="AX83" s="4887"/>
      <c r="AY83" s="4891"/>
      <c r="AZ83" s="4892">
        <f t="shared" ref="AZ83:BA83" si="209">+AP83+AT83+AX83</f>
        <v>0</v>
      </c>
      <c r="BA83" s="4892">
        <f t="shared" si="209"/>
        <v>0</v>
      </c>
      <c r="BB83" s="4897">
        <f t="shared" ref="BB83:BC83" si="210">AL83+AZ83</f>
        <v>0</v>
      </c>
      <c r="BC83" s="4893">
        <f t="shared" si="210"/>
        <v>7253.71</v>
      </c>
      <c r="BD83" s="1485">
        <f t="shared" ref="BD83" si="211">AV83+AX83</f>
        <v>4</v>
      </c>
      <c r="BE83" s="1548">
        <f t="shared" ref="BE83" si="212">AW83+AY83</f>
        <v>21213.71</v>
      </c>
      <c r="BF83" s="533"/>
      <c r="BG83" s="533"/>
      <c r="BH83" s="533"/>
      <c r="BI83" s="533"/>
      <c r="BR83" s="533"/>
      <c r="BS83" s="533"/>
      <c r="BT83" s="533"/>
      <c r="BU83" s="533"/>
      <c r="BV83" s="533"/>
      <c r="BW83" s="533"/>
      <c r="BX83" s="533"/>
      <c r="BY83" s="533"/>
      <c r="BZ83" s="533"/>
      <c r="CA83" s="533"/>
      <c r="CB83" s="533"/>
      <c r="CC83" s="533"/>
    </row>
    <row r="84" spans="2:81" ht="16.5" thickBot="1" x14ac:dyDescent="0.3">
      <c r="B84" s="5994"/>
      <c r="C84" s="5577" t="s">
        <v>2123</v>
      </c>
      <c r="D84" s="4887"/>
      <c r="E84" s="4887">
        <f>+E85+E86</f>
        <v>0</v>
      </c>
      <c r="F84" s="4887"/>
      <c r="G84" s="4887">
        <f>+G85+G86</f>
        <v>0</v>
      </c>
      <c r="H84" s="1485">
        <f t="shared" si="159"/>
        <v>0</v>
      </c>
      <c r="I84" s="1486">
        <f t="shared" si="160"/>
        <v>0</v>
      </c>
      <c r="J84" s="4887"/>
      <c r="K84" s="4887">
        <f>+K85+K86</f>
        <v>0</v>
      </c>
      <c r="L84" s="4887">
        <f t="shared" ref="L84:BE84" si="213">+L85+L86</f>
        <v>0</v>
      </c>
      <c r="M84" s="4885">
        <f t="shared" si="200"/>
        <v>0</v>
      </c>
      <c r="N84" s="4887"/>
      <c r="O84" s="4887">
        <f>+O85+O86</f>
        <v>2771.29</v>
      </c>
      <c r="P84" s="4887">
        <f t="shared" si="213"/>
        <v>0</v>
      </c>
      <c r="Q84" s="4887">
        <f t="shared" si="213"/>
        <v>2771.29</v>
      </c>
      <c r="R84" s="4887"/>
      <c r="S84" s="4887">
        <f>+S85+S86</f>
        <v>0</v>
      </c>
      <c r="T84" s="1548">
        <f t="shared" si="145"/>
        <v>0</v>
      </c>
      <c r="U84" s="1548">
        <f t="shared" si="146"/>
        <v>2771.29</v>
      </c>
      <c r="V84" s="4887"/>
      <c r="W84" s="4887">
        <f>+W85+W86</f>
        <v>3223</v>
      </c>
      <c r="X84" s="4887">
        <f t="shared" si="147"/>
        <v>0</v>
      </c>
      <c r="Y84" s="4892">
        <f t="shared" si="148"/>
        <v>5994.29</v>
      </c>
      <c r="Z84" s="4887">
        <f t="shared" si="149"/>
        <v>0</v>
      </c>
      <c r="AA84" s="4893">
        <f t="shared" si="150"/>
        <v>5994.29</v>
      </c>
      <c r="AB84" s="4887">
        <f t="shared" si="213"/>
        <v>0</v>
      </c>
      <c r="AC84" s="4887">
        <f t="shared" si="213"/>
        <v>0</v>
      </c>
      <c r="AD84" s="4887">
        <f t="shared" si="213"/>
        <v>0</v>
      </c>
      <c r="AE84" s="4887">
        <f t="shared" si="213"/>
        <v>6065.0300000000007</v>
      </c>
      <c r="AF84" s="4887">
        <f t="shared" si="213"/>
        <v>0</v>
      </c>
      <c r="AG84" s="4887">
        <f t="shared" si="213"/>
        <v>0</v>
      </c>
      <c r="AH84" s="4887">
        <f t="shared" si="213"/>
        <v>0</v>
      </c>
      <c r="AI84" s="4887">
        <f t="shared" si="213"/>
        <v>6065.0300000000007</v>
      </c>
      <c r="AJ84" s="4887">
        <f t="shared" si="213"/>
        <v>0</v>
      </c>
      <c r="AK84" s="4887">
        <f t="shared" si="213"/>
        <v>0</v>
      </c>
      <c r="AL84" s="4887">
        <f t="shared" si="213"/>
        <v>0</v>
      </c>
      <c r="AM84" s="4887">
        <f t="shared" si="213"/>
        <v>0</v>
      </c>
      <c r="AN84" s="4887">
        <f t="shared" si="213"/>
        <v>0</v>
      </c>
      <c r="AO84" s="4887">
        <f t="shared" si="213"/>
        <v>6065.0300000000007</v>
      </c>
      <c r="AP84" s="4887">
        <f t="shared" si="213"/>
        <v>0</v>
      </c>
      <c r="AQ84" s="4887">
        <f t="shared" si="213"/>
        <v>0</v>
      </c>
      <c r="AR84" s="4887">
        <f t="shared" si="213"/>
        <v>0</v>
      </c>
      <c r="AS84" s="4887">
        <f t="shared" si="213"/>
        <v>6065.0300000000007</v>
      </c>
      <c r="AT84" s="4887">
        <f t="shared" si="213"/>
        <v>0</v>
      </c>
      <c r="AU84" s="4887">
        <f t="shared" si="213"/>
        <v>0</v>
      </c>
      <c r="AV84" s="4887">
        <f t="shared" si="213"/>
        <v>0</v>
      </c>
      <c r="AW84" s="4887">
        <f t="shared" si="213"/>
        <v>6065.0300000000007</v>
      </c>
      <c r="AX84" s="4887">
        <f t="shared" si="213"/>
        <v>0</v>
      </c>
      <c r="AY84" s="4887">
        <f t="shared" si="213"/>
        <v>0</v>
      </c>
      <c r="AZ84" s="4887">
        <f t="shared" si="213"/>
        <v>0</v>
      </c>
      <c r="BA84" s="4887">
        <f t="shared" si="213"/>
        <v>0</v>
      </c>
      <c r="BB84" s="4887">
        <f t="shared" si="213"/>
        <v>0</v>
      </c>
      <c r="BC84" s="4887">
        <f t="shared" si="213"/>
        <v>0</v>
      </c>
      <c r="BD84" s="4887">
        <f t="shared" si="213"/>
        <v>0</v>
      </c>
      <c r="BE84" s="4887">
        <f t="shared" si="213"/>
        <v>6065.0300000000007</v>
      </c>
      <c r="BF84" s="533"/>
      <c r="BG84" s="533"/>
      <c r="BH84" s="533"/>
      <c r="BI84" s="533"/>
      <c r="BR84" s="533"/>
      <c r="BS84" s="533"/>
      <c r="BT84" s="533"/>
      <c r="BU84" s="533"/>
      <c r="BV84" s="533"/>
      <c r="BW84" s="533"/>
      <c r="BX84" s="533"/>
      <c r="BY84" s="533"/>
      <c r="BZ84" s="533"/>
      <c r="CA84" s="533"/>
      <c r="CB84" s="533"/>
      <c r="CC84" s="533"/>
    </row>
    <row r="85" spans="2:81" ht="16.5" thickBot="1" x14ac:dyDescent="0.3">
      <c r="B85" s="5994"/>
      <c r="C85" s="5578" t="s">
        <v>2121</v>
      </c>
      <c r="D85" s="4887"/>
      <c r="E85" s="4891">
        <f>'Direct sales IPT details'!E210</f>
        <v>0</v>
      </c>
      <c r="F85" s="4887"/>
      <c r="G85" s="4891">
        <f>'Direct sales IPT details'!G210</f>
        <v>0</v>
      </c>
      <c r="H85" s="1485">
        <f t="shared" si="159"/>
        <v>0</v>
      </c>
      <c r="I85" s="1486">
        <f t="shared" si="160"/>
        <v>0</v>
      </c>
      <c r="J85" s="4887"/>
      <c r="K85" s="4891">
        <f>'Direct sales IPT details'!K210</f>
        <v>0</v>
      </c>
      <c r="L85" s="4885">
        <f>'Direct sales IPT details'!L210</f>
        <v>0</v>
      </c>
      <c r="M85" s="4885">
        <f>'Direct sales IPT details'!M210</f>
        <v>0</v>
      </c>
      <c r="N85" s="4887"/>
      <c r="O85" s="4891">
        <f>'Direct sales IPT details'!O210</f>
        <v>0</v>
      </c>
      <c r="P85" s="4894">
        <f>'Direct sales IPT details'!P210</f>
        <v>0</v>
      </c>
      <c r="Q85" s="4894">
        <f>'Direct sales IPT details'!Q210</f>
        <v>0</v>
      </c>
      <c r="R85" s="4887"/>
      <c r="S85" s="4891">
        <f>'Direct sales IPT details'!S210</f>
        <v>0</v>
      </c>
      <c r="T85" s="1548">
        <f t="shared" si="145"/>
        <v>0</v>
      </c>
      <c r="U85" s="1548">
        <f t="shared" si="146"/>
        <v>0</v>
      </c>
      <c r="V85" s="4887"/>
      <c r="W85" s="4891">
        <f>'Direct sales IPT details'!W210</f>
        <v>0</v>
      </c>
      <c r="X85" s="4892">
        <f t="shared" si="147"/>
        <v>0</v>
      </c>
      <c r="Y85" s="4892">
        <f t="shared" si="148"/>
        <v>0</v>
      </c>
      <c r="Z85" s="4897">
        <f t="shared" si="149"/>
        <v>0</v>
      </c>
      <c r="AA85" s="4893">
        <f t="shared" si="150"/>
        <v>0</v>
      </c>
      <c r="AB85" s="4887">
        <f>'Direct sales IPT details'!AB210</f>
        <v>0</v>
      </c>
      <c r="AC85" s="4891">
        <f>'Direct sales IPT details'!AC210</f>
        <v>0</v>
      </c>
      <c r="AD85" s="4901">
        <f>'Direct sales IPT details'!AD210</f>
        <v>0</v>
      </c>
      <c r="AE85" s="4894">
        <f>'Direct sales IPT details'!AE210</f>
        <v>343.68</v>
      </c>
      <c r="AF85" s="4891">
        <f>'Direct sales IPT details'!AF210</f>
        <v>0</v>
      </c>
      <c r="AG85" s="4891">
        <f>'Direct sales IPT details'!AG210</f>
        <v>0</v>
      </c>
      <c r="AH85" s="4901">
        <f>'Direct sales IPT details'!AH210</f>
        <v>0</v>
      </c>
      <c r="AI85" s="4894">
        <f>'Direct sales IPT details'!AI210</f>
        <v>343.68</v>
      </c>
      <c r="AJ85" s="4891">
        <f>'Direct sales IPT details'!AJ210</f>
        <v>0</v>
      </c>
      <c r="AK85" s="4891">
        <f>'Direct sales IPT details'!AK210</f>
        <v>0</v>
      </c>
      <c r="AL85" s="4885">
        <f>'Direct sales IPT details'!AL210</f>
        <v>0</v>
      </c>
      <c r="AM85" s="4885">
        <f>'Direct sales IPT details'!AM210</f>
        <v>0</v>
      </c>
      <c r="AN85" s="4883">
        <f>'Direct sales IPT details'!AN210</f>
        <v>0</v>
      </c>
      <c r="AO85" s="4884">
        <f>'Direct sales IPT details'!AO210</f>
        <v>343.68</v>
      </c>
      <c r="AP85" s="4891">
        <f>'Direct sales IPT details'!AP210</f>
        <v>0</v>
      </c>
      <c r="AQ85" s="4891">
        <f>'Direct sales IPT details'!AQ210</f>
        <v>0</v>
      </c>
      <c r="AR85" s="4894">
        <f>'Direct sales IPT details'!AR210</f>
        <v>0</v>
      </c>
      <c r="AS85" s="4894">
        <f>'Direct sales IPT details'!AS210</f>
        <v>343.68</v>
      </c>
      <c r="AT85" s="4887">
        <f>'Direct sales IPT details'!AT210</f>
        <v>0</v>
      </c>
      <c r="AU85" s="4891">
        <f>'Direct sales IPT details'!AU210</f>
        <v>0</v>
      </c>
      <c r="AV85" s="4894">
        <f>'Direct sales IPT details'!AV210</f>
        <v>0</v>
      </c>
      <c r="AW85" s="4894">
        <f>'Direct sales IPT details'!AW210</f>
        <v>343.68</v>
      </c>
      <c r="AX85" s="4887">
        <f>'Direct sales IPT details'!AX210</f>
        <v>0</v>
      </c>
      <c r="AY85" s="4891">
        <f>'Direct sales IPT details'!AY210</f>
        <v>0</v>
      </c>
      <c r="AZ85" s="4892">
        <f>'Direct sales IPT details'!AZ210</f>
        <v>0</v>
      </c>
      <c r="BA85" s="4892">
        <f>'Direct sales IPT details'!BA210</f>
        <v>0</v>
      </c>
      <c r="BB85" s="4897">
        <f>'Direct sales IPT details'!BB210</f>
        <v>0</v>
      </c>
      <c r="BC85" s="4893">
        <f>'Direct sales IPT details'!BC210</f>
        <v>0</v>
      </c>
      <c r="BD85" s="4883">
        <f>'Direct sales IPT details'!BD210</f>
        <v>0</v>
      </c>
      <c r="BE85" s="4884">
        <f>'Direct sales IPT details'!BE210</f>
        <v>343.68</v>
      </c>
      <c r="BF85" s="533"/>
      <c r="BG85" s="533"/>
      <c r="BH85" s="533"/>
      <c r="BI85" s="533"/>
      <c r="BR85" s="533"/>
      <c r="BS85" s="533"/>
      <c r="BT85" s="533"/>
      <c r="BU85" s="533"/>
      <c r="BV85" s="533"/>
      <c r="BW85" s="533"/>
      <c r="BX85" s="533"/>
      <c r="BY85" s="533"/>
      <c r="BZ85" s="533"/>
      <c r="CA85" s="533"/>
      <c r="CB85" s="533"/>
      <c r="CC85" s="533"/>
    </row>
    <row r="86" spans="2:81" ht="16.5" thickBot="1" x14ac:dyDescent="0.3">
      <c r="B86" s="5994"/>
      <c r="C86" s="5578" t="s">
        <v>1626</v>
      </c>
      <c r="D86" s="4887"/>
      <c r="E86" s="4891">
        <f>'Direct sales IPT details'!E211</f>
        <v>0</v>
      </c>
      <c r="F86" s="4887"/>
      <c r="G86" s="4891">
        <f>'Direct sales IPT details'!G211</f>
        <v>0</v>
      </c>
      <c r="H86" s="1485">
        <f t="shared" si="159"/>
        <v>0</v>
      </c>
      <c r="I86" s="1486">
        <f t="shared" si="160"/>
        <v>0</v>
      </c>
      <c r="J86" s="4887"/>
      <c r="K86" s="4891">
        <f>'Direct sales IPT details'!K211</f>
        <v>0</v>
      </c>
      <c r="L86" s="4885">
        <f>'Direct sales IPT details'!L211</f>
        <v>0</v>
      </c>
      <c r="M86" s="4885">
        <f>'Direct sales IPT details'!M211</f>
        <v>0</v>
      </c>
      <c r="N86" s="4887"/>
      <c r="O86" s="4891">
        <f>'Direct sales IPT details'!O211</f>
        <v>2771.29</v>
      </c>
      <c r="P86" s="4894">
        <f>'Direct sales IPT details'!P211</f>
        <v>0</v>
      </c>
      <c r="Q86" s="4894">
        <f>'Direct sales IPT details'!Q211</f>
        <v>2771.29</v>
      </c>
      <c r="R86" s="4887"/>
      <c r="S86" s="4891">
        <f>'Direct sales IPT details'!S211</f>
        <v>0</v>
      </c>
      <c r="T86" s="1548">
        <f t="shared" si="145"/>
        <v>0</v>
      </c>
      <c r="U86" s="1548">
        <f t="shared" si="146"/>
        <v>2771.29</v>
      </c>
      <c r="V86" s="4887"/>
      <c r="W86" s="4891">
        <f>'Direct sales IPT details'!W211</f>
        <v>3223</v>
      </c>
      <c r="X86" s="4892">
        <f t="shared" si="147"/>
        <v>0</v>
      </c>
      <c r="Y86" s="4892">
        <f t="shared" si="148"/>
        <v>5994.29</v>
      </c>
      <c r="Z86" s="4897">
        <f t="shared" si="149"/>
        <v>0</v>
      </c>
      <c r="AA86" s="4893">
        <f t="shared" si="150"/>
        <v>5994.29</v>
      </c>
      <c r="AB86" s="4887">
        <f>'Direct sales IPT details'!AB211</f>
        <v>0</v>
      </c>
      <c r="AC86" s="4891">
        <f>'Direct sales IPT details'!AC211</f>
        <v>0</v>
      </c>
      <c r="AD86" s="4901">
        <f>'Direct sales IPT details'!AD211</f>
        <v>0</v>
      </c>
      <c r="AE86" s="4894">
        <f>'Direct sales IPT details'!AE211</f>
        <v>5721.35</v>
      </c>
      <c r="AF86" s="4891">
        <f>'Direct sales IPT details'!AF211</f>
        <v>0</v>
      </c>
      <c r="AG86" s="4891">
        <f>'Direct sales IPT details'!AG211</f>
        <v>0</v>
      </c>
      <c r="AH86" s="4901">
        <f>'Direct sales IPT details'!AH211</f>
        <v>0</v>
      </c>
      <c r="AI86" s="4894">
        <f>'Direct sales IPT details'!AI211</f>
        <v>5721.35</v>
      </c>
      <c r="AJ86" s="4891">
        <f>'Direct sales IPT details'!AJ211</f>
        <v>0</v>
      </c>
      <c r="AK86" s="4891">
        <f>'Direct sales IPT details'!AK211</f>
        <v>0</v>
      </c>
      <c r="AL86" s="4885">
        <f>'Direct sales IPT details'!AL211</f>
        <v>0</v>
      </c>
      <c r="AM86" s="4885">
        <f>'Direct sales IPT details'!AM211</f>
        <v>0</v>
      </c>
      <c r="AN86" s="4883">
        <f>'Direct sales IPT details'!AN211</f>
        <v>0</v>
      </c>
      <c r="AO86" s="4884">
        <f>'Direct sales IPT details'!AO211</f>
        <v>5721.35</v>
      </c>
      <c r="AP86" s="4891">
        <f>'Direct sales IPT details'!AP211</f>
        <v>0</v>
      </c>
      <c r="AQ86" s="4891">
        <f>'Direct sales IPT details'!AQ211</f>
        <v>0</v>
      </c>
      <c r="AR86" s="4894">
        <f>'Direct sales IPT details'!AR211</f>
        <v>0</v>
      </c>
      <c r="AS86" s="4894">
        <f>'Direct sales IPT details'!AS211</f>
        <v>5721.35</v>
      </c>
      <c r="AT86" s="4887">
        <f>'Direct sales IPT details'!AT211</f>
        <v>0</v>
      </c>
      <c r="AU86" s="4891">
        <f>'Direct sales IPT details'!AU211</f>
        <v>0</v>
      </c>
      <c r="AV86" s="4894">
        <f>'Direct sales IPT details'!AV211</f>
        <v>0</v>
      </c>
      <c r="AW86" s="4894">
        <f>'Direct sales IPT details'!AW211</f>
        <v>5721.35</v>
      </c>
      <c r="AX86" s="4887">
        <f>'Direct sales IPT details'!AX211</f>
        <v>0</v>
      </c>
      <c r="AY86" s="4891">
        <f>'Direct sales IPT details'!AY211</f>
        <v>0</v>
      </c>
      <c r="AZ86" s="4892">
        <f>'Direct sales IPT details'!AZ211</f>
        <v>0</v>
      </c>
      <c r="BA86" s="4892">
        <f>'Direct sales IPT details'!BA211</f>
        <v>0</v>
      </c>
      <c r="BB86" s="4897">
        <f>'Direct sales IPT details'!BB211</f>
        <v>0</v>
      </c>
      <c r="BC86" s="4893">
        <f>'Direct sales IPT details'!BC211</f>
        <v>0</v>
      </c>
      <c r="BD86" s="4883">
        <f>'Direct sales IPT details'!BD211</f>
        <v>0</v>
      </c>
      <c r="BE86" s="4884">
        <f>'Direct sales IPT details'!BE211</f>
        <v>5721.35</v>
      </c>
      <c r="BF86" s="533"/>
      <c r="BG86" s="533"/>
      <c r="BH86" s="533"/>
      <c r="BI86" s="533"/>
      <c r="BR86" s="533"/>
      <c r="BS86" s="533"/>
      <c r="BT86" s="533"/>
      <c r="BU86" s="533"/>
      <c r="BV86" s="533"/>
      <c r="BW86" s="533"/>
      <c r="BX86" s="533"/>
      <c r="BY86" s="533"/>
      <c r="BZ86" s="533"/>
      <c r="CA86" s="533"/>
      <c r="CB86" s="533"/>
      <c r="CC86" s="533"/>
    </row>
    <row r="87" spans="2:81" ht="19.5" thickBot="1" x14ac:dyDescent="0.3">
      <c r="B87" s="5994"/>
      <c r="C87" s="5580" t="s">
        <v>143</v>
      </c>
      <c r="E87" s="5019">
        <f>E89+E90</f>
        <v>1080.2</v>
      </c>
      <c r="F87" s="5019">
        <v>3</v>
      </c>
      <c r="G87" s="5019">
        <f>G89+G90</f>
        <v>11584.630000000001</v>
      </c>
      <c r="H87" s="1485">
        <f t="shared" si="159"/>
        <v>3</v>
      </c>
      <c r="I87" s="1486">
        <f t="shared" si="160"/>
        <v>12664.830000000002</v>
      </c>
      <c r="J87"/>
      <c r="K87" s="5019">
        <f>K89+K90</f>
        <v>0</v>
      </c>
      <c r="L87" s="4887">
        <f>+L82+L84</f>
        <v>3</v>
      </c>
      <c r="M87" s="4885">
        <f t="shared" si="200"/>
        <v>12664.830000000002</v>
      </c>
      <c r="N87" s="5019">
        <f>N89+N90</f>
        <v>2</v>
      </c>
      <c r="O87" s="5019">
        <f>O89+O90</f>
        <v>7997.73</v>
      </c>
      <c r="P87" s="4894">
        <f t="shared" ref="P87" si="214">L87+N87</f>
        <v>5</v>
      </c>
      <c r="Q87" s="4894">
        <f t="shared" ref="Q87" si="215">M87+O87</f>
        <v>20662.560000000001</v>
      </c>
      <c r="R87" s="5019">
        <f>R89+R90</f>
        <v>0</v>
      </c>
      <c r="S87" s="5019">
        <f>S89+S90</f>
        <v>0</v>
      </c>
      <c r="T87" s="1548">
        <f t="shared" si="145"/>
        <v>5</v>
      </c>
      <c r="U87" s="1548">
        <f t="shared" si="146"/>
        <v>20662.560000000001</v>
      </c>
      <c r="V87" s="5019">
        <f>V89+V90</f>
        <v>1</v>
      </c>
      <c r="W87" s="5019">
        <f>W89+W90</f>
        <v>3223.26</v>
      </c>
      <c r="X87" s="4887">
        <f t="shared" si="147"/>
        <v>3</v>
      </c>
      <c r="Y87" s="4892">
        <f t="shared" si="148"/>
        <v>11220.99</v>
      </c>
      <c r="Z87" s="4887">
        <f t="shared" si="149"/>
        <v>6</v>
      </c>
      <c r="AA87" s="4893">
        <f t="shared" si="150"/>
        <v>23885.82</v>
      </c>
      <c r="AB87" s="4887">
        <f t="shared" ref="AB87:BE87" si="216">+AB82+AB84</f>
        <v>0</v>
      </c>
      <c r="AC87" s="4887">
        <f t="shared" si="216"/>
        <v>7253.71</v>
      </c>
      <c r="AD87" s="4887">
        <f t="shared" si="216"/>
        <v>4</v>
      </c>
      <c r="AE87" s="4887">
        <f t="shared" si="216"/>
        <v>27278.739999999998</v>
      </c>
      <c r="AF87" s="4887">
        <f t="shared" si="216"/>
        <v>0</v>
      </c>
      <c r="AG87" s="4887">
        <f t="shared" si="216"/>
        <v>0</v>
      </c>
      <c r="AH87" s="4887">
        <f t="shared" si="216"/>
        <v>4</v>
      </c>
      <c r="AI87" s="4887">
        <f t="shared" si="216"/>
        <v>27278.739999999998</v>
      </c>
      <c r="AJ87" s="4887">
        <f t="shared" si="216"/>
        <v>0</v>
      </c>
      <c r="AK87" s="4887">
        <f t="shared" si="216"/>
        <v>0</v>
      </c>
      <c r="AL87" s="4887">
        <f t="shared" si="216"/>
        <v>0</v>
      </c>
      <c r="AM87" s="4887">
        <f t="shared" si="216"/>
        <v>7253.71</v>
      </c>
      <c r="AN87" s="4887">
        <f t="shared" si="216"/>
        <v>4</v>
      </c>
      <c r="AO87" s="4887">
        <f t="shared" si="216"/>
        <v>27278.739999999998</v>
      </c>
      <c r="AP87" s="4887">
        <f t="shared" si="216"/>
        <v>0</v>
      </c>
      <c r="AQ87" s="4887">
        <f t="shared" si="216"/>
        <v>0</v>
      </c>
      <c r="AR87" s="4887">
        <f t="shared" si="216"/>
        <v>4</v>
      </c>
      <c r="AS87" s="4887">
        <f t="shared" si="216"/>
        <v>27278.739999999998</v>
      </c>
      <c r="AT87" s="4887">
        <f t="shared" si="216"/>
        <v>0</v>
      </c>
      <c r="AU87" s="4887">
        <f t="shared" si="216"/>
        <v>0</v>
      </c>
      <c r="AV87" s="4887">
        <f t="shared" si="216"/>
        <v>4</v>
      </c>
      <c r="AW87" s="4887">
        <f t="shared" si="216"/>
        <v>27278.739999999998</v>
      </c>
      <c r="AX87" s="4887">
        <f t="shared" si="216"/>
        <v>0</v>
      </c>
      <c r="AY87" s="4887">
        <f t="shared" si="216"/>
        <v>0</v>
      </c>
      <c r="AZ87" s="4887">
        <f t="shared" si="216"/>
        <v>0</v>
      </c>
      <c r="BA87" s="4887">
        <f t="shared" si="216"/>
        <v>0</v>
      </c>
      <c r="BB87" s="4887">
        <f t="shared" si="216"/>
        <v>0</v>
      </c>
      <c r="BC87" s="4887">
        <f t="shared" si="216"/>
        <v>7253.71</v>
      </c>
      <c r="BD87" s="4887">
        <f t="shared" si="216"/>
        <v>4</v>
      </c>
      <c r="BE87" s="4887">
        <f t="shared" si="216"/>
        <v>27278.739999999998</v>
      </c>
      <c r="BF87" s="533"/>
      <c r="BG87" s="533"/>
      <c r="BH87" s="533"/>
      <c r="BI87" s="533"/>
      <c r="BR87" s="533"/>
      <c r="BS87" s="533"/>
      <c r="BT87" s="533"/>
      <c r="BU87" s="533"/>
      <c r="BV87" s="533"/>
      <c r="BW87" s="533"/>
      <c r="BX87" s="533"/>
      <c r="BY87" s="533"/>
      <c r="BZ87" s="533"/>
      <c r="CA87" s="533"/>
      <c r="CB87" s="533"/>
      <c r="CC87" s="533"/>
    </row>
    <row r="88" spans="2:81" ht="16.5" thickBot="1" x14ac:dyDescent="0.3">
      <c r="B88" s="5994"/>
      <c r="H88" s="1485">
        <f t="shared" si="159"/>
        <v>0</v>
      </c>
      <c r="I88" s="1486">
        <f t="shared" si="160"/>
        <v>0</v>
      </c>
      <c r="J88"/>
      <c r="K88"/>
      <c r="BF88" s="533"/>
      <c r="BG88" s="533"/>
      <c r="BH88" s="533"/>
      <c r="BI88" s="533"/>
      <c r="BR88" s="533"/>
      <c r="BS88" s="533"/>
      <c r="BT88" s="533"/>
      <c r="BU88" s="533"/>
      <c r="BV88" s="533"/>
      <c r="BW88" s="533"/>
      <c r="BX88" s="533"/>
      <c r="BY88" s="533"/>
      <c r="BZ88" s="533"/>
      <c r="CA88" s="533"/>
      <c r="CB88" s="533"/>
      <c r="CC88" s="533"/>
    </row>
    <row r="89" spans="2:81" ht="16.5" thickBot="1" x14ac:dyDescent="0.3">
      <c r="B89" s="5994"/>
      <c r="C89" s="5581" t="s">
        <v>1345</v>
      </c>
      <c r="D89" s="4891">
        <v>0</v>
      </c>
      <c r="E89" s="4891">
        <v>0</v>
      </c>
      <c r="F89" s="4891">
        <v>3</v>
      </c>
      <c r="G89" s="4891">
        <v>10196</v>
      </c>
      <c r="H89" s="1485">
        <f t="shared" si="159"/>
        <v>3</v>
      </c>
      <c r="I89" s="1486">
        <f t="shared" si="160"/>
        <v>10196</v>
      </c>
      <c r="J89" s="4891"/>
      <c r="K89" s="4891"/>
      <c r="L89" s="4891">
        <f t="shared" ref="L89:L90" si="217">+D89+F89+J89</f>
        <v>3</v>
      </c>
      <c r="M89" s="4891">
        <f t="shared" ref="M89:M90" si="218">+E89+G89+K89</f>
        <v>10196</v>
      </c>
      <c r="N89" s="4891">
        <v>2</v>
      </c>
      <c r="O89" s="4891">
        <v>6535</v>
      </c>
      <c r="P89" s="4891">
        <f t="shared" ref="P89:P90" si="219">L89+N89</f>
        <v>5</v>
      </c>
      <c r="Q89" s="4891">
        <f t="shared" ref="Q89:Q90" si="220">M89+O89</f>
        <v>16731</v>
      </c>
      <c r="R89" s="4891"/>
      <c r="S89" s="4891"/>
      <c r="T89" s="4891">
        <f t="shared" ref="T89:T90" si="221">P89+R89</f>
        <v>5</v>
      </c>
      <c r="U89" s="4891">
        <f t="shared" ref="U89:U90" si="222">Q89+S89</f>
        <v>16731</v>
      </c>
      <c r="V89" s="4891">
        <v>1</v>
      </c>
      <c r="W89" s="4891">
        <v>3223.26</v>
      </c>
      <c r="X89" s="4891">
        <f t="shared" si="147"/>
        <v>3</v>
      </c>
      <c r="Y89" s="4891">
        <f t="shared" si="148"/>
        <v>9758.26</v>
      </c>
      <c r="Z89" s="4891">
        <f t="shared" si="149"/>
        <v>6</v>
      </c>
      <c r="AA89" s="4891">
        <f t="shared" si="150"/>
        <v>19954.260000000002</v>
      </c>
      <c r="AB89" s="4891">
        <f t="shared" ref="AB89:BD89" si="223">+AB87-AB90</f>
        <v>0</v>
      </c>
      <c r="AC89" s="4891" t="e">
        <f t="shared" si="223"/>
        <v>#REF!</v>
      </c>
      <c r="AD89" s="4891" t="e">
        <f t="shared" si="223"/>
        <v>#REF!</v>
      </c>
      <c r="AE89" s="4891" t="e">
        <f t="shared" si="223"/>
        <v>#REF!</v>
      </c>
      <c r="AF89" s="4891" t="e">
        <f t="shared" si="223"/>
        <v>#REF!</v>
      </c>
      <c r="AG89" s="4891" t="e">
        <f t="shared" si="223"/>
        <v>#REF!</v>
      </c>
      <c r="AH89" s="4891" t="e">
        <f t="shared" si="223"/>
        <v>#REF!</v>
      </c>
      <c r="AI89" s="4891" t="e">
        <f t="shared" si="223"/>
        <v>#REF!</v>
      </c>
      <c r="AJ89" s="4891" t="e">
        <f t="shared" si="223"/>
        <v>#REF!</v>
      </c>
      <c r="AK89" s="4891" t="e">
        <f t="shared" si="223"/>
        <v>#REF!</v>
      </c>
      <c r="AL89" s="4891" t="e">
        <f t="shared" si="223"/>
        <v>#REF!</v>
      </c>
      <c r="AM89" s="4891" t="e">
        <f t="shared" si="223"/>
        <v>#REF!</v>
      </c>
      <c r="AN89" s="4891" t="e">
        <f t="shared" si="223"/>
        <v>#REF!</v>
      </c>
      <c r="AO89" s="4891" t="e">
        <f t="shared" si="223"/>
        <v>#REF!</v>
      </c>
      <c r="AP89" s="4891" t="e">
        <f t="shared" si="223"/>
        <v>#REF!</v>
      </c>
      <c r="AQ89" s="4891">
        <f t="shared" si="223"/>
        <v>-2355.6999999999998</v>
      </c>
      <c r="AR89" s="4891" t="e">
        <f t="shared" si="223"/>
        <v>#REF!</v>
      </c>
      <c r="AS89" s="4891" t="e">
        <f t="shared" si="223"/>
        <v>#REF!</v>
      </c>
      <c r="AT89" s="4891">
        <f t="shared" si="223"/>
        <v>0</v>
      </c>
      <c r="AU89" s="4891">
        <f t="shared" si="223"/>
        <v>-3091.4</v>
      </c>
      <c r="AV89" s="4891">
        <f t="shared" si="223"/>
        <v>4</v>
      </c>
      <c r="AW89" s="4891">
        <f t="shared" si="223"/>
        <v>-44864.979999999989</v>
      </c>
      <c r="AX89" s="4891">
        <f t="shared" si="223"/>
        <v>0</v>
      </c>
      <c r="AY89" s="4891">
        <f t="shared" si="223"/>
        <v>-5587.7999999999993</v>
      </c>
      <c r="AZ89" s="4891">
        <f t="shared" si="223"/>
        <v>0</v>
      </c>
      <c r="BA89" s="4891">
        <f t="shared" si="223"/>
        <v>-11034.9</v>
      </c>
      <c r="BB89" s="4891">
        <f t="shared" si="223"/>
        <v>0</v>
      </c>
      <c r="BC89" s="4891" t="e">
        <f t="shared" si="223"/>
        <v>#REF!</v>
      </c>
      <c r="BD89" s="4891">
        <f t="shared" si="223"/>
        <v>4</v>
      </c>
      <c r="BE89" s="4884" t="e">
        <f>E89+G89+K89+O89+S89+W89+AC89+AG89+AK89+AQ89+AU89+AY89</f>
        <v>#REF!</v>
      </c>
      <c r="BF89" s="533"/>
      <c r="BG89" s="533"/>
      <c r="BH89" s="533"/>
      <c r="BI89" s="533"/>
      <c r="BR89" s="533"/>
      <c r="BS89" s="533"/>
      <c r="BT89" s="533"/>
      <c r="BU89" s="533"/>
      <c r="BV89" s="533"/>
      <c r="BW89" s="533"/>
      <c r="BX89" s="533"/>
      <c r="BY89" s="533"/>
      <c r="BZ89" s="533"/>
      <c r="CA89" s="533"/>
      <c r="CB89" s="533"/>
      <c r="CC89" s="533"/>
    </row>
    <row r="90" spans="2:81" ht="15.75" x14ac:dyDescent="0.25">
      <c r="B90" s="5994"/>
      <c r="C90" s="5581" t="s">
        <v>1344</v>
      </c>
      <c r="D90" s="4891">
        <v>0</v>
      </c>
      <c r="E90" s="4891">
        <v>1080.2</v>
      </c>
      <c r="F90" s="4891"/>
      <c r="G90" s="4891">
        <v>1388.63</v>
      </c>
      <c r="H90" s="1485">
        <f t="shared" si="159"/>
        <v>0</v>
      </c>
      <c r="I90" s="1486">
        <f t="shared" si="160"/>
        <v>2468.83</v>
      </c>
      <c r="J90" s="4891"/>
      <c r="K90" s="4891"/>
      <c r="L90" s="4885">
        <f t="shared" si="217"/>
        <v>0</v>
      </c>
      <c r="M90" s="4885">
        <f t="shared" si="218"/>
        <v>2468.83</v>
      </c>
      <c r="N90" s="4891"/>
      <c r="O90" s="4891">
        <v>1462.73</v>
      </c>
      <c r="P90" s="4891">
        <f t="shared" si="219"/>
        <v>0</v>
      </c>
      <c r="Q90" s="4891">
        <f t="shared" si="220"/>
        <v>3931.56</v>
      </c>
      <c r="R90" s="4891"/>
      <c r="S90" s="4891"/>
      <c r="T90" s="4891">
        <f t="shared" si="221"/>
        <v>0</v>
      </c>
      <c r="U90" s="4891">
        <f t="shared" si="222"/>
        <v>3931.56</v>
      </c>
      <c r="V90" s="4891"/>
      <c r="W90" s="4891"/>
      <c r="X90" s="4892">
        <f t="shared" si="147"/>
        <v>0</v>
      </c>
      <c r="Y90" s="4892">
        <f t="shared" si="148"/>
        <v>1462.73</v>
      </c>
      <c r="Z90" s="4897">
        <f t="shared" si="149"/>
        <v>0</v>
      </c>
      <c r="AA90" s="4893">
        <f t="shared" si="150"/>
        <v>3931.56</v>
      </c>
      <c r="AB90" s="4891"/>
      <c r="AC90" s="4891" t="e">
        <f>+#REF!+#REF!+#REF!</f>
        <v>#REF!</v>
      </c>
      <c r="AD90" s="4891" t="e">
        <f>+#REF!+#REF!+#REF!</f>
        <v>#REF!</v>
      </c>
      <c r="AE90" s="4891" t="e">
        <f>+#REF!+#REF!+#REF!</f>
        <v>#REF!</v>
      </c>
      <c r="AF90" s="4891" t="e">
        <f>+#REF!+#REF!+#REF!</f>
        <v>#REF!</v>
      </c>
      <c r="AG90" s="4891" t="e">
        <f>+#REF!+#REF!+#REF!</f>
        <v>#REF!</v>
      </c>
      <c r="AH90" s="4891" t="e">
        <f>+#REF!+#REF!+#REF!</f>
        <v>#REF!</v>
      </c>
      <c r="AI90" s="4891" t="e">
        <f>+#REF!+#REF!+#REF!</f>
        <v>#REF!</v>
      </c>
      <c r="AJ90" s="4891" t="e">
        <f>+#REF!+#REF!+#REF!</f>
        <v>#REF!</v>
      </c>
      <c r="AK90" s="4891" t="e">
        <f>+#REF!+#REF!+#REF!</f>
        <v>#REF!</v>
      </c>
      <c r="AL90" s="4885" t="e">
        <f t="shared" si="164"/>
        <v>#REF!</v>
      </c>
      <c r="AM90" s="4892" t="e">
        <f t="shared" si="164"/>
        <v>#REF!</v>
      </c>
      <c r="AN90" s="4894" t="e">
        <f t="shared" si="165"/>
        <v>#REF!</v>
      </c>
      <c r="AO90" s="4894" t="e">
        <f t="shared" si="165"/>
        <v>#REF!</v>
      </c>
      <c r="AP90" s="4891" t="e">
        <f>+#REF!+#REF!+#REF!</f>
        <v>#REF!</v>
      </c>
      <c r="AQ90" s="4890">
        <v>2355.6999999999998</v>
      </c>
      <c r="AR90" s="4894" t="e">
        <f t="shared" si="191"/>
        <v>#REF!</v>
      </c>
      <c r="AS90" s="4894" t="e">
        <f t="shared" si="191"/>
        <v>#REF!</v>
      </c>
      <c r="AT90" s="4890"/>
      <c r="AU90" s="4891">
        <v>3091.4</v>
      </c>
      <c r="AV90" s="4894">
        <v>0</v>
      </c>
      <c r="AW90" s="4894">
        <v>72143.719999999987</v>
      </c>
      <c r="AX90" s="4890">
        <v>0</v>
      </c>
      <c r="AY90" s="4891">
        <v>5587.7999999999993</v>
      </c>
      <c r="AZ90" s="4892"/>
      <c r="BA90" s="4892">
        <f t="shared" si="170"/>
        <v>11034.9</v>
      </c>
      <c r="BB90" s="4897"/>
      <c r="BC90" s="4893" t="e">
        <f t="shared" ref="BC90" si="224">AM90+BA90</f>
        <v>#REF!</v>
      </c>
      <c r="BD90" s="4894"/>
      <c r="BE90" s="4884" t="e">
        <f>E90+G90+K90+O90+S90+W90+AC90+AG90+AK90+AQ90+AU90+AY90</f>
        <v>#REF!</v>
      </c>
      <c r="BF90" s="533"/>
      <c r="BG90" s="533"/>
      <c r="BH90" s="533"/>
      <c r="BI90" s="533"/>
      <c r="BR90" s="533"/>
      <c r="BS90" s="533"/>
      <c r="BT90" s="533"/>
      <c r="BU90" s="533"/>
      <c r="BV90" s="533"/>
      <c r="BW90" s="533"/>
      <c r="BX90" s="533"/>
      <c r="BY90" s="533"/>
      <c r="BZ90" s="533"/>
      <c r="CA90" s="533"/>
      <c r="CB90" s="533"/>
      <c r="CC90" s="533"/>
    </row>
    <row r="91" spans="2:81" x14ac:dyDescent="0.25">
      <c r="J91"/>
      <c r="K91"/>
      <c r="BH91" s="533"/>
      <c r="BI91" s="533"/>
    </row>
    <row r="92" spans="2:81" ht="23.25" x14ac:dyDescent="0.35">
      <c r="B92" s="4905" t="s">
        <v>2126</v>
      </c>
      <c r="J92"/>
      <c r="K92"/>
    </row>
    <row r="93" spans="2:81" x14ac:dyDescent="0.25">
      <c r="J93"/>
      <c r="K93"/>
    </row>
    <row r="94" spans="2:81" x14ac:dyDescent="0.25">
      <c r="J94"/>
      <c r="K94"/>
    </row>
    <row r="95" spans="2:81" x14ac:dyDescent="0.25">
      <c r="J95"/>
      <c r="K95"/>
    </row>
    <row r="96" spans="2:81" x14ac:dyDescent="0.25">
      <c r="J96"/>
      <c r="K96"/>
    </row>
    <row r="97" spans="10:11" x14ac:dyDescent="0.25">
      <c r="J97"/>
      <c r="K97"/>
    </row>
    <row r="98" spans="10:11" x14ac:dyDescent="0.25">
      <c r="J98"/>
      <c r="K98"/>
    </row>
    <row r="99" spans="10:11" x14ac:dyDescent="0.25">
      <c r="J99"/>
      <c r="K99"/>
    </row>
    <row r="100" spans="10:11" x14ac:dyDescent="0.25">
      <c r="J100"/>
      <c r="K100"/>
    </row>
    <row r="101" spans="10:11" x14ac:dyDescent="0.25">
      <c r="J101"/>
      <c r="K101"/>
    </row>
    <row r="102" spans="10:11" x14ac:dyDescent="0.25">
      <c r="J102"/>
      <c r="K102"/>
    </row>
    <row r="103" spans="10:11" x14ac:dyDescent="0.25">
      <c r="J103"/>
      <c r="K103"/>
    </row>
    <row r="104" spans="10:11" x14ac:dyDescent="0.25">
      <c r="J104"/>
      <c r="K104"/>
    </row>
    <row r="105" spans="10:11" x14ac:dyDescent="0.25">
      <c r="J105"/>
      <c r="K105"/>
    </row>
    <row r="106" spans="10:11" x14ac:dyDescent="0.25">
      <c r="J106"/>
      <c r="K106"/>
    </row>
    <row r="107" spans="10:11" x14ac:dyDescent="0.25">
      <c r="J107"/>
      <c r="K107"/>
    </row>
    <row r="108" spans="10:11" x14ac:dyDescent="0.25">
      <c r="J108"/>
      <c r="K108"/>
    </row>
    <row r="109" spans="10:11" x14ac:dyDescent="0.25">
      <c r="J109"/>
      <c r="K109"/>
    </row>
    <row r="110" spans="10:11" x14ac:dyDescent="0.25">
      <c r="J110"/>
      <c r="K110"/>
    </row>
    <row r="111" spans="10:11" x14ac:dyDescent="0.25">
      <c r="J111"/>
      <c r="K111"/>
    </row>
    <row r="112" spans="10:11" x14ac:dyDescent="0.25">
      <c r="J112"/>
      <c r="K112"/>
    </row>
    <row r="113" spans="10:11" x14ac:dyDescent="0.25">
      <c r="J113"/>
      <c r="K113"/>
    </row>
    <row r="114" spans="10:11" x14ac:dyDescent="0.25">
      <c r="J114"/>
      <c r="K114"/>
    </row>
    <row r="115" spans="10:11" x14ac:dyDescent="0.25">
      <c r="J115"/>
      <c r="K115"/>
    </row>
    <row r="116" spans="10:11" x14ac:dyDescent="0.25">
      <c r="J116"/>
      <c r="K116"/>
    </row>
  </sheetData>
  <mergeCells count="39">
    <mergeCell ref="B69:B70"/>
    <mergeCell ref="B72:B90"/>
    <mergeCell ref="B52:B53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  <mergeCell ref="AV2:AW2"/>
    <mergeCell ref="B37:B50"/>
    <mergeCell ref="Z2:AA2"/>
    <mergeCell ref="D2:E2"/>
    <mergeCell ref="F2:G2"/>
    <mergeCell ref="H2:I2"/>
    <mergeCell ref="J2:K2"/>
    <mergeCell ref="L2:M2"/>
    <mergeCell ref="B22:B26"/>
    <mergeCell ref="B27:B32"/>
    <mergeCell ref="B16:B17"/>
    <mergeCell ref="AB2:AC2"/>
    <mergeCell ref="AD2:AE2"/>
    <mergeCell ref="N2:O2"/>
    <mergeCell ref="P2:Q2"/>
    <mergeCell ref="R2:S2"/>
    <mergeCell ref="B54:B67"/>
    <mergeCell ref="B4:B9"/>
    <mergeCell ref="B10:B15"/>
    <mergeCell ref="B19:B21"/>
    <mergeCell ref="AT2:AU2"/>
    <mergeCell ref="T2:U2"/>
    <mergeCell ref="V2:W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-0.249977111117893"/>
    <pageSetUpPr fitToPage="1"/>
  </sheetPr>
  <dimension ref="A1:BN245"/>
  <sheetViews>
    <sheetView zoomScaleNormal="100" workbookViewId="0">
      <pane xSplit="4" ySplit="4" topLeftCell="N123" activePane="bottomRight" state="frozen"/>
      <selection pane="topRight" activeCell="E1" sqref="E1"/>
      <selection pane="bottomLeft" activeCell="A5" sqref="A5"/>
      <selection pane="bottomRight" activeCell="X196" sqref="X196"/>
    </sheetView>
  </sheetViews>
  <sheetFormatPr defaultRowHeight="15" x14ac:dyDescent="0.25"/>
  <cols>
    <col min="1" max="1" width="3" style="147" customWidth="1"/>
    <col min="2" max="2" width="78.28515625" bestFit="1" customWidth="1"/>
    <col min="3" max="3" width="12.28515625" bestFit="1" customWidth="1"/>
    <col min="4" max="4" width="13.7109375" style="93" bestFit="1" customWidth="1"/>
    <col min="5" max="5" width="10.5703125" style="87" customWidth="1"/>
    <col min="6" max="6" width="13.7109375" style="93" customWidth="1"/>
    <col min="7" max="7" width="10.5703125" style="87" customWidth="1"/>
    <col min="8" max="8" width="10.5703125" style="93" customWidth="1"/>
    <col min="9" max="9" width="9.5703125" style="87" customWidth="1"/>
    <col min="10" max="10" width="9.7109375" style="93" customWidth="1"/>
    <col min="11" max="11" width="8.85546875" style="87" bestFit="1" customWidth="1"/>
    <col min="12" max="12" width="8.7109375" style="93" bestFit="1" customWidth="1"/>
    <col min="13" max="13" width="9" style="87" customWidth="1"/>
    <col min="14" max="14" width="9" style="93" customWidth="1"/>
    <col min="15" max="15" width="10.42578125" style="203" bestFit="1" customWidth="1"/>
    <col min="16" max="16" width="10.42578125" style="93" bestFit="1" customWidth="1"/>
    <col min="17" max="17" width="12.28515625" style="87" hidden="1" customWidth="1"/>
    <col min="18" max="18" width="10.7109375" style="93" hidden="1" customWidth="1"/>
    <col min="19" max="19" width="10.42578125" style="87" bestFit="1" customWidth="1"/>
    <col min="20" max="20" width="10.42578125" bestFit="1" customWidth="1"/>
    <col min="21" max="21" width="12.28515625" style="87" hidden="1" customWidth="1"/>
    <col min="22" max="22" width="10.7109375" hidden="1" customWidth="1"/>
    <col min="23" max="23" width="8.85546875" customWidth="1"/>
    <col min="24" max="24" width="8.7109375" bestFit="1" customWidth="1"/>
    <col min="25" max="28" width="9" customWidth="1"/>
    <col min="29" max="29" width="10.85546875" hidden="1" customWidth="1"/>
    <col min="30" max="33" width="9.140625" hidden="1" customWidth="1"/>
    <col min="34" max="34" width="10.42578125" hidden="1" customWidth="1"/>
    <col min="35" max="42" width="9.140625" hidden="1" customWidth="1"/>
    <col min="43" max="44" width="10.42578125" hidden="1" customWidth="1"/>
    <col min="45" max="46" width="9.140625" hidden="1" customWidth="1"/>
    <col min="47" max="48" width="10.7109375" hidden="1" customWidth="1"/>
    <col min="49" max="50" width="9.140625" hidden="1" customWidth="1"/>
    <col min="51" max="51" width="8.85546875" hidden="1" customWidth="1"/>
    <col min="52" max="52" width="8" hidden="1" customWidth="1"/>
    <col min="53" max="58" width="9" hidden="1" customWidth="1"/>
    <col min="59" max="59" width="11.5703125" hidden="1" customWidth="1"/>
    <col min="60" max="60" width="11.5703125" bestFit="1" customWidth="1"/>
    <col min="61" max="62" width="10.28515625" bestFit="1" customWidth="1"/>
    <col min="63" max="64" width="10.7109375" bestFit="1" customWidth="1"/>
  </cols>
  <sheetData>
    <row r="1" spans="1:66" ht="22.9" x14ac:dyDescent="0.4">
      <c r="A1" s="93"/>
      <c r="B1" s="389" t="s">
        <v>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527"/>
      <c r="P1" s="45"/>
      <c r="Q1" s="45"/>
      <c r="R1" s="45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</row>
    <row r="2" spans="1:66" thickBot="1" x14ac:dyDescent="0.35">
      <c r="A2" s="93"/>
      <c r="B2" s="45"/>
      <c r="C2" s="45"/>
      <c r="D2" s="45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32">
        <v>30</v>
      </c>
      <c r="L2" s="32">
        <v>30</v>
      </c>
      <c r="M2" s="32">
        <f>+I2+K2</f>
        <v>91</v>
      </c>
      <c r="N2" s="32">
        <f>+J2+L2</f>
        <v>91</v>
      </c>
      <c r="O2" s="1555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32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97">
        <f>+U2+W2</f>
        <v>183</v>
      </c>
      <c r="AB2" s="32">
        <f>+V2+X2</f>
        <v>183</v>
      </c>
      <c r="AC2" s="32">
        <v>31</v>
      </c>
      <c r="AD2" s="32">
        <v>31</v>
      </c>
      <c r="AE2" s="32">
        <f>+AA2+AC2</f>
        <v>214</v>
      </c>
      <c r="AF2" s="32">
        <f>+AB2+AD2</f>
        <v>214</v>
      </c>
      <c r="AG2" s="32">
        <v>30</v>
      </c>
      <c r="AH2" s="32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32">
        <f>AI2+AK2</f>
        <v>275</v>
      </c>
      <c r="AP2" s="32">
        <f>AJ2+AL2</f>
        <v>275</v>
      </c>
      <c r="AQ2" s="32">
        <v>31</v>
      </c>
      <c r="AR2" s="32">
        <v>31</v>
      </c>
      <c r="AS2" s="32">
        <f>+AO2+AQ2</f>
        <v>306</v>
      </c>
      <c r="AT2" s="32">
        <f>+AP2+AR2</f>
        <v>306</v>
      </c>
      <c r="AU2" s="32">
        <v>28</v>
      </c>
      <c r="AV2" s="32">
        <v>28</v>
      </c>
      <c r="AW2" s="32">
        <f>+AS2+AU2</f>
        <v>334</v>
      </c>
      <c r="AX2" s="32">
        <f>+AT2+AV2</f>
        <v>334</v>
      </c>
      <c r="AY2" s="32">
        <v>31</v>
      </c>
      <c r="AZ2" s="32">
        <v>31</v>
      </c>
      <c r="BA2" s="32">
        <f>+AQ2+AU2+AY2</f>
        <v>90</v>
      </c>
      <c r="BB2" s="32">
        <f>+AR2+AV2+AZ2</f>
        <v>90</v>
      </c>
      <c r="BC2" s="97">
        <f>+AM2+BA2</f>
        <v>182</v>
      </c>
      <c r="BD2" s="97">
        <f>+AN2+BB2</f>
        <v>182</v>
      </c>
      <c r="BE2" s="32">
        <f>+AW2+AY2</f>
        <v>365</v>
      </c>
      <c r="BF2" s="32">
        <f>+AX2+AZ2</f>
        <v>365</v>
      </c>
    </row>
    <row r="3" spans="1:66" ht="15.75" thickBot="1" x14ac:dyDescent="0.3">
      <c r="A3" s="93"/>
      <c r="B3" s="6024" t="s">
        <v>171</v>
      </c>
      <c r="C3" s="5717" t="s">
        <v>172</v>
      </c>
      <c r="D3" s="6030" t="s">
        <v>2191</v>
      </c>
      <c r="E3" s="6028" t="s">
        <v>2190</v>
      </c>
      <c r="F3" s="6029"/>
      <c r="G3" s="5760" t="s">
        <v>2242</v>
      </c>
      <c r="H3" s="5760"/>
      <c r="I3" s="5758" t="s">
        <v>14</v>
      </c>
      <c r="J3" s="5759"/>
      <c r="K3" s="5774" t="s">
        <v>2273</v>
      </c>
      <c r="L3" s="5771"/>
      <c r="M3" s="6026" t="s">
        <v>637</v>
      </c>
      <c r="N3" s="6027"/>
      <c r="O3" s="5760" t="s">
        <v>2296</v>
      </c>
      <c r="P3" s="5760"/>
      <c r="Q3" s="5758" t="s">
        <v>17</v>
      </c>
      <c r="R3" s="5759"/>
      <c r="S3" s="5760" t="s">
        <v>2299</v>
      </c>
      <c r="T3" s="5760"/>
      <c r="U3" s="5758" t="s">
        <v>18</v>
      </c>
      <c r="V3" s="5759"/>
      <c r="W3" s="5760" t="s">
        <v>2344</v>
      </c>
      <c r="X3" s="5760"/>
      <c r="Y3" s="5763" t="s">
        <v>660</v>
      </c>
      <c r="Z3" s="5764"/>
      <c r="AA3" s="5765" t="s">
        <v>657</v>
      </c>
      <c r="AB3" s="5766"/>
      <c r="AC3" s="5760" t="s">
        <v>1954</v>
      </c>
      <c r="AD3" s="5760"/>
      <c r="AE3" s="5758" t="s">
        <v>24</v>
      </c>
      <c r="AF3" s="5759"/>
      <c r="AG3" s="5760" t="s">
        <v>1970</v>
      </c>
      <c r="AH3" s="5760"/>
      <c r="AI3" s="5758" t="s">
        <v>27</v>
      </c>
      <c r="AJ3" s="5759"/>
      <c r="AK3" s="5760" t="s">
        <v>1985</v>
      </c>
      <c r="AL3" s="5760"/>
      <c r="AM3" s="5763" t="s">
        <v>662</v>
      </c>
      <c r="AN3" s="5764"/>
      <c r="AO3" s="5758" t="s">
        <v>1666</v>
      </c>
      <c r="AP3" s="5759"/>
      <c r="AQ3" s="5760" t="s">
        <v>2085</v>
      </c>
      <c r="AR3" s="5760"/>
      <c r="AS3" s="5758" t="s">
        <v>28</v>
      </c>
      <c r="AT3" s="5759"/>
      <c r="AU3" s="5760" t="s">
        <v>2099</v>
      </c>
      <c r="AV3" s="5760"/>
      <c r="AW3" s="5758" t="s">
        <v>30</v>
      </c>
      <c r="AX3" s="5759"/>
      <c r="AY3" s="5760" t="s">
        <v>2111</v>
      </c>
      <c r="AZ3" s="5760"/>
      <c r="BA3" s="5763" t="s">
        <v>663</v>
      </c>
      <c r="BB3" s="5764"/>
      <c r="BC3" s="5765" t="s">
        <v>671</v>
      </c>
      <c r="BD3" s="5766"/>
      <c r="BE3" s="5758" t="s">
        <v>1745</v>
      </c>
      <c r="BF3" s="5759"/>
    </row>
    <row r="4" spans="1:66" ht="15.75" thickBot="1" x14ac:dyDescent="0.3">
      <c r="A4" s="93"/>
      <c r="B4" s="6025"/>
      <c r="C4" s="5718"/>
      <c r="D4" s="6031"/>
      <c r="E4" s="3965" t="s">
        <v>173</v>
      </c>
      <c r="F4" s="3966" t="s">
        <v>174</v>
      </c>
      <c r="G4" s="3957" t="s">
        <v>173</v>
      </c>
      <c r="H4" s="3967" t="s">
        <v>174</v>
      </c>
      <c r="I4" s="3968" t="s">
        <v>173</v>
      </c>
      <c r="J4" s="3969" t="s">
        <v>174</v>
      </c>
      <c r="K4" s="3957" t="s">
        <v>173</v>
      </c>
      <c r="L4" s="3967" t="s">
        <v>174</v>
      </c>
      <c r="M4" s="3970" t="s">
        <v>173</v>
      </c>
      <c r="N4" s="3971" t="s">
        <v>174</v>
      </c>
      <c r="O4" s="232" t="s">
        <v>173</v>
      </c>
      <c r="P4" s="161" t="s">
        <v>174</v>
      </c>
      <c r="Q4" s="547" t="s">
        <v>173</v>
      </c>
      <c r="R4" s="163" t="s">
        <v>174</v>
      </c>
      <c r="S4" s="232" t="s">
        <v>173</v>
      </c>
      <c r="T4" s="161" t="s">
        <v>174</v>
      </c>
      <c r="U4" s="547" t="s">
        <v>173</v>
      </c>
      <c r="V4" s="163" t="s">
        <v>174</v>
      </c>
      <c r="W4" s="546" t="s">
        <v>173</v>
      </c>
      <c r="X4" s="161" t="s">
        <v>174</v>
      </c>
      <c r="Y4" s="703" t="s">
        <v>173</v>
      </c>
      <c r="Z4" s="170" t="s">
        <v>174</v>
      </c>
      <c r="AA4" s="2354" t="s">
        <v>173</v>
      </c>
      <c r="AB4" s="467" t="s">
        <v>174</v>
      </c>
      <c r="AC4" s="232" t="s">
        <v>173</v>
      </c>
      <c r="AD4" s="161" t="s">
        <v>174</v>
      </c>
      <c r="AE4" s="547" t="s">
        <v>173</v>
      </c>
      <c r="AF4" s="163" t="s">
        <v>174</v>
      </c>
      <c r="AG4" s="232" t="s">
        <v>173</v>
      </c>
      <c r="AH4" s="161" t="s">
        <v>174</v>
      </c>
      <c r="AI4" s="547" t="s">
        <v>173</v>
      </c>
      <c r="AJ4" s="163" t="s">
        <v>174</v>
      </c>
      <c r="AK4" s="546" t="s">
        <v>173</v>
      </c>
      <c r="AL4" s="161" t="s">
        <v>174</v>
      </c>
      <c r="AM4" s="703" t="s">
        <v>173</v>
      </c>
      <c r="AN4" s="170" t="s">
        <v>174</v>
      </c>
      <c r="AO4" s="547" t="s">
        <v>173</v>
      </c>
      <c r="AP4" s="163" t="s">
        <v>174</v>
      </c>
      <c r="AQ4" s="232" t="s">
        <v>173</v>
      </c>
      <c r="AR4" s="161" t="s">
        <v>174</v>
      </c>
      <c r="AS4" s="547" t="s">
        <v>173</v>
      </c>
      <c r="AT4" s="163" t="s">
        <v>174</v>
      </c>
      <c r="AU4" s="232" t="s">
        <v>173</v>
      </c>
      <c r="AV4" s="161" t="s">
        <v>174</v>
      </c>
      <c r="AW4" s="547" t="s">
        <v>173</v>
      </c>
      <c r="AX4" s="163" t="s">
        <v>174</v>
      </c>
      <c r="AY4" s="232" t="s">
        <v>173</v>
      </c>
      <c r="AZ4" s="161" t="s">
        <v>174</v>
      </c>
      <c r="BA4" s="703" t="s">
        <v>173</v>
      </c>
      <c r="BB4" s="170" t="s">
        <v>174</v>
      </c>
      <c r="BC4" s="2354" t="s">
        <v>173</v>
      </c>
      <c r="BD4" s="467" t="s">
        <v>174</v>
      </c>
      <c r="BE4" s="547" t="s">
        <v>173</v>
      </c>
      <c r="BF4" s="163" t="s">
        <v>174</v>
      </c>
    </row>
    <row r="5" spans="1:66" ht="14.45" x14ac:dyDescent="0.3">
      <c r="B5" s="1795" t="s">
        <v>1890</v>
      </c>
      <c r="C5" s="819" t="s">
        <v>169</v>
      </c>
      <c r="D5" s="1449">
        <v>94.512328767123293</v>
      </c>
      <c r="E5" s="1449">
        <v>98</v>
      </c>
      <c r="F5" s="1449">
        <f>+'Maj Production Summ'!F6</f>
        <v>97.2</v>
      </c>
      <c r="G5" s="1449">
        <v>98</v>
      </c>
      <c r="H5" s="1449">
        <f>+'Maj Production Summ'!H6</f>
        <v>97.612903225806448</v>
      </c>
      <c r="I5" s="1450">
        <f>+'Maj Production Summ'!I6</f>
        <v>98</v>
      </c>
      <c r="J5" s="1450">
        <f>+'Maj Production Summ'!J6</f>
        <v>97.409836065573771</v>
      </c>
      <c r="K5" s="1449">
        <v>94</v>
      </c>
      <c r="L5" s="1449">
        <f>+'Maj Production Summ'!L6</f>
        <v>96.066666666666663</v>
      </c>
      <c r="M5" s="1533">
        <f>+'Maj Production Summ'!M6</f>
        <v>96.681318681318686</v>
      </c>
      <c r="N5" s="174">
        <f>+'Maj Production Summ'!N6</f>
        <v>96.967032967032964</v>
      </c>
      <c r="O5" s="1449">
        <v>94</v>
      </c>
      <c r="P5" s="1449">
        <f>+'Maj Production Summ'!P6</f>
        <v>95.41935483870968</v>
      </c>
      <c r="Q5" s="348">
        <f>+'Maj Production Summ'!Q6</f>
        <v>96</v>
      </c>
      <c r="R5" s="348">
        <f>+'Maj Production Summ'!R6</f>
        <v>96.573770491803273</v>
      </c>
      <c r="S5" s="1449">
        <v>94</v>
      </c>
      <c r="T5" s="1449">
        <f>+'Maj Production Summ'!T6</f>
        <v>98</v>
      </c>
      <c r="U5" s="348">
        <f>+'Maj Production Summ'!U6</f>
        <v>95.59477124183006</v>
      </c>
      <c r="V5" s="348">
        <f>+'Maj Production Summ'!V6</f>
        <v>96.862745098039213</v>
      </c>
      <c r="W5" s="1449">
        <v>92.1</v>
      </c>
      <c r="X5" s="1449">
        <f>+'Maj Production Summ'!X6</f>
        <v>98</v>
      </c>
      <c r="Y5" s="452">
        <f>+'Maj Production Summ'!Y6</f>
        <v>93.380434782608702</v>
      </c>
      <c r="Z5" s="452">
        <f>+'Maj Production Summ'!Z6</f>
        <v>97.130434782608702</v>
      </c>
      <c r="AA5" s="472">
        <f>+'Maj Production Summ'!AA6</f>
        <v>95.021857923497265</v>
      </c>
      <c r="AB5" s="472">
        <f>+'Maj Production Summ'!AB6</f>
        <v>97.049180327868854</v>
      </c>
      <c r="AC5" s="1449">
        <v>96</v>
      </c>
      <c r="AD5" s="1449">
        <f>+'Maj Production Summ'!AD6</f>
        <v>98</v>
      </c>
      <c r="AE5" s="348">
        <f>+'Maj Production Summ'!AE6</f>
        <v>95.163551401869157</v>
      </c>
      <c r="AF5" s="348">
        <f>+'Maj Production Summ'!AF6</f>
        <v>97.186915887850461</v>
      </c>
      <c r="AG5" s="1449">
        <v>96</v>
      </c>
      <c r="AH5" s="1449">
        <f>+'Maj Production Summ'!AH6</f>
        <v>94.3</v>
      </c>
      <c r="AI5" s="348">
        <f>+'Maj Production Summ'!AI6</f>
        <v>95.266393442622956</v>
      </c>
      <c r="AJ5" s="348">
        <f>+'Maj Production Summ'!AJ6</f>
        <v>96.831967213114751</v>
      </c>
      <c r="AK5" s="1449">
        <v>96</v>
      </c>
      <c r="AL5" s="1449">
        <f>+'Maj Production Summ'!AL6</f>
        <v>98</v>
      </c>
      <c r="AM5" s="452">
        <f>+'Maj Production Summ'!AM6</f>
        <v>96</v>
      </c>
      <c r="AN5" s="452">
        <f>+'Maj Production Summ'!AN6</f>
        <v>96.793478260869563</v>
      </c>
      <c r="AO5" s="348">
        <f>+'Maj Production Summ'!AO6</f>
        <v>95.349090909090904</v>
      </c>
      <c r="AP5" s="348">
        <f>+'Maj Production Summ'!AP6</f>
        <v>96.963636363636368</v>
      </c>
      <c r="AQ5" s="1449">
        <v>96</v>
      </c>
      <c r="AR5" s="1449">
        <f>+'Maj Production Summ'!AR6</f>
        <v>98</v>
      </c>
      <c r="AS5" s="348">
        <f>+'Maj Production Summ'!AS6</f>
        <v>95.415032679738559</v>
      </c>
      <c r="AT5" s="348">
        <f>+'Maj Production Summ'!AT6</f>
        <v>97.068627450980387</v>
      </c>
      <c r="AU5" s="1449">
        <v>96</v>
      </c>
      <c r="AV5" s="1449">
        <f>+'Maj Production Summ'!AV6</f>
        <v>97.678571428571431</v>
      </c>
      <c r="AW5" s="348">
        <f>+'Maj Production Summ'!AW6</f>
        <v>95.464071856287418</v>
      </c>
      <c r="AX5" s="348">
        <f>+'Maj Production Summ'!AX6</f>
        <v>97.119760479041915</v>
      </c>
      <c r="AY5" s="1449">
        <v>96</v>
      </c>
      <c r="AZ5" s="1449">
        <f>+'Maj Production Summ'!AZ6</f>
        <v>98</v>
      </c>
      <c r="BA5" s="452">
        <f>+'Maj Production Summ'!BA6</f>
        <v>96</v>
      </c>
      <c r="BB5" s="452">
        <f>+'Maj Production Summ'!BB6</f>
        <v>97.9</v>
      </c>
      <c r="BC5" s="472">
        <f>+'Maj Production Summ'!BC6</f>
        <v>96</v>
      </c>
      <c r="BD5" s="472">
        <f>+'Maj Production Summ'!BD6</f>
        <v>97.340659340659343</v>
      </c>
      <c r="BE5" s="348">
        <f>+'Maj Production Summ'!BE6</f>
        <v>95.509589041095893</v>
      </c>
      <c r="BF5" s="348">
        <f>+'Maj Production Summ'!BF6</f>
        <v>97.194520547945203</v>
      </c>
      <c r="BG5" s="1219"/>
      <c r="BI5" s="1546"/>
      <c r="BJ5" s="533"/>
    </row>
    <row r="6" spans="1:66" thickBot="1" x14ac:dyDescent="0.35">
      <c r="B6" s="1793" t="s">
        <v>1891</v>
      </c>
      <c r="C6" s="2656" t="s">
        <v>169</v>
      </c>
      <c r="D6" s="2933">
        <v>97.630136986301366</v>
      </c>
      <c r="E6" s="2933">
        <v>98</v>
      </c>
      <c r="F6" s="2933">
        <f>+'Maj Production Summ'!F7</f>
        <v>97.1</v>
      </c>
      <c r="G6" s="2933">
        <v>98</v>
      </c>
      <c r="H6" s="2933">
        <f>+'Maj Production Summ'!H7</f>
        <v>97.483870967741936</v>
      </c>
      <c r="I6" s="3202">
        <f>+'Maj Production Summ'!I7</f>
        <v>98</v>
      </c>
      <c r="J6" s="3202">
        <f>+'Maj Production Summ'!J7</f>
        <v>97.295081967213122</v>
      </c>
      <c r="K6" s="2933">
        <v>98</v>
      </c>
      <c r="L6" s="2933">
        <f>+'Maj Production Summ'!L7</f>
        <v>98.466666666666669</v>
      </c>
      <c r="M6" s="3459">
        <f>+'Maj Production Summ'!M7</f>
        <v>98</v>
      </c>
      <c r="N6" s="114">
        <f>+'Maj Production Summ'!N7</f>
        <v>97.681318681318686</v>
      </c>
      <c r="O6" s="2933">
        <v>98</v>
      </c>
      <c r="P6" s="2933">
        <f>+'Maj Production Summ'!P7</f>
        <v>99</v>
      </c>
      <c r="Q6" s="1406">
        <f>+'Maj Production Summ'!Q7</f>
        <v>98</v>
      </c>
      <c r="R6" s="1406">
        <f>+'Maj Production Summ'!R7</f>
        <v>98.016393442622956</v>
      </c>
      <c r="S6" s="2933">
        <v>98</v>
      </c>
      <c r="T6" s="2933">
        <f>+'Maj Production Summ'!T7</f>
        <v>98.516129032258064</v>
      </c>
      <c r="U6" s="1406">
        <f>+'Maj Production Summ'!U7</f>
        <v>98</v>
      </c>
      <c r="V6" s="1406">
        <f>+'Maj Production Summ'!V7</f>
        <v>98.117647058823536</v>
      </c>
      <c r="W6" s="2933">
        <v>93.5</v>
      </c>
      <c r="X6" s="2933">
        <f>+'Maj Production Summ'!X7</f>
        <v>98.766666666666666</v>
      </c>
      <c r="Y6" s="452">
        <f>+'Maj Production Summ'!Y7</f>
        <v>96.532608695652172</v>
      </c>
      <c r="Z6" s="452">
        <f>+'Maj Production Summ'!Z7</f>
        <v>98.760869565217391</v>
      </c>
      <c r="AA6" s="472">
        <f>+'Maj Production Summ'!AA7</f>
        <v>97.26229508196721</v>
      </c>
      <c r="AB6" s="472">
        <f>+'Maj Production Summ'!AB7</f>
        <v>98.224043715846989</v>
      </c>
      <c r="AC6" s="2933">
        <v>99</v>
      </c>
      <c r="AD6" s="2933">
        <f>+'Maj Production Summ'!AD7</f>
        <v>97.838709677419359</v>
      </c>
      <c r="AE6" s="1406">
        <f>+'Maj Production Summ'!AE7</f>
        <v>97.514018691588788</v>
      </c>
      <c r="AF6" s="1406">
        <f>+'Maj Production Summ'!AF7</f>
        <v>98.168224299065415</v>
      </c>
      <c r="AG6" s="2933">
        <v>99</v>
      </c>
      <c r="AH6" s="2933">
        <f>+'Maj Production Summ'!AH7</f>
        <v>94</v>
      </c>
      <c r="AI6" s="1406">
        <f>+'Maj Production Summ'!AI7</f>
        <v>97.696721311475414</v>
      </c>
      <c r="AJ6" s="1406">
        <f>+'Maj Production Summ'!AJ7</f>
        <v>97.655737704918039</v>
      </c>
      <c r="AK6" s="2933">
        <v>99</v>
      </c>
      <c r="AL6" s="2933">
        <f>+'Maj Production Summ'!AL7</f>
        <v>98.483870967741936</v>
      </c>
      <c r="AM6" s="452">
        <f>+'Maj Production Summ'!AM7</f>
        <v>99</v>
      </c>
      <c r="AN6" s="452">
        <f>+'Maj Production Summ'!AN7</f>
        <v>96.804347826086953</v>
      </c>
      <c r="AO6" s="1406">
        <f>+'Maj Production Summ'!AO7</f>
        <v>97.843636363636364</v>
      </c>
      <c r="AP6" s="1406">
        <f>+'Maj Production Summ'!AP7</f>
        <v>97.74909090909091</v>
      </c>
      <c r="AQ6" s="2933">
        <v>99</v>
      </c>
      <c r="AR6" s="2933">
        <f>+'Maj Production Summ'!AR7</f>
        <v>98.483870967741936</v>
      </c>
      <c r="AS6" s="1406">
        <f>+'Maj Production Summ'!AS7</f>
        <v>97.960784313725483</v>
      </c>
      <c r="AT6" s="1406">
        <f>+'Maj Production Summ'!AT7</f>
        <v>97.82352941176471</v>
      </c>
      <c r="AU6" s="2933">
        <v>99</v>
      </c>
      <c r="AV6" s="2933">
        <f>+'Maj Production Summ'!AV7</f>
        <v>98.392857142857139</v>
      </c>
      <c r="AW6" s="1406">
        <f>+'Maj Production Summ'!AW7</f>
        <v>98.047904191616752</v>
      </c>
      <c r="AX6" s="1406">
        <f>+'Maj Production Summ'!AX7</f>
        <v>97.871257485029943</v>
      </c>
      <c r="AY6" s="2933">
        <v>99</v>
      </c>
      <c r="AZ6" s="2933">
        <f>+'Maj Production Summ'!AZ7</f>
        <v>98.645161290322577</v>
      </c>
      <c r="BA6" s="452">
        <f>+'Maj Production Summ'!BA7</f>
        <v>99</v>
      </c>
      <c r="BB6" s="452">
        <f>+'Maj Production Summ'!BB7</f>
        <v>98.511111111111106</v>
      </c>
      <c r="BC6" s="472">
        <f>+'Maj Production Summ'!BC7</f>
        <v>99</v>
      </c>
      <c r="BD6" s="472">
        <f>+'Maj Production Summ'!BD7</f>
        <v>97.64835164835165</v>
      </c>
      <c r="BE6" s="348">
        <f>+'Maj Production Summ'!BE7</f>
        <v>98.128767123287673</v>
      </c>
      <c r="BF6" s="348">
        <f>+'Maj Production Summ'!BF7</f>
        <v>97.936986301369856</v>
      </c>
      <c r="BG6" s="1219"/>
      <c r="BI6" s="1546"/>
      <c r="BJ6" s="533"/>
    </row>
    <row r="7" spans="1:66" thickBot="1" x14ac:dyDescent="0.35">
      <c r="A7" s="147" t="s">
        <v>470</v>
      </c>
      <c r="B7" s="3010" t="s">
        <v>1892</v>
      </c>
      <c r="C7" s="2656" t="s">
        <v>170</v>
      </c>
      <c r="D7" s="3472">
        <f>D5+(D6*1.8343023255814)</f>
        <v>273.59551608792651</v>
      </c>
      <c r="E7" s="3472">
        <f>E5+(E6*1.8343023255814)</f>
        <v>277.7616279069772</v>
      </c>
      <c r="F7" s="3472">
        <f>F5+(F6*1.8343023255814)</f>
        <v>275.3107558139539</v>
      </c>
      <c r="G7" s="3472">
        <f>G5+(G6*1.8343023255814)</f>
        <v>277.7616279069772</v>
      </c>
      <c r="H7" s="3472">
        <f>H5+(H6*1.8343023255814)</f>
        <v>276.42779444861259</v>
      </c>
      <c r="I7" s="3474">
        <f t="shared" ref="I7:N7" si="0">I5+(I6*1.8343023255814)</f>
        <v>277.7616279069772</v>
      </c>
      <c r="J7" s="3474">
        <f t="shared" si="0"/>
        <v>275.8784311856657</v>
      </c>
      <c r="K7" s="3472">
        <f>K5+(K6*1.8343023255814)</f>
        <v>273.7616279069772</v>
      </c>
      <c r="L7" s="3472">
        <f>L5+(L6*1.8343023255814)</f>
        <v>276.68430232558183</v>
      </c>
      <c r="M7" s="3473">
        <f t="shared" si="0"/>
        <v>276.44294658829585</v>
      </c>
      <c r="N7" s="3974">
        <f t="shared" si="0"/>
        <v>276.14410299003367</v>
      </c>
      <c r="O7" s="3472">
        <f>O5+(O6*1.8343023255814)</f>
        <v>273.7616279069772</v>
      </c>
      <c r="P7" s="3472">
        <f>P5+(P6*1.8343023255814)</f>
        <v>277.01528507126829</v>
      </c>
      <c r="Q7" s="747">
        <f t="shared" ref="Q7:R7" si="1">Q5+(Q6*1.8343023255814)</f>
        <v>275.7616279069772</v>
      </c>
      <c r="R7" s="63">
        <f t="shared" si="1"/>
        <v>276.36546892870803</v>
      </c>
      <c r="S7" s="3472">
        <f>S5+(S6*1.8343023255814)</f>
        <v>273.7616279069772</v>
      </c>
      <c r="T7" s="3472">
        <f>T5+(T6*1.8343023255814)</f>
        <v>278.70836459114821</v>
      </c>
      <c r="U7" s="747">
        <f t="shared" ref="U7:V7" si="2">U5+(U6*1.8343023255814)</f>
        <v>275.35639914880727</v>
      </c>
      <c r="V7" s="63">
        <f t="shared" si="2"/>
        <v>276.84017327861426</v>
      </c>
      <c r="W7" s="3472">
        <f>W5+(W6*1.8343023255814)</f>
        <v>263.60726744186093</v>
      </c>
      <c r="X7" s="3472">
        <f>X5+(X6*1.8343023255814)</f>
        <v>279.16792635658959</v>
      </c>
      <c r="Y7" s="746">
        <f t="shared" ref="Y7:AB7" si="3">Y5+(Y6*1.8343023255814)</f>
        <v>270.45042340748273</v>
      </c>
      <c r="Z7" s="70">
        <f t="shared" si="3"/>
        <v>278.28772750252824</v>
      </c>
      <c r="AA7" s="2137">
        <f t="shared" si="3"/>
        <v>273.4303119837341</v>
      </c>
      <c r="AB7" s="1364">
        <f t="shared" si="3"/>
        <v>277.22177214385607</v>
      </c>
      <c r="AC7" s="3472">
        <f>AC5+(AC6*1.8343023255814)</f>
        <v>277.5959302325586</v>
      </c>
      <c r="AD7" s="3472">
        <f>AD5+(AD6*1.8343023255814)</f>
        <v>277.46577269317379</v>
      </c>
      <c r="AE7" s="747">
        <f t="shared" ref="AE7:AF7" si="4">+AE5+(AE6*(31.55/17.2))</f>
        <v>274.03374266463811</v>
      </c>
      <c r="AF7" s="63">
        <f t="shared" si="4"/>
        <v>277.25711801782222</v>
      </c>
      <c r="AG7" s="3472">
        <f>AG5+(AG6*1.8343023255814)</f>
        <v>277.5959302325586</v>
      </c>
      <c r="AH7" s="3472">
        <f>AH5+(AH6*1.8343023255814)</f>
        <v>266.72441860465159</v>
      </c>
      <c r="AI7" s="747">
        <f t="shared" ref="AI7:AJ7" si="5">+AI5+(AI6*(31.55/17.2))</f>
        <v>274.47171654593978</v>
      </c>
      <c r="AJ7" s="63">
        <f t="shared" si="5"/>
        <v>275.96211399161268</v>
      </c>
      <c r="AK7" s="3472">
        <f>AK5+(AK6*1.8343023255814)</f>
        <v>277.5959302325586</v>
      </c>
      <c r="AL7" s="3472">
        <f>AL5+(AL6*1.8343023255814)</f>
        <v>278.64919354838753</v>
      </c>
      <c r="AM7" s="746">
        <f t="shared" ref="AM7:AN7" si="6">AM5+(AM6*1.8343023255814)</f>
        <v>277.5959302325586</v>
      </c>
      <c r="AN7" s="70">
        <f t="shared" si="6"/>
        <v>274.36191860465158</v>
      </c>
      <c r="AO7" s="747">
        <f t="shared" ref="AO7:AT7" si="7">+AO5+(AO6*(31.55/17.2))</f>
        <v>274.82390063424947</v>
      </c>
      <c r="AP7" s="63">
        <f t="shared" si="7"/>
        <v>276.26502114164907</v>
      </c>
      <c r="AQ7" s="3472">
        <f>AQ5+(AQ6*1.8343023255814)</f>
        <v>277.5959302325586</v>
      </c>
      <c r="AR7" s="3472">
        <f>AR5+(AR6*1.8343023255814)</f>
        <v>278.64919354838753</v>
      </c>
      <c r="AS7" s="747">
        <f t="shared" si="7"/>
        <v>275.10472716218271</v>
      </c>
      <c r="AT7" s="63">
        <f t="shared" si="7"/>
        <v>276.5065549475604</v>
      </c>
      <c r="AU7" s="3472">
        <f>AU5+(AU6*1.8343023255814)</f>
        <v>277.5959302325586</v>
      </c>
      <c r="AV7" s="3472">
        <f>AV5+(AV6*1.8343023255814)</f>
        <v>278.16081810631272</v>
      </c>
      <c r="AW7" s="747">
        <f t="shared" ref="AW7:AX7" si="8">+AW5+(AW6*(31.55/17.2))</f>
        <v>275.31357053335188</v>
      </c>
      <c r="AX7" s="63">
        <f t="shared" si="8"/>
        <v>276.64523569140789</v>
      </c>
      <c r="AY7" s="3472">
        <f>AY5+(AY6*1.8343023255814)</f>
        <v>277.5959302325586</v>
      </c>
      <c r="AZ7" s="3472">
        <f>AZ5+(AZ6*1.8343023255814)</f>
        <v>278.94504876219099</v>
      </c>
      <c r="BA7" s="746">
        <f t="shared" ref="BA7:BD7" si="9">BA5+(BA6*1.8343023255814)</f>
        <v>277.5959302325586</v>
      </c>
      <c r="BB7" s="70">
        <f t="shared" si="9"/>
        <v>278.59916020671881</v>
      </c>
      <c r="BC7" s="2137">
        <f t="shared" si="9"/>
        <v>277.5959302325586</v>
      </c>
      <c r="BD7" s="1364">
        <f t="shared" si="9"/>
        <v>276.45725785842109</v>
      </c>
      <c r="BE7" s="747">
        <f t="shared" ref="BE7:BF7" si="10">+BE5+(BE6*(31.55/17.2))</f>
        <v>275.5074147817777</v>
      </c>
      <c r="BF7" s="63">
        <f t="shared" si="10"/>
        <v>276.8405622809812</v>
      </c>
      <c r="BG7" s="1219"/>
      <c r="BI7" s="1546"/>
      <c r="BJ7" s="533"/>
    </row>
    <row r="8" spans="1:66" ht="14.45" x14ac:dyDescent="0.3">
      <c r="B8" s="3975" t="s">
        <v>1893</v>
      </c>
      <c r="C8" s="2656" t="s">
        <v>680</v>
      </c>
      <c r="D8" s="2647">
        <f>+'Maj Production Summ'!D9</f>
        <v>34497</v>
      </c>
      <c r="E8" s="2647">
        <f>+'Maj Production Summ'!E9</f>
        <v>2940</v>
      </c>
      <c r="F8" s="2647">
        <f>+'Maj Production Summ'!F9</f>
        <v>2916</v>
      </c>
      <c r="G8" s="2647">
        <f>+'Maj Production Summ'!G9</f>
        <v>3038</v>
      </c>
      <c r="H8" s="2647">
        <f>+'Maj Production Summ'!H9</f>
        <v>3026</v>
      </c>
      <c r="I8" s="2648">
        <f>+'Maj Production Summ'!I9</f>
        <v>5978</v>
      </c>
      <c r="J8" s="2648">
        <f>+'Maj Production Summ'!J9</f>
        <v>5942</v>
      </c>
      <c r="K8" s="2647">
        <f>+'Maj Production Summ'!K9</f>
        <v>2820</v>
      </c>
      <c r="L8" s="2647">
        <f>+'Maj Production Summ'!L9</f>
        <v>2882</v>
      </c>
      <c r="M8" s="2649">
        <f>+'Maj Production Summ'!M9</f>
        <v>8798</v>
      </c>
      <c r="N8" s="69">
        <f>+'Maj Production Summ'!N9</f>
        <v>8824</v>
      </c>
      <c r="O8" s="2647">
        <f>+'Maj Production Summ'!O9</f>
        <v>2914</v>
      </c>
      <c r="P8" s="2647">
        <f>+'Maj Production Summ'!P9</f>
        <v>2958</v>
      </c>
      <c r="Q8" s="572">
        <f>+'Maj Production Summ'!Q9</f>
        <v>11712</v>
      </c>
      <c r="R8" s="572">
        <f>+'Maj Production Summ'!R9</f>
        <v>11782</v>
      </c>
      <c r="S8" s="2647">
        <f>+'Maj Production Summ'!S9</f>
        <v>2914</v>
      </c>
      <c r="T8" s="2647">
        <f>+'Maj Production Summ'!T9</f>
        <v>3038</v>
      </c>
      <c r="U8" s="572">
        <f>+'Maj Production Summ'!U9</f>
        <v>14626</v>
      </c>
      <c r="V8" s="572">
        <f>+'Maj Production Summ'!V9</f>
        <v>14820</v>
      </c>
      <c r="W8" s="2647">
        <f>+'Maj Production Summ'!W9</f>
        <v>2763</v>
      </c>
      <c r="X8" s="2647">
        <f>+'Maj Production Summ'!X9</f>
        <v>2940</v>
      </c>
      <c r="Y8" s="487">
        <f>+'Maj Production Summ'!Y9</f>
        <v>8591</v>
      </c>
      <c r="Z8" s="487">
        <f>+'Maj Production Summ'!Z9</f>
        <v>8936</v>
      </c>
      <c r="AA8" s="1612">
        <f>+'Maj Production Summ'!AA9</f>
        <v>17389</v>
      </c>
      <c r="AB8" s="1612">
        <f>+'Maj Production Summ'!AB9</f>
        <v>17760</v>
      </c>
      <c r="AC8" s="2647">
        <f>+'Maj Production Summ'!AC9</f>
        <v>2976</v>
      </c>
      <c r="AD8" s="2647">
        <f>+'Maj Production Summ'!AD9</f>
        <v>3038</v>
      </c>
      <c r="AE8" s="572">
        <f>+'Maj Production Summ'!AE9</f>
        <v>20365</v>
      </c>
      <c r="AF8" s="572">
        <f>+'Maj Production Summ'!AF9</f>
        <v>20798</v>
      </c>
      <c r="AG8" s="2647">
        <f>+'Maj Production Summ'!AG9</f>
        <v>2880</v>
      </c>
      <c r="AH8" s="2647">
        <f>+'Maj Production Summ'!AH9</f>
        <v>2829</v>
      </c>
      <c r="AI8" s="572">
        <f>+'Maj Production Summ'!AI9</f>
        <v>23245</v>
      </c>
      <c r="AJ8" s="572">
        <f>+'Maj Production Summ'!AJ9</f>
        <v>23627</v>
      </c>
      <c r="AK8" s="2647">
        <f>+'Maj Production Summ'!AK9</f>
        <v>2976</v>
      </c>
      <c r="AL8" s="2647">
        <f>+'Maj Production Summ'!AL9</f>
        <v>3038</v>
      </c>
      <c r="AM8" s="487">
        <f>+'Maj Production Summ'!AM9</f>
        <v>8832</v>
      </c>
      <c r="AN8" s="487">
        <f>+'Maj Production Summ'!AN9</f>
        <v>8905</v>
      </c>
      <c r="AO8" s="572">
        <f>+'Maj Production Summ'!AO9</f>
        <v>26221</v>
      </c>
      <c r="AP8" s="572">
        <f>+'Maj Production Summ'!AP9</f>
        <v>26665</v>
      </c>
      <c r="AQ8" s="2647">
        <f>+'Maj Production Summ'!AQ9</f>
        <v>2976</v>
      </c>
      <c r="AR8" s="2647">
        <f>+'Maj Production Summ'!AR9</f>
        <v>3038</v>
      </c>
      <c r="AS8" s="572">
        <f>+'Maj Production Summ'!AS9</f>
        <v>29197</v>
      </c>
      <c r="AT8" s="572">
        <f>+'Maj Production Summ'!AT9</f>
        <v>29703</v>
      </c>
      <c r="AU8" s="2647">
        <f>+'Maj Production Summ'!AU9</f>
        <v>2688</v>
      </c>
      <c r="AV8" s="2647">
        <f>+'Maj Production Summ'!AV9</f>
        <v>2735</v>
      </c>
      <c r="AW8" s="572">
        <f>+'Maj Production Summ'!AW9</f>
        <v>31884.999999999996</v>
      </c>
      <c r="AX8" s="572">
        <f>+'Maj Production Summ'!AX9</f>
        <v>32438</v>
      </c>
      <c r="AY8" s="2647">
        <f>+'Maj Production Summ'!AY9</f>
        <v>2976</v>
      </c>
      <c r="AZ8" s="2647">
        <f>+'Maj Production Summ'!AZ9</f>
        <v>3038</v>
      </c>
      <c r="BA8" s="487">
        <f>+'Maj Production Summ'!BA9</f>
        <v>8640</v>
      </c>
      <c r="BB8" s="487">
        <f>+'Maj Production Summ'!BB9</f>
        <v>8811</v>
      </c>
      <c r="BC8" s="1612">
        <f>+'Maj Production Summ'!BC9</f>
        <v>17472</v>
      </c>
      <c r="BD8" s="1612">
        <f>+'Maj Production Summ'!BD9</f>
        <v>17716</v>
      </c>
      <c r="BE8" s="572">
        <f>+'Maj Production Summ'!BE9</f>
        <v>34861</v>
      </c>
      <c r="BF8" s="572">
        <f>+'Maj Production Summ'!BF9</f>
        <v>35476</v>
      </c>
      <c r="BG8" s="1219"/>
      <c r="BH8" s="1219"/>
      <c r="BI8" s="1219"/>
      <c r="BJ8" s="1546"/>
      <c r="BK8" s="1546"/>
      <c r="BL8" s="26"/>
      <c r="BM8" s="26"/>
      <c r="BN8" s="26"/>
    </row>
    <row r="9" spans="1:66" thickBot="1" x14ac:dyDescent="0.35">
      <c r="B9" s="3975" t="s">
        <v>1894</v>
      </c>
      <c r="C9" s="2656" t="s">
        <v>680</v>
      </c>
      <c r="D9" s="2647">
        <f>+'Maj Production Summ'!D10</f>
        <v>35635</v>
      </c>
      <c r="E9" s="2647">
        <f>+'Maj Production Summ'!E10</f>
        <v>2940</v>
      </c>
      <c r="F9" s="2647">
        <f>+'Maj Production Summ'!F10</f>
        <v>2913</v>
      </c>
      <c r="G9" s="2647">
        <f>+'Maj Production Summ'!G10</f>
        <v>3038</v>
      </c>
      <c r="H9" s="2647">
        <f>+'Maj Production Summ'!H10</f>
        <v>3022</v>
      </c>
      <c r="I9" s="2648">
        <f>+'Maj Production Summ'!I10</f>
        <v>5978</v>
      </c>
      <c r="J9" s="2648">
        <f>+'Maj Production Summ'!J10</f>
        <v>5935</v>
      </c>
      <c r="K9" s="2647">
        <f>+'Maj Production Summ'!K10</f>
        <v>2940</v>
      </c>
      <c r="L9" s="2647">
        <f>+'Maj Production Summ'!L10</f>
        <v>2954</v>
      </c>
      <c r="M9" s="2649">
        <f>+'Maj Production Summ'!M10</f>
        <v>8918</v>
      </c>
      <c r="N9" s="69">
        <f>+'Maj Production Summ'!N10</f>
        <v>8889</v>
      </c>
      <c r="O9" s="2647">
        <f>+'Maj Production Summ'!O10</f>
        <v>3038</v>
      </c>
      <c r="P9" s="2647">
        <f>+'Maj Production Summ'!P10</f>
        <v>3069</v>
      </c>
      <c r="Q9" s="3611">
        <f>+'Maj Production Summ'!Q10</f>
        <v>11956</v>
      </c>
      <c r="R9" s="3611">
        <f>+'Maj Production Summ'!R10</f>
        <v>11958</v>
      </c>
      <c r="S9" s="2647">
        <f>+'Maj Production Summ'!S10</f>
        <v>3038</v>
      </c>
      <c r="T9" s="2647">
        <f>+'Maj Production Summ'!T10</f>
        <v>3054</v>
      </c>
      <c r="U9" s="3611">
        <f>+'Maj Production Summ'!U10</f>
        <v>14994</v>
      </c>
      <c r="V9" s="3611">
        <f>+'Maj Production Summ'!V10</f>
        <v>15012</v>
      </c>
      <c r="W9" s="2647">
        <f>+'Maj Production Summ'!W10</f>
        <v>2805</v>
      </c>
      <c r="X9" s="2647">
        <f>+'Maj Production Summ'!X10</f>
        <v>2963</v>
      </c>
      <c r="Y9" s="487">
        <f>+'Maj Production Summ'!Y10</f>
        <v>8881</v>
      </c>
      <c r="Z9" s="487">
        <f>+'Maj Production Summ'!Z10</f>
        <v>9086</v>
      </c>
      <c r="AA9" s="1612">
        <f>+'Maj Production Summ'!AA10</f>
        <v>17799</v>
      </c>
      <c r="AB9" s="1612">
        <f>+'Maj Production Summ'!AB10</f>
        <v>17975</v>
      </c>
      <c r="AC9" s="2647">
        <f>+'Maj Production Summ'!AC10</f>
        <v>3069</v>
      </c>
      <c r="AD9" s="2647">
        <f>+'Maj Production Summ'!AD10</f>
        <v>3033</v>
      </c>
      <c r="AE9" s="3611">
        <f>+'Maj Production Summ'!AE10</f>
        <v>20868</v>
      </c>
      <c r="AF9" s="3611">
        <f>+'Maj Production Summ'!AF10</f>
        <v>21008</v>
      </c>
      <c r="AG9" s="2647">
        <f>+'Maj Production Summ'!AG10</f>
        <v>2970</v>
      </c>
      <c r="AH9" s="2647">
        <f>+'Maj Production Summ'!AH10</f>
        <v>2820</v>
      </c>
      <c r="AI9" s="3611">
        <f>+'Maj Production Summ'!AI10</f>
        <v>23838</v>
      </c>
      <c r="AJ9" s="3611">
        <f>+'Maj Production Summ'!AJ10</f>
        <v>23828</v>
      </c>
      <c r="AK9" s="2647">
        <f>+'Maj Production Summ'!AK10</f>
        <v>3069</v>
      </c>
      <c r="AL9" s="2647">
        <f>+'Maj Production Summ'!AL10</f>
        <v>3053</v>
      </c>
      <c r="AM9" s="487">
        <f>+'Maj Production Summ'!AM10</f>
        <v>9108</v>
      </c>
      <c r="AN9" s="487">
        <f>+'Maj Production Summ'!AN10</f>
        <v>8906</v>
      </c>
      <c r="AO9" s="3611">
        <f>+'Maj Production Summ'!AO10</f>
        <v>26907</v>
      </c>
      <c r="AP9" s="3611">
        <f>+'Maj Production Summ'!AP10</f>
        <v>26881</v>
      </c>
      <c r="AQ9" s="2647">
        <f>+'Maj Production Summ'!AQ10</f>
        <v>3069</v>
      </c>
      <c r="AR9" s="2647">
        <f>+'Maj Production Summ'!AR10</f>
        <v>3053</v>
      </c>
      <c r="AS9" s="3611">
        <f>+'Maj Production Summ'!AS10</f>
        <v>29975.999999999996</v>
      </c>
      <c r="AT9" s="3611">
        <f>+'Maj Production Summ'!AT10</f>
        <v>29934</v>
      </c>
      <c r="AU9" s="2647">
        <f>+'Maj Production Summ'!AU10</f>
        <v>2772</v>
      </c>
      <c r="AV9" s="2647">
        <f>+'Maj Production Summ'!AV10</f>
        <v>2755</v>
      </c>
      <c r="AW9" s="3611">
        <f>+'Maj Production Summ'!AW10</f>
        <v>32747.999999999996</v>
      </c>
      <c r="AX9" s="3611">
        <f>+'Maj Production Summ'!AX10</f>
        <v>32689</v>
      </c>
      <c r="AY9" s="2647">
        <f>+'Maj Production Summ'!AY10</f>
        <v>3069</v>
      </c>
      <c r="AZ9" s="2647">
        <f>+'Maj Production Summ'!AZ10</f>
        <v>3058</v>
      </c>
      <c r="BA9" s="487">
        <f>+'Maj Production Summ'!BA10</f>
        <v>8910</v>
      </c>
      <c r="BB9" s="487">
        <f>+'Maj Production Summ'!BB10</f>
        <v>8866</v>
      </c>
      <c r="BC9" s="1612">
        <f>+'Maj Production Summ'!BC10</f>
        <v>18018</v>
      </c>
      <c r="BD9" s="1612">
        <f>+'Maj Production Summ'!BD10</f>
        <v>17772</v>
      </c>
      <c r="BE9" s="572">
        <f>+'Maj Production Summ'!BE10</f>
        <v>35817</v>
      </c>
      <c r="BF9" s="572">
        <f>+'Maj Production Summ'!BF10</f>
        <v>35747</v>
      </c>
      <c r="BG9" s="1219"/>
      <c r="BH9" s="1219"/>
      <c r="BI9" s="1219"/>
      <c r="BJ9" s="1546"/>
      <c r="BK9" s="1546"/>
      <c r="BL9" s="26"/>
      <c r="BM9" s="26"/>
      <c r="BN9" s="26"/>
    </row>
    <row r="10" spans="1:66" thickBot="1" x14ac:dyDescent="0.35">
      <c r="B10" s="3010" t="str">
        <f>+'Maj Production Summ'!B11</f>
        <v>Overall Equiv. Ovens Pushed</v>
      </c>
      <c r="C10" s="2656" t="s">
        <v>680</v>
      </c>
      <c r="D10" s="2647">
        <f>+'Maj Production Summ'!D11</f>
        <v>99862.363372093037</v>
      </c>
      <c r="E10" s="3427">
        <f>+'Maj Production Summ'!E11</f>
        <v>8332.8488372093016</v>
      </c>
      <c r="F10" s="3427">
        <f>+'Maj Production Summ'!F11</f>
        <v>8259.3226744186049</v>
      </c>
      <c r="G10" s="3427">
        <f>+'Maj Production Summ'!G11</f>
        <v>8610.6104651162786</v>
      </c>
      <c r="H10" s="3427">
        <f>+'Maj Production Summ'!H11</f>
        <v>8569.2616279069771</v>
      </c>
      <c r="I10" s="3428">
        <f>+'Maj Production Summ'!I11</f>
        <v>16943.45930232558</v>
      </c>
      <c r="J10" s="3428">
        <f>+'Maj Production Summ'!J11</f>
        <v>16828.58430232558</v>
      </c>
      <c r="K10" s="3427">
        <f>+'Maj Production Summ'!K11</f>
        <v>8212.8488372093016</v>
      </c>
      <c r="L10" s="3427">
        <f>+'Maj Production Summ'!L11</f>
        <v>8300.5290697674427</v>
      </c>
      <c r="M10" s="3429">
        <f>+'Maj Production Summ'!M11</f>
        <v>25156.308139534885</v>
      </c>
      <c r="N10" s="2037">
        <f>+'Maj Production Summ'!N11</f>
        <v>25129.113372093023</v>
      </c>
      <c r="O10" s="3427">
        <f>+'Maj Production Summ'!O11</f>
        <v>8486.6104651162786</v>
      </c>
      <c r="P10" s="3427">
        <f>+'Maj Production Summ'!P11</f>
        <v>8587.4738372093016</v>
      </c>
      <c r="Q10" s="745">
        <f>+'Maj Production Summ'!Q11</f>
        <v>33642.91860465116</v>
      </c>
      <c r="R10" s="1129">
        <f>+'Maj Production Summ'!R11</f>
        <v>33716.587209302328</v>
      </c>
      <c r="S10" s="3427">
        <f>+'Maj Production Summ'!S11</f>
        <v>8486.6104651162786</v>
      </c>
      <c r="T10" s="3427">
        <f>+'Maj Production Summ'!T11</f>
        <v>8639.959302325582</v>
      </c>
      <c r="U10" s="745">
        <f>+'Maj Production Summ'!U11</f>
        <v>42129.529069767443</v>
      </c>
      <c r="V10" s="1129">
        <f>+'Maj Production Summ'!V11</f>
        <v>42356.546511627908</v>
      </c>
      <c r="W10" s="3427">
        <f>+'Maj Production Summ'!W11</f>
        <v>7908.2180232558139</v>
      </c>
      <c r="X10" s="3427">
        <f>+'Maj Production Summ'!X11</f>
        <v>8375.0377906976755</v>
      </c>
      <c r="Y10" s="748">
        <f>+'Maj Production Summ'!Y11</f>
        <v>24881.438953488374</v>
      </c>
      <c r="Z10" s="172">
        <f>+'Maj Production Summ'!Z11</f>
        <v>25602.470930232557</v>
      </c>
      <c r="AA10" s="2372">
        <f>+'Maj Production Summ'!AA11</f>
        <v>50037.747093023267</v>
      </c>
      <c r="AB10" s="473">
        <f>+'Maj Production Summ'!AB11</f>
        <v>50731.58430232558</v>
      </c>
      <c r="AC10" s="3427">
        <f>+'Maj Production Summ'!AC11</f>
        <v>8605.4738372093016</v>
      </c>
      <c r="AD10" s="3427">
        <f>+'Maj Production Summ'!AD11</f>
        <v>8601.4389534883721</v>
      </c>
      <c r="AE10" s="745">
        <f>+'Maj Production Summ'!AE11</f>
        <v>58643.220930232565</v>
      </c>
      <c r="AF10" s="1129">
        <f>+'Maj Production Summ'!AF11</f>
        <v>59333.023255813954</v>
      </c>
      <c r="AG10" s="3427">
        <f>+'Maj Production Summ'!AG11</f>
        <v>8327.8779069767443</v>
      </c>
      <c r="AH10" s="3427">
        <f>+'Maj Production Summ'!AH11</f>
        <v>8001.7325581395353</v>
      </c>
      <c r="AI10" s="745">
        <f>+'Maj Production Summ'!AI11</f>
        <v>66971.098837209312</v>
      </c>
      <c r="AJ10" s="1129">
        <f>+'Maj Production Summ'!AJ11</f>
        <v>67334.755813953496</v>
      </c>
      <c r="AK10" s="3427">
        <f>+'Maj Production Summ'!AK11</f>
        <v>8605.4738372093016</v>
      </c>
      <c r="AL10" s="3427">
        <f>+'Maj Production Summ'!AL11</f>
        <v>8638.125</v>
      </c>
      <c r="AM10" s="748">
        <f>+'Maj Production Summ'!AM11</f>
        <v>25538.825581395351</v>
      </c>
      <c r="AN10" s="172">
        <f>+'Maj Production Summ'!AN11</f>
        <v>25241.296511627908</v>
      </c>
      <c r="AO10" s="745">
        <f>+'Maj Production Summ'!AO11</f>
        <v>75576.57267441861</v>
      </c>
      <c r="AP10" s="1129">
        <f>+'Maj Production Summ'!AP11</f>
        <v>75972.880813953496</v>
      </c>
      <c r="AQ10" s="3427">
        <f>+'Maj Production Summ'!AQ11</f>
        <v>8605.4738372093016</v>
      </c>
      <c r="AR10" s="3427">
        <f>+'Maj Production Summ'!AR11</f>
        <v>8638.125</v>
      </c>
      <c r="AS10" s="745">
        <f>+'Maj Production Summ'!AS11</f>
        <v>84182.046511627908</v>
      </c>
      <c r="AT10" s="1129">
        <f>+'Maj Production Summ'!AT11</f>
        <v>84611.005813953496</v>
      </c>
      <c r="AU10" s="3427">
        <f>+'Maj Production Summ'!AU11</f>
        <v>7772.6860465116288</v>
      </c>
      <c r="AV10" s="3427">
        <f>+'Maj Production Summ'!AV11</f>
        <v>7788.5029069767443</v>
      </c>
      <c r="AW10" s="745">
        <f>+'Maj Production Summ'!AW11</f>
        <v>91954.732558139527</v>
      </c>
      <c r="AX10" s="1129">
        <f>+'Maj Production Summ'!AX11</f>
        <v>92399.508720930229</v>
      </c>
      <c r="AY10" s="3427">
        <f>+'Maj Production Summ'!AY11</f>
        <v>8605.4738372093016</v>
      </c>
      <c r="AZ10" s="3427">
        <f>+'Maj Production Summ'!AZ11</f>
        <v>8647.2965116279083</v>
      </c>
      <c r="BA10" s="748">
        <f>+'Maj Production Summ'!BA11</f>
        <v>24983.633720930233</v>
      </c>
      <c r="BB10" s="172">
        <f>+'Maj Production Summ'!BB11</f>
        <v>25073.924418604649</v>
      </c>
      <c r="BC10" s="2372">
        <f>+'Maj Production Summ'!BC11</f>
        <v>50522.459302325587</v>
      </c>
      <c r="BD10" s="473">
        <f>+'Maj Production Summ'!BD11</f>
        <v>50315.220930232557</v>
      </c>
      <c r="BE10" s="745">
        <f>+'Maj Production Summ'!BE11</f>
        <v>100560.20639534884</v>
      </c>
      <c r="BF10" s="1129">
        <f>+'Maj Production Summ'!BF11</f>
        <v>101046.80523255815</v>
      </c>
      <c r="BG10" s="1219"/>
      <c r="BH10" s="1219"/>
      <c r="BI10" s="1219"/>
      <c r="BJ10" s="1546"/>
      <c r="BK10" s="1546"/>
      <c r="BL10" s="26"/>
      <c r="BM10" s="26"/>
      <c r="BN10" s="26"/>
    </row>
    <row r="11" spans="1:66" ht="14.45" x14ac:dyDescent="0.3">
      <c r="B11" s="3975"/>
      <c r="C11" s="3255"/>
      <c r="D11" s="3472"/>
      <c r="E11" s="3472"/>
      <c r="F11" s="3472"/>
      <c r="G11" s="3472"/>
      <c r="H11" s="3472"/>
      <c r="I11" s="3474"/>
      <c r="J11" s="3474"/>
      <c r="K11" s="3472"/>
      <c r="L11" s="3472"/>
      <c r="M11" s="3473"/>
      <c r="N11" s="3974"/>
      <c r="O11" s="3472"/>
      <c r="P11" s="3472"/>
      <c r="Q11" s="3958"/>
      <c r="R11" s="3959"/>
      <c r="S11" s="3472"/>
      <c r="T11" s="3472"/>
      <c r="U11" s="3958"/>
      <c r="V11" s="3959"/>
      <c r="W11" s="3472"/>
      <c r="X11" s="3472"/>
      <c r="Y11" s="3960"/>
      <c r="Z11" s="3961"/>
      <c r="AA11" s="3962"/>
      <c r="AB11" s="3963"/>
      <c r="AC11" s="3472"/>
      <c r="AD11" s="3472"/>
      <c r="AE11" s="3958"/>
      <c r="AF11" s="3959"/>
      <c r="AG11" s="3472"/>
      <c r="AH11" s="3472"/>
      <c r="AI11" s="3958"/>
      <c r="AJ11" s="3959"/>
      <c r="AK11" s="3472"/>
      <c r="AL11" s="3472"/>
      <c r="AM11" s="3960"/>
      <c r="AN11" s="3961"/>
      <c r="AO11" s="3958"/>
      <c r="AP11" s="3959"/>
      <c r="AQ11" s="3472"/>
      <c r="AR11" s="3472"/>
      <c r="AS11" s="3958"/>
      <c r="AT11" s="3959"/>
      <c r="AU11" s="3472"/>
      <c r="AV11" s="3472"/>
      <c r="AW11" s="3958"/>
      <c r="AX11" s="3959"/>
      <c r="AY11" s="3472"/>
      <c r="AZ11" s="3472"/>
      <c r="BA11" s="3960"/>
      <c r="BB11" s="3961"/>
      <c r="BC11" s="3962"/>
      <c r="BD11" s="3963"/>
      <c r="BE11" s="3958"/>
      <c r="BF11" s="3959"/>
      <c r="BG11" s="1219"/>
      <c r="BH11" s="1219"/>
      <c r="BI11" s="1219"/>
      <c r="BJ11" s="1546"/>
      <c r="BK11" s="1546"/>
      <c r="BL11" s="26"/>
      <c r="BM11" s="26"/>
      <c r="BN11" s="26"/>
    </row>
    <row r="12" spans="1:66" ht="14.45" x14ac:dyDescent="0.3">
      <c r="A12" s="147" t="s">
        <v>470</v>
      </c>
      <c r="B12" s="1793" t="s">
        <v>132</v>
      </c>
      <c r="C12" s="2656" t="s">
        <v>175</v>
      </c>
      <c r="D12" s="2933">
        <v>74.668493150684938</v>
      </c>
      <c r="E12" s="2933">
        <v>78</v>
      </c>
      <c r="F12" s="2936">
        <v>77.83</v>
      </c>
      <c r="G12" s="2933">
        <v>78</v>
      </c>
      <c r="H12" s="2936">
        <v>77.83</v>
      </c>
      <c r="I12" s="3202">
        <f>+((E12*E$2)+(G12*G$2))/I$2</f>
        <v>78</v>
      </c>
      <c r="J12" s="3202">
        <f>+((F12*F$2)+(H12*H$2))/J$2</f>
        <v>77.83</v>
      </c>
      <c r="K12" s="2933">
        <v>74</v>
      </c>
      <c r="L12" s="2936">
        <v>76</v>
      </c>
      <c r="M12" s="114">
        <f>+((E12*E$2)+(G12*G$2)+(K12*K$2))/M$2</f>
        <v>76.681318681318686</v>
      </c>
      <c r="N12" s="114">
        <f>+((F12*F$2)+(H12*H$2)+(L12*L$2))/N$2</f>
        <v>77.226703296703292</v>
      </c>
      <c r="O12" s="2933">
        <v>74</v>
      </c>
      <c r="P12" s="2936">
        <v>74.930000000000007</v>
      </c>
      <c r="Q12" s="3202">
        <f>+((M12*M$2)+(O12*O$2))/Q$2</f>
        <v>76</v>
      </c>
      <c r="R12" s="3202">
        <f>+((N12*N$2)+(P12*P$2))/R$2</f>
        <v>76.643114754098349</v>
      </c>
      <c r="S12" s="2933">
        <v>74</v>
      </c>
      <c r="T12" s="2936">
        <v>77.7</v>
      </c>
      <c r="U12" s="3202">
        <f>+((Q12*Q$2)+(S12*S$2))/U$2</f>
        <v>75.59477124183006</v>
      </c>
      <c r="V12" s="3202">
        <f>+((R12*R$2)+(T12*T$2))/V$2</f>
        <v>76.857254901960786</v>
      </c>
      <c r="W12" s="2933">
        <v>74</v>
      </c>
      <c r="X12" s="2936">
        <v>77.8</v>
      </c>
      <c r="Y12" s="114">
        <f>+((O12*O$2)+(S12*S$2)+(W12*W$2))/Y$2</f>
        <v>74</v>
      </c>
      <c r="Z12" s="114">
        <f>+((P12*P$2)+(T12*T$2)+(X12*X$2))/Z$2</f>
        <v>76.799239130434785</v>
      </c>
      <c r="AA12" s="474">
        <f>+((M12*M$2)+(Y12*Y$2))/AA$2</f>
        <v>75.333333333333329</v>
      </c>
      <c r="AB12" s="474">
        <f>+((N12*N$2)+(Z12*Z$2))/AB$2</f>
        <v>77.011803278688518</v>
      </c>
      <c r="AC12" s="2933">
        <v>76</v>
      </c>
      <c r="AD12" s="2936">
        <v>77.83</v>
      </c>
      <c r="AE12" s="127">
        <f>+((AA12*AA$2)+(AC12*AC$2))/AE$2</f>
        <v>75.429906542056074</v>
      </c>
      <c r="AF12" s="127">
        <f>+((AB12*AB$2)+(AD12*AD$2))/AF$2</f>
        <v>77.130327102803733</v>
      </c>
      <c r="AG12" s="2933">
        <v>76</v>
      </c>
      <c r="AH12" s="2936">
        <v>77.8</v>
      </c>
      <c r="AI12" s="127">
        <f>+((AE12*AE$2)+(AG12*AG$2))/AI$2</f>
        <v>75.5</v>
      </c>
      <c r="AJ12" s="127">
        <f>+((AF12*AF$2)+(AH12*AH$2))/AJ$2</f>
        <v>77.212663934426232</v>
      </c>
      <c r="AK12" s="2933">
        <v>76</v>
      </c>
      <c r="AL12" s="2936">
        <v>77.8</v>
      </c>
      <c r="AM12" s="114">
        <f>+((AC12*AC$2)+(AG12*AG$2)+(AK12*AK$2))/AM$2</f>
        <v>76</v>
      </c>
      <c r="AN12" s="114">
        <f>+((AD12*AD$2)+(AH12*AH$2)+(AL12*AL$2))/AN$2</f>
        <v>77.810108695652161</v>
      </c>
      <c r="AO12" s="127">
        <f>+((AK12*AK$2)+(AI12*AI$2))/AO$2</f>
        <v>75.556363636363642</v>
      </c>
      <c r="AP12" s="127">
        <f>+((AL12*AL$2)+(AJ12*AJ$2))/AP$2</f>
        <v>77.278872727272727</v>
      </c>
      <c r="AQ12" s="2933">
        <v>76</v>
      </c>
      <c r="AR12" s="2936">
        <v>77.8</v>
      </c>
      <c r="AS12" s="127">
        <f>+((AO12*AO$2)+(AQ12*AQ$2))/AS$2</f>
        <v>75.601307189542482</v>
      </c>
      <c r="AT12" s="127">
        <f>+((AP12*AP$2)+(AR12*AR$2))/AT$2</f>
        <v>77.331666666666663</v>
      </c>
      <c r="AU12" s="2933">
        <v>76</v>
      </c>
      <c r="AV12" s="2936">
        <v>77.819999999999993</v>
      </c>
      <c r="AW12" s="127">
        <f>+((AS12*AS$2)+(AU12*AU$2))/AW$2</f>
        <v>75.634730538922156</v>
      </c>
      <c r="AX12" s="127">
        <f>+((AT12*AT$2)+(AV12*AV$2))/AX$2</f>
        <v>77.372604790419146</v>
      </c>
      <c r="AY12" s="2933">
        <v>76</v>
      </c>
      <c r="AZ12" s="2936">
        <v>77.83</v>
      </c>
      <c r="BA12" s="114">
        <f>+((AQ12*AQ$2)+(AU12*AU$2)+(AY12*AY$2))/BA$2</f>
        <v>76</v>
      </c>
      <c r="BB12" s="114">
        <f>+((AR12*AR$2)+(AV12*AV$2)+(AZ12*AZ$2))/BB$2</f>
        <v>77.816555555555553</v>
      </c>
      <c r="BC12" s="474">
        <f>+((AM12*AM$2)+(BA12*BA$2))/BC$2</f>
        <v>76</v>
      </c>
      <c r="BD12" s="5210">
        <f>+((AN12*AN$2)+(BB12*BB$2))/BD$2</f>
        <v>77.8132967032967</v>
      </c>
      <c r="BE12" s="5181">
        <f>+((AW12*AW$2)+(AY12*AY$2))/BE$2</f>
        <v>75.665753424657538</v>
      </c>
      <c r="BF12" s="5181">
        <f>+((AX12*AX$2)+(AZ12*AZ$2))/BF$2</f>
        <v>77.411452054794495</v>
      </c>
      <c r="BG12" s="1219"/>
      <c r="BH12" s="1219"/>
      <c r="BI12" s="1219"/>
      <c r="BJ12" s="1546"/>
      <c r="BK12" s="1546"/>
      <c r="BL12" s="26"/>
      <c r="BM12" s="26"/>
      <c r="BN12" s="26"/>
    </row>
    <row r="13" spans="1:66" ht="15.95" customHeight="1" thickBot="1" x14ac:dyDescent="0.35">
      <c r="A13" s="147" t="s">
        <v>470</v>
      </c>
      <c r="B13" s="3976" t="s">
        <v>133</v>
      </c>
      <c r="C13" s="893" t="s">
        <v>175</v>
      </c>
      <c r="D13" s="1451">
        <v>73.299999999999983</v>
      </c>
      <c r="E13" s="1451">
        <v>73.3</v>
      </c>
      <c r="F13" s="192">
        <v>74</v>
      </c>
      <c r="G13" s="1451">
        <v>73.3</v>
      </c>
      <c r="H13" s="192">
        <v>74</v>
      </c>
      <c r="I13" s="593">
        <f>+((E13*E$2)+(G13*G$2))/I$2</f>
        <v>73.299999999999983</v>
      </c>
      <c r="J13" s="593">
        <f>+((F13*F$2)+(H13*H$2))/J$2</f>
        <v>74</v>
      </c>
      <c r="K13" s="1451">
        <v>73.3</v>
      </c>
      <c r="L13" s="192">
        <v>74</v>
      </c>
      <c r="M13" s="177">
        <f>+((E13*E$2)+(G13*G$2)+(K13*K$2))/M$2</f>
        <v>73.3</v>
      </c>
      <c r="N13" s="177">
        <f>+((F13*F$2)+(H13*H$2)+(L13*L$2))/N$2</f>
        <v>74</v>
      </c>
      <c r="O13" s="1451">
        <v>73.3</v>
      </c>
      <c r="P13" s="192">
        <v>74</v>
      </c>
      <c r="Q13" s="593">
        <f>+((M13*M$2)+(O13*O$2))/Q$2</f>
        <v>73.3</v>
      </c>
      <c r="R13" s="593">
        <f>+((N13*N$2)+(P13*P$2))/R$2</f>
        <v>74</v>
      </c>
      <c r="S13" s="1451">
        <v>73.3</v>
      </c>
      <c r="T13" s="192">
        <v>74</v>
      </c>
      <c r="U13" s="593">
        <f>+((Q13*Q$2)+(S13*S$2))/U$2</f>
        <v>73.3</v>
      </c>
      <c r="V13" s="593">
        <f>+((R13*R$2)+(T13*T$2))/V$2</f>
        <v>74</v>
      </c>
      <c r="W13" s="1451">
        <v>73.3</v>
      </c>
      <c r="X13" s="192">
        <v>74</v>
      </c>
      <c r="Y13" s="114">
        <f>+((O13*O$2)+(S13*S$2)+(W13*W$2))/Y$2</f>
        <v>73.3</v>
      </c>
      <c r="Z13" s="114">
        <f>+((P13*P$2)+(T13*T$2)+(X13*X$2))/Z$2</f>
        <v>74</v>
      </c>
      <c r="AA13" s="474">
        <f>+((M13*M$2)+(Y13*Y$2))/AA$2</f>
        <v>73.3</v>
      </c>
      <c r="AB13" s="474">
        <f>+((N13*N$2)+(Z13*Z$2))/AB$2</f>
        <v>74</v>
      </c>
      <c r="AC13" s="1451">
        <v>73.5</v>
      </c>
      <c r="AD13" s="192">
        <v>74</v>
      </c>
      <c r="AE13" s="108">
        <f>+((AA13*AA$2)+(AC13*AC$2))/AE$2</f>
        <v>73.328971962616819</v>
      </c>
      <c r="AF13" s="108">
        <f>+((AB13*AB$2)+(AD13*AD$2))/AF$2</f>
        <v>74</v>
      </c>
      <c r="AG13" s="1451">
        <v>73.5</v>
      </c>
      <c r="AH13" s="192">
        <v>74</v>
      </c>
      <c r="AI13" s="108">
        <f>+((AE13*AE$2)+(AG13*AG$2))/AI$2</f>
        <v>73.350000000000009</v>
      </c>
      <c r="AJ13" s="108">
        <f>+((AF13*AF$2)+(AH13*AH$2))/AJ$2</f>
        <v>74</v>
      </c>
      <c r="AK13" s="1451">
        <v>73.5</v>
      </c>
      <c r="AL13" s="192">
        <v>74</v>
      </c>
      <c r="AM13" s="114">
        <f>+((AC13*AC$2)+(AG13*AG$2)+(AK13*AK$2))/AM$2</f>
        <v>73.5</v>
      </c>
      <c r="AN13" s="114">
        <f>+((AD13*AD$2)+(AH13*AH$2)+(AL13*AL$2))/AN$2</f>
        <v>74</v>
      </c>
      <c r="AO13" s="108">
        <f>+((AK13*AK$2)+(AI13*AI$2))/AO$2</f>
        <v>73.36690909090909</v>
      </c>
      <c r="AP13" s="108">
        <f>+((AL13*AL$2)+(AJ13*AJ$2))/AP$2</f>
        <v>74</v>
      </c>
      <c r="AQ13" s="1451">
        <v>73.5</v>
      </c>
      <c r="AR13" s="192">
        <v>74</v>
      </c>
      <c r="AS13" s="108">
        <f>+((AO13*AO$2)+(AQ13*AQ$2))/AS$2</f>
        <v>73.380392156862754</v>
      </c>
      <c r="AT13" s="108">
        <f>+((AP13*AP$2)+(AR13*AR$2))/AT$2</f>
        <v>74</v>
      </c>
      <c r="AU13" s="1451">
        <v>73.5</v>
      </c>
      <c r="AV13" s="192">
        <v>74</v>
      </c>
      <c r="AW13" s="108">
        <f>+((AS13*AS$2)+(AU13*AU$2))/AW$2</f>
        <v>73.390419161676647</v>
      </c>
      <c r="AX13" s="108">
        <f>+((AT13*AT$2)+(AV13*AV$2))/AX$2</f>
        <v>74</v>
      </c>
      <c r="AY13" s="1451">
        <v>73.5</v>
      </c>
      <c r="AZ13" s="192">
        <v>74</v>
      </c>
      <c r="BA13" s="114">
        <f>+((AQ13*AQ$2)+(AU13*AU$2)+(AY13*AY$2))/BA$2</f>
        <v>73.5</v>
      </c>
      <c r="BB13" s="114">
        <f>+((AR13*AR$2)+(AV13*AV$2)+(AZ13*AZ$2))/BB$2</f>
        <v>74</v>
      </c>
      <c r="BC13" s="474">
        <f>+((AM13*AM$2)+(BA13*BA$2))/BC$2</f>
        <v>73.5</v>
      </c>
      <c r="BD13" s="474">
        <f>+((AN13*AN$2)+(BB13*BB$2))/BD$2</f>
        <v>74</v>
      </c>
      <c r="BE13" s="108">
        <f>+((AW13*AW$2)+(AY13*AY$2))/BE$2</f>
        <v>73.399726027397264</v>
      </c>
      <c r="BF13" s="108">
        <f>+((AX13*AX$2)+(AZ13*AZ$2))/BF$2</f>
        <v>74</v>
      </c>
      <c r="BG13" s="1219"/>
      <c r="BH13" s="1219"/>
      <c r="BI13" s="1219"/>
      <c r="BJ13" s="1546"/>
      <c r="BK13" s="1546"/>
      <c r="BL13" s="26"/>
      <c r="BM13" s="26"/>
      <c r="BN13" s="26"/>
    </row>
    <row r="14" spans="1:66" ht="15.6" x14ac:dyDescent="0.3">
      <c r="A14" s="148" t="s">
        <v>470</v>
      </c>
      <c r="B14" s="3972" t="s">
        <v>148</v>
      </c>
      <c r="C14" s="3973"/>
      <c r="D14" s="265"/>
      <c r="E14" s="1684"/>
      <c r="F14" s="1685"/>
      <c r="G14" s="1684"/>
      <c r="H14" s="1685"/>
      <c r="I14" s="265"/>
      <c r="J14" s="1685"/>
      <c r="K14" s="1684"/>
      <c r="L14" s="1685"/>
      <c r="M14" s="1684"/>
      <c r="N14" s="1685"/>
      <c r="O14" s="1684"/>
      <c r="P14" s="1685"/>
      <c r="Q14" s="239"/>
      <c r="R14" s="610"/>
      <c r="S14" s="1684"/>
      <c r="T14" s="1685"/>
      <c r="U14" s="239"/>
      <c r="V14" s="610"/>
      <c r="W14" s="1684"/>
      <c r="X14" s="1685"/>
      <c r="Y14" s="239"/>
      <c r="Z14" s="239"/>
      <c r="AA14" s="2371"/>
      <c r="AB14" s="239"/>
      <c r="AC14" s="1684"/>
      <c r="AD14" s="1685"/>
      <c r="AE14" s="239"/>
      <c r="AF14" s="610"/>
      <c r="AG14" s="1684"/>
      <c r="AH14" s="1685"/>
      <c r="AI14" s="239"/>
      <c r="AJ14" s="610"/>
      <c r="AK14" s="1684"/>
      <c r="AL14" s="1685"/>
      <c r="AM14" s="239"/>
      <c r="AN14" s="239"/>
      <c r="AO14" s="239"/>
      <c r="AP14" s="610"/>
      <c r="AQ14" s="1684"/>
      <c r="AR14" s="1685"/>
      <c r="AS14" s="239"/>
      <c r="AT14" s="610"/>
      <c r="AU14" s="1684"/>
      <c r="AV14" s="1685"/>
      <c r="AW14" s="239"/>
      <c r="AX14" s="610"/>
      <c r="AY14" s="1684"/>
      <c r="AZ14" s="1685"/>
      <c r="BA14" s="239"/>
      <c r="BB14" s="239"/>
      <c r="BC14" s="2371"/>
      <c r="BD14" s="239"/>
      <c r="BE14" s="239"/>
      <c r="BF14" s="610"/>
      <c r="BG14" s="1219"/>
      <c r="BH14" s="1219"/>
      <c r="BI14" s="1219"/>
      <c r="BJ14" s="1546"/>
      <c r="BK14" s="1546"/>
      <c r="BL14" s="26"/>
      <c r="BM14" s="26"/>
      <c r="BN14" s="26"/>
    </row>
    <row r="15" spans="1:66" ht="14.45" x14ac:dyDescent="0.3">
      <c r="A15" s="93"/>
      <c r="B15" s="1391" t="s">
        <v>146</v>
      </c>
      <c r="C15" s="1392" t="s">
        <v>176</v>
      </c>
      <c r="D15" s="1433">
        <f t="shared" ref="D15:AI15" si="11">+D5/D12</f>
        <v>1.2657591546195053</v>
      </c>
      <c r="E15" s="751">
        <f t="shared" si="11"/>
        <v>1.2564102564102564</v>
      </c>
      <c r="F15" s="550">
        <f t="shared" si="11"/>
        <v>1.2488757548503149</v>
      </c>
      <c r="G15" s="751">
        <f t="shared" ref="G15:H15" si="12">+G5/G12</f>
        <v>1.2564102564102564</v>
      </c>
      <c r="H15" s="550">
        <f t="shared" si="12"/>
        <v>1.2541809485520552</v>
      </c>
      <c r="I15" s="752">
        <f t="shared" si="11"/>
        <v>1.2564102564102564</v>
      </c>
      <c r="J15" s="98">
        <f t="shared" si="11"/>
        <v>1.2515718368954616</v>
      </c>
      <c r="K15" s="751">
        <f t="shared" si="11"/>
        <v>1.2702702702702702</v>
      </c>
      <c r="L15" s="550">
        <f t="shared" si="11"/>
        <v>1.2640350877192983</v>
      </c>
      <c r="M15" s="489">
        <f t="shared" si="11"/>
        <v>1.2608197191172255</v>
      </c>
      <c r="N15" s="90">
        <f t="shared" si="11"/>
        <v>1.2556153354687143</v>
      </c>
      <c r="O15" s="751">
        <f t="shared" ref="O15:P15" si="13">+O5/O12</f>
        <v>1.2702702702702702</v>
      </c>
      <c r="P15" s="550">
        <f t="shared" si="13"/>
        <v>1.2734466146898396</v>
      </c>
      <c r="Q15" s="752">
        <f t="shared" si="11"/>
        <v>1.263157894736842</v>
      </c>
      <c r="R15" s="98">
        <f t="shared" si="11"/>
        <v>1.2600449603548918</v>
      </c>
      <c r="S15" s="751">
        <f t="shared" si="11"/>
        <v>1.2702702702702702</v>
      </c>
      <c r="T15" s="550">
        <f t="shared" si="11"/>
        <v>1.2612612612612613</v>
      </c>
      <c r="U15" s="752">
        <f t="shared" ref="U15:X15" si="14">+U5/U12</f>
        <v>1.2645685630295695</v>
      </c>
      <c r="V15" s="98">
        <f t="shared" si="14"/>
        <v>1.2602941026399843</v>
      </c>
      <c r="W15" s="751">
        <f t="shared" si="14"/>
        <v>1.2445945945945944</v>
      </c>
      <c r="X15" s="550">
        <f t="shared" si="14"/>
        <v>1.2596401028277635</v>
      </c>
      <c r="Y15" s="489">
        <f t="shared" si="11"/>
        <v>1.26189776733255</v>
      </c>
      <c r="Z15" s="90">
        <f t="shared" si="11"/>
        <v>1.2647317327928691</v>
      </c>
      <c r="AA15" s="753">
        <f t="shared" si="11"/>
        <v>1.2613520963296099</v>
      </c>
      <c r="AB15" s="475">
        <f t="shared" si="11"/>
        <v>1.2601857922566693</v>
      </c>
      <c r="AC15" s="751">
        <f t="shared" si="11"/>
        <v>1.263157894736842</v>
      </c>
      <c r="AD15" s="550">
        <f t="shared" si="11"/>
        <v>1.2591545676474367</v>
      </c>
      <c r="AE15" s="752">
        <f t="shared" si="11"/>
        <v>1.2616156610085492</v>
      </c>
      <c r="AF15" s="98">
        <f t="shared" si="11"/>
        <v>1.2600350541533962</v>
      </c>
      <c r="AG15" s="751">
        <f t="shared" ref="AG15:AH15" si="15">+AG5/AG12</f>
        <v>1.263157894736842</v>
      </c>
      <c r="AH15" s="550">
        <f t="shared" si="15"/>
        <v>1.212082262210797</v>
      </c>
      <c r="AI15" s="752">
        <f t="shared" si="11"/>
        <v>1.2618065356638801</v>
      </c>
      <c r="AJ15" s="98">
        <f t="shared" ref="AJ15:BF15" si="16">+AJ5/AJ12</f>
        <v>1.2540943710393213</v>
      </c>
      <c r="AK15" s="751">
        <f t="shared" si="16"/>
        <v>1.263157894736842</v>
      </c>
      <c r="AL15" s="550">
        <f t="shared" si="16"/>
        <v>1.2596401028277635</v>
      </c>
      <c r="AM15" s="489">
        <f t="shared" si="16"/>
        <v>1.263157894736842</v>
      </c>
      <c r="AN15" s="90">
        <f t="shared" si="16"/>
        <v>1.2439704799728437</v>
      </c>
      <c r="AO15" s="752">
        <f t="shared" si="16"/>
        <v>1.2619597651362016</v>
      </c>
      <c r="AP15" s="98">
        <f t="shared" si="16"/>
        <v>1.2547237419706387</v>
      </c>
      <c r="AQ15" s="751">
        <f t="shared" ref="AQ15:AR15" si="17">+AQ5/AQ12</f>
        <v>1.263157894736842</v>
      </c>
      <c r="AR15" s="550">
        <f t="shared" si="17"/>
        <v>1.2596401028277635</v>
      </c>
      <c r="AS15" s="752">
        <f t="shared" si="16"/>
        <v>1.262081784386617</v>
      </c>
      <c r="AT15" s="98">
        <f t="shared" si="16"/>
        <v>1.2552248210217511</v>
      </c>
      <c r="AU15" s="751">
        <f t="shared" si="16"/>
        <v>1.263157894736842</v>
      </c>
      <c r="AV15" s="550">
        <f t="shared" si="16"/>
        <v>1.2551859602746265</v>
      </c>
      <c r="AW15" s="752">
        <f t="shared" ref="AW15:AZ15" si="18">+AW5/AW12</f>
        <v>1.2621724329031747</v>
      </c>
      <c r="AX15" s="98">
        <f t="shared" si="18"/>
        <v>1.255221544396913</v>
      </c>
      <c r="AY15" s="751">
        <f t="shared" si="18"/>
        <v>1.263157894736842</v>
      </c>
      <c r="AZ15" s="550">
        <f t="shared" si="18"/>
        <v>1.2591545676474367</v>
      </c>
      <c r="BA15" s="489">
        <f t="shared" si="16"/>
        <v>1.263157894736842</v>
      </c>
      <c r="BB15" s="90">
        <f t="shared" si="16"/>
        <v>1.2580870394617543</v>
      </c>
      <c r="BC15" s="753">
        <f t="shared" si="16"/>
        <v>1.263157894736842</v>
      </c>
      <c r="BD15" s="475">
        <f t="shared" si="16"/>
        <v>1.2509514885588355</v>
      </c>
      <c r="BE15" s="752">
        <f t="shared" si="16"/>
        <v>1.2622564993844594</v>
      </c>
      <c r="BF15" s="98">
        <f t="shared" si="16"/>
        <v>1.2555573880612338</v>
      </c>
      <c r="BG15" s="1219"/>
      <c r="BH15" s="1219"/>
      <c r="BI15" s="1219"/>
      <c r="BJ15" s="1546"/>
      <c r="BK15" s="1546"/>
      <c r="BL15" s="26"/>
      <c r="BM15" s="26"/>
      <c r="BN15" s="26"/>
    </row>
    <row r="16" spans="1:66" thickBot="1" x14ac:dyDescent="0.35">
      <c r="A16" s="93"/>
      <c r="B16" s="1411" t="s">
        <v>147</v>
      </c>
      <c r="C16" s="1412" t="s">
        <v>176</v>
      </c>
      <c r="D16" s="1434">
        <f t="shared" ref="D16:AI16" si="19">+D6/D13</f>
        <v>1.3319254704816015</v>
      </c>
      <c r="E16" s="754">
        <f t="shared" si="19"/>
        <v>1.3369713506139154</v>
      </c>
      <c r="F16" s="135">
        <f t="shared" si="19"/>
        <v>1.3121621621621622</v>
      </c>
      <c r="G16" s="754">
        <f t="shared" ref="G16:H16" si="20">+G6/G13</f>
        <v>1.3369713506139154</v>
      </c>
      <c r="H16" s="135">
        <f t="shared" si="20"/>
        <v>1.3173496076721882</v>
      </c>
      <c r="I16" s="755">
        <f t="shared" si="19"/>
        <v>1.3369713506139158</v>
      </c>
      <c r="J16" s="164">
        <f t="shared" si="19"/>
        <v>1.3147984049623396</v>
      </c>
      <c r="K16" s="754">
        <f t="shared" si="19"/>
        <v>1.3369713506139154</v>
      </c>
      <c r="L16" s="135">
        <f t="shared" si="19"/>
        <v>1.3306306306306306</v>
      </c>
      <c r="M16" s="756">
        <f t="shared" si="19"/>
        <v>1.3369713506139154</v>
      </c>
      <c r="N16" s="171">
        <f t="shared" si="19"/>
        <v>1.3200178200178201</v>
      </c>
      <c r="O16" s="754">
        <f t="shared" ref="O16:P16" si="21">+O6/O13</f>
        <v>1.3369713506139154</v>
      </c>
      <c r="P16" s="135">
        <f t="shared" si="21"/>
        <v>1.3378378378378379</v>
      </c>
      <c r="Q16" s="755">
        <f t="shared" si="19"/>
        <v>1.3369713506139154</v>
      </c>
      <c r="R16" s="164">
        <f t="shared" si="19"/>
        <v>1.3245458573327427</v>
      </c>
      <c r="S16" s="754">
        <f t="shared" si="19"/>
        <v>1.3369713506139154</v>
      </c>
      <c r="T16" s="135">
        <f t="shared" si="19"/>
        <v>1.3312990409764602</v>
      </c>
      <c r="U16" s="755">
        <f t="shared" ref="U16:X16" si="22">+U6/U13</f>
        <v>1.3369713506139154</v>
      </c>
      <c r="V16" s="164">
        <f t="shared" si="22"/>
        <v>1.3259141494435613</v>
      </c>
      <c r="W16" s="754">
        <f t="shared" si="22"/>
        <v>1.2755798090040928</v>
      </c>
      <c r="X16" s="135">
        <f t="shared" si="22"/>
        <v>1.3346846846846847</v>
      </c>
      <c r="Y16" s="756">
        <f t="shared" si="19"/>
        <v>1.3169523696541907</v>
      </c>
      <c r="Z16" s="171">
        <f t="shared" si="19"/>
        <v>1.3346063454759107</v>
      </c>
      <c r="AA16" s="757">
        <f t="shared" si="19"/>
        <v>1.3269071634647642</v>
      </c>
      <c r="AB16" s="476">
        <f t="shared" si="19"/>
        <v>1.3273519421060405</v>
      </c>
      <c r="AC16" s="754">
        <f t="shared" si="19"/>
        <v>1.346938775510204</v>
      </c>
      <c r="AD16" s="135">
        <f t="shared" si="19"/>
        <v>1.3221447253705318</v>
      </c>
      <c r="AE16" s="755">
        <f t="shared" si="19"/>
        <v>1.3298157069664298</v>
      </c>
      <c r="AF16" s="164">
        <f t="shared" si="19"/>
        <v>1.3265976256630461</v>
      </c>
      <c r="AG16" s="754">
        <f t="shared" ref="AG16:AH16" si="23">+AG6/AG13</f>
        <v>1.346938775510204</v>
      </c>
      <c r="AH16" s="135">
        <f t="shared" si="23"/>
        <v>1.2702702702702702</v>
      </c>
      <c r="AI16" s="755">
        <f t="shared" si="19"/>
        <v>1.3319253075865767</v>
      </c>
      <c r="AJ16" s="164">
        <f t="shared" ref="AJ16:BF16" si="24">+AJ6/AJ13</f>
        <v>1.319672131147541</v>
      </c>
      <c r="AK16" s="754">
        <f t="shared" si="24"/>
        <v>1.346938775510204</v>
      </c>
      <c r="AL16" s="135">
        <f t="shared" si="24"/>
        <v>1.3308631211857018</v>
      </c>
      <c r="AM16" s="756">
        <f t="shared" si="24"/>
        <v>1.346938775510204</v>
      </c>
      <c r="AN16" s="171">
        <f t="shared" si="24"/>
        <v>1.3081668625146885</v>
      </c>
      <c r="AO16" s="755">
        <f t="shared" si="24"/>
        <v>1.3336208050198504</v>
      </c>
      <c r="AP16" s="164">
        <f t="shared" si="24"/>
        <v>1.320933660933661</v>
      </c>
      <c r="AQ16" s="754">
        <f t="shared" ref="AQ16:AR16" si="25">+AQ6/AQ13</f>
        <v>1.346938775510204</v>
      </c>
      <c r="AR16" s="135">
        <f t="shared" si="25"/>
        <v>1.3308631211857018</v>
      </c>
      <c r="AS16" s="755">
        <f t="shared" si="24"/>
        <v>1.3349722103463015</v>
      </c>
      <c r="AT16" s="164">
        <f t="shared" si="24"/>
        <v>1.3219395866454691</v>
      </c>
      <c r="AU16" s="754">
        <f t="shared" si="24"/>
        <v>1.346938775510204</v>
      </c>
      <c r="AV16" s="135">
        <f t="shared" si="24"/>
        <v>1.3296332046332047</v>
      </c>
      <c r="AW16" s="755">
        <f t="shared" ref="AW16:AZ16" si="26">+AW6/AW13</f>
        <v>1.3359768933274585</v>
      </c>
      <c r="AX16" s="164">
        <f t="shared" si="26"/>
        <v>1.3225845606085127</v>
      </c>
      <c r="AY16" s="754">
        <f t="shared" si="26"/>
        <v>1.346938775510204</v>
      </c>
      <c r="AZ16" s="135">
        <f t="shared" si="26"/>
        <v>1.3330427201394943</v>
      </c>
      <c r="BA16" s="756">
        <f t="shared" si="24"/>
        <v>1.346938775510204</v>
      </c>
      <c r="BB16" s="171">
        <f t="shared" si="24"/>
        <v>1.3312312312312311</v>
      </c>
      <c r="BC16" s="757">
        <f t="shared" si="24"/>
        <v>1.346938775510204</v>
      </c>
      <c r="BD16" s="476">
        <f t="shared" si="24"/>
        <v>1.3195723195723197</v>
      </c>
      <c r="BE16" s="755">
        <f t="shared" si="24"/>
        <v>1.3369091743838393</v>
      </c>
      <c r="BF16" s="164">
        <f t="shared" si="24"/>
        <v>1.3234727878563495</v>
      </c>
      <c r="BG16" s="1219"/>
      <c r="BH16" s="1219"/>
      <c r="BI16" s="1219"/>
      <c r="BJ16" s="1546"/>
      <c r="BK16" s="1546"/>
      <c r="BL16" s="26"/>
      <c r="BM16" s="26"/>
      <c r="BN16" s="26"/>
    </row>
    <row r="17" spans="1:66" thickBot="1" x14ac:dyDescent="0.35">
      <c r="A17" s="147" t="s">
        <v>470</v>
      </c>
      <c r="B17" s="1783" t="s">
        <v>166</v>
      </c>
      <c r="C17" s="1407" t="s">
        <v>50</v>
      </c>
      <c r="D17" s="1313">
        <f>(D5)*17.2*D2</f>
        <v>593348.4</v>
      </c>
      <c r="E17" s="1122">
        <f>(E5)*17.2*E2</f>
        <v>50568</v>
      </c>
      <c r="F17" s="29">
        <f>F5*17.2*F2</f>
        <v>50155.199999999997</v>
      </c>
      <c r="G17" s="1122">
        <f>(G5)*17.2*G2</f>
        <v>52253.599999999999</v>
      </c>
      <c r="H17" s="29">
        <f>H5*17.2*H2</f>
        <v>52047.199999999997</v>
      </c>
      <c r="I17" s="760">
        <f>+E17+G17</f>
        <v>102821.6</v>
      </c>
      <c r="J17" s="62">
        <f>+F17+H17</f>
        <v>102202.4</v>
      </c>
      <c r="K17" s="1122">
        <f>(K5)*17.2*K2</f>
        <v>48504</v>
      </c>
      <c r="L17" s="29">
        <f>L5*17.2*L2</f>
        <v>49570.399999999994</v>
      </c>
      <c r="M17" s="1123">
        <f>+E17+G17+K17</f>
        <v>151325.6</v>
      </c>
      <c r="N17" s="84">
        <f>+F17+H17+L17</f>
        <v>151772.79999999999</v>
      </c>
      <c r="O17" s="1122">
        <f>(O5)*17.2*O2</f>
        <v>50120.799999999996</v>
      </c>
      <c r="P17" s="29">
        <f>P5*17.2*P2</f>
        <v>50877.599999999999</v>
      </c>
      <c r="Q17" s="760">
        <f>+M17+O17</f>
        <v>201446.39999999999</v>
      </c>
      <c r="R17" s="62">
        <f>+N17+P17</f>
        <v>202650.4</v>
      </c>
      <c r="S17" s="1122">
        <f>(S5)*17.2*S2</f>
        <v>50120.799999999996</v>
      </c>
      <c r="T17" s="29">
        <f>T5*17.2*T2</f>
        <v>52253.599999999999</v>
      </c>
      <c r="U17" s="760">
        <f>+Q17+S17</f>
        <v>251567.19999999998</v>
      </c>
      <c r="V17" s="62">
        <f>+R17+T17</f>
        <v>254904</v>
      </c>
      <c r="W17" s="1122">
        <f>(W5)*17.2*W2</f>
        <v>47523.6</v>
      </c>
      <c r="X17" s="29">
        <f>X5*17.2*X2</f>
        <v>50568</v>
      </c>
      <c r="Y17" s="487">
        <f>+O17+S17+W17</f>
        <v>147765.19999999998</v>
      </c>
      <c r="Z17" s="487">
        <f>+P17+T17+X17</f>
        <v>153699.20000000001</v>
      </c>
      <c r="AA17" s="759">
        <f>+M17+Y17</f>
        <v>299090.8</v>
      </c>
      <c r="AB17" s="759">
        <f>+N17+Z17</f>
        <v>305472</v>
      </c>
      <c r="AC17" s="1122">
        <f>(AC5)*17.2*AC2</f>
        <v>51187.199999999997</v>
      </c>
      <c r="AD17" s="29">
        <f>AD5*17.2*AD2</f>
        <v>52253.599999999999</v>
      </c>
      <c r="AE17" s="760">
        <f>+AA17+AC17</f>
        <v>350278</v>
      </c>
      <c r="AF17" s="62">
        <f>+AB17+AD17</f>
        <v>357725.6</v>
      </c>
      <c r="AG17" s="1122">
        <f>(AG5)*17.2*AG2</f>
        <v>49535.999999999993</v>
      </c>
      <c r="AH17" s="29">
        <f>AH5*17.2*AH2</f>
        <v>48658.799999999996</v>
      </c>
      <c r="AI17" s="760">
        <f>+AE17+AG17</f>
        <v>399814</v>
      </c>
      <c r="AJ17" s="62">
        <f>+AF17+AH17</f>
        <v>406384.39999999997</v>
      </c>
      <c r="AK17" s="1122">
        <f>(AK5)*17.2*AK2</f>
        <v>51187.199999999997</v>
      </c>
      <c r="AL17" s="29">
        <f>AL5*17.2*AL2</f>
        <v>52253.599999999999</v>
      </c>
      <c r="AM17" s="487">
        <f>+AC17+AG17+AK17</f>
        <v>151910.39999999997</v>
      </c>
      <c r="AN17" s="487">
        <f>+AD17+AH17+AL17</f>
        <v>153166</v>
      </c>
      <c r="AO17" s="760">
        <f>AI17+AK17</f>
        <v>451001.2</v>
      </c>
      <c r="AP17" s="760">
        <f>AJ17+AL17</f>
        <v>458637.99999999994</v>
      </c>
      <c r="AQ17" s="1122">
        <f>(AQ5)*17.2*AQ2</f>
        <v>51187.199999999997</v>
      </c>
      <c r="AR17" s="29">
        <f>AR5*17.2*AR2</f>
        <v>52253.599999999999</v>
      </c>
      <c r="AS17" s="760">
        <f>+AO17+AQ17</f>
        <v>502188.4</v>
      </c>
      <c r="AT17" s="62">
        <f>+AP17+AR17</f>
        <v>510891.59999999992</v>
      </c>
      <c r="AU17" s="1122">
        <f>(AU5)*17.2*AU2</f>
        <v>46233.599999999991</v>
      </c>
      <c r="AV17" s="29">
        <f>AV5*17.2*AV2</f>
        <v>47042</v>
      </c>
      <c r="AW17" s="760">
        <f>+AS17+AU17</f>
        <v>548422</v>
      </c>
      <c r="AX17" s="62">
        <f>+AT17+AV17</f>
        <v>557933.59999999986</v>
      </c>
      <c r="AY17" s="1122">
        <f>(AY5)*17.2*AY2</f>
        <v>51187.199999999997</v>
      </c>
      <c r="AZ17" s="29">
        <f>AZ5*17.2*AZ2</f>
        <v>52253.599999999999</v>
      </c>
      <c r="BA17" s="487">
        <f>+AQ17+AU17+AY17</f>
        <v>148608</v>
      </c>
      <c r="BB17" s="487">
        <f>+AR17+AV17+AZ17</f>
        <v>151549.20000000001</v>
      </c>
      <c r="BC17" s="759">
        <f>+AM17+BA17</f>
        <v>300518.39999999997</v>
      </c>
      <c r="BD17" s="759">
        <f>+AN17+BB17</f>
        <v>304715.2</v>
      </c>
      <c r="BE17" s="760">
        <f>+AW17+AY17</f>
        <v>599609.19999999995</v>
      </c>
      <c r="BF17" s="62">
        <f>+AX17+AZ17</f>
        <v>610187.19999999984</v>
      </c>
      <c r="BG17" s="1219"/>
      <c r="BH17" s="1219"/>
      <c r="BI17" s="1219"/>
      <c r="BJ17" s="1546"/>
      <c r="BK17" s="1546"/>
      <c r="BL17" s="26"/>
      <c r="BM17" s="26"/>
      <c r="BN17" s="26"/>
    </row>
    <row r="18" spans="1:66" thickBot="1" x14ac:dyDescent="0.35">
      <c r="A18" s="147" t="s">
        <v>470</v>
      </c>
      <c r="B18" s="1784" t="s">
        <v>167</v>
      </c>
      <c r="C18" s="1404" t="s">
        <v>50</v>
      </c>
      <c r="D18" s="1435">
        <f>+D6*31.55*D2</f>
        <v>1124284.25</v>
      </c>
      <c r="E18" s="725">
        <f>+E6*31.55*E2</f>
        <v>92757</v>
      </c>
      <c r="F18" s="126">
        <f>+F6*31.55*F2</f>
        <v>91905.150000000009</v>
      </c>
      <c r="G18" s="725">
        <f>+G6*31.55*G2</f>
        <v>95848.900000000009</v>
      </c>
      <c r="H18" s="126">
        <f>+H6*31.55*H2</f>
        <v>95344.099999999991</v>
      </c>
      <c r="I18" s="1413">
        <f>+E18+G18</f>
        <v>188605.90000000002</v>
      </c>
      <c r="J18" s="535">
        <f>+F18+H18</f>
        <v>187249.25</v>
      </c>
      <c r="K18" s="725">
        <f>+K6*31.55*K2</f>
        <v>92757</v>
      </c>
      <c r="L18" s="126">
        <f>+L6*31.55*L2</f>
        <v>93198.7</v>
      </c>
      <c r="M18" s="1566">
        <f>+E18+G18+K18</f>
        <v>281362.90000000002</v>
      </c>
      <c r="N18" s="173">
        <f>+F18+H18+L18</f>
        <v>280447.95</v>
      </c>
      <c r="O18" s="725">
        <f>+O6*31.55*O2</f>
        <v>95848.900000000009</v>
      </c>
      <c r="P18" s="126">
        <f>+P6*31.55*P2</f>
        <v>96826.950000000012</v>
      </c>
      <c r="Q18" s="1413">
        <f>+M18+O18</f>
        <v>377211.80000000005</v>
      </c>
      <c r="R18" s="535">
        <f>+N18+P18</f>
        <v>377274.9</v>
      </c>
      <c r="S18" s="725">
        <f>+S6*31.55*S2</f>
        <v>95848.900000000009</v>
      </c>
      <c r="T18" s="126">
        <f>+T6*31.55*T2</f>
        <v>96353.7</v>
      </c>
      <c r="U18" s="1413">
        <f>+Q18+S18</f>
        <v>473060.70000000007</v>
      </c>
      <c r="V18" s="535">
        <f>+R18+T18</f>
        <v>473628.60000000003</v>
      </c>
      <c r="W18" s="725">
        <f>+W6*31.55*W2</f>
        <v>88497.75</v>
      </c>
      <c r="X18" s="126">
        <f>+X6*31.55*X2</f>
        <v>93482.650000000009</v>
      </c>
      <c r="Y18" s="488">
        <f>+O18+S18+W18</f>
        <v>280195.55000000005</v>
      </c>
      <c r="Z18" s="488">
        <f>+P18+T18+X18</f>
        <v>286663.30000000005</v>
      </c>
      <c r="AA18" s="759">
        <f>+M18+Y18</f>
        <v>561558.45000000007</v>
      </c>
      <c r="AB18" s="759">
        <f>+N18+Z18</f>
        <v>567111.25</v>
      </c>
      <c r="AC18" s="725">
        <f>+AC6*31.55*AC2</f>
        <v>96826.950000000012</v>
      </c>
      <c r="AD18" s="126">
        <f>+AD6*31.55*AD2</f>
        <v>95691.150000000009</v>
      </c>
      <c r="AE18" s="1413">
        <f>+AA18+AC18</f>
        <v>658385.40000000014</v>
      </c>
      <c r="AF18" s="535">
        <f>+AB18+AD18</f>
        <v>662802.4</v>
      </c>
      <c r="AG18" s="725">
        <f>+AG6*31.55*AG2</f>
        <v>93703.500000000015</v>
      </c>
      <c r="AH18" s="126">
        <f>+AH6*31.55*AH2</f>
        <v>88971.000000000015</v>
      </c>
      <c r="AI18" s="1413">
        <f>+AE18+AG18</f>
        <v>752088.90000000014</v>
      </c>
      <c r="AJ18" s="535">
        <f>+AF18+AH18</f>
        <v>751773.4</v>
      </c>
      <c r="AK18" s="725">
        <f>+AK6*31.55*AK2</f>
        <v>96826.950000000012</v>
      </c>
      <c r="AL18" s="126">
        <f>+AL6*31.55*AL2</f>
        <v>96322.150000000009</v>
      </c>
      <c r="AM18" s="488">
        <f>+AC18+AG18+AK18</f>
        <v>287357.40000000002</v>
      </c>
      <c r="AN18" s="488">
        <f>+AD18+AH18+AL18</f>
        <v>280984.30000000005</v>
      </c>
      <c r="AO18" s="760">
        <f>AI18+AK18</f>
        <v>848915.85000000009</v>
      </c>
      <c r="AP18" s="760">
        <f>AJ18+AL18</f>
        <v>848095.55</v>
      </c>
      <c r="AQ18" s="725">
        <f>+AQ6*31.55*AQ2</f>
        <v>96826.950000000012</v>
      </c>
      <c r="AR18" s="126">
        <f>+AR6*31.55*AR2</f>
        <v>96322.150000000009</v>
      </c>
      <c r="AS18" s="1413">
        <f>+AO18+AQ18</f>
        <v>945742.8</v>
      </c>
      <c r="AT18" s="535">
        <f>+AP18+AR18</f>
        <v>944417.70000000007</v>
      </c>
      <c r="AU18" s="725">
        <f>+AU6*31.55*AU2</f>
        <v>87456.6</v>
      </c>
      <c r="AV18" s="126">
        <f>+AV6*31.55*AV2</f>
        <v>86920.25</v>
      </c>
      <c r="AW18" s="1413">
        <f>+AS18+AU18</f>
        <v>1033199.4</v>
      </c>
      <c r="AX18" s="535">
        <f>+AT18+AV18</f>
        <v>1031337.9500000001</v>
      </c>
      <c r="AY18" s="725">
        <f>+AY6*31.55*AY2</f>
        <v>96826.950000000012</v>
      </c>
      <c r="AZ18" s="126">
        <f>+AZ6*31.55*AZ2</f>
        <v>96479.9</v>
      </c>
      <c r="BA18" s="488">
        <f>+AQ18+AU18+AY18</f>
        <v>281110.5</v>
      </c>
      <c r="BB18" s="488">
        <f>+AR18+AV18+AZ18</f>
        <v>279722.30000000005</v>
      </c>
      <c r="BC18" s="759">
        <f t="shared" ref="BC18:BD18" si="27">+AM18+BA18</f>
        <v>568467.9</v>
      </c>
      <c r="BD18" s="759">
        <f t="shared" si="27"/>
        <v>560706.60000000009</v>
      </c>
      <c r="BE18" s="1413">
        <f>+AW18+AY18</f>
        <v>1130026.3500000001</v>
      </c>
      <c r="BF18" s="535">
        <f>+AX18+AZ18</f>
        <v>1127817.8500000001</v>
      </c>
      <c r="BG18" s="1219"/>
      <c r="BH18" s="1219"/>
      <c r="BI18" s="1219"/>
      <c r="BJ18" s="1546"/>
      <c r="BK18" s="1546"/>
      <c r="BL18" s="26"/>
      <c r="BM18" s="26"/>
      <c r="BN18" s="26"/>
    </row>
    <row r="19" spans="1:66" thickBot="1" x14ac:dyDescent="0.35">
      <c r="A19" s="147" t="s">
        <v>470</v>
      </c>
      <c r="B19" s="1390" t="s">
        <v>168</v>
      </c>
      <c r="C19" s="1409" t="s">
        <v>50</v>
      </c>
      <c r="D19" s="1436">
        <f t="shared" ref="D19:J19" si="28">SUM(D17:D18)</f>
        <v>1717632.65</v>
      </c>
      <c r="E19" s="198">
        <f t="shared" si="28"/>
        <v>143325</v>
      </c>
      <c r="F19" s="141">
        <f t="shared" si="28"/>
        <v>142060.35</v>
      </c>
      <c r="G19" s="198">
        <f t="shared" ref="G19:H19" si="29">SUM(G17:G18)</f>
        <v>148102.5</v>
      </c>
      <c r="H19" s="141">
        <f t="shared" si="29"/>
        <v>147391.29999999999</v>
      </c>
      <c r="I19" s="1568">
        <f t="shared" si="28"/>
        <v>291427.5</v>
      </c>
      <c r="J19" s="1569">
        <f t="shared" si="28"/>
        <v>289451.65000000002</v>
      </c>
      <c r="K19" s="198">
        <f t="shared" ref="K19:L19" si="30">SUM(K17:K18)</f>
        <v>141261</v>
      </c>
      <c r="L19" s="141">
        <f t="shared" si="30"/>
        <v>142769.09999999998</v>
      </c>
      <c r="M19" s="1571">
        <f t="shared" ref="M19:R19" si="31">SUM(M17:M18)</f>
        <v>432688.5</v>
      </c>
      <c r="N19" s="1572">
        <f t="shared" si="31"/>
        <v>432220.75</v>
      </c>
      <c r="O19" s="198">
        <f t="shared" si="31"/>
        <v>145969.70000000001</v>
      </c>
      <c r="P19" s="141">
        <f t="shared" si="31"/>
        <v>147704.55000000002</v>
      </c>
      <c r="Q19" s="1568">
        <f t="shared" si="31"/>
        <v>578658.20000000007</v>
      </c>
      <c r="R19" s="1569">
        <f t="shared" si="31"/>
        <v>579925.30000000005</v>
      </c>
      <c r="S19" s="198">
        <f t="shared" ref="S19:T19" si="32">SUM(S17:S18)</f>
        <v>145969.70000000001</v>
      </c>
      <c r="T19" s="141">
        <f t="shared" si="32"/>
        <v>148607.29999999999</v>
      </c>
      <c r="U19" s="1568">
        <f t="shared" ref="U19:X19" si="33">SUM(U17:U18)</f>
        <v>724627.9</v>
      </c>
      <c r="V19" s="1569">
        <f t="shared" si="33"/>
        <v>728532.60000000009</v>
      </c>
      <c r="W19" s="198">
        <f t="shared" si="33"/>
        <v>136021.35</v>
      </c>
      <c r="X19" s="141">
        <f t="shared" si="33"/>
        <v>144050.65000000002</v>
      </c>
      <c r="Y19" s="762">
        <f t="shared" ref="Y19:Z19" si="34">SUM(Y17:Y18)</f>
        <v>427960.75</v>
      </c>
      <c r="Z19" s="486">
        <f t="shared" si="34"/>
        <v>440362.50000000006</v>
      </c>
      <c r="AA19" s="2372">
        <f t="shared" ref="AA19:AF19" si="35">SUM(AA17:AA18)</f>
        <v>860649.25</v>
      </c>
      <c r="AB19" s="473">
        <f t="shared" si="35"/>
        <v>872583.25</v>
      </c>
      <c r="AC19" s="198">
        <f t="shared" si="35"/>
        <v>148014.15000000002</v>
      </c>
      <c r="AD19" s="141">
        <f t="shared" si="35"/>
        <v>147944.75</v>
      </c>
      <c r="AE19" s="1568">
        <f t="shared" si="35"/>
        <v>1008663.4000000001</v>
      </c>
      <c r="AF19" s="1569">
        <f t="shared" si="35"/>
        <v>1020528</v>
      </c>
      <c r="AG19" s="198">
        <f t="shared" ref="AG19:AH19" si="36">SUM(AG17:AG18)</f>
        <v>143239.5</v>
      </c>
      <c r="AH19" s="141">
        <f t="shared" si="36"/>
        <v>137629.80000000002</v>
      </c>
      <c r="AI19" s="1568">
        <f t="shared" ref="AI19:AN19" si="37">SUM(AI17:AI18)</f>
        <v>1151902.9000000001</v>
      </c>
      <c r="AJ19" s="1569">
        <f t="shared" si="37"/>
        <v>1158157.8</v>
      </c>
      <c r="AK19" s="198">
        <f t="shared" si="37"/>
        <v>148014.15000000002</v>
      </c>
      <c r="AL19" s="141">
        <f t="shared" si="37"/>
        <v>148575.75</v>
      </c>
      <c r="AM19" s="762">
        <f t="shared" si="37"/>
        <v>439267.8</v>
      </c>
      <c r="AN19" s="486">
        <f t="shared" si="37"/>
        <v>434150.30000000005</v>
      </c>
      <c r="AO19" s="1568">
        <f t="shared" ref="AO19:AT19" si="38">SUM(AO17:AO18)</f>
        <v>1299917.05</v>
      </c>
      <c r="AP19" s="1569">
        <f t="shared" si="38"/>
        <v>1306733.55</v>
      </c>
      <c r="AQ19" s="198">
        <f t="shared" si="38"/>
        <v>148014.15000000002</v>
      </c>
      <c r="AR19" s="141">
        <f t="shared" si="38"/>
        <v>148575.75</v>
      </c>
      <c r="AS19" s="1568">
        <f t="shared" si="38"/>
        <v>1447931.2000000002</v>
      </c>
      <c r="AT19" s="1569">
        <f t="shared" si="38"/>
        <v>1455309.3</v>
      </c>
      <c r="AU19" s="198">
        <f t="shared" ref="AU19:AX19" si="39">SUM(AU17:AU18)</f>
        <v>133690.20000000001</v>
      </c>
      <c r="AV19" s="141">
        <f t="shared" si="39"/>
        <v>133962.25</v>
      </c>
      <c r="AW19" s="1568">
        <f t="shared" si="39"/>
        <v>1581621.4</v>
      </c>
      <c r="AX19" s="1569">
        <f t="shared" si="39"/>
        <v>1589271.5499999998</v>
      </c>
      <c r="AY19" s="198">
        <f t="shared" ref="AY19:AZ19" si="40">SUM(AY17:AY18)</f>
        <v>148014.15000000002</v>
      </c>
      <c r="AZ19" s="141">
        <f t="shared" si="40"/>
        <v>148733.5</v>
      </c>
      <c r="BA19" s="762">
        <f t="shared" ref="BA19:BF19" si="41">SUM(BA17:BA18)</f>
        <v>429718.5</v>
      </c>
      <c r="BB19" s="486">
        <f t="shared" si="41"/>
        <v>431271.50000000006</v>
      </c>
      <c r="BC19" s="2372">
        <f t="shared" si="41"/>
        <v>868986.3</v>
      </c>
      <c r="BD19" s="473">
        <f t="shared" si="41"/>
        <v>865421.8</v>
      </c>
      <c r="BE19" s="1568">
        <f t="shared" si="41"/>
        <v>1729635.55</v>
      </c>
      <c r="BF19" s="1569">
        <f t="shared" si="41"/>
        <v>1738005.0499999998</v>
      </c>
      <c r="BG19" s="1219"/>
      <c r="BH19" s="1219"/>
      <c r="BI19" s="1219"/>
      <c r="BJ19" s="1546"/>
      <c r="BK19" s="1546"/>
      <c r="BL19" s="26"/>
      <c r="BM19" s="26"/>
      <c r="BN19" s="26"/>
    </row>
    <row r="20" spans="1:66" ht="16.149999999999999" thickBot="1" x14ac:dyDescent="0.35">
      <c r="A20" s="148" t="s">
        <v>470</v>
      </c>
      <c r="B20" s="1414" t="s">
        <v>503</v>
      </c>
      <c r="C20" s="1798"/>
      <c r="D20" s="1415"/>
      <c r="E20" s="1415"/>
      <c r="F20" s="1415"/>
      <c r="G20" s="1415"/>
      <c r="H20" s="1415"/>
      <c r="I20" s="1799"/>
      <c r="J20" s="1799"/>
      <c r="K20" s="1415"/>
      <c r="L20" s="1415"/>
      <c r="M20" s="1799"/>
      <c r="N20" s="1799"/>
      <c r="O20" s="1415"/>
      <c r="P20" s="1415"/>
      <c r="Q20" s="1799"/>
      <c r="R20" s="1799"/>
      <c r="S20" s="1415"/>
      <c r="T20" s="1415"/>
      <c r="U20" s="1799"/>
      <c r="V20" s="1799"/>
      <c r="W20" s="1415"/>
      <c r="X20" s="1415"/>
      <c r="Y20" s="490"/>
      <c r="Z20" s="490"/>
      <c r="AA20" s="2373"/>
      <c r="AB20" s="490"/>
      <c r="AC20" s="1415"/>
      <c r="AD20" s="1415"/>
      <c r="AE20" s="1799"/>
      <c r="AF20" s="1799"/>
      <c r="AG20" s="1415"/>
      <c r="AH20" s="1415"/>
      <c r="AI20" s="1799"/>
      <c r="AJ20" s="1799"/>
      <c r="AK20" s="1415"/>
      <c r="AL20" s="1415"/>
      <c r="AM20" s="490"/>
      <c r="AN20" s="490"/>
      <c r="AO20" s="1799"/>
      <c r="AP20" s="1799"/>
      <c r="AQ20" s="1415"/>
      <c r="AR20" s="1415"/>
      <c r="AS20" s="1799"/>
      <c r="AT20" s="1799"/>
      <c r="AU20" s="1415"/>
      <c r="AV20" s="1415"/>
      <c r="AW20" s="1799"/>
      <c r="AX20" s="1799"/>
      <c r="AY20" s="1415"/>
      <c r="AZ20" s="1415"/>
      <c r="BA20" s="490"/>
      <c r="BB20" s="490"/>
      <c r="BC20" s="2373"/>
      <c r="BD20" s="490"/>
      <c r="BE20" s="1799"/>
      <c r="BF20" s="1799"/>
      <c r="BG20" s="1219"/>
      <c r="BH20" s="1219"/>
      <c r="BI20" s="1219"/>
      <c r="BJ20" s="1546"/>
      <c r="BK20" s="1546"/>
      <c r="BL20" s="26"/>
      <c r="BM20" s="26"/>
      <c r="BN20" s="26"/>
    </row>
    <row r="21" spans="1:66" thickBot="1" x14ac:dyDescent="0.35">
      <c r="A21" s="147" t="s">
        <v>470</v>
      </c>
      <c r="B21" s="1785" t="s">
        <v>149</v>
      </c>
      <c r="C21" s="1329" t="s">
        <v>50</v>
      </c>
      <c r="D21" s="1437">
        <f>+D17*D37/100</f>
        <v>415343.88</v>
      </c>
      <c r="E21" s="1125">
        <f>+E17*E37/100</f>
        <v>35397.599999999999</v>
      </c>
      <c r="F21" s="1125">
        <v>35108.639999999992</v>
      </c>
      <c r="G21" s="1125">
        <f>+G17*G37/100</f>
        <v>36577.519999999997</v>
      </c>
      <c r="H21" s="1125">
        <v>36433.039999999994</v>
      </c>
      <c r="I21" s="672">
        <f>+E21+G21</f>
        <v>71975.12</v>
      </c>
      <c r="J21" s="43">
        <f>+F21+H21</f>
        <v>71541.679999999993</v>
      </c>
      <c r="K21" s="1125">
        <f>+K17*K37/100</f>
        <v>33952.800000000003</v>
      </c>
      <c r="L21" s="1125">
        <v>34699.279999999999</v>
      </c>
      <c r="M21" s="713">
        <f>+E21+G21+K21</f>
        <v>105927.92</v>
      </c>
      <c r="N21" s="73">
        <f>+F21+H21+L21</f>
        <v>106240.95999999999</v>
      </c>
      <c r="O21" s="1125">
        <f>+O17*O37/100</f>
        <v>35084.559999999998</v>
      </c>
      <c r="P21" s="1125">
        <v>35614.32</v>
      </c>
      <c r="Q21" s="672">
        <f>+M21+O21</f>
        <v>141012.47999999998</v>
      </c>
      <c r="R21" s="43">
        <f>+N21+P21</f>
        <v>141855.28</v>
      </c>
      <c r="S21" s="1125">
        <f>+S17*S37/100</f>
        <v>35084.559999999998</v>
      </c>
      <c r="T21" s="1125">
        <v>36577.519999999997</v>
      </c>
      <c r="U21" s="672">
        <f>+Q21+S21</f>
        <v>176097.03999999998</v>
      </c>
      <c r="V21" s="43">
        <f>+R21+T21</f>
        <v>178432.8</v>
      </c>
      <c r="W21" s="1125">
        <f>+W17*W37/100</f>
        <v>33266.519999999997</v>
      </c>
      <c r="X21" s="1125">
        <v>35397.599999999999</v>
      </c>
      <c r="Y21" s="761">
        <f>+O21+S21+W21</f>
        <v>103435.63999999998</v>
      </c>
      <c r="Z21" s="84">
        <f>+P21+T21+X21</f>
        <v>107589.44</v>
      </c>
      <c r="AA21" s="759">
        <f>+M21+Y21</f>
        <v>209363.56</v>
      </c>
      <c r="AB21" s="759">
        <f>+N21+Z21</f>
        <v>213830.39999999999</v>
      </c>
      <c r="AC21" s="1125">
        <f>+AC17*AC37/100</f>
        <v>35831.040000000001</v>
      </c>
      <c r="AD21" s="1125">
        <v>36839</v>
      </c>
      <c r="AE21" s="672">
        <f>+AA21+AC21</f>
        <v>245194.6</v>
      </c>
      <c r="AF21" s="43">
        <f>+AB21+AD21</f>
        <v>250669.4</v>
      </c>
      <c r="AG21" s="1125">
        <f>+AG17*AG37/100</f>
        <v>34675.199999999997</v>
      </c>
      <c r="AH21" s="1125">
        <v>34299.58812</v>
      </c>
      <c r="AI21" s="672">
        <f>+AE21+AG21</f>
        <v>279869.8</v>
      </c>
      <c r="AJ21" s="43">
        <f>+AF21+AH21</f>
        <v>284968.98811999999</v>
      </c>
      <c r="AK21" s="1125">
        <f>+AK17*AK37/100</f>
        <v>35831.040000000001</v>
      </c>
      <c r="AL21" s="1125">
        <v>36582.745360000001</v>
      </c>
      <c r="AM21" s="761">
        <f>+AC21+AG21+AK21</f>
        <v>106337.28</v>
      </c>
      <c r="AN21" s="84">
        <f>+AD21+AH21+AL21</f>
        <v>107721.33348</v>
      </c>
      <c r="AO21" s="760">
        <f>AI21+AK21</f>
        <v>315700.83999999997</v>
      </c>
      <c r="AP21" s="760">
        <f>AJ21+AL21</f>
        <v>321551.73348</v>
      </c>
      <c r="AQ21" s="1125">
        <f>+AQ17*AQ37/100</f>
        <v>35831.040000000001</v>
      </c>
      <c r="AR21" s="1125">
        <v>36888.428919999984</v>
      </c>
      <c r="AS21" s="672">
        <f>+AO21+AQ21</f>
        <v>351531.87999999995</v>
      </c>
      <c r="AT21" s="43">
        <f>+AP21+AR21</f>
        <v>358440.16239999997</v>
      </c>
      <c r="AU21" s="1125">
        <f>+AU17*AU37/100</f>
        <v>32363.519999999997</v>
      </c>
      <c r="AV21" s="1125">
        <v>33164.609999999986</v>
      </c>
      <c r="AW21" s="672">
        <f>+AS21+AU21</f>
        <v>383895.39999999997</v>
      </c>
      <c r="AX21" s="43">
        <f>+AT21+AV21</f>
        <v>391604.77239999996</v>
      </c>
      <c r="AY21" s="1125">
        <f>+AY17*AY37/100</f>
        <v>35831.040000000001</v>
      </c>
      <c r="AZ21" s="1125">
        <v>36838.788</v>
      </c>
      <c r="BA21" s="761">
        <f>+AQ21+AU21+AY21</f>
        <v>104025.60000000001</v>
      </c>
      <c r="BB21" s="84">
        <f>+AR21+AV21+AZ21</f>
        <v>106891.82691999996</v>
      </c>
      <c r="BC21" s="759">
        <f t="shared" ref="BC21:BC22" si="42">+AM21+BA21</f>
        <v>210362.88</v>
      </c>
      <c r="BD21" s="759">
        <f t="shared" ref="BD21:BD22" si="43">+AN21+BB21</f>
        <v>214613.16039999996</v>
      </c>
      <c r="BE21" s="672">
        <f>+AW21+AY21</f>
        <v>419726.43999999994</v>
      </c>
      <c r="BF21" s="43">
        <f>+AX21+AZ21</f>
        <v>428443.56039999996</v>
      </c>
      <c r="BG21" s="1219"/>
      <c r="BH21" s="1219"/>
      <c r="BI21" s="1219"/>
      <c r="BJ21" s="1546"/>
      <c r="BK21" s="1546"/>
      <c r="BL21" s="26"/>
      <c r="BM21" s="26"/>
      <c r="BN21" s="26"/>
    </row>
    <row r="22" spans="1:66" thickBot="1" x14ac:dyDescent="0.35">
      <c r="A22" s="147" t="s">
        <v>470</v>
      </c>
      <c r="B22" s="1786" t="s">
        <v>150</v>
      </c>
      <c r="C22" s="1392" t="s">
        <v>50</v>
      </c>
      <c r="D22" s="1788">
        <f>+D18*D37/100</f>
        <v>786998.97499999998</v>
      </c>
      <c r="E22" s="1305">
        <f>+E18*E37/100</f>
        <v>64929.9</v>
      </c>
      <c r="F22" s="1305">
        <v>64333.605000000003</v>
      </c>
      <c r="G22" s="1305">
        <f>+G18*G37/100</f>
        <v>67094.23000000001</v>
      </c>
      <c r="H22" s="1305">
        <v>66740.87</v>
      </c>
      <c r="I22" s="764">
        <f>+E22+G22</f>
        <v>132024.13</v>
      </c>
      <c r="J22" s="44">
        <f>+F22+H22</f>
        <v>131074.47500000001</v>
      </c>
      <c r="K22" s="1305">
        <f>+K18*K37/100</f>
        <v>64929.9</v>
      </c>
      <c r="L22" s="1305">
        <v>65239.09</v>
      </c>
      <c r="M22" s="1787">
        <f>+E22+G22+K22</f>
        <v>196954.03</v>
      </c>
      <c r="N22" s="1573">
        <f>+F22+H22+L22</f>
        <v>196313.565</v>
      </c>
      <c r="O22" s="1305">
        <f>+O18*O37/100</f>
        <v>67094.23000000001</v>
      </c>
      <c r="P22" s="1305">
        <v>67778.864999999991</v>
      </c>
      <c r="Q22" s="764">
        <f>+M22+O22</f>
        <v>264048.26</v>
      </c>
      <c r="R22" s="44">
        <f>+N22+P22</f>
        <v>264092.43</v>
      </c>
      <c r="S22" s="1305">
        <f>+S18*S37/100</f>
        <v>67094.23000000001</v>
      </c>
      <c r="T22" s="1305">
        <v>67447.59</v>
      </c>
      <c r="U22" s="764">
        <f>+Q22+S22</f>
        <v>331142.49</v>
      </c>
      <c r="V22" s="44">
        <f>+R22+T22</f>
        <v>331540.02</v>
      </c>
      <c r="W22" s="1305">
        <f>+W18*W37/100</f>
        <v>61948.425000000003</v>
      </c>
      <c r="X22" s="1305">
        <v>64963.855000000003</v>
      </c>
      <c r="Y22" s="761">
        <f>+O22+S22+W22</f>
        <v>196136.88500000001</v>
      </c>
      <c r="Z22" s="84">
        <f>+P22+T22+X22</f>
        <v>200190.31</v>
      </c>
      <c r="AA22" s="759">
        <f>+M22+Y22</f>
        <v>393090.91500000004</v>
      </c>
      <c r="AB22" s="759">
        <f>+N22+Z22</f>
        <v>396503.875</v>
      </c>
      <c r="AC22" s="1305">
        <f>+AC18*AC37/100</f>
        <v>67778.865000000005</v>
      </c>
      <c r="AD22" s="1305">
        <v>67418</v>
      </c>
      <c r="AE22" s="764">
        <f>+AA22+AC22</f>
        <v>460869.78</v>
      </c>
      <c r="AF22" s="44">
        <f>+AB22+AD22</f>
        <v>463921.875</v>
      </c>
      <c r="AG22" s="1305">
        <f>+AG18*AG37/100</f>
        <v>65592.450000000012</v>
      </c>
      <c r="AH22" s="1305">
        <v>62715.657900000006</v>
      </c>
      <c r="AI22" s="764">
        <f>+AE22+AG22</f>
        <v>526462.23</v>
      </c>
      <c r="AJ22" s="44">
        <f>+AF22+AH22</f>
        <v>526637.53289999999</v>
      </c>
      <c r="AK22" s="1305">
        <f>+AK18*AK37/100</f>
        <v>67778.865000000005</v>
      </c>
      <c r="AL22" s="1305">
        <v>67435.13721500001</v>
      </c>
      <c r="AM22" s="761">
        <f>+AC22+AG22+AK22</f>
        <v>201150.18</v>
      </c>
      <c r="AN22" s="84">
        <f>+AD22+AH22+AL22</f>
        <v>197568.79511500002</v>
      </c>
      <c r="AO22" s="760">
        <f>AI22+AK22</f>
        <v>594241.09499999997</v>
      </c>
      <c r="AP22" s="760">
        <f>AJ22+AL22</f>
        <v>594072.67011499999</v>
      </c>
      <c r="AQ22" s="1305">
        <f>+AQ18*AQ37/100</f>
        <v>67778.865000000005</v>
      </c>
      <c r="AR22" s="1305">
        <v>67998.62179249998</v>
      </c>
      <c r="AS22" s="764">
        <f>+AO22+AQ22</f>
        <v>662019.96</v>
      </c>
      <c r="AT22" s="44">
        <f>+AP22+AR22</f>
        <v>662071.29190750001</v>
      </c>
      <c r="AU22" s="1305">
        <f>+AU18*AU37/100</f>
        <v>61219.62</v>
      </c>
      <c r="AV22" s="1305">
        <v>61278.776249999981</v>
      </c>
      <c r="AW22" s="764">
        <f>+AS22+AU22</f>
        <v>723239.58</v>
      </c>
      <c r="AX22" s="44">
        <f>+AT22+AV22</f>
        <v>723350.06815750001</v>
      </c>
      <c r="AY22" s="1305">
        <f>+AY18*AY37/100</f>
        <v>67778.865000000005</v>
      </c>
      <c r="AZ22" s="1305">
        <v>68018.329500000007</v>
      </c>
      <c r="BA22" s="761">
        <f>+AQ22+AU22+AY22</f>
        <v>196777.35000000003</v>
      </c>
      <c r="BB22" s="84">
        <f>+AR22+AV22+AZ22</f>
        <v>197295.72754249995</v>
      </c>
      <c r="BC22" s="759">
        <f t="shared" si="42"/>
        <v>397927.53</v>
      </c>
      <c r="BD22" s="759">
        <f t="shared" si="43"/>
        <v>394864.5226575</v>
      </c>
      <c r="BE22" s="764">
        <f>+AW22+AY22</f>
        <v>791018.44499999995</v>
      </c>
      <c r="BF22" s="44">
        <f>+AX22+AZ22</f>
        <v>791368.3976575</v>
      </c>
      <c r="BG22" s="1219"/>
      <c r="BH22" s="1219"/>
      <c r="BI22" s="1219"/>
      <c r="BJ22" s="1546"/>
      <c r="BK22" s="1546"/>
      <c r="BL22" s="26"/>
      <c r="BM22" s="26"/>
      <c r="BN22" s="26"/>
    </row>
    <row r="23" spans="1:66" thickBot="1" x14ac:dyDescent="0.35">
      <c r="A23" s="147" t="s">
        <v>470</v>
      </c>
      <c r="B23" s="1390" t="s">
        <v>78</v>
      </c>
      <c r="C23" s="1393" t="s">
        <v>50</v>
      </c>
      <c r="D23" s="1436">
        <f t="shared" ref="D23:J23" si="44">SUM(D21:D22)</f>
        <v>1202342.855</v>
      </c>
      <c r="E23" s="198">
        <f t="shared" si="44"/>
        <v>100327.5</v>
      </c>
      <c r="F23" s="198">
        <f t="shared" si="44"/>
        <v>99442.244999999995</v>
      </c>
      <c r="G23" s="198">
        <f t="shared" ref="G23:H23" si="45">SUM(G21:G22)</f>
        <v>103671.75</v>
      </c>
      <c r="H23" s="198">
        <f t="shared" si="45"/>
        <v>103173.90999999999</v>
      </c>
      <c r="I23" s="745">
        <f t="shared" si="44"/>
        <v>203999.25</v>
      </c>
      <c r="J23" s="1129">
        <f t="shared" si="44"/>
        <v>202616.155</v>
      </c>
      <c r="K23" s="198">
        <f t="shared" ref="K23:L23" si="46">SUM(K21:K22)</f>
        <v>98882.700000000012</v>
      </c>
      <c r="L23" s="198">
        <f t="shared" si="46"/>
        <v>99938.37</v>
      </c>
      <c r="M23" s="766">
        <f t="shared" ref="M23:R23" si="47">SUM(M21:M22)</f>
        <v>302881.95</v>
      </c>
      <c r="N23" s="172">
        <f t="shared" si="47"/>
        <v>302554.52500000002</v>
      </c>
      <c r="O23" s="198">
        <f t="shared" si="47"/>
        <v>102178.79000000001</v>
      </c>
      <c r="P23" s="198">
        <f t="shared" si="47"/>
        <v>103393.185</v>
      </c>
      <c r="Q23" s="745">
        <f t="shared" si="47"/>
        <v>405060.74</v>
      </c>
      <c r="R23" s="1129">
        <f t="shared" si="47"/>
        <v>405947.70999999996</v>
      </c>
      <c r="S23" s="198">
        <f t="shared" ref="S23:T23" si="48">SUM(S21:S22)</f>
        <v>102178.79000000001</v>
      </c>
      <c r="T23" s="198">
        <f t="shared" si="48"/>
        <v>104025.10999999999</v>
      </c>
      <c r="U23" s="745">
        <f t="shared" ref="U23:X23" si="49">SUM(U21:U22)</f>
        <v>507239.52999999997</v>
      </c>
      <c r="V23" s="1129">
        <f t="shared" si="49"/>
        <v>509972.82</v>
      </c>
      <c r="W23" s="198">
        <f t="shared" si="49"/>
        <v>95214.945000000007</v>
      </c>
      <c r="X23" s="198">
        <f t="shared" si="49"/>
        <v>100361.455</v>
      </c>
      <c r="Y23" s="748">
        <f t="shared" ref="Y23:Z23" si="50">SUM(Y21:Y22)</f>
        <v>299572.52500000002</v>
      </c>
      <c r="Z23" s="172">
        <f t="shared" si="50"/>
        <v>307779.75</v>
      </c>
      <c r="AA23" s="2372">
        <f t="shared" ref="AA23:AF23" si="51">SUM(AA21:AA22)</f>
        <v>602454.47500000009</v>
      </c>
      <c r="AB23" s="473">
        <f t="shared" si="51"/>
        <v>610334.27500000002</v>
      </c>
      <c r="AC23" s="198">
        <f t="shared" si="51"/>
        <v>103609.905</v>
      </c>
      <c r="AD23" s="198">
        <f t="shared" si="51"/>
        <v>104257</v>
      </c>
      <c r="AE23" s="745">
        <f t="shared" si="51"/>
        <v>706064.38</v>
      </c>
      <c r="AF23" s="1129">
        <f t="shared" si="51"/>
        <v>714591.27500000002</v>
      </c>
      <c r="AG23" s="198">
        <f t="shared" ref="AG23:AH23" si="52">SUM(AG21:AG22)</f>
        <v>100267.65000000001</v>
      </c>
      <c r="AH23" s="198">
        <f t="shared" si="52"/>
        <v>97015.246020000006</v>
      </c>
      <c r="AI23" s="745">
        <f t="shared" ref="AI23:AN23" si="53">SUM(AI21:AI22)</f>
        <v>806332.03</v>
      </c>
      <c r="AJ23" s="1129">
        <f t="shared" si="53"/>
        <v>811606.52101999999</v>
      </c>
      <c r="AK23" s="198">
        <f t="shared" si="53"/>
        <v>103609.905</v>
      </c>
      <c r="AL23" s="198">
        <f t="shared" si="53"/>
        <v>104017.88257500001</v>
      </c>
      <c r="AM23" s="748">
        <f t="shared" si="53"/>
        <v>307487.45999999996</v>
      </c>
      <c r="AN23" s="172">
        <f t="shared" si="53"/>
        <v>305290.12859500002</v>
      </c>
      <c r="AO23" s="745">
        <f t="shared" ref="AO23:AT23" si="54">SUM(AO21:AO22)</f>
        <v>909941.93499999994</v>
      </c>
      <c r="AP23" s="1129">
        <f t="shared" si="54"/>
        <v>915624.40359500004</v>
      </c>
      <c r="AQ23" s="198">
        <f t="shared" si="54"/>
        <v>103609.905</v>
      </c>
      <c r="AR23" s="198">
        <f t="shared" si="54"/>
        <v>104887.05071249997</v>
      </c>
      <c r="AS23" s="745">
        <f t="shared" si="54"/>
        <v>1013551.8399999999</v>
      </c>
      <c r="AT23" s="1129">
        <f t="shared" si="54"/>
        <v>1020511.4543075</v>
      </c>
      <c r="AU23" s="198">
        <f t="shared" ref="AU23:AX23" si="55">SUM(AU21:AU22)</f>
        <v>93583.14</v>
      </c>
      <c r="AV23" s="198">
        <f t="shared" si="55"/>
        <v>94443.386249999967</v>
      </c>
      <c r="AW23" s="745">
        <f t="shared" si="55"/>
        <v>1107134.98</v>
      </c>
      <c r="AX23" s="1129">
        <f t="shared" si="55"/>
        <v>1114954.8405575</v>
      </c>
      <c r="AY23" s="198">
        <f t="shared" ref="AY23:AZ23" si="56">SUM(AY21:AY22)</f>
        <v>103609.905</v>
      </c>
      <c r="AZ23" s="198">
        <f t="shared" si="56"/>
        <v>104857.11750000001</v>
      </c>
      <c r="BA23" s="748">
        <f t="shared" ref="BA23:BF23" si="57">SUM(BA21:BA22)</f>
        <v>300802.95000000007</v>
      </c>
      <c r="BB23" s="172">
        <f t="shared" si="57"/>
        <v>304187.55446249992</v>
      </c>
      <c r="BC23" s="2372">
        <f t="shared" si="57"/>
        <v>608290.41</v>
      </c>
      <c r="BD23" s="473">
        <f t="shared" si="57"/>
        <v>609477.68305749993</v>
      </c>
      <c r="BE23" s="745">
        <f t="shared" si="57"/>
        <v>1210744.8849999998</v>
      </c>
      <c r="BF23" s="1129">
        <f t="shared" si="57"/>
        <v>1219811.9580575</v>
      </c>
      <c r="BG23" s="1219"/>
      <c r="BH23" s="1219"/>
      <c r="BI23" s="1219"/>
      <c r="BJ23" s="1546"/>
      <c r="BK23" s="1546"/>
      <c r="BL23" s="26"/>
      <c r="BM23" s="26"/>
      <c r="BN23" s="26"/>
    </row>
    <row r="24" spans="1:66" thickBot="1" x14ac:dyDescent="0.35">
      <c r="A24" s="147" t="s">
        <v>470</v>
      </c>
      <c r="B24" s="1783" t="s">
        <v>152</v>
      </c>
      <c r="C24" s="1392" t="s">
        <v>50</v>
      </c>
      <c r="D24" s="1313">
        <f>+D17*D38/100</f>
        <v>8900.2260000000006</v>
      </c>
      <c r="E24" s="1122">
        <f>+E17*E38/100</f>
        <v>758.52</v>
      </c>
      <c r="F24" s="1122">
        <v>752.32799999999997</v>
      </c>
      <c r="G24" s="1122">
        <f>+G17*G38/100</f>
        <v>783.80399999999997</v>
      </c>
      <c r="H24" s="1122">
        <v>780.70799999999997</v>
      </c>
      <c r="I24" s="760">
        <f>+E24+G24</f>
        <v>1542.3240000000001</v>
      </c>
      <c r="J24" s="62">
        <f>+F24+H24</f>
        <v>1533.0360000000001</v>
      </c>
      <c r="K24" s="1122">
        <f>+K17*K38/100</f>
        <v>727.56</v>
      </c>
      <c r="L24" s="1122">
        <v>743.55600000000004</v>
      </c>
      <c r="M24" s="1123">
        <f>+E24+G24+K24</f>
        <v>2269.884</v>
      </c>
      <c r="N24" s="84">
        <f>+F24+H24+L24</f>
        <v>2276.5920000000001</v>
      </c>
      <c r="O24" s="1122">
        <f>+O17*O38/100</f>
        <v>751.81200000000001</v>
      </c>
      <c r="P24" s="1122">
        <v>763.16399999999999</v>
      </c>
      <c r="Q24" s="760">
        <f>+M24+O24</f>
        <v>3021.6959999999999</v>
      </c>
      <c r="R24" s="62">
        <f>+N24+P24</f>
        <v>3039.7560000000003</v>
      </c>
      <c r="S24" s="1122">
        <f>+S17*S38/100</f>
        <v>751.81200000000001</v>
      </c>
      <c r="T24" s="1122">
        <v>783.80399999999997</v>
      </c>
      <c r="U24" s="760">
        <f>+Q24+S24</f>
        <v>3773.5079999999998</v>
      </c>
      <c r="V24" s="62">
        <f>+R24+T24</f>
        <v>3823.5600000000004</v>
      </c>
      <c r="W24" s="1122">
        <f>+W17*W38/100</f>
        <v>712.85399999999993</v>
      </c>
      <c r="X24" s="1122">
        <v>758.52</v>
      </c>
      <c r="Y24" s="761">
        <f>+O24+S24+W24</f>
        <v>2216.4780000000001</v>
      </c>
      <c r="Z24" s="84">
        <f>+P24+T24+X24</f>
        <v>2305.4879999999998</v>
      </c>
      <c r="AA24" s="759">
        <f>+M24+Y24</f>
        <v>4486.3620000000001</v>
      </c>
      <c r="AB24" s="759">
        <f>+N24+Z24</f>
        <v>4582.08</v>
      </c>
      <c r="AC24" s="1122">
        <f>+AC17*AC38/100</f>
        <v>767.80799999999988</v>
      </c>
      <c r="AD24" s="1122">
        <v>523</v>
      </c>
      <c r="AE24" s="760">
        <f>+AA24+AC24</f>
        <v>5254.17</v>
      </c>
      <c r="AF24" s="62">
        <f>+AB24+AD24</f>
        <v>5105.08</v>
      </c>
      <c r="AG24" s="1122">
        <f>+AG17*AG38/100</f>
        <v>743.03999999999985</v>
      </c>
      <c r="AH24" s="1122">
        <v>729.88199999999995</v>
      </c>
      <c r="AI24" s="760">
        <f>+AE24+AG24</f>
        <v>5997.21</v>
      </c>
      <c r="AJ24" s="62">
        <f>+AF24+AH24</f>
        <v>5834.9619999999995</v>
      </c>
      <c r="AK24" s="1122">
        <f>+AK17*AK38/100</f>
        <v>767.80799999999988</v>
      </c>
      <c r="AL24" s="1122">
        <v>783.80399999999997</v>
      </c>
      <c r="AM24" s="761">
        <f>+AC24+AG24+AK24</f>
        <v>2278.6559999999995</v>
      </c>
      <c r="AN24" s="84">
        <f>+AD24+AH24+AL24</f>
        <v>2036.6860000000001</v>
      </c>
      <c r="AO24" s="760">
        <f>AI24+AK24</f>
        <v>6765.018</v>
      </c>
      <c r="AP24" s="760">
        <f>AJ24+AL24</f>
        <v>6618.7659999999996</v>
      </c>
      <c r="AQ24" s="1122">
        <f>+AQ17*AQ38/100</f>
        <v>767.80799999999988</v>
      </c>
      <c r="AR24" s="1122">
        <v>470.28240000000005</v>
      </c>
      <c r="AS24" s="760">
        <f>+AO24+AQ24</f>
        <v>7532.826</v>
      </c>
      <c r="AT24" s="62">
        <f>+AP24+AR24</f>
        <v>7089.0483999999997</v>
      </c>
      <c r="AU24" s="1122">
        <f>+AU17*AU38/100</f>
        <v>693.50399999999991</v>
      </c>
      <c r="AV24" s="1122">
        <v>705.63</v>
      </c>
      <c r="AW24" s="760">
        <f>+AS24+AU24</f>
        <v>8226.33</v>
      </c>
      <c r="AX24" s="62">
        <f>+AT24+AV24</f>
        <v>7794.6783999999998</v>
      </c>
      <c r="AY24" s="1122">
        <f>+AY17*AY38/100</f>
        <v>767.80799999999988</v>
      </c>
      <c r="AZ24" s="1122">
        <v>783.80399999999997</v>
      </c>
      <c r="BA24" s="761">
        <f>+AQ24+AU24+AY24</f>
        <v>2229.12</v>
      </c>
      <c r="BB24" s="84">
        <f>+AR24+AV24+AZ24</f>
        <v>1959.7164000000002</v>
      </c>
      <c r="BC24" s="759">
        <f t="shared" ref="BC24:BC25" si="58">+AM24+BA24</f>
        <v>4507.7759999999998</v>
      </c>
      <c r="BD24" s="759">
        <f t="shared" ref="BD24:BD25" si="59">+AN24+BB24</f>
        <v>3996.4024000000004</v>
      </c>
      <c r="BE24" s="760">
        <f>+AW24+AY24</f>
        <v>8994.137999999999</v>
      </c>
      <c r="BF24" s="62">
        <f>+AX24+AZ24</f>
        <v>8578.482399999999</v>
      </c>
      <c r="BG24" s="1219"/>
      <c r="BH24" s="1219"/>
      <c r="BI24" s="1219"/>
      <c r="BJ24" s="1546"/>
      <c r="BK24" s="1546"/>
      <c r="BL24" s="26"/>
      <c r="BM24" s="26"/>
      <c r="BN24" s="26"/>
    </row>
    <row r="25" spans="1:66" thickBot="1" x14ac:dyDescent="0.35">
      <c r="A25" s="147" t="s">
        <v>470</v>
      </c>
      <c r="B25" s="1784" t="s">
        <v>153</v>
      </c>
      <c r="C25" s="1392" t="s">
        <v>50</v>
      </c>
      <c r="D25" s="1435">
        <f>+D18*D38/100</f>
        <v>16864.263749999998</v>
      </c>
      <c r="E25" s="725">
        <f>+E18*E38/100</f>
        <v>1391.355</v>
      </c>
      <c r="F25" s="725">
        <v>1378.57725</v>
      </c>
      <c r="G25" s="725">
        <f>+G18*G38/100</f>
        <v>1437.7335</v>
      </c>
      <c r="H25" s="725">
        <v>1430.1614999999999</v>
      </c>
      <c r="I25" s="765">
        <f>+E25+G25</f>
        <v>2829.0884999999998</v>
      </c>
      <c r="J25" s="62">
        <f>+F25+H25</f>
        <v>2808.73875</v>
      </c>
      <c r="K25" s="725">
        <f>+K18*K38/100</f>
        <v>1391.355</v>
      </c>
      <c r="L25" s="725">
        <v>1397.9804999999999</v>
      </c>
      <c r="M25" s="1566">
        <f>+E25+G25+K25</f>
        <v>4220.4434999999994</v>
      </c>
      <c r="N25" s="84">
        <f>+F25+H25+L25</f>
        <v>4206.7192500000001</v>
      </c>
      <c r="O25" s="725">
        <f>+O18*O38/100</f>
        <v>1437.7335</v>
      </c>
      <c r="P25" s="725">
        <v>1452.4042499999998</v>
      </c>
      <c r="Q25" s="765">
        <f>+M25+O25</f>
        <v>5658.1769999999997</v>
      </c>
      <c r="R25" s="62">
        <f>+N25+P25</f>
        <v>5659.1234999999997</v>
      </c>
      <c r="S25" s="725">
        <f>+S18*S38/100</f>
        <v>1437.7335</v>
      </c>
      <c r="T25" s="725">
        <v>1445.3054999999999</v>
      </c>
      <c r="U25" s="765">
        <f>+Q25+S25</f>
        <v>7095.9105</v>
      </c>
      <c r="V25" s="62">
        <f>+R25+T25</f>
        <v>7104.4290000000001</v>
      </c>
      <c r="W25" s="725">
        <f>+W18*W38/100</f>
        <v>1327.4662499999999</v>
      </c>
      <c r="X25" s="725">
        <v>1402.2397500000002</v>
      </c>
      <c r="Y25" s="761">
        <f>+O25+S25+W25</f>
        <v>4202.93325</v>
      </c>
      <c r="Z25" s="84">
        <f>+P25+T25+X25</f>
        <v>4299.9495000000006</v>
      </c>
      <c r="AA25" s="759">
        <f>+M25+Y25</f>
        <v>8423.3767499999994</v>
      </c>
      <c r="AB25" s="759">
        <f>+N25+Z25</f>
        <v>8506.6687500000007</v>
      </c>
      <c r="AC25" s="725">
        <f>+AC18*AC38/100</f>
        <v>1452.4042500000003</v>
      </c>
      <c r="AD25" s="725">
        <v>956</v>
      </c>
      <c r="AE25" s="765">
        <f>+AA25+AC25</f>
        <v>9875.780999999999</v>
      </c>
      <c r="AF25" s="62">
        <f>+AB25+AD25</f>
        <v>9462.6687500000007</v>
      </c>
      <c r="AG25" s="725">
        <f>+AG18*AG38/100</f>
        <v>1405.5525000000002</v>
      </c>
      <c r="AH25" s="725">
        <v>1334.5650000000001</v>
      </c>
      <c r="AI25" s="765">
        <f>+AE25+AG25</f>
        <v>11281.333499999999</v>
      </c>
      <c r="AJ25" s="62">
        <f>+AF25+AH25</f>
        <v>10797.233750000001</v>
      </c>
      <c r="AK25" s="725">
        <f>+AK18*AK38/100</f>
        <v>1452.4042500000003</v>
      </c>
      <c r="AL25" s="725">
        <v>1444.8322500000002</v>
      </c>
      <c r="AM25" s="761">
        <f>+AC25+AG25+AK25</f>
        <v>4310.3610000000008</v>
      </c>
      <c r="AN25" s="84">
        <f>+AD25+AH25+AL25</f>
        <v>3735.39725</v>
      </c>
      <c r="AO25" s="760">
        <f>AI25+AK25</f>
        <v>12733.737749999998</v>
      </c>
      <c r="AP25" s="760">
        <f>AJ25+AL25</f>
        <v>12242.066000000001</v>
      </c>
      <c r="AQ25" s="725">
        <f>+AQ18*AQ38/100</f>
        <v>1452.4042500000003</v>
      </c>
      <c r="AR25" s="725">
        <v>866.89935000000014</v>
      </c>
      <c r="AS25" s="765">
        <f>+AO25+AQ25</f>
        <v>14186.141999999998</v>
      </c>
      <c r="AT25" s="62">
        <f>+AP25+AR25</f>
        <v>13108.96535</v>
      </c>
      <c r="AU25" s="725">
        <f>+AU18*AU38/100</f>
        <v>1311.8490000000002</v>
      </c>
      <c r="AV25" s="725">
        <v>1303.80375</v>
      </c>
      <c r="AW25" s="765">
        <f>+AS25+AU25</f>
        <v>15497.990999999998</v>
      </c>
      <c r="AX25" s="62">
        <f>+AT25+AV25</f>
        <v>14412.769100000001</v>
      </c>
      <c r="AY25" s="725">
        <f>+AY18*AY38/100</f>
        <v>1452.4042500000003</v>
      </c>
      <c r="AZ25" s="725">
        <v>1447.1985</v>
      </c>
      <c r="BA25" s="761">
        <f>+AQ25+AU25+AY25</f>
        <v>4216.6575000000012</v>
      </c>
      <c r="BB25" s="84">
        <f>+AR25+AV25+AZ25</f>
        <v>3617.9016000000001</v>
      </c>
      <c r="BC25" s="759">
        <f t="shared" si="58"/>
        <v>8527.0185000000019</v>
      </c>
      <c r="BD25" s="759">
        <f t="shared" si="59"/>
        <v>7353.2988500000001</v>
      </c>
      <c r="BE25" s="765">
        <f>+AW25+AY25</f>
        <v>16950.395249999998</v>
      </c>
      <c r="BF25" s="62">
        <f>+AX25+AZ25</f>
        <v>15859.967600000002</v>
      </c>
      <c r="BG25" s="1219"/>
      <c r="BH25" s="1219"/>
      <c r="BI25" s="1219"/>
      <c r="BJ25" s="1546"/>
      <c r="BK25" s="1546"/>
      <c r="BL25" s="26"/>
      <c r="BM25" s="26"/>
      <c r="BN25" s="26"/>
    </row>
    <row r="26" spans="1:66" thickBot="1" x14ac:dyDescent="0.35">
      <c r="A26" s="147" t="s">
        <v>470</v>
      </c>
      <c r="B26" s="1390" t="s">
        <v>142</v>
      </c>
      <c r="C26" s="1393" t="s">
        <v>50</v>
      </c>
      <c r="D26" s="1436">
        <f t="shared" ref="D26:J26" si="60">SUM(D24:D25)</f>
        <v>25764.489750000001</v>
      </c>
      <c r="E26" s="198">
        <f t="shared" si="60"/>
        <v>2149.875</v>
      </c>
      <c r="F26" s="198">
        <f t="shared" si="60"/>
        <v>2130.9052499999998</v>
      </c>
      <c r="G26" s="198">
        <f t="shared" ref="G26:H26" si="61">SUM(G24:G25)</f>
        <v>2221.5374999999999</v>
      </c>
      <c r="H26" s="198">
        <f t="shared" si="61"/>
        <v>2210.8694999999998</v>
      </c>
      <c r="I26" s="745">
        <f t="shared" si="60"/>
        <v>4371.4125000000004</v>
      </c>
      <c r="J26" s="1129">
        <f t="shared" si="60"/>
        <v>4341.7747500000005</v>
      </c>
      <c r="K26" s="198">
        <f t="shared" ref="K26:L26" si="62">SUM(K24:K25)</f>
        <v>2118.915</v>
      </c>
      <c r="L26" s="198">
        <f t="shared" si="62"/>
        <v>2141.5365000000002</v>
      </c>
      <c r="M26" s="766">
        <f t="shared" ref="M26:R26" si="63">SUM(M24:M25)</f>
        <v>6490.3274999999994</v>
      </c>
      <c r="N26" s="172">
        <f t="shared" si="63"/>
        <v>6483.3112500000007</v>
      </c>
      <c r="O26" s="198">
        <f t="shared" si="63"/>
        <v>2189.5455000000002</v>
      </c>
      <c r="P26" s="198">
        <f t="shared" si="63"/>
        <v>2215.5682499999998</v>
      </c>
      <c r="Q26" s="745">
        <f>SUM(Q24:Q25)</f>
        <v>8679.8729999999996</v>
      </c>
      <c r="R26" s="1129">
        <f t="shared" si="63"/>
        <v>8698.8794999999991</v>
      </c>
      <c r="S26" s="198">
        <f t="shared" ref="S26:T26" si="64">SUM(S24:S25)</f>
        <v>2189.5455000000002</v>
      </c>
      <c r="T26" s="198">
        <f t="shared" si="64"/>
        <v>2229.1095</v>
      </c>
      <c r="U26" s="745">
        <f>SUM(U24:U25)</f>
        <v>10869.4185</v>
      </c>
      <c r="V26" s="1129">
        <f t="shared" ref="V26:X26" si="65">SUM(V24:V25)</f>
        <v>10927.989000000001</v>
      </c>
      <c r="W26" s="198">
        <f t="shared" si="65"/>
        <v>2040.3202499999998</v>
      </c>
      <c r="X26" s="198">
        <f t="shared" si="65"/>
        <v>2160.7597500000002</v>
      </c>
      <c r="Y26" s="748">
        <f t="shared" ref="Y26:Z26" si="66">SUM(Y24:Y25)</f>
        <v>6419.4112500000001</v>
      </c>
      <c r="Z26" s="172">
        <f t="shared" si="66"/>
        <v>6605.4375</v>
      </c>
      <c r="AA26" s="2372">
        <f t="shared" ref="AA26:AF26" si="67">SUM(AA24:AA25)</f>
        <v>12909.73875</v>
      </c>
      <c r="AB26" s="473">
        <f t="shared" si="67"/>
        <v>13088.748750000001</v>
      </c>
      <c r="AC26" s="198">
        <f t="shared" si="67"/>
        <v>2220.21225</v>
      </c>
      <c r="AD26" s="198">
        <f t="shared" si="67"/>
        <v>1479</v>
      </c>
      <c r="AE26" s="745">
        <f t="shared" si="67"/>
        <v>15129.950999999999</v>
      </c>
      <c r="AF26" s="1129">
        <f t="shared" si="67"/>
        <v>14567.748750000001</v>
      </c>
      <c r="AG26" s="198">
        <f t="shared" ref="AG26:AH26" si="68">SUM(AG24:AG25)</f>
        <v>2148.5925000000002</v>
      </c>
      <c r="AH26" s="198">
        <f t="shared" si="68"/>
        <v>2064.4470000000001</v>
      </c>
      <c r="AI26" s="745">
        <f t="shared" ref="AI26:AN26" si="69">SUM(AI24:AI25)</f>
        <v>17278.5435</v>
      </c>
      <c r="AJ26" s="1129">
        <f t="shared" si="69"/>
        <v>16632.195749999999</v>
      </c>
      <c r="AK26" s="198">
        <f t="shared" si="69"/>
        <v>2220.21225</v>
      </c>
      <c r="AL26" s="198">
        <f t="shared" si="69"/>
        <v>2228.63625</v>
      </c>
      <c r="AM26" s="748">
        <f t="shared" si="69"/>
        <v>6589.0169999999998</v>
      </c>
      <c r="AN26" s="172">
        <f t="shared" si="69"/>
        <v>5772.0832499999997</v>
      </c>
      <c r="AO26" s="745">
        <f t="shared" ref="AO26:AT26" si="70">SUM(AO24:AO25)</f>
        <v>19498.755749999997</v>
      </c>
      <c r="AP26" s="1129">
        <f t="shared" si="70"/>
        <v>18860.832000000002</v>
      </c>
      <c r="AQ26" s="198">
        <f t="shared" si="70"/>
        <v>2220.21225</v>
      </c>
      <c r="AR26" s="198">
        <f t="shared" si="70"/>
        <v>1337.1817500000002</v>
      </c>
      <c r="AS26" s="745">
        <f t="shared" si="70"/>
        <v>21718.967999999997</v>
      </c>
      <c r="AT26" s="1129">
        <f t="shared" si="70"/>
        <v>20198.013749999998</v>
      </c>
      <c r="AU26" s="198">
        <f t="shared" ref="AU26:AX26" si="71">SUM(AU24:AU25)</f>
        <v>2005.3530000000001</v>
      </c>
      <c r="AV26" s="198">
        <f t="shared" si="71"/>
        <v>2009.4337500000001</v>
      </c>
      <c r="AW26" s="745">
        <f t="shared" si="71"/>
        <v>23724.320999999996</v>
      </c>
      <c r="AX26" s="1129">
        <f t="shared" si="71"/>
        <v>22207.447500000002</v>
      </c>
      <c r="AY26" s="198">
        <f t="shared" ref="AY26:AZ26" si="72">SUM(AY24:AY25)</f>
        <v>2220.21225</v>
      </c>
      <c r="AZ26" s="198">
        <f t="shared" si="72"/>
        <v>2231.0025000000001</v>
      </c>
      <c r="BA26" s="748">
        <f t="shared" ref="BA26:BF26" si="73">SUM(BA24:BA25)</f>
        <v>6445.7775000000011</v>
      </c>
      <c r="BB26" s="172">
        <f t="shared" si="73"/>
        <v>5577.6180000000004</v>
      </c>
      <c r="BC26" s="2372">
        <f t="shared" si="73"/>
        <v>13034.794500000002</v>
      </c>
      <c r="BD26" s="473">
        <f t="shared" si="73"/>
        <v>11349.70125</v>
      </c>
      <c r="BE26" s="745">
        <f t="shared" si="73"/>
        <v>25944.533249999997</v>
      </c>
      <c r="BF26" s="1129">
        <f t="shared" si="73"/>
        <v>24438.45</v>
      </c>
      <c r="BG26" s="1219"/>
      <c r="BH26" s="1219"/>
      <c r="BI26" s="1219"/>
      <c r="BJ26" s="1546"/>
      <c r="BK26" s="1546"/>
      <c r="BL26" s="26"/>
      <c r="BM26" s="26"/>
      <c r="BN26" s="26"/>
    </row>
    <row r="27" spans="1:66" thickBot="1" x14ac:dyDescent="0.35">
      <c r="A27" s="147" t="s">
        <v>470</v>
      </c>
      <c r="B27" s="1783" t="s">
        <v>154</v>
      </c>
      <c r="C27" s="1392" t="s">
        <v>50</v>
      </c>
      <c r="D27" s="1313">
        <f>+D17*D39/100</f>
        <v>20767.194000000003</v>
      </c>
      <c r="E27" s="1122">
        <f>+E17*E39/100</f>
        <v>1769.88</v>
      </c>
      <c r="F27" s="1122">
        <v>1504.6559999999999</v>
      </c>
      <c r="G27" s="1122">
        <f>+G17*G39/100</f>
        <v>1828.876</v>
      </c>
      <c r="H27" s="1122">
        <v>1561.4159999999999</v>
      </c>
      <c r="I27" s="718">
        <f>+E27+G27</f>
        <v>3598.7560000000003</v>
      </c>
      <c r="J27" s="62">
        <f>+F27+H27</f>
        <v>3066.0720000000001</v>
      </c>
      <c r="K27" s="1122">
        <f>+K17*K39/100</f>
        <v>1697.64</v>
      </c>
      <c r="L27" s="1122">
        <v>1487.1120000000001</v>
      </c>
      <c r="M27" s="1123">
        <f>+E27+G27+K27</f>
        <v>5296.3960000000006</v>
      </c>
      <c r="N27" s="84">
        <f>+F27+H27+L27</f>
        <v>4553.1840000000002</v>
      </c>
      <c r="O27" s="1122">
        <f>+O17*O39/100</f>
        <v>1754.2279999999998</v>
      </c>
      <c r="P27" s="1122">
        <v>1526.328</v>
      </c>
      <c r="Q27" s="718">
        <f>+M27+O27</f>
        <v>7050.6240000000007</v>
      </c>
      <c r="R27" s="62">
        <f>+N27+P27</f>
        <v>6079.5120000000006</v>
      </c>
      <c r="S27" s="1122">
        <f>+S17*S39/100</f>
        <v>1754.2279999999998</v>
      </c>
      <c r="T27" s="1122">
        <v>1567.6079999999999</v>
      </c>
      <c r="U27" s="718">
        <f>+Q27+S27</f>
        <v>8804.8520000000008</v>
      </c>
      <c r="V27" s="62">
        <f>+R27+T27</f>
        <v>7647.1200000000008</v>
      </c>
      <c r="W27" s="1122">
        <f>+W17*W39/100</f>
        <v>1663.326</v>
      </c>
      <c r="X27" s="1122">
        <v>1517.04</v>
      </c>
      <c r="Y27" s="761">
        <f>+O27+S27+W27</f>
        <v>5171.7819999999992</v>
      </c>
      <c r="Z27" s="84">
        <f>+P27+T27+X27</f>
        <v>4610.9759999999997</v>
      </c>
      <c r="AA27" s="759">
        <f>+M27+Y27</f>
        <v>10468.178</v>
      </c>
      <c r="AB27" s="759">
        <f>+N27+Z27</f>
        <v>9164.16</v>
      </c>
      <c r="AC27" s="1122">
        <f>+AC17*AC39/100</f>
        <v>1791.5519999999999</v>
      </c>
      <c r="AD27" s="1122">
        <v>1567</v>
      </c>
      <c r="AE27" s="718">
        <f>+AA27+AC27</f>
        <v>12259.73</v>
      </c>
      <c r="AF27" s="62">
        <f>+AB27+AD27</f>
        <v>10731.16</v>
      </c>
      <c r="AG27" s="1122">
        <f>+AG17*AG39/100</f>
        <v>1733.7599999999998</v>
      </c>
      <c r="AH27" s="1122">
        <v>1221.3358799999999</v>
      </c>
      <c r="AI27" s="718">
        <f>+AE27+AG27</f>
        <v>13993.49</v>
      </c>
      <c r="AJ27" s="62">
        <f>+AF27+AH27</f>
        <v>11952.49588</v>
      </c>
      <c r="AK27" s="1122">
        <f>+AK17*AK39/100</f>
        <v>1791.5519999999999</v>
      </c>
      <c r="AL27" s="1122">
        <v>1562.38264</v>
      </c>
      <c r="AM27" s="761">
        <f>+AC27+AG27+AK27</f>
        <v>5316.8639999999996</v>
      </c>
      <c r="AN27" s="84">
        <f>+AD27+AH27+AL27</f>
        <v>4350.7185199999994</v>
      </c>
      <c r="AO27" s="760">
        <f>AI27+AK27</f>
        <v>15785.041999999999</v>
      </c>
      <c r="AP27" s="760">
        <f>AJ27+AL27</f>
        <v>13514.87852</v>
      </c>
      <c r="AQ27" s="1122">
        <f>+AQ17*AQ39/100</f>
        <v>1791.5519999999999</v>
      </c>
      <c r="AR27" s="1122">
        <v>1578.05872</v>
      </c>
      <c r="AS27" s="718">
        <f>+AO27+AQ27</f>
        <v>17576.594000000001</v>
      </c>
      <c r="AT27" s="62">
        <f>+AP27+AR27</f>
        <v>15092.937239999999</v>
      </c>
      <c r="AU27" s="1122">
        <f>+AU17*AU39/100</f>
        <v>1618.1759999999997</v>
      </c>
      <c r="AV27" s="1122">
        <v>1176.05</v>
      </c>
      <c r="AW27" s="718">
        <f>+AS27+AU27</f>
        <v>19194.77</v>
      </c>
      <c r="AX27" s="62">
        <f>+AT27+AV27</f>
        <v>16268.987239999999</v>
      </c>
      <c r="AY27" s="1122">
        <f>+AY17*AY39/100</f>
        <v>1791.5519999999999</v>
      </c>
      <c r="AZ27" s="1122">
        <v>1306.3400000000001</v>
      </c>
      <c r="BA27" s="761">
        <f>+AQ27+AU27+AY27</f>
        <v>5201.28</v>
      </c>
      <c r="BB27" s="84">
        <f>+AR27+AV27+AZ27</f>
        <v>4060.4487200000003</v>
      </c>
      <c r="BC27" s="759">
        <f t="shared" ref="BC27:BC28" si="74">+AM27+BA27</f>
        <v>10518.144</v>
      </c>
      <c r="BD27" s="759">
        <f t="shared" ref="BD27:BD28" si="75">+AN27+BB27</f>
        <v>8411.1672399999989</v>
      </c>
      <c r="BE27" s="718">
        <f>+AW27+AY27</f>
        <v>20986.322</v>
      </c>
      <c r="BF27" s="62">
        <f>+AX27+AZ27</f>
        <v>17575.327239999999</v>
      </c>
      <c r="BG27" s="1219"/>
      <c r="BH27" s="1219"/>
      <c r="BI27" s="1219"/>
      <c r="BJ27" s="1546"/>
      <c r="BK27" s="1546"/>
      <c r="BL27" s="26"/>
      <c r="BM27" s="26"/>
      <c r="BN27" s="26"/>
    </row>
    <row r="28" spans="1:66" thickBot="1" x14ac:dyDescent="0.35">
      <c r="A28" s="147" t="s">
        <v>470</v>
      </c>
      <c r="B28" s="1784" t="s">
        <v>155</v>
      </c>
      <c r="C28" s="1392" t="s">
        <v>50</v>
      </c>
      <c r="D28" s="1435">
        <f>+D18*D39/100</f>
        <v>39349.948750000003</v>
      </c>
      <c r="E28" s="725">
        <f>+E18*E39/100</f>
        <v>3246.4949999999999</v>
      </c>
      <c r="F28" s="725">
        <v>2757.1545000000001</v>
      </c>
      <c r="G28" s="725">
        <f>+G18*G39/100</f>
        <v>3354.7115000000003</v>
      </c>
      <c r="H28" s="725">
        <v>2860.3229999999999</v>
      </c>
      <c r="I28" s="1124">
        <f>+E28+G28</f>
        <v>6601.2065000000002</v>
      </c>
      <c r="J28" s="165">
        <f>+F28+H28</f>
        <v>5617.4775</v>
      </c>
      <c r="K28" s="725">
        <f>+K18*K39/100</f>
        <v>3246.4949999999999</v>
      </c>
      <c r="L28" s="725">
        <v>2795.9609999999998</v>
      </c>
      <c r="M28" s="1566">
        <f>+E28+G28+K28</f>
        <v>9847.7014999999992</v>
      </c>
      <c r="N28" s="84">
        <f>+F28+H28+L28</f>
        <v>8413.4385000000002</v>
      </c>
      <c r="O28" s="725">
        <f>+O18*O39/100</f>
        <v>3354.7115000000003</v>
      </c>
      <c r="P28" s="725">
        <v>2904.8084999999996</v>
      </c>
      <c r="Q28" s="1124">
        <f>+M28+O28</f>
        <v>13202.413</v>
      </c>
      <c r="R28" s="165">
        <f>+N28+P28</f>
        <v>11318.246999999999</v>
      </c>
      <c r="S28" s="725">
        <f>+S18*S39/100</f>
        <v>3354.7115000000003</v>
      </c>
      <c r="T28" s="725">
        <v>2890.6109999999999</v>
      </c>
      <c r="U28" s="1124">
        <f>+Q28+S28</f>
        <v>16557.124500000002</v>
      </c>
      <c r="V28" s="165">
        <f>+R28+T28</f>
        <v>14208.858</v>
      </c>
      <c r="W28" s="725">
        <f>+W18*W39/100</f>
        <v>3097.4212499999999</v>
      </c>
      <c r="X28" s="725">
        <v>3278.4795000000004</v>
      </c>
      <c r="Y28" s="761">
        <f>+O28+S28+W28</f>
        <v>9806.8442500000001</v>
      </c>
      <c r="Z28" s="84">
        <f>+P28+T28+X28</f>
        <v>9073.8990000000013</v>
      </c>
      <c r="AA28" s="759">
        <f>+M28+Y28</f>
        <v>19654.545749999997</v>
      </c>
      <c r="AB28" s="759">
        <f>+N28+Z28</f>
        <v>17487.337500000001</v>
      </c>
      <c r="AC28" s="725">
        <f>+AC18*AC39/100</f>
        <v>3388.9432500000007</v>
      </c>
      <c r="AD28" s="725">
        <v>2869</v>
      </c>
      <c r="AE28" s="1124">
        <f>+AA28+AC28</f>
        <v>23043.488999999998</v>
      </c>
      <c r="AF28" s="165">
        <f>+AB28+AD28</f>
        <v>20356.337500000001</v>
      </c>
      <c r="AG28" s="725">
        <f>+AG18*AG39/100</f>
        <v>3279.6225000000004</v>
      </c>
      <c r="AH28" s="725">
        <v>2233.1720999999998</v>
      </c>
      <c r="AI28" s="1124">
        <f>+AE28+AG28</f>
        <v>26323.111499999999</v>
      </c>
      <c r="AJ28" s="165">
        <f>+AF28+AH28</f>
        <v>22589.509600000001</v>
      </c>
      <c r="AK28" s="725">
        <f>+AK18*AK39/100</f>
        <v>3388.9432500000007</v>
      </c>
      <c r="AL28" s="725">
        <v>2880.0322850000007</v>
      </c>
      <c r="AM28" s="761">
        <f>+AC28+AG28+AK28</f>
        <v>10057.509000000002</v>
      </c>
      <c r="AN28" s="84">
        <f>+AD28+AH28+AL28</f>
        <v>7982.2043850000009</v>
      </c>
      <c r="AO28" s="760">
        <f>AI28+AK28</f>
        <v>29712.054749999999</v>
      </c>
      <c r="AP28" s="760">
        <f>AJ28+AL28</f>
        <v>25469.541885000002</v>
      </c>
      <c r="AQ28" s="725">
        <f>+AQ18*AQ39/100</f>
        <v>3388.9432500000007</v>
      </c>
      <c r="AR28" s="725">
        <v>2908.9289300000005</v>
      </c>
      <c r="AS28" s="1124">
        <f>+AO28+AQ28</f>
        <v>33100.998</v>
      </c>
      <c r="AT28" s="165">
        <f>+AP28+AR28</f>
        <v>28378.470815000004</v>
      </c>
      <c r="AU28" s="725">
        <f>+AU18*AU39/100</f>
        <v>3060.9810000000002</v>
      </c>
      <c r="AV28" s="725">
        <v>2173.0062499999999</v>
      </c>
      <c r="AW28" s="1124">
        <f>+AS28+AU28</f>
        <v>36161.978999999999</v>
      </c>
      <c r="AX28" s="165">
        <f>+AT28+AV28</f>
        <v>30551.477065000003</v>
      </c>
      <c r="AY28" s="725">
        <f>+AY18*AY39/100</f>
        <v>3388.9432500000007</v>
      </c>
      <c r="AZ28" s="725">
        <v>2411.9975000000004</v>
      </c>
      <c r="BA28" s="761">
        <f>+AQ28+AU28+AY28</f>
        <v>9838.8675000000021</v>
      </c>
      <c r="BB28" s="84">
        <f>+AR28+AV28+AZ28</f>
        <v>7493.9326800000008</v>
      </c>
      <c r="BC28" s="759">
        <f t="shared" si="74"/>
        <v>19896.376500000006</v>
      </c>
      <c r="BD28" s="759">
        <f t="shared" si="75"/>
        <v>15476.137065000003</v>
      </c>
      <c r="BE28" s="1124">
        <f>+AW28+AY28</f>
        <v>39550.922250000003</v>
      </c>
      <c r="BF28" s="165">
        <f>+AX28+AZ28</f>
        <v>32963.474565000004</v>
      </c>
      <c r="BG28" s="1219"/>
      <c r="BH28" s="1219"/>
      <c r="BI28" s="1219"/>
      <c r="BJ28" s="1546"/>
      <c r="BK28" s="1546"/>
      <c r="BL28" s="26"/>
      <c r="BM28" s="26"/>
      <c r="BN28" s="26"/>
    </row>
    <row r="29" spans="1:66" thickBot="1" x14ac:dyDescent="0.35">
      <c r="A29" s="147" t="s">
        <v>470</v>
      </c>
      <c r="B29" s="1390" t="s">
        <v>143</v>
      </c>
      <c r="C29" s="1393" t="s">
        <v>50</v>
      </c>
      <c r="D29" s="1436">
        <f t="shared" ref="D29:J29" si="76">SUM(D27:D28)</f>
        <v>60117.142750000006</v>
      </c>
      <c r="E29" s="198">
        <f t="shared" si="76"/>
        <v>5016.375</v>
      </c>
      <c r="F29" s="198">
        <f t="shared" si="76"/>
        <v>4261.8104999999996</v>
      </c>
      <c r="G29" s="198">
        <f t="shared" ref="G29:H29" si="77">SUM(G27:G28)</f>
        <v>5183.5875000000005</v>
      </c>
      <c r="H29" s="198">
        <f t="shared" si="77"/>
        <v>4421.7389999999996</v>
      </c>
      <c r="I29" s="1128">
        <f t="shared" si="76"/>
        <v>10199.962500000001</v>
      </c>
      <c r="J29" s="1129">
        <f t="shared" si="76"/>
        <v>8683.549500000001</v>
      </c>
      <c r="K29" s="198">
        <f t="shared" ref="K29:L29" si="78">SUM(K27:K28)</f>
        <v>4944.1350000000002</v>
      </c>
      <c r="L29" s="198">
        <f t="shared" si="78"/>
        <v>4283.0730000000003</v>
      </c>
      <c r="M29" s="766">
        <f t="shared" ref="M29:R29" si="79">SUM(M27:M28)</f>
        <v>15144.0975</v>
      </c>
      <c r="N29" s="172">
        <f t="shared" si="79"/>
        <v>12966.622500000001</v>
      </c>
      <c r="O29" s="198">
        <f t="shared" si="79"/>
        <v>5108.9395000000004</v>
      </c>
      <c r="P29" s="198">
        <f t="shared" si="79"/>
        <v>4431.1364999999996</v>
      </c>
      <c r="Q29" s="1128">
        <f t="shared" si="79"/>
        <v>20253.037</v>
      </c>
      <c r="R29" s="1129">
        <f t="shared" si="79"/>
        <v>17397.758999999998</v>
      </c>
      <c r="S29" s="198">
        <f t="shared" ref="S29:T29" si="80">SUM(S27:S28)</f>
        <v>5108.9395000000004</v>
      </c>
      <c r="T29" s="198">
        <f t="shared" si="80"/>
        <v>4458.2190000000001</v>
      </c>
      <c r="U29" s="1128">
        <f t="shared" ref="U29:X29" si="81">SUM(U27:U28)</f>
        <v>25361.976500000004</v>
      </c>
      <c r="V29" s="1129">
        <f t="shared" si="81"/>
        <v>21855.978000000003</v>
      </c>
      <c r="W29" s="198">
        <f t="shared" si="81"/>
        <v>4760.7472500000003</v>
      </c>
      <c r="X29" s="198">
        <f t="shared" si="81"/>
        <v>4795.5195000000003</v>
      </c>
      <c r="Y29" s="766">
        <f t="shared" ref="Y29:Z29" si="82">SUM(Y27:Y28)</f>
        <v>14978.626249999999</v>
      </c>
      <c r="Z29" s="172">
        <f t="shared" si="82"/>
        <v>13684.875</v>
      </c>
      <c r="AA29" s="2374">
        <f t="shared" ref="AA29:AF29" si="83">SUM(AA27:AA28)</f>
        <v>30122.723749999997</v>
      </c>
      <c r="AB29" s="473">
        <f t="shared" si="83"/>
        <v>26651.497500000001</v>
      </c>
      <c r="AC29" s="198">
        <f t="shared" si="83"/>
        <v>5180.4952500000009</v>
      </c>
      <c r="AD29" s="198">
        <f t="shared" si="83"/>
        <v>4436</v>
      </c>
      <c r="AE29" s="1128">
        <f t="shared" si="83"/>
        <v>35303.218999999997</v>
      </c>
      <c r="AF29" s="1129">
        <f t="shared" si="83"/>
        <v>31087.497500000001</v>
      </c>
      <c r="AG29" s="198">
        <f t="shared" ref="AG29:AH29" si="84">SUM(AG27:AG28)</f>
        <v>5013.3824999999997</v>
      </c>
      <c r="AH29" s="198">
        <f t="shared" si="84"/>
        <v>3454.5079799999994</v>
      </c>
      <c r="AI29" s="1128">
        <f t="shared" ref="AI29:AN29" si="85">SUM(AI27:AI28)</f>
        <v>40316.601499999997</v>
      </c>
      <c r="AJ29" s="1129">
        <f t="shared" si="85"/>
        <v>34542.00548</v>
      </c>
      <c r="AK29" s="198">
        <f t="shared" si="85"/>
        <v>5180.4952500000009</v>
      </c>
      <c r="AL29" s="198">
        <f t="shared" si="85"/>
        <v>4442.4149250000009</v>
      </c>
      <c r="AM29" s="766">
        <f t="shared" si="85"/>
        <v>15374.373000000001</v>
      </c>
      <c r="AN29" s="172">
        <f t="shared" si="85"/>
        <v>12332.922904999999</v>
      </c>
      <c r="AO29" s="1128">
        <f t="shared" ref="AO29:AT29" si="86">SUM(AO27:AO28)</f>
        <v>45497.096749999997</v>
      </c>
      <c r="AP29" s="1129">
        <f t="shared" si="86"/>
        <v>38984.420405000004</v>
      </c>
      <c r="AQ29" s="198">
        <f t="shared" si="86"/>
        <v>5180.4952500000009</v>
      </c>
      <c r="AR29" s="198">
        <f t="shared" si="86"/>
        <v>4486.9876500000009</v>
      </c>
      <c r="AS29" s="1128">
        <f t="shared" si="86"/>
        <v>50677.592000000004</v>
      </c>
      <c r="AT29" s="1129">
        <f t="shared" si="86"/>
        <v>43471.408055000007</v>
      </c>
      <c r="AU29" s="198">
        <f t="shared" ref="AU29:AX29" si="87">SUM(AU27:AU28)</f>
        <v>4679.1570000000002</v>
      </c>
      <c r="AV29" s="198">
        <f t="shared" si="87"/>
        <v>3349.0562499999996</v>
      </c>
      <c r="AW29" s="1128">
        <f t="shared" si="87"/>
        <v>55356.748999999996</v>
      </c>
      <c r="AX29" s="1129">
        <f t="shared" si="87"/>
        <v>46820.464305000001</v>
      </c>
      <c r="AY29" s="198">
        <f t="shared" ref="AY29:AZ29" si="88">SUM(AY27:AY28)</f>
        <v>5180.4952500000009</v>
      </c>
      <c r="AZ29" s="198">
        <f t="shared" si="88"/>
        <v>3718.3375000000005</v>
      </c>
      <c r="BA29" s="766">
        <f t="shared" ref="BA29:BF29" si="89">SUM(BA27:BA28)</f>
        <v>15040.147500000003</v>
      </c>
      <c r="BB29" s="172">
        <f t="shared" si="89"/>
        <v>11554.381400000002</v>
      </c>
      <c r="BC29" s="2374">
        <f t="shared" si="89"/>
        <v>30414.520500000006</v>
      </c>
      <c r="BD29" s="473">
        <f t="shared" si="89"/>
        <v>23887.304305000001</v>
      </c>
      <c r="BE29" s="1128">
        <f t="shared" si="89"/>
        <v>60537.244250000003</v>
      </c>
      <c r="BF29" s="1129">
        <f t="shared" si="89"/>
        <v>50538.801805000003</v>
      </c>
      <c r="BG29" s="1219"/>
      <c r="BH29" s="1219"/>
      <c r="BI29" s="1219"/>
      <c r="BJ29" s="1546"/>
      <c r="BK29" s="1546"/>
      <c r="BL29" s="26"/>
      <c r="BM29" s="26"/>
      <c r="BN29" s="26"/>
    </row>
    <row r="30" spans="1:66" thickBot="1" x14ac:dyDescent="0.35">
      <c r="A30" s="147" t="s">
        <v>470</v>
      </c>
      <c r="B30" s="1783" t="s">
        <v>156</v>
      </c>
      <c r="C30" s="1392" t="s">
        <v>50</v>
      </c>
      <c r="D30" s="1313">
        <f>+D17*D40/100</f>
        <v>5933.4840000000004</v>
      </c>
      <c r="E30" s="1122">
        <f>+E17*E40/100</f>
        <v>505.68</v>
      </c>
      <c r="F30" s="1122">
        <v>501.55199999999996</v>
      </c>
      <c r="G30" s="1122">
        <f>+G17*G40/100</f>
        <v>522.53599999999994</v>
      </c>
      <c r="H30" s="1122">
        <v>520.47199999999998</v>
      </c>
      <c r="I30" s="718">
        <f>+E30+G30</f>
        <v>1028.2159999999999</v>
      </c>
      <c r="J30" s="62">
        <f>+F30+H30</f>
        <v>1022.0239999999999</v>
      </c>
      <c r="K30" s="1122">
        <f>+K17*K40/100</f>
        <v>485.04</v>
      </c>
      <c r="L30" s="1122">
        <v>495.70400000000001</v>
      </c>
      <c r="M30" s="1123">
        <f>+E30+G30+K30</f>
        <v>1513.2559999999999</v>
      </c>
      <c r="N30" s="84">
        <f>+F30+H30+L30</f>
        <v>1517.7279999999998</v>
      </c>
      <c r="O30" s="1122">
        <f>+O17*O40/100</f>
        <v>501.20799999999997</v>
      </c>
      <c r="P30" s="1122">
        <v>508.77600000000001</v>
      </c>
      <c r="Q30" s="718">
        <f>+M30+O30</f>
        <v>2014.4639999999999</v>
      </c>
      <c r="R30" s="62">
        <f>+N30+P30</f>
        <v>2026.5039999999999</v>
      </c>
      <c r="S30" s="1122">
        <f>+S17*S40/100</f>
        <v>501.20799999999997</v>
      </c>
      <c r="T30" s="1122">
        <v>522.53599999999994</v>
      </c>
      <c r="U30" s="718">
        <f>+Q30+S30</f>
        <v>2515.672</v>
      </c>
      <c r="V30" s="62">
        <f>+R30+T30</f>
        <v>2549.04</v>
      </c>
      <c r="W30" s="1122">
        <f>+W17*W40/100</f>
        <v>475.23599999999999</v>
      </c>
      <c r="X30" s="1122">
        <v>505.68</v>
      </c>
      <c r="Y30" s="761">
        <f>+O30+S30+W30</f>
        <v>1477.652</v>
      </c>
      <c r="Z30" s="84">
        <f>+P30+T30+X30</f>
        <v>1536.992</v>
      </c>
      <c r="AA30" s="759">
        <f>+M30+Y30</f>
        <v>2990.9079999999999</v>
      </c>
      <c r="AB30" s="759">
        <f>+N30+Z30</f>
        <v>3054.72</v>
      </c>
      <c r="AC30" s="1122">
        <f>+AC17*AC40/100</f>
        <v>511.87199999999996</v>
      </c>
      <c r="AD30" s="1122">
        <v>523</v>
      </c>
      <c r="AE30" s="718">
        <f>+AA30+AC30</f>
        <v>3502.7799999999997</v>
      </c>
      <c r="AF30" s="62">
        <f>+AB30+AD30</f>
        <v>3577.72</v>
      </c>
      <c r="AG30" s="1122">
        <f>+AG17*AG40/100</f>
        <v>495.3599999999999</v>
      </c>
      <c r="AH30" s="1122">
        <v>486.58799999999997</v>
      </c>
      <c r="AI30" s="718">
        <f>+AE30+AG30</f>
        <v>3998.1399999999994</v>
      </c>
      <c r="AJ30" s="62">
        <f>+AF30+AH30</f>
        <v>4064.308</v>
      </c>
      <c r="AK30" s="1122">
        <f>+AK17*AK40/100</f>
        <v>511.87199999999996</v>
      </c>
      <c r="AL30" s="1122">
        <v>522.53599999999994</v>
      </c>
      <c r="AM30" s="761">
        <f>+AC30+AG30+AK30</f>
        <v>1519.1039999999998</v>
      </c>
      <c r="AN30" s="84">
        <f>+AD30+AH30+AL30</f>
        <v>1532.1239999999998</v>
      </c>
      <c r="AO30" s="760">
        <f>AI30+AK30</f>
        <v>4510.0119999999997</v>
      </c>
      <c r="AP30" s="760">
        <f>AJ30+AL30</f>
        <v>4586.8440000000001</v>
      </c>
      <c r="AQ30" s="1122">
        <f>+AQ17*AQ40/100</f>
        <v>511.87199999999996</v>
      </c>
      <c r="AR30" s="1122">
        <v>514.69795999999997</v>
      </c>
      <c r="AS30" s="718">
        <f>+AO30+AQ30</f>
        <v>5021.884</v>
      </c>
      <c r="AT30" s="62">
        <f>+AP30+AR30</f>
        <v>5101.5419600000005</v>
      </c>
      <c r="AU30" s="1122">
        <f>+AU17*AU40/100</f>
        <v>462.3359999999999</v>
      </c>
      <c r="AV30" s="1122">
        <v>470.42</v>
      </c>
      <c r="AW30" s="718">
        <f>+AS30+AU30</f>
        <v>5484.22</v>
      </c>
      <c r="AX30" s="62">
        <f>+AT30+AV30</f>
        <v>5571.9619600000005</v>
      </c>
      <c r="AY30" s="1122">
        <f>+AY17*AY40/100</f>
        <v>511.87199999999996</v>
      </c>
      <c r="AZ30" s="1122">
        <v>522.53599999999994</v>
      </c>
      <c r="BA30" s="761">
        <f>+AQ30+AU30+AY30</f>
        <v>1486.08</v>
      </c>
      <c r="BB30" s="84">
        <f>+AR30+AV30+AZ30</f>
        <v>1507.6539600000001</v>
      </c>
      <c r="BC30" s="759">
        <f t="shared" ref="BC30:BC31" si="90">+AM30+BA30</f>
        <v>3005.1839999999997</v>
      </c>
      <c r="BD30" s="759">
        <f t="shared" ref="BD30:BD31" si="91">+AN30+BB30</f>
        <v>3039.7779599999999</v>
      </c>
      <c r="BE30" s="718">
        <f>+AW30+AY30</f>
        <v>5996.0920000000006</v>
      </c>
      <c r="BF30" s="62">
        <f>+AX30+AZ30</f>
        <v>6094.4979600000006</v>
      </c>
      <c r="BG30" s="1219"/>
      <c r="BH30" s="1219"/>
      <c r="BI30" s="1219"/>
      <c r="BJ30" s="1546"/>
      <c r="BK30" s="1546"/>
      <c r="BL30" s="26"/>
      <c r="BM30" s="26"/>
      <c r="BN30" s="26"/>
    </row>
    <row r="31" spans="1:66" thickBot="1" x14ac:dyDescent="0.35">
      <c r="A31" s="147" t="s">
        <v>470</v>
      </c>
      <c r="B31" s="1784" t="s">
        <v>157</v>
      </c>
      <c r="C31" s="1392" t="s">
        <v>50</v>
      </c>
      <c r="D31" s="1435">
        <f>+D18*D40/100</f>
        <v>11242.842500000001</v>
      </c>
      <c r="E31" s="725">
        <f>+E18*E40/100</f>
        <v>927.57</v>
      </c>
      <c r="F31" s="725">
        <v>919.05150000000015</v>
      </c>
      <c r="G31" s="725">
        <f>+G18*G40/100</f>
        <v>958.48900000000003</v>
      </c>
      <c r="H31" s="725">
        <v>953.44100000000003</v>
      </c>
      <c r="I31" s="718">
        <f>+E31+G31</f>
        <v>1886.0590000000002</v>
      </c>
      <c r="J31" s="165">
        <f>+F31+H31</f>
        <v>1872.4925000000003</v>
      </c>
      <c r="K31" s="725">
        <f>+K18*K40/100</f>
        <v>927.57</v>
      </c>
      <c r="L31" s="725">
        <v>931.98699999999997</v>
      </c>
      <c r="M31" s="1566">
        <f>+E31+G31+K31</f>
        <v>2813.6290000000004</v>
      </c>
      <c r="N31" s="84">
        <f>+F31+H31+L31</f>
        <v>2804.4795000000004</v>
      </c>
      <c r="O31" s="725">
        <f>+O18*O40/100</f>
        <v>958.48900000000003</v>
      </c>
      <c r="P31" s="725">
        <v>968.26949999999999</v>
      </c>
      <c r="Q31" s="718">
        <f>+M31+O31</f>
        <v>3772.1180000000004</v>
      </c>
      <c r="R31" s="165">
        <f>+N31+P31</f>
        <v>3772.7490000000003</v>
      </c>
      <c r="S31" s="725">
        <f>+S18*S40/100</f>
        <v>958.48900000000003</v>
      </c>
      <c r="T31" s="725">
        <v>963.53700000000003</v>
      </c>
      <c r="U31" s="718">
        <f>+Q31+S31</f>
        <v>4730.607</v>
      </c>
      <c r="V31" s="165">
        <f>+R31+T31</f>
        <v>4736.2860000000001</v>
      </c>
      <c r="W31" s="725">
        <f>+W18*W40/100</f>
        <v>884.97749999999996</v>
      </c>
      <c r="X31" s="725">
        <v>934.82650000000012</v>
      </c>
      <c r="Y31" s="761">
        <f>+O31+S31+W31</f>
        <v>2801.9555</v>
      </c>
      <c r="Z31" s="84">
        <f>+P31+T31+X31</f>
        <v>2866.6330000000003</v>
      </c>
      <c r="AA31" s="759">
        <f>+M31+Y31</f>
        <v>5615.5845000000008</v>
      </c>
      <c r="AB31" s="759">
        <f>+N31+Z31</f>
        <v>5671.1125000000011</v>
      </c>
      <c r="AC31" s="725">
        <f>+AC18*AC40/100</f>
        <v>968.26950000000011</v>
      </c>
      <c r="AD31" s="725">
        <v>956</v>
      </c>
      <c r="AE31" s="718">
        <f>+AA31+AC31</f>
        <v>6583.8540000000012</v>
      </c>
      <c r="AF31" s="165">
        <f>+AB31+AD31</f>
        <v>6627.1125000000011</v>
      </c>
      <c r="AG31" s="725">
        <f>+AG18*AG40/100</f>
        <v>937.0350000000002</v>
      </c>
      <c r="AH31" s="725">
        <v>889.71</v>
      </c>
      <c r="AI31" s="718">
        <f>+AE31+AG31</f>
        <v>7520.889000000001</v>
      </c>
      <c r="AJ31" s="165">
        <f>+AF31+AH31</f>
        <v>7516.8225000000011</v>
      </c>
      <c r="AK31" s="725">
        <f>+AK18*AK40/100</f>
        <v>968.26950000000011</v>
      </c>
      <c r="AL31" s="725">
        <v>963.22150000000011</v>
      </c>
      <c r="AM31" s="761">
        <f>+AC31+AG31+AK31</f>
        <v>2873.5740000000005</v>
      </c>
      <c r="AN31" s="84">
        <f>+AD31+AH31+AL31</f>
        <v>2808.9315000000001</v>
      </c>
      <c r="AO31" s="760">
        <f>AI31+AK31</f>
        <v>8489.1585000000014</v>
      </c>
      <c r="AP31" s="760">
        <f>AJ31+AL31</f>
        <v>8480.0440000000017</v>
      </c>
      <c r="AQ31" s="725">
        <f>+AQ18*AQ40/100</f>
        <v>968.26950000000011</v>
      </c>
      <c r="AR31" s="725">
        <v>948.77317749999997</v>
      </c>
      <c r="AS31" s="718">
        <f>+AO31+AQ31</f>
        <v>9457.4280000000017</v>
      </c>
      <c r="AT31" s="165">
        <f>+AP31+AR31</f>
        <v>9428.817177500001</v>
      </c>
      <c r="AU31" s="725">
        <f>+AU18*AU40/100</f>
        <v>874.56600000000003</v>
      </c>
      <c r="AV31" s="725">
        <v>869.20249999999999</v>
      </c>
      <c r="AW31" s="718">
        <f>+AS31+AU31</f>
        <v>10331.994000000002</v>
      </c>
      <c r="AX31" s="165">
        <f>+AT31+AV31</f>
        <v>10298.0196775</v>
      </c>
      <c r="AY31" s="725">
        <f>+AY18*AY40/100</f>
        <v>968.26950000000011</v>
      </c>
      <c r="AZ31" s="725">
        <v>964.79900000000009</v>
      </c>
      <c r="BA31" s="761">
        <f>+AQ31+AU31+AY31</f>
        <v>2811.1050000000005</v>
      </c>
      <c r="BB31" s="84">
        <f>+AR31+AV31+AZ31</f>
        <v>2782.7746775000001</v>
      </c>
      <c r="BC31" s="759">
        <f t="shared" si="90"/>
        <v>5684.679000000001</v>
      </c>
      <c r="BD31" s="759">
        <f t="shared" si="91"/>
        <v>5591.7061775000002</v>
      </c>
      <c r="BE31" s="718">
        <f>+AW31+AY31</f>
        <v>11300.263500000003</v>
      </c>
      <c r="BF31" s="165">
        <f>+AX31+AZ31</f>
        <v>11262.818677500001</v>
      </c>
      <c r="BG31" s="1219"/>
      <c r="BH31" s="1219"/>
      <c r="BI31" s="1219"/>
      <c r="BJ31" s="1546"/>
      <c r="BK31" s="1546"/>
      <c r="BL31" s="26"/>
      <c r="BM31" s="26"/>
      <c r="BN31" s="26"/>
    </row>
    <row r="32" spans="1:66" thickBot="1" x14ac:dyDescent="0.35">
      <c r="A32" s="147" t="s">
        <v>470</v>
      </c>
      <c r="B32" s="1390" t="s">
        <v>144</v>
      </c>
      <c r="C32" s="1393" t="s">
        <v>50</v>
      </c>
      <c r="D32" s="1436">
        <f t="shared" ref="D32:J32" si="92">SUM(D30:D31)</f>
        <v>17176.326500000003</v>
      </c>
      <c r="E32" s="198">
        <f t="shared" si="92"/>
        <v>1433.25</v>
      </c>
      <c r="F32" s="198">
        <f t="shared" si="92"/>
        <v>1420.6035000000002</v>
      </c>
      <c r="G32" s="198">
        <f t="shared" ref="G32:H32" si="93">SUM(G30:G31)</f>
        <v>1481.0250000000001</v>
      </c>
      <c r="H32" s="198">
        <f t="shared" si="93"/>
        <v>1473.913</v>
      </c>
      <c r="I32" s="1128">
        <f t="shared" si="92"/>
        <v>2914.2750000000001</v>
      </c>
      <c r="J32" s="1129">
        <f t="shared" si="92"/>
        <v>2894.5165000000002</v>
      </c>
      <c r="K32" s="198">
        <f t="shared" ref="K32:L32" si="94">SUM(K30:K31)</f>
        <v>1412.6100000000001</v>
      </c>
      <c r="L32" s="198">
        <f t="shared" si="94"/>
        <v>1427.691</v>
      </c>
      <c r="M32" s="766">
        <f t="shared" ref="M32:R32" si="95">SUM(M30:M31)</f>
        <v>4326.8850000000002</v>
      </c>
      <c r="N32" s="172">
        <f t="shared" si="95"/>
        <v>4322.2075000000004</v>
      </c>
      <c r="O32" s="198">
        <f t="shared" si="95"/>
        <v>1459.6970000000001</v>
      </c>
      <c r="P32" s="198">
        <f t="shared" si="95"/>
        <v>1477.0454999999999</v>
      </c>
      <c r="Q32" s="1128">
        <f t="shared" si="95"/>
        <v>5786.5820000000003</v>
      </c>
      <c r="R32" s="1129">
        <f t="shared" si="95"/>
        <v>5799.2530000000006</v>
      </c>
      <c r="S32" s="198">
        <f t="shared" ref="S32:T32" si="96">SUM(S30:S31)</f>
        <v>1459.6970000000001</v>
      </c>
      <c r="T32" s="198">
        <f t="shared" si="96"/>
        <v>1486.0729999999999</v>
      </c>
      <c r="U32" s="1128">
        <f t="shared" ref="U32:X32" si="97">SUM(U30:U31)</f>
        <v>7246.2790000000005</v>
      </c>
      <c r="V32" s="1129">
        <f t="shared" si="97"/>
        <v>7285.326</v>
      </c>
      <c r="W32" s="198">
        <f t="shared" si="97"/>
        <v>1360.2134999999998</v>
      </c>
      <c r="X32" s="198">
        <f t="shared" si="97"/>
        <v>1440.5065000000002</v>
      </c>
      <c r="Y32" s="766">
        <f t="shared" ref="Y32:Z32" si="98">SUM(Y30:Y31)</f>
        <v>4279.6075000000001</v>
      </c>
      <c r="Z32" s="172">
        <f t="shared" si="98"/>
        <v>4403.625</v>
      </c>
      <c r="AA32" s="2374">
        <f t="shared" ref="AA32:AF32" si="99">SUM(AA30:AA31)</f>
        <v>8606.4925000000003</v>
      </c>
      <c r="AB32" s="473">
        <f t="shared" si="99"/>
        <v>8725.8325000000004</v>
      </c>
      <c r="AC32" s="198">
        <f t="shared" si="99"/>
        <v>1480.1415000000002</v>
      </c>
      <c r="AD32" s="198">
        <f t="shared" si="99"/>
        <v>1479</v>
      </c>
      <c r="AE32" s="1128">
        <f t="shared" si="99"/>
        <v>10086.634000000002</v>
      </c>
      <c r="AF32" s="1129">
        <f t="shared" si="99"/>
        <v>10204.8325</v>
      </c>
      <c r="AG32" s="198">
        <f t="shared" ref="AG32:AH32" si="100">SUM(AG30:AG31)</f>
        <v>1432.395</v>
      </c>
      <c r="AH32" s="198">
        <f t="shared" si="100"/>
        <v>1376.298</v>
      </c>
      <c r="AI32" s="1128">
        <f t="shared" ref="AI32:AN32" si="101">SUM(AI30:AI31)</f>
        <v>11519.029</v>
      </c>
      <c r="AJ32" s="1129">
        <f t="shared" si="101"/>
        <v>11581.130500000001</v>
      </c>
      <c r="AK32" s="198">
        <f t="shared" si="101"/>
        <v>1480.1415000000002</v>
      </c>
      <c r="AL32" s="198">
        <f t="shared" si="101"/>
        <v>1485.7575000000002</v>
      </c>
      <c r="AM32" s="766">
        <f t="shared" si="101"/>
        <v>4392.6779999999999</v>
      </c>
      <c r="AN32" s="172">
        <f t="shared" si="101"/>
        <v>4341.0555000000004</v>
      </c>
      <c r="AO32" s="1128">
        <f t="shared" ref="AO32:AT32" si="102">SUM(AO30:AO31)</f>
        <v>12999.1705</v>
      </c>
      <c r="AP32" s="1129">
        <f t="shared" si="102"/>
        <v>13066.888000000003</v>
      </c>
      <c r="AQ32" s="198">
        <f t="shared" si="102"/>
        <v>1480.1415000000002</v>
      </c>
      <c r="AR32" s="198">
        <f t="shared" si="102"/>
        <v>1463.4711374999999</v>
      </c>
      <c r="AS32" s="1128">
        <f t="shared" si="102"/>
        <v>14479.312000000002</v>
      </c>
      <c r="AT32" s="1129">
        <f t="shared" si="102"/>
        <v>14530.359137500001</v>
      </c>
      <c r="AU32" s="198">
        <f t="shared" ref="AU32:AX32" si="103">SUM(AU30:AU31)</f>
        <v>1336.902</v>
      </c>
      <c r="AV32" s="198">
        <f t="shared" si="103"/>
        <v>1339.6224999999999</v>
      </c>
      <c r="AW32" s="1128">
        <f t="shared" si="103"/>
        <v>15816.214000000004</v>
      </c>
      <c r="AX32" s="1129">
        <f t="shared" si="103"/>
        <v>15869.981637500001</v>
      </c>
      <c r="AY32" s="198">
        <f t="shared" ref="AY32:AZ32" si="104">SUM(AY30:AY31)</f>
        <v>1480.1415000000002</v>
      </c>
      <c r="AZ32" s="198">
        <f t="shared" si="104"/>
        <v>1487.335</v>
      </c>
      <c r="BA32" s="766">
        <f t="shared" ref="BA32:BF32" si="105">SUM(BA30:BA31)</f>
        <v>4297.1850000000004</v>
      </c>
      <c r="BB32" s="172">
        <f t="shared" si="105"/>
        <v>4290.4286375000001</v>
      </c>
      <c r="BC32" s="2374">
        <f t="shared" si="105"/>
        <v>8689.8630000000012</v>
      </c>
      <c r="BD32" s="473">
        <f t="shared" si="105"/>
        <v>8631.4841374999996</v>
      </c>
      <c r="BE32" s="1128">
        <f t="shared" si="105"/>
        <v>17296.355500000005</v>
      </c>
      <c r="BF32" s="1129">
        <f t="shared" si="105"/>
        <v>17357.3166375</v>
      </c>
      <c r="BG32" s="1219"/>
      <c r="BH32" s="1219"/>
      <c r="BI32" s="1219"/>
      <c r="BJ32" s="1546"/>
      <c r="BK32" s="1546"/>
      <c r="BL32" s="26"/>
      <c r="BM32" s="26"/>
      <c r="BN32" s="26"/>
    </row>
    <row r="33" spans="1:66" thickBot="1" x14ac:dyDescent="0.35">
      <c r="A33" s="180" t="s">
        <v>470</v>
      </c>
      <c r="B33" s="1783" t="s">
        <v>158</v>
      </c>
      <c r="C33" s="1392" t="s">
        <v>50</v>
      </c>
      <c r="D33" s="1437">
        <f t="shared" ref="D33:F34" si="106">+D21+D24+D27+D30</f>
        <v>450944.78400000004</v>
      </c>
      <c r="E33" s="1125">
        <f t="shared" si="106"/>
        <v>38431.679999999993</v>
      </c>
      <c r="F33" s="1125">
        <f t="shared" si="106"/>
        <v>37867.175999999999</v>
      </c>
      <c r="G33" s="1125">
        <f t="shared" ref="G33:H33" si="107">+G21+G24+G27+G30</f>
        <v>39712.73599999999</v>
      </c>
      <c r="H33" s="1125">
        <f t="shared" si="107"/>
        <v>39295.635999999991</v>
      </c>
      <c r="I33" s="760">
        <f>+E33+G33</f>
        <v>78144.415999999983</v>
      </c>
      <c r="J33" s="62">
        <f>+F33+H33</f>
        <v>77162.811999999991</v>
      </c>
      <c r="K33" s="1125">
        <f t="shared" ref="K33:L33" si="108">+K21+K24+K27+K30</f>
        <v>36863.040000000001</v>
      </c>
      <c r="L33" s="1125">
        <f t="shared" si="108"/>
        <v>37425.651999999995</v>
      </c>
      <c r="M33" s="713">
        <f>+E33+G33+K33</f>
        <v>115007.45599999998</v>
      </c>
      <c r="N33" s="73">
        <f>+F33+H33+L33</f>
        <v>114588.46399999998</v>
      </c>
      <c r="O33" s="1125">
        <f t="shared" ref="O33:P33" si="109">+O21+O24+O27+O30</f>
        <v>38091.807999999997</v>
      </c>
      <c r="P33" s="1125">
        <f t="shared" si="109"/>
        <v>38412.587999999996</v>
      </c>
      <c r="Q33" s="760">
        <f>+M33+O33</f>
        <v>153099.26399999997</v>
      </c>
      <c r="R33" s="62">
        <f>+N33+P33</f>
        <v>153001.05199999997</v>
      </c>
      <c r="S33" s="1125">
        <f t="shared" ref="S33:T33" si="110">+S21+S24+S27+S30</f>
        <v>38091.807999999997</v>
      </c>
      <c r="T33" s="1125">
        <f t="shared" si="110"/>
        <v>39451.467999999993</v>
      </c>
      <c r="U33" s="760">
        <f>+Q33+S33</f>
        <v>191191.07199999996</v>
      </c>
      <c r="V33" s="62">
        <f>+R33+T33</f>
        <v>192452.51999999996</v>
      </c>
      <c r="W33" s="1125">
        <f t="shared" ref="W33:X33" si="111">+W21+W24+W27+W30</f>
        <v>36117.935999999994</v>
      </c>
      <c r="X33" s="1125">
        <f t="shared" si="111"/>
        <v>38178.839999999997</v>
      </c>
      <c r="Y33" s="761">
        <f>+O33+S33+W33</f>
        <v>112301.552</v>
      </c>
      <c r="Z33" s="84">
        <f>+P33+T33+X33</f>
        <v>116042.89599999998</v>
      </c>
      <c r="AA33" s="759">
        <f>+M33+Y33</f>
        <v>227309.00799999997</v>
      </c>
      <c r="AB33" s="759">
        <f>+N33+Z33</f>
        <v>230631.35999999996</v>
      </c>
      <c r="AC33" s="1125">
        <f t="shared" ref="AC33:AD33" si="112">+AC21+AC24+AC27+AC30</f>
        <v>38902.272000000004</v>
      </c>
      <c r="AD33" s="1125">
        <f t="shared" si="112"/>
        <v>39452</v>
      </c>
      <c r="AE33" s="760">
        <f>+AA33+AC33</f>
        <v>266211.27999999997</v>
      </c>
      <c r="AF33" s="62">
        <f>+AB33+AD33</f>
        <v>270083.36</v>
      </c>
      <c r="AG33" s="1125">
        <f t="shared" ref="AG33:AH33" si="113">+AG21+AG24+AG27+AG30</f>
        <v>37647.360000000001</v>
      </c>
      <c r="AH33" s="1125">
        <f t="shared" si="113"/>
        <v>36737.394</v>
      </c>
      <c r="AI33" s="760">
        <f>+AE33+AG33</f>
        <v>303858.63999999996</v>
      </c>
      <c r="AJ33" s="62">
        <f>+AF33+AH33</f>
        <v>306820.75399999996</v>
      </c>
      <c r="AK33" s="1125">
        <f t="shared" ref="AK33:AL33" si="114">+AK21+AK24+AK27+AK30</f>
        <v>38902.272000000004</v>
      </c>
      <c r="AL33" s="1125">
        <f t="shared" si="114"/>
        <v>39451.468000000001</v>
      </c>
      <c r="AM33" s="761">
        <f>+AC33+AG33+AK33</f>
        <v>115451.90400000001</v>
      </c>
      <c r="AN33" s="84">
        <f>+AD33+AH33+AL33</f>
        <v>115640.86199999999</v>
      </c>
      <c r="AO33" s="760">
        <f>AI33+AK33</f>
        <v>342760.91199999995</v>
      </c>
      <c r="AP33" s="760">
        <f>AJ33+AL33</f>
        <v>346272.22199999995</v>
      </c>
      <c r="AQ33" s="1125">
        <f t="shared" ref="AQ33:AR33" si="115">+AQ21+AQ24+AQ27+AQ30</f>
        <v>38902.272000000004</v>
      </c>
      <c r="AR33" s="1125">
        <f t="shared" si="115"/>
        <v>39451.467999999986</v>
      </c>
      <c r="AS33" s="760">
        <f>+AO33+AQ33</f>
        <v>381663.18399999995</v>
      </c>
      <c r="AT33" s="62">
        <f>+AP33+AR33</f>
        <v>385723.68999999994</v>
      </c>
      <c r="AU33" s="1125">
        <f t="shared" ref="AU33:AV33" si="116">+AU21+AU24+AU27+AU30</f>
        <v>35137.536</v>
      </c>
      <c r="AV33" s="1125">
        <f t="shared" si="116"/>
        <v>35516.709999999985</v>
      </c>
      <c r="AW33" s="760">
        <f>+AS33+AU33</f>
        <v>416800.72</v>
      </c>
      <c r="AX33" s="62">
        <f>+AT33+AV33</f>
        <v>421240.39999999991</v>
      </c>
      <c r="AY33" s="1125">
        <f t="shared" ref="AY33:AZ33" si="117">+AY21+AY24+AY27+AY30</f>
        <v>38902.272000000004</v>
      </c>
      <c r="AZ33" s="1125">
        <f t="shared" si="117"/>
        <v>39451.468000000001</v>
      </c>
      <c r="BA33" s="761">
        <f>+AQ33+AU33+AY33</f>
        <v>112942.08000000002</v>
      </c>
      <c r="BB33" s="84">
        <f>+AR33+AV33+AZ33</f>
        <v>114419.64599999998</v>
      </c>
      <c r="BC33" s="759">
        <f t="shared" ref="BC33:BC34" si="118">+AM33+BA33</f>
        <v>228393.98400000003</v>
      </c>
      <c r="BD33" s="759">
        <f t="shared" ref="BD33:BD34" si="119">+AN33+BB33</f>
        <v>230060.50799999997</v>
      </c>
      <c r="BE33" s="760">
        <f>+AW33+AY33</f>
        <v>455702.99199999997</v>
      </c>
      <c r="BF33" s="62">
        <f>+AX33+AZ33</f>
        <v>460691.8679999999</v>
      </c>
      <c r="BG33" s="1219"/>
      <c r="BH33" s="1219"/>
      <c r="BI33" s="1219"/>
      <c r="BJ33" s="1546"/>
      <c r="BK33" s="1546"/>
      <c r="BL33" s="26"/>
      <c r="BM33" s="26"/>
      <c r="BN33" s="26"/>
    </row>
    <row r="34" spans="1:66" thickBot="1" x14ac:dyDescent="0.35">
      <c r="A34" s="180" t="s">
        <v>470</v>
      </c>
      <c r="B34" s="1784" t="s">
        <v>159</v>
      </c>
      <c r="C34" s="1392" t="s">
        <v>50</v>
      </c>
      <c r="D34" s="1313">
        <f t="shared" si="106"/>
        <v>854456.03</v>
      </c>
      <c r="E34" s="1122">
        <f t="shared" si="106"/>
        <v>70495.320000000007</v>
      </c>
      <c r="F34" s="1122">
        <f t="shared" si="106"/>
        <v>69388.388250000004</v>
      </c>
      <c r="G34" s="1122">
        <f t="shared" ref="G34:H34" si="120">+G22+G25+G28+G31</f>
        <v>72845.164000000019</v>
      </c>
      <c r="H34" s="1122">
        <f t="shared" si="120"/>
        <v>71984.795500000007</v>
      </c>
      <c r="I34" s="765">
        <f>+E34+G34</f>
        <v>143340.48400000003</v>
      </c>
      <c r="J34" s="165">
        <f>+F34+H34</f>
        <v>141373.18375000003</v>
      </c>
      <c r="K34" s="1122">
        <f t="shared" ref="K34:L34" si="121">+K22+K25+K28+K31</f>
        <v>70495.320000000007</v>
      </c>
      <c r="L34" s="1122">
        <f t="shared" si="121"/>
        <v>70365.018499999991</v>
      </c>
      <c r="M34" s="1123">
        <f>+E34+G34+K34</f>
        <v>213835.80400000003</v>
      </c>
      <c r="N34" s="84">
        <f>+F34+H34+L34</f>
        <v>211738.20225000003</v>
      </c>
      <c r="O34" s="1122">
        <f t="shared" ref="O34:P34" si="122">+O22+O25+O28+O31</f>
        <v>72845.164000000019</v>
      </c>
      <c r="P34" s="1122">
        <f t="shared" si="122"/>
        <v>73104.347249999992</v>
      </c>
      <c r="Q34" s="765">
        <f>+M34+O34</f>
        <v>286680.96800000005</v>
      </c>
      <c r="R34" s="165">
        <f>+N34+P34</f>
        <v>284842.54950000002</v>
      </c>
      <c r="S34" s="1122">
        <f t="shared" ref="S34:T34" si="123">+S22+S25+S28+S31</f>
        <v>72845.164000000019</v>
      </c>
      <c r="T34" s="1122">
        <f t="shared" si="123"/>
        <v>72747.0435</v>
      </c>
      <c r="U34" s="765">
        <f>+Q34+S34</f>
        <v>359526.1320000001</v>
      </c>
      <c r="V34" s="165">
        <f>+R34+T34</f>
        <v>357589.59299999999</v>
      </c>
      <c r="W34" s="1122">
        <f t="shared" ref="W34:X34" si="124">+W22+W25+W28+W31</f>
        <v>67258.289999999994</v>
      </c>
      <c r="X34" s="1122">
        <f t="shared" si="124"/>
        <v>70579.400750000001</v>
      </c>
      <c r="Y34" s="761">
        <f>+O34+S34+W34</f>
        <v>212948.61800000002</v>
      </c>
      <c r="Z34" s="84">
        <f>+P34+T34+X34</f>
        <v>216430.79149999999</v>
      </c>
      <c r="AA34" s="759">
        <f>+M34+Y34</f>
        <v>426784.42200000002</v>
      </c>
      <c r="AB34" s="759">
        <f>+N34+Z34</f>
        <v>428168.99375000002</v>
      </c>
      <c r="AC34" s="1122">
        <f t="shared" ref="AC34:AD34" si="125">+AC22+AC25+AC28+AC31</f>
        <v>73588.482000000004</v>
      </c>
      <c r="AD34" s="1122">
        <f t="shared" si="125"/>
        <v>72199</v>
      </c>
      <c r="AE34" s="765">
        <f>+AA34+AC34</f>
        <v>500372.90400000004</v>
      </c>
      <c r="AF34" s="165">
        <f>+AB34+AD34</f>
        <v>500367.99375000002</v>
      </c>
      <c r="AG34" s="1122">
        <f t="shared" ref="AG34:AH34" si="126">+AG22+AG25+AG28+AG31</f>
        <v>71214.660000000018</v>
      </c>
      <c r="AH34" s="1122">
        <f t="shared" si="126"/>
        <v>67173.10500000001</v>
      </c>
      <c r="AI34" s="765">
        <f>+AE34+AG34</f>
        <v>571587.56400000001</v>
      </c>
      <c r="AJ34" s="165">
        <f>+AF34+AH34</f>
        <v>567541.09875</v>
      </c>
      <c r="AK34" s="1122">
        <f t="shared" ref="AK34:AL34" si="127">+AK22+AK25+AK28+AK31</f>
        <v>73588.482000000004</v>
      </c>
      <c r="AL34" s="1122">
        <f t="shared" si="127"/>
        <v>72723.22325000001</v>
      </c>
      <c r="AM34" s="761">
        <f>+AC34+AG34+AK34</f>
        <v>218391.62400000001</v>
      </c>
      <c r="AN34" s="84">
        <f>+AD34+AH34+AL34</f>
        <v>212095.32825000002</v>
      </c>
      <c r="AO34" s="760">
        <f>AI34+AK34</f>
        <v>645176.04599999997</v>
      </c>
      <c r="AP34" s="760">
        <f>AJ34+AL34</f>
        <v>640264.32200000004</v>
      </c>
      <c r="AQ34" s="1122">
        <f t="shared" ref="AQ34:AR34" si="128">+AQ22+AQ25+AQ28+AQ31</f>
        <v>73588.482000000004</v>
      </c>
      <c r="AR34" s="1122">
        <f t="shared" si="128"/>
        <v>72723.223249999981</v>
      </c>
      <c r="AS34" s="765">
        <f>+AO34+AQ34</f>
        <v>718764.52799999993</v>
      </c>
      <c r="AT34" s="165">
        <f>+AP34+AR34</f>
        <v>712987.54524999997</v>
      </c>
      <c r="AU34" s="1122">
        <f t="shared" ref="AU34:AV34" si="129">+AU22+AU25+AU28+AU31</f>
        <v>66467.016000000018</v>
      </c>
      <c r="AV34" s="1122">
        <f t="shared" si="129"/>
        <v>65624.788749999978</v>
      </c>
      <c r="AW34" s="765">
        <f>+AS34+AU34</f>
        <v>785231.54399999999</v>
      </c>
      <c r="AX34" s="165">
        <f>+AT34+AV34</f>
        <v>778612.33399999992</v>
      </c>
      <c r="AY34" s="1122">
        <f t="shared" ref="AY34:AZ34" si="130">+AY22+AY25+AY28+AY31</f>
        <v>73588.482000000004</v>
      </c>
      <c r="AZ34" s="1122">
        <f t="shared" si="130"/>
        <v>72842.324500000002</v>
      </c>
      <c r="BA34" s="761">
        <f>+AQ34+AU34+AY34</f>
        <v>213643.98000000004</v>
      </c>
      <c r="BB34" s="84">
        <f>+AR34+AV34+AZ34</f>
        <v>211190.33649999998</v>
      </c>
      <c r="BC34" s="759">
        <f t="shared" si="118"/>
        <v>432035.60400000005</v>
      </c>
      <c r="BD34" s="759">
        <f t="shared" si="119"/>
        <v>423285.66475</v>
      </c>
      <c r="BE34" s="765">
        <f>+AW34+AY34</f>
        <v>858820.02599999995</v>
      </c>
      <c r="BF34" s="165">
        <f>+AX34+AZ34</f>
        <v>851454.6584999999</v>
      </c>
      <c r="BG34" s="1219"/>
      <c r="BH34" s="1219"/>
      <c r="BI34" s="1219"/>
      <c r="BJ34" s="1546"/>
      <c r="BK34" s="1546"/>
      <c r="BL34" s="26"/>
      <c r="BM34" s="26"/>
      <c r="BN34" s="26"/>
    </row>
    <row r="35" spans="1:66" thickBot="1" x14ac:dyDescent="0.35">
      <c r="A35" s="180" t="s">
        <v>470</v>
      </c>
      <c r="B35" s="1390" t="s">
        <v>145</v>
      </c>
      <c r="C35" s="1789" t="s">
        <v>50</v>
      </c>
      <c r="D35" s="1436">
        <f t="shared" ref="D35:J35" si="131">SUM(D33:D34)</f>
        <v>1305400.814</v>
      </c>
      <c r="E35" s="198">
        <f t="shared" si="131"/>
        <v>108927</v>
      </c>
      <c r="F35" s="198">
        <f t="shared" si="131"/>
        <v>107255.56425</v>
      </c>
      <c r="G35" s="198">
        <f t="shared" ref="G35:H35" si="132">SUM(G33:G34)</f>
        <v>112557.90000000001</v>
      </c>
      <c r="H35" s="198">
        <f t="shared" si="132"/>
        <v>111280.43150000001</v>
      </c>
      <c r="I35" s="745">
        <f t="shared" si="131"/>
        <v>221484.90000000002</v>
      </c>
      <c r="J35" s="1129">
        <f t="shared" si="131"/>
        <v>218535.99575</v>
      </c>
      <c r="K35" s="198">
        <f t="shared" ref="K35:L35" si="133">SUM(K33:K34)</f>
        <v>107358.36000000002</v>
      </c>
      <c r="L35" s="198">
        <f t="shared" si="133"/>
        <v>107790.67049999998</v>
      </c>
      <c r="M35" s="766">
        <f t="shared" ref="M35:R35" si="134">SUM(M33:M34)</f>
        <v>328843.26</v>
      </c>
      <c r="N35" s="172">
        <f t="shared" si="134"/>
        <v>326326.66625000001</v>
      </c>
      <c r="O35" s="198">
        <f t="shared" si="134"/>
        <v>110936.97200000001</v>
      </c>
      <c r="P35" s="198">
        <f t="shared" si="134"/>
        <v>111516.93524999998</v>
      </c>
      <c r="Q35" s="745">
        <f t="shared" si="134"/>
        <v>439780.23200000002</v>
      </c>
      <c r="R35" s="1129">
        <f t="shared" si="134"/>
        <v>437843.60149999999</v>
      </c>
      <c r="S35" s="198">
        <f t="shared" ref="S35:T35" si="135">SUM(S33:S34)</f>
        <v>110936.97200000001</v>
      </c>
      <c r="T35" s="198">
        <f t="shared" si="135"/>
        <v>112198.51149999999</v>
      </c>
      <c r="U35" s="745">
        <f t="shared" ref="U35:X35" si="136">SUM(U33:U34)</f>
        <v>550717.20400000003</v>
      </c>
      <c r="V35" s="1129">
        <f t="shared" si="136"/>
        <v>550042.1129999999</v>
      </c>
      <c r="W35" s="198">
        <f t="shared" si="136"/>
        <v>103376.226</v>
      </c>
      <c r="X35" s="198">
        <f t="shared" si="136"/>
        <v>108758.24075</v>
      </c>
      <c r="Y35" s="748">
        <f t="shared" ref="Y35:Z35" si="137">SUM(Y33:Y34)</f>
        <v>325250.17000000004</v>
      </c>
      <c r="Z35" s="172">
        <f t="shared" si="137"/>
        <v>332473.6875</v>
      </c>
      <c r="AA35" s="2372">
        <f t="shared" ref="AA35:AF35" si="138">SUM(AA33:AA34)</f>
        <v>654093.42999999993</v>
      </c>
      <c r="AB35" s="473">
        <f t="shared" si="138"/>
        <v>658800.35375000001</v>
      </c>
      <c r="AC35" s="198">
        <f t="shared" si="138"/>
        <v>112490.75400000002</v>
      </c>
      <c r="AD35" s="198">
        <f t="shared" si="138"/>
        <v>111651</v>
      </c>
      <c r="AE35" s="745">
        <f t="shared" si="138"/>
        <v>766584.18400000001</v>
      </c>
      <c r="AF35" s="1129">
        <f t="shared" si="138"/>
        <v>770451.35375000001</v>
      </c>
      <c r="AG35" s="198">
        <f t="shared" ref="AG35:AH35" si="139">SUM(AG33:AG34)</f>
        <v>108862.02000000002</v>
      </c>
      <c r="AH35" s="198">
        <f t="shared" si="139"/>
        <v>103910.49900000001</v>
      </c>
      <c r="AI35" s="745">
        <f t="shared" ref="AI35:AN35" si="140">SUM(AI33:AI34)</f>
        <v>875446.20399999991</v>
      </c>
      <c r="AJ35" s="1129">
        <f t="shared" si="140"/>
        <v>874361.85274999996</v>
      </c>
      <c r="AK35" s="198">
        <f t="shared" si="140"/>
        <v>112490.75400000002</v>
      </c>
      <c r="AL35" s="198">
        <f t="shared" si="140"/>
        <v>112174.69125</v>
      </c>
      <c r="AM35" s="748">
        <f t="shared" si="140"/>
        <v>333843.52800000005</v>
      </c>
      <c r="AN35" s="172">
        <f t="shared" si="140"/>
        <v>327736.19024999999</v>
      </c>
      <c r="AO35" s="745">
        <f t="shared" ref="AO35:AT35" si="141">SUM(AO33:AO34)</f>
        <v>987936.95799999987</v>
      </c>
      <c r="AP35" s="1129">
        <f t="shared" si="141"/>
        <v>986536.54399999999</v>
      </c>
      <c r="AQ35" s="198">
        <f t="shared" si="141"/>
        <v>112490.75400000002</v>
      </c>
      <c r="AR35" s="198">
        <f t="shared" si="141"/>
        <v>112174.69124999997</v>
      </c>
      <c r="AS35" s="745">
        <f t="shared" si="141"/>
        <v>1100427.7119999998</v>
      </c>
      <c r="AT35" s="1129">
        <f t="shared" si="141"/>
        <v>1098711.2352499999</v>
      </c>
      <c r="AU35" s="198">
        <f t="shared" ref="AU35:AX35" si="142">SUM(AU33:AU34)</f>
        <v>101604.55200000003</v>
      </c>
      <c r="AV35" s="198">
        <f t="shared" si="142"/>
        <v>101141.49874999997</v>
      </c>
      <c r="AW35" s="745">
        <f t="shared" si="142"/>
        <v>1202032.264</v>
      </c>
      <c r="AX35" s="1129">
        <f t="shared" si="142"/>
        <v>1199852.7339999997</v>
      </c>
      <c r="AY35" s="198">
        <f t="shared" ref="AY35:AZ35" si="143">SUM(AY33:AY34)</f>
        <v>112490.75400000002</v>
      </c>
      <c r="AZ35" s="198">
        <f t="shared" si="143"/>
        <v>112293.79250000001</v>
      </c>
      <c r="BA35" s="748">
        <f t="shared" ref="BA35:BF35" si="144">SUM(BA33:BA34)</f>
        <v>326586.06000000006</v>
      </c>
      <c r="BB35" s="172">
        <f t="shared" si="144"/>
        <v>325609.98249999993</v>
      </c>
      <c r="BC35" s="2372">
        <f t="shared" si="144"/>
        <v>660429.58800000011</v>
      </c>
      <c r="BD35" s="473">
        <f t="shared" si="144"/>
        <v>653346.17274999991</v>
      </c>
      <c r="BE35" s="745">
        <f t="shared" si="144"/>
        <v>1314523.0179999999</v>
      </c>
      <c r="BF35" s="1129">
        <f t="shared" si="144"/>
        <v>1312146.5264999997</v>
      </c>
      <c r="BG35" s="1219"/>
      <c r="BH35" s="1219"/>
      <c r="BI35" s="1219"/>
      <c r="BJ35" s="1546"/>
      <c r="BK35" s="1546"/>
      <c r="BL35" s="26"/>
      <c r="BM35" s="26"/>
      <c r="BN35" s="26"/>
    </row>
    <row r="36" spans="1:66" ht="16.149999999999999" thickBot="1" x14ac:dyDescent="0.35">
      <c r="A36" s="148" t="s">
        <v>470</v>
      </c>
      <c r="B36" s="1414" t="s">
        <v>426</v>
      </c>
      <c r="C36" s="1798"/>
      <c r="D36" s="1415"/>
      <c r="E36" s="1800"/>
      <c r="F36" s="1801"/>
      <c r="G36" s="1800"/>
      <c r="H36" s="1801"/>
      <c r="I36" s="1415"/>
      <c r="J36" s="1415"/>
      <c r="K36" s="1800"/>
      <c r="L36" s="1801"/>
      <c r="M36" s="1800"/>
      <c r="N36" s="1801"/>
      <c r="O36" s="1800"/>
      <c r="P36" s="1801"/>
      <c r="Q36" s="1415"/>
      <c r="R36" s="1415"/>
      <c r="S36" s="1800"/>
      <c r="T36" s="1801"/>
      <c r="U36" s="1415"/>
      <c r="V36" s="1415"/>
      <c r="W36" s="1800"/>
      <c r="X36" s="1801"/>
      <c r="Y36" s="490"/>
      <c r="Z36" s="490"/>
      <c r="AA36" s="2373"/>
      <c r="AB36" s="490"/>
      <c r="AC36" s="1800"/>
      <c r="AD36" s="1801"/>
      <c r="AE36" s="1415"/>
      <c r="AF36" s="1415"/>
      <c r="AG36" s="1800"/>
      <c r="AH36" s="1801"/>
      <c r="AI36" s="1415"/>
      <c r="AJ36" s="1415"/>
      <c r="AK36" s="1800"/>
      <c r="AL36" s="1801"/>
      <c r="AM36" s="490"/>
      <c r="AN36" s="490"/>
      <c r="AO36" s="1415"/>
      <c r="AP36" s="1415"/>
      <c r="AQ36" s="1800"/>
      <c r="AR36" s="1801"/>
      <c r="AS36" s="1415"/>
      <c r="AT36" s="1415"/>
      <c r="AU36" s="1800"/>
      <c r="AV36" s="1801"/>
      <c r="AW36" s="1415"/>
      <c r="AX36" s="1415"/>
      <c r="AY36" s="1800"/>
      <c r="AZ36" s="1801"/>
      <c r="BA36" s="490"/>
      <c r="BB36" s="490"/>
      <c r="BC36" s="2373"/>
      <c r="BD36" s="490"/>
      <c r="BE36" s="1415"/>
      <c r="BF36" s="1415"/>
      <c r="BG36" s="1219"/>
      <c r="BH36" s="1219"/>
      <c r="BI36" s="1219"/>
      <c r="BJ36" s="1546"/>
      <c r="BK36" s="1546"/>
      <c r="BL36" s="26"/>
      <c r="BM36" s="26"/>
      <c r="BN36" s="26"/>
    </row>
    <row r="37" spans="1:66" ht="14.45" x14ac:dyDescent="0.3">
      <c r="A37" s="147" t="s">
        <v>470</v>
      </c>
      <c r="B37" s="1795" t="s">
        <v>25</v>
      </c>
      <c r="C37" s="819" t="s">
        <v>49</v>
      </c>
      <c r="D37" s="1449">
        <v>70</v>
      </c>
      <c r="E37" s="1449">
        <v>70</v>
      </c>
      <c r="F37" s="1449">
        <f>+F23/F19*100</f>
        <v>70</v>
      </c>
      <c r="G37" s="1449">
        <v>70</v>
      </c>
      <c r="H37" s="1449">
        <f>+H23/H19*100</f>
        <v>70</v>
      </c>
      <c r="I37" s="1450">
        <f>+$D$37</f>
        <v>70</v>
      </c>
      <c r="J37" s="166">
        <f>+J23/J19*100</f>
        <v>70</v>
      </c>
      <c r="K37" s="1449">
        <v>70</v>
      </c>
      <c r="L37" s="1449">
        <f>+L23/L19*100</f>
        <v>70</v>
      </c>
      <c r="M37" s="1533">
        <f>+$D$37</f>
        <v>70</v>
      </c>
      <c r="N37" s="1533">
        <f>+N23/N19*100</f>
        <v>70</v>
      </c>
      <c r="O37" s="1449">
        <v>70</v>
      </c>
      <c r="P37" s="1449">
        <f>+P23/P19*100</f>
        <v>70</v>
      </c>
      <c r="Q37" s="1450">
        <f>+$D$37</f>
        <v>70</v>
      </c>
      <c r="R37" s="1450">
        <f>+R23/R19*100</f>
        <v>69.999999999999986</v>
      </c>
      <c r="S37" s="1449">
        <v>70</v>
      </c>
      <c r="T37" s="1449">
        <f>+T23/T19*100</f>
        <v>70</v>
      </c>
      <c r="U37" s="1450">
        <f>+$D$37</f>
        <v>70</v>
      </c>
      <c r="V37" s="1450">
        <f>+V23/V19*100</f>
        <v>70</v>
      </c>
      <c r="W37" s="1449">
        <v>70</v>
      </c>
      <c r="X37" s="1449">
        <f>+X23/X19*100</f>
        <v>69.67094907242695</v>
      </c>
      <c r="Y37" s="1574">
        <f>+$D$37</f>
        <v>70</v>
      </c>
      <c r="Z37" s="174">
        <f>+Z23/Z19*100</f>
        <v>69.89236140679553</v>
      </c>
      <c r="AA37" s="1615">
        <f>+$D$37</f>
        <v>70</v>
      </c>
      <c r="AB37" s="478">
        <f>+AB23/AB19*100</f>
        <v>69.945678535543749</v>
      </c>
      <c r="AC37" s="1449">
        <v>70</v>
      </c>
      <c r="AD37" s="1449">
        <f>+AD23/AD19*100</f>
        <v>70.470226216205717</v>
      </c>
      <c r="AE37" s="768">
        <f>+$D$37</f>
        <v>70</v>
      </c>
      <c r="AF37" s="166">
        <f>+AF23/AF19*100</f>
        <v>70.021721599015422</v>
      </c>
      <c r="AG37" s="1449">
        <v>70</v>
      </c>
      <c r="AH37" s="1449">
        <f>+AH23/AH19*100</f>
        <v>70.489999999999995</v>
      </c>
      <c r="AI37" s="768">
        <f>+$D$37</f>
        <v>70</v>
      </c>
      <c r="AJ37" s="166">
        <f>+AJ23/AJ19*100</f>
        <v>70.077369510441486</v>
      </c>
      <c r="AK37" s="1449">
        <v>70</v>
      </c>
      <c r="AL37" s="1449">
        <f>+AL23/AL19*100</f>
        <v>70.010000000000005</v>
      </c>
      <c r="AM37" s="1574">
        <f>+$D$37</f>
        <v>70</v>
      </c>
      <c r="AN37" s="174">
        <f>+AN23/AN19*100</f>
        <v>70.318995194751679</v>
      </c>
      <c r="AO37" s="768">
        <f>+$D$37</f>
        <v>70</v>
      </c>
      <c r="AP37" s="166">
        <f>+AP23/AP19*100</f>
        <v>70.069709589609914</v>
      </c>
      <c r="AQ37" s="1449">
        <v>70</v>
      </c>
      <c r="AR37" s="1449">
        <f>+AR23/AR19*100</f>
        <v>70.594999999999985</v>
      </c>
      <c r="AS37" s="768">
        <f>+$D$37</f>
        <v>70</v>
      </c>
      <c r="AT37" s="166">
        <f>+AT23/AT19*100</f>
        <v>70.123337651143984</v>
      </c>
      <c r="AU37" s="1449">
        <v>70</v>
      </c>
      <c r="AV37" s="1449">
        <f>+AV23/AV19*100</f>
        <v>70.499999999999972</v>
      </c>
      <c r="AW37" s="768">
        <f>+$D$37</f>
        <v>70</v>
      </c>
      <c r="AX37" s="166">
        <f>+AX23/AX19*100</f>
        <v>70.155087125136049</v>
      </c>
      <c r="AY37" s="1449">
        <v>70</v>
      </c>
      <c r="AZ37" s="1449">
        <f>+AZ23/AZ19*100</f>
        <v>70.5</v>
      </c>
      <c r="BA37" s="1574">
        <f>+$D$37</f>
        <v>70</v>
      </c>
      <c r="BB37" s="174">
        <f>+BB23/BB19*100</f>
        <v>70.532728098773021</v>
      </c>
      <c r="BC37" s="1615">
        <f>+$D$37</f>
        <v>70</v>
      </c>
      <c r="BD37" s="478">
        <f>+BD23/BD19*100</f>
        <v>70.42550615867313</v>
      </c>
      <c r="BE37" s="768">
        <f>+$D$37</f>
        <v>70</v>
      </c>
      <c r="BF37" s="166">
        <f>+BF23/BF19*100</f>
        <v>70.184603782221473</v>
      </c>
      <c r="BG37" s="1219"/>
      <c r="BH37" s="1219"/>
      <c r="BI37" s="1219"/>
      <c r="BJ37" s="1546"/>
      <c r="BK37" s="1546"/>
      <c r="BL37" s="26"/>
      <c r="BM37" s="26"/>
      <c r="BN37" s="26"/>
    </row>
    <row r="38" spans="1:66" ht="14.45" x14ac:dyDescent="0.3">
      <c r="A38" s="147" t="s">
        <v>470</v>
      </c>
      <c r="B38" s="1793" t="s">
        <v>1</v>
      </c>
      <c r="C38" s="2656" t="s">
        <v>49</v>
      </c>
      <c r="D38" s="2933">
        <v>1.5</v>
      </c>
      <c r="E38" s="2933">
        <v>1.5</v>
      </c>
      <c r="F38" s="2933">
        <f>+F26/F19*100</f>
        <v>1.4999999999999998</v>
      </c>
      <c r="G38" s="2933">
        <v>1.5</v>
      </c>
      <c r="H38" s="2933">
        <f>+H26/H19*100</f>
        <v>1.5</v>
      </c>
      <c r="I38" s="3202">
        <f>+$D$38</f>
        <v>1.5</v>
      </c>
      <c r="J38" s="107">
        <f>+J26/J19*100</f>
        <v>1.5000000000000002</v>
      </c>
      <c r="K38" s="2933">
        <v>1.5</v>
      </c>
      <c r="L38" s="2933">
        <f>+L26/L19*100</f>
        <v>1.5000000000000002</v>
      </c>
      <c r="M38" s="353">
        <f>+$D$38</f>
        <v>1.5</v>
      </c>
      <c r="N38" s="353">
        <f>+N26/N19*100</f>
        <v>1.5000000000000002</v>
      </c>
      <c r="O38" s="2933">
        <v>1.5</v>
      </c>
      <c r="P38" s="2933">
        <f>+P26/P19*100</f>
        <v>1.4999999999999998</v>
      </c>
      <c r="Q38" s="266">
        <f>+$D$38</f>
        <v>1.5</v>
      </c>
      <c r="R38" s="266">
        <f>+R26/R19*100</f>
        <v>1.4999999999999998</v>
      </c>
      <c r="S38" s="2933">
        <v>1.5</v>
      </c>
      <c r="T38" s="2933">
        <f>+T26/T19*100</f>
        <v>1.5000000000000002</v>
      </c>
      <c r="U38" s="266">
        <f>+$D$38</f>
        <v>1.5</v>
      </c>
      <c r="V38" s="266">
        <f>+V26/V19*100</f>
        <v>1.5</v>
      </c>
      <c r="W38" s="2933">
        <v>1.5</v>
      </c>
      <c r="X38" s="2933">
        <f>+X26/X19*100</f>
        <v>1.5</v>
      </c>
      <c r="Y38" s="77">
        <f>+$D$38</f>
        <v>1.5</v>
      </c>
      <c r="Z38" s="114">
        <f>+Z26/Z19*100</f>
        <v>1.4999999999999998</v>
      </c>
      <c r="AA38" s="667">
        <f>+$D$38</f>
        <v>1.5</v>
      </c>
      <c r="AB38" s="474">
        <f>+AB26/AB19*100</f>
        <v>1.5000000000000002</v>
      </c>
      <c r="AC38" s="2933">
        <v>1.5</v>
      </c>
      <c r="AD38" s="2933">
        <f>+AD26/AD19*100</f>
        <v>0.99969752221690866</v>
      </c>
      <c r="AE38" s="53">
        <f>+$D$38</f>
        <v>1.5</v>
      </c>
      <c r="AF38" s="107">
        <f>+AF26/AF19*100</f>
        <v>1.4274717352194159</v>
      </c>
      <c r="AG38" s="2933">
        <v>1.5</v>
      </c>
      <c r="AH38" s="2933">
        <f>+AH26/AH19*100</f>
        <v>1.5</v>
      </c>
      <c r="AI38" s="53">
        <f>+$D$38</f>
        <v>1.5</v>
      </c>
      <c r="AJ38" s="107">
        <f>+AJ26/AJ19*100</f>
        <v>1.4360906389440193</v>
      </c>
      <c r="AK38" s="2933">
        <v>1.5</v>
      </c>
      <c r="AL38" s="2933">
        <f>+AL26/AL19*100</f>
        <v>1.5</v>
      </c>
      <c r="AM38" s="77">
        <f>+$D$38</f>
        <v>1.5</v>
      </c>
      <c r="AN38" s="114">
        <f>+AN26/AN19*100</f>
        <v>1.3295126710726675</v>
      </c>
      <c r="AO38" s="53">
        <f>+$D$38</f>
        <v>1.5</v>
      </c>
      <c r="AP38" s="107">
        <f>+AP26/AP19*100</f>
        <v>1.4433571404055556</v>
      </c>
      <c r="AQ38" s="2933">
        <v>1.5</v>
      </c>
      <c r="AR38" s="2933">
        <f>+AR26/AR19*100</f>
        <v>0.90000000000000013</v>
      </c>
      <c r="AS38" s="53">
        <f>+$D$38</f>
        <v>1.5</v>
      </c>
      <c r="AT38" s="107">
        <f>+AT26/AT19*100</f>
        <v>1.3878846063857353</v>
      </c>
      <c r="AU38" s="2933">
        <v>1.5</v>
      </c>
      <c r="AV38" s="2933">
        <f>+AV26/AV19*100</f>
        <v>1.5000000000000002</v>
      </c>
      <c r="AW38" s="53">
        <f>+$D$38</f>
        <v>1.5</v>
      </c>
      <c r="AX38" s="107">
        <f>+AX26/AX19*100</f>
        <v>1.3973349928777121</v>
      </c>
      <c r="AY38" s="2933">
        <v>1.5</v>
      </c>
      <c r="AZ38" s="2933">
        <f>+AZ26/AZ19*100</f>
        <v>1.5000000000000002</v>
      </c>
      <c r="BA38" s="77">
        <f>+$D$38</f>
        <v>1.5</v>
      </c>
      <c r="BB38" s="114">
        <f>+BB26/BB19*100</f>
        <v>1.2932962182754946</v>
      </c>
      <c r="BC38" s="667">
        <f>+$D$38</f>
        <v>1.5</v>
      </c>
      <c r="BD38" s="474">
        <f>+BD26/BD19*100</f>
        <v>1.3114646811531672</v>
      </c>
      <c r="BE38" s="53">
        <f>+$D$38</f>
        <v>1.5</v>
      </c>
      <c r="BF38" s="107">
        <f>+BF26/BF19*100</f>
        <v>1.4061207704776233</v>
      </c>
      <c r="BG38" s="1219"/>
      <c r="BH38" s="1219"/>
      <c r="BI38" s="1219"/>
      <c r="BJ38" s="1546"/>
      <c r="BK38" s="1546"/>
      <c r="BL38" s="26"/>
      <c r="BM38" s="26"/>
      <c r="BN38" s="26"/>
    </row>
    <row r="39" spans="1:66" ht="14.45" x14ac:dyDescent="0.3">
      <c r="A39" s="147" t="s">
        <v>470</v>
      </c>
      <c r="B39" s="1793" t="s">
        <v>26</v>
      </c>
      <c r="C39" s="2656" t="s">
        <v>49</v>
      </c>
      <c r="D39" s="2933">
        <v>3.5</v>
      </c>
      <c r="E39" s="2933">
        <v>3.5</v>
      </c>
      <c r="F39" s="2933">
        <f>+F29/F19*100</f>
        <v>2.9999999999999996</v>
      </c>
      <c r="G39" s="2933">
        <v>3.5</v>
      </c>
      <c r="H39" s="2933">
        <f>+H29/H19*100</f>
        <v>3</v>
      </c>
      <c r="I39" s="3202">
        <f>+$D$39</f>
        <v>3.5</v>
      </c>
      <c r="J39" s="107">
        <f>+J29/J19*100</f>
        <v>3.0000000000000004</v>
      </c>
      <c r="K39" s="2933">
        <v>3.5</v>
      </c>
      <c r="L39" s="2933">
        <f>+L29/L19*100</f>
        <v>3.0000000000000004</v>
      </c>
      <c r="M39" s="353">
        <f>+$D$39</f>
        <v>3.5</v>
      </c>
      <c r="N39" s="353">
        <f>+N29/N19*100</f>
        <v>3.0000000000000004</v>
      </c>
      <c r="O39" s="2933">
        <v>3.5</v>
      </c>
      <c r="P39" s="2933">
        <f>+P29/P19*100</f>
        <v>2.9999999999999996</v>
      </c>
      <c r="Q39" s="266">
        <f>+$D$39</f>
        <v>3.5</v>
      </c>
      <c r="R39" s="266">
        <f>+R29/R19*100</f>
        <v>2.9999999999999996</v>
      </c>
      <c r="S39" s="2933">
        <v>3.5</v>
      </c>
      <c r="T39" s="2933">
        <f>+T29/T19*100</f>
        <v>3.0000000000000004</v>
      </c>
      <c r="U39" s="266">
        <f>+$D$39</f>
        <v>3.5</v>
      </c>
      <c r="V39" s="266">
        <f>+V29/V19*100</f>
        <v>3</v>
      </c>
      <c r="W39" s="2933">
        <v>3.5</v>
      </c>
      <c r="X39" s="2933">
        <f>+X29/X19*100</f>
        <v>3.3290509275730442</v>
      </c>
      <c r="Y39" s="77">
        <f>+$D$39</f>
        <v>3.5</v>
      </c>
      <c r="Z39" s="114">
        <f>+Z29/Z19*100</f>
        <v>3.1076385932044617</v>
      </c>
      <c r="AA39" s="667">
        <f>+$D$39</f>
        <v>3.5</v>
      </c>
      <c r="AB39" s="474">
        <f>+AB29/AB19*100</f>
        <v>3.0543214644562569</v>
      </c>
      <c r="AC39" s="2933">
        <v>3.5</v>
      </c>
      <c r="AD39" s="2933">
        <f>+AD29/AD19*100</f>
        <v>2.998416638643818</v>
      </c>
      <c r="AE39" s="53">
        <f>+$D$39</f>
        <v>3.5</v>
      </c>
      <c r="AF39" s="107">
        <f>+AF29/AF19*100</f>
        <v>3.0462170072746662</v>
      </c>
      <c r="AG39" s="2933">
        <v>3.5</v>
      </c>
      <c r="AH39" s="2933">
        <f>+AH29/AH19*100</f>
        <v>2.5099999999999993</v>
      </c>
      <c r="AI39" s="53">
        <f>+$D$39</f>
        <v>3.5</v>
      </c>
      <c r="AJ39" s="107">
        <f>+AJ29/AJ19*100</f>
        <v>2.9824956046576725</v>
      </c>
      <c r="AK39" s="2933">
        <v>3.5</v>
      </c>
      <c r="AL39" s="2933">
        <f>+AL29/AL19*100</f>
        <v>2.9900000000000007</v>
      </c>
      <c r="AM39" s="77">
        <f>+$D$39</f>
        <v>3.5</v>
      </c>
      <c r="AN39" s="114">
        <f>+AN29/AN19*100</f>
        <v>2.8407035317031908</v>
      </c>
      <c r="AO39" s="53">
        <f>+$D$39</f>
        <v>3.5</v>
      </c>
      <c r="AP39" s="107">
        <f>+AP29/AP19*100</f>
        <v>2.9833488552429075</v>
      </c>
      <c r="AQ39" s="2933">
        <v>3.5</v>
      </c>
      <c r="AR39" s="2933">
        <f>+AR29/AR19*100</f>
        <v>3.0200000000000005</v>
      </c>
      <c r="AS39" s="53">
        <f>+$D$39</f>
        <v>3.5</v>
      </c>
      <c r="AT39" s="107">
        <f>+AT29/AT19*100</f>
        <v>2.9870906517947771</v>
      </c>
      <c r="AU39" s="2933">
        <v>3.5</v>
      </c>
      <c r="AV39" s="2933">
        <f>+AV29/AV19*100</f>
        <v>2.5</v>
      </c>
      <c r="AW39" s="53">
        <f>+$D$39</f>
        <v>3.5</v>
      </c>
      <c r="AX39" s="107">
        <f>+AX29/AX19*100</f>
        <v>2.9460329988918512</v>
      </c>
      <c r="AY39" s="2933">
        <v>3.5</v>
      </c>
      <c r="AZ39" s="2933">
        <f>+AZ29/AZ19*100</f>
        <v>2.5000000000000004</v>
      </c>
      <c r="BA39" s="77">
        <f>+$D$39</f>
        <v>3.5</v>
      </c>
      <c r="BB39" s="114">
        <f>+BB29/BB19*100</f>
        <v>2.6791432774945716</v>
      </c>
      <c r="BC39" s="667">
        <f>+$D$39</f>
        <v>3.5</v>
      </c>
      <c r="BD39" s="474">
        <f>+BD29/BD19*100</f>
        <v>2.7601921173004884</v>
      </c>
      <c r="BE39" s="53">
        <f>+$D$39</f>
        <v>3.5</v>
      </c>
      <c r="BF39" s="107">
        <f>+BF29/BF19*100</f>
        <v>2.907862770882053</v>
      </c>
      <c r="BG39" s="1219"/>
      <c r="BH39" s="1219"/>
      <c r="BI39" s="1219"/>
      <c r="BJ39" s="1546"/>
      <c r="BK39" s="1546"/>
      <c r="BL39" s="26"/>
      <c r="BM39" s="26"/>
      <c r="BN39" s="26"/>
    </row>
    <row r="40" spans="1:66" ht="15.95" customHeight="1" thickBot="1" x14ac:dyDescent="0.35">
      <c r="A40" s="147" t="s">
        <v>470</v>
      </c>
      <c r="B40" s="1796" t="s">
        <v>177</v>
      </c>
      <c r="C40" s="2978" t="s">
        <v>49</v>
      </c>
      <c r="D40" s="3271">
        <v>1</v>
      </c>
      <c r="E40" s="3271">
        <v>1</v>
      </c>
      <c r="F40" s="3271">
        <f>+F32/F19*100</f>
        <v>1</v>
      </c>
      <c r="G40" s="3271">
        <v>1</v>
      </c>
      <c r="H40" s="3271">
        <f>+H32/H19*100</f>
        <v>1</v>
      </c>
      <c r="I40" s="3211">
        <f>+$D$40</f>
        <v>1</v>
      </c>
      <c r="J40" s="108">
        <f>+J32/J19*100</f>
        <v>1</v>
      </c>
      <c r="K40" s="3271">
        <v>1</v>
      </c>
      <c r="L40" s="3271">
        <f>+L32/L19*100</f>
        <v>1.0000000000000002</v>
      </c>
      <c r="M40" s="997">
        <f>+$D$40</f>
        <v>1</v>
      </c>
      <c r="N40" s="997">
        <f>+N32/N19*100</f>
        <v>1</v>
      </c>
      <c r="O40" s="3271">
        <v>1</v>
      </c>
      <c r="P40" s="3271">
        <f>+P32/P19*100</f>
        <v>0.99999999999999989</v>
      </c>
      <c r="Q40" s="603">
        <f>+$D$40</f>
        <v>1</v>
      </c>
      <c r="R40" s="603">
        <f>+R32/R19*100</f>
        <v>1</v>
      </c>
      <c r="S40" s="3271">
        <v>1</v>
      </c>
      <c r="T40" s="3271">
        <f>+T32/T19*100</f>
        <v>1</v>
      </c>
      <c r="U40" s="603">
        <f>+$D$40</f>
        <v>1</v>
      </c>
      <c r="V40" s="603">
        <f>+V32/V19*100</f>
        <v>0.99999999999999989</v>
      </c>
      <c r="W40" s="3271">
        <v>1</v>
      </c>
      <c r="X40" s="3271">
        <f>+X32/X19*100</f>
        <v>1</v>
      </c>
      <c r="Y40" s="1575">
        <f>+$D$40</f>
        <v>1</v>
      </c>
      <c r="Z40" s="115">
        <f>+Z32/Z19*100</f>
        <v>0.99999999999999989</v>
      </c>
      <c r="AA40" s="1616">
        <f>+$D$40</f>
        <v>1</v>
      </c>
      <c r="AB40" s="479">
        <f>+AB32/AB19*100</f>
        <v>1</v>
      </c>
      <c r="AC40" s="3271">
        <v>1</v>
      </c>
      <c r="AD40" s="3271">
        <f>+AD32/AD19*100</f>
        <v>0.99969752221690866</v>
      </c>
      <c r="AE40" s="770">
        <f>+$D$40</f>
        <v>1</v>
      </c>
      <c r="AF40" s="108">
        <f>+AF32/AF19*100</f>
        <v>0.9999561501497265</v>
      </c>
      <c r="AG40" s="3271">
        <v>1</v>
      </c>
      <c r="AH40" s="3271">
        <f>+AH32/AH19*100</f>
        <v>0.99999999999999989</v>
      </c>
      <c r="AI40" s="770">
        <f>+$D$40</f>
        <v>1</v>
      </c>
      <c r="AJ40" s="108">
        <f>+AJ32/AJ19*100</f>
        <v>0.9999613610511453</v>
      </c>
      <c r="AK40" s="3271">
        <v>1</v>
      </c>
      <c r="AL40" s="3271">
        <f>+AL32/AL19*100</f>
        <v>1.0000000000000002</v>
      </c>
      <c r="AM40" s="1575">
        <f>+$D$40</f>
        <v>1</v>
      </c>
      <c r="AN40" s="115">
        <f>+AN32/AN19*100</f>
        <v>0.99989692509713812</v>
      </c>
      <c r="AO40" s="770">
        <f>+$D$40</f>
        <v>1</v>
      </c>
      <c r="AP40" s="108">
        <f>+AP32/AP19*100</f>
        <v>0.99996575430392842</v>
      </c>
      <c r="AQ40" s="3271">
        <v>1</v>
      </c>
      <c r="AR40" s="3271">
        <f>+AR32/AR19*100</f>
        <v>0.98499999999999999</v>
      </c>
      <c r="AS40" s="770">
        <f>+$D$40</f>
        <v>1</v>
      </c>
      <c r="AT40" s="108">
        <f>+AT32/AT19*100</f>
        <v>0.99843786729735051</v>
      </c>
      <c r="AU40" s="3271">
        <v>1</v>
      </c>
      <c r="AV40" s="3271">
        <f>+AV32/AV19*100</f>
        <v>1</v>
      </c>
      <c r="AW40" s="770">
        <f>+$D$40</f>
        <v>1</v>
      </c>
      <c r="AX40" s="108">
        <f>+AX32/AX19*100</f>
        <v>0.99856954197034498</v>
      </c>
      <c r="AY40" s="3271">
        <v>1</v>
      </c>
      <c r="AZ40" s="3271">
        <f>+AZ32/AZ19*100</f>
        <v>1</v>
      </c>
      <c r="BA40" s="1575">
        <f>+$D$40</f>
        <v>1</v>
      </c>
      <c r="BB40" s="115">
        <f>+BB32/BB19*100</f>
        <v>0.99483240545688734</v>
      </c>
      <c r="BC40" s="1616">
        <f>+$D$40</f>
        <v>1</v>
      </c>
      <c r="BD40" s="479">
        <f>+BD32/BD19*100</f>
        <v>0.99737308876434594</v>
      </c>
      <c r="BE40" s="770">
        <f>+$D$40</f>
        <v>1</v>
      </c>
      <c r="BF40" s="108">
        <f>+BF32/BF19*100</f>
        <v>0.99869195647619091</v>
      </c>
      <c r="BG40" s="1219"/>
      <c r="BH40" s="1219"/>
      <c r="BI40" s="1219"/>
      <c r="BJ40" s="1546"/>
      <c r="BK40" s="1546"/>
      <c r="BL40" s="26"/>
      <c r="BM40" s="26"/>
      <c r="BN40" s="26"/>
    </row>
    <row r="41" spans="1:66" ht="16.149999999999999" thickBot="1" x14ac:dyDescent="0.35">
      <c r="A41" s="147" t="s">
        <v>470</v>
      </c>
      <c r="B41" s="1797" t="s">
        <v>178</v>
      </c>
      <c r="C41" s="1185" t="s">
        <v>49</v>
      </c>
      <c r="D41" s="111">
        <f t="shared" ref="D41:J41" si="145">SUM(D37:D40)</f>
        <v>76</v>
      </c>
      <c r="E41" s="111">
        <f t="shared" si="145"/>
        <v>76</v>
      </c>
      <c r="F41" s="111">
        <f t="shared" si="145"/>
        <v>75.5</v>
      </c>
      <c r="G41" s="111">
        <f t="shared" ref="G41:H41" si="146">SUM(G37:G40)</f>
        <v>76</v>
      </c>
      <c r="H41" s="111">
        <f t="shared" si="146"/>
        <v>75.5</v>
      </c>
      <c r="I41" s="1186">
        <f t="shared" si="145"/>
        <v>76</v>
      </c>
      <c r="J41" s="42">
        <f t="shared" si="145"/>
        <v>75.5</v>
      </c>
      <c r="K41" s="111">
        <f t="shared" ref="K41:L41" si="147">SUM(K37:K40)</f>
        <v>76</v>
      </c>
      <c r="L41" s="111">
        <f t="shared" si="147"/>
        <v>75.5</v>
      </c>
      <c r="M41" s="1567">
        <f t="shared" ref="M41:R41" si="148">SUM(M37:M40)</f>
        <v>76</v>
      </c>
      <c r="N41" s="1567">
        <f t="shared" si="148"/>
        <v>75.5</v>
      </c>
      <c r="O41" s="111">
        <f t="shared" si="148"/>
        <v>76</v>
      </c>
      <c r="P41" s="111">
        <f t="shared" si="148"/>
        <v>75.5</v>
      </c>
      <c r="Q41" s="1186">
        <f t="shared" si="148"/>
        <v>76</v>
      </c>
      <c r="R41" s="1186">
        <f t="shared" si="148"/>
        <v>75.499999999999986</v>
      </c>
      <c r="S41" s="111">
        <f t="shared" ref="S41:T41" si="149">SUM(S37:S40)</f>
        <v>76</v>
      </c>
      <c r="T41" s="111">
        <f t="shared" si="149"/>
        <v>75.5</v>
      </c>
      <c r="U41" s="1186">
        <f t="shared" ref="U41:X41" si="150">SUM(U37:U40)</f>
        <v>76</v>
      </c>
      <c r="V41" s="1186">
        <f t="shared" si="150"/>
        <v>75.5</v>
      </c>
      <c r="W41" s="111">
        <f t="shared" si="150"/>
        <v>76</v>
      </c>
      <c r="X41" s="111">
        <f t="shared" si="150"/>
        <v>75.5</v>
      </c>
      <c r="Y41" s="772">
        <f t="shared" ref="Y41:Z41" si="151">SUM(Y37:Y40)</f>
        <v>76</v>
      </c>
      <c r="Z41" s="71">
        <f t="shared" si="151"/>
        <v>75.499999999999986</v>
      </c>
      <c r="AA41" s="2375">
        <f t="shared" ref="AA41:AF41" si="152">SUM(AA37:AA40)</f>
        <v>76</v>
      </c>
      <c r="AB41" s="461">
        <f t="shared" si="152"/>
        <v>75.5</v>
      </c>
      <c r="AC41" s="111">
        <f t="shared" si="152"/>
        <v>76</v>
      </c>
      <c r="AD41" s="111">
        <f t="shared" si="152"/>
        <v>75.468037899283345</v>
      </c>
      <c r="AE41" s="771">
        <f t="shared" si="152"/>
        <v>76</v>
      </c>
      <c r="AF41" s="42">
        <f t="shared" si="152"/>
        <v>75.495366491659226</v>
      </c>
      <c r="AG41" s="111">
        <f t="shared" ref="AG41:AH41" si="153">SUM(AG37:AG40)</f>
        <v>76</v>
      </c>
      <c r="AH41" s="111">
        <f t="shared" si="153"/>
        <v>75.5</v>
      </c>
      <c r="AI41" s="771">
        <f t="shared" ref="AI41:AN41" si="154">SUM(AI37:AI40)</f>
        <v>76</v>
      </c>
      <c r="AJ41" s="42">
        <f t="shared" si="154"/>
        <v>75.495917115094329</v>
      </c>
      <c r="AK41" s="111">
        <f t="shared" si="154"/>
        <v>76</v>
      </c>
      <c r="AL41" s="111">
        <f t="shared" si="154"/>
        <v>75.5</v>
      </c>
      <c r="AM41" s="772">
        <f t="shared" si="154"/>
        <v>76</v>
      </c>
      <c r="AN41" s="71">
        <f t="shared" si="154"/>
        <v>75.489108322624659</v>
      </c>
      <c r="AO41" s="771">
        <f t="shared" ref="AO41:AT41" si="155">SUM(AO37:AO40)</f>
        <v>76</v>
      </c>
      <c r="AP41" s="42">
        <f t="shared" si="155"/>
        <v>75.496381339562305</v>
      </c>
      <c r="AQ41" s="111">
        <f t="shared" si="155"/>
        <v>76</v>
      </c>
      <c r="AR41" s="111">
        <f t="shared" si="155"/>
        <v>75.499999999999986</v>
      </c>
      <c r="AS41" s="771">
        <f t="shared" si="155"/>
        <v>76</v>
      </c>
      <c r="AT41" s="42">
        <f t="shared" si="155"/>
        <v>75.496750776621852</v>
      </c>
      <c r="AU41" s="111">
        <f t="shared" ref="AU41:AX41" si="156">SUM(AU37:AU40)</f>
        <v>76</v>
      </c>
      <c r="AV41" s="111">
        <f t="shared" si="156"/>
        <v>75.499999999999972</v>
      </c>
      <c r="AW41" s="771">
        <f t="shared" si="156"/>
        <v>76</v>
      </c>
      <c r="AX41" s="42">
        <f t="shared" si="156"/>
        <v>75.497024658875958</v>
      </c>
      <c r="AY41" s="111">
        <f t="shared" ref="AY41:AZ41" si="157">SUM(AY37:AY40)</f>
        <v>76</v>
      </c>
      <c r="AZ41" s="111">
        <f t="shared" si="157"/>
        <v>75.5</v>
      </c>
      <c r="BA41" s="772">
        <f t="shared" ref="BA41:BF41" si="158">SUM(BA37:BA40)</f>
        <v>76</v>
      </c>
      <c r="BB41" s="71">
        <f t="shared" si="158"/>
        <v>75.499999999999986</v>
      </c>
      <c r="BC41" s="2375">
        <f t="shared" si="158"/>
        <v>76</v>
      </c>
      <c r="BD41" s="461">
        <f t="shared" si="158"/>
        <v>75.494536045891138</v>
      </c>
      <c r="BE41" s="771">
        <f t="shared" si="158"/>
        <v>76</v>
      </c>
      <c r="BF41" s="42">
        <f t="shared" si="158"/>
        <v>75.497279280057342</v>
      </c>
      <c r="BG41" s="1219"/>
      <c r="BH41" s="1219"/>
      <c r="BI41" s="1219"/>
      <c r="BJ41" s="1546"/>
      <c r="BK41" s="1546"/>
      <c r="BL41" s="26"/>
      <c r="BM41" s="26"/>
      <c r="BN41" s="26"/>
    </row>
    <row r="42" spans="1:66" ht="16.5" customHeight="1" thickBot="1" x14ac:dyDescent="0.35">
      <c r="B42" s="1829" t="s">
        <v>1536</v>
      </c>
      <c r="C42" s="533"/>
      <c r="D42" s="533"/>
      <c r="E42" s="533"/>
      <c r="F42" s="533"/>
      <c r="G42" s="533"/>
      <c r="H42" s="533"/>
      <c r="I42" s="533"/>
      <c r="J42" s="533"/>
      <c r="K42" s="533"/>
      <c r="L42" s="533"/>
      <c r="M42" s="533"/>
      <c r="N42" s="533"/>
      <c r="O42" s="533"/>
      <c r="P42" s="533"/>
      <c r="Q42" s="533"/>
      <c r="R42" s="533"/>
      <c r="S42" s="533"/>
      <c r="T42" s="533"/>
      <c r="U42" s="533"/>
      <c r="V42" s="533"/>
      <c r="W42" s="533"/>
      <c r="X42" s="533"/>
      <c r="Y42" s="533"/>
      <c r="Z42" s="533"/>
      <c r="AA42" s="533"/>
      <c r="AB42" s="533"/>
      <c r="AC42" s="533"/>
      <c r="AD42" s="533"/>
      <c r="AE42" s="533"/>
      <c r="AF42" s="533"/>
      <c r="AG42" s="533"/>
      <c r="AH42" s="533"/>
      <c r="AI42" s="533"/>
      <c r="AJ42" s="533"/>
      <c r="AK42" s="533"/>
      <c r="AL42" s="533"/>
      <c r="AM42" s="533"/>
      <c r="AN42" s="533"/>
      <c r="AO42" s="533"/>
      <c r="AP42" s="533"/>
      <c r="AQ42" s="533"/>
      <c r="AR42" s="533"/>
      <c r="AS42" s="533"/>
      <c r="AT42" s="533"/>
      <c r="AU42" s="533"/>
      <c r="AV42" s="533"/>
      <c r="AW42" s="533"/>
      <c r="AX42" s="533"/>
      <c r="AY42" s="533"/>
      <c r="AZ42" s="533"/>
      <c r="BA42" s="533"/>
      <c r="BB42" s="533"/>
      <c r="BC42" s="533"/>
      <c r="BD42" s="533"/>
      <c r="BE42" s="533"/>
      <c r="BF42" s="533"/>
      <c r="BG42" s="1219"/>
      <c r="BH42" s="1219"/>
      <c r="BI42" s="1219"/>
      <c r="BJ42" s="1546"/>
      <c r="BK42" s="1546"/>
      <c r="BL42" s="26"/>
      <c r="BM42" s="26"/>
      <c r="BN42" s="26"/>
    </row>
    <row r="43" spans="1:66" ht="15.75" customHeight="1" x14ac:dyDescent="0.3">
      <c r="B43" s="1827" t="s">
        <v>149</v>
      </c>
      <c r="C43" s="819" t="s">
        <v>50</v>
      </c>
      <c r="D43" s="1790"/>
      <c r="E43" s="1790"/>
      <c r="F43" s="158">
        <v>36246.789180260159</v>
      </c>
      <c r="G43" s="1790"/>
      <c r="H43" s="158">
        <v>37813.222625843278</v>
      </c>
      <c r="I43" s="1791"/>
      <c r="J43" s="3384">
        <f>F43+H43</f>
        <v>74060.01180610343</v>
      </c>
      <c r="K43" s="1790"/>
      <c r="L43" s="158">
        <v>35835.257668078077</v>
      </c>
      <c r="M43" s="1792"/>
      <c r="N43" s="618">
        <f>SUM(F43,H43,L43)</f>
        <v>109895.26947418151</v>
      </c>
      <c r="O43" s="1790"/>
      <c r="P43" s="158">
        <v>36734.729241877256</v>
      </c>
      <c r="Q43" s="1791"/>
      <c r="R43" s="373">
        <f>+N43+P43</f>
        <v>146629.99871605876</v>
      </c>
      <c r="S43" s="1790"/>
      <c r="T43" s="158">
        <v>37732.122962657311</v>
      </c>
      <c r="U43" s="1791"/>
      <c r="V43" s="373">
        <f>+R43+T43</f>
        <v>184362.12167871607</v>
      </c>
      <c r="W43" s="1790"/>
      <c r="X43" s="158">
        <v>36769.086942972885</v>
      </c>
      <c r="Y43" s="1792"/>
      <c r="Z43" s="618">
        <f>SUM(P43,T43,X43)</f>
        <v>111235.93914750745</v>
      </c>
      <c r="AA43" s="2376"/>
      <c r="AB43" s="2107">
        <f>SUM(N43,Z43)</f>
        <v>221131.20862168894</v>
      </c>
      <c r="AC43" s="1790"/>
      <c r="AD43" s="158">
        <v>38929</v>
      </c>
      <c r="AE43" s="1791"/>
      <c r="AF43" s="373">
        <f>+AB43+AD43</f>
        <v>260060.20862168894</v>
      </c>
      <c r="AG43" s="1790"/>
      <c r="AH43" s="158">
        <v>36242.168343195262</v>
      </c>
      <c r="AI43" s="1791"/>
      <c r="AJ43" s="373">
        <f>+AF43+AH43</f>
        <v>296302.37696488423</v>
      </c>
      <c r="AK43" s="1790"/>
      <c r="AL43" s="158">
        <v>38190.568284789639</v>
      </c>
      <c r="AM43" s="1792"/>
      <c r="AN43" s="618">
        <f>SUM(AD43,AH43,AL43)</f>
        <v>113361.73662798489</v>
      </c>
      <c r="AO43" s="1791"/>
      <c r="AP43" s="760">
        <f>AJ43+AL43</f>
        <v>334492.94524967385</v>
      </c>
      <c r="AQ43" s="1790"/>
      <c r="AR43" s="158">
        <v>38557.989881885631</v>
      </c>
      <c r="AS43" s="1791"/>
      <c r="AT43" s="373">
        <f>+AP43+AR43</f>
        <v>373050.9351315595</v>
      </c>
      <c r="AU43" s="1790"/>
      <c r="AV43" s="158">
        <v>34225.603715170262</v>
      </c>
      <c r="AW43" s="1791"/>
      <c r="AX43" s="373">
        <f>+AT43+AV43</f>
        <v>407276.53884672979</v>
      </c>
      <c r="AY43" s="1790"/>
      <c r="AZ43" s="158">
        <v>37989.881406620603</v>
      </c>
      <c r="BA43" s="1792"/>
      <c r="BB43" s="618">
        <f>SUM(AR43,AV43,AZ43)</f>
        <v>110773.47500367649</v>
      </c>
      <c r="BC43" s="2376"/>
      <c r="BD43" s="2107">
        <f>SUM(AN43,BB43)</f>
        <v>224135.2116316614</v>
      </c>
      <c r="BE43" s="1791"/>
      <c r="BF43" s="373">
        <f>+AX43+AZ43</f>
        <v>445266.4202533504</v>
      </c>
      <c r="BG43" s="1219"/>
      <c r="BH43" s="1219"/>
      <c r="BI43" s="1219"/>
      <c r="BJ43" s="1546"/>
      <c r="BK43" s="1546"/>
      <c r="BL43" s="26"/>
      <c r="BM43" s="26"/>
      <c r="BN43" s="26"/>
    </row>
    <row r="44" spans="1:66" ht="16.5" customHeight="1" thickBot="1" x14ac:dyDescent="0.35">
      <c r="B44" s="2357" t="s">
        <v>150</v>
      </c>
      <c r="C44" s="160" t="s">
        <v>50</v>
      </c>
      <c r="D44" s="2358"/>
      <c r="E44" s="2358"/>
      <c r="F44" s="1215">
        <v>64526.653329476969</v>
      </c>
      <c r="G44" s="2358"/>
      <c r="H44" s="1215">
        <v>66961.84408548208</v>
      </c>
      <c r="I44" s="2359"/>
      <c r="J44" s="889">
        <f t="shared" ref="J44:J57" si="159">F44+H44</f>
        <v>131488.49741495904</v>
      </c>
      <c r="K44" s="2358"/>
      <c r="L44" s="1215">
        <v>65487.944187914065</v>
      </c>
      <c r="M44" s="2360"/>
      <c r="N44" s="1203">
        <f t="shared" ref="N44:N57" si="160">SUM(F44,H44,L44)</f>
        <v>196976.44160287309</v>
      </c>
      <c r="O44" s="2358"/>
      <c r="P44" s="1215">
        <v>68140.007037297662</v>
      </c>
      <c r="Q44" s="2359"/>
      <c r="R44" s="276">
        <f>+N44+P44</f>
        <v>265116.44864017074</v>
      </c>
      <c r="S44" s="2358"/>
      <c r="T44" s="1215">
        <v>67861.545427105346</v>
      </c>
      <c r="U44" s="2359"/>
      <c r="V44" s="276">
        <f>+R44+T44</f>
        <v>332977.99406727607</v>
      </c>
      <c r="W44" s="2358"/>
      <c r="X44" s="1215">
        <v>65325.023230020102</v>
      </c>
      <c r="Y44" s="2360"/>
      <c r="Z44" s="1203">
        <f>SUM(P44,T44,X44)</f>
        <v>201326.57569442311</v>
      </c>
      <c r="AA44" s="2377"/>
      <c r="AB44" s="2361">
        <f>SUM(N44,Z44)</f>
        <v>398303.0172972962</v>
      </c>
      <c r="AC44" s="2358"/>
      <c r="AD44" s="1215">
        <v>67763</v>
      </c>
      <c r="AE44" s="2359"/>
      <c r="AF44" s="276">
        <f>+AB44+AD44</f>
        <v>466066.0172972962</v>
      </c>
      <c r="AG44" s="2358"/>
      <c r="AH44" s="1215">
        <v>64589.622735112374</v>
      </c>
      <c r="AI44" s="2359"/>
      <c r="AJ44" s="276">
        <f>+AF44+AH44</f>
        <v>530655.64003240853</v>
      </c>
      <c r="AK44" s="2358"/>
      <c r="AL44" s="1215">
        <v>67649.232744545065</v>
      </c>
      <c r="AM44" s="2360"/>
      <c r="AN44" s="1203">
        <f>SUM(AD44,AH44,AL44)</f>
        <v>200001.85547965745</v>
      </c>
      <c r="AO44" s="2359"/>
      <c r="AP44" s="760">
        <f>AJ44+AL44</f>
        <v>598304.87277695362</v>
      </c>
      <c r="AQ44" s="2358"/>
      <c r="AR44" s="1215">
        <v>68224.300538368625</v>
      </c>
      <c r="AS44" s="2359"/>
      <c r="AT44" s="276">
        <f>+AP44+AR44</f>
        <v>666529.17331532226</v>
      </c>
      <c r="AU44" s="2358"/>
      <c r="AV44" s="1215">
        <v>61539.229030579489</v>
      </c>
      <c r="AW44" s="2359"/>
      <c r="AX44" s="276">
        <f>+AT44+AV44</f>
        <v>728068.4023459017</v>
      </c>
      <c r="AY44" s="2358"/>
      <c r="AZ44" s="1215">
        <v>68327.766245973602</v>
      </c>
      <c r="BA44" s="2360"/>
      <c r="BB44" s="1203">
        <f>SUM(AR44,AV44,AZ44)</f>
        <v>198091.29581492173</v>
      </c>
      <c r="BC44" s="2377"/>
      <c r="BD44" s="2361">
        <f>SUM(AN44,BB44)</f>
        <v>398093.15129457915</v>
      </c>
      <c r="BE44" s="2359"/>
      <c r="BF44" s="276">
        <f>+AX44+AZ44</f>
        <v>796396.16859187535</v>
      </c>
      <c r="BG44" s="1219"/>
      <c r="BH44" s="1219"/>
      <c r="BI44" s="1219"/>
      <c r="BJ44" s="1546"/>
      <c r="BK44" s="1546"/>
      <c r="BL44" s="26"/>
      <c r="BM44" s="26"/>
      <c r="BN44" s="26"/>
    </row>
    <row r="45" spans="1:66" ht="16.5" customHeight="1" thickBot="1" x14ac:dyDescent="0.35">
      <c r="B45" s="2366" t="s">
        <v>78</v>
      </c>
      <c r="C45" s="2367" t="s">
        <v>50</v>
      </c>
      <c r="D45" s="111"/>
      <c r="E45" s="111"/>
      <c r="F45" s="2368">
        <f>SUM(F43:F44)</f>
        <v>100773.44250973713</v>
      </c>
      <c r="G45" s="111"/>
      <c r="H45" s="2368">
        <f>SUM(H43:H44)</f>
        <v>104775.06671132536</v>
      </c>
      <c r="I45" s="1186"/>
      <c r="J45" s="1187">
        <f t="shared" si="159"/>
        <v>205548.50922106247</v>
      </c>
      <c r="K45" s="111"/>
      <c r="L45" s="2368">
        <f>SUM(L43:L44)</f>
        <v>101323.20185599214</v>
      </c>
      <c r="M45" s="1567"/>
      <c r="N45" s="2369">
        <f t="shared" si="160"/>
        <v>306871.71107705461</v>
      </c>
      <c r="O45" s="111"/>
      <c r="P45" s="2368">
        <f>SUM(P43:P44)</f>
        <v>104874.73627917492</v>
      </c>
      <c r="Q45" s="1186"/>
      <c r="R45" s="2370">
        <f t="shared" ref="R45" si="161">SUM(R43:R44)</f>
        <v>411746.44735622953</v>
      </c>
      <c r="S45" s="111"/>
      <c r="T45" s="2368">
        <f>SUM(T43:T44)</f>
        <v>105593.66838976266</v>
      </c>
      <c r="U45" s="1186"/>
      <c r="V45" s="2370">
        <f t="shared" ref="V45" si="162">SUM(V43:V44)</f>
        <v>517340.11574599217</v>
      </c>
      <c r="W45" s="111"/>
      <c r="X45" s="2368">
        <f>SUM(X43:X44)</f>
        <v>102094.11017299298</v>
      </c>
      <c r="Y45" s="1567"/>
      <c r="Z45" s="2369">
        <f>SUM(Z43:Z44)</f>
        <v>312562.51484193059</v>
      </c>
      <c r="AA45" s="2378"/>
      <c r="AB45" s="2108">
        <f>SUM(AB43:AB44)</f>
        <v>619434.2259189852</v>
      </c>
      <c r="AC45" s="111"/>
      <c r="AD45" s="2368">
        <f>SUM(AD43:AD44)</f>
        <v>106692</v>
      </c>
      <c r="AE45" s="1186"/>
      <c r="AF45" s="2370">
        <f t="shared" ref="AF45" si="163">SUM(AF43:AF44)</f>
        <v>726126.2259189852</v>
      </c>
      <c r="AG45" s="111"/>
      <c r="AH45" s="2368">
        <f>SUM(AH43:AH44)</f>
        <v>100831.79107830764</v>
      </c>
      <c r="AI45" s="1186"/>
      <c r="AJ45" s="2370">
        <f t="shared" ref="AJ45" si="164">SUM(AJ43:AJ44)</f>
        <v>826958.01699729275</v>
      </c>
      <c r="AK45" s="111"/>
      <c r="AL45" s="2368">
        <f>SUM(AL43:AL44)</f>
        <v>105839.8010293347</v>
      </c>
      <c r="AM45" s="1567"/>
      <c r="AN45" s="2369">
        <f>SUM(AN43:AN44)</f>
        <v>313363.59210764233</v>
      </c>
      <c r="AO45" s="1186"/>
      <c r="AP45" s="2370">
        <f t="shared" ref="AP45" si="165">SUM(AP43:AP44)</f>
        <v>932797.81802662741</v>
      </c>
      <c r="AQ45" s="111"/>
      <c r="AR45" s="2368">
        <f>SUM(AR43:AR44)</f>
        <v>106782.29042025426</v>
      </c>
      <c r="AS45" s="1186"/>
      <c r="AT45" s="2370">
        <f t="shared" ref="AT45" si="166">SUM(AT43:AT44)</f>
        <v>1039580.1084468818</v>
      </c>
      <c r="AU45" s="111"/>
      <c r="AV45" s="2368">
        <f>SUM(AV43:AV44)</f>
        <v>95764.832745749751</v>
      </c>
      <c r="AW45" s="1186"/>
      <c r="AX45" s="2370">
        <f t="shared" ref="AX45" si="167">SUM(AX43:AX44)</f>
        <v>1135344.9411926316</v>
      </c>
      <c r="AY45" s="111"/>
      <c r="AZ45" s="2368">
        <f>SUM(AZ43:AZ44)</f>
        <v>106317.6476525942</v>
      </c>
      <c r="BA45" s="1567"/>
      <c r="BB45" s="2369">
        <f>SUM(BB43:BB44)</f>
        <v>308864.77081859822</v>
      </c>
      <c r="BC45" s="2378"/>
      <c r="BD45" s="2108">
        <f>SUM(BD43:BD44)</f>
        <v>622228.36292624054</v>
      </c>
      <c r="BE45" s="1186"/>
      <c r="BF45" s="2370">
        <f t="shared" ref="BF45" si="168">SUM(BF43:BF44)</f>
        <v>1241662.5888452257</v>
      </c>
      <c r="BG45" s="1219"/>
      <c r="BH45" s="1219"/>
      <c r="BI45" s="1219"/>
      <c r="BJ45" s="1546"/>
      <c r="BK45" s="1546"/>
      <c r="BL45" s="26"/>
      <c r="BM45" s="26"/>
      <c r="BN45" s="26"/>
    </row>
    <row r="46" spans="1:66" ht="15.75" customHeight="1" x14ac:dyDescent="0.3">
      <c r="B46" s="2362" t="s">
        <v>152</v>
      </c>
      <c r="C46" s="792" t="s">
        <v>50</v>
      </c>
      <c r="D46" s="2363"/>
      <c r="E46" s="2363"/>
      <c r="F46" s="1306">
        <v>776.71691100557507</v>
      </c>
      <c r="G46" s="2363"/>
      <c r="H46" s="1306">
        <v>810.28334198235609</v>
      </c>
      <c r="I46" s="2364"/>
      <c r="J46" s="3385">
        <f t="shared" si="159"/>
        <v>1587.0002529879312</v>
      </c>
      <c r="K46" s="2363"/>
      <c r="L46" s="1306">
        <v>767.89837860167313</v>
      </c>
      <c r="M46" s="2365"/>
      <c r="N46" s="487">
        <f t="shared" si="160"/>
        <v>2354.8986315896045</v>
      </c>
      <c r="O46" s="2363"/>
      <c r="P46" s="1306">
        <v>787.17276946879826</v>
      </c>
      <c r="Q46" s="2364"/>
      <c r="R46" s="572">
        <f>+N46+P46</f>
        <v>3142.0714010584029</v>
      </c>
      <c r="S46" s="2363"/>
      <c r="T46" s="1306">
        <v>808.54549205694252</v>
      </c>
      <c r="U46" s="2364"/>
      <c r="V46" s="572">
        <f>+R46+T46</f>
        <v>3950.6168931153452</v>
      </c>
      <c r="W46" s="2363"/>
      <c r="X46" s="1306">
        <v>787.90900592084756</v>
      </c>
      <c r="Y46" s="2365"/>
      <c r="Z46" s="487">
        <f>SUM(P46,T46,X46)</f>
        <v>2383.6272674465881</v>
      </c>
      <c r="AA46" s="2379"/>
      <c r="AB46" s="2109">
        <f>SUM(N46,Z46)</f>
        <v>4738.5258990361926</v>
      </c>
      <c r="AC46" s="2363"/>
      <c r="AD46" s="1306">
        <v>552</v>
      </c>
      <c r="AE46" s="2364"/>
      <c r="AF46" s="572">
        <f>+AB46+AD46</f>
        <v>5290.5258990361926</v>
      </c>
      <c r="AG46" s="2363"/>
      <c r="AH46" s="1306">
        <v>771.21935756551136</v>
      </c>
      <c r="AI46" s="2364"/>
      <c r="AJ46" s="572">
        <f>+AF46+AH46</f>
        <v>6061.7452566017037</v>
      </c>
      <c r="AK46" s="2363"/>
      <c r="AL46" s="1306">
        <v>818.25242718446589</v>
      </c>
      <c r="AM46" s="2365"/>
      <c r="AN46" s="487">
        <f>SUM(AD46,AH46,AL46)</f>
        <v>2141.4717847499774</v>
      </c>
      <c r="AO46" s="2364"/>
      <c r="AP46" s="760">
        <f>AJ46+AL46</f>
        <v>6879.9976837861695</v>
      </c>
      <c r="AQ46" s="2363"/>
      <c r="AR46" s="1306">
        <v>491.56726246472255</v>
      </c>
      <c r="AS46" s="2364"/>
      <c r="AT46" s="572">
        <f>+AP46+AR46</f>
        <v>7371.5649462508918</v>
      </c>
      <c r="AU46" s="2363"/>
      <c r="AV46" s="1306">
        <v>728.20433436532505</v>
      </c>
      <c r="AW46" s="2364"/>
      <c r="AX46" s="572">
        <f>+AT46+AV46</f>
        <v>8099.7692806162167</v>
      </c>
      <c r="AY46" s="2363"/>
      <c r="AZ46" s="1306">
        <v>808.29534907703407</v>
      </c>
      <c r="BA46" s="2365"/>
      <c r="BB46" s="487">
        <f>SUM(AR46,AV46,AZ46)</f>
        <v>2028.0669459070818</v>
      </c>
      <c r="BC46" s="2379"/>
      <c r="BD46" s="2109">
        <f>SUM(AN46,BB46)</f>
        <v>4169.5387306570592</v>
      </c>
      <c r="BE46" s="2364"/>
      <c r="BF46" s="572">
        <f>+AX46+AZ46</f>
        <v>8908.06462969325</v>
      </c>
      <c r="BG46" s="1219"/>
      <c r="BH46" s="1219"/>
      <c r="BI46" s="1219"/>
      <c r="BJ46" s="1546"/>
      <c r="BK46" s="1546"/>
      <c r="BL46" s="26"/>
      <c r="BM46" s="26"/>
      <c r="BN46" s="26"/>
    </row>
    <row r="47" spans="1:66" ht="16.5" customHeight="1" thickBot="1" x14ac:dyDescent="0.35">
      <c r="B47" s="1828" t="s">
        <v>153</v>
      </c>
      <c r="C47" s="159" t="s">
        <v>50</v>
      </c>
      <c r="D47" s="818"/>
      <c r="E47" s="818"/>
      <c r="F47" s="1134">
        <v>1382.7139999173635</v>
      </c>
      <c r="G47" s="818"/>
      <c r="H47" s="1134">
        <v>1434.8966589746162</v>
      </c>
      <c r="I47" s="815"/>
      <c r="J47" s="256">
        <f t="shared" si="159"/>
        <v>2817.6106588919797</v>
      </c>
      <c r="K47" s="818"/>
      <c r="L47" s="1134">
        <v>1403.3130897410156</v>
      </c>
      <c r="M47" s="816"/>
      <c r="N47" s="781">
        <f t="shared" si="160"/>
        <v>4220.9237486329948</v>
      </c>
      <c r="O47" s="818"/>
      <c r="P47" s="1134">
        <v>1460.1430079420929</v>
      </c>
      <c r="Q47" s="815"/>
      <c r="R47" s="782">
        <f>+N47+P47</f>
        <v>5681.0667565750882</v>
      </c>
      <c r="S47" s="818"/>
      <c r="T47" s="1134">
        <v>1454.1759734379716</v>
      </c>
      <c r="U47" s="815"/>
      <c r="V47" s="782">
        <f>+R47+T47</f>
        <v>7135.2427300130603</v>
      </c>
      <c r="W47" s="818"/>
      <c r="X47" s="1134">
        <v>1410.0355381128104</v>
      </c>
      <c r="Y47" s="816"/>
      <c r="Z47" s="781">
        <f>SUM(P47,T47,X47)</f>
        <v>4324.3545194928747</v>
      </c>
      <c r="AA47" s="808"/>
      <c r="AB47" s="2356">
        <f>SUM(N47,Z47)</f>
        <v>8545.2782681258686</v>
      </c>
      <c r="AC47" s="818"/>
      <c r="AD47" s="1134">
        <v>961</v>
      </c>
      <c r="AE47" s="815"/>
      <c r="AF47" s="782">
        <f>+AB47+AD47</f>
        <v>9506.2782681258686</v>
      </c>
      <c r="AG47" s="818"/>
      <c r="AH47" s="1134">
        <v>1374.4422485837504</v>
      </c>
      <c r="AI47" s="815"/>
      <c r="AJ47" s="782">
        <f>+AF47+AH47</f>
        <v>10880.720516709618</v>
      </c>
      <c r="AK47" s="818"/>
      <c r="AL47" s="1134">
        <v>1449.4193560465305</v>
      </c>
      <c r="AM47" s="816"/>
      <c r="AN47" s="781">
        <f>SUM(AD47,AH47,AL47)</f>
        <v>3784.8616046302809</v>
      </c>
      <c r="AO47" s="815"/>
      <c r="AP47" s="760">
        <f>AJ47+AL47</f>
        <v>12330.139872756148</v>
      </c>
      <c r="AQ47" s="818"/>
      <c r="AR47" s="1134">
        <v>869.77647828503143</v>
      </c>
      <c r="AS47" s="815"/>
      <c r="AT47" s="782">
        <f>+AP47+AR47</f>
        <v>13199.91635104118</v>
      </c>
      <c r="AU47" s="818"/>
      <c r="AV47" s="1134">
        <v>1309.3452985229683</v>
      </c>
      <c r="AW47" s="815"/>
      <c r="AX47" s="782">
        <f>+AT47+AV47</f>
        <v>14509.261649564149</v>
      </c>
      <c r="AY47" s="818"/>
      <c r="AZ47" s="1134">
        <v>1453.7822605526296</v>
      </c>
      <c r="BA47" s="816"/>
      <c r="BB47" s="781">
        <f>SUM(AR47,AV47,AZ47)</f>
        <v>3632.9040373606294</v>
      </c>
      <c r="BC47" s="808"/>
      <c r="BD47" s="2356">
        <f>SUM(AN47,BB47)</f>
        <v>7417.7656419909108</v>
      </c>
      <c r="BE47" s="815"/>
      <c r="BF47" s="782">
        <f>+AX47+AZ47</f>
        <v>15963.043910116778</v>
      </c>
      <c r="BG47" s="1219"/>
      <c r="BH47" s="1219"/>
      <c r="BI47" s="1219"/>
      <c r="BJ47" s="1546"/>
      <c r="BK47" s="1546"/>
      <c r="BL47" s="26"/>
      <c r="BM47" s="26"/>
      <c r="BN47" s="26"/>
    </row>
    <row r="48" spans="1:66" ht="16.5" customHeight="1" thickBot="1" x14ac:dyDescent="0.35">
      <c r="B48" s="2366" t="s">
        <v>142</v>
      </c>
      <c r="C48" s="2367" t="s">
        <v>50</v>
      </c>
      <c r="D48" s="111"/>
      <c r="E48" s="111"/>
      <c r="F48" s="2368">
        <f>SUM(F46:F47)</f>
        <v>2159.4309109229384</v>
      </c>
      <c r="G48" s="111"/>
      <c r="H48" s="2368">
        <f>SUM(H46:H47)</f>
        <v>2245.1800009569724</v>
      </c>
      <c r="I48" s="1186"/>
      <c r="J48" s="1187">
        <f t="shared" si="159"/>
        <v>4404.6109118799104</v>
      </c>
      <c r="K48" s="111"/>
      <c r="L48" s="2368">
        <f>SUM(L46:L47)</f>
        <v>2171.2114683426889</v>
      </c>
      <c r="M48" s="1567"/>
      <c r="N48" s="2369">
        <f t="shared" si="160"/>
        <v>6575.8223802225993</v>
      </c>
      <c r="O48" s="111"/>
      <c r="P48" s="2368">
        <f>SUM(P46:P47)</f>
        <v>2247.3157774108913</v>
      </c>
      <c r="Q48" s="1186"/>
      <c r="R48" s="2370">
        <f t="shared" ref="R48" si="169">SUM(R46:R47)</f>
        <v>8823.1381576334916</v>
      </c>
      <c r="S48" s="111"/>
      <c r="T48" s="2368">
        <f>SUM(T46:T47)</f>
        <v>2262.7214654949139</v>
      </c>
      <c r="U48" s="1186"/>
      <c r="V48" s="2370">
        <f t="shared" ref="V48" si="170">SUM(V46:V47)</f>
        <v>11085.859623128406</v>
      </c>
      <c r="W48" s="111"/>
      <c r="X48" s="2368">
        <f>SUM(X46:X47)</f>
        <v>2197.9445440336581</v>
      </c>
      <c r="Y48" s="1567"/>
      <c r="Z48" s="2369">
        <f>SUM(Z46:Z47)</f>
        <v>6707.9817869394628</v>
      </c>
      <c r="AA48" s="2378"/>
      <c r="AB48" s="2108">
        <f>SUM(AB46:AB47)</f>
        <v>13283.804167162061</v>
      </c>
      <c r="AC48" s="111"/>
      <c r="AD48" s="2368">
        <f>SUM(AD46:AD47)</f>
        <v>1513</v>
      </c>
      <c r="AE48" s="1186"/>
      <c r="AF48" s="2370">
        <f t="shared" ref="AF48" si="171">SUM(AF46:AF47)</f>
        <v>14796.804167162061</v>
      </c>
      <c r="AG48" s="111"/>
      <c r="AH48" s="2368">
        <f>SUM(AH46:AH47)</f>
        <v>2145.6616061492618</v>
      </c>
      <c r="AI48" s="1186"/>
      <c r="AJ48" s="2370">
        <f t="shared" ref="AJ48" si="172">SUM(AJ46:AJ47)</f>
        <v>16942.46577331132</v>
      </c>
      <c r="AK48" s="111"/>
      <c r="AL48" s="2368">
        <f>SUM(AL46:AL47)</f>
        <v>2267.6717832309964</v>
      </c>
      <c r="AM48" s="1567"/>
      <c r="AN48" s="2369">
        <f>SUM(AN46:AN47)</f>
        <v>5926.3333893802583</v>
      </c>
      <c r="AO48" s="1186"/>
      <c r="AP48" s="2370">
        <f t="shared" ref="AP48" si="173">SUM(AP46:AP47)</f>
        <v>19210.137556542319</v>
      </c>
      <c r="AQ48" s="111"/>
      <c r="AR48" s="2368">
        <f>SUM(AR46:AR47)</f>
        <v>1361.343740749754</v>
      </c>
      <c r="AS48" s="1186"/>
      <c r="AT48" s="2370">
        <f t="shared" ref="AT48" si="174">SUM(AT46:AT47)</f>
        <v>20571.48129729207</v>
      </c>
      <c r="AU48" s="111"/>
      <c r="AV48" s="2368">
        <f>SUM(AV46:AV47)</f>
        <v>2037.5496328882932</v>
      </c>
      <c r="AW48" s="1186"/>
      <c r="AX48" s="2370">
        <f t="shared" ref="AX48" si="175">SUM(AX46:AX47)</f>
        <v>22609.030930180365</v>
      </c>
      <c r="AY48" s="111"/>
      <c r="AZ48" s="2368">
        <f>SUM(AZ46:AZ47)</f>
        <v>2262.0776096296636</v>
      </c>
      <c r="BA48" s="1567"/>
      <c r="BB48" s="2369">
        <f>SUM(BB46:BB47)</f>
        <v>5660.9709832677108</v>
      </c>
      <c r="BC48" s="2378"/>
      <c r="BD48" s="2108">
        <f>SUM(BD46:BD47)</f>
        <v>11587.30437264797</v>
      </c>
      <c r="BE48" s="1186"/>
      <c r="BF48" s="2370">
        <f t="shared" ref="BF48" si="176">SUM(BF46:BF47)</f>
        <v>24871.108539810026</v>
      </c>
      <c r="BG48" s="1219"/>
      <c r="BH48" s="1219"/>
      <c r="BI48" s="1219"/>
      <c r="BJ48" s="1546"/>
      <c r="BK48" s="1546"/>
      <c r="BL48" s="26"/>
      <c r="BM48" s="26"/>
      <c r="BN48" s="26"/>
    </row>
    <row r="49" spans="1:66" ht="15.75" customHeight="1" x14ac:dyDescent="0.3">
      <c r="B49" s="1828" t="s">
        <v>154</v>
      </c>
      <c r="C49" s="159" t="s">
        <v>50</v>
      </c>
      <c r="D49" s="818"/>
      <c r="E49" s="818"/>
      <c r="F49" s="1134">
        <v>1553.4338220111501</v>
      </c>
      <c r="G49" s="818"/>
      <c r="H49" s="1134">
        <v>1620.5666839647122</v>
      </c>
      <c r="I49" s="815"/>
      <c r="J49" s="256">
        <f t="shared" si="159"/>
        <v>3174.0005059758623</v>
      </c>
      <c r="K49" s="818"/>
      <c r="L49" s="1134">
        <v>1535.7967572033463</v>
      </c>
      <c r="M49" s="816"/>
      <c r="N49" s="781">
        <f t="shared" si="160"/>
        <v>4709.797263179209</v>
      </c>
      <c r="O49" s="818"/>
      <c r="P49" s="1134">
        <v>1574.3455389375965</v>
      </c>
      <c r="Q49" s="815"/>
      <c r="R49" s="782">
        <f>+N49+P49</f>
        <v>6284.1428021168058</v>
      </c>
      <c r="S49" s="818"/>
      <c r="T49" s="1134">
        <v>1617.090984113885</v>
      </c>
      <c r="U49" s="815"/>
      <c r="V49" s="782">
        <f>+R49+T49</f>
        <v>7901.2337862306904</v>
      </c>
      <c r="W49" s="818"/>
      <c r="X49" s="1134">
        <v>1575.8180118416951</v>
      </c>
      <c r="Y49" s="816"/>
      <c r="Z49" s="781">
        <f>SUM(P49,T49,X49)</f>
        <v>4767.2545348931762</v>
      </c>
      <c r="AA49" s="808"/>
      <c r="AB49" s="2356">
        <f>SUM(N49,Z49)</f>
        <v>9477.0517980723853</v>
      </c>
      <c r="AC49" s="818"/>
      <c r="AD49" s="1134">
        <v>1657</v>
      </c>
      <c r="AE49" s="815"/>
      <c r="AF49" s="782">
        <f>+AB49+AD49</f>
        <v>11134.051798072385</v>
      </c>
      <c r="AG49" s="818"/>
      <c r="AH49" s="1134">
        <v>1290.5070583262889</v>
      </c>
      <c r="AI49" s="815"/>
      <c r="AJ49" s="782">
        <f>+AF49+AH49</f>
        <v>12424.558856398675</v>
      </c>
      <c r="AK49" s="818"/>
      <c r="AL49" s="1134">
        <v>1631.0498381877021</v>
      </c>
      <c r="AM49" s="816"/>
      <c r="AN49" s="781">
        <f>SUM(AD49,AH49,AL49)</f>
        <v>4578.556896513991</v>
      </c>
      <c r="AO49" s="815"/>
      <c r="AP49" s="760">
        <f>AJ49+AL49</f>
        <v>14055.608694586377</v>
      </c>
      <c r="AQ49" s="818"/>
      <c r="AR49" s="1134">
        <v>1649.4812584927354</v>
      </c>
      <c r="AS49" s="815"/>
      <c r="AT49" s="782">
        <f>+AP49+AR49</f>
        <v>15705.089953079112</v>
      </c>
      <c r="AU49" s="818"/>
      <c r="AV49" s="1134">
        <v>1213.6738906088749</v>
      </c>
      <c r="AW49" s="815"/>
      <c r="AX49" s="782">
        <f>+AT49+AV49</f>
        <v>16918.763843687986</v>
      </c>
      <c r="AY49" s="818"/>
      <c r="AZ49" s="1134">
        <v>1347.1589151283904</v>
      </c>
      <c r="BA49" s="816"/>
      <c r="BB49" s="781">
        <f>SUM(AR49,AV49,AZ49)</f>
        <v>4210.3140642300004</v>
      </c>
      <c r="BC49" s="808"/>
      <c r="BD49" s="2356">
        <f>SUM(AN49,BB49)</f>
        <v>8788.8709607439923</v>
      </c>
      <c r="BE49" s="815"/>
      <c r="BF49" s="782">
        <f>+AX49+AZ49</f>
        <v>18265.922758816378</v>
      </c>
      <c r="BG49" s="1219"/>
      <c r="BH49" s="1219"/>
      <c r="BI49" s="1219"/>
      <c r="BJ49" s="1546"/>
      <c r="BK49" s="1546"/>
      <c r="BL49" s="26"/>
      <c r="BM49" s="26"/>
      <c r="BN49" s="26"/>
    </row>
    <row r="50" spans="1:66" ht="16.5" customHeight="1" thickBot="1" x14ac:dyDescent="0.35">
      <c r="B50" s="1828" t="s">
        <v>155</v>
      </c>
      <c r="C50" s="159" t="s">
        <v>50</v>
      </c>
      <c r="D50" s="818"/>
      <c r="E50" s="818"/>
      <c r="F50" s="1134">
        <v>2765.427999834727</v>
      </c>
      <c r="G50" s="818"/>
      <c r="H50" s="1134">
        <v>2869.7933179492325</v>
      </c>
      <c r="I50" s="815"/>
      <c r="J50" s="256">
        <f t="shared" si="159"/>
        <v>5635.2213177839594</v>
      </c>
      <c r="K50" s="818"/>
      <c r="L50" s="1134">
        <v>2806.6261794820311</v>
      </c>
      <c r="M50" s="816"/>
      <c r="N50" s="781">
        <f t="shared" si="160"/>
        <v>8441.8474972659897</v>
      </c>
      <c r="O50" s="818"/>
      <c r="P50" s="1134">
        <v>2920.2860158841859</v>
      </c>
      <c r="Q50" s="815"/>
      <c r="R50" s="782">
        <f>+N50+P50</f>
        <v>11362.133513150176</v>
      </c>
      <c r="S50" s="818"/>
      <c r="T50" s="1134">
        <v>2908.3519468759432</v>
      </c>
      <c r="U50" s="815"/>
      <c r="V50" s="782">
        <f>+R50+T50</f>
        <v>14270.485460026121</v>
      </c>
      <c r="W50" s="818"/>
      <c r="X50" s="1134">
        <v>3296.7062914699982</v>
      </c>
      <c r="Y50" s="816"/>
      <c r="Z50" s="781">
        <f>SUM(P50,T50,X50)</f>
        <v>9125.3442542301273</v>
      </c>
      <c r="AA50" s="808"/>
      <c r="AB50" s="2356">
        <f>SUM(N50,Z50)</f>
        <v>17567.191751496117</v>
      </c>
      <c r="AC50" s="818"/>
      <c r="AD50" s="1134">
        <v>2884</v>
      </c>
      <c r="AE50" s="815"/>
      <c r="AF50" s="782">
        <f>+AB50+AD50</f>
        <v>20451.191751496117</v>
      </c>
      <c r="AG50" s="818"/>
      <c r="AH50" s="1134">
        <v>2299.9000292968085</v>
      </c>
      <c r="AI50" s="815"/>
      <c r="AJ50" s="782">
        <f>+AF50+AH50</f>
        <v>22751.091780792925</v>
      </c>
      <c r="AK50" s="818"/>
      <c r="AL50" s="1134">
        <v>2889.1759163860843</v>
      </c>
      <c r="AM50" s="816"/>
      <c r="AN50" s="781">
        <f>SUM(AD50,AH50,AL50)</f>
        <v>8073.0759456828928</v>
      </c>
      <c r="AO50" s="815"/>
      <c r="AP50" s="760">
        <f>AJ50+AL50</f>
        <v>25640.26769717901</v>
      </c>
      <c r="AQ50" s="818"/>
      <c r="AR50" s="1134">
        <v>2918.5832938008834</v>
      </c>
      <c r="AS50" s="815"/>
      <c r="AT50" s="782">
        <f>+AP50+AR50</f>
        <v>28558.850990979892</v>
      </c>
      <c r="AU50" s="818"/>
      <c r="AV50" s="1134">
        <v>2182.2421642049471</v>
      </c>
      <c r="AW50" s="815"/>
      <c r="AX50" s="782">
        <f>+AT50+AV50</f>
        <v>30741.093155184841</v>
      </c>
      <c r="AY50" s="818"/>
      <c r="AZ50" s="1134">
        <v>2422.9704342543832</v>
      </c>
      <c r="BA50" s="816"/>
      <c r="BB50" s="781">
        <f>SUM(AR50,AV50,AZ50)</f>
        <v>7523.7958922602138</v>
      </c>
      <c r="BC50" s="808"/>
      <c r="BD50" s="2356">
        <f>SUM(AN50,BB50)</f>
        <v>15596.871837943107</v>
      </c>
      <c r="BE50" s="815"/>
      <c r="BF50" s="782">
        <f>+AX50+AZ50</f>
        <v>33164.063589439225</v>
      </c>
      <c r="BG50" s="1219"/>
      <c r="BH50" s="1219"/>
      <c r="BI50" s="1219"/>
      <c r="BJ50" s="1546"/>
      <c r="BK50" s="1546"/>
      <c r="BL50" s="26"/>
      <c r="BM50" s="26"/>
      <c r="BN50" s="26"/>
    </row>
    <row r="51" spans="1:66" ht="16.5" customHeight="1" thickBot="1" x14ac:dyDescent="0.35">
      <c r="B51" s="2366" t="s">
        <v>143</v>
      </c>
      <c r="C51" s="2367" t="s">
        <v>50</v>
      </c>
      <c r="D51" s="111"/>
      <c r="E51" s="111"/>
      <c r="F51" s="2368">
        <f>SUM(F49:F50)</f>
        <v>4318.8618218458769</v>
      </c>
      <c r="G51" s="111"/>
      <c r="H51" s="2368">
        <f>SUM(H49:H50)</f>
        <v>4490.3600019139449</v>
      </c>
      <c r="I51" s="1186"/>
      <c r="J51" s="1187">
        <f t="shared" si="159"/>
        <v>8809.2218237598208</v>
      </c>
      <c r="K51" s="111"/>
      <c r="L51" s="2368">
        <f>SUM(L49:L50)</f>
        <v>4342.4229366853779</v>
      </c>
      <c r="M51" s="1567"/>
      <c r="N51" s="2369">
        <f t="shared" si="160"/>
        <v>13151.644760445199</v>
      </c>
      <c r="O51" s="111"/>
      <c r="P51" s="2368">
        <f>SUM(P49:P50)</f>
        <v>4494.6315548217826</v>
      </c>
      <c r="Q51" s="1186"/>
      <c r="R51" s="2370">
        <f t="shared" ref="R51" si="177">SUM(R49:R50)</f>
        <v>17646.276315266983</v>
      </c>
      <c r="S51" s="111"/>
      <c r="T51" s="2368">
        <f>SUM(T49:T50)</f>
        <v>4525.4429309898278</v>
      </c>
      <c r="U51" s="1186"/>
      <c r="V51" s="2370">
        <f t="shared" ref="V51" si="178">SUM(V49:V50)</f>
        <v>22171.719246256813</v>
      </c>
      <c r="W51" s="111"/>
      <c r="X51" s="2368">
        <f>SUM(X49:X50)</f>
        <v>4872.5243033116931</v>
      </c>
      <c r="Y51" s="1567"/>
      <c r="Z51" s="2369">
        <f>SUM(Z49:Z50)</f>
        <v>13892.598789123304</v>
      </c>
      <c r="AA51" s="2378"/>
      <c r="AB51" s="2108">
        <f>SUM(AB49:AB50)</f>
        <v>27044.243549568502</v>
      </c>
      <c r="AC51" s="111"/>
      <c r="AD51" s="2368">
        <f>SUM(AD49:AD50)</f>
        <v>4541</v>
      </c>
      <c r="AE51" s="1186"/>
      <c r="AF51" s="2370">
        <f t="shared" ref="AF51" si="179">SUM(AF49:AF50)</f>
        <v>31585.243549568502</v>
      </c>
      <c r="AG51" s="111"/>
      <c r="AH51" s="2368">
        <f>SUM(AH49:AH50)</f>
        <v>3590.4070876230971</v>
      </c>
      <c r="AI51" s="1186"/>
      <c r="AJ51" s="2370">
        <f t="shared" ref="AJ51" si="180">SUM(AJ49:AJ50)</f>
        <v>35175.650637191604</v>
      </c>
      <c r="AK51" s="111"/>
      <c r="AL51" s="2368">
        <f>SUM(AL49:AL50)</f>
        <v>4520.2257545737866</v>
      </c>
      <c r="AM51" s="1567"/>
      <c r="AN51" s="2369">
        <f>SUM(AN49:AN50)</f>
        <v>12651.632842196883</v>
      </c>
      <c r="AO51" s="1186"/>
      <c r="AP51" s="2370">
        <f t="shared" ref="AP51" si="181">SUM(AP49:AP50)</f>
        <v>39695.876391765385</v>
      </c>
      <c r="AQ51" s="111"/>
      <c r="AR51" s="2368">
        <f>SUM(AR49:AR50)</f>
        <v>4568.0645522936193</v>
      </c>
      <c r="AS51" s="1186"/>
      <c r="AT51" s="2370">
        <f t="shared" ref="AT51" si="182">SUM(AT49:AT50)</f>
        <v>44263.940944059003</v>
      </c>
      <c r="AU51" s="111"/>
      <c r="AV51" s="2368">
        <f>SUM(AV49:AV50)</f>
        <v>3395.916054813822</v>
      </c>
      <c r="AW51" s="1186"/>
      <c r="AX51" s="2370">
        <f t="shared" ref="AX51" si="183">SUM(AX49:AX50)</f>
        <v>47659.856998872827</v>
      </c>
      <c r="AY51" s="111"/>
      <c r="AZ51" s="2368">
        <f>SUM(AZ49:AZ50)</f>
        <v>3770.1293493827734</v>
      </c>
      <c r="BA51" s="1567"/>
      <c r="BB51" s="2369">
        <f>SUM(BB49:BB50)</f>
        <v>11734.109956490214</v>
      </c>
      <c r="BC51" s="2378"/>
      <c r="BD51" s="2108">
        <f>SUM(BD49:BD50)</f>
        <v>24385.742798687097</v>
      </c>
      <c r="BE51" s="1186"/>
      <c r="BF51" s="2370">
        <f t="shared" ref="BF51" si="184">SUM(BF49:BF50)</f>
        <v>51429.986348255603</v>
      </c>
      <c r="BG51" s="1219"/>
      <c r="BH51" s="1219"/>
      <c r="BI51" s="1219"/>
      <c r="BJ51" s="1546"/>
      <c r="BK51" s="1546"/>
      <c r="BL51" s="26"/>
      <c r="BM51" s="26"/>
      <c r="BN51" s="26"/>
    </row>
    <row r="52" spans="1:66" ht="15.75" customHeight="1" x14ac:dyDescent="0.3">
      <c r="B52" s="1828" t="s">
        <v>156</v>
      </c>
      <c r="C52" s="159" t="s">
        <v>50</v>
      </c>
      <c r="D52" s="818"/>
      <c r="E52" s="818"/>
      <c r="F52" s="1134">
        <v>517.81127400371668</v>
      </c>
      <c r="G52" s="818"/>
      <c r="H52" s="1134">
        <v>540.18889465490406</v>
      </c>
      <c r="I52" s="815"/>
      <c r="J52" s="256">
        <f t="shared" si="159"/>
        <v>1058.0001686586206</v>
      </c>
      <c r="K52" s="818"/>
      <c r="L52" s="1134">
        <v>511.93225240111542</v>
      </c>
      <c r="M52" s="816"/>
      <c r="N52" s="781">
        <f t="shared" si="160"/>
        <v>1569.932421059736</v>
      </c>
      <c r="O52" s="818"/>
      <c r="P52" s="1134">
        <v>524.78184631253225</v>
      </c>
      <c r="Q52" s="815"/>
      <c r="R52" s="782">
        <f>+N52+P52</f>
        <v>2094.7142673722683</v>
      </c>
      <c r="S52" s="818"/>
      <c r="T52" s="1134">
        <v>539.03032803796157</v>
      </c>
      <c r="U52" s="815"/>
      <c r="V52" s="782">
        <f>+R52+T52</f>
        <v>2633.74459541023</v>
      </c>
      <c r="W52" s="818"/>
      <c r="X52" s="1134">
        <v>525.27267061389841</v>
      </c>
      <c r="Y52" s="816"/>
      <c r="Z52" s="781">
        <f>SUM(P52,T52,X52)</f>
        <v>1589.0848449643922</v>
      </c>
      <c r="AA52" s="808"/>
      <c r="AB52" s="2356">
        <f>SUM(N52,Z52)</f>
        <v>3159.0172660241283</v>
      </c>
      <c r="AC52" s="818"/>
      <c r="AD52" s="1134">
        <v>552</v>
      </c>
      <c r="AE52" s="815"/>
      <c r="AF52" s="782">
        <f>+AB52+AD52</f>
        <v>3711.0172660241283</v>
      </c>
      <c r="AG52" s="818"/>
      <c r="AH52" s="1134">
        <v>514.14623837700753</v>
      </c>
      <c r="AI52" s="815"/>
      <c r="AJ52" s="782">
        <f>+AF52+AH52</f>
        <v>4225.1635044011355</v>
      </c>
      <c r="AK52" s="818"/>
      <c r="AL52" s="1134">
        <v>545.50161812297722</v>
      </c>
      <c r="AM52" s="816"/>
      <c r="AN52" s="781">
        <f>SUM(AD52,AH52,AL52)</f>
        <v>1611.6478564999848</v>
      </c>
      <c r="AO52" s="815"/>
      <c r="AP52" s="760">
        <f>AJ52+AL52</f>
        <v>4770.665122524113</v>
      </c>
      <c r="AQ52" s="818"/>
      <c r="AR52" s="1134">
        <v>537.99305947527955</v>
      </c>
      <c r="AS52" s="815"/>
      <c r="AT52" s="782">
        <f>+AP52+AR52</f>
        <v>5308.6581819993926</v>
      </c>
      <c r="AU52" s="818"/>
      <c r="AV52" s="1134">
        <v>485.46955624355002</v>
      </c>
      <c r="AW52" s="815"/>
      <c r="AX52" s="782">
        <f>+AT52+AV52</f>
        <v>5794.1277382429425</v>
      </c>
      <c r="AY52" s="818"/>
      <c r="AZ52" s="1134">
        <v>538.86356605135597</v>
      </c>
      <c r="BA52" s="816"/>
      <c r="BB52" s="781">
        <f>SUM(AR52,AV52,AZ52)</f>
        <v>1562.3261817701855</v>
      </c>
      <c r="BC52" s="808"/>
      <c r="BD52" s="2356">
        <f>SUM(AN52,BB52)</f>
        <v>3173.9740382701702</v>
      </c>
      <c r="BE52" s="815"/>
      <c r="BF52" s="782">
        <f>+AX52+AZ52</f>
        <v>6332.991304294299</v>
      </c>
      <c r="BG52" s="1219"/>
      <c r="BH52" s="1219"/>
      <c r="BI52" s="1219"/>
      <c r="BJ52" s="1546"/>
      <c r="BK52" s="1546"/>
      <c r="BL52" s="26"/>
      <c r="BM52" s="26"/>
      <c r="BN52" s="26"/>
    </row>
    <row r="53" spans="1:66" ht="16.5" customHeight="1" thickBot="1" x14ac:dyDescent="0.35">
      <c r="B53" s="1828" t="s">
        <v>157</v>
      </c>
      <c r="C53" s="159" t="s">
        <v>50</v>
      </c>
      <c r="D53" s="818"/>
      <c r="E53" s="818"/>
      <c r="F53" s="1134">
        <v>921.80933327824255</v>
      </c>
      <c r="G53" s="818"/>
      <c r="H53" s="1134">
        <v>956.59777264974412</v>
      </c>
      <c r="I53" s="815"/>
      <c r="J53" s="256">
        <f t="shared" si="159"/>
        <v>1878.4071059279868</v>
      </c>
      <c r="K53" s="818"/>
      <c r="L53" s="1134">
        <v>935.54205982734379</v>
      </c>
      <c r="M53" s="816"/>
      <c r="N53" s="781">
        <f t="shared" si="160"/>
        <v>2813.9491657553308</v>
      </c>
      <c r="O53" s="818"/>
      <c r="P53" s="1134">
        <v>973.42867196139537</v>
      </c>
      <c r="Q53" s="815"/>
      <c r="R53" s="782">
        <f>+N53+P53</f>
        <v>3787.3778377167264</v>
      </c>
      <c r="S53" s="818"/>
      <c r="T53" s="1134">
        <v>969.45064895864778</v>
      </c>
      <c r="U53" s="815"/>
      <c r="V53" s="782">
        <f>+R53+T53</f>
        <v>4756.8284866753738</v>
      </c>
      <c r="W53" s="818"/>
      <c r="X53" s="1134">
        <v>940.0236920752069</v>
      </c>
      <c r="Y53" s="816"/>
      <c r="Z53" s="781">
        <f>SUM(P53,T53,X53)</f>
        <v>2882.9030129952498</v>
      </c>
      <c r="AA53" s="808"/>
      <c r="AB53" s="2356">
        <f>SUM(N53,Z53)</f>
        <v>5696.8521787505806</v>
      </c>
      <c r="AC53" s="818"/>
      <c r="AD53" s="1134">
        <v>961</v>
      </c>
      <c r="AE53" s="815"/>
      <c r="AF53" s="782">
        <f>+AB53+AD53</f>
        <v>6657.8521787505806</v>
      </c>
      <c r="AG53" s="818"/>
      <c r="AH53" s="1134">
        <v>916.29483238916691</v>
      </c>
      <c r="AI53" s="815"/>
      <c r="AJ53" s="782">
        <f>+AF53+AH53</f>
        <v>7574.1470111397475</v>
      </c>
      <c r="AK53" s="818"/>
      <c r="AL53" s="1134">
        <v>966.27957069768695</v>
      </c>
      <c r="AM53" s="816"/>
      <c r="AN53" s="781">
        <f>SUM(AD53,AH53,AL53)</f>
        <v>2843.5744030868536</v>
      </c>
      <c r="AO53" s="815"/>
      <c r="AP53" s="760">
        <f>AJ53+AL53</f>
        <v>8540.4265818374352</v>
      </c>
      <c r="AQ53" s="818"/>
      <c r="AR53" s="1134">
        <v>951.92203456750644</v>
      </c>
      <c r="AS53" s="815"/>
      <c r="AT53" s="782">
        <f>+AP53+AR53</f>
        <v>9492.3486164049409</v>
      </c>
      <c r="AU53" s="818"/>
      <c r="AV53" s="1134">
        <v>872.89686568197885</v>
      </c>
      <c r="AW53" s="815"/>
      <c r="AX53" s="782">
        <f>+AT53+AV53</f>
        <v>10365.245482086921</v>
      </c>
      <c r="AY53" s="818"/>
      <c r="AZ53" s="1134">
        <v>969.18817370175316</v>
      </c>
      <c r="BA53" s="816"/>
      <c r="BB53" s="781">
        <f>SUM(AR53,AV53,AZ53)</f>
        <v>2794.0070739512385</v>
      </c>
      <c r="BC53" s="808"/>
      <c r="BD53" s="2356">
        <f>SUM(AN53,BB53)</f>
        <v>5637.5814770380921</v>
      </c>
      <c r="BE53" s="815"/>
      <c r="BF53" s="782">
        <f>+AX53+AZ53</f>
        <v>11334.433655788675</v>
      </c>
      <c r="BG53" s="1219"/>
      <c r="BH53" s="1219"/>
      <c r="BI53" s="1219"/>
      <c r="BJ53" s="1546"/>
      <c r="BK53" s="1546"/>
      <c r="BL53" s="26"/>
      <c r="BM53" s="26"/>
      <c r="BN53" s="26"/>
    </row>
    <row r="54" spans="1:66" ht="16.5" customHeight="1" thickBot="1" x14ac:dyDescent="0.35">
      <c r="B54" s="2366" t="s">
        <v>144</v>
      </c>
      <c r="C54" s="2367" t="s">
        <v>50</v>
      </c>
      <c r="D54" s="111"/>
      <c r="E54" s="111"/>
      <c r="F54" s="2368">
        <f>SUM(F52:F53)</f>
        <v>1439.6206072819591</v>
      </c>
      <c r="G54" s="111"/>
      <c r="H54" s="2368">
        <f>SUM(H52:H53)</f>
        <v>1496.7866673046483</v>
      </c>
      <c r="I54" s="1186"/>
      <c r="J54" s="1187">
        <f t="shared" si="159"/>
        <v>2936.4072745866074</v>
      </c>
      <c r="K54" s="111"/>
      <c r="L54" s="2368">
        <f>SUM(L52:L53)</f>
        <v>1447.4743122284592</v>
      </c>
      <c r="M54" s="1567"/>
      <c r="N54" s="2369">
        <f t="shared" si="160"/>
        <v>4383.8815868150668</v>
      </c>
      <c r="O54" s="111"/>
      <c r="P54" s="2368">
        <f>SUM(P52:P53)</f>
        <v>1498.2105182739276</v>
      </c>
      <c r="Q54" s="1186"/>
      <c r="R54" s="2370">
        <f t="shared" ref="R54" si="185">SUM(R52:R53)</f>
        <v>5882.0921050889947</v>
      </c>
      <c r="S54" s="111"/>
      <c r="T54" s="2368">
        <f>SUM(T52:T53)</f>
        <v>1508.4809769966093</v>
      </c>
      <c r="U54" s="1186"/>
      <c r="V54" s="2370">
        <f t="shared" ref="V54" si="186">SUM(V52:V53)</f>
        <v>7390.5730820856043</v>
      </c>
      <c r="W54" s="111"/>
      <c r="X54" s="2368">
        <f>SUM(X52:X53)</f>
        <v>1465.2963626891053</v>
      </c>
      <c r="Y54" s="1567"/>
      <c r="Z54" s="2369">
        <f>SUM(Z52:Z53)</f>
        <v>4471.9878579596425</v>
      </c>
      <c r="AA54" s="2378"/>
      <c r="AB54" s="2108">
        <f>SUM(AB52:AB53)</f>
        <v>8855.8694447747093</v>
      </c>
      <c r="AC54" s="111"/>
      <c r="AD54" s="2368">
        <f>SUM(AD52:AD53)</f>
        <v>1513</v>
      </c>
      <c r="AE54" s="1186"/>
      <c r="AF54" s="2370">
        <f t="shared" ref="AF54" si="187">SUM(AF52:AF53)</f>
        <v>10368.869444774709</v>
      </c>
      <c r="AG54" s="111"/>
      <c r="AH54" s="2368">
        <f>SUM(AH52:AH53)</f>
        <v>1430.4410707661746</v>
      </c>
      <c r="AI54" s="1186"/>
      <c r="AJ54" s="2370">
        <f t="shared" ref="AJ54" si="188">SUM(AJ52:AJ53)</f>
        <v>11799.310515540883</v>
      </c>
      <c r="AK54" s="111"/>
      <c r="AL54" s="2368">
        <f>SUM(AL52:AL53)</f>
        <v>1511.7811888206643</v>
      </c>
      <c r="AM54" s="1567"/>
      <c r="AN54" s="2369">
        <f>SUM(AN52:AN53)</f>
        <v>4455.2222595868388</v>
      </c>
      <c r="AO54" s="1186"/>
      <c r="AP54" s="2370">
        <f t="shared" ref="AP54" si="189">SUM(AP52:AP53)</f>
        <v>13311.091704361548</v>
      </c>
      <c r="AQ54" s="111"/>
      <c r="AR54" s="2368">
        <f>SUM(AR52:AR53)</f>
        <v>1489.915094042786</v>
      </c>
      <c r="AS54" s="1186"/>
      <c r="AT54" s="2370">
        <f t="shared" ref="AT54" si="190">SUM(AT52:AT53)</f>
        <v>14801.006798404334</v>
      </c>
      <c r="AU54" s="111"/>
      <c r="AV54" s="2368">
        <f>SUM(AV52:AV53)</f>
        <v>1358.3664219255288</v>
      </c>
      <c r="AW54" s="1186"/>
      <c r="AX54" s="2370">
        <f t="shared" ref="AX54" si="191">SUM(AX52:AX53)</f>
        <v>16159.373220329864</v>
      </c>
      <c r="AY54" s="111"/>
      <c r="AZ54" s="2368">
        <f>SUM(AZ52:AZ53)</f>
        <v>1508.0517397531091</v>
      </c>
      <c r="BA54" s="1567"/>
      <c r="BB54" s="2369">
        <f>SUM(BB52:BB53)</f>
        <v>4356.3332557214235</v>
      </c>
      <c r="BC54" s="2378"/>
      <c r="BD54" s="2108">
        <f>SUM(BD52:BD53)</f>
        <v>8811.5555153082623</v>
      </c>
      <c r="BE54" s="1186"/>
      <c r="BF54" s="2370">
        <f t="shared" ref="BF54" si="192">SUM(BF52:BF53)</f>
        <v>17667.424960082972</v>
      </c>
      <c r="BG54" s="1219"/>
      <c r="BH54" s="1219"/>
      <c r="BI54" s="1219"/>
      <c r="BJ54" s="1546"/>
      <c r="BK54" s="1546"/>
      <c r="BL54" s="26"/>
      <c r="BM54" s="26"/>
      <c r="BN54" s="26"/>
    </row>
    <row r="55" spans="1:66" ht="15.75" customHeight="1" x14ac:dyDescent="0.3">
      <c r="B55" s="1828" t="s">
        <v>158</v>
      </c>
      <c r="C55" s="159" t="s">
        <v>50</v>
      </c>
      <c r="D55" s="818"/>
      <c r="E55" s="818"/>
      <c r="F55" s="1201">
        <f t="shared" ref="F55" si="193">+F43+F46+F49+F52</f>
        <v>39094.751187280606</v>
      </c>
      <c r="G55" s="818"/>
      <c r="H55" s="1201">
        <f t="shared" ref="H55:H56" si="194">+H43+H46+H49+H52</f>
        <v>40784.261546445246</v>
      </c>
      <c r="I55" s="815"/>
      <c r="J55" s="256">
        <f t="shared" si="159"/>
        <v>79879.01273372586</v>
      </c>
      <c r="K55" s="818"/>
      <c r="L55" s="1201">
        <f t="shared" ref="L55" si="195">+L43+L46+L49+L52</f>
        <v>38650.885056284213</v>
      </c>
      <c r="M55" s="816"/>
      <c r="N55" s="781">
        <f t="shared" si="160"/>
        <v>118529.89779001007</v>
      </c>
      <c r="O55" s="818"/>
      <c r="P55" s="1201">
        <f t="shared" ref="P55:P56" si="196">+P43+P46+P49+P52</f>
        <v>39621.029396596183</v>
      </c>
      <c r="Q55" s="815"/>
      <c r="R55" s="782">
        <f>+N55+P55</f>
        <v>158150.92718660625</v>
      </c>
      <c r="S55" s="818"/>
      <c r="T55" s="1201">
        <f t="shared" ref="T55:T56" si="197">+T43+T46+T49+T52</f>
        <v>40696.789766866095</v>
      </c>
      <c r="U55" s="815"/>
      <c r="V55" s="782">
        <f>+R55+T55</f>
        <v>198847.71695347235</v>
      </c>
      <c r="W55" s="818"/>
      <c r="X55" s="1201">
        <f t="shared" ref="X55:X56" si="198">+X43+X46+X49+X52</f>
        <v>39658.086631349324</v>
      </c>
      <c r="Y55" s="816"/>
      <c r="Z55" s="781">
        <f>SUM(P55,T55,X55)</f>
        <v>119975.90579481161</v>
      </c>
      <c r="AA55" s="808"/>
      <c r="AB55" s="2356">
        <f>SUM(N55,Z55)</f>
        <v>238505.8035848217</v>
      </c>
      <c r="AC55" s="818"/>
      <c r="AD55" s="1201">
        <f t="shared" ref="AD55:AD56" si="199">+AD43+AD46+AD49+AD52</f>
        <v>41690</v>
      </c>
      <c r="AE55" s="815"/>
      <c r="AF55" s="782">
        <f>+AB55+AD55</f>
        <v>280195.8035848217</v>
      </c>
      <c r="AG55" s="818"/>
      <c r="AH55" s="1201">
        <f t="shared" ref="AH55:AH56" si="200">+AH43+AH46+AH49+AH52</f>
        <v>38818.040997464064</v>
      </c>
      <c r="AI55" s="815"/>
      <c r="AJ55" s="782">
        <f>+AF55+AH55</f>
        <v>319013.84458228573</v>
      </c>
      <c r="AK55" s="818"/>
      <c r="AL55" s="1201">
        <f t="shared" ref="AL55:AL56" si="201">+AL43+AL46+AL49+AL52</f>
        <v>41185.37216828479</v>
      </c>
      <c r="AM55" s="816"/>
      <c r="AN55" s="781">
        <f>SUM(AD55,AH55,AL55)</f>
        <v>121693.41316574885</v>
      </c>
      <c r="AO55" s="815"/>
      <c r="AP55" s="760">
        <f>AJ55+AL55</f>
        <v>360199.21675057051</v>
      </c>
      <c r="AQ55" s="818"/>
      <c r="AR55" s="1201">
        <f t="shared" ref="AR55:AR56" si="202">+AR43+AR46+AR49+AR52</f>
        <v>41237.031462318366</v>
      </c>
      <c r="AS55" s="815"/>
      <c r="AT55" s="782">
        <f>+AP55+AR55</f>
        <v>401436.2482128889</v>
      </c>
      <c r="AU55" s="818"/>
      <c r="AV55" s="1201">
        <f t="shared" ref="AV55:AV56" si="203">+AV43+AV46+AV49+AV52</f>
        <v>36652.951496388014</v>
      </c>
      <c r="AW55" s="815"/>
      <c r="AX55" s="782">
        <f>+AT55+AV55</f>
        <v>438089.1997092769</v>
      </c>
      <c r="AY55" s="818"/>
      <c r="AZ55" s="1201">
        <f t="shared" ref="AZ55:AZ56" si="204">+AZ43+AZ46+AZ49+AZ52</f>
        <v>40684.199236877379</v>
      </c>
      <c r="BA55" s="816"/>
      <c r="BB55" s="781">
        <f>SUM(AR55,AV55,AZ55)</f>
        <v>118574.18219558377</v>
      </c>
      <c r="BC55" s="808"/>
      <c r="BD55" s="2356">
        <f>SUM(AN55,BB55)</f>
        <v>240267.59536133261</v>
      </c>
      <c r="BE55" s="815"/>
      <c r="BF55" s="782">
        <f>+AX55+AZ55</f>
        <v>478773.39894615428</v>
      </c>
      <c r="BG55" s="1219"/>
      <c r="BH55" s="1219"/>
      <c r="BI55" s="1219"/>
      <c r="BJ55" s="1546"/>
      <c r="BK55" s="1546"/>
      <c r="BL55" s="26"/>
      <c r="BM55" s="26"/>
      <c r="BN55" s="26"/>
    </row>
    <row r="56" spans="1:66" ht="16.5" customHeight="1" thickBot="1" x14ac:dyDescent="0.35">
      <c r="B56" s="1828" t="s">
        <v>159</v>
      </c>
      <c r="C56" s="159" t="s">
        <v>50</v>
      </c>
      <c r="D56" s="818"/>
      <c r="E56" s="818"/>
      <c r="F56" s="1201">
        <f t="shared" ref="F56" si="205">+F44+F47+F50+F53</f>
        <v>69596.604662507307</v>
      </c>
      <c r="G56" s="818"/>
      <c r="H56" s="1201">
        <f t="shared" si="194"/>
        <v>72223.131835055683</v>
      </c>
      <c r="I56" s="815"/>
      <c r="J56" s="256">
        <f t="shared" si="159"/>
        <v>141819.73649756299</v>
      </c>
      <c r="K56" s="818"/>
      <c r="L56" s="1201">
        <f t="shared" ref="L56" si="206">+L44+L47+L50+L53</f>
        <v>70633.42551696446</v>
      </c>
      <c r="M56" s="816"/>
      <c r="N56" s="781">
        <f t="shared" si="160"/>
        <v>212453.16201452745</v>
      </c>
      <c r="O56" s="818"/>
      <c r="P56" s="1201">
        <f t="shared" si="196"/>
        <v>73493.864733085327</v>
      </c>
      <c r="Q56" s="815"/>
      <c r="R56" s="782">
        <f>+N56+P56</f>
        <v>285947.02674761275</v>
      </c>
      <c r="S56" s="818"/>
      <c r="T56" s="1201">
        <f t="shared" si="197"/>
        <v>73193.523996377917</v>
      </c>
      <c r="U56" s="815"/>
      <c r="V56" s="782">
        <f>+R56+T56</f>
        <v>359140.55074399069</v>
      </c>
      <c r="W56" s="818"/>
      <c r="X56" s="1201">
        <f t="shared" si="198"/>
        <v>70971.788751678119</v>
      </c>
      <c r="Y56" s="816"/>
      <c r="Z56" s="781">
        <f>SUM(P56,T56,X56)</f>
        <v>217659.17748114135</v>
      </c>
      <c r="AA56" s="808"/>
      <c r="AB56" s="2356">
        <f>SUM(N56,Z56)</f>
        <v>430112.33949566877</v>
      </c>
      <c r="AC56" s="818"/>
      <c r="AD56" s="1201">
        <f t="shared" si="199"/>
        <v>72569</v>
      </c>
      <c r="AE56" s="815"/>
      <c r="AF56" s="782">
        <f>+AB56+AD56</f>
        <v>502681.33949566877</v>
      </c>
      <c r="AG56" s="818"/>
      <c r="AH56" s="1201">
        <f t="shared" si="200"/>
        <v>69180.259845382097</v>
      </c>
      <c r="AI56" s="815"/>
      <c r="AJ56" s="782">
        <f>+AF56+AH56</f>
        <v>571861.59934105084</v>
      </c>
      <c r="AK56" s="818"/>
      <c r="AL56" s="1201">
        <f t="shared" si="201"/>
        <v>72954.107587675375</v>
      </c>
      <c r="AM56" s="816"/>
      <c r="AN56" s="781">
        <f>SUM(AD56,AH56,AL56)</f>
        <v>214703.36743305746</v>
      </c>
      <c r="AO56" s="815"/>
      <c r="AP56" s="760">
        <f>AJ56+AL56</f>
        <v>644815.70692872617</v>
      </c>
      <c r="AQ56" s="818"/>
      <c r="AR56" s="1201">
        <f t="shared" si="202"/>
        <v>72964.582345022049</v>
      </c>
      <c r="AS56" s="815"/>
      <c r="AT56" s="782">
        <f>+AP56+AR56</f>
        <v>717780.28927374817</v>
      </c>
      <c r="AU56" s="818"/>
      <c r="AV56" s="1201">
        <f t="shared" si="203"/>
        <v>65903.713358989378</v>
      </c>
      <c r="AW56" s="815"/>
      <c r="AX56" s="782">
        <f>+AT56+AV56</f>
        <v>783684.00263273751</v>
      </c>
      <c r="AY56" s="818"/>
      <c r="AZ56" s="1201">
        <f t="shared" si="204"/>
        <v>73173.707114482371</v>
      </c>
      <c r="BA56" s="816"/>
      <c r="BB56" s="781">
        <f>SUM(AR56,AV56,AZ56)</f>
        <v>212042.00281849381</v>
      </c>
      <c r="BC56" s="808"/>
      <c r="BD56" s="2356">
        <f>SUM(AN56,BB56)</f>
        <v>426745.37025155127</v>
      </c>
      <c r="BE56" s="815"/>
      <c r="BF56" s="782">
        <f>+AX56+AZ56</f>
        <v>856857.70974721992</v>
      </c>
      <c r="BG56" s="1219"/>
      <c r="BH56" s="1219"/>
      <c r="BI56" s="1219"/>
      <c r="BJ56" s="1546"/>
      <c r="BK56" s="1546"/>
      <c r="BL56" s="26"/>
      <c r="BM56" s="26"/>
      <c r="BN56" s="26"/>
    </row>
    <row r="57" spans="1:66" ht="16.5" customHeight="1" thickBot="1" x14ac:dyDescent="0.35">
      <c r="B57" s="2366" t="s">
        <v>145</v>
      </c>
      <c r="C57" s="2367" t="s">
        <v>50</v>
      </c>
      <c r="D57" s="111"/>
      <c r="E57" s="111"/>
      <c r="F57" s="2368">
        <f t="shared" ref="F57:H57" si="207">SUM(F55:F56)</f>
        <v>108691.35584978791</v>
      </c>
      <c r="G57" s="111"/>
      <c r="H57" s="2368">
        <f t="shared" si="207"/>
        <v>113007.39338150094</v>
      </c>
      <c r="I57" s="1186"/>
      <c r="J57" s="1187">
        <f t="shared" si="159"/>
        <v>221698.74923128885</v>
      </c>
      <c r="K57" s="111"/>
      <c r="L57" s="2368">
        <f t="shared" ref="L57" si="208">SUM(L55:L56)</f>
        <v>109284.31057324867</v>
      </c>
      <c r="M57" s="1567"/>
      <c r="N57" s="2369">
        <f t="shared" si="160"/>
        <v>330983.05980453751</v>
      </c>
      <c r="O57" s="111"/>
      <c r="P57" s="2368">
        <f t="shared" ref="P57" si="209">SUM(P55:P56)</f>
        <v>113114.89412968152</v>
      </c>
      <c r="Q57" s="1186"/>
      <c r="R57" s="2370">
        <f t="shared" ref="R57" si="210">SUM(R55:R56)</f>
        <v>444097.95393421897</v>
      </c>
      <c r="S57" s="111"/>
      <c r="T57" s="2368">
        <f t="shared" ref="T57" si="211">SUM(T55:T56)</f>
        <v>113890.31376324402</v>
      </c>
      <c r="U57" s="1186"/>
      <c r="V57" s="2370">
        <f t="shared" ref="V57" si="212">SUM(V55:V56)</f>
        <v>557988.26769746304</v>
      </c>
      <c r="W57" s="111"/>
      <c r="X57" s="2368">
        <f t="shared" ref="X57" si="213">SUM(X55:X56)</f>
        <v>110629.87538302745</v>
      </c>
      <c r="Y57" s="1567"/>
      <c r="Z57" s="2369">
        <f>SUM(Z55:Z56)</f>
        <v>337635.08327595296</v>
      </c>
      <c r="AA57" s="2378"/>
      <c r="AB57" s="2108">
        <f>SUM(AB55:AB56)</f>
        <v>668618.14308049041</v>
      </c>
      <c r="AC57" s="111"/>
      <c r="AD57" s="2368">
        <f t="shared" ref="AD57" si="214">SUM(AD55:AD56)</f>
        <v>114259</v>
      </c>
      <c r="AE57" s="1186"/>
      <c r="AF57" s="2370">
        <f t="shared" ref="AF57" si="215">SUM(AF55:AF56)</f>
        <v>782877.14308049041</v>
      </c>
      <c r="AG57" s="111"/>
      <c r="AH57" s="2368">
        <f t="shared" ref="AH57" si="216">SUM(AH55:AH56)</f>
        <v>107998.30084284616</v>
      </c>
      <c r="AI57" s="1186"/>
      <c r="AJ57" s="2370">
        <f t="shared" ref="AJ57" si="217">SUM(AJ55:AJ56)</f>
        <v>890875.44392333657</v>
      </c>
      <c r="AK57" s="111"/>
      <c r="AL57" s="2368">
        <f t="shared" ref="AL57" si="218">SUM(AL55:AL56)</f>
        <v>114139.47975596017</v>
      </c>
      <c r="AM57" s="1567"/>
      <c r="AN57" s="2369">
        <f>SUM(AN55:AN56)</f>
        <v>336396.78059880633</v>
      </c>
      <c r="AO57" s="1186"/>
      <c r="AP57" s="2370">
        <f t="shared" ref="AP57" si="219">SUM(AP55:AP56)</f>
        <v>1005014.9236792966</v>
      </c>
      <c r="AQ57" s="111"/>
      <c r="AR57" s="2368">
        <f t="shared" ref="AR57" si="220">SUM(AR55:AR56)</f>
        <v>114201.61380734041</v>
      </c>
      <c r="AS57" s="1186"/>
      <c r="AT57" s="2370">
        <f t="shared" ref="AT57" si="221">SUM(AT55:AT56)</f>
        <v>1119216.537486637</v>
      </c>
      <c r="AU57" s="111"/>
      <c r="AV57" s="2368">
        <f t="shared" ref="AV57" si="222">SUM(AV55:AV56)</f>
        <v>102556.6648553774</v>
      </c>
      <c r="AW57" s="1186"/>
      <c r="AX57" s="2370">
        <f t="shared" ref="AX57" si="223">SUM(AX55:AX56)</f>
        <v>1221773.2023420143</v>
      </c>
      <c r="AY57" s="111"/>
      <c r="AZ57" s="2368">
        <f t="shared" ref="AZ57" si="224">SUM(AZ55:AZ56)</f>
        <v>113857.90635135975</v>
      </c>
      <c r="BA57" s="1567"/>
      <c r="BB57" s="2369">
        <f>SUM(BB55:BB56)</f>
        <v>330616.18501407758</v>
      </c>
      <c r="BC57" s="2378"/>
      <c r="BD57" s="2108">
        <f>SUM(BD55:BD56)</f>
        <v>667012.96561288391</v>
      </c>
      <c r="BE57" s="1186"/>
      <c r="BF57" s="2370">
        <f t="shared" ref="BF57" si="225">SUM(BF55:BF56)</f>
        <v>1335631.1086933743</v>
      </c>
      <c r="BG57" s="1219"/>
      <c r="BH57" s="1219"/>
      <c r="BI57" s="1219"/>
      <c r="BJ57" s="1546"/>
      <c r="BK57" s="1546"/>
      <c r="BL57" s="26"/>
      <c r="BM57" s="26"/>
      <c r="BN57" s="26"/>
    </row>
    <row r="58" spans="1:66" thickBot="1" x14ac:dyDescent="0.35">
      <c r="A58" s="533"/>
      <c r="B58" s="533"/>
      <c r="C58" s="533"/>
      <c r="D58" s="533"/>
      <c r="E58" s="533"/>
      <c r="F58" s="533"/>
      <c r="G58" s="533"/>
      <c r="H58" s="533"/>
      <c r="I58" s="533"/>
      <c r="J58" s="533"/>
      <c r="K58" s="533"/>
      <c r="L58" s="533"/>
      <c r="M58" s="533"/>
      <c r="N58" s="533"/>
      <c r="O58" s="533"/>
      <c r="P58" s="533"/>
      <c r="Q58" s="533"/>
      <c r="R58" s="533"/>
      <c r="S58" s="533"/>
      <c r="T58" s="533"/>
      <c r="U58" s="533"/>
      <c r="V58" s="533"/>
      <c r="W58" s="533"/>
      <c r="X58" s="533"/>
      <c r="Y58" s="533"/>
      <c r="Z58" s="533"/>
      <c r="AA58" s="533"/>
      <c r="AB58" s="533"/>
      <c r="AC58" s="533"/>
      <c r="AD58" s="533"/>
      <c r="AE58" s="533"/>
      <c r="AF58" s="533"/>
      <c r="AG58" s="533"/>
      <c r="AH58" s="533"/>
      <c r="AI58" s="533"/>
      <c r="AJ58" s="533"/>
      <c r="AK58" s="533"/>
      <c r="AL58" s="533"/>
      <c r="AM58" s="533"/>
      <c r="AN58" s="533"/>
      <c r="AO58" s="533"/>
      <c r="AP58" s="533"/>
      <c r="AQ58" s="533"/>
      <c r="AR58" s="533"/>
      <c r="AS58" s="533"/>
      <c r="AT58" s="533"/>
      <c r="AU58" s="533"/>
      <c r="AV58" s="533"/>
      <c r="AW58" s="533"/>
      <c r="AX58" s="533"/>
      <c r="AY58" s="533"/>
      <c r="AZ58" s="533"/>
      <c r="BA58" s="533"/>
      <c r="BB58" s="533"/>
      <c r="BC58" s="533"/>
      <c r="BD58" s="533"/>
      <c r="BE58" s="533"/>
      <c r="BF58" s="533"/>
      <c r="BG58" s="1219"/>
      <c r="BH58" s="1219"/>
      <c r="BI58" s="1219"/>
      <c r="BJ58" s="1546"/>
      <c r="BK58" s="1546"/>
      <c r="BL58" s="26"/>
      <c r="BM58" s="26"/>
      <c r="BN58" s="26"/>
    </row>
    <row r="59" spans="1:66" ht="16.149999999999999" thickBot="1" x14ac:dyDescent="0.35">
      <c r="A59"/>
      <c r="B59" s="1832" t="s">
        <v>1576</v>
      </c>
      <c r="D59"/>
      <c r="E59"/>
      <c r="F59" s="1649"/>
      <c r="G59"/>
      <c r="H59" s="1649"/>
      <c r="I59"/>
      <c r="J59"/>
      <c r="K59"/>
      <c r="L59" s="1649"/>
      <c r="M59"/>
      <c r="N59"/>
      <c r="O59"/>
      <c r="P59" s="1649"/>
      <c r="Q59"/>
      <c r="R59"/>
      <c r="S59"/>
      <c r="T59" s="1649"/>
      <c r="U59"/>
      <c r="X59" s="1649"/>
      <c r="AD59" s="1649"/>
      <c r="AH59" s="1649"/>
      <c r="AL59" s="1649"/>
      <c r="AR59" s="1649"/>
      <c r="AV59" s="1649"/>
      <c r="AZ59" s="1649"/>
      <c r="BG59" s="1219"/>
      <c r="BH59" s="1219"/>
      <c r="BI59" s="1219"/>
      <c r="BJ59" s="1546"/>
      <c r="BK59" s="1546"/>
      <c r="BL59" s="26"/>
      <c r="BM59" s="26"/>
      <c r="BN59" s="26"/>
    </row>
    <row r="60" spans="1:66" ht="16.149999999999999" thickBot="1" x14ac:dyDescent="0.35">
      <c r="A60" s="93"/>
      <c r="B60" s="1824" t="s">
        <v>146</v>
      </c>
      <c r="C60" s="1802" t="s">
        <v>221</v>
      </c>
      <c r="D60" s="1810">
        <v>18.960953126358817</v>
      </c>
      <c r="E60" s="1803">
        <v>19.102040816326529</v>
      </c>
      <c r="F60" s="1803">
        <v>19.066666666666666</v>
      </c>
      <c r="G60" s="1803">
        <v>19.102040816326529</v>
      </c>
      <c r="H60" s="1803">
        <v>19.016666666666666</v>
      </c>
      <c r="I60" s="1804">
        <f>+((E60*E$5*E$2)+(G60*G$2*G$5))/((E$5*E$2)+(G$5*G$2))</f>
        <v>19.102040816326532</v>
      </c>
      <c r="J60" s="1806">
        <f>+((F60*F$5*F$2)+(H60*H$2*H$5))/((F$5*F$2)+(H$5*H$2))</f>
        <v>19.04120385953102</v>
      </c>
      <c r="K60" s="1803">
        <v>18.893617021276597</v>
      </c>
      <c r="L60" s="1803">
        <v>18.866666666666667</v>
      </c>
      <c r="M60" s="1805">
        <f t="shared" ref="M60:N61" si="226">+((E60*E$5*E$2)+(G60*G$5*G$2)+(K60*K$5*K$2))/((E$5*E$2)+(G$5*G$2)+(K$5*K$2))</f>
        <v>19.035235280745624</v>
      </c>
      <c r="N60" s="2442">
        <f t="shared" si="226"/>
        <v>18.984198398307644</v>
      </c>
      <c r="O60" s="1803">
        <v>18.893617021276597</v>
      </c>
      <c r="P60" s="1803">
        <v>18.616666666666667</v>
      </c>
      <c r="Q60" s="1804">
        <f>+((M60*M$5*M$2)+(O60*O$2*O$5))/((M$5*M$2)+(O$5*O$2))</f>
        <v>19</v>
      </c>
      <c r="R60" s="1804">
        <f>+((N60*N$5*N$2)+(P60*P$5*P$2))/((N$5*N$2)+(P$5*P$2))</f>
        <v>18.891925536128557</v>
      </c>
      <c r="S60" s="1803">
        <v>18.893617021276597</v>
      </c>
      <c r="T60" s="1803">
        <v>18.883333333333333</v>
      </c>
      <c r="U60" s="1804">
        <f>+((Q60*Q$5*Q$2)+(S60*S$2*S$5))/((Q$5*Q$2)+(S$5*S$2))</f>
        <v>18.978804868043209</v>
      </c>
      <c r="V60" s="1804">
        <f>+((R60*R$5*R$2)+(T60*T$5*T$2))/((R$5*R$2)+(T$5*T$2))</f>
        <v>18.890164192532609</v>
      </c>
      <c r="W60" s="1803">
        <v>19.283387622149839</v>
      </c>
      <c r="X60" s="1803">
        <v>19</v>
      </c>
      <c r="Y60" s="1805">
        <f>+((O60*O$5*O$2)+(S60*S$5*S$2)+(W60*W$5*W$2))/((O$5*O$2)+(S$5*S$2)+(W$5*W$2))</f>
        <v>19.018973344197416</v>
      </c>
      <c r="Z60" s="2417">
        <f>(P60*P$5*P$2+T60*T$5*T$2+X60*X$5*X$2)/(P$5*P$2+T$5*T$2+X$5*X$2)</f>
        <v>18.833445240226801</v>
      </c>
      <c r="AA60" s="2419">
        <f t="shared" ref="AA60:AB61" si="227">(M60*M$5*M$2+Y60*Y$5*Y$2)/(M$5*M$2+Y$5*Y$2)</f>
        <v>19.0272011041463</v>
      </c>
      <c r="AB60" s="2418">
        <f t="shared" si="227"/>
        <v>18.908346471471475</v>
      </c>
      <c r="AC60" s="1803">
        <v>19</v>
      </c>
      <c r="AD60" s="1803">
        <v>18.933333333333334</v>
      </c>
      <c r="AE60" s="1804">
        <f t="shared" ref="AE60:AE61" si="228">+((AA60*AA$5*AA$2)+(AC60*AC$5*AC$2))/((AA$5*AA$2)+(AC$5*AC$2))</f>
        <v>19.023226123250677</v>
      </c>
      <c r="AF60" s="1806">
        <f t="shared" ref="AF60:AF61" si="229">+((AB60*AB$5*AB$2)+(AD60*AD$5*AD$2))/((AB$5*AB$2)+(AD$5*AD$2))</f>
        <v>18.911996345802486</v>
      </c>
      <c r="AG60" s="1803">
        <v>19</v>
      </c>
      <c r="AH60" s="1803">
        <v>19.666666666666668</v>
      </c>
      <c r="AI60" s="1804">
        <f t="shared" ref="AI60:AI61" si="230">+((AE60*AE$5*AE$2)+(AG60*AG$5*AG$2))/((AE$5*AE$2)+(AG$5*AG$2))</f>
        <v>19.020348462034846</v>
      </c>
      <c r="AJ60" s="1806">
        <f t="shared" ref="AJ60:AJ61" si="231">+((AF60*AF$5*AF$2)+(AH60*AH$5*AH$2))/((AF$5*AF$2)+(AH$5*AH$2))</f>
        <v>19.002357472383292</v>
      </c>
      <c r="AK60" s="1803">
        <v>19</v>
      </c>
      <c r="AL60" s="1803">
        <v>19</v>
      </c>
      <c r="AM60" s="1805">
        <f>+((AC60*AC$5*AC$2)+(AG60*AG$5*AG$2)+(AK60*AK$5*AK$2))/((AC$5*AC$2)+(AG$5*AG$2)+(AK$5*AK$2))</f>
        <v>19</v>
      </c>
      <c r="AN60" s="2417">
        <f>(AD60*AD$5*AD$2+AH60*AH$5*AH$2+AL60*AL$5*AL$2)/(AD$5*AD$2+AH$5*AH$2+AL$5*AL$2)</f>
        <v>19.189047351675089</v>
      </c>
      <c r="AO60" s="1804">
        <f t="shared" ref="AO60:AP61" si="232">+((AK60*AK$5*AK$2)+(AI60*AI$5*AI$2))/((AK$5*AK$2)+(AI$5*AI$2))</f>
        <v>19.018038976392969</v>
      </c>
      <c r="AP60" s="1806">
        <f t="shared" si="232"/>
        <v>19.002088880555036</v>
      </c>
      <c r="AQ60" s="1803">
        <v>19</v>
      </c>
      <c r="AR60" s="1803">
        <v>18.933333333333334</v>
      </c>
      <c r="AS60" s="1804">
        <f t="shared" ref="AS60:AS61" si="233">+((AO60*AO$5*AO$2)+(AQ60*AQ$5*AQ$2))/((AO$5*AO$2)+(AQ$5*AQ$2))</f>
        <v>19.01620029455081</v>
      </c>
      <c r="AT60" s="1806">
        <f t="shared" ref="AT60:AT61" si="234">+((AP60*AP$5*AP$2)+(AR60*AR$5*AR$2))/((AP$5*AP$2)+(AR$5*AR$2))</f>
        <v>18.995056616054498</v>
      </c>
      <c r="AU60" s="1803">
        <v>19</v>
      </c>
      <c r="AV60" s="1803">
        <v>19.033333333333335</v>
      </c>
      <c r="AW60" s="1804">
        <f t="shared" ref="AW60:AW61" si="235">+((AS60*AS$5*AS$2)+(AU60*AU$5*AU$2))/((AS$5*AS$2)+(AU$5*AU$2))</f>
        <v>19.014834561706131</v>
      </c>
      <c r="AX60" s="1806">
        <f t="shared" ref="AX60:AX61" si="236">+((AT60*AT$5*AT$2)+(AV60*AV$5*AV$2))/((AT$5*AT$2)+(AV$5*AV$2))</f>
        <v>18.9982839057073</v>
      </c>
      <c r="AY60" s="1803">
        <v>19</v>
      </c>
      <c r="AZ60" s="1803">
        <v>18.966666666666665</v>
      </c>
      <c r="BA60" s="1805">
        <f>+((AQ60*AQ$5*AQ$2)+(AU60*AU$5*AU$2)+(AY60*AY$5*AY$2))/((AQ$5*AQ$2)+(AU$5*AU$2)+(AY$5*AY$2))</f>
        <v>19</v>
      </c>
      <c r="BB60" s="2417">
        <f>(AR60*AR$5*AR$2+AV60*AV$5*AV$2+AZ60*AZ$5*AZ$2)/(AR$5*AR$2+AV$5*AV$2+AZ$5*AZ$2)</f>
        <v>18.975867287103242</v>
      </c>
      <c r="BC60" s="2419">
        <f>(AM60*AM$5*AM$2+BA60*BA$5*BA$2)/(AM$5*AM$2+BA$5*BA$2)</f>
        <v>19</v>
      </c>
      <c r="BD60" s="2418">
        <f>(AN60*AN$5*AN$2+BB60*BB$5*BB$2)/(AN$5*AN$2+BB$5*BB$2)</f>
        <v>19.083022879506288</v>
      </c>
      <c r="BE60" s="1804">
        <f t="shared" ref="BE60:BE61" si="237">+((AW60*AW$5*AW$2)+(AY60*AY$5*AY$2))/((AW$5*AW$2)+(AY$5*AY$2))</f>
        <v>19.013568170735201</v>
      </c>
      <c r="BF60" s="1806">
        <f t="shared" ref="BF60:BF61" si="238">+((AX60*AX$5*AX$2)+(AZ60*AZ$5*AZ$2))/((AX$5*AX$2)+(AZ$5*AZ$2))</f>
        <v>18.995576352087795</v>
      </c>
      <c r="BG60" s="1219"/>
      <c r="BH60" s="1219"/>
      <c r="BI60" s="1219"/>
      <c r="BJ60" s="1546"/>
      <c r="BK60" s="1546"/>
      <c r="BL60" s="26"/>
      <c r="BM60" s="26"/>
      <c r="BN60" s="26"/>
    </row>
    <row r="61" spans="1:66" ht="16.149999999999999" thickBot="1" x14ac:dyDescent="0.35">
      <c r="A61" s="93"/>
      <c r="B61" s="1825" t="s">
        <v>147</v>
      </c>
      <c r="C61" s="1686" t="s">
        <v>221</v>
      </c>
      <c r="D61" s="1811">
        <v>18.019026238248909</v>
      </c>
      <c r="E61" s="1687">
        <v>17.951020408163266</v>
      </c>
      <c r="F61" s="1687">
        <v>17.95</v>
      </c>
      <c r="G61" s="1687">
        <v>17.951020408163266</v>
      </c>
      <c r="H61" s="1687">
        <v>17.916666666666668</v>
      </c>
      <c r="I61" s="1807">
        <f t="shared" ref="I61" si="239">+((E61*E$5*E$2)+(G61*G$2*G$5))/((E$5*E$2)+(G$5*G$2))</f>
        <v>17.951020408163266</v>
      </c>
      <c r="J61" s="1809">
        <f t="shared" ref="J61" si="240">+((F61*F$5*F$2)+(H61*H$2*H$5))/((F$5*F$2)+(H$5*H$2))</f>
        <v>17.933024795242904</v>
      </c>
      <c r="K61" s="1687">
        <v>17.951020408163266</v>
      </c>
      <c r="L61" s="1687">
        <v>17.7</v>
      </c>
      <c r="M61" s="1808">
        <f t="shared" si="226"/>
        <v>17.951020408163266</v>
      </c>
      <c r="N61" s="2443">
        <f t="shared" si="226"/>
        <v>17.856916742218193</v>
      </c>
      <c r="O61" s="1687">
        <v>17.951020408163266</v>
      </c>
      <c r="P61" s="1687">
        <v>17.566666666666666</v>
      </c>
      <c r="Q61" s="1807">
        <f t="shared" ref="Q61" si="241">+((M61*M$5*M$2)+(O61*O$2*O$5))/((M$5*M$2)+(O$5*O$2))</f>
        <v>17.951020408163266</v>
      </c>
      <c r="R61" s="1807">
        <f>+((N61*N$5*N$2)+(P61*P$5*P$2))/((N$5*N$2)+(P$5*P$2))</f>
        <v>17.78404628529395</v>
      </c>
      <c r="S61" s="1687">
        <v>17.951020408163266</v>
      </c>
      <c r="T61" s="1687">
        <v>17.683333333333334</v>
      </c>
      <c r="U61" s="1807">
        <f t="shared" ref="U61" si="242">+((Q61*Q$5*Q$2)+(S61*S$2*S$5))/((Q$5*Q$2)+(S$5*S$2))</f>
        <v>17.951020408163266</v>
      </c>
      <c r="V61" s="1807">
        <f>+((R61*R$5*R$2)+(T61*T$5*T$2))/((R$5*R$2)+(T$5*T$2))</f>
        <v>17.763400809716597</v>
      </c>
      <c r="W61" s="1687">
        <v>18.814973262032083</v>
      </c>
      <c r="X61" s="1687">
        <v>17.633333333333333</v>
      </c>
      <c r="Y61" s="1805">
        <f t="shared" ref="Y61" si="243">+((O61*O$5*O$2)+(S61*S$5*S$2)+(W61*W$5*W$2))/((O$5*O$2)+(S$5*S$2)+(W$5*W$2))</f>
        <v>18.228881161886878</v>
      </c>
      <c r="Z61" s="2417">
        <f>(P61*P$5*P$2+T61*T$5*T$2+X61*X$5*X$2)/(P$5*P$2+T$5*T$2+X$5*X$2)</f>
        <v>17.628263951059388</v>
      </c>
      <c r="AA61" s="2419">
        <f t="shared" si="227"/>
        <v>18.088296947080948</v>
      </c>
      <c r="AB61" s="2418">
        <f t="shared" si="227"/>
        <v>17.741869369369372</v>
      </c>
      <c r="AC61" s="1687">
        <v>17.81818181818182</v>
      </c>
      <c r="AD61" s="1687">
        <v>17.75</v>
      </c>
      <c r="AE61" s="1807">
        <f t="shared" si="228"/>
        <v>18.048824193650859</v>
      </c>
      <c r="AF61" s="1809">
        <f t="shared" si="229"/>
        <v>17.743057024713917</v>
      </c>
      <c r="AG61" s="1687">
        <v>17.81818181818182</v>
      </c>
      <c r="AH61" s="1687">
        <v>18.533333333333335</v>
      </c>
      <c r="AI61" s="1807">
        <f t="shared" si="230"/>
        <v>18.02024815401434</v>
      </c>
      <c r="AJ61" s="1809">
        <f t="shared" si="231"/>
        <v>17.837681466119271</v>
      </c>
      <c r="AK61" s="1687">
        <v>17.81818181818182</v>
      </c>
      <c r="AL61" s="1687">
        <v>17.716666666666665</v>
      </c>
      <c r="AM61" s="1805">
        <f t="shared" ref="AM61" si="244">+((AC61*AC$5*AC$2)+(AG61*AG$5*AG$2)+(AK61*AK$5*AK$2))/((AC$5*AC$2)+(AG$5*AG$2)+(AK$5*AK$2))</f>
        <v>17.81818181818182</v>
      </c>
      <c r="AN61" s="2417">
        <f>(AD61*AD$5*AD$2+AH61*AH$5*AH$2+AL61*AL$5*AL$2)/(AD$5*AD$2+AH$5*AH$2+AL$5*AL$2)</f>
        <v>17.98748268762867</v>
      </c>
      <c r="AO61" s="1807">
        <f t="shared" si="232"/>
        <v>17.997314268371628</v>
      </c>
      <c r="AP61" s="1809">
        <f t="shared" si="232"/>
        <v>17.823893993374586</v>
      </c>
      <c r="AQ61" s="1687">
        <v>17.81818181818182</v>
      </c>
      <c r="AR61" s="1687">
        <v>17.683333333333334</v>
      </c>
      <c r="AS61" s="1807">
        <f t="shared" si="233"/>
        <v>17.979055605777358</v>
      </c>
      <c r="AT61" s="1809">
        <f t="shared" si="234"/>
        <v>17.80951755714911</v>
      </c>
      <c r="AU61" s="1687">
        <v>17.81818181818182</v>
      </c>
      <c r="AV61" s="1687">
        <v>17.649999999999999</v>
      </c>
      <c r="AW61" s="1807">
        <f t="shared" si="235"/>
        <v>17.965493468689171</v>
      </c>
      <c r="AX61" s="1809">
        <f t="shared" si="236"/>
        <v>17.796067883346691</v>
      </c>
      <c r="AY61" s="1687">
        <v>17.81818181818182</v>
      </c>
      <c r="AZ61" s="1687">
        <v>17.683333333333334</v>
      </c>
      <c r="BA61" s="1805">
        <f t="shared" ref="BA61" si="245">+((AQ61*AQ$5*AQ$2)+(AU61*AU$5*AU$2)+(AY61*AY$5*AY$2))/((AQ$5*AQ$2)+(AU$5*AU$2)+(AY$5*AY$2))</f>
        <v>17.81818181818182</v>
      </c>
      <c r="BB61" s="2417">
        <f>(AR61*AR$5*AR$2+AV61*AV$5*AV$2+AZ61*AZ$5*AZ$2)/(AR$5*AR$2+AV$5*AV$2+AZ$5*AZ$2)</f>
        <v>17.672986418492034</v>
      </c>
      <c r="BC61" s="2419">
        <f>(AM61*AM$5*AM$2+BA61*BA$5*BA$2)/(AM$5*AM$2+BA$5*BA$2)</f>
        <v>17.818181818181817</v>
      </c>
      <c r="BD61" s="2418">
        <f>(AN61*AN$5*AN$2+BB61*BB$5*BB$2)/(AN$5*AN$2+BB$5*BB$2)</f>
        <v>17.831068901934223</v>
      </c>
      <c r="BE61" s="1807">
        <f t="shared" si="237"/>
        <v>17.952917826225963</v>
      </c>
      <c r="BF61" s="1809">
        <f t="shared" si="238"/>
        <v>17.786413819671512</v>
      </c>
      <c r="BG61" s="1219"/>
      <c r="BH61" s="1219"/>
      <c r="BI61" s="1219"/>
      <c r="BJ61" s="1546"/>
      <c r="BK61" s="1546"/>
      <c r="BL61" s="26"/>
      <c r="BM61" s="26"/>
      <c r="BN61" s="26"/>
    </row>
    <row r="62" spans="1:66" ht="16.5" customHeight="1" thickBot="1" x14ac:dyDescent="0.35">
      <c r="A62" s="533"/>
      <c r="B62" s="533"/>
      <c r="C62" s="533"/>
      <c r="D62" s="533"/>
      <c r="E62" s="533"/>
      <c r="F62" s="533"/>
      <c r="G62" s="533"/>
      <c r="H62" s="533"/>
      <c r="I62" s="533"/>
      <c r="J62" s="533"/>
      <c r="K62" s="533"/>
      <c r="L62" s="533"/>
      <c r="M62" s="533"/>
      <c r="N62" s="533"/>
      <c r="O62" s="533"/>
      <c r="P62" s="533"/>
      <c r="Q62" s="533"/>
      <c r="R62" s="533"/>
      <c r="S62" s="533"/>
      <c r="T62" s="533"/>
      <c r="U62" s="533"/>
      <c r="V62" s="533"/>
      <c r="W62" s="533"/>
      <c r="X62" s="533"/>
      <c r="Y62" s="533"/>
      <c r="Z62" s="533"/>
      <c r="AA62" s="533"/>
      <c r="AB62" s="533"/>
      <c r="AC62" s="533"/>
      <c r="AD62" s="533"/>
      <c r="AE62" s="533"/>
      <c r="AF62" s="533"/>
      <c r="AG62" s="533"/>
      <c r="AH62" s="533"/>
      <c r="AI62" s="533"/>
      <c r="AJ62" s="533"/>
      <c r="AK62" s="533"/>
      <c r="AL62" s="533"/>
      <c r="AM62" s="533"/>
      <c r="AN62" s="533"/>
      <c r="AO62" s="533"/>
      <c r="AP62" s="533"/>
      <c r="AQ62" s="533"/>
      <c r="AR62" s="533"/>
      <c r="AS62" s="533"/>
      <c r="AT62" s="533"/>
      <c r="AU62" s="533"/>
      <c r="AV62" s="533"/>
      <c r="AW62" s="533"/>
      <c r="AX62" s="533"/>
      <c r="AY62" s="533"/>
      <c r="AZ62" s="533"/>
      <c r="BA62" s="533"/>
      <c r="BB62" s="533"/>
      <c r="BC62" s="533"/>
      <c r="BD62" s="533"/>
      <c r="BE62" s="533"/>
      <c r="BF62" s="533"/>
      <c r="BG62" s="1219"/>
      <c r="BH62" s="1219"/>
      <c r="BI62" s="1219"/>
      <c r="BJ62" s="1546"/>
      <c r="BK62" s="1546"/>
      <c r="BL62" s="26"/>
      <c r="BM62" s="26"/>
      <c r="BN62" s="26"/>
    </row>
    <row r="63" spans="1:66" ht="16.149999999999999" thickBot="1" x14ac:dyDescent="0.35">
      <c r="A63" s="148" t="s">
        <v>470</v>
      </c>
      <c r="B63" s="3267" t="s">
        <v>179</v>
      </c>
      <c r="C63" s="1410"/>
      <c r="D63" s="533"/>
      <c r="E63" s="533"/>
      <c r="F63" s="533"/>
      <c r="G63" s="533"/>
      <c r="H63" s="533"/>
      <c r="I63" s="533"/>
      <c r="J63" s="533"/>
      <c r="K63" s="533"/>
      <c r="L63" s="533"/>
      <c r="M63" s="533"/>
      <c r="N63" s="533"/>
      <c r="O63" s="533"/>
      <c r="P63" s="533"/>
      <c r="Q63" s="533"/>
      <c r="R63" s="533"/>
      <c r="S63" s="533"/>
      <c r="T63" s="533"/>
      <c r="U63" s="533"/>
      <c r="V63" s="533"/>
      <c r="W63" s="533"/>
      <c r="X63" s="533"/>
      <c r="Y63" s="239"/>
      <c r="Z63" s="239"/>
      <c r="AA63" s="2371"/>
      <c r="AB63" s="239"/>
      <c r="AC63" s="533"/>
      <c r="AD63" s="533"/>
      <c r="AE63" s="265"/>
      <c r="AF63" s="265"/>
      <c r="AG63" s="533"/>
      <c r="AH63" s="533"/>
      <c r="AI63" s="265"/>
      <c r="AJ63" s="265"/>
      <c r="AK63" s="533"/>
      <c r="AL63" s="533"/>
      <c r="AM63" s="239"/>
      <c r="AN63" s="239"/>
      <c r="AO63" s="265"/>
      <c r="AP63" s="265"/>
      <c r="AQ63" s="533"/>
      <c r="AR63" s="533"/>
      <c r="AS63" s="265"/>
      <c r="AT63" s="265"/>
      <c r="AU63" s="533"/>
      <c r="AV63" s="533"/>
      <c r="AW63" s="265"/>
      <c r="AX63" s="265"/>
      <c r="AY63" s="533"/>
      <c r="AZ63" s="533"/>
      <c r="BA63" s="239"/>
      <c r="BB63" s="239"/>
      <c r="BC63" s="2691"/>
      <c r="BD63" s="2692"/>
      <c r="BE63" s="265"/>
      <c r="BF63" s="265"/>
      <c r="BG63" s="1219"/>
      <c r="BH63" s="1219"/>
      <c r="BI63" s="1219"/>
      <c r="BJ63" s="1546"/>
      <c r="BK63" s="1546"/>
      <c r="BL63" s="26"/>
      <c r="BM63" s="26"/>
      <c r="BN63" s="26"/>
    </row>
    <row r="64" spans="1:66" thickBot="1" x14ac:dyDescent="0.35">
      <c r="B64" s="1819" t="s">
        <v>180</v>
      </c>
      <c r="C64" s="1392" t="s">
        <v>50</v>
      </c>
      <c r="D64" s="448">
        <v>14833.710000000003</v>
      </c>
      <c r="E64" s="155">
        <v>1264.2</v>
      </c>
      <c r="F64" s="496">
        <v>1152</v>
      </c>
      <c r="G64" s="155">
        <v>1306.3399999999999</v>
      </c>
      <c r="H64" s="496">
        <v>1195</v>
      </c>
      <c r="I64" s="61">
        <f>+E64+G64</f>
        <v>2570.54</v>
      </c>
      <c r="J64" s="39">
        <f>+F64+H64</f>
        <v>2347</v>
      </c>
      <c r="K64" s="155">
        <v>1212.5999999999999</v>
      </c>
      <c r="L64" s="496">
        <v>1140.2</v>
      </c>
      <c r="M64" s="72">
        <f>+E64+G64+K64</f>
        <v>3783.14</v>
      </c>
      <c r="N64" s="125">
        <f>+F64+H64+L64</f>
        <v>3487.2</v>
      </c>
      <c r="O64" s="155">
        <v>1253.02</v>
      </c>
      <c r="P64" s="496">
        <v>1166.7</v>
      </c>
      <c r="Q64" s="61">
        <f>+M64+O64</f>
        <v>5036.16</v>
      </c>
      <c r="R64" s="39">
        <f>+N64+P64</f>
        <v>4653.8999999999996</v>
      </c>
      <c r="S64" s="155">
        <v>1253.02</v>
      </c>
      <c r="T64" s="496">
        <v>1199.7</v>
      </c>
      <c r="U64" s="61">
        <f>+Q64+S64</f>
        <v>6289.18</v>
      </c>
      <c r="V64" s="39">
        <f>+R64+T64</f>
        <v>5853.5999999999995</v>
      </c>
      <c r="W64" s="155">
        <v>1188.0899999999999</v>
      </c>
      <c r="X64" s="496">
        <v>1161</v>
      </c>
      <c r="Y64" s="761">
        <f>+O64+S64+W64</f>
        <v>3694.13</v>
      </c>
      <c r="Z64" s="84">
        <f>+P64+T64+X64</f>
        <v>3527.4</v>
      </c>
      <c r="AA64" s="759">
        <f>+M64+Y64</f>
        <v>7477.27</v>
      </c>
      <c r="AB64" s="759">
        <f>+N64+Z64</f>
        <v>7014.6</v>
      </c>
      <c r="AC64" s="155">
        <v>1382.0544</v>
      </c>
      <c r="AD64" s="496">
        <v>1255.5</v>
      </c>
      <c r="AE64" s="61">
        <f>+AA64+AC64</f>
        <v>8859.3244000000013</v>
      </c>
      <c r="AF64" s="39">
        <f>+AB64+AD64</f>
        <v>8270.1</v>
      </c>
      <c r="AG64" s="155">
        <v>1337.472</v>
      </c>
      <c r="AH64" s="496">
        <v>1159.5</v>
      </c>
      <c r="AI64" s="61">
        <f>+AE64+AG64</f>
        <v>10196.796400000001</v>
      </c>
      <c r="AJ64" s="39">
        <f>+AF64+AH64</f>
        <v>9429.6</v>
      </c>
      <c r="AK64" s="155">
        <v>1382.0544</v>
      </c>
      <c r="AL64" s="496">
        <v>1265.9000000000001</v>
      </c>
      <c r="AM64" s="761">
        <f>+AC64+AG64+AK64</f>
        <v>4101.5807999999997</v>
      </c>
      <c r="AN64" s="84">
        <f>+AD64+AH64+AL64</f>
        <v>3680.9</v>
      </c>
      <c r="AO64" s="760">
        <f>AI64+AK64</f>
        <v>11578.8508</v>
      </c>
      <c r="AP64" s="760">
        <f>AJ64+AL64</f>
        <v>10695.5</v>
      </c>
      <c r="AQ64" s="155">
        <v>1382.0544</v>
      </c>
      <c r="AR64" s="496">
        <v>1255.5</v>
      </c>
      <c r="AS64" s="61">
        <f>+AO64+AQ64</f>
        <v>12960.905200000001</v>
      </c>
      <c r="AT64" s="39">
        <f>+AP64+AR64</f>
        <v>11951</v>
      </c>
      <c r="AU64" s="155">
        <v>1248.3072</v>
      </c>
      <c r="AV64" s="496">
        <v>1132.7</v>
      </c>
      <c r="AW64" s="61">
        <f>+AS64+AU64</f>
        <v>14209.2124</v>
      </c>
      <c r="AX64" s="39">
        <f>+AT64+AV64</f>
        <v>13083.7</v>
      </c>
      <c r="AY64" s="155">
        <v>1382.0544</v>
      </c>
      <c r="AZ64" s="496">
        <v>1255.5</v>
      </c>
      <c r="BA64" s="761">
        <f>+AQ64+AU64+AY64</f>
        <v>4012.4160000000002</v>
      </c>
      <c r="BB64" s="2684">
        <f>+AR64+AV64+AZ64</f>
        <v>3643.7</v>
      </c>
      <c r="BC64" s="2693">
        <f t="shared" ref="BC64:BC65" si="246">+AM64+BA64</f>
        <v>8113.9967999999999</v>
      </c>
      <c r="BD64" s="2693">
        <f t="shared" ref="BD64:BD65" si="247">+AN64+BB64</f>
        <v>7324.6</v>
      </c>
      <c r="BE64" s="437">
        <f>+AW64+AY64</f>
        <v>15591.266800000001</v>
      </c>
      <c r="BF64" s="39">
        <f>+AX64+AZ64</f>
        <v>14339.2</v>
      </c>
      <c r="BG64" s="1219"/>
      <c r="BH64" s="1219"/>
      <c r="BI64" s="1219"/>
      <c r="BJ64" s="1546"/>
      <c r="BK64" s="1546"/>
      <c r="BL64" s="26"/>
      <c r="BM64" s="26"/>
      <c r="BN64" s="26"/>
    </row>
    <row r="65" spans="1:66" ht="15.95" customHeight="1" thickBot="1" x14ac:dyDescent="0.35">
      <c r="B65" s="1820" t="s">
        <v>181</v>
      </c>
      <c r="C65" s="1404" t="s">
        <v>50</v>
      </c>
      <c r="D65" s="3268">
        <v>28107.106250000001</v>
      </c>
      <c r="E65" s="1311">
        <v>2318.9250000000002</v>
      </c>
      <c r="F65" s="3269">
        <v>2295.44</v>
      </c>
      <c r="G65" s="1311">
        <v>2396.2224999999999</v>
      </c>
      <c r="H65" s="3269">
        <v>2383.13</v>
      </c>
      <c r="I65" s="1124">
        <f>+E65+G65</f>
        <v>4715.1475</v>
      </c>
      <c r="J65" s="165">
        <f>+F65+H65</f>
        <v>4678.57</v>
      </c>
      <c r="K65" s="1311">
        <v>2318.9250000000002</v>
      </c>
      <c r="L65" s="3269">
        <v>2322.87</v>
      </c>
      <c r="M65" s="1566">
        <f>+E65+G65+K65</f>
        <v>7034.0725000000002</v>
      </c>
      <c r="N65" s="1576">
        <f>+F65+H65+L65</f>
        <v>7001.44</v>
      </c>
      <c r="O65" s="1311">
        <v>2396.2224999999999</v>
      </c>
      <c r="P65" s="3269">
        <v>2419.42</v>
      </c>
      <c r="Q65" s="1124">
        <f>+M65+O65</f>
        <v>9430.2950000000001</v>
      </c>
      <c r="R65" s="165">
        <f>+N65+P65</f>
        <v>9420.86</v>
      </c>
      <c r="S65" s="1311">
        <v>2396.2224999999999</v>
      </c>
      <c r="T65" s="3269">
        <v>2408.9899999999998</v>
      </c>
      <c r="U65" s="1124">
        <f>+Q65+S65</f>
        <v>11826.5175</v>
      </c>
      <c r="V65" s="165">
        <f>+R65+T65</f>
        <v>11829.85</v>
      </c>
      <c r="W65" s="1311">
        <v>2212.4437499999999</v>
      </c>
      <c r="X65" s="3269">
        <v>2336.87</v>
      </c>
      <c r="Y65" s="780">
        <f>+O65+S65+W65</f>
        <v>7004.8887500000001</v>
      </c>
      <c r="Z65" s="534">
        <f>+P65+T65+X65</f>
        <v>7165.28</v>
      </c>
      <c r="AA65" s="759">
        <f>+M65+Y65</f>
        <v>14038.96125</v>
      </c>
      <c r="AB65" s="759">
        <f>+N65+Z65</f>
        <v>14166.72</v>
      </c>
      <c r="AC65" s="1311">
        <v>2614.3276499999997</v>
      </c>
      <c r="AD65" s="3269">
        <v>2392.27</v>
      </c>
      <c r="AE65" s="1124">
        <f>+AA65+AC65</f>
        <v>16653.2889</v>
      </c>
      <c r="AF65" s="165">
        <f>+AB65+AD65</f>
        <v>16558.989999999998</v>
      </c>
      <c r="AG65" s="1311">
        <v>2529.9944999999998</v>
      </c>
      <c r="AH65" s="3269">
        <v>2224.2600000000002</v>
      </c>
      <c r="AI65" s="1124">
        <f>+AE65+AG65</f>
        <v>19183.2834</v>
      </c>
      <c r="AJ65" s="165">
        <f>+AF65+AH65</f>
        <v>18783.25</v>
      </c>
      <c r="AK65" s="1311">
        <v>2614.3276499999997</v>
      </c>
      <c r="AL65" s="3269">
        <v>2408.0500000000002</v>
      </c>
      <c r="AM65" s="780">
        <f>+AC65+AG65+AK65</f>
        <v>7758.6497999999992</v>
      </c>
      <c r="AN65" s="534">
        <f>+AD65+AH65+AL65</f>
        <v>7024.5800000000008</v>
      </c>
      <c r="AO65" s="760">
        <f>AI65+AK65</f>
        <v>21797.61105</v>
      </c>
      <c r="AP65" s="760">
        <f>AJ65+AL65</f>
        <v>21191.3</v>
      </c>
      <c r="AQ65" s="1311">
        <v>2614.3276499999997</v>
      </c>
      <c r="AR65" s="3269">
        <v>2427.84</v>
      </c>
      <c r="AS65" s="1124">
        <f>+AO65+AQ65</f>
        <v>24411.938699999999</v>
      </c>
      <c r="AT65" s="165">
        <f>+AP65+AR65</f>
        <v>23619.14</v>
      </c>
      <c r="AU65" s="1311">
        <v>2361.3282000000004</v>
      </c>
      <c r="AV65" s="3269">
        <v>2173</v>
      </c>
      <c r="AW65" s="1124">
        <f>+AS65+AU65</f>
        <v>26773.266899999999</v>
      </c>
      <c r="AX65" s="165">
        <f>+AT65+AV65</f>
        <v>25792.14</v>
      </c>
      <c r="AY65" s="1311">
        <v>2614.3276499999997</v>
      </c>
      <c r="AZ65" s="3269">
        <v>2411.9974999999999</v>
      </c>
      <c r="BA65" s="780">
        <f>+AQ65+AU65+AY65</f>
        <v>7589.9835000000003</v>
      </c>
      <c r="BB65" s="2685">
        <f>+AR65+AV65+AZ65</f>
        <v>7012.8374999999996</v>
      </c>
      <c r="BC65" s="2693">
        <f t="shared" si="246"/>
        <v>15348.6333</v>
      </c>
      <c r="BD65" s="2693">
        <f t="shared" si="247"/>
        <v>14037.4175</v>
      </c>
      <c r="BE65" s="2688">
        <f>+AW65+AY65</f>
        <v>29387.594549999998</v>
      </c>
      <c r="BF65" s="165">
        <f>+AX65+AZ65</f>
        <v>28204.137500000001</v>
      </c>
      <c r="BG65" s="1219"/>
      <c r="BH65" s="1219"/>
      <c r="BI65" s="1219"/>
      <c r="BJ65" s="1546"/>
      <c r="BK65" s="1546"/>
      <c r="BL65" s="26"/>
      <c r="BM65" s="26"/>
      <c r="BN65" s="26"/>
    </row>
    <row r="66" spans="1:66" ht="16.149999999999999" thickBot="1" x14ac:dyDescent="0.35">
      <c r="B66" s="1821" t="s">
        <v>35</v>
      </c>
      <c r="C66" s="1746" t="s">
        <v>50</v>
      </c>
      <c r="D66" s="372">
        <f t="shared" ref="D66:J66" si="248">SUM(D64:D65)</f>
        <v>42940.816250000003</v>
      </c>
      <c r="E66" s="455">
        <f t="shared" si="248"/>
        <v>3583.125</v>
      </c>
      <c r="F66" s="30">
        <f>SUM(F64:F65)</f>
        <v>3447.44</v>
      </c>
      <c r="G66" s="455">
        <f t="shared" ref="G66" si="249">SUM(G64:G65)</f>
        <v>3702.5625</v>
      </c>
      <c r="H66" s="30">
        <f>SUM(H64:H65)</f>
        <v>3578.13</v>
      </c>
      <c r="I66" s="1187">
        <f t="shared" si="248"/>
        <v>7285.6875</v>
      </c>
      <c r="J66" s="41">
        <f t="shared" si="248"/>
        <v>7025.57</v>
      </c>
      <c r="K66" s="455">
        <f t="shared" ref="K66" si="250">SUM(K64:K65)</f>
        <v>3531.5250000000001</v>
      </c>
      <c r="L66" s="30">
        <f>SUM(L64:L65)</f>
        <v>3463.0699999999997</v>
      </c>
      <c r="M66" s="354">
        <f t="shared" ref="M66:R66" si="251">SUM(M64:M65)</f>
        <v>10817.2125</v>
      </c>
      <c r="N66" s="67">
        <f t="shared" si="251"/>
        <v>10488.64</v>
      </c>
      <c r="O66" s="455">
        <f t="shared" si="251"/>
        <v>3649.2424999999998</v>
      </c>
      <c r="P66" s="30">
        <f>SUM(P64:P65)</f>
        <v>3586.12</v>
      </c>
      <c r="Q66" s="1187">
        <f t="shared" si="251"/>
        <v>14466.455</v>
      </c>
      <c r="R66" s="1187">
        <f t="shared" si="251"/>
        <v>14074.76</v>
      </c>
      <c r="S66" s="455">
        <f t="shared" ref="S66" si="252">SUM(S64:S65)</f>
        <v>3649.2424999999998</v>
      </c>
      <c r="T66" s="30">
        <f>SUM(T64:T65)</f>
        <v>3608.6899999999996</v>
      </c>
      <c r="U66" s="1187">
        <f t="shared" ref="U66:W66" si="253">SUM(U64:U65)</f>
        <v>18115.697500000002</v>
      </c>
      <c r="V66" s="1187">
        <f t="shared" si="253"/>
        <v>17683.45</v>
      </c>
      <c r="W66" s="455">
        <f t="shared" si="253"/>
        <v>3400.5337499999996</v>
      </c>
      <c r="X66" s="30">
        <f>SUM(X64:X65)</f>
        <v>3497.87</v>
      </c>
      <c r="Y66" s="1188">
        <f t="shared" ref="Y66:Z66" si="254">SUM(Y64:Y65)</f>
        <v>10699.018749999999</v>
      </c>
      <c r="Z66" s="1188">
        <f t="shared" si="254"/>
        <v>10692.68</v>
      </c>
      <c r="AA66" s="2380">
        <f t="shared" ref="AA66:AF66" si="255">SUM(AA64:AA65)</f>
        <v>21516.231250000001</v>
      </c>
      <c r="AB66" s="1189">
        <f t="shared" si="255"/>
        <v>21181.32</v>
      </c>
      <c r="AC66" s="455">
        <f t="shared" si="255"/>
        <v>3996.3820499999997</v>
      </c>
      <c r="AD66" s="30">
        <f>SUM(AD64:AD65)</f>
        <v>3647.77</v>
      </c>
      <c r="AE66" s="1187">
        <f t="shared" si="255"/>
        <v>25512.613300000001</v>
      </c>
      <c r="AF66" s="1187">
        <f t="shared" si="255"/>
        <v>24829.089999999997</v>
      </c>
      <c r="AG66" s="455">
        <f t="shared" ref="AG66" si="256">SUM(AG64:AG65)</f>
        <v>3867.4664999999995</v>
      </c>
      <c r="AH66" s="30">
        <f>SUM(AH64:AH65)</f>
        <v>3383.76</v>
      </c>
      <c r="AI66" s="1187">
        <f t="shared" ref="AI66:AN66" si="257">SUM(AI64:AI65)</f>
        <v>29380.0798</v>
      </c>
      <c r="AJ66" s="1187">
        <f t="shared" si="257"/>
        <v>28212.85</v>
      </c>
      <c r="AK66" s="455">
        <f t="shared" si="257"/>
        <v>3996.3820499999997</v>
      </c>
      <c r="AL66" s="30">
        <f>SUM(AL64:AL65)</f>
        <v>3673.9500000000003</v>
      </c>
      <c r="AM66" s="1188">
        <f t="shared" si="257"/>
        <v>11860.230599999999</v>
      </c>
      <c r="AN66" s="1188">
        <f t="shared" si="257"/>
        <v>10705.480000000001</v>
      </c>
      <c r="AO66" s="1187">
        <f t="shared" ref="AO66:AT66" si="258">SUM(AO64:AO65)</f>
        <v>33376.46185</v>
      </c>
      <c r="AP66" s="1187">
        <f t="shared" si="258"/>
        <v>31886.799999999999</v>
      </c>
      <c r="AQ66" s="455">
        <f t="shared" si="258"/>
        <v>3996.3820499999997</v>
      </c>
      <c r="AR66" s="30">
        <f>SUM(AR64:AR65)</f>
        <v>3683.34</v>
      </c>
      <c r="AS66" s="1187">
        <f t="shared" si="258"/>
        <v>37372.8439</v>
      </c>
      <c r="AT66" s="1187">
        <f t="shared" si="258"/>
        <v>35570.14</v>
      </c>
      <c r="AU66" s="455">
        <f t="shared" ref="AU66" si="259">SUM(AU64:AU65)</f>
        <v>3609.6354000000001</v>
      </c>
      <c r="AV66" s="30">
        <f>SUM(AV64:AV65)</f>
        <v>3305.7</v>
      </c>
      <c r="AW66" s="1187">
        <f t="shared" ref="AW66:AY66" si="260">SUM(AW64:AW65)</f>
        <v>40982.479299999999</v>
      </c>
      <c r="AX66" s="1187">
        <f t="shared" si="260"/>
        <v>38875.839999999997</v>
      </c>
      <c r="AY66" s="455">
        <f t="shared" si="260"/>
        <v>3996.3820499999997</v>
      </c>
      <c r="AZ66" s="30">
        <f>SUM(AZ64:AZ65)</f>
        <v>3667.4974999999999</v>
      </c>
      <c r="BA66" s="1188">
        <f t="shared" ref="BA66:BF66" si="261">SUM(BA64:BA65)</f>
        <v>11602.3995</v>
      </c>
      <c r="BB66" s="1607">
        <f t="shared" si="261"/>
        <v>10656.537499999999</v>
      </c>
      <c r="BC66" s="2651">
        <f t="shared" si="261"/>
        <v>23462.630099999998</v>
      </c>
      <c r="BD66" s="2660">
        <f t="shared" si="261"/>
        <v>21362.017500000002</v>
      </c>
      <c r="BE66" s="726">
        <f t="shared" si="261"/>
        <v>44978.861349999999</v>
      </c>
      <c r="BF66" s="1187">
        <f t="shared" si="261"/>
        <v>42543.337500000001</v>
      </c>
      <c r="BG66" s="1219"/>
      <c r="BH66" s="1219"/>
      <c r="BI66" s="1219"/>
      <c r="BJ66" s="1546"/>
      <c r="BK66" s="1546"/>
      <c r="BL66" s="26"/>
      <c r="BM66" s="26"/>
      <c r="BN66" s="26"/>
    </row>
    <row r="67" spans="1:66" thickBot="1" x14ac:dyDescent="0.35">
      <c r="B67" s="1822" t="s">
        <v>182</v>
      </c>
      <c r="C67" s="1407" t="s">
        <v>50</v>
      </c>
      <c r="D67" s="1041">
        <v>5074.481600000001</v>
      </c>
      <c r="E67" s="2906">
        <v>471.96800000000002</v>
      </c>
      <c r="F67" s="521">
        <v>525</v>
      </c>
      <c r="G67" s="2906">
        <v>488.82400000000001</v>
      </c>
      <c r="H67" s="521">
        <v>429.5</v>
      </c>
      <c r="I67" s="718">
        <f>+E67+G67</f>
        <v>960.79200000000003</v>
      </c>
      <c r="J67" s="62">
        <f>+F67+H67</f>
        <v>954.5</v>
      </c>
      <c r="K67" s="2906">
        <v>452.70400000000001</v>
      </c>
      <c r="L67" s="521">
        <v>422</v>
      </c>
      <c r="M67" s="1123">
        <f>+E67+G67+K67</f>
        <v>1413.4960000000001</v>
      </c>
      <c r="N67" s="1577">
        <f>+F67+H67+L67</f>
        <v>1376.5</v>
      </c>
      <c r="O67" s="2906">
        <v>468.87200000000001</v>
      </c>
      <c r="P67" s="521">
        <v>412</v>
      </c>
      <c r="Q67" s="718">
        <f>+M67+O67</f>
        <v>1882.3680000000002</v>
      </c>
      <c r="R67" s="62">
        <f>+N67+P67</f>
        <v>1788.5</v>
      </c>
      <c r="S67" s="2906">
        <v>468.87200000000001</v>
      </c>
      <c r="T67" s="521">
        <v>390</v>
      </c>
      <c r="U67" s="718">
        <f>+Q67+S67</f>
        <v>2351.2400000000002</v>
      </c>
      <c r="V67" s="62">
        <f>+R67+T67</f>
        <v>2178.5</v>
      </c>
      <c r="W67" s="2906">
        <v>443.55359999999996</v>
      </c>
      <c r="X67" s="521">
        <v>355</v>
      </c>
      <c r="Y67" s="761">
        <f>+O67+S67+W67</f>
        <v>1381.2975999999999</v>
      </c>
      <c r="Z67" s="84">
        <f>+P67+T67+X67</f>
        <v>1157</v>
      </c>
      <c r="AA67" s="759">
        <f>+M67+Y67</f>
        <v>2794.7936</v>
      </c>
      <c r="AB67" s="759">
        <f>+N67+Z67</f>
        <v>2533.5</v>
      </c>
      <c r="AC67" s="2906">
        <v>495.36</v>
      </c>
      <c r="AD67" s="521">
        <v>376</v>
      </c>
      <c r="AE67" s="718">
        <f>+AA67+AC67</f>
        <v>3290.1536000000001</v>
      </c>
      <c r="AF67" s="62">
        <f>+AB67+AD67</f>
        <v>2909.5</v>
      </c>
      <c r="AG67" s="2906">
        <v>0</v>
      </c>
      <c r="AH67" s="521">
        <v>317</v>
      </c>
      <c r="AI67" s="718">
        <f>+AE67+AG67</f>
        <v>3290.1536000000001</v>
      </c>
      <c r="AJ67" s="62">
        <f>+AF67+AH67</f>
        <v>3226.5</v>
      </c>
      <c r="AK67" s="2906">
        <v>495.36</v>
      </c>
      <c r="AL67" s="521">
        <v>455</v>
      </c>
      <c r="AM67" s="761">
        <f>+AC67+AG67+AK67</f>
        <v>990.72</v>
      </c>
      <c r="AN67" s="84">
        <f>+AD67+AH67+AL67</f>
        <v>1148</v>
      </c>
      <c r="AO67" s="760">
        <f>AI67+AK67</f>
        <v>3785.5136000000002</v>
      </c>
      <c r="AP67" s="760">
        <f>AJ67+AL67</f>
        <v>3681.5</v>
      </c>
      <c r="AQ67" s="2906">
        <v>495.36</v>
      </c>
      <c r="AR67" s="521">
        <v>479</v>
      </c>
      <c r="AS67" s="718">
        <f>+AO67+AQ67</f>
        <v>4280.8735999999999</v>
      </c>
      <c r="AT67" s="62">
        <f>+AP67+AR67</f>
        <v>4160.5</v>
      </c>
      <c r="AU67" s="2906">
        <v>445.82400000000001</v>
      </c>
      <c r="AV67" s="521">
        <v>476</v>
      </c>
      <c r="AW67" s="718">
        <f>+AS67+AU67</f>
        <v>4726.6975999999995</v>
      </c>
      <c r="AX67" s="62">
        <f>+AT67+AV67</f>
        <v>4636.5</v>
      </c>
      <c r="AY67" s="2906">
        <v>495.36</v>
      </c>
      <c r="AZ67" s="521">
        <v>455</v>
      </c>
      <c r="BA67" s="761">
        <f>+AQ67+AU67+AY67</f>
        <v>1436.5439999999999</v>
      </c>
      <c r="BB67" s="2684">
        <f>+AR67+AV67+AZ67</f>
        <v>1410</v>
      </c>
      <c r="BC67" s="2693">
        <f t="shared" ref="BC67:BC68" si="262">+AM67+BA67</f>
        <v>2427.2640000000001</v>
      </c>
      <c r="BD67" s="2693">
        <f t="shared" ref="BD67:BD68" si="263">+AN67+BB67</f>
        <v>2558</v>
      </c>
      <c r="BE67" s="1127">
        <f>+AW67+AY67</f>
        <v>5222.0575999999992</v>
      </c>
      <c r="BF67" s="62">
        <f>+AX67+AZ67</f>
        <v>5091.5</v>
      </c>
      <c r="BG67" s="1219"/>
      <c r="BH67" s="1219"/>
      <c r="BI67" s="1219"/>
      <c r="BJ67" s="1546"/>
      <c r="BK67" s="1546"/>
      <c r="BL67" s="26"/>
      <c r="BM67" s="26"/>
      <c r="BN67" s="26"/>
    </row>
    <row r="68" spans="1:66" thickBot="1" x14ac:dyDescent="0.35">
      <c r="B68" s="1820" t="s">
        <v>183</v>
      </c>
      <c r="C68" s="1392" t="s">
        <v>50</v>
      </c>
      <c r="D68" s="3268">
        <v>4047.915480000001</v>
      </c>
      <c r="E68" s="1311">
        <v>363.60744000000005</v>
      </c>
      <c r="F68" s="1314">
        <v>149</v>
      </c>
      <c r="G68" s="1311">
        <v>376.59342000000004</v>
      </c>
      <c r="H68" s="1314">
        <v>59</v>
      </c>
      <c r="I68" s="1124">
        <f>+E68+G68</f>
        <v>740.20086000000015</v>
      </c>
      <c r="J68" s="535">
        <f>+F68+H68</f>
        <v>208</v>
      </c>
      <c r="K68" s="1311">
        <v>363.60744000000005</v>
      </c>
      <c r="L68" s="1314">
        <v>72.649999999999991</v>
      </c>
      <c r="M68" s="1566">
        <f>+E68+G68+K68</f>
        <v>1103.8083000000001</v>
      </c>
      <c r="N68" s="1578">
        <f>+F68+H68+L68</f>
        <v>280.64999999999998</v>
      </c>
      <c r="O68" s="1311">
        <v>376.59342000000004</v>
      </c>
      <c r="P68" s="1314">
        <v>305.5</v>
      </c>
      <c r="Q68" s="1124">
        <f>+M68+O68</f>
        <v>1480.4017200000003</v>
      </c>
      <c r="R68" s="535">
        <f>+N68+P68</f>
        <v>586.15</v>
      </c>
      <c r="S68" s="1311">
        <v>376.59342000000004</v>
      </c>
      <c r="T68" s="1314">
        <v>196.55</v>
      </c>
      <c r="U68" s="1124">
        <f>+Q68+S68</f>
        <v>1856.9951400000004</v>
      </c>
      <c r="V68" s="535">
        <f>+R68+T68</f>
        <v>782.7</v>
      </c>
      <c r="W68" s="1311">
        <v>346.91118</v>
      </c>
      <c r="X68" s="1314">
        <v>164.6</v>
      </c>
      <c r="Y68" s="780">
        <f>+O68+S68+W68</f>
        <v>1100.0980200000001</v>
      </c>
      <c r="Z68" s="534">
        <f>+P68+T68+X68</f>
        <v>666.65</v>
      </c>
      <c r="AA68" s="759">
        <f>+M68+Y68</f>
        <v>2203.9063200000001</v>
      </c>
      <c r="AB68" s="759">
        <f>+N68+Z68</f>
        <v>947.3</v>
      </c>
      <c r="AC68" s="1311">
        <v>406.67319000000003</v>
      </c>
      <c r="AD68" s="1314">
        <v>0</v>
      </c>
      <c r="AE68" s="1124">
        <f>+AA68+AC68</f>
        <v>2610.57951</v>
      </c>
      <c r="AF68" s="535">
        <f>+AB68+AD68</f>
        <v>947.3</v>
      </c>
      <c r="AG68" s="1311">
        <v>0</v>
      </c>
      <c r="AH68" s="1314">
        <v>0</v>
      </c>
      <c r="AI68" s="1124">
        <f>+AE68+AG68</f>
        <v>2610.57951</v>
      </c>
      <c r="AJ68" s="535">
        <f>+AF68+AH68</f>
        <v>947.3</v>
      </c>
      <c r="AK68" s="1311">
        <v>406.67319000000003</v>
      </c>
      <c r="AL68" s="1314">
        <v>0</v>
      </c>
      <c r="AM68" s="780">
        <f>+AC68+AG68+AK68</f>
        <v>813.34638000000007</v>
      </c>
      <c r="AN68" s="534">
        <f>+AD68+AH68+AL68</f>
        <v>0</v>
      </c>
      <c r="AO68" s="760">
        <f>AI68+AK68</f>
        <v>3017.2527</v>
      </c>
      <c r="AP68" s="760">
        <f>AJ68+AL68</f>
        <v>947.3</v>
      </c>
      <c r="AQ68" s="1311">
        <v>406.67319000000003</v>
      </c>
      <c r="AR68" s="1314">
        <v>0</v>
      </c>
      <c r="AS68" s="1124">
        <f>+AO68+AQ68</f>
        <v>3423.92589</v>
      </c>
      <c r="AT68" s="535">
        <f>+AP68+AR68</f>
        <v>947.3</v>
      </c>
      <c r="AU68" s="1311">
        <v>367.31772000000001</v>
      </c>
      <c r="AV68" s="1314">
        <v>25</v>
      </c>
      <c r="AW68" s="1124">
        <f>+AS68+AU68</f>
        <v>3791.24361</v>
      </c>
      <c r="AX68" s="535">
        <f>+AT68+AV68</f>
        <v>972.3</v>
      </c>
      <c r="AY68" s="1311">
        <v>406.67319000000003</v>
      </c>
      <c r="AZ68" s="1314">
        <v>117</v>
      </c>
      <c r="BA68" s="780">
        <f>+AQ68+AU68+AY68</f>
        <v>1180.6641</v>
      </c>
      <c r="BB68" s="2685">
        <f>+AR68+AV68+AZ68</f>
        <v>142</v>
      </c>
      <c r="BC68" s="2693">
        <f t="shared" si="262"/>
        <v>1994.0104799999999</v>
      </c>
      <c r="BD68" s="2693">
        <f t="shared" si="263"/>
        <v>142</v>
      </c>
      <c r="BE68" s="2688">
        <f>+AW68+AY68</f>
        <v>4197.9168</v>
      </c>
      <c r="BF68" s="535">
        <f>+AX68+AZ68</f>
        <v>1089.3</v>
      </c>
      <c r="BG68" s="1219"/>
      <c r="BH68" s="1219"/>
      <c r="BI68" s="1219"/>
      <c r="BJ68" s="1546"/>
      <c r="BK68" s="1546"/>
      <c r="BL68" s="26"/>
      <c r="BM68" s="26"/>
      <c r="BN68" s="26"/>
    </row>
    <row r="69" spans="1:66" ht="16.149999999999999" thickBot="1" x14ac:dyDescent="0.35">
      <c r="B69" s="1823" t="s">
        <v>36</v>
      </c>
      <c r="C69" s="1416" t="s">
        <v>50</v>
      </c>
      <c r="D69" s="215">
        <f t="shared" ref="D69:J69" si="264">SUM(D67:D68)</f>
        <v>9122.3970800000025</v>
      </c>
      <c r="E69" s="1320">
        <f t="shared" si="264"/>
        <v>835.57544000000007</v>
      </c>
      <c r="F69" s="1417">
        <f t="shared" si="264"/>
        <v>674</v>
      </c>
      <c r="G69" s="1320">
        <f t="shared" ref="G69:H69" si="265">SUM(G67:G68)</f>
        <v>865.41741999999999</v>
      </c>
      <c r="H69" s="1417">
        <f t="shared" si="265"/>
        <v>488.5</v>
      </c>
      <c r="I69" s="1418">
        <f t="shared" si="264"/>
        <v>1700.9928600000003</v>
      </c>
      <c r="J69" s="3270">
        <f t="shared" si="264"/>
        <v>1162.5</v>
      </c>
      <c r="K69" s="1320">
        <f t="shared" ref="K69:L69" si="266">SUM(K67:K68)</f>
        <v>816.31144000000006</v>
      </c>
      <c r="L69" s="1417">
        <f t="shared" si="266"/>
        <v>494.65</v>
      </c>
      <c r="M69" s="1579">
        <f t="shared" ref="M69:R69" si="267">SUM(M67:M68)</f>
        <v>2517.3043000000002</v>
      </c>
      <c r="N69" s="1580">
        <f t="shared" si="267"/>
        <v>1657.15</v>
      </c>
      <c r="O69" s="1320">
        <f t="shared" si="267"/>
        <v>845.46541999999999</v>
      </c>
      <c r="P69" s="1417">
        <f t="shared" si="267"/>
        <v>717.5</v>
      </c>
      <c r="Q69" s="1418">
        <f t="shared" si="267"/>
        <v>3362.7697200000002</v>
      </c>
      <c r="R69" s="1418">
        <f t="shared" si="267"/>
        <v>2374.65</v>
      </c>
      <c r="S69" s="1320">
        <f t="shared" ref="S69:T69" si="268">SUM(S67:S68)</f>
        <v>845.46541999999999</v>
      </c>
      <c r="T69" s="1417">
        <f t="shared" si="268"/>
        <v>586.54999999999995</v>
      </c>
      <c r="U69" s="1418">
        <f t="shared" ref="U69:X69" si="269">SUM(U67:U68)</f>
        <v>4208.2351400000007</v>
      </c>
      <c r="V69" s="1418">
        <f t="shared" si="269"/>
        <v>2961.2</v>
      </c>
      <c r="W69" s="1320">
        <f t="shared" si="269"/>
        <v>790.46478000000002</v>
      </c>
      <c r="X69" s="1417">
        <f t="shared" si="269"/>
        <v>519.6</v>
      </c>
      <c r="Y69" s="1188">
        <f t="shared" ref="Y69:Z69" si="270">SUM(Y67:Y68)</f>
        <v>2481.3956200000002</v>
      </c>
      <c r="Z69" s="1188">
        <f t="shared" si="270"/>
        <v>1823.65</v>
      </c>
      <c r="AA69" s="2380">
        <f t="shared" ref="AA69:AF69" si="271">SUM(AA67:AA68)</f>
        <v>4998.69992</v>
      </c>
      <c r="AB69" s="1189">
        <f t="shared" si="271"/>
        <v>3480.8</v>
      </c>
      <c r="AC69" s="1320">
        <f t="shared" si="271"/>
        <v>902.0331900000001</v>
      </c>
      <c r="AD69" s="1417">
        <f t="shared" si="271"/>
        <v>376</v>
      </c>
      <c r="AE69" s="1418">
        <f t="shared" si="271"/>
        <v>5900.7331100000001</v>
      </c>
      <c r="AF69" s="1418">
        <f t="shared" si="271"/>
        <v>3856.8</v>
      </c>
      <c r="AG69" s="1320">
        <f t="shared" ref="AG69:AH69" si="272">SUM(AG67:AG68)</f>
        <v>0</v>
      </c>
      <c r="AH69" s="1417">
        <f t="shared" si="272"/>
        <v>317</v>
      </c>
      <c r="AI69" s="1418">
        <f t="shared" ref="AI69:AN69" si="273">SUM(AI67:AI68)</f>
        <v>5900.7331100000001</v>
      </c>
      <c r="AJ69" s="1418">
        <f t="shared" si="273"/>
        <v>4173.8</v>
      </c>
      <c r="AK69" s="1320">
        <f t="shared" si="273"/>
        <v>902.0331900000001</v>
      </c>
      <c r="AL69" s="1417">
        <f t="shared" si="273"/>
        <v>455</v>
      </c>
      <c r="AM69" s="1188">
        <f t="shared" si="273"/>
        <v>1804.0663800000002</v>
      </c>
      <c r="AN69" s="1188">
        <f t="shared" si="273"/>
        <v>1148</v>
      </c>
      <c r="AO69" s="1418">
        <f t="shared" ref="AO69:AT69" si="274">SUM(AO67:AO68)</f>
        <v>6802.7663000000002</v>
      </c>
      <c r="AP69" s="1418">
        <f t="shared" si="274"/>
        <v>4628.8</v>
      </c>
      <c r="AQ69" s="1320">
        <f t="shared" si="274"/>
        <v>902.0331900000001</v>
      </c>
      <c r="AR69" s="1417">
        <f t="shared" si="274"/>
        <v>479</v>
      </c>
      <c r="AS69" s="1418">
        <f t="shared" si="274"/>
        <v>7704.7994899999994</v>
      </c>
      <c r="AT69" s="1418">
        <f t="shared" si="274"/>
        <v>5107.8</v>
      </c>
      <c r="AU69" s="1320">
        <f t="shared" ref="AU69:AX69" si="275">SUM(AU67:AU68)</f>
        <v>813.14172000000008</v>
      </c>
      <c r="AV69" s="1417">
        <f t="shared" si="275"/>
        <v>501</v>
      </c>
      <c r="AW69" s="1418">
        <f t="shared" si="275"/>
        <v>8517.941209999999</v>
      </c>
      <c r="AX69" s="1418">
        <f t="shared" si="275"/>
        <v>5608.8</v>
      </c>
      <c r="AY69" s="1320">
        <f t="shared" ref="AY69:AZ69" si="276">SUM(AY67:AY68)</f>
        <v>902.0331900000001</v>
      </c>
      <c r="AZ69" s="1417">
        <f t="shared" si="276"/>
        <v>572</v>
      </c>
      <c r="BA69" s="1188">
        <f t="shared" ref="BA69:BF69" si="277">SUM(BA67:BA68)</f>
        <v>2617.2080999999998</v>
      </c>
      <c r="BB69" s="1607">
        <f t="shared" si="277"/>
        <v>1552</v>
      </c>
      <c r="BC69" s="2651">
        <f t="shared" si="277"/>
        <v>4421.27448</v>
      </c>
      <c r="BD69" s="2660">
        <f t="shared" si="277"/>
        <v>2700</v>
      </c>
      <c r="BE69" s="2689">
        <f t="shared" si="277"/>
        <v>9419.9743999999992</v>
      </c>
      <c r="BF69" s="1418">
        <f t="shared" si="277"/>
        <v>6180.8</v>
      </c>
      <c r="BG69" s="1219"/>
      <c r="BH69" s="1219"/>
      <c r="BI69" s="1219"/>
      <c r="BJ69" s="1546"/>
      <c r="BK69" s="1546"/>
      <c r="BL69" s="26"/>
      <c r="BM69" s="26"/>
      <c r="BN69" s="26"/>
    </row>
    <row r="70" spans="1:66" thickBot="1" x14ac:dyDescent="0.35">
      <c r="B70" s="1826" t="s">
        <v>1577</v>
      </c>
      <c r="C70" s="1409" t="s">
        <v>50</v>
      </c>
      <c r="D70" s="1812">
        <v>1736.1078000000002</v>
      </c>
      <c r="E70" s="1813">
        <v>176.988</v>
      </c>
      <c r="F70" s="1814">
        <v>0</v>
      </c>
      <c r="G70" s="1813">
        <v>184.06752</v>
      </c>
      <c r="H70" s="1814">
        <v>0</v>
      </c>
      <c r="I70" s="1815">
        <f>+E70+G70</f>
        <v>361.05552</v>
      </c>
      <c r="J70" s="1816">
        <f>+F70+H70</f>
        <v>0</v>
      </c>
      <c r="K70" s="1813">
        <v>169.76400000000001</v>
      </c>
      <c r="L70" s="1814">
        <v>0</v>
      </c>
      <c r="M70" s="1817">
        <f>+E70+G70+K70</f>
        <v>530.81952000000001</v>
      </c>
      <c r="N70" s="1818">
        <f>+F70+H70+L70</f>
        <v>0</v>
      </c>
      <c r="O70" s="1813">
        <v>176.55456000000001</v>
      </c>
      <c r="P70" s="1814">
        <v>0</v>
      </c>
      <c r="Q70" s="1815">
        <f>+M70+O70</f>
        <v>707.37408000000005</v>
      </c>
      <c r="R70" s="1816">
        <f>+N70+P70</f>
        <v>0</v>
      </c>
      <c r="S70" s="1813">
        <v>176.55456000000001</v>
      </c>
      <c r="T70" s="1814">
        <v>0</v>
      </c>
      <c r="U70" s="1815">
        <f>+Q70+S70</f>
        <v>883.92864000000009</v>
      </c>
      <c r="V70" s="1816">
        <f>+R70+T70</f>
        <v>0</v>
      </c>
      <c r="W70" s="1813">
        <v>166.33260000000001</v>
      </c>
      <c r="X70" s="1814">
        <v>0</v>
      </c>
      <c r="Y70" s="761">
        <f>+O70+S70+W70</f>
        <v>519.44172000000003</v>
      </c>
      <c r="Z70" s="84">
        <f>+P70+T70+X70</f>
        <v>0</v>
      </c>
      <c r="AA70" s="759">
        <f>+M70+Y70</f>
        <v>1050.26124</v>
      </c>
      <c r="AB70" s="759">
        <f>+N70+Z70</f>
        <v>0</v>
      </c>
      <c r="AC70" s="1813">
        <v>187.24608000000001</v>
      </c>
      <c r="AD70" s="1814">
        <v>0</v>
      </c>
      <c r="AE70" s="1815">
        <f>+AA70+AC70</f>
        <v>1237.5073200000002</v>
      </c>
      <c r="AF70" s="1816">
        <f>+AB70+AD70</f>
        <v>0</v>
      </c>
      <c r="AG70" s="1813">
        <v>0</v>
      </c>
      <c r="AH70" s="1814">
        <v>0</v>
      </c>
      <c r="AI70" s="1815">
        <f>+AE70+AG70</f>
        <v>1237.5073200000002</v>
      </c>
      <c r="AJ70" s="1816">
        <f>+AF70+AH70</f>
        <v>0</v>
      </c>
      <c r="AK70" s="1813">
        <v>187.24608000000001</v>
      </c>
      <c r="AL70" s="1814">
        <v>0</v>
      </c>
      <c r="AM70" s="761">
        <f>+AC70+AG70+AK70</f>
        <v>374.49216000000001</v>
      </c>
      <c r="AN70" s="84">
        <f>+AD70+AH70+AL70</f>
        <v>0</v>
      </c>
      <c r="AO70" s="760">
        <f>AI70+AK70</f>
        <v>1424.7534000000001</v>
      </c>
      <c r="AP70" s="760">
        <f>AJ70+AL70</f>
        <v>0</v>
      </c>
      <c r="AQ70" s="1813">
        <v>187.24608000000001</v>
      </c>
      <c r="AR70" s="1814">
        <v>0</v>
      </c>
      <c r="AS70" s="1815">
        <f>+AO70+AQ70</f>
        <v>1611.9994799999999</v>
      </c>
      <c r="AT70" s="1816">
        <f>+AP70+AR70</f>
        <v>0</v>
      </c>
      <c r="AU70" s="1813">
        <v>166.44096000000002</v>
      </c>
      <c r="AV70" s="1814">
        <v>0</v>
      </c>
      <c r="AW70" s="1815">
        <f>+AS70+AU70</f>
        <v>1778.4404399999999</v>
      </c>
      <c r="AX70" s="1816">
        <f>+AT70+AV70</f>
        <v>0</v>
      </c>
      <c r="AY70" s="1813">
        <v>187.24608000000001</v>
      </c>
      <c r="AZ70" s="1814">
        <v>0</v>
      </c>
      <c r="BA70" s="761">
        <f>+AQ70+AU70+AY70</f>
        <v>540.93312000000003</v>
      </c>
      <c r="BB70" s="2684">
        <f>+AR70+AV70+AZ70</f>
        <v>0</v>
      </c>
      <c r="BC70" s="2693">
        <f t="shared" ref="BC70" si="278">+AM70+BA70</f>
        <v>915.42528000000004</v>
      </c>
      <c r="BD70" s="2693">
        <f t="shared" ref="BD70" si="279">+AN70+BB70</f>
        <v>0</v>
      </c>
      <c r="BE70" s="2690">
        <f>+AW70+AY70</f>
        <v>1965.6865199999997</v>
      </c>
      <c r="BF70" s="1816">
        <f>+AX70+AZ70</f>
        <v>0</v>
      </c>
      <c r="BG70" s="1219"/>
      <c r="BH70" s="1219"/>
      <c r="BI70" s="1219"/>
      <c r="BJ70" s="1546"/>
      <c r="BK70" s="1546"/>
      <c r="BL70" s="26"/>
      <c r="BM70" s="26"/>
      <c r="BN70" s="26"/>
    </row>
    <row r="71" spans="1:66" ht="16.5" hidden="1" customHeight="1" thickBot="1" x14ac:dyDescent="0.35">
      <c r="A71" s="148"/>
      <c r="B71" s="2410" t="s">
        <v>184</v>
      </c>
      <c r="C71" s="2058"/>
      <c r="D71" s="717"/>
      <c r="E71" s="1044"/>
      <c r="F71" s="2411"/>
      <c r="G71" s="1044"/>
      <c r="H71" s="2411"/>
      <c r="I71" s="717"/>
      <c r="J71" s="2411"/>
      <c r="K71" s="1044"/>
      <c r="L71" s="2411"/>
      <c r="M71" s="1044"/>
      <c r="N71" s="2411"/>
      <c r="O71" s="1044"/>
      <c r="P71" s="2411"/>
      <c r="Q71" s="717"/>
      <c r="R71" s="2411"/>
      <c r="S71" s="1044"/>
      <c r="T71" s="2411"/>
      <c r="U71" s="717"/>
      <c r="V71" s="2411"/>
      <c r="W71" s="1044"/>
      <c r="X71" s="2411"/>
      <c r="Y71" s="2412"/>
      <c r="Z71" s="2412"/>
      <c r="AA71" s="2413"/>
      <c r="AB71" s="2412"/>
      <c r="AC71" s="1044"/>
      <c r="AD71" s="2411"/>
      <c r="AE71" s="717"/>
      <c r="AF71" s="2411"/>
      <c r="AG71" s="1044"/>
      <c r="AH71" s="2411"/>
      <c r="AI71" s="717"/>
      <c r="AJ71" s="2411"/>
      <c r="AK71" s="1044"/>
      <c r="AL71" s="2411"/>
      <c r="AM71" s="2412"/>
      <c r="AN71" s="2412"/>
      <c r="AO71" s="717"/>
      <c r="AP71" s="2411"/>
      <c r="AQ71" s="1044"/>
      <c r="AR71" s="2411"/>
      <c r="AS71" s="717"/>
      <c r="AT71" s="2411"/>
      <c r="AU71" s="1044"/>
      <c r="AV71" s="2411"/>
      <c r="AW71" s="717"/>
      <c r="AX71" s="2411"/>
      <c r="AY71" s="1044"/>
      <c r="AZ71" s="2411"/>
      <c r="BA71" s="2412"/>
      <c r="BB71" s="2412"/>
      <c r="BC71" s="2694"/>
      <c r="BD71" s="2646"/>
      <c r="BE71" s="717"/>
      <c r="BF71" s="2411"/>
      <c r="BG71" s="1219"/>
      <c r="BH71" s="1219"/>
      <c r="BI71" s="1219"/>
      <c r="BJ71" s="1546"/>
      <c r="BK71" s="1546"/>
      <c r="BL71" s="26"/>
      <c r="BM71" s="26"/>
      <c r="BN71" s="26"/>
    </row>
    <row r="72" spans="1:66" ht="15" hidden="1" customHeight="1" x14ac:dyDescent="0.3">
      <c r="B72" s="2414" t="s">
        <v>1559</v>
      </c>
      <c r="C72" s="819" t="s">
        <v>50</v>
      </c>
      <c r="D72" s="275"/>
      <c r="E72" s="275"/>
      <c r="F72" s="275"/>
      <c r="G72" s="275"/>
      <c r="H72" s="275"/>
      <c r="I72" s="373">
        <f t="shared" ref="I72:J76" si="280">+E72+G72</f>
        <v>0</v>
      </c>
      <c r="J72" s="373">
        <f t="shared" si="280"/>
        <v>0</v>
      </c>
      <c r="K72" s="275"/>
      <c r="L72" s="275"/>
      <c r="M72" s="618">
        <f t="shared" ref="M72:N76" si="281">+E72+G72+K72</f>
        <v>0</v>
      </c>
      <c r="N72" s="618">
        <f t="shared" si="281"/>
        <v>0</v>
      </c>
      <c r="O72" s="275"/>
      <c r="P72" s="275"/>
      <c r="Q72" s="373">
        <f t="shared" ref="Q72:R76" si="282">+M72+O72</f>
        <v>0</v>
      </c>
      <c r="R72" s="373">
        <f t="shared" si="282"/>
        <v>0</v>
      </c>
      <c r="S72" s="275"/>
      <c r="T72" s="275"/>
      <c r="U72" s="373">
        <f t="shared" ref="U72:U76" si="283">+Q72+S72</f>
        <v>0</v>
      </c>
      <c r="V72" s="373">
        <f t="shared" ref="V72:V76" si="284">+R72+T72</f>
        <v>0</v>
      </c>
      <c r="W72" s="275"/>
      <c r="X72" s="275"/>
      <c r="Y72" s="618">
        <f t="shared" ref="Y72:Z76" si="285">+O72+S72+W72</f>
        <v>0</v>
      </c>
      <c r="Z72" s="618">
        <f t="shared" si="285"/>
        <v>0</v>
      </c>
      <c r="AA72" s="1049">
        <f t="shared" ref="AA72:AB76" si="286">+M72+Y72</f>
        <v>0</v>
      </c>
      <c r="AB72" s="458">
        <f t="shared" si="286"/>
        <v>0</v>
      </c>
      <c r="AC72" s="275"/>
      <c r="AD72" s="275"/>
      <c r="AE72" s="373">
        <f t="shared" ref="AE72:AE76" si="287">+AA72+AC72</f>
        <v>0</v>
      </c>
      <c r="AF72" s="373">
        <f t="shared" ref="AF72:AF76" si="288">+AB72+AD72</f>
        <v>0</v>
      </c>
      <c r="AG72" s="275"/>
      <c r="AH72" s="275"/>
      <c r="AI72" s="373">
        <f t="shared" ref="AI72:AI76" si="289">+AE72+AG72</f>
        <v>0</v>
      </c>
      <c r="AJ72" s="373">
        <f t="shared" ref="AJ72:AJ76" si="290">+AF72+AH72</f>
        <v>0</v>
      </c>
      <c r="AK72" s="275"/>
      <c r="AL72" s="275"/>
      <c r="AM72" s="618">
        <f t="shared" ref="AM72:AM76" si="291">+AC72+AG72+AK72</f>
        <v>0</v>
      </c>
      <c r="AN72" s="618">
        <f t="shared" ref="AN72:AN76" si="292">+AD72+AH72+AL72</f>
        <v>0</v>
      </c>
      <c r="AO72" s="760">
        <f>AI72+AK72</f>
        <v>0</v>
      </c>
      <c r="AP72" s="760">
        <f>AJ72+AL72</f>
        <v>0</v>
      </c>
      <c r="AQ72" s="275"/>
      <c r="AR72" s="275"/>
      <c r="AS72" s="373">
        <f t="shared" ref="AS72:AS76" si="293">+AO72+AQ72</f>
        <v>0</v>
      </c>
      <c r="AT72" s="373">
        <f t="shared" ref="AT72:AT76" si="294">+AP72+AR72</f>
        <v>0</v>
      </c>
      <c r="AU72" s="275"/>
      <c r="AV72" s="275"/>
      <c r="AW72" s="373">
        <f t="shared" ref="AW72:AW76" si="295">+AS72+AU72</f>
        <v>0</v>
      </c>
      <c r="AX72" s="373">
        <f t="shared" ref="AX72:AX76" si="296">+AT72+AV72</f>
        <v>0</v>
      </c>
      <c r="AY72" s="275"/>
      <c r="AZ72" s="275"/>
      <c r="BA72" s="618">
        <f t="shared" ref="BA72:BA76" si="297">+AQ72+AU72+AY72</f>
        <v>0</v>
      </c>
      <c r="BB72" s="1606">
        <f t="shared" ref="BB72:BB76" si="298">+AR72+AV72+AZ72</f>
        <v>0</v>
      </c>
      <c r="BC72" s="2693">
        <f t="shared" ref="BC72:BC76" si="299">+AM72+BA72</f>
        <v>0</v>
      </c>
      <c r="BD72" s="2693">
        <f t="shared" ref="BD72:BD76" si="300">+AN72+BB72</f>
        <v>0</v>
      </c>
      <c r="BE72" s="715">
        <f t="shared" ref="BE72:BE76" si="301">+AW72+AY72</f>
        <v>0</v>
      </c>
      <c r="BF72" s="373">
        <f t="shared" ref="BF72:BF76" si="302">+AX72+AZ72</f>
        <v>0</v>
      </c>
      <c r="BG72" s="1219"/>
      <c r="BH72" s="1219"/>
      <c r="BI72" s="1219"/>
      <c r="BJ72" s="1546"/>
      <c r="BK72" s="1546"/>
      <c r="BL72" s="26"/>
      <c r="BM72" s="26"/>
      <c r="BN72" s="26"/>
    </row>
    <row r="73" spans="1:66" ht="15" hidden="1" customHeight="1" x14ac:dyDescent="0.3">
      <c r="B73" s="2403" t="s">
        <v>185</v>
      </c>
      <c r="C73" s="159" t="s">
        <v>50</v>
      </c>
      <c r="D73" s="1134"/>
      <c r="E73" s="1134"/>
      <c r="F73" s="1134"/>
      <c r="G73" s="1134"/>
      <c r="H73" s="1134"/>
      <c r="I73" s="782">
        <f t="shared" si="280"/>
        <v>0</v>
      </c>
      <c r="J73" s="782">
        <f t="shared" si="280"/>
        <v>0</v>
      </c>
      <c r="K73" s="1134"/>
      <c r="L73" s="1134"/>
      <c r="M73" s="781">
        <f t="shared" si="281"/>
        <v>0</v>
      </c>
      <c r="N73" s="781">
        <f t="shared" si="281"/>
        <v>0</v>
      </c>
      <c r="O73" s="1134"/>
      <c r="P73" s="1134"/>
      <c r="Q73" s="782">
        <f t="shared" si="282"/>
        <v>0</v>
      </c>
      <c r="R73" s="782">
        <f t="shared" si="282"/>
        <v>0</v>
      </c>
      <c r="S73" s="1134"/>
      <c r="T73" s="1134"/>
      <c r="U73" s="782">
        <f t="shared" si="283"/>
        <v>0</v>
      </c>
      <c r="V73" s="782">
        <f t="shared" si="284"/>
        <v>0</v>
      </c>
      <c r="W73" s="1134"/>
      <c r="X73" s="1134"/>
      <c r="Y73" s="781">
        <f t="shared" si="285"/>
        <v>0</v>
      </c>
      <c r="Z73" s="781">
        <f t="shared" si="285"/>
        <v>0</v>
      </c>
      <c r="AA73" s="465">
        <f t="shared" si="286"/>
        <v>0</v>
      </c>
      <c r="AB73" s="454">
        <f t="shared" si="286"/>
        <v>0</v>
      </c>
      <c r="AC73" s="1134"/>
      <c r="AD73" s="1134"/>
      <c r="AE73" s="782">
        <f t="shared" si="287"/>
        <v>0</v>
      </c>
      <c r="AF73" s="782">
        <f t="shared" si="288"/>
        <v>0</v>
      </c>
      <c r="AG73" s="1134"/>
      <c r="AH73" s="1134"/>
      <c r="AI73" s="782">
        <f t="shared" si="289"/>
        <v>0</v>
      </c>
      <c r="AJ73" s="782">
        <f t="shared" si="290"/>
        <v>0</v>
      </c>
      <c r="AK73" s="1134"/>
      <c r="AL73" s="1134"/>
      <c r="AM73" s="781">
        <f t="shared" si="291"/>
        <v>0</v>
      </c>
      <c r="AN73" s="781">
        <f t="shared" si="292"/>
        <v>0</v>
      </c>
      <c r="AO73" s="760">
        <f t="shared" ref="AO73:AO76" si="303">AI73+AK73</f>
        <v>0</v>
      </c>
      <c r="AP73" s="760">
        <f t="shared" ref="AP73:AP76" si="304">AJ73+AL73</f>
        <v>0</v>
      </c>
      <c r="AQ73" s="1134"/>
      <c r="AR73" s="1134"/>
      <c r="AS73" s="782">
        <f t="shared" si="293"/>
        <v>0</v>
      </c>
      <c r="AT73" s="782">
        <f t="shared" si="294"/>
        <v>0</v>
      </c>
      <c r="AU73" s="1134"/>
      <c r="AV73" s="1134"/>
      <c r="AW73" s="782">
        <f t="shared" si="295"/>
        <v>0</v>
      </c>
      <c r="AX73" s="782">
        <f t="shared" si="296"/>
        <v>0</v>
      </c>
      <c r="AY73" s="1134"/>
      <c r="AZ73" s="1134"/>
      <c r="BA73" s="781">
        <f t="shared" si="297"/>
        <v>0</v>
      </c>
      <c r="BB73" s="2686">
        <f t="shared" si="298"/>
        <v>0</v>
      </c>
      <c r="BC73" s="2693">
        <f t="shared" si="299"/>
        <v>0</v>
      </c>
      <c r="BD73" s="2693">
        <f t="shared" si="300"/>
        <v>0</v>
      </c>
      <c r="BE73" s="437">
        <f t="shared" si="301"/>
        <v>0</v>
      </c>
      <c r="BF73" s="782">
        <f t="shared" si="302"/>
        <v>0</v>
      </c>
      <c r="BG73" s="1219"/>
      <c r="BH73" s="1219"/>
      <c r="BI73" s="1219"/>
      <c r="BJ73" s="1546"/>
      <c r="BK73" s="1546"/>
      <c r="BL73" s="26"/>
      <c r="BM73" s="26"/>
      <c r="BN73" s="26"/>
    </row>
    <row r="74" spans="1:66" ht="15" hidden="1" customHeight="1" x14ac:dyDescent="0.3">
      <c r="B74" s="2403" t="s">
        <v>186</v>
      </c>
      <c r="C74" s="159" t="s">
        <v>50</v>
      </c>
      <c r="D74" s="1134"/>
      <c r="E74" s="1134"/>
      <c r="F74" s="1134"/>
      <c r="G74" s="1134"/>
      <c r="H74" s="1134"/>
      <c r="I74" s="782">
        <f t="shared" si="280"/>
        <v>0</v>
      </c>
      <c r="J74" s="782">
        <f t="shared" si="280"/>
        <v>0</v>
      </c>
      <c r="K74" s="1134"/>
      <c r="L74" s="1134"/>
      <c r="M74" s="781">
        <f t="shared" si="281"/>
        <v>0</v>
      </c>
      <c r="N74" s="781">
        <f t="shared" si="281"/>
        <v>0</v>
      </c>
      <c r="O74" s="1134"/>
      <c r="P74" s="1134"/>
      <c r="Q74" s="782">
        <f t="shared" si="282"/>
        <v>0</v>
      </c>
      <c r="R74" s="782">
        <f t="shared" si="282"/>
        <v>0</v>
      </c>
      <c r="S74" s="1134"/>
      <c r="T74" s="1134"/>
      <c r="U74" s="782">
        <f t="shared" si="283"/>
        <v>0</v>
      </c>
      <c r="V74" s="782">
        <f t="shared" si="284"/>
        <v>0</v>
      </c>
      <c r="W74" s="1134"/>
      <c r="X74" s="1134"/>
      <c r="Y74" s="781">
        <f t="shared" si="285"/>
        <v>0</v>
      </c>
      <c r="Z74" s="781">
        <f t="shared" si="285"/>
        <v>0</v>
      </c>
      <c r="AA74" s="465">
        <f t="shared" si="286"/>
        <v>0</v>
      </c>
      <c r="AB74" s="454">
        <f t="shared" si="286"/>
        <v>0</v>
      </c>
      <c r="AC74" s="1134"/>
      <c r="AD74" s="1134"/>
      <c r="AE74" s="782">
        <f t="shared" si="287"/>
        <v>0</v>
      </c>
      <c r="AF74" s="782">
        <f t="shared" si="288"/>
        <v>0</v>
      </c>
      <c r="AG74" s="1134"/>
      <c r="AH74" s="1134"/>
      <c r="AI74" s="782">
        <f t="shared" si="289"/>
        <v>0</v>
      </c>
      <c r="AJ74" s="782">
        <f t="shared" si="290"/>
        <v>0</v>
      </c>
      <c r="AK74" s="1134"/>
      <c r="AL74" s="1134"/>
      <c r="AM74" s="781">
        <f t="shared" si="291"/>
        <v>0</v>
      </c>
      <c r="AN74" s="781">
        <f t="shared" si="292"/>
        <v>0</v>
      </c>
      <c r="AO74" s="760">
        <f t="shared" si="303"/>
        <v>0</v>
      </c>
      <c r="AP74" s="760">
        <f t="shared" si="304"/>
        <v>0</v>
      </c>
      <c r="AQ74" s="1134"/>
      <c r="AR74" s="1134"/>
      <c r="AS74" s="782">
        <f t="shared" si="293"/>
        <v>0</v>
      </c>
      <c r="AT74" s="782">
        <f t="shared" si="294"/>
        <v>0</v>
      </c>
      <c r="AU74" s="1134"/>
      <c r="AV74" s="1134"/>
      <c r="AW74" s="782">
        <f t="shared" si="295"/>
        <v>0</v>
      </c>
      <c r="AX74" s="782">
        <f t="shared" si="296"/>
        <v>0</v>
      </c>
      <c r="AY74" s="1134"/>
      <c r="AZ74" s="1134"/>
      <c r="BA74" s="781">
        <f t="shared" si="297"/>
        <v>0</v>
      </c>
      <c r="BB74" s="2686">
        <f t="shared" si="298"/>
        <v>0</v>
      </c>
      <c r="BC74" s="2693">
        <f t="shared" si="299"/>
        <v>0</v>
      </c>
      <c r="BD74" s="2693">
        <f t="shared" si="300"/>
        <v>0</v>
      </c>
      <c r="BE74" s="437">
        <f t="shared" si="301"/>
        <v>0</v>
      </c>
      <c r="BF74" s="782">
        <f t="shared" si="302"/>
        <v>0</v>
      </c>
      <c r="BG74" s="1219"/>
      <c r="BH74" s="1219"/>
      <c r="BI74" s="1219"/>
      <c r="BJ74" s="1546"/>
      <c r="BK74" s="1546"/>
      <c r="BL74" s="26"/>
      <c r="BM74" s="26"/>
      <c r="BN74" s="26"/>
    </row>
    <row r="75" spans="1:66" ht="15" hidden="1" customHeight="1" x14ac:dyDescent="0.3">
      <c r="B75" s="2403" t="s">
        <v>187</v>
      </c>
      <c r="C75" s="159" t="s">
        <v>50</v>
      </c>
      <c r="D75" s="1134"/>
      <c r="E75" s="1134"/>
      <c r="F75" s="1134"/>
      <c r="G75" s="1134"/>
      <c r="H75" s="1134"/>
      <c r="I75" s="782">
        <f t="shared" si="280"/>
        <v>0</v>
      </c>
      <c r="J75" s="782">
        <f t="shared" si="280"/>
        <v>0</v>
      </c>
      <c r="K75" s="1134"/>
      <c r="L75" s="1134"/>
      <c r="M75" s="781">
        <f t="shared" si="281"/>
        <v>0</v>
      </c>
      <c r="N75" s="353">
        <f t="shared" si="281"/>
        <v>0</v>
      </c>
      <c r="O75" s="1134"/>
      <c r="P75" s="1134"/>
      <c r="Q75" s="782">
        <f t="shared" si="282"/>
        <v>0</v>
      </c>
      <c r="R75" s="782">
        <f t="shared" si="282"/>
        <v>0</v>
      </c>
      <c r="S75" s="1134"/>
      <c r="T75" s="1134"/>
      <c r="U75" s="782">
        <f t="shared" si="283"/>
        <v>0</v>
      </c>
      <c r="V75" s="782">
        <f t="shared" si="284"/>
        <v>0</v>
      </c>
      <c r="W75" s="1134"/>
      <c r="X75" s="1134"/>
      <c r="Y75" s="781">
        <f t="shared" si="285"/>
        <v>0</v>
      </c>
      <c r="Z75" s="781">
        <f t="shared" si="285"/>
        <v>0</v>
      </c>
      <c r="AA75" s="465">
        <f t="shared" si="286"/>
        <v>0</v>
      </c>
      <c r="AB75" s="454">
        <f t="shared" si="286"/>
        <v>0</v>
      </c>
      <c r="AC75" s="1134"/>
      <c r="AD75" s="1134"/>
      <c r="AE75" s="782">
        <f t="shared" si="287"/>
        <v>0</v>
      </c>
      <c r="AF75" s="782">
        <f t="shared" si="288"/>
        <v>0</v>
      </c>
      <c r="AG75" s="1134"/>
      <c r="AH75" s="1134"/>
      <c r="AI75" s="782">
        <f t="shared" si="289"/>
        <v>0</v>
      </c>
      <c r="AJ75" s="782">
        <f t="shared" si="290"/>
        <v>0</v>
      </c>
      <c r="AK75" s="1134"/>
      <c r="AL75" s="1134"/>
      <c r="AM75" s="781">
        <f t="shared" si="291"/>
        <v>0</v>
      </c>
      <c r="AN75" s="781">
        <f t="shared" si="292"/>
        <v>0</v>
      </c>
      <c r="AO75" s="760">
        <f t="shared" si="303"/>
        <v>0</v>
      </c>
      <c r="AP75" s="760">
        <f t="shared" si="304"/>
        <v>0</v>
      </c>
      <c r="AQ75" s="1134"/>
      <c r="AR75" s="1134"/>
      <c r="AS75" s="782">
        <f t="shared" si="293"/>
        <v>0</v>
      </c>
      <c r="AT75" s="782">
        <f t="shared" si="294"/>
        <v>0</v>
      </c>
      <c r="AU75" s="1134"/>
      <c r="AV75" s="1134"/>
      <c r="AW75" s="782">
        <f t="shared" si="295"/>
        <v>0</v>
      </c>
      <c r="AX75" s="782">
        <f t="shared" si="296"/>
        <v>0</v>
      </c>
      <c r="AY75" s="1134"/>
      <c r="AZ75" s="1134"/>
      <c r="BA75" s="781">
        <f t="shared" si="297"/>
        <v>0</v>
      </c>
      <c r="BB75" s="2686">
        <f t="shared" si="298"/>
        <v>0</v>
      </c>
      <c r="BC75" s="2693">
        <f t="shared" si="299"/>
        <v>0</v>
      </c>
      <c r="BD75" s="2693">
        <f t="shared" si="300"/>
        <v>0</v>
      </c>
      <c r="BE75" s="437">
        <f t="shared" si="301"/>
        <v>0</v>
      </c>
      <c r="BF75" s="782">
        <f t="shared" si="302"/>
        <v>0</v>
      </c>
      <c r="BG75" s="1219"/>
      <c r="BH75" s="1219"/>
      <c r="BI75" s="1219"/>
      <c r="BJ75" s="1546"/>
      <c r="BK75" s="1546"/>
      <c r="BL75" s="26"/>
      <c r="BM75" s="26"/>
      <c r="BN75" s="26"/>
    </row>
    <row r="76" spans="1:66" ht="15.95" hidden="1" customHeight="1" thickBot="1" x14ac:dyDescent="0.35">
      <c r="B76" s="2415" t="s">
        <v>188</v>
      </c>
      <c r="C76" s="160" t="s">
        <v>50</v>
      </c>
      <c r="D76" s="231"/>
      <c r="E76" s="231"/>
      <c r="F76" s="231"/>
      <c r="G76" s="231"/>
      <c r="H76" s="231"/>
      <c r="I76" s="276">
        <f t="shared" si="280"/>
        <v>0</v>
      </c>
      <c r="J76" s="276">
        <f t="shared" si="280"/>
        <v>0</v>
      </c>
      <c r="K76" s="231"/>
      <c r="L76" s="231"/>
      <c r="M76" s="1203">
        <f t="shared" si="281"/>
        <v>0</v>
      </c>
      <c r="N76" s="1203">
        <f t="shared" si="281"/>
        <v>0</v>
      </c>
      <c r="O76" s="231"/>
      <c r="P76" s="231"/>
      <c r="Q76" s="276">
        <f t="shared" si="282"/>
        <v>0</v>
      </c>
      <c r="R76" s="276">
        <f t="shared" si="282"/>
        <v>0</v>
      </c>
      <c r="S76" s="231"/>
      <c r="T76" s="231"/>
      <c r="U76" s="276">
        <f t="shared" si="283"/>
        <v>0</v>
      </c>
      <c r="V76" s="276">
        <f t="shared" si="284"/>
        <v>0</v>
      </c>
      <c r="W76" s="231"/>
      <c r="X76" s="231"/>
      <c r="Y76" s="1203">
        <f t="shared" si="285"/>
        <v>0</v>
      </c>
      <c r="Z76" s="1203">
        <f t="shared" si="285"/>
        <v>0</v>
      </c>
      <c r="AA76" s="465">
        <f t="shared" si="286"/>
        <v>0</v>
      </c>
      <c r="AB76" s="2287">
        <f t="shared" si="286"/>
        <v>0</v>
      </c>
      <c r="AC76" s="231"/>
      <c r="AD76" s="231"/>
      <c r="AE76" s="276">
        <f t="shared" si="287"/>
        <v>0</v>
      </c>
      <c r="AF76" s="276">
        <f t="shared" si="288"/>
        <v>0</v>
      </c>
      <c r="AG76" s="231"/>
      <c r="AH76" s="231"/>
      <c r="AI76" s="276">
        <f t="shared" si="289"/>
        <v>0</v>
      </c>
      <c r="AJ76" s="276">
        <f t="shared" si="290"/>
        <v>0</v>
      </c>
      <c r="AK76" s="231"/>
      <c r="AL76" s="231"/>
      <c r="AM76" s="1203">
        <f t="shared" si="291"/>
        <v>0</v>
      </c>
      <c r="AN76" s="1203">
        <f t="shared" si="292"/>
        <v>0</v>
      </c>
      <c r="AO76" s="760">
        <f t="shared" si="303"/>
        <v>0</v>
      </c>
      <c r="AP76" s="760">
        <f t="shared" si="304"/>
        <v>0</v>
      </c>
      <c r="AQ76" s="231"/>
      <c r="AR76" s="231"/>
      <c r="AS76" s="276">
        <f t="shared" si="293"/>
        <v>0</v>
      </c>
      <c r="AT76" s="276">
        <f t="shared" si="294"/>
        <v>0</v>
      </c>
      <c r="AU76" s="231"/>
      <c r="AV76" s="231"/>
      <c r="AW76" s="276">
        <f t="shared" si="295"/>
        <v>0</v>
      </c>
      <c r="AX76" s="276">
        <f t="shared" si="296"/>
        <v>0</v>
      </c>
      <c r="AY76" s="231"/>
      <c r="AZ76" s="231"/>
      <c r="BA76" s="1203">
        <f t="shared" si="297"/>
        <v>0</v>
      </c>
      <c r="BB76" s="2687">
        <f t="shared" si="298"/>
        <v>0</v>
      </c>
      <c r="BC76" s="2693">
        <f t="shared" si="299"/>
        <v>0</v>
      </c>
      <c r="BD76" s="2693">
        <f t="shared" si="300"/>
        <v>0</v>
      </c>
      <c r="BE76" s="2688">
        <f t="shared" si="301"/>
        <v>0</v>
      </c>
      <c r="BF76" s="276">
        <f t="shared" si="302"/>
        <v>0</v>
      </c>
      <c r="BG76" s="1219"/>
      <c r="BH76" s="1219"/>
      <c r="BI76" s="1219"/>
      <c r="BJ76" s="1546"/>
      <c r="BK76" s="1546"/>
      <c r="BL76" s="26"/>
      <c r="BM76" s="26"/>
      <c r="BN76" s="26"/>
    </row>
    <row r="77" spans="1:66" ht="16.5" hidden="1" customHeight="1" thickBot="1" x14ac:dyDescent="0.35">
      <c r="B77" s="2416" t="s">
        <v>509</v>
      </c>
      <c r="C77" s="1185" t="s">
        <v>50</v>
      </c>
      <c r="D77" s="2288">
        <f t="shared" ref="D77:J77" si="305">SUM(D72:D76)</f>
        <v>0</v>
      </c>
      <c r="E77" s="2288">
        <f t="shared" si="305"/>
        <v>0</v>
      </c>
      <c r="F77" s="2288">
        <f t="shared" si="305"/>
        <v>0</v>
      </c>
      <c r="G77" s="2288">
        <f t="shared" ref="G77:H77" si="306">SUM(G72:G76)</f>
        <v>0</v>
      </c>
      <c r="H77" s="2288">
        <f t="shared" si="306"/>
        <v>0</v>
      </c>
      <c r="I77" s="1187">
        <f t="shared" si="305"/>
        <v>0</v>
      </c>
      <c r="J77" s="1187">
        <f t="shared" si="305"/>
        <v>0</v>
      </c>
      <c r="K77" s="2288">
        <f t="shared" ref="K77:L77" si="307">SUM(K72:K76)</f>
        <v>0</v>
      </c>
      <c r="L77" s="2288">
        <f t="shared" si="307"/>
        <v>0</v>
      </c>
      <c r="M77" s="1188">
        <f t="shared" ref="M77:R77" si="308">SUM(M72:M76)</f>
        <v>0</v>
      </c>
      <c r="N77" s="1188">
        <f t="shared" si="308"/>
        <v>0</v>
      </c>
      <c r="O77" s="2288">
        <f t="shared" si="308"/>
        <v>0</v>
      </c>
      <c r="P77" s="2288">
        <f t="shared" si="308"/>
        <v>0</v>
      </c>
      <c r="Q77" s="1187">
        <f t="shared" si="308"/>
        <v>0</v>
      </c>
      <c r="R77" s="1187">
        <f t="shared" si="308"/>
        <v>0</v>
      </c>
      <c r="S77" s="2288">
        <f t="shared" ref="S77:T77" si="309">SUM(S72:S76)</f>
        <v>0</v>
      </c>
      <c r="T77" s="2288">
        <f t="shared" si="309"/>
        <v>0</v>
      </c>
      <c r="U77" s="1187">
        <f t="shared" ref="U77:X77" si="310">SUM(U72:U76)</f>
        <v>0</v>
      </c>
      <c r="V77" s="1187">
        <f t="shared" si="310"/>
        <v>0</v>
      </c>
      <c r="W77" s="2288">
        <f t="shared" si="310"/>
        <v>0</v>
      </c>
      <c r="X77" s="2288">
        <f t="shared" si="310"/>
        <v>0</v>
      </c>
      <c r="Y77" s="1188">
        <f t="shared" ref="Y77:Z77" si="311">SUM(Y72:Y76)</f>
        <v>0</v>
      </c>
      <c r="Z77" s="1188">
        <f t="shared" si="311"/>
        <v>0</v>
      </c>
      <c r="AA77" s="1189">
        <f t="shared" ref="AA77:AF77" si="312">SUM(AA72:AA76)</f>
        <v>0</v>
      </c>
      <c r="AB77" s="460">
        <f t="shared" si="312"/>
        <v>0</v>
      </c>
      <c r="AC77" s="2288">
        <f t="shared" si="312"/>
        <v>0</v>
      </c>
      <c r="AD77" s="2288">
        <f t="shared" si="312"/>
        <v>0</v>
      </c>
      <c r="AE77" s="1187">
        <f t="shared" si="312"/>
        <v>0</v>
      </c>
      <c r="AF77" s="1187">
        <f t="shared" si="312"/>
        <v>0</v>
      </c>
      <c r="AG77" s="2288">
        <f t="shared" ref="AG77:AH77" si="313">SUM(AG72:AG76)</f>
        <v>0</v>
      </c>
      <c r="AH77" s="2288">
        <f t="shared" si="313"/>
        <v>0</v>
      </c>
      <c r="AI77" s="1187">
        <f t="shared" ref="AI77:AN77" si="314">SUM(AI72:AI76)</f>
        <v>0</v>
      </c>
      <c r="AJ77" s="1187">
        <f t="shared" si="314"/>
        <v>0</v>
      </c>
      <c r="AK77" s="2288">
        <f t="shared" si="314"/>
        <v>0</v>
      </c>
      <c r="AL77" s="2288">
        <f t="shared" si="314"/>
        <v>0</v>
      </c>
      <c r="AM77" s="1188">
        <f t="shared" si="314"/>
        <v>0</v>
      </c>
      <c r="AN77" s="1188">
        <f t="shared" si="314"/>
        <v>0</v>
      </c>
      <c r="AO77" s="1187">
        <f t="shared" ref="AO77:AT77" si="315">SUM(AO72:AO76)</f>
        <v>0</v>
      </c>
      <c r="AP77" s="1187">
        <f t="shared" si="315"/>
        <v>0</v>
      </c>
      <c r="AQ77" s="2288">
        <f t="shared" si="315"/>
        <v>0</v>
      </c>
      <c r="AR77" s="2288">
        <f t="shared" si="315"/>
        <v>0</v>
      </c>
      <c r="AS77" s="1187">
        <f t="shared" si="315"/>
        <v>0</v>
      </c>
      <c r="AT77" s="1187">
        <f t="shared" si="315"/>
        <v>0</v>
      </c>
      <c r="AU77" s="2288">
        <f t="shared" ref="AU77:AX77" si="316">SUM(AU72:AU76)</f>
        <v>0</v>
      </c>
      <c r="AV77" s="2288">
        <f t="shared" si="316"/>
        <v>0</v>
      </c>
      <c r="AW77" s="1187">
        <f t="shared" si="316"/>
        <v>0</v>
      </c>
      <c r="AX77" s="1187">
        <f t="shared" si="316"/>
        <v>0</v>
      </c>
      <c r="AY77" s="2288">
        <f t="shared" ref="AY77:AZ77" si="317">SUM(AY72:AY76)</f>
        <v>0</v>
      </c>
      <c r="AZ77" s="2288">
        <f t="shared" si="317"/>
        <v>0</v>
      </c>
      <c r="BA77" s="1188">
        <f t="shared" ref="BA77:BF77" si="318">SUM(BA72:BA76)</f>
        <v>0</v>
      </c>
      <c r="BB77" s="1607">
        <f t="shared" si="318"/>
        <v>0</v>
      </c>
      <c r="BC77" s="2660">
        <f t="shared" si="318"/>
        <v>0</v>
      </c>
      <c r="BD77" s="2660">
        <f t="shared" si="318"/>
        <v>0</v>
      </c>
      <c r="BE77" s="726">
        <f t="shared" si="318"/>
        <v>0</v>
      </c>
      <c r="BF77" s="1187">
        <f t="shared" si="318"/>
        <v>0</v>
      </c>
      <c r="BG77" s="1219"/>
      <c r="BH77" s="1219"/>
      <c r="BI77" s="1219"/>
      <c r="BJ77" s="1546"/>
      <c r="BK77" s="1546"/>
      <c r="BL77" s="26"/>
      <c r="BM77" s="26"/>
      <c r="BN77" s="26"/>
    </row>
    <row r="78" spans="1:66" ht="21.75" customHeight="1" thickBot="1" x14ac:dyDescent="0.35">
      <c r="A78" s="148"/>
      <c r="B78" s="1833" t="s">
        <v>507</v>
      </c>
      <c r="C78" s="1190"/>
      <c r="D78" s="1190"/>
      <c r="E78" s="1190"/>
      <c r="F78" s="1190"/>
      <c r="G78" s="1190"/>
      <c r="H78" s="1190"/>
      <c r="I78" s="1190"/>
      <c r="J78" s="1190"/>
      <c r="K78" s="1190"/>
      <c r="L78" s="1190"/>
      <c r="M78" s="1190"/>
      <c r="N78" s="1190"/>
      <c r="O78" s="1190"/>
      <c r="P78" s="1190"/>
      <c r="Q78" s="1190"/>
      <c r="R78" s="1190"/>
      <c r="S78" s="1190"/>
      <c r="T78" s="1190"/>
      <c r="U78" s="1190"/>
      <c r="V78" s="1190"/>
      <c r="W78" s="1190"/>
      <c r="X78" s="1190"/>
      <c r="Y78" s="1190"/>
      <c r="Z78" s="1190"/>
      <c r="AA78" s="1190"/>
      <c r="AB78" s="1190"/>
      <c r="AC78" s="1190"/>
      <c r="AD78" s="1190"/>
      <c r="AE78" s="1190"/>
      <c r="AF78" s="1190"/>
      <c r="AG78" s="1190"/>
      <c r="AH78" s="1190"/>
      <c r="AI78" s="1190"/>
      <c r="AJ78" s="1190"/>
      <c r="AK78" s="1190"/>
      <c r="AL78" s="1190"/>
      <c r="AM78" s="1190"/>
      <c r="AN78" s="1190"/>
      <c r="AO78" s="1190"/>
      <c r="AP78" s="1190"/>
      <c r="AQ78" s="1190"/>
      <c r="AR78" s="1190"/>
      <c r="AS78" s="1190"/>
      <c r="AT78" s="1190"/>
      <c r="AU78" s="1190"/>
      <c r="AV78" s="1190"/>
      <c r="AW78" s="1190"/>
      <c r="AX78" s="1190"/>
      <c r="AY78" s="1190"/>
      <c r="AZ78" s="1190"/>
      <c r="BA78" s="1190"/>
      <c r="BB78" s="1190"/>
      <c r="BC78" s="1190"/>
      <c r="BD78" s="1190"/>
      <c r="BE78" s="1190"/>
      <c r="BF78" s="1190"/>
      <c r="BG78" s="1219"/>
      <c r="BH78" s="1219"/>
      <c r="BI78" s="1219"/>
      <c r="BJ78" s="1546"/>
      <c r="BK78" s="1546"/>
      <c r="BL78" s="26"/>
      <c r="BM78" s="26"/>
      <c r="BN78" s="26"/>
    </row>
    <row r="79" spans="1:66" ht="15.75" customHeight="1" thickBot="1" x14ac:dyDescent="0.35">
      <c r="B79" s="2394" t="s">
        <v>180</v>
      </c>
      <c r="C79" s="1802" t="s">
        <v>506</v>
      </c>
      <c r="D79" s="2395">
        <v>25</v>
      </c>
      <c r="E79" s="2395">
        <f>+$D$79</f>
        <v>25</v>
      </c>
      <c r="F79" s="2396">
        <v>25</v>
      </c>
      <c r="G79" s="2395">
        <f>+$D$79</f>
        <v>25</v>
      </c>
      <c r="H79" s="2396">
        <v>25</v>
      </c>
      <c r="I79" s="2397">
        <f>+$D$79</f>
        <v>25</v>
      </c>
      <c r="J79" s="166">
        <f>((F79*$F$17)+(H79*$H$17))/$J$17</f>
        <v>25</v>
      </c>
      <c r="K79" s="2395">
        <f>+$D$79</f>
        <v>25</v>
      </c>
      <c r="L79" s="2396">
        <v>23</v>
      </c>
      <c r="M79" s="2392">
        <f>+$D$79</f>
        <v>25</v>
      </c>
      <c r="N79" s="2392">
        <f>((F79*$F$17)+(H79*$H$17)+(L79*$L$17))/$N$17</f>
        <v>24.346781504986403</v>
      </c>
      <c r="O79" s="2395">
        <f>+$D$79</f>
        <v>25</v>
      </c>
      <c r="P79" s="2396">
        <v>23</v>
      </c>
      <c r="Q79" s="2397">
        <f>+$D$79</f>
        <v>25</v>
      </c>
      <c r="R79" s="1450">
        <f>((N79*$N$17)+(P79*$P$17))/$R$17</f>
        <v>24.008657273807504</v>
      </c>
      <c r="S79" s="2395">
        <f>+$D$79</f>
        <v>25</v>
      </c>
      <c r="T79" s="2396">
        <v>23</v>
      </c>
      <c r="U79" s="2397">
        <f>+$D$79</f>
        <v>25</v>
      </c>
      <c r="V79" s="1450">
        <f>((R79*$R$17)+(T79*$T$17))/$V$17</f>
        <v>23.801889338731442</v>
      </c>
      <c r="W79" s="2395">
        <f>+$D$79</f>
        <v>25</v>
      </c>
      <c r="X79" s="2396">
        <v>23</v>
      </c>
      <c r="Y79" s="2392">
        <f>+$D$79</f>
        <v>25</v>
      </c>
      <c r="Z79" s="2392">
        <f>((P79*$P$17)+(T79*$T$17)+(X79*$X$17))/$Z$17</f>
        <v>23</v>
      </c>
      <c r="AA79" s="2376">
        <f>+$D$79</f>
        <v>25</v>
      </c>
      <c r="AB79" s="2393">
        <f>((N79*$N$17)+(Z79*$Z$17))/$AB$17</f>
        <v>23.669144144144148</v>
      </c>
      <c r="AC79" s="2395">
        <f>+$D$79</f>
        <v>25</v>
      </c>
      <c r="AD79" s="2396">
        <v>25</v>
      </c>
      <c r="AE79" s="2397">
        <f>+$D$79</f>
        <v>25</v>
      </c>
      <c r="AF79" s="1450">
        <f>((AB79*$AB$17)+(AD79*$AD$17))/$AF$17</f>
        <v>23.863544571593426</v>
      </c>
      <c r="AG79" s="2395">
        <f>+$D$79</f>
        <v>25</v>
      </c>
      <c r="AH79" s="2396">
        <v>25</v>
      </c>
      <c r="AI79" s="2397">
        <f>+$D$79</f>
        <v>25</v>
      </c>
      <c r="AJ79" s="1450">
        <f>((AF79*$AF$17)+(AH79*$AH$17))/$AJ$17</f>
        <v>23.99961907986626</v>
      </c>
      <c r="AK79" s="2395">
        <f>+$D$79</f>
        <v>25</v>
      </c>
      <c r="AL79" s="2396">
        <v>25</v>
      </c>
      <c r="AM79" s="2392">
        <f>+$D$79</f>
        <v>25</v>
      </c>
      <c r="AN79" s="2392">
        <f>((AD79*$AD$17)+(AH79*$AH$17)+(AL79*$AL$17))/$AN$17</f>
        <v>25</v>
      </c>
      <c r="AO79" s="2397">
        <f>+$D$79</f>
        <v>25</v>
      </c>
      <c r="AP79" s="1450">
        <f>((AJ79*$AJ$17)+(AL79*$AL$17))/$AP$17</f>
        <v>24.113594599662484</v>
      </c>
      <c r="AQ79" s="2395">
        <f>+$D$79</f>
        <v>25</v>
      </c>
      <c r="AR79" s="2396">
        <v>25</v>
      </c>
      <c r="AS79" s="2397">
        <f>+$D$79</f>
        <v>25</v>
      </c>
      <c r="AT79" s="1450">
        <f>((AP79*$AP$17)+(AR79*$AR$17))/$AT$17</f>
        <v>24.204255462411208</v>
      </c>
      <c r="AU79" s="2395">
        <f>+$D$79</f>
        <v>25</v>
      </c>
      <c r="AV79" s="2396">
        <v>25</v>
      </c>
      <c r="AW79" s="2397">
        <f>+$D$79</f>
        <v>25</v>
      </c>
      <c r="AX79" s="1450">
        <f>((AT79*$AT$17)+(AV79*$AV$17))/$AX$17</f>
        <v>24.271348418521494</v>
      </c>
      <c r="AY79" s="2395">
        <f>+$D$79</f>
        <v>25</v>
      </c>
      <c r="AZ79" s="2396">
        <v>25</v>
      </c>
      <c r="BA79" s="2392">
        <f>+$D$79</f>
        <v>25</v>
      </c>
      <c r="BB79" s="2392">
        <f>((AR79*$AR$17)+(AV79*$AV$17)+(AZ79*$AZ$17))/$BB$17</f>
        <v>24.999999999999996</v>
      </c>
      <c r="BC79" s="2376">
        <f>+$D$79</f>
        <v>25</v>
      </c>
      <c r="BD79" s="2393">
        <f>((AN79*$AN$17)+(BB79*$BB$17))/$BD$17</f>
        <v>25</v>
      </c>
      <c r="BE79" s="2397">
        <f>+$D$79</f>
        <v>25</v>
      </c>
      <c r="BF79" s="2397">
        <f>((AX79*$AX$17)+(AZ79*$AZ$17))/$BF$17</f>
        <v>24.333746758371866</v>
      </c>
      <c r="BG79" s="1219"/>
      <c r="BH79" s="1219"/>
      <c r="BI79" s="1219"/>
      <c r="BJ79" s="1546"/>
      <c r="BK79" s="1546"/>
      <c r="BL79" s="26"/>
      <c r="BM79" s="26"/>
      <c r="BN79" s="26"/>
    </row>
    <row r="80" spans="1:66" ht="15.75" customHeight="1" thickBot="1" x14ac:dyDescent="0.35">
      <c r="B80" s="2398" t="s">
        <v>181</v>
      </c>
      <c r="C80" s="2755" t="s">
        <v>506</v>
      </c>
      <c r="D80" s="3262">
        <v>25</v>
      </c>
      <c r="E80" s="3262">
        <f>+$D$80</f>
        <v>25</v>
      </c>
      <c r="F80" s="3263">
        <v>25</v>
      </c>
      <c r="G80" s="3262">
        <f>+$D$80</f>
        <v>25</v>
      </c>
      <c r="H80" s="3263">
        <v>25</v>
      </c>
      <c r="I80" s="3264">
        <f>+$D$80</f>
        <v>25</v>
      </c>
      <c r="J80" s="166">
        <f>((F80*$F$18)+(H80*$H$18))/$J$18</f>
        <v>25</v>
      </c>
      <c r="K80" s="3262">
        <f>+$D$80</f>
        <v>25</v>
      </c>
      <c r="L80" s="3263">
        <v>25</v>
      </c>
      <c r="M80" s="806">
        <f>+$D$80</f>
        <v>25</v>
      </c>
      <c r="N80" s="2392">
        <f>((F80*$F$18)+(H80*$H$18)+(L80*$L$18))/($N$18)</f>
        <v>25</v>
      </c>
      <c r="O80" s="3262">
        <f>+$D$80</f>
        <v>25</v>
      </c>
      <c r="P80" s="3263">
        <v>24.987051642130627</v>
      </c>
      <c r="Q80" s="807">
        <f>+$D$80</f>
        <v>25</v>
      </c>
      <c r="R80" s="1450">
        <f>((N80*$N$18)+(P80*$P$18))/$R$18</f>
        <v>24.996676826367192</v>
      </c>
      <c r="S80" s="3262">
        <f>+$D$80</f>
        <v>25</v>
      </c>
      <c r="T80" s="3263">
        <v>25.001530818224932</v>
      </c>
      <c r="U80" s="807">
        <f>+$D$80</f>
        <v>25</v>
      </c>
      <c r="V80" s="1450">
        <f>((R80*$R$18)+(T80*$T$18))/$V$18</f>
        <v>24.997664309123223</v>
      </c>
      <c r="W80" s="3262">
        <f>+$D$80</f>
        <v>25</v>
      </c>
      <c r="X80" s="3263">
        <v>24.997900679965742</v>
      </c>
      <c r="Y80" s="806">
        <f>+$D$80</f>
        <v>25</v>
      </c>
      <c r="Z80" s="2392">
        <f>((P80*$P$18)+(T80*$T$18)+(X80*$X$18))/$Z$18</f>
        <v>24.995456341987268</v>
      </c>
      <c r="AA80" s="808">
        <f>+$D$80</f>
        <v>25</v>
      </c>
      <c r="AB80" s="2393">
        <f>((N80*$N$18)+(Z80*$Z$18))/$AB$18</f>
        <v>24.997703272506055</v>
      </c>
      <c r="AC80" s="3262">
        <f>+$D$80</f>
        <v>25</v>
      </c>
      <c r="AD80" s="3263">
        <v>25</v>
      </c>
      <c r="AE80" s="807">
        <f>+$D$80</f>
        <v>25</v>
      </c>
      <c r="AF80" s="1450">
        <f>((AB80*$AB$18)+(AD80*$AD$18))/$AF$18</f>
        <v>24.998034859258205</v>
      </c>
      <c r="AG80" s="3262">
        <f>+$D$80</f>
        <v>25</v>
      </c>
      <c r="AH80" s="3263">
        <v>25</v>
      </c>
      <c r="AI80" s="807">
        <f>+$D$80</f>
        <v>25</v>
      </c>
      <c r="AJ80" s="1450">
        <f>((AF80*$AF$18)+(AH80*$AH$18))/$AJ$18</f>
        <v>24.998267430052724</v>
      </c>
      <c r="AK80" s="3262">
        <f>+$D$80</f>
        <v>25</v>
      </c>
      <c r="AL80" s="3263">
        <v>25</v>
      </c>
      <c r="AM80" s="806">
        <f>+$D$80</f>
        <v>25</v>
      </c>
      <c r="AN80" s="2392">
        <f>((AD80*$AD$18)+(AH80*$AH$18)+(AL80*$AL$18))/$AN$18</f>
        <v>24.999999999999996</v>
      </c>
      <c r="AO80" s="807">
        <f>+$D$80</f>
        <v>25</v>
      </c>
      <c r="AP80" s="1450">
        <f>((AJ80*$AJ$18)+(AL80*$AL$18))/$AP$18</f>
        <v>24.998464206067347</v>
      </c>
      <c r="AQ80" s="3262">
        <f>+$D$80</f>
        <v>25</v>
      </c>
      <c r="AR80" s="3263">
        <v>25.205417445520059</v>
      </c>
      <c r="AS80" s="807">
        <f>+$D$80</f>
        <v>25</v>
      </c>
      <c r="AT80" s="1450">
        <f>((AP80*$AP$18)+(AR80*$AR$18))/$AT$18</f>
        <v>25.01957158363296</v>
      </c>
      <c r="AU80" s="3262">
        <f>+$D$80</f>
        <v>25</v>
      </c>
      <c r="AV80" s="3263">
        <v>24.999928095006627</v>
      </c>
      <c r="AW80" s="807">
        <f>+$D$80</f>
        <v>25</v>
      </c>
      <c r="AX80" s="1450">
        <f>((AT80*$AT$18)+(AV80*$AV$18))/$AX$18</f>
        <v>25.017916047790152</v>
      </c>
      <c r="AY80" s="3262">
        <f>+$D$80</f>
        <v>25</v>
      </c>
      <c r="AZ80" s="3263">
        <v>24.999999999999996</v>
      </c>
      <c r="BA80" s="806">
        <f>+$D$80</f>
        <v>25</v>
      </c>
      <c r="BB80" s="2392">
        <f>((AR80*$AR$18)+(AV80*$AV$18)+(AZ80*$AZ$18))/$BB$18</f>
        <v>25.070712989275432</v>
      </c>
      <c r="BC80" s="808">
        <f>+$D$80</f>
        <v>25</v>
      </c>
      <c r="BD80" s="2393">
        <f>((AN80*$AN$17)+(BB80*$BB$17))/$BD$17</f>
        <v>25.035168895264494</v>
      </c>
      <c r="BE80" s="807">
        <f>+$D$80</f>
        <v>25</v>
      </c>
      <c r="BF80" s="807">
        <f>((AX80*$AX$18)+(AZ80*$AZ$18))/$BF$18</f>
        <v>25.016383408012207</v>
      </c>
      <c r="BG80" s="1219"/>
      <c r="BH80" s="1219"/>
      <c r="BI80" s="1219"/>
      <c r="BJ80" s="1546"/>
      <c r="BK80" s="1546"/>
      <c r="BL80" s="26"/>
      <c r="BM80" s="26"/>
      <c r="BN80" s="26"/>
    </row>
    <row r="81" spans="1:66" ht="15.75" customHeight="1" thickBot="1" x14ac:dyDescent="0.35">
      <c r="A81" s="148"/>
      <c r="B81" s="2399" t="s">
        <v>35</v>
      </c>
      <c r="C81" s="3006" t="s">
        <v>506</v>
      </c>
      <c r="D81" s="3007">
        <f t="shared" ref="D81:Y81" si="319">+((D79*D17)+(D80*D18))/D19</f>
        <v>25</v>
      </c>
      <c r="E81" s="3007">
        <f t="shared" si="319"/>
        <v>25</v>
      </c>
      <c r="F81" s="3007">
        <f t="shared" si="319"/>
        <v>25</v>
      </c>
      <c r="G81" s="3007">
        <f t="shared" ref="G81:H81" si="320">+((G79*G17)+(G80*G18))/G19</f>
        <v>25</v>
      </c>
      <c r="H81" s="3007">
        <f t="shared" si="320"/>
        <v>25.000000000000004</v>
      </c>
      <c r="I81" s="3009">
        <f t="shared" si="319"/>
        <v>25.000000000000004</v>
      </c>
      <c r="J81" s="3265">
        <f>((F81*$F$19)+(H81*$H$19))/$J$19</f>
        <v>24.999999999999996</v>
      </c>
      <c r="K81" s="3007">
        <f t="shared" ref="K81:L81" si="321">+((K79*K17)+(K80*K18))/K19</f>
        <v>25</v>
      </c>
      <c r="L81" s="3007">
        <f t="shared" si="321"/>
        <v>24.305586432918613</v>
      </c>
      <c r="M81" s="816">
        <f t="shared" si="319"/>
        <v>25</v>
      </c>
      <c r="N81" s="2392">
        <f>((F81*$F$19)+(H81*$H$19)+(L81*$L$19))/($N$19)</f>
        <v>24.77062461716611</v>
      </c>
      <c r="O81" s="3007">
        <f t="shared" ref="O81:P81" si="322">+((O79*O17)+(O80*O18))/O19</f>
        <v>24.999999999999996</v>
      </c>
      <c r="P81" s="3007">
        <f t="shared" si="322"/>
        <v>24.302601375516193</v>
      </c>
      <c r="Q81" s="815">
        <f t="shared" si="319"/>
        <v>25</v>
      </c>
      <c r="R81" s="2490">
        <f>((N81*$N$19)+(P81*$P$19))/$R$19</f>
        <v>24.651421053711569</v>
      </c>
      <c r="S81" s="3007">
        <f t="shared" ref="S81:T81" si="323">+((S79*S17)+(S80*S18))/S19</f>
        <v>24.999999999999996</v>
      </c>
      <c r="T81" s="3007">
        <f t="shared" si="323"/>
        <v>24.297748495531511</v>
      </c>
      <c r="U81" s="815">
        <f t="shared" ref="U81" si="324">+((U79*U17)+(U80*U18))/U19</f>
        <v>25</v>
      </c>
      <c r="V81" s="2490">
        <f>((R81*$R$19)+(T81*$T$19))/$V$19</f>
        <v>24.579278332911937</v>
      </c>
      <c r="W81" s="3007">
        <f t="shared" ref="W81:X81" si="325">+((W79*W17)+(W80*W18))/W19</f>
        <v>25</v>
      </c>
      <c r="X81" s="3007">
        <f t="shared" si="325"/>
        <v>24.296551247772911</v>
      </c>
      <c r="Y81" s="816">
        <f t="shared" si="319"/>
        <v>25</v>
      </c>
      <c r="Z81" s="2392">
        <f>((P81*$P$19)+(T81*$T$19)+(X81*$X$19))/$Z$19</f>
        <v>24.298984586562202</v>
      </c>
      <c r="AA81" s="808">
        <f t="shared" ref="AA81:AE81" si="326">+((AA79*AA17)+(AA80*AA18))/AA19</f>
        <v>25</v>
      </c>
      <c r="AB81" s="2393">
        <f>((N81*$N$19)+(Z81*$Z$19))/$AB$19</f>
        <v>24.532604252946633</v>
      </c>
      <c r="AC81" s="3007">
        <f t="shared" ref="AC81:AD81" si="327">+((AC79*AC17)+(AC80*AC18))/AC19</f>
        <v>25</v>
      </c>
      <c r="AD81" s="3007">
        <f t="shared" si="327"/>
        <v>25</v>
      </c>
      <c r="AE81" s="815">
        <f t="shared" si="326"/>
        <v>25</v>
      </c>
      <c r="AF81" s="2490">
        <f>((AB81*$AB$19)+(AD81*$AD$19))/$AF$19</f>
        <v>24.600362067478791</v>
      </c>
      <c r="AG81" s="3007">
        <f t="shared" ref="AG81:AH81" si="328">+((AG79*AG17)+(AG80*AG18))/AG19</f>
        <v>25</v>
      </c>
      <c r="AH81" s="3007">
        <f t="shared" si="328"/>
        <v>25</v>
      </c>
      <c r="AI81" s="815">
        <f t="shared" ref="AI81:AM81" si="329">+((AI79*AI17)+(AI80*AI18))/AI19</f>
        <v>25</v>
      </c>
      <c r="AJ81" s="2490">
        <f>((AF81*$AF$19)+(AH81*$AH$19))/$AJ$19</f>
        <v>24.647853081851192</v>
      </c>
      <c r="AK81" s="3007">
        <f t="shared" ref="AK81:AL81" si="330">+((AK79*AK17)+(AK80*AK18))/AK19</f>
        <v>25</v>
      </c>
      <c r="AL81" s="3007">
        <f t="shared" si="330"/>
        <v>25</v>
      </c>
      <c r="AM81" s="816">
        <f t="shared" si="329"/>
        <v>25</v>
      </c>
      <c r="AN81" s="2392">
        <f>((AD81*$AD$19)+(AH81*$AH$19)+(AL81*$AL$19))/$AN$19</f>
        <v>24.999999999999996</v>
      </c>
      <c r="AO81" s="815">
        <f t="shared" ref="AO81:AS81" si="331">+((AO79*AO17)+(AO80*AO18))/AO19</f>
        <v>25.000000000000004</v>
      </c>
      <c r="AP81" s="1450">
        <f>((AJ81*$AJ$19)+(AL81*$AL$19))/$AP$19</f>
        <v>24.687892225618601</v>
      </c>
      <c r="AQ81" s="3007">
        <f t="shared" ref="AQ81:AR81" si="332">+((AQ79*AQ17)+(AQ80*AQ18))/AQ19</f>
        <v>25</v>
      </c>
      <c r="AR81" s="3007">
        <f t="shared" si="332"/>
        <v>25.133172809156271</v>
      </c>
      <c r="AS81" s="815">
        <f t="shared" si="331"/>
        <v>24.999999999999996</v>
      </c>
      <c r="AT81" s="2490">
        <f>((AP81*$AP$19)+(AR81*$AR$19))/$AT$19</f>
        <v>24.733351906704641</v>
      </c>
      <c r="AU81" s="3007">
        <f t="shared" ref="AU81:AW81" si="333">+((AU79*AU17)+(AU80*AU18))/AU19</f>
        <v>24.999999999999996</v>
      </c>
      <c r="AV81" s="3007">
        <f t="shared" si="333"/>
        <v>24.999953345065496</v>
      </c>
      <c r="AW81" s="815">
        <f t="shared" si="333"/>
        <v>25</v>
      </c>
      <c r="AX81" s="2490">
        <f>((AT81*$AT$19)+(AV81*$AV$19))/$AX$19</f>
        <v>24.755824169884626</v>
      </c>
      <c r="AY81" s="3007">
        <f t="shared" ref="AY81" si="334">+((AY79*AY17)+(AY80*AY18))/AY19</f>
        <v>25</v>
      </c>
      <c r="AZ81" s="3007">
        <f>+((AZ79*AZ17)+(AZ80*AZ18))/AZ19</f>
        <v>24.999999999999996</v>
      </c>
      <c r="BA81" s="816">
        <f t="shared" ref="BA81:BE81" si="335">+((BA79*BA17)+(BA80*BA18))/BA19</f>
        <v>25</v>
      </c>
      <c r="BB81" s="2392">
        <f>((AR81*$P$19)+(AV81*$T$19)+(AZ81*$X$19))/$Z$19</f>
        <v>25.044652522830198</v>
      </c>
      <c r="BC81" s="808">
        <f t="shared" ref="BC81" si="336">+((BC79*BC17)+(BC80*BC18))/BC19</f>
        <v>25</v>
      </c>
      <c r="BD81" s="2393">
        <f>((AN81*$AN$19)+(BB81*$BB$19))/$BD$19</f>
        <v>25.022251993767391</v>
      </c>
      <c r="BE81" s="815">
        <f t="shared" si="335"/>
        <v>25</v>
      </c>
      <c r="BF81" s="815">
        <f>((AX81*$AX$19)+(AZ81*$AZ$19))/$BF$19</f>
        <v>24.776720038874455</v>
      </c>
      <c r="BG81" s="1219"/>
      <c r="BH81" s="1219"/>
      <c r="BI81" s="1219"/>
      <c r="BJ81" s="1546"/>
      <c r="BK81" s="1546"/>
      <c r="BL81" s="26"/>
      <c r="BM81" s="26"/>
      <c r="BN81" s="26"/>
    </row>
    <row r="82" spans="1:66" ht="15.75" customHeight="1" thickBot="1" x14ac:dyDescent="0.3">
      <c r="A82" s="148"/>
      <c r="B82" s="2400" t="s">
        <v>1089</v>
      </c>
      <c r="C82" s="3266" t="s">
        <v>506</v>
      </c>
      <c r="D82" s="3262">
        <v>10</v>
      </c>
      <c r="E82" s="3262">
        <f>+$D$82</f>
        <v>10</v>
      </c>
      <c r="F82" s="3262">
        <v>10</v>
      </c>
      <c r="G82" s="3262">
        <f>+$D$82</f>
        <v>10</v>
      </c>
      <c r="H82" s="3262">
        <v>10</v>
      </c>
      <c r="I82" s="3264">
        <f>+$D$82</f>
        <v>10</v>
      </c>
      <c r="J82" s="166">
        <f>((F82*$F$17)+(H82*$H$17))/$J$17</f>
        <v>10</v>
      </c>
      <c r="K82" s="3262">
        <f>+$D$82</f>
        <v>10</v>
      </c>
      <c r="L82" s="3262">
        <v>10</v>
      </c>
      <c r="M82" s="806">
        <f>+$D$82</f>
        <v>10</v>
      </c>
      <c r="N82" s="2392">
        <f>((F82*$F$17)+(H82*$H$17)+(L82*$L$17))/$N$17</f>
        <v>10</v>
      </c>
      <c r="O82" s="3262">
        <f>+$D$82</f>
        <v>10</v>
      </c>
      <c r="P82" s="3262">
        <v>10</v>
      </c>
      <c r="Q82" s="807">
        <f>+$D$82</f>
        <v>10</v>
      </c>
      <c r="R82" s="1450">
        <f>((N82*$N$17)+(P82*$P$17))/$R$17</f>
        <v>10</v>
      </c>
      <c r="S82" s="3262">
        <f>+$D$82</f>
        <v>10</v>
      </c>
      <c r="T82" s="3262">
        <v>10</v>
      </c>
      <c r="U82" s="807">
        <f>+$D$82</f>
        <v>10</v>
      </c>
      <c r="V82" s="1450">
        <f>((R82*$R$17)+(T82*$T$17))/$V$17</f>
        <v>10</v>
      </c>
      <c r="W82" s="3262">
        <f>+$D$82</f>
        <v>10</v>
      </c>
      <c r="X82" s="3262">
        <v>10</v>
      </c>
      <c r="Y82" s="806">
        <f>+$D$82</f>
        <v>10</v>
      </c>
      <c r="Z82" s="2392">
        <f>((P82*$P$17)+(T82*$T$17)+(X82*$X$17))/$Z$17</f>
        <v>10</v>
      </c>
      <c r="AA82" s="808">
        <f>+$D$82</f>
        <v>10</v>
      </c>
      <c r="AB82" s="2393">
        <f>((N82*$N$17)+(Z82*$Z$17))/$AB$17</f>
        <v>10</v>
      </c>
      <c r="AC82" s="3262">
        <f>+$D$82</f>
        <v>10</v>
      </c>
      <c r="AD82" s="3262">
        <v>10</v>
      </c>
      <c r="AE82" s="807">
        <f>+$D$82</f>
        <v>10</v>
      </c>
      <c r="AF82" s="1450">
        <f>((AB82*$AB$17)+(AD82*$AD$17))/$AF$17</f>
        <v>10</v>
      </c>
      <c r="AG82" s="3262">
        <f>+$D$82</f>
        <v>10</v>
      </c>
      <c r="AH82" s="3262">
        <v>10</v>
      </c>
      <c r="AI82" s="807">
        <f>+$D$82</f>
        <v>10</v>
      </c>
      <c r="AJ82" s="1450">
        <f>((AF82*$AF$17)+(AH82*$AH$17))/$AJ$17</f>
        <v>10</v>
      </c>
      <c r="AK82" s="3262">
        <f>+$D$82</f>
        <v>10</v>
      </c>
      <c r="AL82" s="3262">
        <v>10</v>
      </c>
      <c r="AM82" s="806">
        <f>+$D$82</f>
        <v>10</v>
      </c>
      <c r="AN82" s="2392">
        <f>((AD82*$AD$17)+(AH82*$AH$17)+(AL82*$AL$17))/$AN$17</f>
        <v>10</v>
      </c>
      <c r="AO82" s="807">
        <f>+$D$82</f>
        <v>10</v>
      </c>
      <c r="AP82" s="1450">
        <f>((AJ82*$AJ$17)+(AL82*$AL$17))/$AP$17</f>
        <v>10.000000000000002</v>
      </c>
      <c r="AQ82" s="3262">
        <f>+$D$82</f>
        <v>10</v>
      </c>
      <c r="AR82" s="3262">
        <v>10</v>
      </c>
      <c r="AS82" s="807">
        <f>+$D$82</f>
        <v>10</v>
      </c>
      <c r="AT82" s="1450">
        <f>((AP82*$AP$17)+(AR82*$AR$17))/$AT$17</f>
        <v>10.000000000000002</v>
      </c>
      <c r="AU82" s="3262">
        <f>+$D$82</f>
        <v>10</v>
      </c>
      <c r="AV82" s="3262">
        <v>10</v>
      </c>
      <c r="AW82" s="807">
        <f>+$D$82</f>
        <v>10</v>
      </c>
      <c r="AX82" s="1450">
        <f>((AT82*$AT$17)+(AV82*$AV$17))/$AX$17</f>
        <v>10.000000000000002</v>
      </c>
      <c r="AY82" s="3262">
        <f>+$D$82</f>
        <v>10</v>
      </c>
      <c r="AZ82" s="3262">
        <v>10</v>
      </c>
      <c r="BA82" s="806">
        <f>+$D$82</f>
        <v>10</v>
      </c>
      <c r="BB82" s="2392">
        <f>((AR82*$AR$17)+(AV82*$AV$17)+(AZ82*$AZ$17))/$BB$17</f>
        <v>10</v>
      </c>
      <c r="BC82" s="808">
        <f>+$D$82</f>
        <v>10</v>
      </c>
      <c r="BD82" s="2393">
        <f>((AN82*$AN$17)+(BB82*$BB$17))/$BD$17</f>
        <v>10</v>
      </c>
      <c r="BE82" s="807">
        <f>+$D$82</f>
        <v>10</v>
      </c>
      <c r="BF82" s="807">
        <f t="shared" ref="BF82:BF85" si="337">((AX82*$AX$17)+(AZ82*$AZ$17))/$BF$17</f>
        <v>10.000000000000004</v>
      </c>
      <c r="BG82" s="1219"/>
      <c r="BH82" s="1219"/>
      <c r="BI82" s="1219"/>
      <c r="BJ82" s="1546"/>
      <c r="BK82" s="1546"/>
      <c r="BL82" s="26"/>
      <c r="BM82" s="26"/>
      <c r="BN82" s="26"/>
    </row>
    <row r="83" spans="1:66" ht="15.75" customHeight="1" thickBot="1" x14ac:dyDescent="0.3">
      <c r="A83" s="148"/>
      <c r="B83" s="2400" t="s">
        <v>508</v>
      </c>
      <c r="C83" s="3266" t="s">
        <v>506</v>
      </c>
      <c r="D83" s="3262">
        <v>4.2000000000000011</v>
      </c>
      <c r="E83" s="3262">
        <f>+$D$83</f>
        <v>4.2000000000000011</v>
      </c>
      <c r="F83" s="3262"/>
      <c r="G83" s="3262">
        <f>+$D$83</f>
        <v>4.2000000000000011</v>
      </c>
      <c r="H83" s="3262"/>
      <c r="I83" s="3264">
        <f>+$D$83</f>
        <v>4.2000000000000011</v>
      </c>
      <c r="J83" s="166">
        <f>((F83*$F$18)+(H83*$H$18))/$J$18</f>
        <v>0</v>
      </c>
      <c r="K83" s="3262">
        <f>+$D$83</f>
        <v>4.2000000000000011</v>
      </c>
      <c r="L83" s="3262">
        <v>0</v>
      </c>
      <c r="M83" s="806">
        <f>+$D$83</f>
        <v>4.2000000000000011</v>
      </c>
      <c r="N83" s="2392">
        <f>((F83*$F$18)+(H83*$H$18)+(L83*$L$18))/($N$18)</f>
        <v>0</v>
      </c>
      <c r="O83" s="3262">
        <f>+$D$83</f>
        <v>4.2000000000000011</v>
      </c>
      <c r="P83" s="3262">
        <v>0</v>
      </c>
      <c r="Q83" s="807">
        <f>+$D$83</f>
        <v>4.2000000000000011</v>
      </c>
      <c r="R83" s="1450">
        <f>((N83*$N$18)+(P83*$P$18))/$R$18</f>
        <v>0</v>
      </c>
      <c r="S83" s="3262">
        <f>+$D$83</f>
        <v>4.2000000000000011</v>
      </c>
      <c r="T83" s="3262">
        <v>0</v>
      </c>
      <c r="U83" s="807">
        <f>+$D$83</f>
        <v>4.2000000000000011</v>
      </c>
      <c r="V83" s="1450">
        <f>((R83*$R$18)+(T83*$T$18))/$V$18</f>
        <v>0</v>
      </c>
      <c r="W83" s="3262">
        <f>+$D$83</f>
        <v>4.2000000000000011</v>
      </c>
      <c r="X83" s="3262"/>
      <c r="Y83" s="806">
        <f>+$D$83</f>
        <v>4.2000000000000011</v>
      </c>
      <c r="Z83" s="2392">
        <f>((P83*$P$18)+(T83*$T$18)+(X83*$X$18))/$Z$18</f>
        <v>0</v>
      </c>
      <c r="AA83" s="808">
        <f>+$D$83</f>
        <v>4.2000000000000011</v>
      </c>
      <c r="AB83" s="2393">
        <f>((N83*$N$18)+(Z83*$Z$18))/$AB$18</f>
        <v>0</v>
      </c>
      <c r="AC83" s="3262">
        <f>+$D$83</f>
        <v>4.2000000000000011</v>
      </c>
      <c r="AD83" s="3262">
        <v>0</v>
      </c>
      <c r="AE83" s="807">
        <f>+$D$83</f>
        <v>4.2000000000000011</v>
      </c>
      <c r="AF83" s="1450">
        <f>((AB83*$AB$18)+(AD83*$AD$18))/$AF$18</f>
        <v>0</v>
      </c>
      <c r="AG83" s="3262">
        <f>+$D$83</f>
        <v>4.2000000000000011</v>
      </c>
      <c r="AH83" s="3262"/>
      <c r="AI83" s="807">
        <f>+$D$83</f>
        <v>4.2000000000000011</v>
      </c>
      <c r="AJ83" s="1450">
        <f>((AF83*$AF$18)+(AH83*$AH$18))/$AJ$18</f>
        <v>0</v>
      </c>
      <c r="AK83" s="3262">
        <f>+$D$83</f>
        <v>4.2000000000000011</v>
      </c>
      <c r="AL83" s="3262">
        <v>0</v>
      </c>
      <c r="AM83" s="806">
        <f>+$D$83</f>
        <v>4.2000000000000011</v>
      </c>
      <c r="AN83" s="2392">
        <f>((AD83*$AD$18)+(AH83*$AH$18)+(AL83*$AL$18))/$AN$18</f>
        <v>0</v>
      </c>
      <c r="AO83" s="807">
        <f>+$D$83</f>
        <v>4.2000000000000011</v>
      </c>
      <c r="AP83" s="1450">
        <f>((AJ83*$AJ$18)+(AL83*$AL$18))/$AP$18</f>
        <v>0</v>
      </c>
      <c r="AQ83" s="3262">
        <f>+$D$83</f>
        <v>4.2000000000000011</v>
      </c>
      <c r="AR83" s="3262">
        <v>0</v>
      </c>
      <c r="AS83" s="807">
        <f>+$D$83</f>
        <v>4.2000000000000011</v>
      </c>
      <c r="AT83" s="1450">
        <f>((AP83*$AP$18)+(AR83*$AR$18))/$AT$18</f>
        <v>0</v>
      </c>
      <c r="AU83" s="3262">
        <f>+$D$83</f>
        <v>4.2000000000000011</v>
      </c>
      <c r="AV83" s="3262"/>
      <c r="AW83" s="807">
        <f>+$D$83</f>
        <v>4.2000000000000011</v>
      </c>
      <c r="AX83" s="1450">
        <f>((AT83*$AT$18)+(AV83*$AV$18))/$AX$18</f>
        <v>0</v>
      </c>
      <c r="AY83" s="3262">
        <f>+$D$83</f>
        <v>4.2000000000000011</v>
      </c>
      <c r="AZ83" s="3262"/>
      <c r="BA83" s="806">
        <f>+$D$83</f>
        <v>4.2000000000000011</v>
      </c>
      <c r="BB83" s="2392">
        <f>((AR83*$AR$18)+(AV83*$AV$18)+(AZ83*$AZ$18))/$BB$18</f>
        <v>0</v>
      </c>
      <c r="BC83" s="808">
        <f>+$D$83</f>
        <v>4.2000000000000011</v>
      </c>
      <c r="BD83" s="2393">
        <f>((AN83*$AN$18)+(BB83*$BB$18))/$BD$18</f>
        <v>0</v>
      </c>
      <c r="BE83" s="807">
        <f>+$D$83</f>
        <v>4.2000000000000011</v>
      </c>
      <c r="BF83" s="807">
        <f>((AX83*$AX$18)+(AZ83*$AZ$18))/$BF$18</f>
        <v>0</v>
      </c>
      <c r="BG83" s="1219"/>
      <c r="BH83" s="1219"/>
      <c r="BI83" s="1219"/>
      <c r="BJ83" s="1546"/>
      <c r="BK83" s="1546"/>
      <c r="BL83" s="26"/>
      <c r="BM83" s="26"/>
      <c r="BN83" s="26"/>
    </row>
    <row r="84" spans="1:66" ht="15.75" customHeight="1" thickBot="1" x14ac:dyDescent="0.3">
      <c r="A84" s="148"/>
      <c r="B84" s="2401" t="s">
        <v>1090</v>
      </c>
      <c r="C84" s="3006" t="s">
        <v>506</v>
      </c>
      <c r="D84" s="3007">
        <f t="shared" ref="D84:AA84" si="338">+((D82*D17)+(D83*D18))/D19</f>
        <v>6.2035836649937934</v>
      </c>
      <c r="E84" s="3007">
        <f t="shared" si="338"/>
        <v>6.2463589743589756</v>
      </c>
      <c r="F84" s="3007">
        <f t="shared" si="338"/>
        <v>3.5305558517911577</v>
      </c>
      <c r="G84" s="3007">
        <f t="shared" ref="G84:H84" si="339">+((G82*G17)+(G83*G18))/G19</f>
        <v>6.2463589743589756</v>
      </c>
      <c r="H84" s="3007">
        <f t="shared" si="339"/>
        <v>3.5312260628680257</v>
      </c>
      <c r="I84" s="3009">
        <f t="shared" si="338"/>
        <v>6.2463589743589756</v>
      </c>
      <c r="J84" s="3265">
        <f>((F84*$F$19)+(H84*$H$19))/$J$19</f>
        <v>3.5308971291060178</v>
      </c>
      <c r="K84" s="3007">
        <f t="shared" ref="K84:L84" si="340">+((K82*K17)+(K83*K18))/K19</f>
        <v>6.1915135812432318</v>
      </c>
      <c r="L84" s="3007">
        <f t="shared" si="340"/>
        <v>3.4720678354069614</v>
      </c>
      <c r="M84" s="816">
        <f t="shared" si="338"/>
        <v>6.2284534486125711</v>
      </c>
      <c r="N84" s="2392">
        <f>((F84*$F$19)+(H84*$H$19)+(L84*$L$19))/($N$19)</f>
        <v>3.5114649169434831</v>
      </c>
      <c r="O84" s="3007">
        <f t="shared" ref="O84:P84" si="341">+((O82*O17)+(O83*O18))/O19</f>
        <v>6.1915135812432309</v>
      </c>
      <c r="P84" s="3007">
        <f t="shared" si="341"/>
        <v>3.444551978933621</v>
      </c>
      <c r="Q84" s="815">
        <f t="shared" si="338"/>
        <v>6.2191351647656594</v>
      </c>
      <c r="R84" s="2490">
        <f>((N84*$N$19)+(P84*$P$19))/$R$19</f>
        <v>3.4944224713079421</v>
      </c>
      <c r="S84" s="3007">
        <f t="shared" ref="S84:T84" si="342">+((S82*S17)+(S83*S18))/S19</f>
        <v>6.1915135812432309</v>
      </c>
      <c r="T84" s="3007">
        <f t="shared" si="342"/>
        <v>3.516220266433749</v>
      </c>
      <c r="U84" s="815">
        <f t="shared" ref="U84" si="343">+((U82*U17)+(U83*U18))/U19</f>
        <v>6.2135710479820077</v>
      </c>
      <c r="V84" s="2490">
        <f>((R84*$R$19)+(T84*$T$19))/$V$19</f>
        <v>3.498868822067811</v>
      </c>
      <c r="W84" s="3007">
        <f t="shared" ref="W84:X84" si="344">+((W82*W17)+(W83*W18))/W19</f>
        <v>6.2264236459938092</v>
      </c>
      <c r="X84" s="3007">
        <f t="shared" si="344"/>
        <v>3.510431920994455</v>
      </c>
      <c r="Y84" s="816">
        <f t="shared" si="338"/>
        <v>6.2026092579751779</v>
      </c>
      <c r="Z84" s="2392">
        <f>((P84*$P$19)+(T84*$T$19)+(X84*$X$19))/$Z$19</f>
        <v>3.4902881149053333</v>
      </c>
      <c r="AA84" s="808">
        <f t="shared" si="338"/>
        <v>6.2156023374214291</v>
      </c>
      <c r="AB84" s="2393">
        <f>((N84*$N$19)+(Z84*$Z$19))/$AB$19</f>
        <v>3.5007777194898022</v>
      </c>
      <c r="AC84" s="3007">
        <f t="shared" ref="AC84:AD84" si="345">+((AC82*AC17)+(AC83*AC18))/AC19</f>
        <v>6.205793094781817</v>
      </c>
      <c r="AD84" s="3007">
        <f t="shared" si="345"/>
        <v>3.5319671701767046</v>
      </c>
      <c r="AE84" s="815">
        <f t="shared" ref="AE84" si="346">+((AE82*AE17)+(AE83*AE18))/AE19</f>
        <v>6.2141629011224166</v>
      </c>
      <c r="AF84" s="2490">
        <f>((AB84*$AB$19)+(AD84*$AD$19))/$AF$19</f>
        <v>3.5052992176598781</v>
      </c>
      <c r="AG84" s="3007">
        <f t="shared" ref="AG84:AH84" si="347">+((AG82*AG17)+(AG83*AG18))/AG19</f>
        <v>6.2057930947818178</v>
      </c>
      <c r="AH84" s="3007">
        <f t="shared" si="347"/>
        <v>3.5354843209828095</v>
      </c>
      <c r="AI84" s="815">
        <f t="shared" ref="AI84" si="348">+((AI82*AI17)+(AI83*AI18))/AI19</f>
        <v>6.2131221129836547</v>
      </c>
      <c r="AJ84" s="2490">
        <f>((AF84*$AF$19)+(AH84*$AH$19))/$AJ$19</f>
        <v>3.5088862674844479</v>
      </c>
      <c r="AK84" s="3007">
        <f t="shared" ref="AK84:AL84" si="349">+((AK82*AK17)+(AK83*AK18))/AK19</f>
        <v>6.205793094781817</v>
      </c>
      <c r="AL84" s="3007">
        <f t="shared" si="349"/>
        <v>3.5169669343752261</v>
      </c>
      <c r="AM84" s="816">
        <f t="shared" ref="AM84" si="350">+((AM82*AM17)+(AM83*AM18))/AM19</f>
        <v>6.205793094781817</v>
      </c>
      <c r="AN84" s="2392">
        <f>((AD84*$AD$19)+(AH84*$AH$19)+(AL84*$AL$19))/$AN$19</f>
        <v>3.5279487311191535</v>
      </c>
      <c r="AO84" s="815">
        <f t="shared" ref="AO84" si="351">+((AO82*AO17)+(AO83*AO18))/AO19</f>
        <v>6.21228759942798</v>
      </c>
      <c r="AP84" s="1450">
        <f>((AJ84*$AJ$19)+(AL84*$AL$19))/$AP$19</f>
        <v>3.5098050402088474</v>
      </c>
      <c r="AQ84" s="3007">
        <f t="shared" ref="AQ84:AR84" si="352">+((AQ82*AQ17)+(AQ83*AQ18))/AQ19</f>
        <v>6.205793094781817</v>
      </c>
      <c r="AR84" s="3007">
        <f t="shared" si="352"/>
        <v>3.5169669343752261</v>
      </c>
      <c r="AS84" s="815">
        <f t="shared" ref="AS84" si="353">+((AS82*AS17)+(AS83*AS18))/AS19</f>
        <v>6.211623701457639</v>
      </c>
      <c r="AT84" s="2490">
        <f>((AP84*$AP$19)+(AR84*$AR$19))/$AT$19</f>
        <v>3.5105362138481491</v>
      </c>
      <c r="AU84" s="3007">
        <f t="shared" ref="AU84:AW84" si="354">+((AU82*AU17)+(AU83*AU18))/AU19</f>
        <v>6.2057930947818161</v>
      </c>
      <c r="AV84" s="3007">
        <f t="shared" si="354"/>
        <v>3.511586286435171</v>
      </c>
      <c r="AW84" s="815">
        <f t="shared" si="354"/>
        <v>6.2111308559684391</v>
      </c>
      <c r="AX84" s="2490">
        <f>((AT84*$AT$19)+(AV84*$AV$19))/$AX$19</f>
        <v>3.510624726152054</v>
      </c>
      <c r="AY84" s="3007">
        <f t="shared" ref="AY84:AZ84" si="355">+((AY82*AY17)+(AY83*AY18))/AY19</f>
        <v>6.205793094781817</v>
      </c>
      <c r="AZ84" s="3007">
        <f t="shared" si="355"/>
        <v>3.5132367623971734</v>
      </c>
      <c r="BA84" s="816">
        <f t="shared" ref="BA84:BE84" si="356">+((BA82*BA17)+(BA83*BA18))/BA19</f>
        <v>6.2057930947818178</v>
      </c>
      <c r="BB84" s="2392">
        <f>((AR84*$AR$19)+(AV84*$AV$19)+(AZ84*$AZ$19))/$BB$19</f>
        <v>3.5140091566449434</v>
      </c>
      <c r="BC84" s="808">
        <f t="shared" ref="BC84" si="357">+((BC82*BC17)+(BC83*BC18))/BC19</f>
        <v>6.2057930947818161</v>
      </c>
      <c r="BD84" s="2393">
        <f>((AN84*$AN$19)+(BB84*$BB$19))/$BD$19</f>
        <v>3.5210021286729773</v>
      </c>
      <c r="BE84" s="815">
        <f t="shared" si="356"/>
        <v>6.2106740752408802</v>
      </c>
      <c r="BF84" s="815">
        <f>((AX84*$AX$19)+(AZ84*$AZ$19))/$BF$19</f>
        <v>3.5108482567412569</v>
      </c>
      <c r="BG84" s="1219"/>
      <c r="BH84" s="1219"/>
      <c r="BI84" s="1219"/>
      <c r="BJ84" s="1546"/>
      <c r="BK84" s="1546"/>
      <c r="BL84" s="26"/>
      <c r="BM84" s="26"/>
      <c r="BN84" s="26"/>
    </row>
    <row r="85" spans="1:66" ht="15.75" customHeight="1" x14ac:dyDescent="0.3">
      <c r="A85" s="148"/>
      <c r="B85" s="2402" t="s">
        <v>505</v>
      </c>
      <c r="C85" s="3006" t="s">
        <v>506</v>
      </c>
      <c r="D85" s="3007">
        <v>4.2000000000000011</v>
      </c>
      <c r="E85" s="3007">
        <f>+$D$85</f>
        <v>4.2000000000000011</v>
      </c>
      <c r="F85" s="3007">
        <v>0</v>
      </c>
      <c r="G85" s="3007">
        <f>+$D$85</f>
        <v>4.2000000000000011</v>
      </c>
      <c r="H85" s="3007">
        <v>0</v>
      </c>
      <c r="I85" s="3009">
        <f>+$D$85</f>
        <v>4.2000000000000011</v>
      </c>
      <c r="J85" s="3265">
        <f>((F85*$F$17)+(H85*$H$17))/$J$17</f>
        <v>0</v>
      </c>
      <c r="K85" s="3007">
        <f>+$D$85</f>
        <v>4.2000000000000011</v>
      </c>
      <c r="L85" s="3007">
        <v>0</v>
      </c>
      <c r="M85" s="816">
        <f>+$D$85</f>
        <v>4.2000000000000011</v>
      </c>
      <c r="N85" s="2392">
        <f>((F85*$F$17)+(H85*$H$17)+(L85*$L$17))/$N$17</f>
        <v>0</v>
      </c>
      <c r="O85" s="3007">
        <f>+$D$85</f>
        <v>4.2000000000000011</v>
      </c>
      <c r="P85" s="3007">
        <v>0</v>
      </c>
      <c r="Q85" s="815">
        <f>+$D$85</f>
        <v>4.2000000000000011</v>
      </c>
      <c r="R85" s="2490">
        <f>((N85*$N$17)+(P85*$P$17))/$R$17</f>
        <v>0</v>
      </c>
      <c r="S85" s="3007">
        <f>+$D$85</f>
        <v>4.2000000000000011</v>
      </c>
      <c r="T85" s="3007">
        <v>0</v>
      </c>
      <c r="U85" s="815">
        <f>+$D$85</f>
        <v>4.2000000000000011</v>
      </c>
      <c r="V85" s="2490">
        <f>((R85*$R$17)+(T85*$T$17))/$V$17</f>
        <v>0</v>
      </c>
      <c r="W85" s="3007">
        <f>+$D$85</f>
        <v>4.2000000000000011</v>
      </c>
      <c r="X85" s="3007">
        <v>0</v>
      </c>
      <c r="Y85" s="816">
        <f>+$D$85</f>
        <v>4.2000000000000011</v>
      </c>
      <c r="Z85" s="2392">
        <f>((P85*$P$17)+(T85*$T$17)+(X85*$X$17))/$Z$17</f>
        <v>0</v>
      </c>
      <c r="AA85" s="808">
        <f>+$D$85</f>
        <v>4.2000000000000011</v>
      </c>
      <c r="AB85" s="2393">
        <f>((N85*$N$17)+(Z85*$Z$17))/$AB$17</f>
        <v>0</v>
      </c>
      <c r="AC85" s="3007">
        <f>+$D$85</f>
        <v>4.2000000000000011</v>
      </c>
      <c r="AD85" s="3007">
        <v>0</v>
      </c>
      <c r="AE85" s="815">
        <f>+$D$85</f>
        <v>4.2000000000000011</v>
      </c>
      <c r="AF85" s="2490">
        <f>((AB85*$F$17)+(AD85*$H$17))/$J$17</f>
        <v>0</v>
      </c>
      <c r="AG85" s="3007">
        <f>+$D$85</f>
        <v>4.2000000000000011</v>
      </c>
      <c r="AH85" s="3007">
        <v>0</v>
      </c>
      <c r="AI85" s="815">
        <f>+$D$85</f>
        <v>4.2000000000000011</v>
      </c>
      <c r="AJ85" s="2490">
        <f>((AF85*$AF$17)+(AH85*$AH$17))/$AJ$17</f>
        <v>0</v>
      </c>
      <c r="AK85" s="3007">
        <f>+$D$85</f>
        <v>4.2000000000000011</v>
      </c>
      <c r="AL85" s="3007">
        <v>0</v>
      </c>
      <c r="AM85" s="816">
        <f>+$D$85</f>
        <v>4.2000000000000011</v>
      </c>
      <c r="AN85" s="2392">
        <f>((AD85*$AD$17)+(AH85*$AH$17)+(AL85*$AL$17))/$AN$17</f>
        <v>0</v>
      </c>
      <c r="AO85" s="815">
        <f>+$D$85</f>
        <v>4.2000000000000011</v>
      </c>
      <c r="AP85" s="1450">
        <f>((AJ85*$AJ$17)+(AL85*$AL$17))/$AP$17</f>
        <v>0</v>
      </c>
      <c r="AQ85" s="3007">
        <f>+$D$85</f>
        <v>4.2000000000000011</v>
      </c>
      <c r="AR85" s="3007">
        <v>0</v>
      </c>
      <c r="AS85" s="815">
        <f>+$D$85</f>
        <v>4.2000000000000011</v>
      </c>
      <c r="AT85" s="2490">
        <f>((AP85*$AP$17)+(AR85*$AR$17))/$AT$17</f>
        <v>0</v>
      </c>
      <c r="AU85" s="3007">
        <f>+$D$85</f>
        <v>4.2000000000000011</v>
      </c>
      <c r="AV85" s="3007">
        <v>0</v>
      </c>
      <c r="AW85" s="815">
        <f>+$D$85</f>
        <v>4.2000000000000011</v>
      </c>
      <c r="AX85" s="2490">
        <f>((AT85*$AT$17)+(AV85*$AV$17))/$AX$17</f>
        <v>0</v>
      </c>
      <c r="AY85" s="3007">
        <f>+$D$85</f>
        <v>4.2000000000000011</v>
      </c>
      <c r="AZ85" s="3007">
        <v>0</v>
      </c>
      <c r="BA85" s="816">
        <f>+$D$85</f>
        <v>4.2000000000000011</v>
      </c>
      <c r="BB85" s="2392">
        <f>((AR85*$AR$17)+(AV85*$AV$17)+(AZ85*$AZ$17))/$BB$17</f>
        <v>0</v>
      </c>
      <c r="BC85" s="2377">
        <f>+$D$85</f>
        <v>4.2000000000000011</v>
      </c>
      <c r="BD85" s="2622">
        <f>((AN85*$AN$17)+(BB85*$BB$17))/$BD$17</f>
        <v>0</v>
      </c>
      <c r="BE85" s="815">
        <f>+$D$85</f>
        <v>4.2000000000000011</v>
      </c>
      <c r="BF85" s="815">
        <f t="shared" si="337"/>
        <v>0</v>
      </c>
      <c r="BG85" s="1219"/>
      <c r="BH85" s="1219"/>
      <c r="BI85" s="1219"/>
      <c r="BJ85" s="1546"/>
      <c r="BK85" s="1546"/>
      <c r="BL85" s="26"/>
      <c r="BM85" s="26"/>
      <c r="BN85" s="26"/>
    </row>
    <row r="86" spans="1:66" ht="14.45" x14ac:dyDescent="0.3">
      <c r="B86" s="2403" t="s">
        <v>189</v>
      </c>
      <c r="C86" s="2656" t="s">
        <v>50</v>
      </c>
      <c r="D86" s="2933">
        <v>120</v>
      </c>
      <c r="E86" s="2933">
        <v>10</v>
      </c>
      <c r="F86" s="2933">
        <v>3</v>
      </c>
      <c r="G86" s="2933">
        <v>10</v>
      </c>
      <c r="H86" s="2933">
        <v>5</v>
      </c>
      <c r="I86" s="3202">
        <f t="shared" ref="I86:J88" si="358">+E86+G86</f>
        <v>20</v>
      </c>
      <c r="J86" s="107">
        <f t="shared" si="358"/>
        <v>8</v>
      </c>
      <c r="K86" s="2933">
        <v>10</v>
      </c>
      <c r="L86" s="2933">
        <v>10</v>
      </c>
      <c r="M86" s="353">
        <f t="shared" ref="M86:N88" si="359">+E86+G86+K86</f>
        <v>30</v>
      </c>
      <c r="N86" s="353">
        <f t="shared" si="359"/>
        <v>18</v>
      </c>
      <c r="O86" s="2933">
        <v>10</v>
      </c>
      <c r="P86" s="2933">
        <v>5</v>
      </c>
      <c r="Q86" s="266">
        <f t="shared" ref="Q86:R88" si="360">+M86+O86</f>
        <v>40</v>
      </c>
      <c r="R86" s="266">
        <f t="shared" si="360"/>
        <v>23</v>
      </c>
      <c r="S86" s="2933">
        <v>10</v>
      </c>
      <c r="T86" s="2933">
        <v>6</v>
      </c>
      <c r="U86" s="266">
        <f t="shared" ref="U86:U88" si="361">+Q86+S86</f>
        <v>50</v>
      </c>
      <c r="V86" s="266">
        <f t="shared" ref="V86:V88" si="362">+R86+T86</f>
        <v>29</v>
      </c>
      <c r="W86" s="2933">
        <v>10</v>
      </c>
      <c r="X86" s="2933">
        <v>10</v>
      </c>
      <c r="Y86" s="353">
        <f t="shared" ref="Y86:Z88" si="363">+O86+S86+W86</f>
        <v>30</v>
      </c>
      <c r="Z86" s="353">
        <f t="shared" si="363"/>
        <v>21</v>
      </c>
      <c r="AA86" s="466">
        <f t="shared" ref="AA86:AB88" si="364">+M86+Y86</f>
        <v>60</v>
      </c>
      <c r="AB86" s="474">
        <f t="shared" si="364"/>
        <v>39</v>
      </c>
      <c r="AC86" s="2933">
        <v>10</v>
      </c>
      <c r="AD86" s="2933">
        <v>7</v>
      </c>
      <c r="AE86" s="266">
        <f t="shared" ref="AE86:AE88" si="365">+AA86+AC86</f>
        <v>70</v>
      </c>
      <c r="AF86" s="266">
        <f t="shared" ref="AF86:AF88" si="366">+AB86+AD86</f>
        <v>46</v>
      </c>
      <c r="AG86" s="2933">
        <v>10</v>
      </c>
      <c r="AH86" s="2933">
        <v>3.5</v>
      </c>
      <c r="AI86" s="266">
        <f t="shared" ref="AI86:AI88" si="367">+AE86+AG86</f>
        <v>80</v>
      </c>
      <c r="AJ86" s="266">
        <f t="shared" ref="AJ86:AJ88" si="368">+AF86+AH86</f>
        <v>49.5</v>
      </c>
      <c r="AK86" s="2933">
        <v>10</v>
      </c>
      <c r="AL86" s="2933">
        <v>3</v>
      </c>
      <c r="AM86" s="353">
        <f t="shared" ref="AM86:AM88" si="369">+AC86+AG86+AK86</f>
        <v>30</v>
      </c>
      <c r="AN86" s="353">
        <f t="shared" ref="AN86:AN88" si="370">+AD86+AH86+AL86</f>
        <v>13.5</v>
      </c>
      <c r="AO86" s="760">
        <f t="shared" ref="AO86" si="371">AI86+AK86</f>
        <v>90</v>
      </c>
      <c r="AP86" s="760">
        <f t="shared" ref="AP86" si="372">AJ86+AL86</f>
        <v>52.5</v>
      </c>
      <c r="AQ86" s="2933">
        <v>10</v>
      </c>
      <c r="AR86" s="2933">
        <v>4</v>
      </c>
      <c r="AS86" s="266">
        <f t="shared" ref="AS86:AS88" si="373">+AO86+AQ86</f>
        <v>100</v>
      </c>
      <c r="AT86" s="266">
        <f t="shared" ref="AT86:AT88" si="374">+AP86+AR86</f>
        <v>56.5</v>
      </c>
      <c r="AU86" s="2933">
        <v>10</v>
      </c>
      <c r="AV86" s="2933">
        <v>7</v>
      </c>
      <c r="AW86" s="266">
        <f t="shared" ref="AW86:AW88" si="375">+AS86+AU86</f>
        <v>110</v>
      </c>
      <c r="AX86" s="266">
        <f t="shared" ref="AX86:AX88" si="376">+AT86+AV86</f>
        <v>63.5</v>
      </c>
      <c r="AY86" s="2933">
        <v>10</v>
      </c>
      <c r="AZ86" s="2933">
        <v>5</v>
      </c>
      <c r="BA86" s="353">
        <f t="shared" ref="BA86:BA88" si="377">+AQ86+AU86+AY86</f>
        <v>30</v>
      </c>
      <c r="BB86" s="353">
        <f t="shared" ref="BB86:BB88" si="378">+AR86+AV86+AZ86</f>
        <v>16</v>
      </c>
      <c r="BC86" s="2513">
        <f t="shared" ref="BC86:BC88" si="379">+AM86+BA86</f>
        <v>60</v>
      </c>
      <c r="BD86" s="2513">
        <f t="shared" ref="BD86:BD88" si="380">+AN86+BB86</f>
        <v>29.5</v>
      </c>
      <c r="BE86" s="266">
        <f t="shared" ref="BE86:BE88" si="381">+AW86+AY86</f>
        <v>120</v>
      </c>
      <c r="BF86" s="266">
        <f t="shared" ref="BF86:BF88" si="382">+AX86+AZ86</f>
        <v>68.5</v>
      </c>
      <c r="BG86" s="1219"/>
      <c r="BH86" s="1219"/>
      <c r="BI86" s="1219"/>
      <c r="BJ86" s="1546"/>
      <c r="BK86" s="1546"/>
      <c r="BL86" s="26"/>
      <c r="BM86" s="26"/>
      <c r="BN86" s="26"/>
    </row>
    <row r="87" spans="1:66" ht="14.45" x14ac:dyDescent="0.3">
      <c r="B87" s="2403" t="s">
        <v>190</v>
      </c>
      <c r="C87" s="2656" t="s">
        <v>50</v>
      </c>
      <c r="D87" s="2933">
        <v>24</v>
      </c>
      <c r="E87" s="2933">
        <v>2</v>
      </c>
      <c r="F87" s="2936">
        <v>4</v>
      </c>
      <c r="G87" s="2933">
        <v>2</v>
      </c>
      <c r="H87" s="2936">
        <v>2</v>
      </c>
      <c r="I87" s="3202">
        <f t="shared" si="358"/>
        <v>4</v>
      </c>
      <c r="J87" s="107">
        <f t="shared" si="358"/>
        <v>6</v>
      </c>
      <c r="K87" s="2933">
        <v>2</v>
      </c>
      <c r="L87" s="2936">
        <v>2</v>
      </c>
      <c r="M87" s="353">
        <f t="shared" si="359"/>
        <v>6</v>
      </c>
      <c r="N87" s="353">
        <f t="shared" si="359"/>
        <v>8</v>
      </c>
      <c r="O87" s="2933">
        <v>2</v>
      </c>
      <c r="P87" s="2936">
        <v>2</v>
      </c>
      <c r="Q87" s="266">
        <f t="shared" si="360"/>
        <v>8</v>
      </c>
      <c r="R87" s="266">
        <f t="shared" si="360"/>
        <v>10</v>
      </c>
      <c r="S87" s="2933">
        <v>2</v>
      </c>
      <c r="T87" s="2936">
        <v>2</v>
      </c>
      <c r="U87" s="266">
        <f t="shared" si="361"/>
        <v>10</v>
      </c>
      <c r="V87" s="266">
        <f t="shared" si="362"/>
        <v>12</v>
      </c>
      <c r="W87" s="2933">
        <v>2</v>
      </c>
      <c r="X87" s="2936">
        <v>2.5</v>
      </c>
      <c r="Y87" s="353">
        <f t="shared" si="363"/>
        <v>6</v>
      </c>
      <c r="Z87" s="353">
        <f t="shared" si="363"/>
        <v>6.5</v>
      </c>
      <c r="AA87" s="466">
        <f t="shared" si="364"/>
        <v>12</v>
      </c>
      <c r="AB87" s="474">
        <f t="shared" si="364"/>
        <v>14.5</v>
      </c>
      <c r="AC87" s="2933">
        <v>0</v>
      </c>
      <c r="AD87" s="2936">
        <v>0</v>
      </c>
      <c r="AE87" s="266">
        <f t="shared" si="365"/>
        <v>12</v>
      </c>
      <c r="AF87" s="266">
        <f t="shared" si="366"/>
        <v>14.5</v>
      </c>
      <c r="AG87" s="2933">
        <v>0</v>
      </c>
      <c r="AH87" s="2936">
        <v>0</v>
      </c>
      <c r="AI87" s="266">
        <f t="shared" si="367"/>
        <v>12</v>
      </c>
      <c r="AJ87" s="266">
        <f t="shared" si="368"/>
        <v>14.5</v>
      </c>
      <c r="AK87" s="2933">
        <v>0</v>
      </c>
      <c r="AL87" s="2936">
        <v>2</v>
      </c>
      <c r="AM87" s="353">
        <f t="shared" si="369"/>
        <v>0</v>
      </c>
      <c r="AN87" s="353">
        <f t="shared" si="370"/>
        <v>2</v>
      </c>
      <c r="AO87" s="760">
        <f t="shared" ref="AO87:AO88" si="383">AI87+AK87</f>
        <v>12</v>
      </c>
      <c r="AP87" s="760">
        <f t="shared" ref="AP87:AP88" si="384">AJ87+AL87</f>
        <v>16.5</v>
      </c>
      <c r="AQ87" s="2933">
        <v>0</v>
      </c>
      <c r="AR87" s="2936">
        <v>2</v>
      </c>
      <c r="AS87" s="266">
        <f t="shared" si="373"/>
        <v>12</v>
      </c>
      <c r="AT87" s="266">
        <f t="shared" si="374"/>
        <v>18.5</v>
      </c>
      <c r="AU87" s="2933">
        <v>0</v>
      </c>
      <c r="AV87" s="2936">
        <v>2</v>
      </c>
      <c r="AW87" s="266">
        <f t="shared" si="375"/>
        <v>12</v>
      </c>
      <c r="AX87" s="266">
        <f t="shared" si="376"/>
        <v>20.5</v>
      </c>
      <c r="AY87" s="2933">
        <v>0</v>
      </c>
      <c r="AZ87" s="2936">
        <v>2</v>
      </c>
      <c r="BA87" s="353">
        <f t="shared" si="377"/>
        <v>0</v>
      </c>
      <c r="BB87" s="353">
        <f t="shared" si="378"/>
        <v>6</v>
      </c>
      <c r="BC87" s="2513">
        <f t="shared" si="379"/>
        <v>0</v>
      </c>
      <c r="BD87" s="2513">
        <f t="shared" si="380"/>
        <v>8</v>
      </c>
      <c r="BE87" s="266">
        <f t="shared" si="381"/>
        <v>12</v>
      </c>
      <c r="BF87" s="266">
        <f t="shared" si="382"/>
        <v>22.5</v>
      </c>
      <c r="BG87" s="1219"/>
      <c r="BH87" s="1219"/>
      <c r="BI87" s="1219"/>
      <c r="BJ87" s="1546"/>
      <c r="BK87" s="1546"/>
      <c r="BL87" s="26"/>
      <c r="BM87" s="26"/>
      <c r="BN87" s="26"/>
    </row>
    <row r="88" spans="1:66" thickBot="1" x14ac:dyDescent="0.35">
      <c r="B88" s="2404" t="s">
        <v>191</v>
      </c>
      <c r="C88" s="893" t="s">
        <v>50</v>
      </c>
      <c r="D88" s="1451">
        <v>15</v>
      </c>
      <c r="E88" s="1451">
        <v>1</v>
      </c>
      <c r="F88" s="1451">
        <v>0</v>
      </c>
      <c r="G88" s="1451">
        <v>1</v>
      </c>
      <c r="H88" s="1451">
        <v>0</v>
      </c>
      <c r="I88" s="593">
        <f t="shared" si="358"/>
        <v>2</v>
      </c>
      <c r="J88" s="131">
        <f t="shared" si="358"/>
        <v>0</v>
      </c>
      <c r="K88" s="1451">
        <v>1</v>
      </c>
      <c r="L88" s="1451">
        <v>0</v>
      </c>
      <c r="M88" s="594">
        <f t="shared" si="359"/>
        <v>3</v>
      </c>
      <c r="N88" s="594">
        <f t="shared" si="359"/>
        <v>0</v>
      </c>
      <c r="O88" s="1451">
        <v>1</v>
      </c>
      <c r="P88" s="1451">
        <v>0</v>
      </c>
      <c r="Q88" s="593">
        <f t="shared" si="360"/>
        <v>4</v>
      </c>
      <c r="R88" s="593">
        <f t="shared" si="360"/>
        <v>0</v>
      </c>
      <c r="S88" s="1451">
        <v>1</v>
      </c>
      <c r="T88" s="1451">
        <v>0</v>
      </c>
      <c r="U88" s="593">
        <f t="shared" si="361"/>
        <v>5</v>
      </c>
      <c r="V88" s="593">
        <f t="shared" si="362"/>
        <v>0</v>
      </c>
      <c r="W88" s="1451">
        <v>1</v>
      </c>
      <c r="X88" s="1451">
        <v>0</v>
      </c>
      <c r="Y88" s="594">
        <f t="shared" si="363"/>
        <v>3</v>
      </c>
      <c r="Z88" s="594">
        <f t="shared" si="363"/>
        <v>0</v>
      </c>
      <c r="AA88" s="619">
        <f t="shared" si="364"/>
        <v>6</v>
      </c>
      <c r="AB88" s="492">
        <f t="shared" si="364"/>
        <v>0</v>
      </c>
      <c r="AC88" s="1451">
        <v>20</v>
      </c>
      <c r="AD88" s="1451">
        <v>0</v>
      </c>
      <c r="AE88" s="593">
        <f t="shared" si="365"/>
        <v>26</v>
      </c>
      <c r="AF88" s="593">
        <f t="shared" si="366"/>
        <v>0</v>
      </c>
      <c r="AG88" s="1451">
        <v>20</v>
      </c>
      <c r="AH88" s="1451">
        <v>0</v>
      </c>
      <c r="AI88" s="593">
        <f t="shared" si="367"/>
        <v>46</v>
      </c>
      <c r="AJ88" s="593">
        <f t="shared" si="368"/>
        <v>0</v>
      </c>
      <c r="AK88" s="1451">
        <v>20</v>
      </c>
      <c r="AL88" s="1451">
        <v>0</v>
      </c>
      <c r="AM88" s="594">
        <f t="shared" si="369"/>
        <v>60</v>
      </c>
      <c r="AN88" s="594">
        <f t="shared" si="370"/>
        <v>0</v>
      </c>
      <c r="AO88" s="760">
        <f t="shared" si="383"/>
        <v>66</v>
      </c>
      <c r="AP88" s="760">
        <f t="shared" si="384"/>
        <v>0</v>
      </c>
      <c r="AQ88" s="1451">
        <v>20</v>
      </c>
      <c r="AR88" s="1451">
        <v>0</v>
      </c>
      <c r="AS88" s="593">
        <f t="shared" si="373"/>
        <v>86</v>
      </c>
      <c r="AT88" s="593">
        <f t="shared" si="374"/>
        <v>0</v>
      </c>
      <c r="AU88" s="1451">
        <v>20</v>
      </c>
      <c r="AV88" s="1451">
        <v>0</v>
      </c>
      <c r="AW88" s="593">
        <f t="shared" si="375"/>
        <v>106</v>
      </c>
      <c r="AX88" s="593">
        <f t="shared" si="376"/>
        <v>0</v>
      </c>
      <c r="AY88" s="1451">
        <v>20</v>
      </c>
      <c r="AZ88" s="1451">
        <v>0</v>
      </c>
      <c r="BA88" s="594">
        <f t="shared" si="377"/>
        <v>60</v>
      </c>
      <c r="BB88" s="594">
        <f t="shared" si="378"/>
        <v>0</v>
      </c>
      <c r="BC88" s="2513">
        <f t="shared" si="379"/>
        <v>120</v>
      </c>
      <c r="BD88" s="2513">
        <f t="shared" si="380"/>
        <v>0</v>
      </c>
      <c r="BE88" s="593">
        <f t="shared" si="381"/>
        <v>126</v>
      </c>
      <c r="BF88" s="593">
        <f t="shared" si="382"/>
        <v>0</v>
      </c>
      <c r="BG88" s="1219"/>
      <c r="BH88" s="1219"/>
      <c r="BI88" s="1219"/>
      <c r="BJ88" s="1546"/>
      <c r="BK88" s="1546"/>
      <c r="BL88" s="26"/>
      <c r="BM88" s="26"/>
      <c r="BN88" s="26"/>
    </row>
    <row r="89" spans="1:66" ht="18" thickBot="1" x14ac:dyDescent="0.35">
      <c r="A89" s="148"/>
      <c r="B89" s="862" t="s">
        <v>785</v>
      </c>
      <c r="C89" s="1834"/>
      <c r="D89" s="533"/>
      <c r="E89" s="533"/>
      <c r="F89" s="533"/>
      <c r="G89" s="533"/>
      <c r="H89" s="533"/>
      <c r="I89" s="533"/>
      <c r="J89" s="533"/>
      <c r="K89" s="533"/>
      <c r="L89" s="533"/>
      <c r="M89" s="533"/>
      <c r="N89" s="533"/>
      <c r="O89" s="533"/>
      <c r="P89" s="533"/>
      <c r="Q89" s="533"/>
      <c r="R89" s="533"/>
      <c r="S89" s="533"/>
      <c r="T89" s="533"/>
      <c r="U89" s="533"/>
      <c r="V89" s="533"/>
      <c r="W89" s="533"/>
      <c r="X89" s="533"/>
      <c r="Y89" s="533"/>
      <c r="Z89" s="533"/>
      <c r="AA89" s="533"/>
      <c r="AB89" s="533"/>
      <c r="AC89" s="533"/>
      <c r="AD89" s="533"/>
      <c r="AE89" s="533"/>
      <c r="AF89" s="533"/>
      <c r="AG89" s="533"/>
      <c r="AH89" s="533"/>
      <c r="AI89" s="533"/>
      <c r="AJ89" s="533"/>
      <c r="AK89" s="533"/>
      <c r="AL89" s="533"/>
      <c r="AM89" s="533"/>
      <c r="AN89" s="533"/>
      <c r="AO89" s="533"/>
      <c r="AP89" s="533"/>
      <c r="AQ89" s="533"/>
      <c r="AR89" s="533"/>
      <c r="AS89" s="533"/>
      <c r="AT89" s="533"/>
      <c r="AU89" s="533"/>
      <c r="AV89" s="533"/>
      <c r="AW89" s="533"/>
      <c r="AX89" s="533"/>
      <c r="AY89" s="533"/>
      <c r="AZ89" s="533"/>
      <c r="BA89" s="533"/>
      <c r="BB89" s="533"/>
      <c r="BC89" s="533"/>
      <c r="BD89" s="533"/>
      <c r="BE89" s="533"/>
      <c r="BF89" s="533"/>
      <c r="BG89" s="1219"/>
      <c r="BH89" s="1219"/>
      <c r="BI89" s="1219"/>
      <c r="BJ89" s="1546"/>
      <c r="BK89" s="1546"/>
      <c r="BL89" s="26"/>
      <c r="BM89" s="26"/>
      <c r="BN89" s="26"/>
    </row>
    <row r="90" spans="1:66" ht="17.45" x14ac:dyDescent="0.3">
      <c r="A90" s="148"/>
      <c r="B90" s="1843" t="s">
        <v>646</v>
      </c>
      <c r="C90" s="1841"/>
      <c r="D90" s="1841"/>
      <c r="E90" s="1841"/>
      <c r="F90" s="1841"/>
      <c r="G90" s="1841"/>
      <c r="H90" s="1841"/>
      <c r="I90" s="1841"/>
      <c r="J90" s="1841"/>
      <c r="K90" s="1841"/>
      <c r="L90" s="1841"/>
      <c r="M90" s="1841"/>
      <c r="N90" s="1841"/>
      <c r="O90" s="1841"/>
      <c r="P90" s="1841"/>
      <c r="Q90" s="1841"/>
      <c r="R90" s="1841"/>
      <c r="S90" s="1841"/>
      <c r="T90" s="1841"/>
      <c r="U90" s="1841"/>
      <c r="V90" s="1841"/>
      <c r="W90" s="1841"/>
      <c r="X90" s="1841"/>
      <c r="Y90" s="1841"/>
      <c r="Z90" s="1841"/>
      <c r="AA90" s="1841"/>
      <c r="AB90" s="1842"/>
      <c r="AC90" s="1841"/>
      <c r="AD90" s="1841"/>
      <c r="AE90" s="1841"/>
      <c r="AF90" s="1842"/>
      <c r="AG90" s="1841"/>
      <c r="AH90" s="1841"/>
      <c r="AI90" s="1841"/>
      <c r="AJ90" s="1842"/>
      <c r="AK90" s="1841"/>
      <c r="AL90" s="1841"/>
      <c r="AM90" s="1841"/>
      <c r="AN90" s="1841"/>
      <c r="AO90" s="1841"/>
      <c r="AP90" s="1842"/>
      <c r="AQ90" s="1841"/>
      <c r="AR90" s="1841"/>
      <c r="AS90" s="1841"/>
      <c r="AT90" s="1842"/>
      <c r="AU90" s="1841"/>
      <c r="AV90" s="1841"/>
      <c r="AW90" s="1841"/>
      <c r="AX90" s="1842"/>
      <c r="AY90" s="1841"/>
      <c r="AZ90" s="1841"/>
      <c r="BA90" s="1841"/>
      <c r="BB90" s="1841"/>
      <c r="BC90" s="1841"/>
      <c r="BD90" s="1842"/>
      <c r="BE90" s="1841"/>
      <c r="BF90" s="1842"/>
      <c r="BG90" s="1219"/>
      <c r="BH90" s="1219"/>
      <c r="BI90" s="1219"/>
      <c r="BJ90" s="1546"/>
      <c r="BK90" s="1546"/>
      <c r="BL90" s="26"/>
      <c r="BM90" s="26"/>
      <c r="BN90" s="26"/>
    </row>
    <row r="91" spans="1:66" ht="14.45" x14ac:dyDescent="0.3">
      <c r="B91" s="1846" t="s">
        <v>2198</v>
      </c>
      <c r="C91" s="1394" t="s">
        <v>50</v>
      </c>
      <c r="D91" s="2260">
        <v>290757.62051282049</v>
      </c>
      <c r="E91" s="1134">
        <v>24779.760683760684</v>
      </c>
      <c r="F91" s="1201">
        <v>22926.799999999999</v>
      </c>
      <c r="G91" s="1134">
        <v>25605.752706552707</v>
      </c>
      <c r="H91" s="1201">
        <v>23577.599999999999</v>
      </c>
      <c r="I91" s="782">
        <f t="shared" ref="I91:J93" si="385">+E91+G91</f>
        <v>50385.51339031339</v>
      </c>
      <c r="J91" s="39">
        <f t="shared" si="385"/>
        <v>46504.399999999994</v>
      </c>
      <c r="K91" s="1134">
        <v>23768.341880341883</v>
      </c>
      <c r="L91" s="1201">
        <v>22768.376399999997</v>
      </c>
      <c r="M91" s="781">
        <f t="shared" ref="M91:N93" si="386">+E91+G91+K91</f>
        <v>74153.855270655273</v>
      </c>
      <c r="N91" s="781">
        <f t="shared" si="386"/>
        <v>69272.776399999988</v>
      </c>
      <c r="O91" s="1134">
        <v>24560.619943019945</v>
      </c>
      <c r="P91" s="1201">
        <v>24598.727999999999</v>
      </c>
      <c r="Q91" s="782">
        <f t="shared" ref="Q91:R93" si="387">+M91+O91</f>
        <v>98714.475213675221</v>
      </c>
      <c r="R91" s="39">
        <f t="shared" si="387"/>
        <v>93871.504399999991</v>
      </c>
      <c r="S91" s="1134">
        <v>24560.619943019945</v>
      </c>
      <c r="T91" s="1201">
        <v>25264.007999999998</v>
      </c>
      <c r="U91" s="782">
        <f t="shared" ref="U91:U96" si="388">+Q91+S91</f>
        <v>123275.09515669517</v>
      </c>
      <c r="V91" s="39">
        <f t="shared" ref="V91:V96" si="389">+R91+T91</f>
        <v>119135.51239999999</v>
      </c>
      <c r="W91" s="1134">
        <v>23287.91794871795</v>
      </c>
      <c r="X91" s="1201">
        <v>24449.039999999997</v>
      </c>
      <c r="Y91" s="781">
        <f t="shared" ref="Y91:Z96" si="390">+O91+S91+W91</f>
        <v>72409.157834757847</v>
      </c>
      <c r="Z91" s="781">
        <f t="shared" si="390"/>
        <v>74311.775999999998</v>
      </c>
      <c r="AA91" s="465">
        <f>+M91+Y91</f>
        <v>146563.01310541312</v>
      </c>
      <c r="AB91" s="454">
        <f>+N91+Z91</f>
        <v>143584.55239999999</v>
      </c>
      <c r="AC91" s="1134">
        <v>29429.372474085598</v>
      </c>
      <c r="AD91" s="1201">
        <v>25318</v>
      </c>
      <c r="AE91" s="782">
        <f t="shared" ref="AE91:AE96" si="391">+AA91+AC91</f>
        <v>175992.38557949872</v>
      </c>
      <c r="AF91" s="39">
        <f t="shared" ref="AF91:AF96" si="392">+AB91+AD91</f>
        <v>168902.55239999999</v>
      </c>
      <c r="AG91" s="1134">
        <v>28480.037878147352</v>
      </c>
      <c r="AH91" s="1201">
        <v>23526</v>
      </c>
      <c r="AI91" s="782">
        <f t="shared" ref="AI91:AI96" si="393">+AE91+AG91</f>
        <v>204472.42345764607</v>
      </c>
      <c r="AJ91" s="39">
        <f t="shared" ref="AJ91:AJ96" si="394">+AF91+AH91</f>
        <v>192428.55239999999</v>
      </c>
      <c r="AK91" s="1134">
        <v>29429.372474085598</v>
      </c>
      <c r="AL91" s="1201">
        <v>25264</v>
      </c>
      <c r="AM91" s="781">
        <f t="shared" ref="AM91:AM96" si="395">+AC91+AG91+AK91</f>
        <v>87338.782826318551</v>
      </c>
      <c r="AN91" s="781">
        <f t="shared" ref="AN91:AN96" si="396">+AD91+AH91+AL91</f>
        <v>74108</v>
      </c>
      <c r="AO91" s="760">
        <f t="shared" ref="AO91:AP91" si="397">AI91+AK91</f>
        <v>233901.79593173167</v>
      </c>
      <c r="AP91" s="760">
        <f t="shared" si="397"/>
        <v>217692.55239999999</v>
      </c>
      <c r="AQ91" s="1134">
        <v>29429.372474085598</v>
      </c>
      <c r="AR91" s="1201">
        <v>27505.200000000001</v>
      </c>
      <c r="AS91" s="782">
        <f t="shared" ref="AS91:AS96" si="398">+AO91+AQ91</f>
        <v>263331.16840581724</v>
      </c>
      <c r="AT91" s="39">
        <f t="shared" ref="AT91:AT96" si="399">+AP91+AR91</f>
        <v>245197.7524</v>
      </c>
      <c r="AU91" s="1134">
        <v>26581.368686270864</v>
      </c>
      <c r="AV91" s="1201">
        <v>24405.772499999995</v>
      </c>
      <c r="AW91" s="782">
        <f t="shared" ref="AW91:AW96" si="400">+AS91+AU91</f>
        <v>289912.53709208808</v>
      </c>
      <c r="AX91" s="39">
        <f t="shared" ref="AX91:AX96" si="401">+AT91+AV91</f>
        <v>269603.52490000002</v>
      </c>
      <c r="AY91" s="1134">
        <v>29429.372474085598</v>
      </c>
      <c r="AZ91" s="1201">
        <v>25078.788</v>
      </c>
      <c r="BA91" s="781">
        <f t="shared" ref="BA91:BA93" si="402">+AQ91+AU91+AY91</f>
        <v>85440.113634442067</v>
      </c>
      <c r="BB91" s="781">
        <f t="shared" ref="BB91:BB93" si="403">+AR91+AV91+AZ91</f>
        <v>76989.760500000004</v>
      </c>
      <c r="BC91" s="2513">
        <f t="shared" ref="BC91" si="404">+AM91+BA91</f>
        <v>172778.89646076062</v>
      </c>
      <c r="BD91" s="2513">
        <f t="shared" ref="BD91" si="405">+AN91+BB91</f>
        <v>151097.7605</v>
      </c>
      <c r="BE91" s="782">
        <f>AW91+AY91</f>
        <v>319341.90956617368</v>
      </c>
      <c r="BF91" s="782">
        <f>AX91+AZ91</f>
        <v>294682.31290000002</v>
      </c>
      <c r="BG91" s="1219"/>
      <c r="BH91" s="1219"/>
      <c r="BI91" s="1219"/>
      <c r="BJ91" s="1546"/>
      <c r="BK91" s="1546"/>
      <c r="BL91" s="26"/>
      <c r="BM91" s="26"/>
      <c r="BN91" s="26"/>
    </row>
    <row r="92" spans="1:66" ht="14.45" x14ac:dyDescent="0.3">
      <c r="B92" s="1847" t="s">
        <v>10</v>
      </c>
      <c r="C92" s="1394" t="s">
        <v>50</v>
      </c>
      <c r="D92" s="2260">
        <v>67618.051282051267</v>
      </c>
      <c r="E92" s="1134">
        <v>5762.735042735043</v>
      </c>
      <c r="F92" s="1201">
        <v>6025.6</v>
      </c>
      <c r="G92" s="1134">
        <v>5954.8262108262106</v>
      </c>
      <c r="H92" s="1201">
        <v>6863</v>
      </c>
      <c r="I92" s="782">
        <f t="shared" si="385"/>
        <v>11717.561253561253</v>
      </c>
      <c r="J92" s="39">
        <f t="shared" si="385"/>
        <v>12888.6</v>
      </c>
      <c r="K92" s="1134">
        <v>5527.5213675213672</v>
      </c>
      <c r="L92" s="1201">
        <v>4902.2819999999992</v>
      </c>
      <c r="M92" s="781">
        <f t="shared" si="386"/>
        <v>17245.08262108262</v>
      </c>
      <c r="N92" s="781">
        <f t="shared" si="386"/>
        <v>17790.881999999998</v>
      </c>
      <c r="O92" s="1134">
        <v>5711.7720797720785</v>
      </c>
      <c r="P92" s="1201"/>
      <c r="Q92" s="782">
        <f t="shared" si="387"/>
        <v>22956.854700854699</v>
      </c>
      <c r="R92" s="39">
        <f t="shared" si="387"/>
        <v>17790.881999999998</v>
      </c>
      <c r="S92" s="1134">
        <v>5711.7720797720785</v>
      </c>
      <c r="T92" s="1201">
        <v>4167.45</v>
      </c>
      <c r="U92" s="782">
        <f t="shared" si="388"/>
        <v>28668.626780626779</v>
      </c>
      <c r="V92" s="39">
        <f t="shared" si="389"/>
        <v>21958.331999999999</v>
      </c>
      <c r="W92" s="1134">
        <v>5415.7948717948711</v>
      </c>
      <c r="X92" s="1201">
        <v>5000.9399999999996</v>
      </c>
      <c r="Y92" s="781">
        <f t="shared" si="390"/>
        <v>16839.339031339026</v>
      </c>
      <c r="Z92" s="781">
        <f t="shared" si="390"/>
        <v>9168.39</v>
      </c>
      <c r="AA92" s="465">
        <f t="shared" ref="AA92:AB101" si="406">+M92+Y92</f>
        <v>34084.421652421646</v>
      </c>
      <c r="AB92" s="454">
        <f>+N92+Z92</f>
        <v>26959.271999999997</v>
      </c>
      <c r="AC92" s="1134">
        <v>4616.3721527977405</v>
      </c>
      <c r="AD92" s="1201">
        <v>6905</v>
      </c>
      <c r="AE92" s="782">
        <f t="shared" si="391"/>
        <v>38700.793805219386</v>
      </c>
      <c r="AF92" s="39">
        <f t="shared" si="392"/>
        <v>33864.271999999997</v>
      </c>
      <c r="AG92" s="1134">
        <v>4467.4569220623298</v>
      </c>
      <c r="AH92" s="1201">
        <v>6416.2</v>
      </c>
      <c r="AI92" s="782">
        <f t="shared" si="393"/>
        <v>43168.250727281717</v>
      </c>
      <c r="AJ92" s="39">
        <f t="shared" si="394"/>
        <v>40280.471999999994</v>
      </c>
      <c r="AK92" s="1134">
        <v>4616.3721527977405</v>
      </c>
      <c r="AL92" s="1201">
        <v>6890.2</v>
      </c>
      <c r="AM92" s="781">
        <f t="shared" si="395"/>
        <v>13700.20122765781</v>
      </c>
      <c r="AN92" s="781">
        <f t="shared" si="396"/>
        <v>20211.400000000001</v>
      </c>
      <c r="AO92" s="760">
        <f t="shared" ref="AO92:AP98" si="407">AI92+AK92</f>
        <v>47784.622880079456</v>
      </c>
      <c r="AP92" s="760">
        <f t="shared" ref="AP92:AP96" si="408">AJ92+AL92</f>
        <v>47170.671999999991</v>
      </c>
      <c r="AQ92" s="1134">
        <v>4616.3721527977405</v>
      </c>
      <c r="AR92" s="1201">
        <v>6482.7</v>
      </c>
      <c r="AS92" s="782">
        <f t="shared" si="398"/>
        <v>52400.995032877196</v>
      </c>
      <c r="AT92" s="39">
        <f t="shared" si="399"/>
        <v>53653.371999999988</v>
      </c>
      <c r="AU92" s="1134">
        <v>4169.6264605915076</v>
      </c>
      <c r="AV92" s="1201">
        <v>3138.4124999999995</v>
      </c>
      <c r="AW92" s="782">
        <f t="shared" si="400"/>
        <v>56570.621493468701</v>
      </c>
      <c r="AX92" s="39">
        <f t="shared" si="401"/>
        <v>56791.784499999987</v>
      </c>
      <c r="AY92" s="1134">
        <v>4616.3721527977405</v>
      </c>
      <c r="AZ92" s="1201">
        <v>3593.2679999999996</v>
      </c>
      <c r="BA92" s="781">
        <f t="shared" si="402"/>
        <v>13402.370766186988</v>
      </c>
      <c r="BB92" s="781">
        <f t="shared" si="403"/>
        <v>13214.380499999999</v>
      </c>
      <c r="BC92" s="2513">
        <f t="shared" ref="BC92:BC96" si="409">+AM92+BA92</f>
        <v>27102.571993844798</v>
      </c>
      <c r="BD92" s="2513">
        <f t="shared" ref="BD92:BD96" si="410">+AN92+BB92</f>
        <v>33425.780500000001</v>
      </c>
      <c r="BE92" s="782">
        <f t="shared" ref="BE92:BE96" si="411">AW92+AY92</f>
        <v>61186.993646266441</v>
      </c>
      <c r="BF92" s="782">
        <f t="shared" ref="BF92:BF96" si="412">AX92+AZ92</f>
        <v>60385.052499999983</v>
      </c>
      <c r="BG92" s="1219"/>
      <c r="BH92" s="1219"/>
      <c r="BI92" s="1219"/>
      <c r="BJ92" s="1546"/>
      <c r="BK92" s="1546"/>
      <c r="BL92" s="26"/>
      <c r="BM92" s="26"/>
      <c r="BN92" s="26"/>
    </row>
    <row r="93" spans="1:66" ht="14.45" x14ac:dyDescent="0.3">
      <c r="B93" s="1846" t="s">
        <v>2200</v>
      </c>
      <c r="C93" s="1394" t="s">
        <v>50</v>
      </c>
      <c r="D93" s="2260">
        <v>16904.512820512817</v>
      </c>
      <c r="E93" s="1134">
        <v>1440.6837606837607</v>
      </c>
      <c r="F93" s="1201"/>
      <c r="G93" s="1134">
        <v>1488.7065527065527</v>
      </c>
      <c r="H93" s="1201"/>
      <c r="I93" s="782">
        <f t="shared" si="385"/>
        <v>2929.3903133903132</v>
      </c>
      <c r="J93" s="39">
        <f t="shared" si="385"/>
        <v>0</v>
      </c>
      <c r="K93" s="1134">
        <v>1381.8803418803418</v>
      </c>
      <c r="L93" s="1201"/>
      <c r="M93" s="781">
        <f t="shared" si="386"/>
        <v>4311.270655270655</v>
      </c>
      <c r="N93" s="781">
        <f t="shared" si="386"/>
        <v>0</v>
      </c>
      <c r="O93" s="1134">
        <v>1427.9430199430196</v>
      </c>
      <c r="P93" s="1201">
        <v>2813.3442219959998</v>
      </c>
      <c r="Q93" s="782">
        <f t="shared" si="387"/>
        <v>5739.2136752136748</v>
      </c>
      <c r="R93" s="39">
        <f t="shared" si="387"/>
        <v>2813.3442219959998</v>
      </c>
      <c r="S93" s="1134">
        <v>1427.9430199430196</v>
      </c>
      <c r="T93" s="1201">
        <v>3556.2239999999997</v>
      </c>
      <c r="U93" s="782">
        <f t="shared" si="388"/>
        <v>7167.1566951566947</v>
      </c>
      <c r="V93" s="39">
        <f t="shared" si="389"/>
        <v>6369.5682219959999</v>
      </c>
      <c r="W93" s="1134">
        <v>1353.9487179487178</v>
      </c>
      <c r="X93" s="1201">
        <v>4667.5439999999999</v>
      </c>
      <c r="Y93" s="781">
        <f t="shared" si="390"/>
        <v>4209.8347578347566</v>
      </c>
      <c r="Z93" s="781">
        <f t="shared" si="390"/>
        <v>11037.112221996</v>
      </c>
      <c r="AA93" s="465">
        <f t="shared" si="406"/>
        <v>8521.1054131054116</v>
      </c>
      <c r="AB93" s="454">
        <f>+N93+Z93</f>
        <v>11037.112221996</v>
      </c>
      <c r="AC93" s="1134"/>
      <c r="AD93" s="1201"/>
      <c r="AE93" s="782">
        <f t="shared" si="391"/>
        <v>8521.1054131054116</v>
      </c>
      <c r="AF93" s="39">
        <f t="shared" si="392"/>
        <v>11037.112221996</v>
      </c>
      <c r="AG93" s="1134"/>
      <c r="AH93" s="1201"/>
      <c r="AI93" s="782">
        <f t="shared" si="393"/>
        <v>8521.1054131054116</v>
      </c>
      <c r="AJ93" s="39">
        <f t="shared" si="394"/>
        <v>11037.112221996</v>
      </c>
      <c r="AK93" s="1134"/>
      <c r="AL93" s="1201"/>
      <c r="AM93" s="781">
        <f t="shared" si="395"/>
        <v>0</v>
      </c>
      <c r="AN93" s="781">
        <f t="shared" si="396"/>
        <v>0</v>
      </c>
      <c r="AO93" s="760">
        <f t="shared" si="407"/>
        <v>8521.1054131054116</v>
      </c>
      <c r="AP93" s="760">
        <f t="shared" si="408"/>
        <v>11037.112221996</v>
      </c>
      <c r="AQ93" s="1134"/>
      <c r="AR93" s="1201"/>
      <c r="AS93" s="782">
        <f t="shared" si="398"/>
        <v>8521.1054131054116</v>
      </c>
      <c r="AT93" s="39">
        <f t="shared" si="399"/>
        <v>11037.112221996</v>
      </c>
      <c r="AU93" s="1134"/>
      <c r="AV93" s="1201"/>
      <c r="AW93" s="782">
        <f t="shared" si="400"/>
        <v>8521.1054131054116</v>
      </c>
      <c r="AX93" s="39">
        <f t="shared" si="401"/>
        <v>11037.112221996</v>
      </c>
      <c r="AY93" s="1134"/>
      <c r="AZ93" s="1201"/>
      <c r="BA93" s="781">
        <f t="shared" si="402"/>
        <v>0</v>
      </c>
      <c r="BB93" s="781">
        <f t="shared" si="403"/>
        <v>0</v>
      </c>
      <c r="BC93" s="2513">
        <f t="shared" si="409"/>
        <v>0</v>
      </c>
      <c r="BD93" s="2513">
        <f t="shared" si="410"/>
        <v>0</v>
      </c>
      <c r="BE93" s="782">
        <f t="shared" si="411"/>
        <v>8521.1054131054116</v>
      </c>
      <c r="BF93" s="782">
        <f t="shared" si="412"/>
        <v>11037.112221996</v>
      </c>
      <c r="BG93" s="1219"/>
      <c r="BH93" s="1219"/>
      <c r="BI93" s="1219"/>
      <c r="BJ93" s="1546"/>
      <c r="BK93" s="1546"/>
      <c r="BL93" s="26"/>
      <c r="BM93" s="26"/>
      <c r="BN93" s="26"/>
    </row>
    <row r="94" spans="1:66" ht="14.45" x14ac:dyDescent="0.3">
      <c r="B94" s="1847" t="s">
        <v>2199</v>
      </c>
      <c r="C94" s="1394" t="s">
        <v>50</v>
      </c>
      <c r="D94" s="4761">
        <v>16904.512820512817</v>
      </c>
      <c r="E94" s="4762">
        <v>1440.6837606837607</v>
      </c>
      <c r="F94" s="4310"/>
      <c r="G94" s="4762">
        <v>1488.7065527065527</v>
      </c>
      <c r="H94" s="4310"/>
      <c r="I94" s="782">
        <f t="shared" ref="I94:I95" si="413">+E94+G94</f>
        <v>2929.3903133903132</v>
      </c>
      <c r="J94" s="39">
        <f t="shared" ref="J94:J95" si="414">+F94+H94</f>
        <v>0</v>
      </c>
      <c r="K94" s="4762">
        <v>1381.8803418803418</v>
      </c>
      <c r="L94" s="4310">
        <v>925.98659999999995</v>
      </c>
      <c r="M94" s="781">
        <f t="shared" ref="M94" si="415">+E94+G94+K94</f>
        <v>4311.270655270655</v>
      </c>
      <c r="N94" s="781">
        <f t="shared" ref="N94" si="416">+F94+H94+L94</f>
        <v>925.98659999999995</v>
      </c>
      <c r="O94" s="4762">
        <v>1427.9430199430196</v>
      </c>
      <c r="P94" s="4310">
        <v>5590.62</v>
      </c>
      <c r="Q94" s="782">
        <f t="shared" ref="Q94" si="417">+M94+O94</f>
        <v>5739.2136752136748</v>
      </c>
      <c r="R94" s="39">
        <f t="shared" ref="R94" si="418">+N94+P94</f>
        <v>6516.6066000000001</v>
      </c>
      <c r="S94" s="4762">
        <v>1427.9430199430196</v>
      </c>
      <c r="T94" s="4310">
        <v>1000.1879999999999</v>
      </c>
      <c r="U94" s="782">
        <f t="shared" ref="U94" si="419">+Q94+S94</f>
        <v>7167.1566951566947</v>
      </c>
      <c r="V94" s="39">
        <f t="shared" ref="V94" si="420">+R94+T94</f>
        <v>7516.7946000000002</v>
      </c>
      <c r="W94" s="4762">
        <v>1353.9487179487178</v>
      </c>
      <c r="X94" s="4310"/>
      <c r="Y94" s="781">
        <f t="shared" ref="Y94" si="421">+O94+S94+W94</f>
        <v>4209.8347578347566</v>
      </c>
      <c r="Z94" s="781">
        <f t="shared" ref="Z94" si="422">+P94+T94+X94</f>
        <v>6590.808</v>
      </c>
      <c r="AA94" s="465">
        <f t="shared" ref="AA94" si="423">+M94+Y94</f>
        <v>8521.1054131054116</v>
      </c>
      <c r="AB94" s="454">
        <f>+N94+Z94</f>
        <v>7516.7946000000002</v>
      </c>
      <c r="AC94" s="1134"/>
      <c r="AD94" s="1201"/>
      <c r="AE94" s="782">
        <f t="shared" ref="AE94" si="424">+AA94+AC94</f>
        <v>8521.1054131054116</v>
      </c>
      <c r="AF94" s="39">
        <f t="shared" ref="AF94" si="425">+AB94+AD94</f>
        <v>7516.7946000000002</v>
      </c>
      <c r="AG94" s="1134"/>
      <c r="AH94" s="1201"/>
      <c r="AI94" s="782">
        <f t="shared" ref="AI94" si="426">+AE94+AG94</f>
        <v>8521.1054131054116</v>
      </c>
      <c r="AJ94" s="39">
        <f t="shared" ref="AJ94" si="427">+AF94+AH94</f>
        <v>7516.7946000000002</v>
      </c>
      <c r="AK94" s="1134"/>
      <c r="AL94" s="1201"/>
      <c r="AM94" s="781">
        <f t="shared" ref="AM94" si="428">+AC94+AG94+AK94</f>
        <v>0</v>
      </c>
      <c r="AN94" s="781">
        <f t="shared" ref="AN94" si="429">+AD94+AH94+AL94</f>
        <v>0</v>
      </c>
      <c r="AO94" s="760">
        <f t="shared" ref="AO94" si="430">AI94+AK94</f>
        <v>8521.1054131054116</v>
      </c>
      <c r="AP94" s="760">
        <f t="shared" ref="AP94" si="431">AJ94+AL94</f>
        <v>7516.7946000000002</v>
      </c>
      <c r="AQ94" s="1134"/>
      <c r="AR94" s="1201"/>
      <c r="AS94" s="782">
        <f t="shared" ref="AS94" si="432">+AO94+AQ94</f>
        <v>8521.1054131054116</v>
      </c>
      <c r="AT94" s="39">
        <f t="shared" ref="AT94" si="433">+AP94+AR94</f>
        <v>7516.7946000000002</v>
      </c>
      <c r="AU94" s="1134"/>
      <c r="AV94" s="1201"/>
      <c r="AW94" s="782">
        <f t="shared" ref="AW94" si="434">+AS94+AU94</f>
        <v>8521.1054131054116</v>
      </c>
      <c r="AX94" s="39">
        <f t="shared" ref="AX94" si="435">+AT94+AV94</f>
        <v>7516.7946000000002</v>
      </c>
      <c r="AY94" s="1134"/>
      <c r="AZ94" s="1201"/>
      <c r="BA94" s="781">
        <f t="shared" ref="BA94" si="436">+AQ94+AU94+AY94</f>
        <v>0</v>
      </c>
      <c r="BB94" s="781">
        <f t="shared" ref="BB94" si="437">+AR94+AV94+AZ94</f>
        <v>0</v>
      </c>
      <c r="BC94" s="2513">
        <f t="shared" ref="BC94" si="438">+AM94+BA94</f>
        <v>0</v>
      </c>
      <c r="BD94" s="2513">
        <f t="shared" ref="BD94" si="439">+AN94+BB94</f>
        <v>0</v>
      </c>
      <c r="BE94" s="782">
        <f t="shared" ref="BE94" si="440">AW94+AY94</f>
        <v>8521.1054131054116</v>
      </c>
      <c r="BF94" s="782">
        <f t="shared" ref="BF94" si="441">AX94+AZ94</f>
        <v>7516.7946000000002</v>
      </c>
      <c r="BG94" s="1219"/>
      <c r="BH94" s="1219"/>
      <c r="BI94" s="1219"/>
      <c r="BJ94" s="1546"/>
      <c r="BK94" s="1546"/>
      <c r="BL94" s="26"/>
      <c r="BM94" s="26"/>
      <c r="BN94" s="26"/>
    </row>
    <row r="95" spans="1:66" ht="15.75" customHeight="1" x14ac:dyDescent="0.3">
      <c r="B95" s="1847" t="s">
        <v>1278</v>
      </c>
      <c r="C95" s="1394" t="s">
        <v>50</v>
      </c>
      <c r="D95" s="710"/>
      <c r="E95" s="231"/>
      <c r="F95" s="1215"/>
      <c r="G95" s="231"/>
      <c r="H95" s="1215"/>
      <c r="I95" s="782">
        <f t="shared" si="413"/>
        <v>0</v>
      </c>
      <c r="J95" s="39">
        <f t="shared" si="414"/>
        <v>0</v>
      </c>
      <c r="K95" s="231"/>
      <c r="L95" s="1215"/>
      <c r="M95" s="781">
        <f t="shared" ref="M95" si="442">+E95+G95+K95</f>
        <v>0</v>
      </c>
      <c r="N95" s="781">
        <f t="shared" ref="N95" si="443">+F95+H95+L95</f>
        <v>0</v>
      </c>
      <c r="O95" s="231"/>
      <c r="P95" s="1215"/>
      <c r="Q95" s="782">
        <f t="shared" ref="Q95:Q96" si="444">+M95+O95</f>
        <v>0</v>
      </c>
      <c r="R95" s="39">
        <f t="shared" ref="R95:R96" si="445">+N95+P95</f>
        <v>0</v>
      </c>
      <c r="S95" s="231">
        <v>0</v>
      </c>
      <c r="T95" s="1215"/>
      <c r="U95" s="782">
        <f t="shared" si="388"/>
        <v>0</v>
      </c>
      <c r="V95" s="39">
        <f t="shared" si="389"/>
        <v>0</v>
      </c>
      <c r="W95" s="231"/>
      <c r="X95" s="1215"/>
      <c r="Y95" s="781">
        <f t="shared" si="390"/>
        <v>0</v>
      </c>
      <c r="Z95" s="781">
        <f t="shared" si="390"/>
        <v>0</v>
      </c>
      <c r="AA95" s="465">
        <f t="shared" si="406"/>
        <v>0</v>
      </c>
      <c r="AB95" s="454">
        <f>+N95+Z95</f>
        <v>0</v>
      </c>
      <c r="AC95" s="231"/>
      <c r="AD95" s="1215"/>
      <c r="AE95" s="782">
        <f t="shared" si="391"/>
        <v>0</v>
      </c>
      <c r="AF95" s="39">
        <f t="shared" si="392"/>
        <v>0</v>
      </c>
      <c r="AG95" s="231"/>
      <c r="AH95" s="1215"/>
      <c r="AI95" s="782">
        <f t="shared" si="393"/>
        <v>0</v>
      </c>
      <c r="AJ95" s="39">
        <f t="shared" si="394"/>
        <v>0</v>
      </c>
      <c r="AK95" s="231"/>
      <c r="AL95" s="1215"/>
      <c r="AM95" s="781">
        <f t="shared" si="395"/>
        <v>0</v>
      </c>
      <c r="AN95" s="781">
        <f t="shared" si="396"/>
        <v>0</v>
      </c>
      <c r="AO95" s="760">
        <f t="shared" si="407"/>
        <v>0</v>
      </c>
      <c r="AP95" s="760">
        <f t="shared" si="408"/>
        <v>0</v>
      </c>
      <c r="AQ95" s="231"/>
      <c r="AR95" s="1215"/>
      <c r="AS95" s="782">
        <f t="shared" si="398"/>
        <v>0</v>
      </c>
      <c r="AT95" s="39">
        <f t="shared" si="399"/>
        <v>0</v>
      </c>
      <c r="AU95" s="231"/>
      <c r="AV95" s="1215"/>
      <c r="AW95" s="782">
        <f t="shared" si="400"/>
        <v>0</v>
      </c>
      <c r="AX95" s="39">
        <f t="shared" si="401"/>
        <v>0</v>
      </c>
      <c r="AY95" s="231"/>
      <c r="AZ95" s="1215"/>
      <c r="BA95" s="781">
        <f t="shared" ref="BA95:BA96" si="446">+AQ95+AU95+AY95</f>
        <v>0</v>
      </c>
      <c r="BB95" s="781">
        <f t="shared" ref="BB95:BB96" si="447">+AR95+AV95+AZ95</f>
        <v>0</v>
      </c>
      <c r="BC95" s="2513">
        <f t="shared" si="409"/>
        <v>0</v>
      </c>
      <c r="BD95" s="2513">
        <f t="shared" si="410"/>
        <v>0</v>
      </c>
      <c r="BE95" s="782">
        <f t="shared" si="411"/>
        <v>0</v>
      </c>
      <c r="BF95" s="782">
        <f t="shared" si="412"/>
        <v>0</v>
      </c>
      <c r="BG95" s="1219"/>
      <c r="BH95" s="1219"/>
      <c r="BI95" s="1219"/>
      <c r="BJ95" s="1546"/>
      <c r="BK95" s="1546"/>
      <c r="BL95" s="26"/>
      <c r="BM95" s="26"/>
      <c r="BN95" s="26"/>
    </row>
    <row r="96" spans="1:66" thickBot="1" x14ac:dyDescent="0.35">
      <c r="A96" s="148"/>
      <c r="B96" s="1847" t="s">
        <v>612</v>
      </c>
      <c r="C96" s="2408" t="s">
        <v>50</v>
      </c>
      <c r="D96" s="710">
        <v>60856.246153846143</v>
      </c>
      <c r="E96" s="231">
        <v>5186.461538461539</v>
      </c>
      <c r="F96" s="1215">
        <v>6025.6</v>
      </c>
      <c r="G96" s="231">
        <v>5359.3435897435893</v>
      </c>
      <c r="H96" s="1215">
        <v>6863</v>
      </c>
      <c r="I96" s="276">
        <f>+E96+G96</f>
        <v>10545.805128205127</v>
      </c>
      <c r="J96" s="165">
        <f>+F96+H96</f>
        <v>12888.6</v>
      </c>
      <c r="K96" s="231">
        <v>4974.7692307692305</v>
      </c>
      <c r="L96" s="1215">
        <v>6536.3760000000002</v>
      </c>
      <c r="M96" s="1203">
        <f>+E96+G96+K96</f>
        <v>15520.574358974358</v>
      </c>
      <c r="N96" s="1203">
        <f>+F96+H96+L96</f>
        <v>19424.976000000002</v>
      </c>
      <c r="O96" s="231">
        <v>5140.5948717948713</v>
      </c>
      <c r="P96" s="1215">
        <v>3895.3997780039999</v>
      </c>
      <c r="Q96" s="276">
        <f t="shared" si="444"/>
        <v>20661.169230769228</v>
      </c>
      <c r="R96" s="165">
        <f t="shared" si="445"/>
        <v>23320.375778004003</v>
      </c>
      <c r="S96" s="231">
        <v>5140.5948717948713</v>
      </c>
      <c r="T96" s="1215">
        <v>3333.96</v>
      </c>
      <c r="U96" s="276">
        <f t="shared" si="388"/>
        <v>25801.764102564099</v>
      </c>
      <c r="V96" s="165">
        <f t="shared" si="389"/>
        <v>26654.335778004002</v>
      </c>
      <c r="W96" s="231">
        <v>4874.2153846153842</v>
      </c>
      <c r="X96" s="1215">
        <v>2000.3759999999997</v>
      </c>
      <c r="Y96" s="1203">
        <f t="shared" si="390"/>
        <v>15155.405128205126</v>
      </c>
      <c r="Z96" s="1203">
        <f t="shared" si="390"/>
        <v>9229.7357780040002</v>
      </c>
      <c r="AA96" s="2261">
        <f t="shared" si="406"/>
        <v>30675.979487179484</v>
      </c>
      <c r="AB96" s="2287">
        <f>+N96+Z96</f>
        <v>28654.711778004003</v>
      </c>
      <c r="AC96" s="231">
        <v>5770.4651909971753</v>
      </c>
      <c r="AD96" s="1215">
        <v>5754</v>
      </c>
      <c r="AE96" s="276">
        <f t="shared" si="391"/>
        <v>36446.44467817666</v>
      </c>
      <c r="AF96" s="165">
        <f t="shared" si="392"/>
        <v>34408.711778003999</v>
      </c>
      <c r="AG96" s="231">
        <v>5584.3211525779125</v>
      </c>
      <c r="AH96" s="1215">
        <v>5346.8</v>
      </c>
      <c r="AI96" s="276">
        <f t="shared" si="393"/>
        <v>42030.765830754572</v>
      </c>
      <c r="AJ96" s="165">
        <f t="shared" si="394"/>
        <v>39755.511778004002</v>
      </c>
      <c r="AK96" s="231">
        <v>5770.4651909971753</v>
      </c>
      <c r="AL96" s="1215">
        <v>5741.8</v>
      </c>
      <c r="AM96" s="1203">
        <f t="shared" si="395"/>
        <v>17125.251534572264</v>
      </c>
      <c r="AN96" s="1203">
        <f t="shared" si="396"/>
        <v>16842.599999999999</v>
      </c>
      <c r="AO96" s="760">
        <f t="shared" si="407"/>
        <v>47801.231021751744</v>
      </c>
      <c r="AP96" s="760">
        <f t="shared" si="408"/>
        <v>45497.311778004005</v>
      </c>
      <c r="AQ96" s="231">
        <v>5770.4651909971753</v>
      </c>
      <c r="AR96" s="1215">
        <v>6760.5</v>
      </c>
      <c r="AS96" s="276">
        <f t="shared" si="398"/>
        <v>53571.696212748917</v>
      </c>
      <c r="AT96" s="165">
        <f t="shared" si="399"/>
        <v>52257.811778004005</v>
      </c>
      <c r="AU96" s="231">
        <v>5212.033075739384</v>
      </c>
      <c r="AV96" s="1215">
        <v>5353.7624999999998</v>
      </c>
      <c r="AW96" s="276">
        <f t="shared" si="400"/>
        <v>58783.729288488299</v>
      </c>
      <c r="AX96" s="165">
        <f t="shared" si="401"/>
        <v>57611.574278004002</v>
      </c>
      <c r="AY96" s="231">
        <v>5770.4651909971753</v>
      </c>
      <c r="AZ96" s="1215">
        <v>5260.2480000000014</v>
      </c>
      <c r="BA96" s="1203">
        <f t="shared" si="446"/>
        <v>16752.963457733735</v>
      </c>
      <c r="BB96" s="1203">
        <f t="shared" si="447"/>
        <v>17374.510500000004</v>
      </c>
      <c r="BC96" s="2513">
        <f t="shared" si="409"/>
        <v>33878.214992305999</v>
      </c>
      <c r="BD96" s="2513">
        <f t="shared" si="410"/>
        <v>34217.110500000003</v>
      </c>
      <c r="BE96" s="782">
        <f t="shared" si="411"/>
        <v>64554.194479485472</v>
      </c>
      <c r="BF96" s="782">
        <f t="shared" si="412"/>
        <v>62871.822278004001</v>
      </c>
      <c r="BG96" s="1219"/>
      <c r="BH96" s="1219"/>
      <c r="BI96" s="1219"/>
      <c r="BJ96" s="1546"/>
      <c r="BK96" s="1546"/>
      <c r="BL96" s="26"/>
      <c r="BM96" s="26"/>
      <c r="BN96" s="26"/>
    </row>
    <row r="97" spans="1:66" ht="16.149999999999999" thickBot="1" x14ac:dyDescent="0.35">
      <c r="B97" s="2406" t="s">
        <v>13</v>
      </c>
      <c r="C97" s="1399" t="s">
        <v>50</v>
      </c>
      <c r="D97" s="1389">
        <f t="shared" ref="D97:AX97" si="448">SUM(D91:D96)</f>
        <v>453040.94358974352</v>
      </c>
      <c r="E97" s="1388">
        <f t="shared" si="448"/>
        <v>38610.324786324789</v>
      </c>
      <c r="F97" s="1388">
        <f t="shared" si="448"/>
        <v>34978</v>
      </c>
      <c r="G97" s="1388">
        <f t="shared" ref="G97:H97" si="449">SUM(G91:G96)</f>
        <v>39897.335612535608</v>
      </c>
      <c r="H97" s="1388">
        <f t="shared" si="449"/>
        <v>37303.599999999999</v>
      </c>
      <c r="I97" s="1388">
        <f t="shared" si="448"/>
        <v>78507.660398860404</v>
      </c>
      <c r="J97" s="1388">
        <f t="shared" si="448"/>
        <v>72281.599999999991</v>
      </c>
      <c r="K97" s="1388">
        <f t="shared" ref="K97:L97" si="450">SUM(K91:K96)</f>
        <v>37034.393162393171</v>
      </c>
      <c r="L97" s="1388">
        <f t="shared" si="450"/>
        <v>35133.020999999993</v>
      </c>
      <c r="M97" s="1583">
        <f t="shared" si="448"/>
        <v>115542.05356125356</v>
      </c>
      <c r="N97" s="1583">
        <f t="shared" si="448"/>
        <v>107414.62099999998</v>
      </c>
      <c r="O97" s="1388">
        <f t="shared" ref="O97:P97" si="451">SUM(O91:O96)</f>
        <v>38268.872934472936</v>
      </c>
      <c r="P97" s="1388">
        <f t="shared" si="451"/>
        <v>36898.092000000004</v>
      </c>
      <c r="Q97" s="1388">
        <f t="shared" si="448"/>
        <v>153810.92649572651</v>
      </c>
      <c r="R97" s="1388">
        <f t="shared" si="448"/>
        <v>144312.71299999999</v>
      </c>
      <c r="S97" s="1388">
        <f t="shared" ref="S97:T97" si="452">SUM(S91:S96)</f>
        <v>38268.872934472936</v>
      </c>
      <c r="T97" s="1388">
        <f t="shared" si="452"/>
        <v>37321.83</v>
      </c>
      <c r="U97" s="1388">
        <f t="shared" si="448"/>
        <v>192079.79943019946</v>
      </c>
      <c r="V97" s="1388">
        <f t="shared" si="448"/>
        <v>181634.54300000001</v>
      </c>
      <c r="W97" s="1388">
        <f t="shared" ref="W97:X97" si="453">SUM(W91:W96)</f>
        <v>36285.825641025644</v>
      </c>
      <c r="X97" s="1388">
        <f t="shared" si="453"/>
        <v>36117.899999999994</v>
      </c>
      <c r="Y97" s="1583">
        <f t="shared" si="448"/>
        <v>112823.57150997152</v>
      </c>
      <c r="Z97" s="1583">
        <f t="shared" si="448"/>
        <v>110337.822</v>
      </c>
      <c r="AA97" s="2429">
        <f t="shared" si="448"/>
        <v>228365.62507122505</v>
      </c>
      <c r="AB97" s="2429">
        <f t="shared" si="448"/>
        <v>217752.443</v>
      </c>
      <c r="AC97" s="1388">
        <f t="shared" si="448"/>
        <v>39816.20981788051</v>
      </c>
      <c r="AD97" s="1388">
        <f t="shared" si="448"/>
        <v>37977</v>
      </c>
      <c r="AE97" s="1388">
        <f t="shared" si="448"/>
        <v>268181.83488910558</v>
      </c>
      <c r="AF97" s="1388">
        <f t="shared" si="448"/>
        <v>255729.44299999997</v>
      </c>
      <c r="AG97" s="1388">
        <f t="shared" si="448"/>
        <v>38531.815952787591</v>
      </c>
      <c r="AH97" s="1388">
        <f t="shared" si="448"/>
        <v>35289</v>
      </c>
      <c r="AI97" s="1388">
        <f t="shared" si="448"/>
        <v>306713.65084189316</v>
      </c>
      <c r="AJ97" s="1388">
        <f t="shared" si="448"/>
        <v>291018.44299999997</v>
      </c>
      <c r="AK97" s="1388">
        <f t="shared" si="448"/>
        <v>39816.20981788051</v>
      </c>
      <c r="AL97" s="1388">
        <f t="shared" si="448"/>
        <v>37896</v>
      </c>
      <c r="AM97" s="1583">
        <f t="shared" si="448"/>
        <v>118164.23558854863</v>
      </c>
      <c r="AN97" s="1583">
        <f t="shared" si="448"/>
        <v>111162</v>
      </c>
      <c r="AO97" s="1388">
        <f t="shared" si="448"/>
        <v>346529.86065977369</v>
      </c>
      <c r="AP97" s="1388">
        <f t="shared" si="448"/>
        <v>328914.44299999997</v>
      </c>
      <c r="AQ97" s="1388">
        <f t="shared" si="448"/>
        <v>39816.20981788051</v>
      </c>
      <c r="AR97" s="1388">
        <f t="shared" si="448"/>
        <v>40748.400000000001</v>
      </c>
      <c r="AS97" s="1388">
        <f t="shared" si="448"/>
        <v>386346.07047765417</v>
      </c>
      <c r="AT97" s="1388">
        <f t="shared" si="448"/>
        <v>369662.84299999999</v>
      </c>
      <c r="AU97" s="1388">
        <f t="shared" si="448"/>
        <v>35963.028222601752</v>
      </c>
      <c r="AV97" s="1388">
        <f t="shared" si="448"/>
        <v>32897.947499999995</v>
      </c>
      <c r="AW97" s="1388">
        <f t="shared" si="448"/>
        <v>422309.09870025585</v>
      </c>
      <c r="AX97" s="1388">
        <f t="shared" si="448"/>
        <v>402560.79050000006</v>
      </c>
      <c r="AY97" s="1388">
        <f t="shared" ref="AY97:BB97" si="454">SUM(AY91:AY96)</f>
        <v>39816.20981788051</v>
      </c>
      <c r="AZ97" s="1388">
        <f t="shared" si="454"/>
        <v>33932.304000000004</v>
      </c>
      <c r="BA97" s="1583">
        <f t="shared" si="454"/>
        <v>115595.44785836278</v>
      </c>
      <c r="BB97" s="1583">
        <f t="shared" si="454"/>
        <v>107578.65150000001</v>
      </c>
      <c r="BC97" s="2429">
        <f>SUM(BC91:BC96)</f>
        <v>233759.6834469114</v>
      </c>
      <c r="BD97" s="2429">
        <f>SUM(BD91:BD96)</f>
        <v>218740.65150000001</v>
      </c>
      <c r="BE97" s="1388">
        <f t="shared" ref="BE97:BF97" si="455">SUM(BE91:BE96)</f>
        <v>462125.30851813639</v>
      </c>
      <c r="BF97" s="1388">
        <f t="shared" si="455"/>
        <v>436493.09450000006</v>
      </c>
      <c r="BG97" s="1219"/>
      <c r="BH97" s="1219"/>
      <c r="BI97" s="1219"/>
      <c r="BJ97" s="1546"/>
      <c r="BK97" s="1546"/>
      <c r="BL97" s="26"/>
      <c r="BM97" s="26"/>
      <c r="BN97" s="26"/>
    </row>
    <row r="98" spans="1:66" ht="14.45" x14ac:dyDescent="0.3">
      <c r="B98" s="2405" t="s">
        <v>1381</v>
      </c>
      <c r="C98" s="1403" t="s">
        <v>50</v>
      </c>
      <c r="D98" s="2298">
        <v>114950.68717948717</v>
      </c>
      <c r="E98" s="2298">
        <v>9796.6495726495705</v>
      </c>
      <c r="F98" s="1202">
        <v>14329.2</v>
      </c>
      <c r="G98" s="2298">
        <v>10123.204558404557</v>
      </c>
      <c r="H98" s="1202">
        <v>14869.8</v>
      </c>
      <c r="I98" s="572">
        <f t="shared" ref="I98:J101" si="456">+E98+G98</f>
        <v>19919.854131054126</v>
      </c>
      <c r="J98" s="572">
        <f t="shared" si="456"/>
        <v>29199</v>
      </c>
      <c r="K98" s="2298">
        <v>9396.7863247863243</v>
      </c>
      <c r="L98" s="1202">
        <v>14162.147999999999</v>
      </c>
      <c r="M98" s="487">
        <f t="shared" ref="M98:N101" si="457">+E98+G98+K98</f>
        <v>29316.64045584045</v>
      </c>
      <c r="N98" s="487">
        <f t="shared" si="457"/>
        <v>43361.148000000001</v>
      </c>
      <c r="O98" s="2298">
        <v>9710.0125356125354</v>
      </c>
      <c r="P98" s="1202">
        <v>10297.5586497</v>
      </c>
      <c r="Q98" s="572">
        <f t="shared" ref="Q98:R101" si="458">+M98+O98</f>
        <v>39026.652991452982</v>
      </c>
      <c r="R98" s="572">
        <f t="shared" si="458"/>
        <v>53658.706649700005</v>
      </c>
      <c r="S98" s="2298">
        <v>9710.0125356125354</v>
      </c>
      <c r="T98" s="1202">
        <v>11483.64</v>
      </c>
      <c r="U98" s="572">
        <f t="shared" ref="U98:U101" si="459">+Q98+S98</f>
        <v>48736.665527065517</v>
      </c>
      <c r="V98" s="572">
        <f t="shared" ref="V98:V101" si="460">+R98+T98</f>
        <v>65142.346649700004</v>
      </c>
      <c r="W98" s="2298">
        <v>9206.8512820512824</v>
      </c>
      <c r="X98" s="1202">
        <v>9909.2681477999995</v>
      </c>
      <c r="Y98" s="487">
        <f t="shared" ref="Y98:Z101" si="461">+O98+S98+W98</f>
        <v>28626.876353276355</v>
      </c>
      <c r="Z98" s="487">
        <f t="shared" si="461"/>
        <v>31690.466797499997</v>
      </c>
      <c r="AA98" s="1612">
        <f t="shared" si="406"/>
        <v>57943.516809116802</v>
      </c>
      <c r="AB98" s="477">
        <f t="shared" si="406"/>
        <v>75051.614797499991</v>
      </c>
      <c r="AC98" s="2298">
        <v>12117.976901094069</v>
      </c>
      <c r="AD98" s="1202">
        <v>12083</v>
      </c>
      <c r="AE98" s="572">
        <f t="shared" ref="AE98:AE101" si="462">+AA98+AC98</f>
        <v>70061.493710210867</v>
      </c>
      <c r="AF98" s="62">
        <f t="shared" ref="AF98:AF101" si="463">+AB98+AD98</f>
        <v>87134.614797499991</v>
      </c>
      <c r="AG98" s="2298">
        <v>11727.074420413615</v>
      </c>
      <c r="AH98" s="1202">
        <v>10303.299999999999</v>
      </c>
      <c r="AI98" s="572">
        <f t="shared" ref="AI98:AI101" si="464">+AE98+AG98</f>
        <v>81788.568130624481</v>
      </c>
      <c r="AJ98" s="62">
        <f t="shared" ref="AJ98:AJ101" si="465">+AF98+AH98</f>
        <v>97437.914797499994</v>
      </c>
      <c r="AK98" s="2298">
        <v>12117.976901094069</v>
      </c>
      <c r="AL98" s="1202">
        <v>12057.8</v>
      </c>
      <c r="AM98" s="487">
        <f t="shared" ref="AM98:AM101" si="466">+AC98+AG98+AK98</f>
        <v>35963.028222601759</v>
      </c>
      <c r="AN98" s="487">
        <f t="shared" ref="AN98:AN101" si="467">+AD98+AH98+AL98</f>
        <v>34444.1</v>
      </c>
      <c r="AO98" s="760">
        <f t="shared" si="407"/>
        <v>93906.545031718546</v>
      </c>
      <c r="AP98" s="760">
        <f t="shared" si="407"/>
        <v>109495.7147975</v>
      </c>
      <c r="AQ98" s="2298">
        <v>12117.976901094069</v>
      </c>
      <c r="AR98" s="1202">
        <v>10224.1</v>
      </c>
      <c r="AS98" s="572">
        <f t="shared" ref="AS98:AS101" si="468">+AO98+AQ98</f>
        <v>106024.52193281261</v>
      </c>
      <c r="AT98" s="62">
        <f t="shared" ref="AT98:AT101" si="469">+AP98+AR98</f>
        <v>119719.8147975</v>
      </c>
      <c r="AU98" s="2298">
        <v>10945.269459052708</v>
      </c>
      <c r="AV98" s="1202">
        <v>11556.742499999998</v>
      </c>
      <c r="AW98" s="572">
        <f t="shared" ref="AW98:AW101" si="470">+AS98+AU98</f>
        <v>116969.79139186532</v>
      </c>
      <c r="AX98" s="62">
        <f t="shared" ref="AX98:AX101" si="471">+AT98+AV98</f>
        <v>131276.5572975</v>
      </c>
      <c r="AY98" s="2298">
        <v>12117.976901094069</v>
      </c>
      <c r="AZ98" s="1202">
        <v>13854.456000000004</v>
      </c>
      <c r="BA98" s="487">
        <f t="shared" ref="BA98:BA101" si="472">+AQ98+AU98+AY98</f>
        <v>35181.223261240841</v>
      </c>
      <c r="BB98" s="487">
        <f t="shared" ref="BB98:BB101" si="473">+AR98+AV98+AZ98</f>
        <v>35635.298500000004</v>
      </c>
      <c r="BC98" s="2513">
        <f t="shared" ref="BC98:BC101" si="474">+AM98+BA98</f>
        <v>71144.2514838426</v>
      </c>
      <c r="BD98" s="2513">
        <f t="shared" ref="BD98:BD101" si="475">+AN98+BB98</f>
        <v>70079.39850000001</v>
      </c>
      <c r="BE98" s="782">
        <f t="shared" ref="BE98:BE101" si="476">AW98+AY98</f>
        <v>129087.76829295939</v>
      </c>
      <c r="BF98" s="782">
        <f t="shared" ref="BF98:BF101" si="477">AX98+AZ98</f>
        <v>145131.0132975</v>
      </c>
      <c r="BG98" s="1219"/>
      <c r="BH98" s="1219"/>
      <c r="BI98" s="1219"/>
      <c r="BJ98" s="1546"/>
      <c r="BK98" s="1546"/>
      <c r="BL98" s="26"/>
      <c r="BM98" s="26"/>
      <c r="BN98" s="26"/>
    </row>
    <row r="99" spans="1:66" ht="14.45" x14ac:dyDescent="0.3">
      <c r="B99" s="1849" t="s">
        <v>627</v>
      </c>
      <c r="C99" s="777" t="s">
        <v>50</v>
      </c>
      <c r="D99" s="1134">
        <v>33809.025641025633</v>
      </c>
      <c r="E99" s="1134">
        <v>2881.3675213675215</v>
      </c>
      <c r="F99" s="1201"/>
      <c r="G99" s="1134">
        <v>2977.4131054131053</v>
      </c>
      <c r="H99" s="1201"/>
      <c r="I99" s="782">
        <f t="shared" si="456"/>
        <v>5858.7806267806263</v>
      </c>
      <c r="J99" s="782">
        <f t="shared" si="456"/>
        <v>0</v>
      </c>
      <c r="K99" s="1134">
        <v>2763.7606837606836</v>
      </c>
      <c r="L99" s="1201"/>
      <c r="M99" s="781">
        <f t="shared" si="457"/>
        <v>8622.5413105413099</v>
      </c>
      <c r="N99" s="781">
        <f t="shared" si="457"/>
        <v>0</v>
      </c>
      <c r="O99" s="1134">
        <v>2855.8860398860393</v>
      </c>
      <c r="P99" s="1201"/>
      <c r="Q99" s="782">
        <f t="shared" si="458"/>
        <v>11478.42735042735</v>
      </c>
      <c r="R99" s="782">
        <f t="shared" si="458"/>
        <v>0</v>
      </c>
      <c r="S99" s="1134">
        <v>2855.8860398860393</v>
      </c>
      <c r="T99" s="1201"/>
      <c r="U99" s="782">
        <f t="shared" si="459"/>
        <v>14334.313390313389</v>
      </c>
      <c r="V99" s="782">
        <f t="shared" si="460"/>
        <v>0</v>
      </c>
      <c r="W99" s="1134">
        <v>2707.8974358974356</v>
      </c>
      <c r="X99" s="1201"/>
      <c r="Y99" s="781">
        <f t="shared" si="461"/>
        <v>8419.6695156695132</v>
      </c>
      <c r="Z99" s="781">
        <f t="shared" si="461"/>
        <v>0</v>
      </c>
      <c r="AA99" s="465">
        <f t="shared" si="406"/>
        <v>17042.210826210823</v>
      </c>
      <c r="AB99" s="454">
        <f t="shared" si="406"/>
        <v>0</v>
      </c>
      <c r="AC99" s="1134">
        <v>2885.2325954985877</v>
      </c>
      <c r="AD99" s="1201">
        <v>2877</v>
      </c>
      <c r="AE99" s="782">
        <f t="shared" si="462"/>
        <v>19927.443421709409</v>
      </c>
      <c r="AF99" s="39">
        <f t="shared" si="463"/>
        <v>2877</v>
      </c>
      <c r="AG99" s="1134">
        <v>2792.1605762889562</v>
      </c>
      <c r="AH99" s="1201">
        <v>2673.4</v>
      </c>
      <c r="AI99" s="782">
        <f t="shared" si="464"/>
        <v>22719.603997998365</v>
      </c>
      <c r="AJ99" s="39">
        <f t="shared" si="465"/>
        <v>5550.4</v>
      </c>
      <c r="AK99" s="1134">
        <v>2885.2325954985877</v>
      </c>
      <c r="AL99" s="1201">
        <v>2870.9</v>
      </c>
      <c r="AM99" s="781">
        <f t="shared" si="466"/>
        <v>8562.625767286132</v>
      </c>
      <c r="AN99" s="781">
        <f t="shared" si="467"/>
        <v>8421.2999999999993</v>
      </c>
      <c r="AO99" s="760">
        <f t="shared" ref="AO99:AO101" si="478">AI99+AK99</f>
        <v>25604.836593496952</v>
      </c>
      <c r="AP99" s="760">
        <f t="shared" ref="AP99:AP101" si="479">AJ99+AL99</f>
        <v>8421.2999999999993</v>
      </c>
      <c r="AQ99" s="1134">
        <v>2885.2325954985877</v>
      </c>
      <c r="AR99" s="1201">
        <v>1852.2</v>
      </c>
      <c r="AS99" s="782">
        <f t="shared" si="468"/>
        <v>28490.069188995538</v>
      </c>
      <c r="AT99" s="39">
        <f t="shared" si="469"/>
        <v>10273.5</v>
      </c>
      <c r="AU99" s="1134">
        <v>2606.016537869692</v>
      </c>
      <c r="AV99" s="1201"/>
      <c r="AW99" s="782">
        <f t="shared" si="470"/>
        <v>31096.085726865229</v>
      </c>
      <c r="AX99" s="39">
        <f t="shared" si="471"/>
        <v>10273.5</v>
      </c>
      <c r="AY99" s="1134">
        <v>2885.2325954985877</v>
      </c>
      <c r="AZ99" s="1201"/>
      <c r="BA99" s="781">
        <f t="shared" si="472"/>
        <v>8376.4817288668673</v>
      </c>
      <c r="BB99" s="781">
        <f t="shared" si="473"/>
        <v>1852.2</v>
      </c>
      <c r="BC99" s="2513">
        <f t="shared" si="474"/>
        <v>16939.107496152999</v>
      </c>
      <c r="BD99" s="2513">
        <f t="shared" si="475"/>
        <v>10273.5</v>
      </c>
      <c r="BE99" s="782">
        <f t="shared" si="476"/>
        <v>33981.318322363819</v>
      </c>
      <c r="BF99" s="782">
        <f t="shared" si="477"/>
        <v>10273.5</v>
      </c>
      <c r="BG99" s="1219"/>
      <c r="BH99" s="1219"/>
      <c r="BI99" s="1219"/>
      <c r="BJ99" s="1546"/>
      <c r="BK99" s="1546"/>
      <c r="BL99" s="26"/>
      <c r="BM99" s="26"/>
      <c r="BN99" s="26"/>
    </row>
    <row r="100" spans="1:66" ht="14.45" x14ac:dyDescent="0.3">
      <c r="B100" s="1850" t="s">
        <v>1366</v>
      </c>
      <c r="C100" s="1402" t="s">
        <v>50</v>
      </c>
      <c r="D100" s="231"/>
      <c r="E100" s="231"/>
      <c r="F100" s="1215"/>
      <c r="G100" s="231"/>
      <c r="H100" s="1215"/>
      <c r="I100" s="782">
        <f t="shared" si="456"/>
        <v>0</v>
      </c>
      <c r="J100" s="782">
        <f t="shared" si="456"/>
        <v>0</v>
      </c>
      <c r="K100" s="231"/>
      <c r="L100" s="1215"/>
      <c r="M100" s="781">
        <f t="shared" ref="M100" si="480">+E100+G100+K100</f>
        <v>0</v>
      </c>
      <c r="N100" s="781">
        <f t="shared" ref="N100" si="481">+F100+H100+L100</f>
        <v>0</v>
      </c>
      <c r="O100" s="231"/>
      <c r="P100" s="1215">
        <v>3516.6805570259999</v>
      </c>
      <c r="Q100" s="782">
        <f t="shared" si="458"/>
        <v>0</v>
      </c>
      <c r="R100" s="782">
        <f t="shared" si="458"/>
        <v>3516.6805570259999</v>
      </c>
      <c r="S100" s="231">
        <v>0</v>
      </c>
      <c r="T100" s="1215"/>
      <c r="U100" s="782">
        <f t="shared" si="459"/>
        <v>0</v>
      </c>
      <c r="V100" s="782">
        <f t="shared" si="460"/>
        <v>3516.6805570259999</v>
      </c>
      <c r="W100" s="231"/>
      <c r="X100" s="1215">
        <v>2407.6747799999998</v>
      </c>
      <c r="Y100" s="781">
        <f t="shared" ref="Y100" si="482">+O100+S100+W100</f>
        <v>0</v>
      </c>
      <c r="Z100" s="781">
        <f t="shared" ref="Z100" si="483">+P100+T100+X100</f>
        <v>5924.3553370259997</v>
      </c>
      <c r="AA100" s="465">
        <f t="shared" ref="AA100" si="484">+M100+Y100</f>
        <v>0</v>
      </c>
      <c r="AB100" s="454">
        <f t="shared" ref="AB100" si="485">+N100+Z100</f>
        <v>5924.3553370259997</v>
      </c>
      <c r="AC100" s="231"/>
      <c r="AD100" s="1215"/>
      <c r="AE100" s="782">
        <f t="shared" si="462"/>
        <v>0</v>
      </c>
      <c r="AF100" s="39">
        <f t="shared" si="463"/>
        <v>5924.3553370259997</v>
      </c>
      <c r="AG100" s="231"/>
      <c r="AH100" s="1215"/>
      <c r="AI100" s="782">
        <f t="shared" si="464"/>
        <v>0</v>
      </c>
      <c r="AJ100" s="39">
        <f t="shared" si="465"/>
        <v>5924.3553370259997</v>
      </c>
      <c r="AK100" s="231"/>
      <c r="AL100" s="1215"/>
      <c r="AM100" s="781">
        <f t="shared" si="466"/>
        <v>0</v>
      </c>
      <c r="AN100" s="781">
        <f t="shared" si="467"/>
        <v>0</v>
      </c>
      <c r="AO100" s="760">
        <f t="shared" si="478"/>
        <v>0</v>
      </c>
      <c r="AP100" s="760">
        <f t="shared" si="479"/>
        <v>5924.3553370259997</v>
      </c>
      <c r="AQ100" s="231"/>
      <c r="AR100" s="1215"/>
      <c r="AS100" s="782">
        <f t="shared" si="468"/>
        <v>0</v>
      </c>
      <c r="AT100" s="39">
        <f t="shared" si="469"/>
        <v>5924.3553370259997</v>
      </c>
      <c r="AU100" s="231"/>
      <c r="AV100" s="1215"/>
      <c r="AW100" s="782">
        <f t="shared" si="470"/>
        <v>0</v>
      </c>
      <c r="AX100" s="39">
        <f t="shared" si="471"/>
        <v>5924.3553370259997</v>
      </c>
      <c r="AY100" s="231"/>
      <c r="AZ100" s="1215"/>
      <c r="BA100" s="781">
        <f t="shared" si="472"/>
        <v>0</v>
      </c>
      <c r="BB100" s="781">
        <f t="shared" si="473"/>
        <v>0</v>
      </c>
      <c r="BC100" s="2513">
        <f t="shared" si="474"/>
        <v>0</v>
      </c>
      <c r="BD100" s="2513">
        <f t="shared" si="475"/>
        <v>0</v>
      </c>
      <c r="BE100" s="782">
        <f t="shared" si="476"/>
        <v>0</v>
      </c>
      <c r="BF100" s="782">
        <f t="shared" si="477"/>
        <v>5924.3553370259997</v>
      </c>
      <c r="BG100" s="1219"/>
      <c r="BH100" s="1219"/>
      <c r="BI100" s="1219"/>
      <c r="BJ100" s="1546"/>
      <c r="BK100" s="1546"/>
      <c r="BL100" s="26"/>
      <c r="BM100" s="26"/>
      <c r="BN100" s="26"/>
    </row>
    <row r="101" spans="1:66" thickBot="1" x14ac:dyDescent="0.35">
      <c r="A101" s="148"/>
      <c r="B101" s="1850" t="s">
        <v>1380</v>
      </c>
      <c r="C101" s="1402" t="s">
        <v>50</v>
      </c>
      <c r="D101" s="231">
        <v>20285.415384615382</v>
      </c>
      <c r="E101" s="231">
        <v>1728.8205128205127</v>
      </c>
      <c r="F101" s="1215"/>
      <c r="G101" s="231">
        <v>1786.4478632478633</v>
      </c>
      <c r="H101" s="1215"/>
      <c r="I101" s="276">
        <f t="shared" si="456"/>
        <v>3515.2683760683758</v>
      </c>
      <c r="J101" s="276">
        <f t="shared" si="456"/>
        <v>0</v>
      </c>
      <c r="K101" s="231">
        <v>1658.2564102564099</v>
      </c>
      <c r="L101" s="1215"/>
      <c r="M101" s="1203">
        <f t="shared" si="457"/>
        <v>5173.524786324786</v>
      </c>
      <c r="N101" s="1203">
        <f t="shared" si="457"/>
        <v>0</v>
      </c>
      <c r="O101" s="231">
        <v>1713.5316239316239</v>
      </c>
      <c r="P101" s="1215">
        <v>721.37055702600003</v>
      </c>
      <c r="Q101" s="276">
        <f t="shared" si="458"/>
        <v>6887.0564102564094</v>
      </c>
      <c r="R101" s="276">
        <f t="shared" si="458"/>
        <v>721.37055702600003</v>
      </c>
      <c r="S101" s="231">
        <v>1713.5316239316239</v>
      </c>
      <c r="T101" s="1215">
        <v>2870.91</v>
      </c>
      <c r="U101" s="276">
        <f t="shared" si="459"/>
        <v>8600.5880341880329</v>
      </c>
      <c r="V101" s="276">
        <f t="shared" si="460"/>
        <v>3592.2805570259998</v>
      </c>
      <c r="W101" s="231">
        <v>1624.7384615384615</v>
      </c>
      <c r="X101" s="1215">
        <v>1574.3514779999998</v>
      </c>
      <c r="Y101" s="1203">
        <f t="shared" si="461"/>
        <v>5051.8017094017096</v>
      </c>
      <c r="Z101" s="1203">
        <f t="shared" si="461"/>
        <v>5166.6320350259994</v>
      </c>
      <c r="AA101" s="465">
        <f t="shared" si="406"/>
        <v>10225.326495726495</v>
      </c>
      <c r="AB101" s="454">
        <f t="shared" si="406"/>
        <v>5166.6320350259994</v>
      </c>
      <c r="AC101" s="231"/>
      <c r="AD101" s="1215"/>
      <c r="AE101" s="782">
        <f t="shared" si="462"/>
        <v>10225.326495726495</v>
      </c>
      <c r="AF101" s="165">
        <f t="shared" si="463"/>
        <v>5166.6320350259994</v>
      </c>
      <c r="AG101" s="231"/>
      <c r="AH101" s="1215"/>
      <c r="AI101" s="782">
        <f t="shared" si="464"/>
        <v>10225.326495726495</v>
      </c>
      <c r="AJ101" s="165">
        <f t="shared" si="465"/>
        <v>5166.6320350259994</v>
      </c>
      <c r="AK101" s="231"/>
      <c r="AL101" s="1215"/>
      <c r="AM101" s="1203">
        <f t="shared" si="466"/>
        <v>0</v>
      </c>
      <c r="AN101" s="1203">
        <f t="shared" si="467"/>
        <v>0</v>
      </c>
      <c r="AO101" s="760">
        <f t="shared" si="478"/>
        <v>10225.326495726495</v>
      </c>
      <c r="AP101" s="760">
        <f t="shared" si="479"/>
        <v>5166.6320350259994</v>
      </c>
      <c r="AQ101" s="231"/>
      <c r="AR101" s="1215"/>
      <c r="AS101" s="782">
        <f t="shared" si="468"/>
        <v>10225.326495726495</v>
      </c>
      <c r="AT101" s="165">
        <f t="shared" si="469"/>
        <v>5166.6320350259994</v>
      </c>
      <c r="AU101" s="231"/>
      <c r="AV101" s="1215"/>
      <c r="AW101" s="782">
        <f t="shared" si="470"/>
        <v>10225.326495726495</v>
      </c>
      <c r="AX101" s="165">
        <f t="shared" si="471"/>
        <v>5166.6320350259994</v>
      </c>
      <c r="AY101" s="231"/>
      <c r="AZ101" s="1215"/>
      <c r="BA101" s="1203">
        <f t="shared" si="472"/>
        <v>0</v>
      </c>
      <c r="BB101" s="1203">
        <f t="shared" si="473"/>
        <v>0</v>
      </c>
      <c r="BC101" s="2513">
        <f t="shared" si="474"/>
        <v>0</v>
      </c>
      <c r="BD101" s="2513">
        <f t="shared" si="475"/>
        <v>0</v>
      </c>
      <c r="BE101" s="782">
        <f t="shared" si="476"/>
        <v>10225.326495726495</v>
      </c>
      <c r="BF101" s="782">
        <f t="shared" si="477"/>
        <v>5166.6320350259994</v>
      </c>
      <c r="BG101" s="1219"/>
      <c r="BH101" s="1219"/>
      <c r="BI101" s="1219"/>
      <c r="BJ101" s="1546"/>
      <c r="BK101" s="1546"/>
      <c r="BL101" s="26"/>
      <c r="BM101" s="26"/>
      <c r="BN101" s="26"/>
    </row>
    <row r="102" spans="1:66" ht="16.149999999999999" thickBot="1" x14ac:dyDescent="0.35">
      <c r="A102" s="148"/>
      <c r="B102" s="1831" t="s">
        <v>134</v>
      </c>
      <c r="C102" s="1399" t="s">
        <v>50</v>
      </c>
      <c r="D102" s="1389">
        <f t="shared" ref="D102:AI102" si="486">SUM(D98:D101)</f>
        <v>169045.12820512819</v>
      </c>
      <c r="E102" s="455">
        <f t="shared" si="486"/>
        <v>14406.837606837606</v>
      </c>
      <c r="F102" s="372">
        <f t="shared" si="486"/>
        <v>14329.2</v>
      </c>
      <c r="G102" s="455">
        <f t="shared" ref="G102:H102" si="487">SUM(G98:G101)</f>
        <v>14887.065527065526</v>
      </c>
      <c r="H102" s="372">
        <f t="shared" si="487"/>
        <v>14869.8</v>
      </c>
      <c r="I102" s="711">
        <f t="shared" si="486"/>
        <v>29293.903133903128</v>
      </c>
      <c r="J102" s="711">
        <f t="shared" si="486"/>
        <v>29199</v>
      </c>
      <c r="K102" s="455">
        <f t="shared" ref="K102:L102" si="488">SUM(K98:K101)</f>
        <v>13818.803418803418</v>
      </c>
      <c r="L102" s="372">
        <f t="shared" si="488"/>
        <v>14162.147999999999</v>
      </c>
      <c r="M102" s="354">
        <f t="shared" si="486"/>
        <v>43112.70655270655</v>
      </c>
      <c r="N102" s="1494">
        <f t="shared" si="486"/>
        <v>43361.148000000001</v>
      </c>
      <c r="O102" s="455">
        <f t="shared" ref="O102:P102" si="489">SUM(O98:O101)</f>
        <v>14279.430199430199</v>
      </c>
      <c r="P102" s="372">
        <f t="shared" si="489"/>
        <v>14535.609763752002</v>
      </c>
      <c r="Q102" s="711">
        <f t="shared" si="486"/>
        <v>57392.136752136743</v>
      </c>
      <c r="R102" s="711">
        <f t="shared" si="486"/>
        <v>57896.757763752001</v>
      </c>
      <c r="S102" s="455">
        <f t="shared" ref="S102:T102" si="490">SUM(S98:S101)</f>
        <v>14279.430199430199</v>
      </c>
      <c r="T102" s="372">
        <f t="shared" si="490"/>
        <v>14354.55</v>
      </c>
      <c r="U102" s="711">
        <f t="shared" ref="U102:X102" si="491">SUM(U98:U101)</f>
        <v>71671.566951566929</v>
      </c>
      <c r="V102" s="711">
        <f t="shared" si="491"/>
        <v>72251.307763752004</v>
      </c>
      <c r="W102" s="455">
        <f t="shared" si="491"/>
        <v>13539.48717948718</v>
      </c>
      <c r="X102" s="372">
        <f t="shared" si="491"/>
        <v>13891.294405799999</v>
      </c>
      <c r="Y102" s="354">
        <f t="shared" si="486"/>
        <v>42098.347578347581</v>
      </c>
      <c r="Z102" s="1494">
        <f t="shared" si="486"/>
        <v>42781.454169551995</v>
      </c>
      <c r="AA102" s="463">
        <f t="shared" si="486"/>
        <v>85211.054131054116</v>
      </c>
      <c r="AB102" s="2430">
        <f t="shared" si="486"/>
        <v>86142.602169552003</v>
      </c>
      <c r="AC102" s="455">
        <f t="shared" ref="AC102:AD102" si="492">SUM(AC98:AC101)</f>
        <v>15003.209496592657</v>
      </c>
      <c r="AD102" s="372">
        <f t="shared" si="492"/>
        <v>14960</v>
      </c>
      <c r="AE102" s="711">
        <f t="shared" si="486"/>
        <v>100214.26362764677</v>
      </c>
      <c r="AF102" s="372">
        <f t="shared" si="486"/>
        <v>101102.602169552</v>
      </c>
      <c r="AG102" s="455">
        <f t="shared" ref="AG102:AH102" si="493">SUM(AG98:AG101)</f>
        <v>14519.234996702571</v>
      </c>
      <c r="AH102" s="372">
        <f t="shared" si="493"/>
        <v>12976.699999999999</v>
      </c>
      <c r="AI102" s="711">
        <f t="shared" si="486"/>
        <v>114733.49862434933</v>
      </c>
      <c r="AJ102" s="372">
        <f t="shared" ref="AJ102:BD102" si="494">SUM(AJ98:AJ101)</f>
        <v>114079.30216955199</v>
      </c>
      <c r="AK102" s="455">
        <f t="shared" si="494"/>
        <v>15003.209496592657</v>
      </c>
      <c r="AL102" s="372">
        <f t="shared" si="494"/>
        <v>14928.699999999999</v>
      </c>
      <c r="AM102" s="354">
        <f t="shared" si="494"/>
        <v>44525.653989887891</v>
      </c>
      <c r="AN102" s="1494">
        <f t="shared" si="494"/>
        <v>42865.399999999994</v>
      </c>
      <c r="AO102" s="711">
        <f t="shared" si="494"/>
        <v>129736.70812094198</v>
      </c>
      <c r="AP102" s="372">
        <f t="shared" si="494"/>
        <v>129008.002169552</v>
      </c>
      <c r="AQ102" s="455">
        <f t="shared" ref="AQ102:AR102" si="495">SUM(AQ98:AQ101)</f>
        <v>15003.209496592657</v>
      </c>
      <c r="AR102" s="372">
        <f t="shared" si="495"/>
        <v>12076.300000000001</v>
      </c>
      <c r="AS102" s="711">
        <f t="shared" si="494"/>
        <v>144739.91761753467</v>
      </c>
      <c r="AT102" s="372">
        <f t="shared" si="494"/>
        <v>141084.30216955201</v>
      </c>
      <c r="AU102" s="455">
        <f t="shared" si="494"/>
        <v>13551.285996922401</v>
      </c>
      <c r="AV102" s="372">
        <f t="shared" si="494"/>
        <v>11556.742499999998</v>
      </c>
      <c r="AW102" s="711">
        <f t="shared" ref="AW102:AX102" si="496">SUM(AW98:AW101)</f>
        <v>158291.20361445704</v>
      </c>
      <c r="AX102" s="372">
        <f t="shared" si="496"/>
        <v>152641.04466955201</v>
      </c>
      <c r="AY102" s="455">
        <f t="shared" ref="AY102:AZ102" si="497">SUM(AY98:AY101)</f>
        <v>15003.209496592657</v>
      </c>
      <c r="AZ102" s="372">
        <f t="shared" si="497"/>
        <v>13854.456000000004</v>
      </c>
      <c r="BA102" s="354">
        <f t="shared" ref="BA102:BB102" si="498">SUM(BA98:BA101)</f>
        <v>43557.704990107712</v>
      </c>
      <c r="BB102" s="1494">
        <f t="shared" si="498"/>
        <v>37487.498500000002</v>
      </c>
      <c r="BC102" s="463">
        <f t="shared" si="494"/>
        <v>88083.358979995595</v>
      </c>
      <c r="BD102" s="2430">
        <f t="shared" si="494"/>
        <v>80352.89850000001</v>
      </c>
      <c r="BE102" s="711">
        <f t="shared" ref="BE102:BF102" si="499">SUM(BE98:BE101)</f>
        <v>173294.41311104971</v>
      </c>
      <c r="BF102" s="372">
        <f t="shared" si="499"/>
        <v>166495.50066955201</v>
      </c>
      <c r="BG102" s="1219"/>
      <c r="BH102" s="1219"/>
      <c r="BI102" s="1219"/>
      <c r="BJ102" s="1546"/>
      <c r="BK102" s="1546"/>
      <c r="BL102" s="26"/>
      <c r="BM102" s="26"/>
      <c r="BN102" s="26"/>
    </row>
    <row r="103" spans="1:66" ht="16.149999999999999" thickBot="1" x14ac:dyDescent="0.35">
      <c r="B103" s="1831" t="s">
        <v>12</v>
      </c>
      <c r="C103" s="1399" t="s">
        <v>50</v>
      </c>
      <c r="D103" s="1389">
        <f t="shared" ref="D103:AI103" si="500">+D97+D102</f>
        <v>622086.07179487171</v>
      </c>
      <c r="E103" s="455">
        <f t="shared" si="500"/>
        <v>53017.162393162391</v>
      </c>
      <c r="F103" s="372">
        <f t="shared" si="500"/>
        <v>49307.199999999997</v>
      </c>
      <c r="G103" s="455">
        <f t="shared" ref="G103:H103" si="501">+G97+G102</f>
        <v>54784.401139601134</v>
      </c>
      <c r="H103" s="372">
        <f t="shared" si="501"/>
        <v>52173.399999999994</v>
      </c>
      <c r="I103" s="711">
        <f t="shared" si="500"/>
        <v>107801.56353276354</v>
      </c>
      <c r="J103" s="711">
        <f t="shared" si="500"/>
        <v>101480.59999999999</v>
      </c>
      <c r="K103" s="455">
        <f t="shared" si="500"/>
        <v>50853.196581196593</v>
      </c>
      <c r="L103" s="372">
        <f t="shared" si="500"/>
        <v>49295.168999999994</v>
      </c>
      <c r="M103" s="354">
        <f t="shared" si="500"/>
        <v>158654.7601139601</v>
      </c>
      <c r="N103" s="1494">
        <f t="shared" si="500"/>
        <v>150775.76899999997</v>
      </c>
      <c r="O103" s="455">
        <f t="shared" ref="O103:P103" si="502">+O97+O102</f>
        <v>52548.303133903137</v>
      </c>
      <c r="P103" s="372">
        <f t="shared" si="502"/>
        <v>51433.701763752004</v>
      </c>
      <c r="Q103" s="711">
        <f t="shared" si="500"/>
        <v>211203.06324786326</v>
      </c>
      <c r="R103" s="711">
        <f t="shared" si="500"/>
        <v>202209.470763752</v>
      </c>
      <c r="S103" s="455">
        <f t="shared" si="500"/>
        <v>52548.303133903137</v>
      </c>
      <c r="T103" s="372">
        <f t="shared" si="500"/>
        <v>51676.380000000005</v>
      </c>
      <c r="U103" s="711">
        <f t="shared" ref="U103:X103" si="503">+U97+U102</f>
        <v>263751.36638176639</v>
      </c>
      <c r="V103" s="711">
        <f t="shared" si="503"/>
        <v>253885.85076375201</v>
      </c>
      <c r="W103" s="455">
        <f t="shared" si="503"/>
        <v>49825.312820512823</v>
      </c>
      <c r="X103" s="372">
        <f t="shared" si="503"/>
        <v>50009.194405799994</v>
      </c>
      <c r="Y103" s="354">
        <f t="shared" si="500"/>
        <v>154921.91908831909</v>
      </c>
      <c r="Z103" s="1494">
        <f t="shared" si="500"/>
        <v>153119.276169552</v>
      </c>
      <c r="AA103" s="463">
        <f t="shared" si="500"/>
        <v>313576.67920227919</v>
      </c>
      <c r="AB103" s="2430">
        <f t="shared" si="500"/>
        <v>303895.04516955197</v>
      </c>
      <c r="AC103" s="455">
        <f t="shared" si="500"/>
        <v>54819.419314473169</v>
      </c>
      <c r="AD103" s="372">
        <f t="shared" si="500"/>
        <v>52937</v>
      </c>
      <c r="AE103" s="711">
        <f t="shared" si="500"/>
        <v>368396.09851675236</v>
      </c>
      <c r="AF103" s="372">
        <f t="shared" si="500"/>
        <v>356832.04516955197</v>
      </c>
      <c r="AG103" s="455">
        <f t="shared" ref="AG103:AH103" si="504">+AG97+AG102</f>
        <v>53051.050949490163</v>
      </c>
      <c r="AH103" s="372">
        <f t="shared" si="504"/>
        <v>48265.7</v>
      </c>
      <c r="AI103" s="711">
        <f t="shared" si="500"/>
        <v>421447.14946624252</v>
      </c>
      <c r="AJ103" s="372">
        <f t="shared" ref="AJ103:BF103" si="505">+AJ97+AJ102</f>
        <v>405097.74516955193</v>
      </c>
      <c r="AK103" s="455">
        <f t="shared" si="505"/>
        <v>54819.419314473169</v>
      </c>
      <c r="AL103" s="372">
        <f t="shared" si="505"/>
        <v>52824.7</v>
      </c>
      <c r="AM103" s="354">
        <f t="shared" si="505"/>
        <v>162689.88957843653</v>
      </c>
      <c r="AN103" s="1494">
        <f t="shared" si="505"/>
        <v>154027.4</v>
      </c>
      <c r="AO103" s="711">
        <f t="shared" si="505"/>
        <v>476266.56878071569</v>
      </c>
      <c r="AP103" s="372">
        <f t="shared" si="505"/>
        <v>457922.445169552</v>
      </c>
      <c r="AQ103" s="455">
        <f t="shared" ref="AQ103:AR103" si="506">+AQ97+AQ102</f>
        <v>54819.419314473169</v>
      </c>
      <c r="AR103" s="372">
        <f t="shared" si="506"/>
        <v>52824.700000000004</v>
      </c>
      <c r="AS103" s="711">
        <f t="shared" si="505"/>
        <v>531085.98809518886</v>
      </c>
      <c r="AT103" s="372">
        <f t="shared" si="505"/>
        <v>510747.14516955201</v>
      </c>
      <c r="AU103" s="455">
        <f t="shared" si="505"/>
        <v>49514.314219524153</v>
      </c>
      <c r="AV103" s="372">
        <f t="shared" si="505"/>
        <v>44454.689999999995</v>
      </c>
      <c r="AW103" s="711">
        <f t="shared" ref="AW103:BB103" si="507">+AW97+AW102</f>
        <v>580600.3023147129</v>
      </c>
      <c r="AX103" s="372">
        <f t="shared" si="507"/>
        <v>555201.83516955213</v>
      </c>
      <c r="AY103" s="455">
        <f t="shared" si="507"/>
        <v>54819.419314473169</v>
      </c>
      <c r="AZ103" s="372">
        <f t="shared" si="507"/>
        <v>47786.760000000009</v>
      </c>
      <c r="BA103" s="354">
        <f t="shared" si="507"/>
        <v>159153.15284847049</v>
      </c>
      <c r="BB103" s="1494">
        <f t="shared" si="507"/>
        <v>145066.15000000002</v>
      </c>
      <c r="BC103" s="463">
        <f t="shared" si="505"/>
        <v>321843.04242690699</v>
      </c>
      <c r="BD103" s="2430">
        <f t="shared" si="505"/>
        <v>299093.55000000005</v>
      </c>
      <c r="BE103" s="711">
        <f t="shared" si="505"/>
        <v>635419.72162918607</v>
      </c>
      <c r="BF103" s="372">
        <f t="shared" si="505"/>
        <v>602988.59516955214</v>
      </c>
      <c r="BG103" s="1219"/>
      <c r="BH103" s="1219"/>
      <c r="BI103" s="1219"/>
      <c r="BJ103" s="1546"/>
      <c r="BK103" s="1546"/>
      <c r="BL103" s="26"/>
      <c r="BM103" s="26"/>
      <c r="BN103" s="26"/>
    </row>
    <row r="104" spans="1:66" ht="15" customHeight="1" x14ac:dyDescent="0.25">
      <c r="B104" s="1856" t="s">
        <v>1007</v>
      </c>
      <c r="C104" s="2407" t="s">
        <v>50</v>
      </c>
      <c r="D104" s="6038">
        <v>53499.996618765901</v>
      </c>
      <c r="E104" s="6001">
        <v>4559.5266272189401</v>
      </c>
      <c r="F104" s="29"/>
      <c r="G104" s="6001">
        <v>4711.5108481262296</v>
      </c>
      <c r="H104" s="29"/>
      <c r="I104" s="6003">
        <f>+E104+G104</f>
        <v>9271.0374753451688</v>
      </c>
      <c r="J104" s="62">
        <f>+F104+H104</f>
        <v>0</v>
      </c>
      <c r="K104" s="6001">
        <v>4373.4234995773504</v>
      </c>
      <c r="L104" s="29"/>
      <c r="M104" s="5729">
        <f>+E104+G104+K104</f>
        <v>13644.46097492252</v>
      </c>
      <c r="N104" s="84">
        <f>+F104+H104+L104</f>
        <v>0</v>
      </c>
      <c r="O104" s="6001">
        <v>4519.2042828965896</v>
      </c>
      <c r="P104" s="29"/>
      <c r="Q104" s="6003">
        <f>+M104+O104</f>
        <v>18163.66525781911</v>
      </c>
      <c r="R104" s="62">
        <f>+N104+P104</f>
        <v>0</v>
      </c>
      <c r="S104" s="6001">
        <v>4519.2042828965896</v>
      </c>
      <c r="T104" s="29"/>
      <c r="U104" s="6003">
        <f>+Q104+S104</f>
        <v>22682.869540715699</v>
      </c>
      <c r="V104" s="62">
        <f>+R104+T104</f>
        <v>0</v>
      </c>
      <c r="W104" s="6001">
        <v>4285.0245139475901</v>
      </c>
      <c r="X104" s="29"/>
      <c r="Y104" s="5735">
        <f>O104+S104+W104</f>
        <v>13323.433079740769</v>
      </c>
      <c r="Z104" s="84">
        <f>+P104+T104+X104</f>
        <v>0</v>
      </c>
      <c r="AA104" s="6022">
        <f>+Y104+M104</f>
        <v>26967.894054663288</v>
      </c>
      <c r="AB104" s="477">
        <f>+N104+Z104</f>
        <v>0</v>
      </c>
      <c r="AC104" s="6001">
        <v>2853.24</v>
      </c>
      <c r="AD104" s="29"/>
      <c r="AE104" s="6003">
        <f>+AA104+AC104</f>
        <v>29821.134054663285</v>
      </c>
      <c r="AF104" s="62">
        <f>+AB104+AD104</f>
        <v>0</v>
      </c>
      <c r="AG104" s="6001">
        <v>2761.2040133779301</v>
      </c>
      <c r="AH104" s="29">
        <v>2529</v>
      </c>
      <c r="AI104" s="6003">
        <f>+AE104+AG104</f>
        <v>32582.338068041216</v>
      </c>
      <c r="AJ104" s="62">
        <f>+AF104+AH104</f>
        <v>2529</v>
      </c>
      <c r="AK104" s="6001">
        <v>2853.2441471571901</v>
      </c>
      <c r="AL104" s="29">
        <v>1630.7</v>
      </c>
      <c r="AM104" s="5735">
        <f>AC104+AG104+AK104</f>
        <v>8467.6881605351191</v>
      </c>
      <c r="AN104" s="84">
        <f>+AD104+AH104+AL104</f>
        <v>4159.7</v>
      </c>
      <c r="AO104" s="6003">
        <f>AI104+AK104</f>
        <v>35435.582215198403</v>
      </c>
      <c r="AP104" s="760">
        <f t="shared" ref="AP104:AP106" si="508">AJ104+AL104</f>
        <v>4159.7</v>
      </c>
      <c r="AQ104" s="6001">
        <v>2853.2441471571901</v>
      </c>
      <c r="AR104" s="29"/>
      <c r="AS104" s="6003">
        <f>+AO104+AQ104</f>
        <v>38288.82636235559</v>
      </c>
      <c r="AT104" s="62">
        <f>+AP104+AR104</f>
        <v>4159.7</v>
      </c>
      <c r="AU104" s="6001">
        <v>2577.1237458194</v>
      </c>
      <c r="AV104" s="29"/>
      <c r="AW104" s="6003">
        <f>+AS104+AU104</f>
        <v>40865.950108174991</v>
      </c>
      <c r="AX104" s="62">
        <f>+AT104+AV104</f>
        <v>4159.7</v>
      </c>
      <c r="AY104" s="6001">
        <v>2853.2441471571901</v>
      </c>
      <c r="AZ104" s="29"/>
      <c r="BA104" s="5735">
        <f>AQ104+AU104+AY104</f>
        <v>8283.6120401337794</v>
      </c>
      <c r="BB104" s="84">
        <f>+AR104+AV104+AZ104</f>
        <v>0</v>
      </c>
      <c r="BC104" s="6022">
        <f>+BA104+AM104</f>
        <v>16751.300200668898</v>
      </c>
      <c r="BD104" s="2513">
        <f>+AN104+BB104</f>
        <v>4159.7</v>
      </c>
      <c r="BE104" s="6003">
        <f>+AW104+AY104</f>
        <v>43719.194255332179</v>
      </c>
      <c r="BF104" s="782">
        <f t="shared" ref="BF104:BF106" si="509">AX104+AZ104</f>
        <v>4159.7</v>
      </c>
      <c r="BG104" s="1219"/>
      <c r="BH104" s="1219"/>
      <c r="BI104" s="1219"/>
      <c r="BJ104" s="1546"/>
      <c r="BK104" s="1546"/>
      <c r="BL104" s="26"/>
      <c r="BM104" s="26"/>
      <c r="BN104" s="26"/>
    </row>
    <row r="105" spans="1:66" ht="15.75" customHeight="1" x14ac:dyDescent="0.25">
      <c r="B105" s="1846" t="s">
        <v>1187</v>
      </c>
      <c r="C105" s="1394" t="s">
        <v>50</v>
      </c>
      <c r="D105" s="6034"/>
      <c r="E105" s="5693"/>
      <c r="F105" s="18">
        <v>5805.2</v>
      </c>
      <c r="G105" s="5693"/>
      <c r="H105" s="18">
        <v>5018.1000000000004</v>
      </c>
      <c r="I105" s="6003"/>
      <c r="J105" s="62">
        <f>+F105+H105</f>
        <v>10823.3</v>
      </c>
      <c r="K105" s="5693"/>
      <c r="L105" s="18">
        <v>5174.6310000000003</v>
      </c>
      <c r="M105" s="5709"/>
      <c r="N105" s="69">
        <f>+F105+H105+L105</f>
        <v>15997.931</v>
      </c>
      <c r="O105" s="5693"/>
      <c r="P105" s="18">
        <v>4472.4960000000001</v>
      </c>
      <c r="Q105" s="6003"/>
      <c r="R105" s="62">
        <f>+N105+P105</f>
        <v>20470.427</v>
      </c>
      <c r="S105" s="5693"/>
      <c r="T105" s="18">
        <v>5741.82</v>
      </c>
      <c r="U105" s="6003"/>
      <c r="V105" s="62">
        <f>+R105+T105</f>
        <v>26212.246999999999</v>
      </c>
      <c r="W105" s="5693"/>
      <c r="X105" s="18">
        <v>5556.5999999999985</v>
      </c>
      <c r="Y105" s="5735"/>
      <c r="Z105" s="84">
        <f>+P105+T105+X105</f>
        <v>15770.915999999997</v>
      </c>
      <c r="AA105" s="6022"/>
      <c r="AB105" s="454">
        <f>+N105+Z105</f>
        <v>31768.846999999998</v>
      </c>
      <c r="AC105" s="5693"/>
      <c r="AD105" s="18">
        <v>4603</v>
      </c>
      <c r="AE105" s="6003"/>
      <c r="AF105" s="62">
        <f>+AB105+AD105</f>
        <v>36371.846999999994</v>
      </c>
      <c r="AG105" s="5693"/>
      <c r="AH105" s="18">
        <v>2673.4</v>
      </c>
      <c r="AI105" s="6003"/>
      <c r="AJ105" s="62">
        <f>+AF105+AH105</f>
        <v>39045.246999999996</v>
      </c>
      <c r="AK105" s="5693"/>
      <c r="AL105" s="18">
        <v>2962.8</v>
      </c>
      <c r="AM105" s="5735"/>
      <c r="AN105" s="84">
        <f>+AD105+AH105+AL105</f>
        <v>10239.200000000001</v>
      </c>
      <c r="AO105" s="6003"/>
      <c r="AP105" s="760">
        <f t="shared" si="508"/>
        <v>42008.046999999999</v>
      </c>
      <c r="AQ105" s="5693"/>
      <c r="AR105" s="18">
        <v>4593.5</v>
      </c>
      <c r="AS105" s="6003"/>
      <c r="AT105" s="62">
        <f>+AP105+AR105</f>
        <v>46601.546999999999</v>
      </c>
      <c r="AU105" s="5693"/>
      <c r="AV105" s="18">
        <v>5021.4599999999991</v>
      </c>
      <c r="AW105" s="6003"/>
      <c r="AX105" s="62">
        <f>+AT105+AV105</f>
        <v>51623.006999999998</v>
      </c>
      <c r="AY105" s="5693"/>
      <c r="AZ105" s="18">
        <v>6297.5</v>
      </c>
      <c r="BA105" s="5735"/>
      <c r="BB105" s="84">
        <f>+AR105+AV105+AZ105</f>
        <v>15912.46</v>
      </c>
      <c r="BC105" s="6022"/>
      <c r="BD105" s="2513">
        <f>+AN105+BB105</f>
        <v>26151.66</v>
      </c>
      <c r="BE105" s="6003"/>
      <c r="BF105" s="782">
        <f t="shared" si="509"/>
        <v>57920.506999999998</v>
      </c>
      <c r="BG105" s="1219"/>
      <c r="BH105" s="1219"/>
      <c r="BI105" s="1219"/>
      <c r="BJ105" s="1546"/>
      <c r="BK105" s="1546"/>
      <c r="BL105" s="26"/>
      <c r="BM105" s="26"/>
      <c r="BN105" s="26"/>
    </row>
    <row r="106" spans="1:66" ht="15.75" thickBot="1" x14ac:dyDescent="0.3">
      <c r="A106" s="148"/>
      <c r="B106" s="1847" t="s">
        <v>1145</v>
      </c>
      <c r="C106" s="2408" t="s">
        <v>50</v>
      </c>
      <c r="D106" s="6039"/>
      <c r="E106" s="6002"/>
      <c r="F106" s="126"/>
      <c r="G106" s="6002"/>
      <c r="H106" s="126"/>
      <c r="I106" s="6003"/>
      <c r="J106" s="535">
        <f>+F106+H106</f>
        <v>0</v>
      </c>
      <c r="K106" s="6002"/>
      <c r="L106" s="126"/>
      <c r="M106" s="5728"/>
      <c r="N106" s="173">
        <f>+F106+H106+L106</f>
        <v>0</v>
      </c>
      <c r="O106" s="6002"/>
      <c r="P106" s="126"/>
      <c r="Q106" s="6003"/>
      <c r="R106" s="535">
        <f>+N106+P106</f>
        <v>0</v>
      </c>
      <c r="S106" s="6002"/>
      <c r="T106" s="126"/>
      <c r="U106" s="6003"/>
      <c r="V106" s="535">
        <f>+R106+T106</f>
        <v>0</v>
      </c>
      <c r="W106" s="6002"/>
      <c r="X106" s="126"/>
      <c r="Y106" s="5735"/>
      <c r="Z106" s="534">
        <f>+P106+T106+X106</f>
        <v>0</v>
      </c>
      <c r="AA106" s="6022"/>
      <c r="AB106" s="2287">
        <f>+N106+Z106</f>
        <v>0</v>
      </c>
      <c r="AC106" s="6002"/>
      <c r="AD106" s="126"/>
      <c r="AE106" s="6003"/>
      <c r="AF106" s="535">
        <f>+AB106+AD106</f>
        <v>0</v>
      </c>
      <c r="AG106" s="6002"/>
      <c r="AH106" s="126"/>
      <c r="AI106" s="6003"/>
      <c r="AJ106" s="535">
        <f>+AF106+AH106</f>
        <v>0</v>
      </c>
      <c r="AK106" s="6002"/>
      <c r="AL106" s="126"/>
      <c r="AM106" s="5735"/>
      <c r="AN106" s="534">
        <f>+AD106+AH106+AL106</f>
        <v>0</v>
      </c>
      <c r="AO106" s="6003"/>
      <c r="AP106" s="760">
        <f t="shared" si="508"/>
        <v>0</v>
      </c>
      <c r="AQ106" s="6002"/>
      <c r="AR106" s="126"/>
      <c r="AS106" s="6003"/>
      <c r="AT106" s="535">
        <f>+AP106+AR106</f>
        <v>0</v>
      </c>
      <c r="AU106" s="6002"/>
      <c r="AV106" s="126"/>
      <c r="AW106" s="6003"/>
      <c r="AX106" s="535">
        <f>+AT106+AV106</f>
        <v>0</v>
      </c>
      <c r="AY106" s="6002"/>
      <c r="AZ106" s="126"/>
      <c r="BA106" s="5735"/>
      <c r="BB106" s="534">
        <f>+AR106+AV106+AZ106</f>
        <v>0</v>
      </c>
      <c r="BC106" s="6022"/>
      <c r="BD106" s="2513">
        <f>+AN106+BB106</f>
        <v>0</v>
      </c>
      <c r="BE106" s="6003"/>
      <c r="BF106" s="782">
        <f t="shared" si="509"/>
        <v>0</v>
      </c>
      <c r="BG106" s="1219"/>
      <c r="BH106" s="1219"/>
      <c r="BI106" s="1219"/>
      <c r="BJ106" s="1546"/>
      <c r="BK106" s="1546"/>
      <c r="BL106" s="26"/>
      <c r="BM106" s="26"/>
      <c r="BN106" s="26"/>
    </row>
    <row r="107" spans="1:66" ht="16.149999999999999" thickBot="1" x14ac:dyDescent="0.35">
      <c r="A107" s="148"/>
      <c r="B107" s="1831" t="s">
        <v>11</v>
      </c>
      <c r="C107" s="1399" t="s">
        <v>50</v>
      </c>
      <c r="D107" s="1389">
        <f>+D103+D104+D105+D106</f>
        <v>675586.06841363758</v>
      </c>
      <c r="E107" s="455">
        <f>+E103+E104+E105+E106</f>
        <v>57576.689020381331</v>
      </c>
      <c r="F107" s="401">
        <f>+F103+F104+F105+F106</f>
        <v>55112.399999999994</v>
      </c>
      <c r="G107" s="455">
        <f>+G103+G104+G105+G106</f>
        <v>59495.911987727362</v>
      </c>
      <c r="H107" s="401">
        <f>+H103+H104+H105+H106</f>
        <v>57191.499999999993</v>
      </c>
      <c r="I107" s="2409">
        <f t="shared" ref="I107:N107" si="510">+I103+I104+I105+I106</f>
        <v>117072.6010081087</v>
      </c>
      <c r="J107" s="2409">
        <f t="shared" si="510"/>
        <v>112303.9</v>
      </c>
      <c r="K107" s="455">
        <f>+K103+K104+K105+K106</f>
        <v>55226.620080773944</v>
      </c>
      <c r="L107" s="401">
        <f>+L103+L104+L105+L106</f>
        <v>54469.799999999996</v>
      </c>
      <c r="M107" s="354">
        <f t="shared" si="510"/>
        <v>172299.22108888262</v>
      </c>
      <c r="N107" s="67">
        <f t="shared" si="510"/>
        <v>166773.69999999998</v>
      </c>
      <c r="O107" s="455">
        <f>+O103+O104+O105+O106</f>
        <v>57067.507416799723</v>
      </c>
      <c r="P107" s="401">
        <f>+P103+P104+P105+P106</f>
        <v>55906.197763752003</v>
      </c>
      <c r="Q107" s="2409">
        <f t="shared" ref="Q107:R107" si="511">+Q103+Q104+Q105+Q106</f>
        <v>229366.72850568237</v>
      </c>
      <c r="R107" s="2409">
        <f t="shared" si="511"/>
        <v>222679.897763752</v>
      </c>
      <c r="S107" s="455">
        <f>+S103+S104+S105+S106</f>
        <v>57067.507416799723</v>
      </c>
      <c r="T107" s="401">
        <f>+T103+T104+T105+T106</f>
        <v>57418.200000000004</v>
      </c>
      <c r="U107" s="2409">
        <f t="shared" ref="U107:V107" si="512">+U103+U104+U105+U106</f>
        <v>286434.2359224821</v>
      </c>
      <c r="V107" s="2409">
        <f t="shared" si="512"/>
        <v>280098.09776375198</v>
      </c>
      <c r="W107" s="455">
        <f>+W103+W104+W105+W106</f>
        <v>54110.337334460412</v>
      </c>
      <c r="X107" s="401">
        <f>+X103+X104+X105+X106</f>
        <v>55565.794405799992</v>
      </c>
      <c r="Y107" s="1188">
        <f t="shared" ref="Y107:AF107" si="513">+Y103+Y104+Y105+Y106</f>
        <v>168245.35216805985</v>
      </c>
      <c r="Z107" s="1188">
        <f t="shared" si="513"/>
        <v>168890.192169552</v>
      </c>
      <c r="AA107" s="1189">
        <f t="shared" si="513"/>
        <v>340544.5732569425</v>
      </c>
      <c r="AB107" s="460">
        <f t="shared" si="513"/>
        <v>335663.89216955198</v>
      </c>
      <c r="AC107" s="455">
        <f>+AC103+AC104+AC105+AC106</f>
        <v>57672.659314473167</v>
      </c>
      <c r="AD107" s="401">
        <f>+AD103+AD104+AD105+AD106</f>
        <v>57540</v>
      </c>
      <c r="AE107" s="2409">
        <f t="shared" si="513"/>
        <v>398217.23257141566</v>
      </c>
      <c r="AF107" s="401">
        <f t="shared" si="513"/>
        <v>393203.89216955198</v>
      </c>
      <c r="AG107" s="455">
        <f>+AG103+AG104+AG105+AG106</f>
        <v>55812.254962868094</v>
      </c>
      <c r="AH107" s="401">
        <f>+AH103+AH104+AH105+AH106</f>
        <v>53468.1</v>
      </c>
      <c r="AI107" s="2409">
        <f t="shared" ref="AI107:AN107" si="514">+AI103+AI104+AI105+AI106</f>
        <v>454029.48753428372</v>
      </c>
      <c r="AJ107" s="401">
        <f t="shared" si="514"/>
        <v>446671.9921695519</v>
      </c>
      <c r="AK107" s="455">
        <f>+AK103+AK104+AK105+AK106</f>
        <v>57672.663461630356</v>
      </c>
      <c r="AL107" s="401">
        <f>+AL103+AL104+AL105+AL106</f>
        <v>57418.2</v>
      </c>
      <c r="AM107" s="1188">
        <f t="shared" si="514"/>
        <v>171157.57773897165</v>
      </c>
      <c r="AN107" s="1188">
        <f t="shared" si="514"/>
        <v>168426.30000000002</v>
      </c>
      <c r="AO107" s="2409">
        <f t="shared" ref="AO107:AT107" si="515">+AO103+AO104+AO105+AO106</f>
        <v>511702.15099591413</v>
      </c>
      <c r="AP107" s="401">
        <f t="shared" si="515"/>
        <v>504090.19216955203</v>
      </c>
      <c r="AQ107" s="455">
        <f>+AQ103+AQ104+AQ105+AQ106</f>
        <v>57672.663461630356</v>
      </c>
      <c r="AR107" s="401">
        <f>+AR103+AR104+AR105+AR106</f>
        <v>57418.200000000004</v>
      </c>
      <c r="AS107" s="2409">
        <f t="shared" si="515"/>
        <v>569374.81445754447</v>
      </c>
      <c r="AT107" s="401">
        <f t="shared" si="515"/>
        <v>561508.39216955204</v>
      </c>
      <c r="AU107" s="455">
        <f>+AU103+AU104+AU105+AU106</f>
        <v>52091.437965343554</v>
      </c>
      <c r="AV107" s="401">
        <f>+AV103+AV104+AV105+AV106</f>
        <v>49476.149999999994</v>
      </c>
      <c r="AW107" s="2409">
        <f t="shared" ref="AW107:AX107" si="516">+AW103+AW104+AW105+AW106</f>
        <v>621466.25242288783</v>
      </c>
      <c r="AX107" s="401">
        <f t="shared" si="516"/>
        <v>610984.54216955206</v>
      </c>
      <c r="AY107" s="455">
        <f>+AY103+AY104+AY105+AY106</f>
        <v>57672.663461630356</v>
      </c>
      <c r="AZ107" s="401">
        <f>+AZ103+AZ104+AZ105+AZ106</f>
        <v>54084.260000000009</v>
      </c>
      <c r="BA107" s="1188">
        <f t="shared" ref="BA107:BB107" si="517">+BA103+BA104+BA105+BA106</f>
        <v>167436.76488860426</v>
      </c>
      <c r="BB107" s="1188">
        <f t="shared" si="517"/>
        <v>160978.61000000002</v>
      </c>
      <c r="BC107" s="1189">
        <f t="shared" ref="BC107:BF107" si="518">+BC103+BC104+BC105+BC106</f>
        <v>338594.34262757591</v>
      </c>
      <c r="BD107" s="460">
        <f t="shared" si="518"/>
        <v>329404.91000000003</v>
      </c>
      <c r="BE107" s="2409">
        <f t="shared" si="518"/>
        <v>679138.9158845183</v>
      </c>
      <c r="BF107" s="401">
        <f t="shared" si="518"/>
        <v>665068.80216955207</v>
      </c>
      <c r="BG107" s="1219"/>
      <c r="BH107" s="1219"/>
      <c r="BI107" s="1219"/>
      <c r="BJ107" s="1546"/>
      <c r="BK107" s="1546"/>
      <c r="BL107" s="26"/>
      <c r="BM107" s="26"/>
      <c r="BN107" s="26"/>
    </row>
    <row r="108" spans="1:66" ht="18.600000000000001" thickBot="1" x14ac:dyDescent="0.35">
      <c r="B108" s="1830" t="s">
        <v>192</v>
      </c>
      <c r="C108" s="1840"/>
      <c r="D108" s="1190"/>
      <c r="E108" s="1321"/>
      <c r="F108" s="1322"/>
      <c r="G108" s="1321"/>
      <c r="H108" s="1322"/>
      <c r="I108" s="536"/>
      <c r="J108" s="536"/>
      <c r="K108" s="1321"/>
      <c r="L108" s="1322"/>
      <c r="M108" s="1321"/>
      <c r="N108" s="1322"/>
      <c r="O108" s="1321"/>
      <c r="P108" s="1322"/>
      <c r="Q108" s="536"/>
      <c r="R108" s="536"/>
      <c r="S108" s="1321"/>
      <c r="T108" s="1322"/>
      <c r="U108" s="536"/>
      <c r="V108" s="536"/>
      <c r="W108" s="1321"/>
      <c r="X108" s="1322"/>
      <c r="Y108" s="536"/>
      <c r="Z108" s="536"/>
      <c r="AA108" s="2381"/>
      <c r="AB108" s="536"/>
      <c r="AC108" s="1321"/>
      <c r="AD108" s="1322"/>
      <c r="AE108" s="536"/>
      <c r="AF108" s="536"/>
      <c r="AG108" s="1321"/>
      <c r="AH108" s="1322"/>
      <c r="AI108" s="536"/>
      <c r="AJ108" s="536"/>
      <c r="AK108" s="1321"/>
      <c r="AL108" s="1322"/>
      <c r="AM108" s="536"/>
      <c r="AN108" s="536"/>
      <c r="AO108" s="536"/>
      <c r="AP108" s="536"/>
      <c r="AQ108" s="1321"/>
      <c r="AR108" s="1322"/>
      <c r="AS108" s="536"/>
      <c r="AT108" s="536"/>
      <c r="AU108" s="1321"/>
      <c r="AV108" s="1322"/>
      <c r="AW108" s="536"/>
      <c r="AX108" s="536"/>
      <c r="AY108" s="1321"/>
      <c r="AZ108" s="1322"/>
      <c r="BA108" s="536"/>
      <c r="BB108" s="536"/>
      <c r="BC108" s="2381"/>
      <c r="BD108" s="536"/>
      <c r="BE108" s="536"/>
      <c r="BF108" s="536"/>
      <c r="BG108" s="1219"/>
      <c r="BH108" s="1219"/>
      <c r="BI108" s="1219"/>
      <c r="BJ108" s="1546"/>
      <c r="BK108" s="1546"/>
      <c r="BL108" s="26"/>
      <c r="BM108" s="26"/>
      <c r="BN108" s="26"/>
    </row>
    <row r="109" spans="1:66" ht="14.25" customHeight="1" x14ac:dyDescent="0.3">
      <c r="B109" s="1770" t="s">
        <v>2198</v>
      </c>
      <c r="C109" s="777" t="s">
        <v>50</v>
      </c>
      <c r="D109" s="451">
        <v>614993.094017094</v>
      </c>
      <c r="E109" s="368">
        <v>50738.871794871797</v>
      </c>
      <c r="F109" s="88">
        <v>45741.517799999994</v>
      </c>
      <c r="G109" s="368">
        <v>52430.167521367519</v>
      </c>
      <c r="H109" s="88">
        <v>46100.01</v>
      </c>
      <c r="I109" s="1127">
        <f t="shared" ref="I109:J113" si="519">+E109+G109</f>
        <v>103169.03931623932</v>
      </c>
      <c r="J109" s="62">
        <f t="shared" si="519"/>
        <v>91841.527799999996</v>
      </c>
      <c r="K109" s="368">
        <v>50738.871794871797</v>
      </c>
      <c r="L109" s="88">
        <v>45062.68</v>
      </c>
      <c r="M109" s="713">
        <f t="shared" ref="M109:N111" si="520">+E109+G109+K109</f>
        <v>153907.91111111111</v>
      </c>
      <c r="N109" s="73">
        <f t="shared" si="520"/>
        <v>136904.2078</v>
      </c>
      <c r="O109" s="368">
        <v>52430.167521367519</v>
      </c>
      <c r="P109" s="88">
        <v>46816.98</v>
      </c>
      <c r="Q109" s="1127">
        <f t="shared" ref="Q109:R111" si="521">+M109+O109</f>
        <v>206338.07863247863</v>
      </c>
      <c r="R109" s="62">
        <f t="shared" si="521"/>
        <v>183721.18780000001</v>
      </c>
      <c r="S109" s="368">
        <v>52430.167521367519</v>
      </c>
      <c r="T109" s="88">
        <v>46588.159</v>
      </c>
      <c r="U109" s="1127">
        <f t="shared" ref="U109:U113" si="522">+Q109+S109</f>
        <v>258768.24615384615</v>
      </c>
      <c r="V109" s="62">
        <f t="shared" ref="V109:V113" si="523">+R109+T109</f>
        <v>230309.3468</v>
      </c>
      <c r="W109" s="368">
        <v>48409.025641025641</v>
      </c>
      <c r="X109" s="88">
        <v>45199.972000000002</v>
      </c>
      <c r="Y109" s="761">
        <f t="shared" ref="Y109:Z114" si="524">+O109+S109+W109</f>
        <v>153269.36068376066</v>
      </c>
      <c r="Z109" s="84">
        <f t="shared" si="524"/>
        <v>138605.111</v>
      </c>
      <c r="AA109" s="465">
        <f t="shared" ref="AA109:AB121" si="525">+M109+Y109</f>
        <v>307177.27179487178</v>
      </c>
      <c r="AB109" s="465">
        <f t="shared" si="525"/>
        <v>275509.31880000001</v>
      </c>
      <c r="AC109" s="368">
        <v>60035.536127974025</v>
      </c>
      <c r="AD109" s="88">
        <v>49390</v>
      </c>
      <c r="AE109" s="1127">
        <f t="shared" ref="AE109:AE114" si="526">+AA109+AC109</f>
        <v>367212.80792284582</v>
      </c>
      <c r="AF109" s="62">
        <f t="shared" ref="AF109:AF114" si="527">+AB109+AD109</f>
        <v>324899.31880000001</v>
      </c>
      <c r="AG109" s="368">
        <v>58098.905930297449</v>
      </c>
      <c r="AH109" s="88">
        <v>44257.37</v>
      </c>
      <c r="AI109" s="1127">
        <f t="shared" ref="AI109:AI114" si="528">+AE109+AG109</f>
        <v>425311.71385314327</v>
      </c>
      <c r="AJ109" s="62">
        <f t="shared" ref="AJ109:AJ114" si="529">+AF109+AH109</f>
        <v>369156.6888</v>
      </c>
      <c r="AK109" s="368">
        <v>60035.536127974025</v>
      </c>
      <c r="AL109" s="88">
        <v>50943.87</v>
      </c>
      <c r="AM109" s="761">
        <f t="shared" ref="AM109:AM114" si="530">+AC109+AG109+AK109</f>
        <v>178169.97818624548</v>
      </c>
      <c r="AN109" s="84">
        <f t="shared" ref="AN109:AN114" si="531">+AD109+AH109+AL109</f>
        <v>144591.24</v>
      </c>
      <c r="AO109" s="760">
        <f t="shared" ref="AO109:AP109" si="532">AI109+AK109</f>
        <v>485347.24998111732</v>
      </c>
      <c r="AP109" s="760">
        <f t="shared" si="532"/>
        <v>420100.5588</v>
      </c>
      <c r="AQ109" s="368">
        <v>60035.536127974025</v>
      </c>
      <c r="AR109" s="88">
        <v>56953.33</v>
      </c>
      <c r="AS109" s="1127">
        <f t="shared" ref="AS109:AS114" si="533">+AO109+AQ109</f>
        <v>545382.78610909136</v>
      </c>
      <c r="AT109" s="62">
        <f t="shared" ref="AT109:AT114" si="534">+AP109+AR109</f>
        <v>477053.88880000002</v>
      </c>
      <c r="AU109" s="368">
        <v>54225.645534944277</v>
      </c>
      <c r="AV109" s="88">
        <v>52943.57</v>
      </c>
      <c r="AW109" s="1127">
        <f t="shared" ref="AW109:AW114" si="535">+AS109+AU109</f>
        <v>599608.43164403562</v>
      </c>
      <c r="AX109" s="62">
        <f t="shared" ref="AX109:AX114" si="536">+AT109+AV109</f>
        <v>529997.45880000002</v>
      </c>
      <c r="AY109" s="368">
        <v>60035.536127974025</v>
      </c>
      <c r="AZ109" s="88">
        <v>53421.34</v>
      </c>
      <c r="BA109" s="761">
        <f t="shared" ref="BA109:BA111" si="537">+AQ109+AU109+AY109</f>
        <v>174296.71779089232</v>
      </c>
      <c r="BB109" s="84">
        <f t="shared" ref="BB109:BB111" si="538">+AR109+AV109+AZ109</f>
        <v>163318.24</v>
      </c>
      <c r="BC109" s="2513">
        <f t="shared" ref="BC109:BC114" si="539">+AM109+BA109</f>
        <v>352466.69597713777</v>
      </c>
      <c r="BD109" s="2513">
        <f t="shared" ref="BD109:BD114" si="540">+AN109+BB109</f>
        <v>307909.48</v>
      </c>
      <c r="BE109" s="782">
        <f t="shared" ref="BE109:BE114" si="541">AW109+AY109</f>
        <v>659643.96777200967</v>
      </c>
      <c r="BF109" s="782">
        <f t="shared" ref="BF109:BF114" si="542">AX109+AZ109</f>
        <v>583418.79879999999</v>
      </c>
      <c r="BG109" s="1219"/>
      <c r="BH109" s="1219"/>
      <c r="BI109" s="1219"/>
      <c r="BJ109" s="1546"/>
      <c r="BK109" s="1546"/>
      <c r="BL109" s="26"/>
      <c r="BM109" s="26"/>
      <c r="BN109" s="26"/>
    </row>
    <row r="110" spans="1:66" ht="14.45" x14ac:dyDescent="0.3">
      <c r="B110" s="1770" t="s">
        <v>10</v>
      </c>
      <c r="C110" s="777" t="s">
        <v>50</v>
      </c>
      <c r="D110" s="448">
        <v>128123.56125356127</v>
      </c>
      <c r="E110" s="155">
        <v>10570.598290598291</v>
      </c>
      <c r="F110" s="18">
        <v>11570.072399999999</v>
      </c>
      <c r="G110" s="155">
        <v>10922.951566951569</v>
      </c>
      <c r="H110" s="18">
        <v>12572.73</v>
      </c>
      <c r="I110" s="1127">
        <f t="shared" si="519"/>
        <v>21493.54985754986</v>
      </c>
      <c r="J110" s="62">
        <f t="shared" si="519"/>
        <v>24142.8024</v>
      </c>
      <c r="K110" s="155">
        <v>10570.598290598291</v>
      </c>
      <c r="L110" s="18">
        <v>12289.82</v>
      </c>
      <c r="M110" s="72">
        <f t="shared" si="520"/>
        <v>32064.148148148153</v>
      </c>
      <c r="N110" s="69">
        <f t="shared" si="520"/>
        <v>36432.6224</v>
      </c>
      <c r="O110" s="155">
        <v>10922.951566951569</v>
      </c>
      <c r="P110" s="18">
        <v>1716.17</v>
      </c>
      <c r="Q110" s="1127">
        <f t="shared" si="521"/>
        <v>42987.099715099721</v>
      </c>
      <c r="R110" s="62">
        <f t="shared" si="521"/>
        <v>38148.792399999998</v>
      </c>
      <c r="S110" s="155">
        <v>10922.951566951569</v>
      </c>
      <c r="T110" s="18">
        <v>10980.335999999999</v>
      </c>
      <c r="U110" s="1127">
        <f t="shared" si="522"/>
        <v>53910.051282051289</v>
      </c>
      <c r="V110" s="62">
        <f t="shared" si="523"/>
        <v>49129.128400000001</v>
      </c>
      <c r="W110" s="155">
        <v>10085.213675213674</v>
      </c>
      <c r="X110" s="18">
        <v>12327.264999999999</v>
      </c>
      <c r="Y110" s="761">
        <f t="shared" si="524"/>
        <v>31931.116809116815</v>
      </c>
      <c r="Z110" s="84">
        <f t="shared" si="524"/>
        <v>25023.771000000001</v>
      </c>
      <c r="AA110" s="465">
        <f t="shared" si="525"/>
        <v>63995.264957264968</v>
      </c>
      <c r="AB110" s="465">
        <f t="shared" si="525"/>
        <v>61456.393400000001</v>
      </c>
      <c r="AC110" s="155">
        <v>10915.552023268005</v>
      </c>
      <c r="AD110" s="18">
        <v>10509</v>
      </c>
      <c r="AE110" s="1127">
        <f t="shared" si="526"/>
        <v>74910.816980532967</v>
      </c>
      <c r="AF110" s="62">
        <f t="shared" si="527"/>
        <v>71965.393400000001</v>
      </c>
      <c r="AG110" s="155">
        <v>10563.437441872264</v>
      </c>
      <c r="AH110" s="18">
        <v>9777.0300000000007</v>
      </c>
      <c r="AI110" s="1127">
        <f t="shared" si="528"/>
        <v>85474.254422405225</v>
      </c>
      <c r="AJ110" s="62">
        <f t="shared" si="529"/>
        <v>81742.4234</v>
      </c>
      <c r="AK110" s="155">
        <v>10915.552023268005</v>
      </c>
      <c r="AL110" s="18">
        <v>10584.85</v>
      </c>
      <c r="AM110" s="761">
        <f t="shared" si="530"/>
        <v>32394.541488408271</v>
      </c>
      <c r="AN110" s="84">
        <f t="shared" si="531"/>
        <v>30870.879999999997</v>
      </c>
      <c r="AO110" s="760">
        <f t="shared" ref="AO110:AP116" si="543">AI110+AK110</f>
        <v>96389.806445673225</v>
      </c>
      <c r="AP110" s="760">
        <f t="shared" ref="AP110:AP114" si="544">AJ110+AL110</f>
        <v>92327.273400000005</v>
      </c>
      <c r="AQ110" s="155">
        <v>10915.552023268005</v>
      </c>
      <c r="AR110" s="18">
        <v>10584.85</v>
      </c>
      <c r="AS110" s="1127">
        <f t="shared" si="533"/>
        <v>107305.35846894122</v>
      </c>
      <c r="AT110" s="62">
        <f t="shared" si="534"/>
        <v>102912.12340000001</v>
      </c>
      <c r="AU110" s="155">
        <v>9859.2082790807781</v>
      </c>
      <c r="AV110" s="18">
        <v>9551.68</v>
      </c>
      <c r="AW110" s="1127">
        <f t="shared" si="535"/>
        <v>117164.566748022</v>
      </c>
      <c r="AX110" s="62">
        <f t="shared" si="536"/>
        <v>112463.8034</v>
      </c>
      <c r="AY110" s="155">
        <v>10915.552023268005</v>
      </c>
      <c r="AZ110" s="18">
        <v>10602.19</v>
      </c>
      <c r="BA110" s="761">
        <f t="shared" si="537"/>
        <v>31690.312325616789</v>
      </c>
      <c r="BB110" s="84">
        <f t="shared" si="538"/>
        <v>30738.720000000001</v>
      </c>
      <c r="BC110" s="2513">
        <f t="shared" si="539"/>
        <v>64084.85381402506</v>
      </c>
      <c r="BD110" s="2513">
        <f t="shared" si="540"/>
        <v>61609.599999999999</v>
      </c>
      <c r="BE110" s="782">
        <f t="shared" si="541"/>
        <v>128080.11877129</v>
      </c>
      <c r="BF110" s="782">
        <f t="shared" si="542"/>
        <v>123065.99340000001</v>
      </c>
      <c r="BG110" s="1219"/>
      <c r="BH110" s="1219"/>
      <c r="BI110" s="1219"/>
      <c r="BJ110" s="1546"/>
      <c r="BK110" s="1546"/>
      <c r="BL110" s="26"/>
      <c r="BM110" s="26"/>
      <c r="BN110" s="26"/>
    </row>
    <row r="111" spans="1:66" ht="14.45" x14ac:dyDescent="0.3">
      <c r="B111" s="1770" t="s">
        <v>2200</v>
      </c>
      <c r="C111" s="777" t="s">
        <v>50</v>
      </c>
      <c r="D111" s="448">
        <v>32030.890313390319</v>
      </c>
      <c r="E111" s="155">
        <v>2642.6495726495727</v>
      </c>
      <c r="F111" s="18"/>
      <c r="G111" s="155">
        <v>2730.7378917378924</v>
      </c>
      <c r="H111" s="18"/>
      <c r="I111" s="1127">
        <f t="shared" si="519"/>
        <v>5373.3874643874651</v>
      </c>
      <c r="J111" s="62">
        <f t="shared" si="519"/>
        <v>0</v>
      </c>
      <c r="K111" s="155">
        <v>2642.6495726495727</v>
      </c>
      <c r="L111" s="18"/>
      <c r="M111" s="72">
        <f t="shared" si="520"/>
        <v>8016.0370370370383</v>
      </c>
      <c r="N111" s="69">
        <f t="shared" si="520"/>
        <v>0</v>
      </c>
      <c r="O111" s="155">
        <v>2730.7378917378924</v>
      </c>
      <c r="P111" s="18">
        <v>14415.79</v>
      </c>
      <c r="Q111" s="1127">
        <f t="shared" si="521"/>
        <v>10746.77492877493</v>
      </c>
      <c r="R111" s="62">
        <f t="shared" si="521"/>
        <v>14415.79</v>
      </c>
      <c r="S111" s="155">
        <v>2730.7378917378924</v>
      </c>
      <c r="T111" s="18">
        <v>8705.6370000000006</v>
      </c>
      <c r="U111" s="1127">
        <f t="shared" si="522"/>
        <v>13477.512820512822</v>
      </c>
      <c r="V111" s="62">
        <f t="shared" si="523"/>
        <v>23121.427000000003</v>
      </c>
      <c r="W111" s="155">
        <v>2521.3034188034185</v>
      </c>
      <c r="X111" s="18">
        <v>15409.082</v>
      </c>
      <c r="Y111" s="761">
        <f t="shared" si="524"/>
        <v>7982.7792022792037</v>
      </c>
      <c r="Z111" s="84">
        <f t="shared" si="524"/>
        <v>38530.509000000005</v>
      </c>
      <c r="AA111" s="465">
        <f t="shared" si="525"/>
        <v>15998.816239316242</v>
      </c>
      <c r="AB111" s="465">
        <f t="shared" si="525"/>
        <v>38530.509000000005</v>
      </c>
      <c r="AC111" s="155"/>
      <c r="AD111" s="18">
        <v>5254</v>
      </c>
      <c r="AE111" s="1127">
        <f t="shared" si="526"/>
        <v>15998.816239316242</v>
      </c>
      <c r="AF111" s="62">
        <f t="shared" si="527"/>
        <v>43784.509000000005</v>
      </c>
      <c r="AG111" s="155"/>
      <c r="AH111" s="18">
        <v>4888.5200000000004</v>
      </c>
      <c r="AI111" s="1127">
        <f t="shared" si="528"/>
        <v>15998.816239316242</v>
      </c>
      <c r="AJ111" s="62">
        <f t="shared" si="529"/>
        <v>48673.02900000001</v>
      </c>
      <c r="AK111" s="155"/>
      <c r="AL111" s="18">
        <v>2731.57</v>
      </c>
      <c r="AM111" s="761">
        <f t="shared" si="530"/>
        <v>0</v>
      </c>
      <c r="AN111" s="84">
        <f t="shared" si="531"/>
        <v>12874.09</v>
      </c>
      <c r="AO111" s="760">
        <f t="shared" si="543"/>
        <v>15998.816239316242</v>
      </c>
      <c r="AP111" s="760">
        <f t="shared" si="544"/>
        <v>51404.599000000009</v>
      </c>
      <c r="AQ111" s="155"/>
      <c r="AR111" s="18"/>
      <c r="AS111" s="1127">
        <f t="shared" si="533"/>
        <v>15998.816239316242</v>
      </c>
      <c r="AT111" s="62">
        <f t="shared" si="534"/>
        <v>51404.599000000009</v>
      </c>
      <c r="AU111" s="155"/>
      <c r="AV111" s="18"/>
      <c r="AW111" s="1127">
        <f t="shared" si="535"/>
        <v>15998.816239316242</v>
      </c>
      <c r="AX111" s="62">
        <f t="shared" si="536"/>
        <v>51404.599000000009</v>
      </c>
      <c r="AY111" s="155"/>
      <c r="AZ111" s="18"/>
      <c r="BA111" s="761">
        <f t="shared" si="537"/>
        <v>0</v>
      </c>
      <c r="BB111" s="84">
        <f t="shared" si="538"/>
        <v>0</v>
      </c>
      <c r="BC111" s="2513">
        <f t="shared" si="539"/>
        <v>0</v>
      </c>
      <c r="BD111" s="2513">
        <f t="shared" si="540"/>
        <v>12874.09</v>
      </c>
      <c r="BE111" s="782">
        <f t="shared" si="541"/>
        <v>15998.816239316242</v>
      </c>
      <c r="BF111" s="782">
        <f t="shared" si="542"/>
        <v>51404.599000000009</v>
      </c>
      <c r="BG111" s="1219"/>
      <c r="BH111" s="1219"/>
      <c r="BI111" s="1219"/>
      <c r="BJ111" s="1546"/>
      <c r="BK111" s="1546"/>
      <c r="BL111" s="26"/>
      <c r="BM111" s="26"/>
      <c r="BN111" s="26"/>
    </row>
    <row r="112" spans="1:66" ht="14.45" x14ac:dyDescent="0.3">
      <c r="B112" s="4763" t="s">
        <v>2199</v>
      </c>
      <c r="C112" s="4764" t="s">
        <v>50</v>
      </c>
      <c r="D112" s="4765">
        <v>32030.890313390319</v>
      </c>
      <c r="E112" s="1311">
        <v>2642.6495726495727</v>
      </c>
      <c r="F112" s="4461"/>
      <c r="G112" s="1311">
        <v>2730.7378917378924</v>
      </c>
      <c r="H112" s="4461"/>
      <c r="I112" s="1127">
        <f t="shared" ref="I112" si="545">+E112+G112</f>
        <v>5373.3874643874651</v>
      </c>
      <c r="J112" s="62">
        <f t="shared" ref="J112" si="546">+F112+H112</f>
        <v>0</v>
      </c>
      <c r="K112" s="1311">
        <v>2642.6495726495727</v>
      </c>
      <c r="L112" s="4461"/>
      <c r="M112" s="72">
        <f t="shared" ref="M112" si="547">+E112+G112+K112</f>
        <v>8016.0370370370383</v>
      </c>
      <c r="N112" s="69">
        <f t="shared" ref="N112" si="548">+F112+H112+L112</f>
        <v>0</v>
      </c>
      <c r="O112" s="1311">
        <v>2730.7378917378924</v>
      </c>
      <c r="P112" s="4461">
        <v>10708.87</v>
      </c>
      <c r="Q112" s="1127">
        <f t="shared" ref="Q112" si="549">+M112+O112</f>
        <v>10746.77492877493</v>
      </c>
      <c r="R112" s="62">
        <f t="shared" ref="R112" si="550">+N112+P112</f>
        <v>10708.87</v>
      </c>
      <c r="S112" s="1311">
        <v>2730.7378917378924</v>
      </c>
      <c r="T112" s="4461">
        <v>1210.6759999999999</v>
      </c>
      <c r="U112" s="1127">
        <f t="shared" ref="U112" si="551">+Q112+S112</f>
        <v>13477.512820512822</v>
      </c>
      <c r="V112" s="62">
        <f t="shared" ref="V112" si="552">+R112+T112</f>
        <v>11919.546</v>
      </c>
      <c r="W112" s="1311">
        <v>2521.3034188034185</v>
      </c>
      <c r="X112" s="4461"/>
      <c r="Y112" s="761">
        <f t="shared" ref="Y112" si="553">+O112+S112+W112</f>
        <v>7982.7792022792037</v>
      </c>
      <c r="Z112" s="84">
        <f t="shared" ref="Z112" si="554">+P112+T112+X112</f>
        <v>11919.546</v>
      </c>
      <c r="AA112" s="465">
        <f t="shared" ref="AA112" si="555">+M112+Y112</f>
        <v>15998.816239316242</v>
      </c>
      <c r="AB112" s="465">
        <f t="shared" ref="AB112" si="556">+N112+Z112</f>
        <v>11919.546</v>
      </c>
      <c r="AC112" s="155"/>
      <c r="AD112" s="18">
        <v>5255</v>
      </c>
      <c r="AE112" s="1127">
        <f t="shared" ref="AE112" si="557">+AA112+AC112</f>
        <v>15998.816239316242</v>
      </c>
      <c r="AF112" s="62">
        <f t="shared" ref="AF112" si="558">+AB112+AD112</f>
        <v>17174.546000000002</v>
      </c>
      <c r="AG112" s="155"/>
      <c r="AH112" s="18">
        <v>4889.5200000000004</v>
      </c>
      <c r="AI112" s="1127">
        <f t="shared" ref="AI112" si="559">+AE112+AG112</f>
        <v>15998.816239316242</v>
      </c>
      <c r="AJ112" s="62">
        <f t="shared" ref="AJ112" si="560">+AF112+AH112</f>
        <v>22064.066000000003</v>
      </c>
      <c r="AK112" s="155"/>
      <c r="AL112" s="18">
        <v>2732.57</v>
      </c>
      <c r="AM112" s="761">
        <f t="shared" ref="AM112" si="561">+AC112+AG112+AK112</f>
        <v>0</v>
      </c>
      <c r="AN112" s="84">
        <f t="shared" ref="AN112" si="562">+AD112+AH112+AL112</f>
        <v>12877.09</v>
      </c>
      <c r="AO112" s="760">
        <f t="shared" ref="AO112" si="563">AI112+AK112</f>
        <v>15998.816239316242</v>
      </c>
      <c r="AP112" s="760">
        <f t="shared" ref="AP112" si="564">AJ112+AL112</f>
        <v>24796.636000000002</v>
      </c>
      <c r="AQ112" s="155"/>
      <c r="AR112" s="18"/>
      <c r="AS112" s="1127">
        <f t="shared" ref="AS112" si="565">+AO112+AQ112</f>
        <v>15998.816239316242</v>
      </c>
      <c r="AT112" s="62">
        <f t="shared" ref="AT112" si="566">+AP112+AR112</f>
        <v>24796.636000000002</v>
      </c>
      <c r="AU112" s="155"/>
      <c r="AV112" s="18"/>
      <c r="AW112" s="1127">
        <f t="shared" ref="AW112" si="567">+AS112+AU112</f>
        <v>15998.816239316242</v>
      </c>
      <c r="AX112" s="62">
        <f t="shared" ref="AX112" si="568">+AT112+AV112</f>
        <v>24796.636000000002</v>
      </c>
      <c r="AY112" s="155"/>
      <c r="AZ112" s="18"/>
      <c r="BA112" s="761">
        <f t="shared" ref="BA112" si="569">+AQ112+AU112+AY112</f>
        <v>0</v>
      </c>
      <c r="BB112" s="84">
        <f t="shared" ref="BB112" si="570">+AR112+AV112+AZ112</f>
        <v>0</v>
      </c>
      <c r="BC112" s="2513">
        <f t="shared" ref="BC112" si="571">+AM112+BA112</f>
        <v>0</v>
      </c>
      <c r="BD112" s="2513">
        <f t="shared" ref="BD112" si="572">+AN112+BB112</f>
        <v>12877.09</v>
      </c>
      <c r="BE112" s="782">
        <f t="shared" ref="BE112" si="573">AW112+AY112</f>
        <v>15998.816239316242</v>
      </c>
      <c r="BF112" s="782">
        <f t="shared" ref="BF112" si="574">AX112+AZ112</f>
        <v>24796.636000000002</v>
      </c>
      <c r="BG112" s="1219"/>
      <c r="BH112" s="1219"/>
      <c r="BI112" s="1219"/>
      <c r="BJ112" s="1546"/>
      <c r="BK112" s="1546"/>
      <c r="BL112" s="26"/>
      <c r="BM112" s="26"/>
      <c r="BN112" s="26"/>
    </row>
    <row r="113" spans="1:66" ht="14.45" x14ac:dyDescent="0.3">
      <c r="B113" s="1770" t="s">
        <v>1278</v>
      </c>
      <c r="C113" s="777" t="s">
        <v>50</v>
      </c>
      <c r="D113" s="1149"/>
      <c r="E113" s="1311"/>
      <c r="F113" s="126"/>
      <c r="G113" s="1311"/>
      <c r="H113" s="126"/>
      <c r="I113" s="1127">
        <f t="shared" si="519"/>
        <v>0</v>
      </c>
      <c r="J113" s="62">
        <f t="shared" si="519"/>
        <v>0</v>
      </c>
      <c r="K113" s="1311"/>
      <c r="L113" s="126"/>
      <c r="M113" s="72">
        <f t="shared" ref="M113" si="575">+E113+G113+K113</f>
        <v>0</v>
      </c>
      <c r="N113" s="69">
        <f t="shared" ref="N113" si="576">+F113+H113+L113</f>
        <v>0</v>
      </c>
      <c r="O113" s="1311"/>
      <c r="P113" s="126">
        <v>343.23</v>
      </c>
      <c r="Q113" s="1127">
        <f t="shared" ref="Q113" si="577">+M113+O113</f>
        <v>0</v>
      </c>
      <c r="R113" s="62">
        <f t="shared" ref="R113" si="578">+N113+P113</f>
        <v>343.23</v>
      </c>
      <c r="S113" s="1311"/>
      <c r="T113" s="126">
        <v>514.85</v>
      </c>
      <c r="U113" s="1127">
        <f t="shared" si="522"/>
        <v>0</v>
      </c>
      <c r="V113" s="62">
        <f t="shared" si="523"/>
        <v>858.08</v>
      </c>
      <c r="W113" s="1311"/>
      <c r="X113" s="126"/>
      <c r="Y113" s="761">
        <f t="shared" si="524"/>
        <v>0</v>
      </c>
      <c r="Z113" s="84">
        <f t="shared" si="524"/>
        <v>858.08</v>
      </c>
      <c r="AA113" s="465">
        <f t="shared" si="525"/>
        <v>0</v>
      </c>
      <c r="AB113" s="465">
        <f t="shared" si="525"/>
        <v>858.08</v>
      </c>
      <c r="AC113" s="1311"/>
      <c r="AD113" s="126"/>
      <c r="AE113" s="1127">
        <f t="shared" si="526"/>
        <v>0</v>
      </c>
      <c r="AF113" s="62">
        <f t="shared" si="527"/>
        <v>858.08</v>
      </c>
      <c r="AG113" s="1311"/>
      <c r="AH113" s="126"/>
      <c r="AI113" s="1127">
        <f t="shared" si="528"/>
        <v>0</v>
      </c>
      <c r="AJ113" s="62">
        <f t="shared" si="529"/>
        <v>858.08</v>
      </c>
      <c r="AK113" s="1311"/>
      <c r="AL113" s="126">
        <v>1365.79</v>
      </c>
      <c r="AM113" s="761">
        <f t="shared" si="530"/>
        <v>0</v>
      </c>
      <c r="AN113" s="84">
        <f t="shared" si="531"/>
        <v>1365.79</v>
      </c>
      <c r="AO113" s="760">
        <f t="shared" si="543"/>
        <v>0</v>
      </c>
      <c r="AP113" s="760">
        <f t="shared" si="544"/>
        <v>2223.87</v>
      </c>
      <c r="AQ113" s="1311"/>
      <c r="AR113" s="126"/>
      <c r="AS113" s="1127">
        <f t="shared" si="533"/>
        <v>0</v>
      </c>
      <c r="AT113" s="62">
        <f t="shared" si="534"/>
        <v>2223.87</v>
      </c>
      <c r="AU113" s="1311"/>
      <c r="AV113" s="126"/>
      <c r="AW113" s="1127">
        <f t="shared" si="535"/>
        <v>0</v>
      </c>
      <c r="AX113" s="62">
        <f t="shared" si="536"/>
        <v>2223.87</v>
      </c>
      <c r="AY113" s="1311"/>
      <c r="AZ113" s="126"/>
      <c r="BA113" s="761">
        <f t="shared" ref="BA113:BA114" si="579">+AQ113+AU113+AY113</f>
        <v>0</v>
      </c>
      <c r="BB113" s="84">
        <f t="shared" ref="BB113:BB114" si="580">+AR113+AV113+AZ113</f>
        <v>0</v>
      </c>
      <c r="BC113" s="2513">
        <f t="shared" si="539"/>
        <v>0</v>
      </c>
      <c r="BD113" s="2513">
        <f t="shared" si="540"/>
        <v>1365.79</v>
      </c>
      <c r="BE113" s="782">
        <f t="shared" si="541"/>
        <v>0</v>
      </c>
      <c r="BF113" s="782">
        <f t="shared" si="542"/>
        <v>2223.87</v>
      </c>
      <c r="BG113" s="1219"/>
      <c r="BH113" s="1219"/>
      <c r="BI113" s="1219"/>
      <c r="BJ113" s="1546"/>
      <c r="BK113" s="1546"/>
      <c r="BL113" s="26"/>
      <c r="BM113" s="26"/>
      <c r="BN113" s="26"/>
    </row>
    <row r="114" spans="1:66" thickBot="1" x14ac:dyDescent="0.35">
      <c r="B114" s="1770" t="s">
        <v>612</v>
      </c>
      <c r="C114" s="777" t="s">
        <v>50</v>
      </c>
      <c r="D114" s="1337">
        <v>115311.20512820513</v>
      </c>
      <c r="E114" s="720">
        <v>9513.538461538461</v>
      </c>
      <c r="F114" s="38">
        <v>14119.357499999995</v>
      </c>
      <c r="G114" s="720">
        <v>9830.6564102564116</v>
      </c>
      <c r="H114" s="38">
        <v>15715.91</v>
      </c>
      <c r="I114" s="1127">
        <f>+E114+G114</f>
        <v>19344.194871794873</v>
      </c>
      <c r="J114" s="62">
        <f>+F114+H114</f>
        <v>29835.267499999994</v>
      </c>
      <c r="K114" s="720">
        <v>9513.538461538461</v>
      </c>
      <c r="L114" s="38">
        <v>15362.28</v>
      </c>
      <c r="M114" s="1541">
        <f>+E114+G114+K114</f>
        <v>28857.733333333334</v>
      </c>
      <c r="N114" s="74">
        <f>+F114+H114+L114</f>
        <v>45197.547499999993</v>
      </c>
      <c r="O114" s="720">
        <v>9830.6564102564116</v>
      </c>
      <c r="P114" s="38">
        <v>1544.55</v>
      </c>
      <c r="Q114" s="1127">
        <f>+M114+O114</f>
        <v>38688.389743589745</v>
      </c>
      <c r="R114" s="62">
        <f>+N114+P114</f>
        <v>46742.097499999996</v>
      </c>
      <c r="S114" s="720">
        <v>9830.6564102564116</v>
      </c>
      <c r="T114" s="38">
        <v>7176.69</v>
      </c>
      <c r="U114" s="1127">
        <f>+Q114+S114</f>
        <v>48519.046153846153</v>
      </c>
      <c r="V114" s="62">
        <f>+R114+T114</f>
        <v>53918.787499999999</v>
      </c>
      <c r="W114" s="720">
        <v>9076.6923076923067</v>
      </c>
      <c r="X114" s="38"/>
      <c r="Y114" s="761">
        <f t="shared" si="524"/>
        <v>28738.005128205128</v>
      </c>
      <c r="Z114" s="84">
        <f t="shared" si="524"/>
        <v>8721.24</v>
      </c>
      <c r="AA114" s="465">
        <f t="shared" si="525"/>
        <v>57595.738461538465</v>
      </c>
      <c r="AB114" s="465">
        <f t="shared" si="525"/>
        <v>53918.787499999991</v>
      </c>
      <c r="AC114" s="720">
        <v>10915.552023268005</v>
      </c>
      <c r="AD114" s="38">
        <v>10509</v>
      </c>
      <c r="AE114" s="1127">
        <f t="shared" si="526"/>
        <v>68511.290484806465</v>
      </c>
      <c r="AF114" s="62">
        <f t="shared" si="527"/>
        <v>64427.787499999991</v>
      </c>
      <c r="AG114" s="720">
        <v>10563.437441872264</v>
      </c>
      <c r="AH114" s="38">
        <v>9777.0300000000007</v>
      </c>
      <c r="AI114" s="1127">
        <f t="shared" si="528"/>
        <v>79074.727926678723</v>
      </c>
      <c r="AJ114" s="62">
        <f t="shared" si="529"/>
        <v>74204.81749999999</v>
      </c>
      <c r="AK114" s="720">
        <v>10915.552023268005</v>
      </c>
      <c r="AL114" s="38">
        <v>10584.85</v>
      </c>
      <c r="AM114" s="761">
        <f t="shared" si="530"/>
        <v>32394.541488408271</v>
      </c>
      <c r="AN114" s="84">
        <f t="shared" si="531"/>
        <v>30870.879999999997</v>
      </c>
      <c r="AO114" s="760">
        <f t="shared" si="543"/>
        <v>89990.279949946722</v>
      </c>
      <c r="AP114" s="760">
        <f t="shared" si="544"/>
        <v>84789.667499999996</v>
      </c>
      <c r="AQ114" s="720">
        <v>10915.552023268005</v>
      </c>
      <c r="AR114" s="38">
        <v>10584.85</v>
      </c>
      <c r="AS114" s="1127">
        <f t="shared" si="533"/>
        <v>100905.83197321472</v>
      </c>
      <c r="AT114" s="62">
        <f t="shared" si="534"/>
        <v>95374.517500000002</v>
      </c>
      <c r="AU114" s="720">
        <v>9859.2082790807781</v>
      </c>
      <c r="AV114" s="38">
        <v>9551.68</v>
      </c>
      <c r="AW114" s="1127">
        <f t="shared" si="535"/>
        <v>110765.0402522955</v>
      </c>
      <c r="AX114" s="62">
        <f t="shared" si="536"/>
        <v>104926.19750000001</v>
      </c>
      <c r="AY114" s="720">
        <v>10915.552023268005</v>
      </c>
      <c r="AZ114" s="38">
        <v>4788.08</v>
      </c>
      <c r="BA114" s="761">
        <f t="shared" si="579"/>
        <v>31690.312325616789</v>
      </c>
      <c r="BB114" s="84">
        <f t="shared" si="580"/>
        <v>24924.61</v>
      </c>
      <c r="BC114" s="2513">
        <f t="shared" si="539"/>
        <v>64084.85381402506</v>
      </c>
      <c r="BD114" s="2513">
        <f t="shared" si="540"/>
        <v>55795.49</v>
      </c>
      <c r="BE114" s="782">
        <f t="shared" si="541"/>
        <v>121680.5922755635</v>
      </c>
      <c r="BF114" s="782">
        <f t="shared" si="542"/>
        <v>109714.27750000001</v>
      </c>
      <c r="BG114" s="1219"/>
      <c r="BH114" s="1219"/>
      <c r="BI114" s="1219"/>
      <c r="BJ114" s="1546"/>
      <c r="BK114" s="1546"/>
      <c r="BL114" s="26"/>
      <c r="BM114" s="26"/>
      <c r="BN114" s="26"/>
    </row>
    <row r="115" spans="1:66" ht="16.149999999999999" thickBot="1" x14ac:dyDescent="0.35">
      <c r="B115" s="1851" t="s">
        <v>13</v>
      </c>
      <c r="C115" s="1671" t="s">
        <v>50</v>
      </c>
      <c r="D115" s="615">
        <f t="shared" ref="D115:AX115" si="581">SUM(D109:D114)</f>
        <v>922489.641025641</v>
      </c>
      <c r="E115" s="1184">
        <f t="shared" si="581"/>
        <v>76108.307692307688</v>
      </c>
      <c r="F115" s="1184">
        <f t="shared" si="581"/>
        <v>71430.94769999999</v>
      </c>
      <c r="G115" s="1184">
        <f t="shared" ref="G115:H115" si="582">SUM(G109:G114)</f>
        <v>78645.251282051293</v>
      </c>
      <c r="H115" s="1184">
        <f t="shared" si="582"/>
        <v>74388.650000000009</v>
      </c>
      <c r="I115" s="775">
        <f t="shared" si="581"/>
        <v>154753.55897435898</v>
      </c>
      <c r="J115" s="775">
        <f t="shared" si="581"/>
        <v>145819.59769999998</v>
      </c>
      <c r="K115" s="1184">
        <f t="shared" ref="K115:L115" si="583">SUM(K109:K114)</f>
        <v>76108.307692307688</v>
      </c>
      <c r="L115" s="1184">
        <f t="shared" si="583"/>
        <v>72714.78</v>
      </c>
      <c r="M115" s="1585">
        <f t="shared" si="581"/>
        <v>230861.8666666667</v>
      </c>
      <c r="N115" s="1585">
        <f t="shared" si="581"/>
        <v>218534.37769999998</v>
      </c>
      <c r="O115" s="1184">
        <f t="shared" ref="O115:P115" si="584">SUM(O109:O114)</f>
        <v>78645.251282051293</v>
      </c>
      <c r="P115" s="1184">
        <f t="shared" si="584"/>
        <v>75545.59</v>
      </c>
      <c r="Q115" s="775">
        <f t="shared" si="581"/>
        <v>309507.11794871796</v>
      </c>
      <c r="R115" s="775">
        <f t="shared" si="581"/>
        <v>294079.96770000004</v>
      </c>
      <c r="S115" s="1184">
        <f t="shared" ref="S115:T115" si="585">SUM(S109:S114)</f>
        <v>78645.251282051293</v>
      </c>
      <c r="T115" s="1184">
        <f t="shared" si="585"/>
        <v>75176.348000000013</v>
      </c>
      <c r="U115" s="775">
        <f t="shared" si="581"/>
        <v>388152.36923076923</v>
      </c>
      <c r="V115" s="775">
        <f t="shared" si="581"/>
        <v>369256.31569999998</v>
      </c>
      <c r="W115" s="1184">
        <f t="shared" ref="W115:X115" si="586">SUM(W109:W114)</f>
        <v>72613.538461538468</v>
      </c>
      <c r="X115" s="1184">
        <f t="shared" si="586"/>
        <v>72936.319000000003</v>
      </c>
      <c r="Y115" s="1583">
        <f t="shared" si="581"/>
        <v>229904.04102564103</v>
      </c>
      <c r="Z115" s="1583">
        <f t="shared" si="581"/>
        <v>223658.25699999998</v>
      </c>
      <c r="AA115" s="2431">
        <f t="shared" si="581"/>
        <v>460765.90769230772</v>
      </c>
      <c r="AB115" s="2429">
        <f t="shared" si="581"/>
        <v>442192.6347</v>
      </c>
      <c r="AC115" s="1184">
        <f t="shared" si="581"/>
        <v>81866.64017451003</v>
      </c>
      <c r="AD115" s="1184">
        <f t="shared" si="581"/>
        <v>80917</v>
      </c>
      <c r="AE115" s="775">
        <f t="shared" si="581"/>
        <v>542632.5478668178</v>
      </c>
      <c r="AF115" s="775">
        <f t="shared" si="581"/>
        <v>523109.6347</v>
      </c>
      <c r="AG115" s="1184">
        <f t="shared" si="581"/>
        <v>79225.780814041966</v>
      </c>
      <c r="AH115" s="1184">
        <f t="shared" si="581"/>
        <v>73589.47</v>
      </c>
      <c r="AI115" s="775">
        <f t="shared" si="581"/>
        <v>621858.32868085965</v>
      </c>
      <c r="AJ115" s="775">
        <f t="shared" si="581"/>
        <v>596699.10469999991</v>
      </c>
      <c r="AK115" s="1184">
        <f t="shared" si="581"/>
        <v>81866.64017451003</v>
      </c>
      <c r="AL115" s="1184">
        <f t="shared" si="581"/>
        <v>78943.5</v>
      </c>
      <c r="AM115" s="1583">
        <f t="shared" si="581"/>
        <v>242959.06116306206</v>
      </c>
      <c r="AN115" s="1583">
        <f t="shared" si="581"/>
        <v>233449.97</v>
      </c>
      <c r="AO115" s="775">
        <f t="shared" si="581"/>
        <v>703724.96885536972</v>
      </c>
      <c r="AP115" s="775">
        <f t="shared" si="581"/>
        <v>675642.60470000003</v>
      </c>
      <c r="AQ115" s="1184">
        <f t="shared" si="581"/>
        <v>81866.64017451003</v>
      </c>
      <c r="AR115" s="1184">
        <f t="shared" si="581"/>
        <v>78123.030000000013</v>
      </c>
      <c r="AS115" s="775">
        <f t="shared" si="581"/>
        <v>785591.60902987979</v>
      </c>
      <c r="AT115" s="775">
        <f t="shared" si="581"/>
        <v>753765.63470000005</v>
      </c>
      <c r="AU115" s="1184">
        <f t="shared" si="581"/>
        <v>73944.062093105837</v>
      </c>
      <c r="AV115" s="1184">
        <f t="shared" si="581"/>
        <v>72046.929999999993</v>
      </c>
      <c r="AW115" s="775">
        <f t="shared" si="581"/>
        <v>859535.67112298566</v>
      </c>
      <c r="AX115" s="775">
        <f t="shared" si="581"/>
        <v>825812.5647000001</v>
      </c>
      <c r="AY115" s="1184">
        <f t="shared" ref="AY115:BB115" si="587">SUM(AY109:AY114)</f>
        <v>81866.64017451003</v>
      </c>
      <c r="AZ115" s="1184">
        <f t="shared" si="587"/>
        <v>68811.61</v>
      </c>
      <c r="BA115" s="1583">
        <f t="shared" si="587"/>
        <v>237677.3424421259</v>
      </c>
      <c r="BB115" s="1583">
        <f t="shared" si="587"/>
        <v>218981.57</v>
      </c>
      <c r="BC115" s="2431">
        <f>SUM(BC109:BC114)</f>
        <v>480636.40360518789</v>
      </c>
      <c r="BD115" s="2429">
        <f>SUM(BD109:BD114)</f>
        <v>452431.54</v>
      </c>
      <c r="BE115" s="775">
        <f t="shared" ref="BE115:BF115" si="588">SUM(BE109:BE114)</f>
        <v>941402.31129749573</v>
      </c>
      <c r="BF115" s="775">
        <f t="shared" si="588"/>
        <v>894624.17470000009</v>
      </c>
      <c r="BG115" s="1219"/>
      <c r="BH115" s="1219"/>
      <c r="BI115" s="1219"/>
      <c r="BJ115" s="1546"/>
      <c r="BK115" s="1546"/>
      <c r="BL115" s="26"/>
      <c r="BM115" s="26"/>
      <c r="BN115" s="26"/>
    </row>
    <row r="116" spans="1:66" ht="15" customHeight="1" x14ac:dyDescent="0.3">
      <c r="B116" s="1770" t="s">
        <v>1381</v>
      </c>
      <c r="C116" s="777" t="s">
        <v>50</v>
      </c>
      <c r="D116" s="448">
        <v>217810.05413105414</v>
      </c>
      <c r="E116" s="155">
        <v>17970.017094017094</v>
      </c>
      <c r="F116" s="29">
        <v>23929.580699999999</v>
      </c>
      <c r="G116" s="155">
        <v>18569.017663817664</v>
      </c>
      <c r="H116" s="29">
        <v>24803.96</v>
      </c>
      <c r="I116" s="718">
        <f t="shared" ref="I116:J119" si="589">+E116+G116</f>
        <v>36539.034757834757</v>
      </c>
      <c r="J116" s="62">
        <f t="shared" si="589"/>
        <v>48733.540699999998</v>
      </c>
      <c r="K116" s="155">
        <v>17970.017094017094</v>
      </c>
      <c r="L116" s="29">
        <v>21168.12</v>
      </c>
      <c r="M116" s="72">
        <f t="shared" ref="M116:N119" si="590">+E116+G116+K116</f>
        <v>54509.051851851851</v>
      </c>
      <c r="N116" s="84">
        <f t="shared" si="590"/>
        <v>69901.660699999993</v>
      </c>
      <c r="O116" s="155">
        <v>18569.017663817664</v>
      </c>
      <c r="P116" s="29">
        <v>22516.080000000002</v>
      </c>
      <c r="Q116" s="718">
        <f t="shared" ref="Q116:R119" si="591">+M116+O116</f>
        <v>73078.069515669515</v>
      </c>
      <c r="R116" s="62">
        <f t="shared" si="591"/>
        <v>92417.740699999995</v>
      </c>
      <c r="S116" s="155">
        <v>18569.017663817664</v>
      </c>
      <c r="T116" s="29">
        <v>16941.149000000001</v>
      </c>
      <c r="U116" s="718">
        <f t="shared" ref="U116:U119" si="592">+Q116+S116</f>
        <v>91647.087179487178</v>
      </c>
      <c r="V116" s="62">
        <f t="shared" ref="V116:V119" si="593">+R116+T116</f>
        <v>109358.8897</v>
      </c>
      <c r="W116" s="155">
        <v>17144.863247863246</v>
      </c>
      <c r="X116" s="29">
        <v>16436.353999999999</v>
      </c>
      <c r="Y116" s="761">
        <f t="shared" ref="Y116:Z119" si="594">+O116+S116+W116</f>
        <v>54282.898575498577</v>
      </c>
      <c r="Z116" s="84">
        <f t="shared" si="594"/>
        <v>55893.583000000006</v>
      </c>
      <c r="AA116" s="465">
        <f t="shared" si="525"/>
        <v>108791.95042735043</v>
      </c>
      <c r="AB116" s="454">
        <f t="shared" si="525"/>
        <v>125795.24369999999</v>
      </c>
      <c r="AC116" s="155">
        <v>21831.104046536009</v>
      </c>
      <c r="AD116" s="29">
        <v>17865</v>
      </c>
      <c r="AE116" s="718">
        <f t="shared" ref="AE116:AE119" si="595">+AA116+AC116</f>
        <v>130623.05447388644</v>
      </c>
      <c r="AF116" s="62">
        <f t="shared" ref="AF116:AF119" si="596">+AB116+AD116</f>
        <v>143660.24369999999</v>
      </c>
      <c r="AG116" s="155">
        <v>21126.874883744527</v>
      </c>
      <c r="AH116" s="29">
        <v>16620.96</v>
      </c>
      <c r="AI116" s="718">
        <f t="shared" ref="AI116:AI119" si="597">+AE116+AG116</f>
        <v>151749.92935763096</v>
      </c>
      <c r="AJ116" s="62">
        <f t="shared" ref="AJ116:AJ119" si="598">+AF116+AH116</f>
        <v>160281.20369999998</v>
      </c>
      <c r="AK116" s="155">
        <v>21831.104046536009</v>
      </c>
      <c r="AL116" s="29">
        <v>17994.25</v>
      </c>
      <c r="AM116" s="761">
        <f t="shared" ref="AM116:AM119" si="599">+AC116+AG116+AK116</f>
        <v>64789.082976816542</v>
      </c>
      <c r="AN116" s="84">
        <f t="shared" ref="AN116:AN119" si="600">+AD116+AH116+AL116</f>
        <v>52480.21</v>
      </c>
      <c r="AO116" s="760">
        <f t="shared" si="543"/>
        <v>173581.03340416696</v>
      </c>
      <c r="AP116" s="760">
        <f t="shared" si="543"/>
        <v>178275.45369999998</v>
      </c>
      <c r="AQ116" s="155">
        <v>21831.104046536009</v>
      </c>
      <c r="AR116" s="29">
        <v>17994.25</v>
      </c>
      <c r="AS116" s="718">
        <f t="shared" ref="AS116:AS119" si="601">+AO116+AQ116</f>
        <v>195412.13745070295</v>
      </c>
      <c r="AT116" s="62">
        <f t="shared" ref="AT116:AT119" si="602">+AP116+AR116</f>
        <v>196269.70369999998</v>
      </c>
      <c r="AU116" s="155">
        <v>19718.416558161556</v>
      </c>
      <c r="AV116" s="29">
        <v>20604.330000000002</v>
      </c>
      <c r="AW116" s="718">
        <f t="shared" ref="AW116:AW119" si="603">+AS116+AU116</f>
        <v>215130.55400886451</v>
      </c>
      <c r="AX116" s="62">
        <f t="shared" ref="AX116:AX119" si="604">+AT116+AV116</f>
        <v>216874.03369999997</v>
      </c>
      <c r="AY116" s="155">
        <v>21831.104046536009</v>
      </c>
      <c r="AZ116" s="29">
        <v>24316.63</v>
      </c>
      <c r="BA116" s="761">
        <f t="shared" ref="BA116:BA119" si="605">+AQ116+AU116+AY116</f>
        <v>63380.624651233578</v>
      </c>
      <c r="BB116" s="84">
        <f t="shared" ref="BB116:BB119" si="606">+AR116+AV116+AZ116</f>
        <v>62915.210000000006</v>
      </c>
      <c r="BC116" s="2513">
        <f t="shared" ref="BC116:BC119" si="607">+AM116+BA116</f>
        <v>128169.70762805012</v>
      </c>
      <c r="BD116" s="2513">
        <f t="shared" ref="BD116:BD119" si="608">+AN116+BB116</f>
        <v>115395.42000000001</v>
      </c>
      <c r="BE116" s="782">
        <f t="shared" ref="BE116:BE119" si="609">AW116+AY116</f>
        <v>236961.6580554005</v>
      </c>
      <c r="BF116" s="782">
        <f t="shared" ref="BF116:BF119" si="610">AX116+AZ116</f>
        <v>241190.66369999998</v>
      </c>
      <c r="BG116" s="1219"/>
      <c r="BH116" s="1219"/>
      <c r="BI116" s="1219"/>
      <c r="BJ116" s="1546"/>
      <c r="BK116" s="1546"/>
      <c r="BL116" s="26"/>
      <c r="BM116" s="26"/>
      <c r="BN116" s="26"/>
    </row>
    <row r="117" spans="1:66" ht="15.75" customHeight="1" x14ac:dyDescent="0.3">
      <c r="B117" s="1770" t="s">
        <v>627</v>
      </c>
      <c r="C117" s="777" t="s">
        <v>50</v>
      </c>
      <c r="D117" s="448">
        <v>64061.780626780637</v>
      </c>
      <c r="E117" s="155">
        <v>5285.2991452991455</v>
      </c>
      <c r="F117" s="29">
        <v>171.6165</v>
      </c>
      <c r="G117" s="155">
        <v>5461.4757834757847</v>
      </c>
      <c r="H117" s="29">
        <v>341.5</v>
      </c>
      <c r="I117" s="718">
        <f t="shared" si="589"/>
        <v>10746.77492877493</v>
      </c>
      <c r="J117" s="62">
        <f t="shared" si="589"/>
        <v>513.11649999999997</v>
      </c>
      <c r="K117" s="155">
        <v>5285.2991452991455</v>
      </c>
      <c r="L117" s="29">
        <v>3411.53</v>
      </c>
      <c r="M117" s="72">
        <f t="shared" si="590"/>
        <v>16032.074074074077</v>
      </c>
      <c r="N117" s="84">
        <f t="shared" si="590"/>
        <v>3924.6465000000003</v>
      </c>
      <c r="O117" s="155">
        <v>5461.4757834757847</v>
      </c>
      <c r="P117" s="29"/>
      <c r="Q117" s="718">
        <f t="shared" si="591"/>
        <v>21493.54985754986</v>
      </c>
      <c r="R117" s="62">
        <f t="shared" si="591"/>
        <v>3924.6465000000003</v>
      </c>
      <c r="S117" s="155">
        <v>5461.4757834757847</v>
      </c>
      <c r="T117" s="29"/>
      <c r="U117" s="718">
        <f t="shared" si="592"/>
        <v>26955.025641025644</v>
      </c>
      <c r="V117" s="62">
        <f t="shared" si="593"/>
        <v>3924.6465000000003</v>
      </c>
      <c r="W117" s="155">
        <v>5042.606837606837</v>
      </c>
      <c r="X117" s="29"/>
      <c r="Y117" s="761">
        <f t="shared" si="594"/>
        <v>15965.558404558407</v>
      </c>
      <c r="Z117" s="84">
        <f t="shared" si="594"/>
        <v>0</v>
      </c>
      <c r="AA117" s="465">
        <f t="shared" si="525"/>
        <v>31997.632478632484</v>
      </c>
      <c r="AB117" s="454">
        <f t="shared" si="525"/>
        <v>3924.6465000000003</v>
      </c>
      <c r="AC117" s="155">
        <v>5457.7760116340023</v>
      </c>
      <c r="AD117" s="29">
        <v>8407</v>
      </c>
      <c r="AE117" s="718">
        <f t="shared" si="595"/>
        <v>37455.408490266484</v>
      </c>
      <c r="AF117" s="62">
        <f t="shared" si="596"/>
        <v>12331.646500000001</v>
      </c>
      <c r="AG117" s="155">
        <v>5281.7187209361318</v>
      </c>
      <c r="AH117" s="29">
        <v>7821.63</v>
      </c>
      <c r="AI117" s="718">
        <f t="shared" si="597"/>
        <v>42737.127211202613</v>
      </c>
      <c r="AJ117" s="62">
        <f t="shared" si="598"/>
        <v>20153.2765</v>
      </c>
      <c r="AK117" s="155">
        <v>5457.7760116340023</v>
      </c>
      <c r="AL117" s="29">
        <v>8467.8799999999992</v>
      </c>
      <c r="AM117" s="761">
        <f t="shared" si="599"/>
        <v>16197.270744204136</v>
      </c>
      <c r="AN117" s="84">
        <f t="shared" si="600"/>
        <v>24696.510000000002</v>
      </c>
      <c r="AO117" s="760">
        <f t="shared" ref="AO117:AO119" si="611">AI117+AK117</f>
        <v>48194.903222836612</v>
      </c>
      <c r="AP117" s="760">
        <f t="shared" ref="AP117:AP119" si="612">AJ117+AL117</f>
        <v>28621.156499999997</v>
      </c>
      <c r="AQ117" s="155">
        <v>5457.7760116340023</v>
      </c>
      <c r="AR117" s="29">
        <v>6555.78</v>
      </c>
      <c r="AS117" s="718">
        <f t="shared" si="601"/>
        <v>53652.679234470612</v>
      </c>
      <c r="AT117" s="62">
        <f t="shared" si="602"/>
        <v>35176.936499999996</v>
      </c>
      <c r="AU117" s="155">
        <v>4929.604139540389</v>
      </c>
      <c r="AV117" s="29"/>
      <c r="AW117" s="718">
        <f t="shared" si="603"/>
        <v>58582.283374011</v>
      </c>
      <c r="AX117" s="62">
        <f t="shared" si="604"/>
        <v>35176.936499999996</v>
      </c>
      <c r="AY117" s="155">
        <v>5457.7760116340023</v>
      </c>
      <c r="AZ117" s="29">
        <v>2188.84</v>
      </c>
      <c r="BA117" s="761">
        <f t="shared" si="605"/>
        <v>15845.156162808395</v>
      </c>
      <c r="BB117" s="84">
        <f t="shared" si="606"/>
        <v>8744.619999999999</v>
      </c>
      <c r="BC117" s="2513">
        <f t="shared" si="607"/>
        <v>32042.42690701253</v>
      </c>
      <c r="BD117" s="2513">
        <f t="shared" si="608"/>
        <v>33441.130000000005</v>
      </c>
      <c r="BE117" s="782">
        <f t="shared" si="609"/>
        <v>64040.059385645</v>
      </c>
      <c r="BF117" s="782">
        <f t="shared" si="610"/>
        <v>37365.776499999993</v>
      </c>
      <c r="BG117" s="1219"/>
      <c r="BH117" s="1219"/>
      <c r="BI117" s="1219"/>
      <c r="BJ117" s="1546"/>
      <c r="BK117" s="1546"/>
      <c r="BL117" s="26"/>
      <c r="BM117" s="26"/>
      <c r="BN117" s="26"/>
    </row>
    <row r="118" spans="1:66" ht="14.45" x14ac:dyDescent="0.3">
      <c r="B118" s="1770" t="s">
        <v>1366</v>
      </c>
      <c r="C118" s="777" t="s">
        <v>50</v>
      </c>
      <c r="D118" s="448"/>
      <c r="E118" s="155"/>
      <c r="F118" s="29"/>
      <c r="G118" s="155"/>
      <c r="H118" s="29"/>
      <c r="I118" s="718">
        <f t="shared" si="589"/>
        <v>0</v>
      </c>
      <c r="J118" s="62">
        <f t="shared" si="589"/>
        <v>0</v>
      </c>
      <c r="K118" s="155"/>
      <c r="L118" s="29"/>
      <c r="M118" s="72">
        <f t="shared" ref="M118" si="613">+E118+G118+K118</f>
        <v>0</v>
      </c>
      <c r="N118" s="84">
        <f t="shared" ref="N118" si="614">+F118+H118+L118</f>
        <v>0</v>
      </c>
      <c r="O118" s="155"/>
      <c r="P118" s="29"/>
      <c r="Q118" s="718">
        <f t="shared" ref="Q118" si="615">+M118+O118</f>
        <v>0</v>
      </c>
      <c r="R118" s="62">
        <f t="shared" ref="R118" si="616">+N118+P118</f>
        <v>0</v>
      </c>
      <c r="S118" s="155"/>
      <c r="T118" s="29"/>
      <c r="U118" s="718">
        <f t="shared" si="592"/>
        <v>0</v>
      </c>
      <c r="V118" s="62">
        <f t="shared" si="593"/>
        <v>0</v>
      </c>
      <c r="W118" s="155"/>
      <c r="X118" s="29">
        <v>6570.6580000000004</v>
      </c>
      <c r="Y118" s="761">
        <f t="shared" ref="Y118" si="617">+O118+S118+W118</f>
        <v>0</v>
      </c>
      <c r="Z118" s="84">
        <f t="shared" ref="Z118" si="618">+P118+T118+X118</f>
        <v>6570.6580000000004</v>
      </c>
      <c r="AA118" s="465">
        <f t="shared" ref="AA118" si="619">+M118+Y118</f>
        <v>0</v>
      </c>
      <c r="AB118" s="454">
        <f t="shared" si="525"/>
        <v>6570.6580000000004</v>
      </c>
      <c r="AC118" s="155"/>
      <c r="AD118" s="29"/>
      <c r="AE118" s="718">
        <f t="shared" si="595"/>
        <v>0</v>
      </c>
      <c r="AF118" s="62">
        <f t="shared" si="596"/>
        <v>6570.6580000000004</v>
      </c>
      <c r="AG118" s="155"/>
      <c r="AH118" s="29"/>
      <c r="AI118" s="718">
        <f t="shared" si="597"/>
        <v>0</v>
      </c>
      <c r="AJ118" s="62">
        <f t="shared" si="598"/>
        <v>6570.6580000000004</v>
      </c>
      <c r="AK118" s="155"/>
      <c r="AL118" s="29"/>
      <c r="AM118" s="761">
        <f t="shared" si="599"/>
        <v>0</v>
      </c>
      <c r="AN118" s="84">
        <f t="shared" si="600"/>
        <v>0</v>
      </c>
      <c r="AO118" s="760">
        <f t="shared" si="611"/>
        <v>0</v>
      </c>
      <c r="AP118" s="760">
        <f t="shared" si="612"/>
        <v>6570.6580000000004</v>
      </c>
      <c r="AQ118" s="155"/>
      <c r="AR118" s="29"/>
      <c r="AS118" s="718">
        <f t="shared" si="601"/>
        <v>0</v>
      </c>
      <c r="AT118" s="62">
        <f t="shared" si="602"/>
        <v>6570.6580000000004</v>
      </c>
      <c r="AU118" s="155"/>
      <c r="AV118" s="29"/>
      <c r="AW118" s="718">
        <f t="shared" si="603"/>
        <v>0</v>
      </c>
      <c r="AX118" s="62">
        <f t="shared" si="604"/>
        <v>6570.6580000000004</v>
      </c>
      <c r="AY118" s="155"/>
      <c r="AZ118" s="29"/>
      <c r="BA118" s="761">
        <f t="shared" si="605"/>
        <v>0</v>
      </c>
      <c r="BB118" s="84">
        <f t="shared" si="606"/>
        <v>0</v>
      </c>
      <c r="BC118" s="2513">
        <f t="shared" si="607"/>
        <v>0</v>
      </c>
      <c r="BD118" s="2513">
        <f t="shared" si="608"/>
        <v>0</v>
      </c>
      <c r="BE118" s="782">
        <f t="shared" si="609"/>
        <v>0</v>
      </c>
      <c r="BF118" s="782">
        <f t="shared" si="610"/>
        <v>6570.6580000000004</v>
      </c>
      <c r="BG118" s="1219"/>
      <c r="BH118" s="1219"/>
      <c r="BI118" s="1219"/>
      <c r="BJ118" s="1546"/>
      <c r="BK118" s="1546"/>
      <c r="BL118" s="26"/>
      <c r="BM118" s="26"/>
      <c r="BN118" s="26"/>
    </row>
    <row r="119" spans="1:66" thickBot="1" x14ac:dyDescent="0.35">
      <c r="B119" s="1770" t="s">
        <v>1380</v>
      </c>
      <c r="C119" s="777" t="s">
        <v>50</v>
      </c>
      <c r="D119" s="448">
        <v>38437.068376068375</v>
      </c>
      <c r="E119" s="155">
        <v>3171.1794871794873</v>
      </c>
      <c r="F119" s="29"/>
      <c r="G119" s="155">
        <v>3276.8854700854699</v>
      </c>
      <c r="H119" s="29"/>
      <c r="I119" s="718">
        <f t="shared" si="589"/>
        <v>6448.0649572649572</v>
      </c>
      <c r="J119" s="62">
        <f t="shared" si="589"/>
        <v>0</v>
      </c>
      <c r="K119" s="155">
        <v>3171.1794871794873</v>
      </c>
      <c r="L119" s="29"/>
      <c r="M119" s="72">
        <f t="shared" si="590"/>
        <v>9619.2444444444445</v>
      </c>
      <c r="N119" s="84">
        <f t="shared" si="590"/>
        <v>0</v>
      </c>
      <c r="O119" s="155">
        <v>3276.8854700854699</v>
      </c>
      <c r="P119" s="29">
        <v>3020.45</v>
      </c>
      <c r="Q119" s="718">
        <f t="shared" si="591"/>
        <v>12896.129914529914</v>
      </c>
      <c r="R119" s="62">
        <f t="shared" si="591"/>
        <v>3020.45</v>
      </c>
      <c r="S119" s="155">
        <v>3276.8854700854699</v>
      </c>
      <c r="T119" s="29">
        <v>8470.5740000000005</v>
      </c>
      <c r="U119" s="718">
        <f t="shared" si="592"/>
        <v>16173.015384615384</v>
      </c>
      <c r="V119" s="62">
        <f t="shared" si="593"/>
        <v>11491.024000000001</v>
      </c>
      <c r="W119" s="155">
        <v>3025.5641025641025</v>
      </c>
      <c r="X119" s="29">
        <v>1647.518</v>
      </c>
      <c r="Y119" s="780">
        <f t="shared" si="594"/>
        <v>9579.3350427350415</v>
      </c>
      <c r="Z119" s="84">
        <f t="shared" si="594"/>
        <v>13138.542000000001</v>
      </c>
      <c r="AA119" s="465">
        <f t="shared" si="525"/>
        <v>19198.579487179486</v>
      </c>
      <c r="AB119" s="454">
        <f t="shared" si="525"/>
        <v>13138.542000000001</v>
      </c>
      <c r="AC119" s="155"/>
      <c r="AD119" s="29"/>
      <c r="AE119" s="718">
        <f t="shared" si="595"/>
        <v>19198.579487179486</v>
      </c>
      <c r="AF119" s="62">
        <f t="shared" si="596"/>
        <v>13138.542000000001</v>
      </c>
      <c r="AG119" s="155"/>
      <c r="AH119" s="29"/>
      <c r="AI119" s="718">
        <f t="shared" si="597"/>
        <v>19198.579487179486</v>
      </c>
      <c r="AJ119" s="62">
        <f t="shared" si="598"/>
        <v>13138.542000000001</v>
      </c>
      <c r="AK119" s="155"/>
      <c r="AL119" s="29"/>
      <c r="AM119" s="780">
        <f t="shared" si="599"/>
        <v>0</v>
      </c>
      <c r="AN119" s="84">
        <f t="shared" si="600"/>
        <v>0</v>
      </c>
      <c r="AO119" s="760">
        <f t="shared" si="611"/>
        <v>19198.579487179486</v>
      </c>
      <c r="AP119" s="760">
        <f t="shared" si="612"/>
        <v>13138.542000000001</v>
      </c>
      <c r="AQ119" s="155"/>
      <c r="AR119" s="29"/>
      <c r="AS119" s="718">
        <f t="shared" si="601"/>
        <v>19198.579487179486</v>
      </c>
      <c r="AT119" s="62">
        <f t="shared" si="602"/>
        <v>13138.542000000001</v>
      </c>
      <c r="AU119" s="155"/>
      <c r="AV119" s="29"/>
      <c r="AW119" s="718">
        <f t="shared" si="603"/>
        <v>19198.579487179486</v>
      </c>
      <c r="AX119" s="62">
        <f t="shared" si="604"/>
        <v>13138.542000000001</v>
      </c>
      <c r="AY119" s="155"/>
      <c r="AZ119" s="29"/>
      <c r="BA119" s="780">
        <f t="shared" si="605"/>
        <v>0</v>
      </c>
      <c r="BB119" s="84">
        <f t="shared" si="606"/>
        <v>0</v>
      </c>
      <c r="BC119" s="2513">
        <f t="shared" si="607"/>
        <v>0</v>
      </c>
      <c r="BD119" s="2513">
        <f t="shared" si="608"/>
        <v>0</v>
      </c>
      <c r="BE119" s="782">
        <f t="shared" si="609"/>
        <v>19198.579487179486</v>
      </c>
      <c r="BF119" s="782">
        <f t="shared" si="610"/>
        <v>13138.542000000001</v>
      </c>
      <c r="BG119" s="1219"/>
      <c r="BH119" s="1219"/>
      <c r="BI119" s="1219"/>
      <c r="BJ119" s="1546"/>
      <c r="BK119" s="1546"/>
      <c r="BL119" s="26"/>
      <c r="BM119" s="26"/>
      <c r="BN119" s="26"/>
    </row>
    <row r="120" spans="1:66" ht="16.149999999999999" thickBot="1" x14ac:dyDescent="0.35">
      <c r="B120" s="1851" t="s">
        <v>134</v>
      </c>
      <c r="C120" s="1671" t="s">
        <v>50</v>
      </c>
      <c r="D120" s="139">
        <f>SUM(D116:D119)</f>
        <v>320308.90313390316</v>
      </c>
      <c r="E120" s="775">
        <f>SUM(E116:E119)</f>
        <v>26426.495726495727</v>
      </c>
      <c r="F120" s="775">
        <f>SUM(F116:F119)</f>
        <v>24101.197199999999</v>
      </c>
      <c r="G120" s="775">
        <f>SUM(G116:G119)</f>
        <v>27307.378917378919</v>
      </c>
      <c r="H120" s="775">
        <f>SUM(H116:H119)</f>
        <v>25145.46</v>
      </c>
      <c r="I120" s="775">
        <f t="shared" ref="I120:N120" si="620">SUM(I116:I119)</f>
        <v>53733.874643874646</v>
      </c>
      <c r="J120" s="775">
        <f t="shared" si="620"/>
        <v>49246.657199999994</v>
      </c>
      <c r="K120" s="775">
        <f>SUM(K116:K119)</f>
        <v>26426.495726495727</v>
      </c>
      <c r="L120" s="775">
        <f>SUM(L116:L119)</f>
        <v>24579.649999999998</v>
      </c>
      <c r="M120" s="1583">
        <f t="shared" si="620"/>
        <v>80160.370370370365</v>
      </c>
      <c r="N120" s="1583">
        <f t="shared" si="620"/>
        <v>73826.307199999996</v>
      </c>
      <c r="O120" s="775">
        <f>SUM(O116:O119)</f>
        <v>27307.378917378919</v>
      </c>
      <c r="P120" s="775">
        <f>SUM(P116:P119)</f>
        <v>25536.530000000002</v>
      </c>
      <c r="Q120" s="775">
        <f t="shared" ref="Q120:R120" si="621">SUM(Q116:Q119)</f>
        <v>107467.74928774929</v>
      </c>
      <c r="R120" s="775">
        <f t="shared" si="621"/>
        <v>99362.837199999994</v>
      </c>
      <c r="S120" s="775">
        <f>SUM(S116:S119)</f>
        <v>27307.378917378919</v>
      </c>
      <c r="T120" s="775">
        <f>SUM(T116:T119)</f>
        <v>25411.723000000002</v>
      </c>
      <c r="U120" s="775">
        <f t="shared" ref="U120:V120" si="622">SUM(U116:U119)</f>
        <v>134775.12820512819</v>
      </c>
      <c r="V120" s="775">
        <f t="shared" si="622"/>
        <v>124774.56020000001</v>
      </c>
      <c r="W120" s="775">
        <f>SUM(W116:W119)</f>
        <v>25213.034188034184</v>
      </c>
      <c r="X120" s="775">
        <f>SUM(X116:X119)</f>
        <v>24654.53</v>
      </c>
      <c r="Y120" s="1583">
        <f t="shared" ref="Y120:Z120" si="623">SUM(Y116:Y119)</f>
        <v>79827.792022792026</v>
      </c>
      <c r="Z120" s="1583">
        <f t="shared" si="623"/>
        <v>75602.78300000001</v>
      </c>
      <c r="AA120" s="2431">
        <f t="shared" si="525"/>
        <v>159988.16239316238</v>
      </c>
      <c r="AB120" s="2431">
        <f t="shared" si="525"/>
        <v>149429.09020000001</v>
      </c>
      <c r="AC120" s="775">
        <f>SUM(AC116:AC119)</f>
        <v>27288.880058170012</v>
      </c>
      <c r="AD120" s="775">
        <f>SUM(AD116:AD119)</f>
        <v>26272</v>
      </c>
      <c r="AE120" s="775">
        <f t="shared" ref="AE120:AF120" si="624">SUM(AE116:AE119)</f>
        <v>187277.04245133241</v>
      </c>
      <c r="AF120" s="775">
        <f t="shared" si="624"/>
        <v>175701.09019999998</v>
      </c>
      <c r="AG120" s="775">
        <f>SUM(AG116:AG119)</f>
        <v>26408.59360468066</v>
      </c>
      <c r="AH120" s="775">
        <f>SUM(AH116:AH119)</f>
        <v>24442.59</v>
      </c>
      <c r="AI120" s="775">
        <f t="shared" ref="AI120:AN120" si="625">SUM(AI116:AI119)</f>
        <v>213685.63605601306</v>
      </c>
      <c r="AJ120" s="775">
        <f t="shared" si="625"/>
        <v>200143.6802</v>
      </c>
      <c r="AK120" s="775">
        <f>SUM(AK116:AK119)</f>
        <v>27288.880058170012</v>
      </c>
      <c r="AL120" s="775">
        <f>SUM(AL116:AL119)</f>
        <v>26462.129999999997</v>
      </c>
      <c r="AM120" s="1583">
        <f t="shared" si="625"/>
        <v>80986.353721020685</v>
      </c>
      <c r="AN120" s="1583">
        <f t="shared" si="625"/>
        <v>77176.72</v>
      </c>
      <c r="AO120" s="775">
        <f t="shared" ref="AO120:AT120" si="626">SUM(AO116:AO119)</f>
        <v>240974.51611418306</v>
      </c>
      <c r="AP120" s="775">
        <f t="shared" si="626"/>
        <v>226605.81020000001</v>
      </c>
      <c r="AQ120" s="775">
        <f>SUM(AQ116:AQ119)</f>
        <v>27288.880058170012</v>
      </c>
      <c r="AR120" s="775">
        <f>SUM(AR116:AR119)</f>
        <v>24550.03</v>
      </c>
      <c r="AS120" s="775">
        <f t="shared" si="626"/>
        <v>268263.39617235307</v>
      </c>
      <c r="AT120" s="775">
        <f t="shared" si="626"/>
        <v>251155.84019999998</v>
      </c>
      <c r="AU120" s="775">
        <f>SUM(AU116:AU119)</f>
        <v>24648.020697701944</v>
      </c>
      <c r="AV120" s="775">
        <f>SUM(AV116:AV119)</f>
        <v>20604.330000000002</v>
      </c>
      <c r="AW120" s="775">
        <f t="shared" ref="AW120:AX120" si="627">SUM(AW116:AW119)</f>
        <v>292911.41687005496</v>
      </c>
      <c r="AX120" s="775">
        <f t="shared" si="627"/>
        <v>271760.17019999999</v>
      </c>
      <c r="AY120" s="775">
        <f>SUM(AY116:AY119)</f>
        <v>27288.880058170012</v>
      </c>
      <c r="AZ120" s="775">
        <f>SUM(AZ116:AZ119)</f>
        <v>26505.47</v>
      </c>
      <c r="BA120" s="1583">
        <f t="shared" ref="BA120:BB120" si="628">SUM(BA116:BA119)</f>
        <v>79225.780814041966</v>
      </c>
      <c r="BB120" s="1583">
        <f t="shared" si="628"/>
        <v>71659.83</v>
      </c>
      <c r="BC120" s="2513">
        <f>+AM120+BA120</f>
        <v>160212.13453506265</v>
      </c>
      <c r="BD120" s="2513">
        <f>+AN120+BB120</f>
        <v>148836.54999999999</v>
      </c>
      <c r="BE120" s="775">
        <f t="shared" ref="BE120:BF120" si="629">SUM(BE116:BE119)</f>
        <v>320200.29692822497</v>
      </c>
      <c r="BF120" s="775">
        <f t="shared" si="629"/>
        <v>298265.64019999997</v>
      </c>
      <c r="BG120" s="1219"/>
      <c r="BH120" s="1219"/>
      <c r="BI120" s="1219"/>
      <c r="BJ120" s="1546"/>
      <c r="BK120" s="1546"/>
      <c r="BL120" s="26"/>
      <c r="BM120" s="26"/>
      <c r="BN120" s="26"/>
    </row>
    <row r="121" spans="1:66" ht="15" customHeight="1" thickBot="1" x14ac:dyDescent="0.35">
      <c r="B121" s="1851" t="s">
        <v>12</v>
      </c>
      <c r="C121" s="1671" t="s">
        <v>50</v>
      </c>
      <c r="D121" s="215">
        <f>+D115+D120</f>
        <v>1242798.5441595442</v>
      </c>
      <c r="E121" s="1320">
        <f>+E115+E120</f>
        <v>102534.80341880341</v>
      </c>
      <c r="F121" s="92">
        <f>+F115+F120</f>
        <v>95532.144899999985</v>
      </c>
      <c r="G121" s="1320">
        <f>+G115+G120</f>
        <v>105952.63019943022</v>
      </c>
      <c r="H121" s="92">
        <f>+H115+H120</f>
        <v>99534.110000000015</v>
      </c>
      <c r="I121" s="27">
        <f t="shared" ref="I121:N121" si="630">+I115+I120</f>
        <v>208487.43361823363</v>
      </c>
      <c r="J121" s="27">
        <f t="shared" si="630"/>
        <v>195066.25489999997</v>
      </c>
      <c r="K121" s="1320">
        <f>+K115+K120</f>
        <v>102534.80341880341</v>
      </c>
      <c r="L121" s="92">
        <f>+L115+L120</f>
        <v>97294.43</v>
      </c>
      <c r="M121" s="1579">
        <f t="shared" si="630"/>
        <v>311022.23703703703</v>
      </c>
      <c r="N121" s="1494">
        <f t="shared" si="630"/>
        <v>292360.68489999999</v>
      </c>
      <c r="O121" s="1320">
        <f>+O115+O120</f>
        <v>105952.63019943022</v>
      </c>
      <c r="P121" s="92">
        <f>+P115+P120</f>
        <v>101082.12</v>
      </c>
      <c r="Q121" s="27">
        <f t="shared" ref="Q121:R121" si="631">+Q115+Q120</f>
        <v>416974.86723646725</v>
      </c>
      <c r="R121" s="27">
        <f t="shared" si="631"/>
        <v>393442.80490000005</v>
      </c>
      <c r="S121" s="1320">
        <f>+S115+S120</f>
        <v>105952.63019943022</v>
      </c>
      <c r="T121" s="92">
        <f>+T115+T120</f>
        <v>100588.07100000001</v>
      </c>
      <c r="U121" s="27">
        <f t="shared" ref="U121:V121" si="632">+U115+U120</f>
        <v>522927.49743589741</v>
      </c>
      <c r="V121" s="27">
        <f t="shared" si="632"/>
        <v>494030.87589999998</v>
      </c>
      <c r="W121" s="1320">
        <f>+W115+W120</f>
        <v>97826.572649572656</v>
      </c>
      <c r="X121" s="92">
        <f>+X115+X120</f>
        <v>97590.849000000002</v>
      </c>
      <c r="Y121" s="727">
        <f t="shared" ref="Y121:Z121" si="633">+Y115+Y120</f>
        <v>309731.83304843307</v>
      </c>
      <c r="Z121" s="727">
        <f t="shared" si="633"/>
        <v>299261.03999999998</v>
      </c>
      <c r="AA121" s="2383">
        <f t="shared" si="525"/>
        <v>620754.0700854701</v>
      </c>
      <c r="AB121" s="2383">
        <f t="shared" si="525"/>
        <v>591621.72490000003</v>
      </c>
      <c r="AC121" s="1320">
        <f>+AC115+AC120</f>
        <v>109155.52023268005</v>
      </c>
      <c r="AD121" s="92">
        <f>+AD115+AD120</f>
        <v>107189</v>
      </c>
      <c r="AE121" s="27">
        <f t="shared" ref="AE121:AF121" si="634">+AE115+AE120</f>
        <v>729909.59031815024</v>
      </c>
      <c r="AF121" s="27">
        <f t="shared" si="634"/>
        <v>698810.72490000003</v>
      </c>
      <c r="AG121" s="1320">
        <f>+AG115+AG120</f>
        <v>105634.37441872263</v>
      </c>
      <c r="AH121" s="92">
        <f>+AH115+AH120</f>
        <v>98032.06</v>
      </c>
      <c r="AI121" s="27">
        <f t="shared" ref="AI121:AN121" si="635">+AI115+AI120</f>
        <v>835543.9647368727</v>
      </c>
      <c r="AJ121" s="27">
        <f t="shared" si="635"/>
        <v>796842.78489999985</v>
      </c>
      <c r="AK121" s="1320">
        <f>+AK115+AK120</f>
        <v>109155.52023268005</v>
      </c>
      <c r="AL121" s="92">
        <f>+AL115+AL120</f>
        <v>105405.63</v>
      </c>
      <c r="AM121" s="727">
        <f t="shared" si="635"/>
        <v>323945.41488408274</v>
      </c>
      <c r="AN121" s="727">
        <f t="shared" si="635"/>
        <v>310626.69</v>
      </c>
      <c r="AO121" s="27">
        <f t="shared" ref="AO121:AT121" si="636">+AO115+AO120</f>
        <v>944699.48496955284</v>
      </c>
      <c r="AP121" s="27">
        <f t="shared" si="636"/>
        <v>902248.41489999997</v>
      </c>
      <c r="AQ121" s="1320">
        <f>+AQ115+AQ120</f>
        <v>109155.52023268005</v>
      </c>
      <c r="AR121" s="92">
        <f>+AR115+AR120</f>
        <v>102673.06000000001</v>
      </c>
      <c r="AS121" s="27">
        <f t="shared" si="636"/>
        <v>1053855.0052022329</v>
      </c>
      <c r="AT121" s="27">
        <f t="shared" si="636"/>
        <v>1004921.4749</v>
      </c>
      <c r="AU121" s="1320">
        <f>+AU115+AU120</f>
        <v>98592.082790807777</v>
      </c>
      <c r="AV121" s="92">
        <f>+AV115+AV120</f>
        <v>92651.26</v>
      </c>
      <c r="AW121" s="27">
        <f t="shared" ref="AW121:AX121" si="637">+AW115+AW120</f>
        <v>1152447.0879930407</v>
      </c>
      <c r="AX121" s="27">
        <f t="shared" si="637"/>
        <v>1097572.7349</v>
      </c>
      <c r="AY121" s="1320">
        <f>+AY115+AY120</f>
        <v>109155.52023268005</v>
      </c>
      <c r="AZ121" s="92">
        <f>+AZ115+AZ120</f>
        <v>95317.08</v>
      </c>
      <c r="BA121" s="727">
        <f t="shared" ref="BA121:BB121" si="638">+BA115+BA120</f>
        <v>316903.12325616786</v>
      </c>
      <c r="BB121" s="727">
        <f t="shared" si="638"/>
        <v>290641.40000000002</v>
      </c>
      <c r="BC121" s="2513">
        <f>+AM121+BA121</f>
        <v>640848.5381402506</v>
      </c>
      <c r="BD121" s="2513">
        <f>+AN121+BB121</f>
        <v>601268.09000000008</v>
      </c>
      <c r="BE121" s="27">
        <f t="shared" ref="BE121:BF121" si="639">+BE115+BE120</f>
        <v>1261602.6082257207</v>
      </c>
      <c r="BF121" s="27">
        <f t="shared" si="639"/>
        <v>1192889.8149000001</v>
      </c>
      <c r="BG121" s="1219"/>
      <c r="BH121" s="1219"/>
      <c r="BI121" s="1219"/>
      <c r="BJ121" s="1546"/>
      <c r="BK121" s="1546"/>
      <c r="BL121" s="26"/>
      <c r="BM121" s="26"/>
      <c r="BN121" s="26"/>
    </row>
    <row r="122" spans="1:66" ht="15.75" customHeight="1" x14ac:dyDescent="0.25">
      <c r="B122" s="1770" t="s">
        <v>1007</v>
      </c>
      <c r="C122" s="777" t="s">
        <v>50</v>
      </c>
      <c r="D122" s="6034">
        <v>38014.683009298402</v>
      </c>
      <c r="E122" s="5693">
        <v>3136.33136094675</v>
      </c>
      <c r="F122" s="29"/>
      <c r="G122" s="5693">
        <v>3240.8757396449701</v>
      </c>
      <c r="H122" s="29"/>
      <c r="I122" s="6004">
        <f>+E122+G122</f>
        <v>6377.2071005917205</v>
      </c>
      <c r="J122" s="62">
        <f>+F122+H122</f>
        <v>0</v>
      </c>
      <c r="K122" s="5693">
        <v>3136.33136094675</v>
      </c>
      <c r="L122" s="29"/>
      <c r="M122" s="5709">
        <f>+K122+G122+E122</f>
        <v>9513.5384615384701</v>
      </c>
      <c r="N122" s="84">
        <f>+F122+H122+L122</f>
        <v>0</v>
      </c>
      <c r="O122" s="5693">
        <v>3240.8757396449701</v>
      </c>
      <c r="P122" s="29"/>
      <c r="Q122" s="6004">
        <f>+M122+O122</f>
        <v>12754.414201183441</v>
      </c>
      <c r="R122" s="62">
        <f>+N122+P122</f>
        <v>0</v>
      </c>
      <c r="S122" s="5693">
        <v>3240.8757396449701</v>
      </c>
      <c r="T122" s="29"/>
      <c r="U122" s="6004">
        <f>+Q122+S122</f>
        <v>15995.28994082841</v>
      </c>
      <c r="V122" s="62">
        <f>+R122+T122</f>
        <v>0</v>
      </c>
      <c r="W122" s="5693">
        <v>2992.3161453930702</v>
      </c>
      <c r="X122" s="29"/>
      <c r="Y122" s="6019">
        <f>+O122+S122+W122</f>
        <v>9474.0676246830099</v>
      </c>
      <c r="Z122" s="84">
        <f>+P122+T122+X122</f>
        <v>0</v>
      </c>
      <c r="AA122" s="6021">
        <f>+Y122+M122</f>
        <v>18987.60608622148</v>
      </c>
      <c r="AB122" s="454">
        <f t="shared" ref="AB122:AB124" si="640">+N122+Z122</f>
        <v>0</v>
      </c>
      <c r="AC122" s="5693">
        <v>0</v>
      </c>
      <c r="AD122" s="29">
        <v>3153</v>
      </c>
      <c r="AE122" s="6004">
        <f>+AA122+AC122</f>
        <v>18987.60608622148</v>
      </c>
      <c r="AF122" s="62">
        <f>+AB122+AD122</f>
        <v>3153</v>
      </c>
      <c r="AG122" s="5693">
        <v>0</v>
      </c>
      <c r="AH122" s="29">
        <v>4627.8</v>
      </c>
      <c r="AI122" s="6004">
        <f>+AE122+AG122</f>
        <v>18987.60608622148</v>
      </c>
      <c r="AJ122" s="62">
        <f>+AF122+AH122</f>
        <v>7780.8</v>
      </c>
      <c r="AK122" s="5693">
        <v>0</v>
      </c>
      <c r="AL122" s="29">
        <v>0</v>
      </c>
      <c r="AM122" s="6019">
        <f>+AC122+AG122+AK122</f>
        <v>0</v>
      </c>
      <c r="AN122" s="84">
        <f>+AD122+AH122+AL122</f>
        <v>7780.8</v>
      </c>
      <c r="AO122" s="6004">
        <f>AI122+AK122</f>
        <v>18987.60608622148</v>
      </c>
      <c r="AP122" s="760">
        <f t="shared" ref="AP122:AP124" si="641">AJ122+AL122</f>
        <v>7780.8</v>
      </c>
      <c r="AQ122" s="5693">
        <v>0</v>
      </c>
      <c r="AR122" s="29"/>
      <c r="AS122" s="6004">
        <f>+AO122+AQ122</f>
        <v>18987.60608622148</v>
      </c>
      <c r="AT122" s="62">
        <f>+AP122+AR122</f>
        <v>7780.8</v>
      </c>
      <c r="AU122" s="5693">
        <v>0</v>
      </c>
      <c r="AV122" s="29"/>
      <c r="AW122" s="6004">
        <f>+AS122+AU122</f>
        <v>18987.60608622148</v>
      </c>
      <c r="AX122" s="62">
        <f>+AT122+AV122</f>
        <v>7780.8</v>
      </c>
      <c r="AY122" s="5693"/>
      <c r="AZ122" s="29"/>
      <c r="BA122" s="6019">
        <f>+AQ122+AU122+AY122</f>
        <v>0</v>
      </c>
      <c r="BB122" s="84">
        <f>+AR122+AV122+AZ122</f>
        <v>0</v>
      </c>
      <c r="BC122" s="6021">
        <f>+BA122+AM122</f>
        <v>0</v>
      </c>
      <c r="BD122" s="2513">
        <f>+AN122+BB122</f>
        <v>7780.8</v>
      </c>
      <c r="BE122" s="6004">
        <f>+AW122+AY122</f>
        <v>18987.60608622148</v>
      </c>
      <c r="BF122" s="782">
        <f t="shared" ref="BF122:BF124" si="642">AX122+AZ122</f>
        <v>7780.8</v>
      </c>
      <c r="BG122" s="1219"/>
      <c r="BH122" s="1219"/>
      <c r="BI122" s="1219"/>
      <c r="BJ122" s="1546"/>
      <c r="BK122" s="1546"/>
      <c r="BL122" s="26"/>
      <c r="BM122" s="26"/>
      <c r="BN122" s="26"/>
    </row>
    <row r="123" spans="1:66" x14ac:dyDescent="0.25">
      <c r="B123" s="1846" t="s">
        <v>1187</v>
      </c>
      <c r="C123" s="1394" t="s">
        <v>50</v>
      </c>
      <c r="D123" s="6034"/>
      <c r="E123" s="5693"/>
      <c r="F123" s="29">
        <v>5461.5651000000007</v>
      </c>
      <c r="G123" s="5693"/>
      <c r="H123" s="29">
        <v>5238.6400000000003</v>
      </c>
      <c r="I123" s="6003"/>
      <c r="J123" s="62">
        <f>+F123+H123</f>
        <v>10700.205100000001</v>
      </c>
      <c r="K123" s="5693"/>
      <c r="L123" s="29">
        <v>5120.76</v>
      </c>
      <c r="M123" s="5709"/>
      <c r="N123" s="84">
        <f>+F123+H123+L123</f>
        <v>15820.965100000001</v>
      </c>
      <c r="O123" s="5693"/>
      <c r="P123" s="29">
        <v>5320.11</v>
      </c>
      <c r="Q123" s="6003"/>
      <c r="R123" s="62">
        <f>+N123+P123</f>
        <v>21141.075100000002</v>
      </c>
      <c r="S123" s="5693"/>
      <c r="T123" s="29">
        <v>5294.1090000000004</v>
      </c>
      <c r="U123" s="6003"/>
      <c r="V123" s="62">
        <f>+R123+T123</f>
        <v>26435.184100000002</v>
      </c>
      <c r="W123" s="5693"/>
      <c r="X123" s="29">
        <v>5136.3609999999999</v>
      </c>
      <c r="Y123" s="5735"/>
      <c r="Z123" s="84">
        <f>+P123+T123+X123</f>
        <v>15750.580000000002</v>
      </c>
      <c r="AA123" s="6022"/>
      <c r="AB123" s="454">
        <f t="shared" si="640"/>
        <v>31571.545100000003</v>
      </c>
      <c r="AC123" s="5693"/>
      <c r="AD123" s="29"/>
      <c r="AE123" s="6003"/>
      <c r="AF123" s="62">
        <f>+AB123+AD123</f>
        <v>31571.545100000003</v>
      </c>
      <c r="AG123" s="5693"/>
      <c r="AH123" s="29"/>
      <c r="AI123" s="6003"/>
      <c r="AJ123" s="62">
        <f>+AF123+AH123</f>
        <v>31571.545100000003</v>
      </c>
      <c r="AK123" s="5693"/>
      <c r="AL123" s="29">
        <v>3175.46</v>
      </c>
      <c r="AM123" s="5735"/>
      <c r="AN123" s="84">
        <f>+AD123+AH123+AL123</f>
        <v>3175.46</v>
      </c>
      <c r="AO123" s="6003"/>
      <c r="AP123" s="760">
        <f t="shared" si="641"/>
        <v>34747.005100000002</v>
      </c>
      <c r="AQ123" s="5693"/>
      <c r="AR123" s="29">
        <v>3175.46</v>
      </c>
      <c r="AS123" s="6003"/>
      <c r="AT123" s="62">
        <f>+AP123+AR123</f>
        <v>37922.465100000001</v>
      </c>
      <c r="AU123" s="5693"/>
      <c r="AV123" s="29">
        <v>2865.5</v>
      </c>
      <c r="AW123" s="6003"/>
      <c r="AX123" s="62">
        <f>+AT123+AV123</f>
        <v>40787.965100000001</v>
      </c>
      <c r="AY123" s="5693"/>
      <c r="AZ123" s="29">
        <v>4890.6899999999996</v>
      </c>
      <c r="BA123" s="5735"/>
      <c r="BB123" s="84">
        <f>+AR123+AV123+AZ123</f>
        <v>10931.65</v>
      </c>
      <c r="BC123" s="6022"/>
      <c r="BD123" s="2513">
        <f>+AN123+BB123</f>
        <v>14107.11</v>
      </c>
      <c r="BE123" s="6003"/>
      <c r="BF123" s="782">
        <f t="shared" si="642"/>
        <v>45678.655100000004</v>
      </c>
      <c r="BG123" s="1219"/>
      <c r="BH123" s="1219"/>
      <c r="BI123" s="1219"/>
      <c r="BJ123" s="1546"/>
      <c r="BK123" s="1546"/>
      <c r="BL123" s="26"/>
      <c r="BM123" s="26"/>
      <c r="BN123" s="26"/>
    </row>
    <row r="124" spans="1:66" ht="15.75" thickBot="1" x14ac:dyDescent="0.3">
      <c r="A124" s="148"/>
      <c r="B124" s="1846" t="s">
        <v>1135</v>
      </c>
      <c r="C124" s="1394" t="s">
        <v>50</v>
      </c>
      <c r="D124" s="6034"/>
      <c r="E124" s="5693"/>
      <c r="F124" s="29"/>
      <c r="G124" s="5693"/>
      <c r="H124" s="29"/>
      <c r="I124" s="6005"/>
      <c r="J124" s="62">
        <f>+F124+H124</f>
        <v>0</v>
      </c>
      <c r="K124" s="5693"/>
      <c r="L124" s="29"/>
      <c r="M124" s="5709"/>
      <c r="N124" s="84">
        <f>+F124+H124+L124</f>
        <v>0</v>
      </c>
      <c r="O124" s="5693"/>
      <c r="P124" s="29"/>
      <c r="Q124" s="6005"/>
      <c r="R124" s="62">
        <f>+N124+P124</f>
        <v>0</v>
      </c>
      <c r="S124" s="5693"/>
      <c r="T124" s="29"/>
      <c r="U124" s="6005"/>
      <c r="V124" s="62">
        <f>+R124+T124</f>
        <v>0</v>
      </c>
      <c r="W124" s="5693"/>
      <c r="X124" s="29"/>
      <c r="Y124" s="6020"/>
      <c r="Z124" s="84">
        <f>+P124+T124+X124</f>
        <v>0</v>
      </c>
      <c r="AA124" s="6023"/>
      <c r="AB124" s="454">
        <f t="shared" si="640"/>
        <v>0</v>
      </c>
      <c r="AC124" s="5693"/>
      <c r="AD124" s="29"/>
      <c r="AE124" s="6005"/>
      <c r="AF124" s="62">
        <f>+AB124+AD124</f>
        <v>0</v>
      </c>
      <c r="AG124" s="5693"/>
      <c r="AH124" s="29"/>
      <c r="AI124" s="6005"/>
      <c r="AJ124" s="62">
        <f>+AF124+AH124</f>
        <v>0</v>
      </c>
      <c r="AK124" s="5693"/>
      <c r="AL124" s="29"/>
      <c r="AM124" s="6020"/>
      <c r="AN124" s="84">
        <f>+AD124+AH124+AL124</f>
        <v>0</v>
      </c>
      <c r="AO124" s="6005"/>
      <c r="AP124" s="760">
        <f t="shared" si="641"/>
        <v>0</v>
      </c>
      <c r="AQ124" s="5693"/>
      <c r="AR124" s="29"/>
      <c r="AS124" s="6005"/>
      <c r="AT124" s="62">
        <f>+AP124+AR124</f>
        <v>0</v>
      </c>
      <c r="AU124" s="5693"/>
      <c r="AV124" s="29"/>
      <c r="AW124" s="6005"/>
      <c r="AX124" s="62">
        <f>+AT124+AV124</f>
        <v>0</v>
      </c>
      <c r="AY124" s="5693"/>
      <c r="AZ124" s="29"/>
      <c r="BA124" s="6020"/>
      <c r="BB124" s="84">
        <f>+AR124+AV124+AZ124</f>
        <v>0</v>
      </c>
      <c r="BC124" s="6023"/>
      <c r="BD124" s="2513">
        <f>+AN124+BB124</f>
        <v>0</v>
      </c>
      <c r="BE124" s="6005"/>
      <c r="BF124" s="782">
        <f t="shared" si="642"/>
        <v>0</v>
      </c>
      <c r="BG124" s="1219"/>
      <c r="BH124" s="1219"/>
      <c r="BI124" s="1219"/>
      <c r="BJ124" s="1546"/>
      <c r="BK124" s="1546"/>
      <c r="BL124" s="26"/>
      <c r="BM124" s="26"/>
      <c r="BN124" s="26"/>
    </row>
    <row r="125" spans="1:66" ht="16.149999999999999" thickBot="1" x14ac:dyDescent="0.35">
      <c r="B125" s="1852" t="s">
        <v>11</v>
      </c>
      <c r="C125" s="1396" t="s">
        <v>50</v>
      </c>
      <c r="D125" s="615">
        <f>SUM(D121:D124)</f>
        <v>1280813.2271688427</v>
      </c>
      <c r="E125" s="1120">
        <f>SUM(E121:E124)</f>
        <v>105671.13477975015</v>
      </c>
      <c r="F125" s="1184">
        <f>SUM(F121:F124)</f>
        <v>100993.70999999999</v>
      </c>
      <c r="G125" s="1120">
        <f>SUM(G121:G124)</f>
        <v>109193.50593907518</v>
      </c>
      <c r="H125" s="1184">
        <f>SUM(H121:H124)</f>
        <v>104772.75000000001</v>
      </c>
      <c r="I125" s="537">
        <f t="shared" ref="I125:N125" si="643">SUM(I121:I124)</f>
        <v>214864.64071882534</v>
      </c>
      <c r="J125" s="537">
        <f t="shared" si="643"/>
        <v>205766.45999999996</v>
      </c>
      <c r="K125" s="1120">
        <f>SUM(K121:K124)</f>
        <v>105671.13477975015</v>
      </c>
      <c r="L125" s="1184">
        <f>SUM(L121:L124)</f>
        <v>102415.18999999999</v>
      </c>
      <c r="M125" s="848">
        <f t="shared" si="643"/>
        <v>320535.77549857553</v>
      </c>
      <c r="N125" s="1585">
        <f t="shared" si="643"/>
        <v>308181.65000000002</v>
      </c>
      <c r="O125" s="1120">
        <f>SUM(O121:O124)</f>
        <v>109193.50593907518</v>
      </c>
      <c r="P125" s="1184">
        <f>SUM(P121:P124)</f>
        <v>106402.23</v>
      </c>
      <c r="Q125" s="537">
        <f t="shared" ref="Q125:R125" si="644">SUM(Q121:Q124)</f>
        <v>429729.28143765067</v>
      </c>
      <c r="R125" s="537">
        <f t="shared" si="644"/>
        <v>414583.88000000006</v>
      </c>
      <c r="S125" s="1120">
        <f>SUM(S121:S124)</f>
        <v>109193.50593907518</v>
      </c>
      <c r="T125" s="1184">
        <f>SUM(T121:T124)</f>
        <v>105882.18000000001</v>
      </c>
      <c r="U125" s="537">
        <f t="shared" ref="U125:V125" si="645">SUM(U121:U124)</f>
        <v>538922.78737672581</v>
      </c>
      <c r="V125" s="537">
        <f t="shared" si="645"/>
        <v>520466.06</v>
      </c>
      <c r="W125" s="1120">
        <f>SUM(W121:W124)</f>
        <v>100818.88879496572</v>
      </c>
      <c r="X125" s="1184">
        <f>SUM(X121:X124)</f>
        <v>102727.21</v>
      </c>
      <c r="Y125" s="354">
        <f t="shared" ref="Y125:AF125" si="646">SUM(Y121:Y124)</f>
        <v>319205.90067311609</v>
      </c>
      <c r="Z125" s="354">
        <f t="shared" si="646"/>
        <v>315011.62</v>
      </c>
      <c r="AA125" s="2382">
        <f t="shared" si="646"/>
        <v>639741.67617169162</v>
      </c>
      <c r="AB125" s="463">
        <f t="shared" si="646"/>
        <v>623193.27</v>
      </c>
      <c r="AC125" s="1120">
        <f>SUM(AC121:AC124)</f>
        <v>109155.52023268005</v>
      </c>
      <c r="AD125" s="1184">
        <f>SUM(AD121:AD124)</f>
        <v>110342</v>
      </c>
      <c r="AE125" s="537">
        <f t="shared" si="646"/>
        <v>748897.19640437176</v>
      </c>
      <c r="AF125" s="537">
        <f t="shared" si="646"/>
        <v>733535.27</v>
      </c>
      <c r="AG125" s="1120">
        <f>SUM(AG121:AG124)</f>
        <v>105634.37441872263</v>
      </c>
      <c r="AH125" s="1184">
        <f>SUM(AH121:AH124)</f>
        <v>102659.86</v>
      </c>
      <c r="AI125" s="537">
        <f t="shared" ref="AI125:AN125" si="647">SUM(AI121:AI124)</f>
        <v>854531.57082309423</v>
      </c>
      <c r="AJ125" s="537">
        <f t="shared" si="647"/>
        <v>836195.12999999989</v>
      </c>
      <c r="AK125" s="1120">
        <f>SUM(AK121:AK124)</f>
        <v>109155.52023268005</v>
      </c>
      <c r="AL125" s="1184">
        <f>SUM(AL121:AL124)</f>
        <v>108581.09000000001</v>
      </c>
      <c r="AM125" s="354">
        <f t="shared" si="647"/>
        <v>323945.41488408274</v>
      </c>
      <c r="AN125" s="354">
        <f t="shared" si="647"/>
        <v>321582.95</v>
      </c>
      <c r="AO125" s="537">
        <f t="shared" ref="AO125:AT125" si="648">SUM(AO121:AO124)</f>
        <v>963687.09105577436</v>
      </c>
      <c r="AP125" s="537">
        <f t="shared" si="648"/>
        <v>944776.22</v>
      </c>
      <c r="AQ125" s="1120">
        <f>SUM(AQ121:AQ124)</f>
        <v>109155.52023268005</v>
      </c>
      <c r="AR125" s="1184">
        <f>SUM(AR121:AR124)</f>
        <v>105848.52000000002</v>
      </c>
      <c r="AS125" s="537">
        <f t="shared" si="648"/>
        <v>1072842.6112884544</v>
      </c>
      <c r="AT125" s="537">
        <f t="shared" si="648"/>
        <v>1050624.74</v>
      </c>
      <c r="AU125" s="1120">
        <f>SUM(AU121:AU124)</f>
        <v>98592.082790807777</v>
      </c>
      <c r="AV125" s="1184">
        <f>SUM(AV121:AV124)</f>
        <v>95516.76</v>
      </c>
      <c r="AW125" s="537">
        <f t="shared" ref="AW125:AX125" si="649">SUM(AW121:AW124)</f>
        <v>1171434.6940792622</v>
      </c>
      <c r="AX125" s="537">
        <f t="shared" si="649"/>
        <v>1146141.5</v>
      </c>
      <c r="AY125" s="1120">
        <f>SUM(AY121:AY124)</f>
        <v>109155.52023268005</v>
      </c>
      <c r="AZ125" s="1184">
        <f>SUM(AZ121:AZ124)</f>
        <v>100207.77</v>
      </c>
      <c r="BA125" s="354">
        <f t="shared" ref="BA125:BB125" si="650">SUM(BA121:BA124)</f>
        <v>316903.12325616786</v>
      </c>
      <c r="BB125" s="354">
        <f t="shared" si="650"/>
        <v>301573.05000000005</v>
      </c>
      <c r="BC125" s="2382">
        <f t="shared" ref="BC125:BD125" si="651">SUM(BC121:BC124)</f>
        <v>640848.5381402506</v>
      </c>
      <c r="BD125" s="463">
        <f t="shared" si="651"/>
        <v>623156.00000000012</v>
      </c>
      <c r="BE125" s="537">
        <f t="shared" ref="BE125:BF125" si="652">SUM(BE121:BE124)</f>
        <v>1280590.2143119422</v>
      </c>
      <c r="BF125" s="537">
        <f t="shared" si="652"/>
        <v>1246349.2700000003</v>
      </c>
      <c r="BG125" s="1219"/>
      <c r="BH125" s="1219"/>
      <c r="BI125" s="1219"/>
      <c r="BJ125" s="1546"/>
      <c r="BK125" s="1546"/>
      <c r="BL125" s="26"/>
      <c r="BM125" s="26"/>
      <c r="BN125" s="26"/>
    </row>
    <row r="126" spans="1:66" ht="18" x14ac:dyDescent="0.3">
      <c r="B126" s="1853" t="s">
        <v>647</v>
      </c>
      <c r="C126" s="1395"/>
      <c r="D126" s="536"/>
      <c r="E126" s="779"/>
      <c r="F126" s="1318"/>
      <c r="G126" s="779"/>
      <c r="H126" s="1318"/>
      <c r="I126" s="536"/>
      <c r="J126" s="536"/>
      <c r="K126" s="779"/>
      <c r="L126" s="1318"/>
      <c r="M126" s="779"/>
      <c r="N126" s="1318"/>
      <c r="O126" s="779"/>
      <c r="P126" s="1318"/>
      <c r="Q126" s="536"/>
      <c r="R126" s="536"/>
      <c r="S126" s="779"/>
      <c r="T126" s="1318"/>
      <c r="U126" s="536"/>
      <c r="V126" s="536"/>
      <c r="W126" s="779"/>
      <c r="X126" s="1318"/>
      <c r="Y126" s="536"/>
      <c r="Z126" s="536"/>
      <c r="AA126" s="2381"/>
      <c r="AB126" s="536"/>
      <c r="AC126" s="779"/>
      <c r="AD126" s="1318"/>
      <c r="AE126" s="536"/>
      <c r="AF126" s="536"/>
      <c r="AG126" s="779"/>
      <c r="AH126" s="1318"/>
      <c r="AI126" s="536"/>
      <c r="AJ126" s="536"/>
      <c r="AK126" s="779"/>
      <c r="AL126" s="1318"/>
      <c r="AM126" s="536"/>
      <c r="AN126" s="536"/>
      <c r="AO126" s="536"/>
      <c r="AP126" s="536"/>
      <c r="AQ126" s="779"/>
      <c r="AR126" s="1318"/>
      <c r="AS126" s="536"/>
      <c r="AT126" s="536"/>
      <c r="AU126" s="779"/>
      <c r="AV126" s="1318"/>
      <c r="AW126" s="536"/>
      <c r="AX126" s="536"/>
      <c r="AY126" s="779"/>
      <c r="AZ126" s="1318"/>
      <c r="BA126" s="536"/>
      <c r="BB126" s="536"/>
      <c r="BC126" s="2381"/>
      <c r="BD126" s="536"/>
      <c r="BE126" s="536"/>
      <c r="BF126" s="536"/>
      <c r="BG126" s="1219"/>
      <c r="BH126" s="1219"/>
      <c r="BI126" s="1219"/>
      <c r="BJ126" s="1546"/>
      <c r="BK126" s="1546"/>
      <c r="BL126" s="26"/>
      <c r="BM126" s="26"/>
      <c r="BN126" s="26"/>
    </row>
    <row r="127" spans="1:66" ht="14.45" x14ac:dyDescent="0.3">
      <c r="B127" s="1846" t="s">
        <v>2198</v>
      </c>
      <c r="C127" s="1394" t="s">
        <v>50</v>
      </c>
      <c r="D127" s="1313">
        <f>+D109+D91</f>
        <v>905750.71452991455</v>
      </c>
      <c r="E127" s="1122">
        <f>+E109+E91</f>
        <v>75518.632478632484</v>
      </c>
      <c r="F127" s="1323">
        <f>+F109+F91</f>
        <v>68668.31779999999</v>
      </c>
      <c r="G127" s="1122">
        <f>+G109+G91</f>
        <v>78035.920227920229</v>
      </c>
      <c r="H127" s="1323">
        <f>+H109+H91</f>
        <v>69677.61</v>
      </c>
      <c r="I127" s="718">
        <f>+E127+G127</f>
        <v>153554.55270655273</v>
      </c>
      <c r="J127" s="62">
        <f>+F127+H127</f>
        <v>138345.9278</v>
      </c>
      <c r="K127" s="1122">
        <f>+K109+K91</f>
        <v>74507.213675213687</v>
      </c>
      <c r="L127" s="1323">
        <f>+L109+L91</f>
        <v>67831.056400000001</v>
      </c>
      <c r="M127" s="1123">
        <f t="shared" ref="M127:N132" si="653">+E127+G127+K127</f>
        <v>228061.76638176641</v>
      </c>
      <c r="N127" s="1586">
        <f t="shared" si="653"/>
        <v>206176.98420000001</v>
      </c>
      <c r="O127" s="1122">
        <f>+O109+O91</f>
        <v>76990.787464387467</v>
      </c>
      <c r="P127" s="1323">
        <f>+P109+P91</f>
        <v>71415.707999999999</v>
      </c>
      <c r="Q127" s="718">
        <f>+M127+O127</f>
        <v>305052.5538461539</v>
      </c>
      <c r="R127" s="62">
        <f>+N127+P127</f>
        <v>277592.69219999999</v>
      </c>
      <c r="S127" s="1122">
        <f>+S109+S91</f>
        <v>76990.787464387467</v>
      </c>
      <c r="T127" s="1323">
        <f>+T109+T91</f>
        <v>71852.167000000001</v>
      </c>
      <c r="U127" s="718">
        <f>+Q127+S127</f>
        <v>382043.34131054138</v>
      </c>
      <c r="V127" s="62">
        <f>+R127+T127</f>
        <v>349444.85920000001</v>
      </c>
      <c r="W127" s="1122">
        <f>+W109+W91</f>
        <v>71696.943589743591</v>
      </c>
      <c r="X127" s="1323">
        <f>+X109+X91</f>
        <v>69649.012000000002</v>
      </c>
      <c r="Y127" s="761">
        <f t="shared" ref="Y127:Y129" si="654">+O127+S127+W127</f>
        <v>225678.51851851854</v>
      </c>
      <c r="Z127" s="84">
        <f t="shared" ref="Z127:Z129" si="655">+P127+T127+X127</f>
        <v>212916.88699999999</v>
      </c>
      <c r="AA127" s="465">
        <f t="shared" ref="AA127:AA129" si="656">+M127+Y127</f>
        <v>453740.28490028495</v>
      </c>
      <c r="AB127" s="454">
        <f t="shared" ref="AB127:AB129" si="657">+N127+Z127</f>
        <v>419093.87119999999</v>
      </c>
      <c r="AC127" s="1122">
        <f>+AC109+AC91</f>
        <v>89464.908602059615</v>
      </c>
      <c r="AD127" s="1323">
        <f>+AD109+AD91</f>
        <v>74708</v>
      </c>
      <c r="AE127" s="718">
        <f t="shared" ref="AE127:AE132" si="658">+AA127+AC127</f>
        <v>543205.19350234454</v>
      </c>
      <c r="AF127" s="62">
        <f t="shared" ref="AF127:AF132" si="659">+AB127+AD127</f>
        <v>493801.87119999999</v>
      </c>
      <c r="AG127" s="1122">
        <f>+AG109+AG91</f>
        <v>86578.943808444805</v>
      </c>
      <c r="AH127" s="1323">
        <f>+AH109+AH91</f>
        <v>67783.37</v>
      </c>
      <c r="AI127" s="718">
        <f t="shared" ref="AI127:AI132" si="660">+AE127+AG127</f>
        <v>629784.13731078932</v>
      </c>
      <c r="AJ127" s="62">
        <f t="shared" ref="AJ127:AJ132" si="661">+AF127+AH127</f>
        <v>561585.24120000005</v>
      </c>
      <c r="AK127" s="1122">
        <f>+AK109+AK91</f>
        <v>89464.908602059615</v>
      </c>
      <c r="AL127" s="1323">
        <f>+AL109+AL91</f>
        <v>76207.87</v>
      </c>
      <c r="AM127" s="761">
        <f t="shared" ref="AM127:AM132" si="662">+AC127+AG127+AK127</f>
        <v>265508.76101256406</v>
      </c>
      <c r="AN127" s="84">
        <f t="shared" ref="AN127:AN132" si="663">+AD127+AH127+AL127</f>
        <v>218699.24</v>
      </c>
      <c r="AO127" s="760">
        <f t="shared" ref="AO127" si="664">AI127+AK127</f>
        <v>719249.0459128489</v>
      </c>
      <c r="AP127" s="760">
        <f t="shared" ref="AP127" si="665">AJ127+AL127</f>
        <v>637793.11120000004</v>
      </c>
      <c r="AQ127" s="1122">
        <f>+AQ109+AQ91</f>
        <v>89464.908602059615</v>
      </c>
      <c r="AR127" s="1323">
        <f>+AR109+AR91</f>
        <v>84458.53</v>
      </c>
      <c r="AS127" s="718">
        <f t="shared" ref="AS127:AS132" si="666">+AO127+AQ127</f>
        <v>808713.95451490849</v>
      </c>
      <c r="AT127" s="62">
        <f t="shared" ref="AT127:AT132" si="667">+AP127+AR127</f>
        <v>722251.64120000007</v>
      </c>
      <c r="AU127" s="1122">
        <f>+AU109+AU91</f>
        <v>80807.01422121514</v>
      </c>
      <c r="AV127" s="1323">
        <f>+AV109+AV91</f>
        <v>77349.342499999999</v>
      </c>
      <c r="AW127" s="718">
        <f t="shared" ref="AW127:AW132" si="668">+AS127+AU127</f>
        <v>889520.96873612364</v>
      </c>
      <c r="AX127" s="62">
        <f t="shared" ref="AX127:AX132" si="669">+AT127+AV127</f>
        <v>799600.9837000001</v>
      </c>
      <c r="AY127" s="1122">
        <f>+AY109+AY91</f>
        <v>89464.908602059615</v>
      </c>
      <c r="AZ127" s="1323">
        <f>+AZ109+AZ91</f>
        <v>78500.127999999997</v>
      </c>
      <c r="BA127" s="761">
        <f t="shared" ref="BA127:BA129" si="670">+AQ127+AU127+AY127</f>
        <v>259736.83142533436</v>
      </c>
      <c r="BB127" s="84">
        <f t="shared" ref="BB127:BB129" si="671">+AR127+AV127+AZ127</f>
        <v>240308.00049999999</v>
      </c>
      <c r="BC127" s="2513">
        <f t="shared" ref="BC127:BC132" si="672">+AM127+BA127</f>
        <v>525245.59243789839</v>
      </c>
      <c r="BD127" s="2513">
        <f t="shared" ref="BD127:BD132" si="673">+AN127+BB127</f>
        <v>459007.24049999996</v>
      </c>
      <c r="BE127" s="782">
        <f t="shared" ref="BE127:BE132" si="674">AW127+AY127</f>
        <v>978985.87733818323</v>
      </c>
      <c r="BF127" s="782">
        <f t="shared" ref="BF127:BF132" si="675">AX127+AZ127</f>
        <v>878101.11170000012</v>
      </c>
      <c r="BG127" s="1219"/>
      <c r="BH127" s="1219"/>
      <c r="BI127" s="1219"/>
      <c r="BJ127" s="1546"/>
      <c r="BK127" s="1546"/>
      <c r="BL127" s="26"/>
      <c r="BM127" s="26"/>
      <c r="BN127" s="26"/>
    </row>
    <row r="128" spans="1:66" ht="14.45" x14ac:dyDescent="0.3">
      <c r="B128" s="1846" t="s">
        <v>10</v>
      </c>
      <c r="C128" s="1394" t="s">
        <v>50</v>
      </c>
      <c r="D128" s="1313">
        <f t="shared" ref="D128:E132" si="676">+D110+D92</f>
        <v>195741.61253561254</v>
      </c>
      <c r="E128" s="1122">
        <f t="shared" si="676"/>
        <v>16333.333333333334</v>
      </c>
      <c r="F128" s="1324">
        <f>F110+F92</f>
        <v>17595.672399999999</v>
      </c>
      <c r="G128" s="1122">
        <f t="shared" ref="G128" si="677">+G110+G92</f>
        <v>16877.777777777781</v>
      </c>
      <c r="H128" s="1324">
        <f>H110+H92</f>
        <v>19435.73</v>
      </c>
      <c r="I128" s="718">
        <f>+E128+G128</f>
        <v>33211.111111111117</v>
      </c>
      <c r="J128" s="62">
        <f>+F128+H128</f>
        <v>37031.402399999999</v>
      </c>
      <c r="K128" s="1122">
        <f t="shared" ref="K128:K132" si="678">+K110+K92</f>
        <v>16098.119658119658</v>
      </c>
      <c r="L128" s="1324">
        <f>L110+L92</f>
        <v>17192.101999999999</v>
      </c>
      <c r="M128" s="72">
        <f t="shared" si="653"/>
        <v>49309.230769230773</v>
      </c>
      <c r="N128" s="427">
        <f t="shared" si="653"/>
        <v>54223.504399999998</v>
      </c>
      <c r="O128" s="1122">
        <f t="shared" ref="O128:O132" si="679">+O110+O92</f>
        <v>16634.723646723647</v>
      </c>
      <c r="P128" s="1324">
        <f>P110+P92</f>
        <v>1716.17</v>
      </c>
      <c r="Q128" s="718">
        <f t="shared" ref="Q128:Q132" si="680">+M128+O128</f>
        <v>65943.954415954417</v>
      </c>
      <c r="R128" s="62">
        <f t="shared" ref="R128:R132" si="681">+N128+P128</f>
        <v>55939.674399999996</v>
      </c>
      <c r="S128" s="1122">
        <f t="shared" ref="S128:S132" si="682">+S110+S92</f>
        <v>16634.723646723647</v>
      </c>
      <c r="T128" s="1324">
        <f>T110+T92</f>
        <v>15147.786</v>
      </c>
      <c r="U128" s="718">
        <f t="shared" ref="U128:U132" si="683">+Q128+S128</f>
        <v>82578.678062678067</v>
      </c>
      <c r="V128" s="62">
        <f t="shared" ref="V128:V132" si="684">+R128+T128</f>
        <v>71087.460399999996</v>
      </c>
      <c r="W128" s="1122">
        <f t="shared" ref="W128:W132" si="685">+W110+W92</f>
        <v>15501.008547008545</v>
      </c>
      <c r="X128" s="1324">
        <f>X110+X92</f>
        <v>17328.204999999998</v>
      </c>
      <c r="Y128" s="761">
        <f t="shared" si="654"/>
        <v>48770.455840455841</v>
      </c>
      <c r="Z128" s="84">
        <f t="shared" si="655"/>
        <v>34192.160999999993</v>
      </c>
      <c r="AA128" s="465">
        <f t="shared" si="656"/>
        <v>98079.686609686614</v>
      </c>
      <c r="AB128" s="454">
        <f t="shared" si="657"/>
        <v>88415.665399999998</v>
      </c>
      <c r="AC128" s="1122">
        <f>+AC110+AC92</f>
        <v>15531.924176065746</v>
      </c>
      <c r="AD128" s="1324">
        <f>AD110+AD92</f>
        <v>17414</v>
      </c>
      <c r="AE128" s="718">
        <f t="shared" si="658"/>
        <v>113611.61078575236</v>
      </c>
      <c r="AF128" s="62">
        <f t="shared" si="659"/>
        <v>105829.6654</v>
      </c>
      <c r="AG128" s="1122">
        <f>+AG110+AG92</f>
        <v>15030.894363934593</v>
      </c>
      <c r="AH128" s="1324">
        <f>AH110+AH92</f>
        <v>16193.23</v>
      </c>
      <c r="AI128" s="718">
        <f t="shared" si="660"/>
        <v>128642.50514968696</v>
      </c>
      <c r="AJ128" s="62">
        <f t="shared" si="661"/>
        <v>122022.89539999999</v>
      </c>
      <c r="AK128" s="1122">
        <f>+AK110+AK92</f>
        <v>15531.924176065746</v>
      </c>
      <c r="AL128" s="1324">
        <f>AL110+AL92</f>
        <v>17475.05</v>
      </c>
      <c r="AM128" s="761">
        <f t="shared" si="662"/>
        <v>46094.742716066088</v>
      </c>
      <c r="AN128" s="84">
        <f t="shared" si="663"/>
        <v>51082.28</v>
      </c>
      <c r="AO128" s="760">
        <f t="shared" ref="AO128:AO132" si="686">AI128+AK128</f>
        <v>144174.42932575272</v>
      </c>
      <c r="AP128" s="760">
        <f t="shared" ref="AO128:AP134" si="687">AJ128+AL128</f>
        <v>139497.9454</v>
      </c>
      <c r="AQ128" s="1122">
        <f>+AQ110+AQ92</f>
        <v>15531.924176065746</v>
      </c>
      <c r="AR128" s="1324">
        <f>AR110+AR92</f>
        <v>17067.55</v>
      </c>
      <c r="AS128" s="718">
        <f t="shared" si="666"/>
        <v>159706.35350181846</v>
      </c>
      <c r="AT128" s="62">
        <f t="shared" si="667"/>
        <v>156565.49539999999</v>
      </c>
      <c r="AU128" s="1122">
        <f>+AU110+AU92</f>
        <v>14028.834739672286</v>
      </c>
      <c r="AV128" s="1324">
        <f>AV110+AV92</f>
        <v>12690.092499999999</v>
      </c>
      <c r="AW128" s="718">
        <f t="shared" si="668"/>
        <v>173735.18824149074</v>
      </c>
      <c r="AX128" s="62">
        <f t="shared" si="669"/>
        <v>169255.58789999998</v>
      </c>
      <c r="AY128" s="1122">
        <f>+AY110+AY92</f>
        <v>15531.924176065746</v>
      </c>
      <c r="AZ128" s="1324">
        <f>AZ110+AZ92</f>
        <v>14195.458000000001</v>
      </c>
      <c r="BA128" s="761">
        <f t="shared" si="670"/>
        <v>45092.683091803774</v>
      </c>
      <c r="BB128" s="84">
        <f t="shared" si="671"/>
        <v>43953.1005</v>
      </c>
      <c r="BC128" s="2513">
        <f t="shared" si="672"/>
        <v>91187.425807869862</v>
      </c>
      <c r="BD128" s="2513">
        <f t="shared" si="673"/>
        <v>95035.380499999999</v>
      </c>
      <c r="BE128" s="782">
        <f t="shared" si="674"/>
        <v>189267.11241755649</v>
      </c>
      <c r="BF128" s="782">
        <f t="shared" si="675"/>
        <v>183451.0459</v>
      </c>
      <c r="BG128" s="1219"/>
      <c r="BH128" s="1219"/>
      <c r="BI128" s="1219"/>
      <c r="BJ128" s="1546"/>
      <c r="BK128" s="1546"/>
      <c r="BL128" s="26"/>
      <c r="BM128" s="26"/>
      <c r="BN128" s="26"/>
    </row>
    <row r="129" spans="1:66" ht="14.45" x14ac:dyDescent="0.3">
      <c r="B129" s="1847" t="s">
        <v>2200</v>
      </c>
      <c r="C129" s="1394" t="s">
        <v>50</v>
      </c>
      <c r="D129" s="1313">
        <f t="shared" si="676"/>
        <v>48935.403133903135</v>
      </c>
      <c r="E129" s="1122">
        <f t="shared" si="676"/>
        <v>4083.3333333333335</v>
      </c>
      <c r="F129" s="1324">
        <f>F111+F93</f>
        <v>0</v>
      </c>
      <c r="G129" s="1122">
        <f t="shared" ref="G129" si="688">+G111+G93</f>
        <v>4219.4444444444453</v>
      </c>
      <c r="H129" s="1324">
        <f>H111+H93</f>
        <v>0</v>
      </c>
      <c r="I129" s="718">
        <f t="shared" ref="I129:I131" si="689">+E129+G129</f>
        <v>8302.7777777777792</v>
      </c>
      <c r="J129" s="62">
        <f>+F129+H129</f>
        <v>0</v>
      </c>
      <c r="K129" s="1122">
        <f t="shared" si="678"/>
        <v>4024.5299145299145</v>
      </c>
      <c r="L129" s="1324">
        <f>L111+L93</f>
        <v>0</v>
      </c>
      <c r="M129" s="72">
        <f t="shared" si="653"/>
        <v>12327.307692307693</v>
      </c>
      <c r="N129" s="427">
        <f t="shared" si="653"/>
        <v>0</v>
      </c>
      <c r="O129" s="1122">
        <f t="shared" si="679"/>
        <v>4158.6809116809118</v>
      </c>
      <c r="P129" s="1324">
        <f>P111+P93</f>
        <v>17229.134221995999</v>
      </c>
      <c r="Q129" s="718">
        <f t="shared" si="680"/>
        <v>16485.988603988604</v>
      </c>
      <c r="R129" s="62">
        <f t="shared" si="681"/>
        <v>17229.134221995999</v>
      </c>
      <c r="S129" s="1122">
        <f t="shared" si="682"/>
        <v>4158.6809116809118</v>
      </c>
      <c r="T129" s="1324">
        <f>T111+T93</f>
        <v>12261.861000000001</v>
      </c>
      <c r="U129" s="718">
        <f t="shared" si="683"/>
        <v>20644.669515669517</v>
      </c>
      <c r="V129" s="62">
        <f t="shared" si="684"/>
        <v>29490.995221996</v>
      </c>
      <c r="W129" s="1122">
        <f t="shared" si="685"/>
        <v>3875.2521367521363</v>
      </c>
      <c r="X129" s="1324">
        <f>X111+X93</f>
        <v>20076.626</v>
      </c>
      <c r="Y129" s="761">
        <f t="shared" si="654"/>
        <v>12192.61396011396</v>
      </c>
      <c r="Z129" s="84">
        <f t="shared" si="655"/>
        <v>49567.621221996</v>
      </c>
      <c r="AA129" s="465">
        <f t="shared" si="656"/>
        <v>24519.921652421654</v>
      </c>
      <c r="AB129" s="454">
        <f t="shared" si="657"/>
        <v>49567.621221996</v>
      </c>
      <c r="AC129" s="1122">
        <f>+AC111+AC93</f>
        <v>0</v>
      </c>
      <c r="AD129" s="1324">
        <f>AD111+AD93</f>
        <v>5254</v>
      </c>
      <c r="AE129" s="718">
        <f t="shared" si="658"/>
        <v>24519.921652421654</v>
      </c>
      <c r="AF129" s="62">
        <f t="shared" si="659"/>
        <v>54821.621221996</v>
      </c>
      <c r="AG129" s="1122">
        <f>+AG111+AG93</f>
        <v>0</v>
      </c>
      <c r="AH129" s="1324">
        <f>AH111+AH93</f>
        <v>4888.5200000000004</v>
      </c>
      <c r="AI129" s="718">
        <f t="shared" si="660"/>
        <v>24519.921652421654</v>
      </c>
      <c r="AJ129" s="62">
        <f t="shared" si="661"/>
        <v>59710.141221996004</v>
      </c>
      <c r="AK129" s="1122">
        <f>+AK111+AK93</f>
        <v>0</v>
      </c>
      <c r="AL129" s="1324">
        <f>AL111+AL93</f>
        <v>2731.57</v>
      </c>
      <c r="AM129" s="761">
        <f t="shared" si="662"/>
        <v>0</v>
      </c>
      <c r="AN129" s="84">
        <f t="shared" si="663"/>
        <v>12874.09</v>
      </c>
      <c r="AO129" s="760">
        <f t="shared" si="686"/>
        <v>24519.921652421654</v>
      </c>
      <c r="AP129" s="760">
        <f t="shared" si="687"/>
        <v>62441.711221996004</v>
      </c>
      <c r="AQ129" s="1122">
        <f>+AQ111+AQ93</f>
        <v>0</v>
      </c>
      <c r="AR129" s="1324">
        <f>AR111+AR93</f>
        <v>0</v>
      </c>
      <c r="AS129" s="718">
        <f t="shared" si="666"/>
        <v>24519.921652421654</v>
      </c>
      <c r="AT129" s="62">
        <f t="shared" si="667"/>
        <v>62441.711221996004</v>
      </c>
      <c r="AU129" s="1122">
        <f>+AU111+AU93</f>
        <v>0</v>
      </c>
      <c r="AV129" s="1324">
        <f>AV111+AV93</f>
        <v>0</v>
      </c>
      <c r="AW129" s="718">
        <f t="shared" si="668"/>
        <v>24519.921652421654</v>
      </c>
      <c r="AX129" s="62">
        <f t="shared" si="669"/>
        <v>62441.711221996004</v>
      </c>
      <c r="AY129" s="1122">
        <f>+AY111+AY93</f>
        <v>0</v>
      </c>
      <c r="AZ129" s="1324">
        <f>AZ111+AZ93</f>
        <v>0</v>
      </c>
      <c r="BA129" s="761">
        <f t="shared" si="670"/>
        <v>0</v>
      </c>
      <c r="BB129" s="84">
        <f t="shared" si="671"/>
        <v>0</v>
      </c>
      <c r="BC129" s="2513">
        <f t="shared" si="672"/>
        <v>0</v>
      </c>
      <c r="BD129" s="2513">
        <f t="shared" si="673"/>
        <v>12874.09</v>
      </c>
      <c r="BE129" s="782">
        <f t="shared" si="674"/>
        <v>24519.921652421654</v>
      </c>
      <c r="BF129" s="782">
        <f t="shared" si="675"/>
        <v>62441.711221996004</v>
      </c>
      <c r="BG129" s="1219"/>
      <c r="BH129" s="1219"/>
      <c r="BI129" s="1219"/>
      <c r="BJ129" s="1546"/>
      <c r="BK129" s="1546"/>
      <c r="BL129" s="26"/>
      <c r="BM129" s="26"/>
      <c r="BN129" s="26"/>
    </row>
    <row r="130" spans="1:66" ht="14.45" x14ac:dyDescent="0.3">
      <c r="B130" s="1847" t="s">
        <v>2199</v>
      </c>
      <c r="C130" s="1394" t="s">
        <v>50</v>
      </c>
      <c r="D130" s="1313">
        <f t="shared" si="676"/>
        <v>48935.403133903135</v>
      </c>
      <c r="E130" s="1122">
        <f t="shared" si="676"/>
        <v>4083.3333333333335</v>
      </c>
      <c r="F130" s="1324">
        <f>F112+F94</f>
        <v>0</v>
      </c>
      <c r="G130" s="1122">
        <f t="shared" ref="G130" si="690">+G112+G94</f>
        <v>4219.4444444444453</v>
      </c>
      <c r="H130" s="1324">
        <f>H112+H94</f>
        <v>0</v>
      </c>
      <c r="I130" s="718">
        <f t="shared" ref="I130" si="691">+E130+G130</f>
        <v>8302.7777777777792</v>
      </c>
      <c r="J130" s="62">
        <f>+F130+H130</f>
        <v>0</v>
      </c>
      <c r="K130" s="1122">
        <f t="shared" si="678"/>
        <v>4024.5299145299145</v>
      </c>
      <c r="L130" s="1324">
        <f>L112+L94</f>
        <v>925.98659999999995</v>
      </c>
      <c r="M130" s="72">
        <f t="shared" ref="M130:M131" si="692">+E130+G130+K130</f>
        <v>12327.307692307693</v>
      </c>
      <c r="N130" s="427">
        <f t="shared" ref="N130:N131" si="693">+F130+H130+L130</f>
        <v>925.98659999999995</v>
      </c>
      <c r="O130" s="1122">
        <f t="shared" si="679"/>
        <v>4158.6809116809118</v>
      </c>
      <c r="P130" s="1324">
        <f>P112+P94</f>
        <v>16299.490000000002</v>
      </c>
      <c r="Q130" s="718">
        <f t="shared" ref="Q130:Q131" si="694">+M130+O130</f>
        <v>16485.988603988604</v>
      </c>
      <c r="R130" s="62">
        <f t="shared" ref="R130:R131" si="695">+N130+P130</f>
        <v>17225.476600000002</v>
      </c>
      <c r="S130" s="1122">
        <f t="shared" si="682"/>
        <v>4158.6809116809118</v>
      </c>
      <c r="T130" s="1324">
        <f>T112+T94</f>
        <v>2210.8639999999996</v>
      </c>
      <c r="U130" s="718">
        <f t="shared" ref="U130:U131" si="696">+Q130+S130</f>
        <v>20644.669515669517</v>
      </c>
      <c r="V130" s="62">
        <f t="shared" ref="V130:V131" si="697">+R130+T130</f>
        <v>19436.340600000003</v>
      </c>
      <c r="W130" s="1122">
        <f t="shared" si="685"/>
        <v>3875.2521367521363</v>
      </c>
      <c r="X130" s="1324">
        <f>X112+X94</f>
        <v>0</v>
      </c>
      <c r="Y130" s="761">
        <f t="shared" ref="Y130:Y131" si="698">+O130+S130+W130</f>
        <v>12192.61396011396</v>
      </c>
      <c r="Z130" s="84">
        <f t="shared" ref="Z130:Z131" si="699">+P130+T130+X130</f>
        <v>18510.353999999999</v>
      </c>
      <c r="AA130" s="465">
        <f t="shared" ref="AA130:AA131" si="700">+M130+Y130</f>
        <v>24519.921652421654</v>
      </c>
      <c r="AB130" s="454">
        <f t="shared" ref="AB130:AB131" si="701">+N130+Z130</f>
        <v>19436.3406</v>
      </c>
      <c r="AC130" s="1122">
        <f t="shared" ref="AC130:AC131" si="702">+AC112+AC94</f>
        <v>0</v>
      </c>
      <c r="AD130" s="1324">
        <f t="shared" ref="AD130:AD131" si="703">AD112+AD94</f>
        <v>5255</v>
      </c>
      <c r="AE130" s="718">
        <f t="shared" ref="AE130:AE131" si="704">+AA130+AC130</f>
        <v>24519.921652421654</v>
      </c>
      <c r="AF130" s="62">
        <f t="shared" ref="AF130:AF131" si="705">+AB130+AD130</f>
        <v>24691.3406</v>
      </c>
      <c r="AG130" s="1122">
        <f t="shared" ref="AG130:AG131" si="706">+AG112+AG94</f>
        <v>0</v>
      </c>
      <c r="AH130" s="1324">
        <f t="shared" ref="AH130:AH131" si="707">AH112+AH94</f>
        <v>4889.5200000000004</v>
      </c>
      <c r="AI130" s="718">
        <f t="shared" ref="AI130:AI131" si="708">+AE130+AG130</f>
        <v>24519.921652421654</v>
      </c>
      <c r="AJ130" s="62">
        <f t="shared" ref="AJ130:AJ131" si="709">+AF130+AH130</f>
        <v>29580.8606</v>
      </c>
      <c r="AK130" s="1122">
        <f t="shared" ref="AK130:AK131" si="710">+AK112+AK94</f>
        <v>0</v>
      </c>
      <c r="AL130" s="1324">
        <f t="shared" ref="AL130:AL131" si="711">AL112+AL94</f>
        <v>2732.57</v>
      </c>
      <c r="AM130" s="761">
        <f t="shared" ref="AM130:AM131" si="712">+AC130+AG130+AK130</f>
        <v>0</v>
      </c>
      <c r="AN130" s="84">
        <f t="shared" ref="AN130:AN131" si="713">+AD130+AH130+AL130</f>
        <v>12877.09</v>
      </c>
      <c r="AO130" s="760">
        <f t="shared" ref="AO130:AO131" si="714">AI130+AK130</f>
        <v>24519.921652421654</v>
      </c>
      <c r="AP130" s="760">
        <f t="shared" ref="AP130:AP131" si="715">AJ130+AL130</f>
        <v>32313.4306</v>
      </c>
      <c r="AQ130" s="1122">
        <f t="shared" ref="AQ130:AQ131" si="716">+AQ112+AQ94</f>
        <v>0</v>
      </c>
      <c r="AR130" s="1324">
        <f t="shared" ref="AR130:AR131" si="717">AR112+AR94</f>
        <v>0</v>
      </c>
      <c r="AS130" s="718">
        <f t="shared" ref="AS130:AS131" si="718">+AO130+AQ130</f>
        <v>24519.921652421654</v>
      </c>
      <c r="AT130" s="62">
        <f t="shared" ref="AT130:AT131" si="719">+AP130+AR130</f>
        <v>32313.4306</v>
      </c>
      <c r="AU130" s="1122">
        <f t="shared" ref="AU130:AU131" si="720">+AU112+AU94</f>
        <v>0</v>
      </c>
      <c r="AV130" s="1324">
        <f t="shared" ref="AV130:AV131" si="721">AV112+AV94</f>
        <v>0</v>
      </c>
      <c r="AW130" s="718">
        <f t="shared" ref="AW130:AW131" si="722">+AS130+AU130</f>
        <v>24519.921652421654</v>
      </c>
      <c r="AX130" s="62">
        <f t="shared" ref="AX130:AX131" si="723">+AT130+AV130</f>
        <v>32313.4306</v>
      </c>
      <c r="AY130" s="1122">
        <f t="shared" ref="AY130:AY131" si="724">+AY112+AY94</f>
        <v>0</v>
      </c>
      <c r="AZ130" s="1324">
        <f t="shared" ref="AZ130:AZ131" si="725">AZ112+AZ94</f>
        <v>0</v>
      </c>
      <c r="BA130" s="761">
        <f t="shared" ref="BA130:BA131" si="726">+AQ130+AU130+AY130</f>
        <v>0</v>
      </c>
      <c r="BB130" s="84">
        <f t="shared" ref="BB130:BB131" si="727">+AR130+AV130+AZ130</f>
        <v>0</v>
      </c>
      <c r="BC130" s="2513">
        <f t="shared" ref="BC130:BC131" si="728">+AM130+BA130</f>
        <v>0</v>
      </c>
      <c r="BD130" s="2513">
        <f t="shared" ref="BD130:BD131" si="729">+AN130+BB130</f>
        <v>12877.09</v>
      </c>
      <c r="BE130" s="782">
        <f t="shared" ref="BE130:BE131" si="730">AW130+AY130</f>
        <v>24519.921652421654</v>
      </c>
      <c r="BF130" s="782">
        <f t="shared" ref="BF130:BF131" si="731">AX130+AZ130</f>
        <v>32313.4306</v>
      </c>
      <c r="BG130" s="1219"/>
      <c r="BH130" s="1219"/>
      <c r="BI130" s="1219"/>
      <c r="BJ130" s="1546"/>
      <c r="BK130" s="1546"/>
      <c r="BL130" s="26"/>
      <c r="BM130" s="26"/>
      <c r="BN130" s="26"/>
    </row>
    <row r="131" spans="1:66" ht="14.45" x14ac:dyDescent="0.3">
      <c r="B131" s="1847" t="s">
        <v>1278</v>
      </c>
      <c r="C131" s="1394" t="s">
        <v>50</v>
      </c>
      <c r="D131" s="1313">
        <f t="shared" si="676"/>
        <v>0</v>
      </c>
      <c r="E131" s="1122">
        <f t="shared" si="676"/>
        <v>0</v>
      </c>
      <c r="F131" s="1324">
        <f>F95+F113</f>
        <v>0</v>
      </c>
      <c r="G131" s="1122">
        <f t="shared" ref="G131" si="732">+G113+G95</f>
        <v>0</v>
      </c>
      <c r="H131" s="1324">
        <f>H95+H113</f>
        <v>0</v>
      </c>
      <c r="I131" s="718">
        <f t="shared" si="689"/>
        <v>0</v>
      </c>
      <c r="J131" s="62">
        <f>+F131+H131</f>
        <v>0</v>
      </c>
      <c r="K131" s="1122">
        <f t="shared" si="678"/>
        <v>0</v>
      </c>
      <c r="L131" s="1324">
        <f>L95+L113</f>
        <v>0</v>
      </c>
      <c r="M131" s="72">
        <f t="shared" si="692"/>
        <v>0</v>
      </c>
      <c r="N131" s="427">
        <f t="shared" si="693"/>
        <v>0</v>
      </c>
      <c r="O131" s="1122">
        <f t="shared" si="679"/>
        <v>0</v>
      </c>
      <c r="P131" s="1324">
        <f>P95+P113</f>
        <v>343.23</v>
      </c>
      <c r="Q131" s="718">
        <f t="shared" si="694"/>
        <v>0</v>
      </c>
      <c r="R131" s="62">
        <f t="shared" si="695"/>
        <v>343.23</v>
      </c>
      <c r="S131" s="1122">
        <f t="shared" si="682"/>
        <v>0</v>
      </c>
      <c r="T131" s="1324">
        <f>T95+T113</f>
        <v>514.85</v>
      </c>
      <c r="U131" s="718">
        <f t="shared" si="696"/>
        <v>0</v>
      </c>
      <c r="V131" s="62">
        <f t="shared" si="697"/>
        <v>858.08</v>
      </c>
      <c r="W131" s="1122">
        <f t="shared" si="685"/>
        <v>0</v>
      </c>
      <c r="X131" s="1324">
        <f>X95+X113</f>
        <v>0</v>
      </c>
      <c r="Y131" s="761">
        <f t="shared" si="698"/>
        <v>0</v>
      </c>
      <c r="Z131" s="84">
        <f t="shared" si="699"/>
        <v>858.08</v>
      </c>
      <c r="AA131" s="465">
        <f t="shared" si="700"/>
        <v>0</v>
      </c>
      <c r="AB131" s="454">
        <f t="shared" si="701"/>
        <v>858.08</v>
      </c>
      <c r="AC131" s="1122">
        <f t="shared" si="702"/>
        <v>0</v>
      </c>
      <c r="AD131" s="1324">
        <f t="shared" si="703"/>
        <v>0</v>
      </c>
      <c r="AE131" s="718">
        <f t="shared" si="704"/>
        <v>0</v>
      </c>
      <c r="AF131" s="62">
        <f t="shared" si="705"/>
        <v>858.08</v>
      </c>
      <c r="AG131" s="1122">
        <f t="shared" si="706"/>
        <v>0</v>
      </c>
      <c r="AH131" s="1324">
        <f t="shared" si="707"/>
        <v>0</v>
      </c>
      <c r="AI131" s="718">
        <f t="shared" si="708"/>
        <v>0</v>
      </c>
      <c r="AJ131" s="62">
        <f t="shared" si="709"/>
        <v>858.08</v>
      </c>
      <c r="AK131" s="1122">
        <f t="shared" si="710"/>
        <v>0</v>
      </c>
      <c r="AL131" s="1324">
        <f t="shared" si="711"/>
        <v>1365.79</v>
      </c>
      <c r="AM131" s="761">
        <f t="shared" si="712"/>
        <v>0</v>
      </c>
      <c r="AN131" s="84">
        <f t="shared" si="713"/>
        <v>1365.79</v>
      </c>
      <c r="AO131" s="760">
        <f t="shared" si="714"/>
        <v>0</v>
      </c>
      <c r="AP131" s="760">
        <f t="shared" si="715"/>
        <v>2223.87</v>
      </c>
      <c r="AQ131" s="1122">
        <f t="shared" si="716"/>
        <v>0</v>
      </c>
      <c r="AR131" s="1324">
        <f t="shared" si="717"/>
        <v>0</v>
      </c>
      <c r="AS131" s="718">
        <f t="shared" si="718"/>
        <v>0</v>
      </c>
      <c r="AT131" s="62">
        <f t="shared" si="719"/>
        <v>2223.87</v>
      </c>
      <c r="AU131" s="1122">
        <f t="shared" si="720"/>
        <v>0</v>
      </c>
      <c r="AV131" s="1324">
        <f t="shared" si="721"/>
        <v>0</v>
      </c>
      <c r="AW131" s="718">
        <f t="shared" si="722"/>
        <v>0</v>
      </c>
      <c r="AX131" s="62">
        <f t="shared" si="723"/>
        <v>2223.87</v>
      </c>
      <c r="AY131" s="1122">
        <f t="shared" si="724"/>
        <v>0</v>
      </c>
      <c r="AZ131" s="1324">
        <f t="shared" si="725"/>
        <v>0</v>
      </c>
      <c r="BA131" s="761">
        <f t="shared" si="726"/>
        <v>0</v>
      </c>
      <c r="BB131" s="84">
        <f t="shared" si="727"/>
        <v>0</v>
      </c>
      <c r="BC131" s="2513">
        <f t="shared" si="728"/>
        <v>0</v>
      </c>
      <c r="BD131" s="2513">
        <f t="shared" si="729"/>
        <v>1365.79</v>
      </c>
      <c r="BE131" s="782">
        <f t="shared" si="730"/>
        <v>0</v>
      </c>
      <c r="BF131" s="782">
        <f t="shared" si="731"/>
        <v>2223.87</v>
      </c>
      <c r="BG131" s="1219"/>
      <c r="BH131" s="1219"/>
      <c r="BI131" s="1219"/>
      <c r="BJ131" s="1546"/>
      <c r="BK131" s="1546"/>
      <c r="BL131" s="26"/>
      <c r="BM131" s="26"/>
      <c r="BN131" s="26"/>
    </row>
    <row r="132" spans="1:66" thickBot="1" x14ac:dyDescent="0.35">
      <c r="B132" s="1847" t="s">
        <v>612</v>
      </c>
      <c r="C132" s="1394" t="s">
        <v>50</v>
      </c>
      <c r="D132" s="1313">
        <f t="shared" si="676"/>
        <v>176167.45128205128</v>
      </c>
      <c r="E132" s="1122">
        <f t="shared" si="676"/>
        <v>14700</v>
      </c>
      <c r="F132" s="1324">
        <f>F96+F114</f>
        <v>20144.957499999997</v>
      </c>
      <c r="G132" s="1122">
        <f t="shared" ref="G132" si="733">+G114+G96</f>
        <v>15190</v>
      </c>
      <c r="H132" s="1324">
        <f>H96+H114</f>
        <v>22578.91</v>
      </c>
      <c r="I132" s="718">
        <f>+E132+G132</f>
        <v>29890</v>
      </c>
      <c r="J132" s="62">
        <f>+F132+H132</f>
        <v>42723.867499999993</v>
      </c>
      <c r="K132" s="1122">
        <f t="shared" si="678"/>
        <v>14488.307692307691</v>
      </c>
      <c r="L132" s="1324">
        <f>L96+L114</f>
        <v>21898.656000000003</v>
      </c>
      <c r="M132" s="72">
        <f t="shared" si="653"/>
        <v>44378.307692307688</v>
      </c>
      <c r="N132" s="427">
        <f t="shared" si="653"/>
        <v>64622.523499999996</v>
      </c>
      <c r="O132" s="1122">
        <f t="shared" si="679"/>
        <v>14971.251282051282</v>
      </c>
      <c r="P132" s="1324">
        <f>P96+P114</f>
        <v>5439.9497780040001</v>
      </c>
      <c r="Q132" s="718">
        <f t="shared" si="680"/>
        <v>59349.558974358966</v>
      </c>
      <c r="R132" s="62">
        <f t="shared" si="681"/>
        <v>70062.473278003992</v>
      </c>
      <c r="S132" s="1122">
        <f t="shared" si="682"/>
        <v>14971.251282051282</v>
      </c>
      <c r="T132" s="1324">
        <f>T96+T114</f>
        <v>10510.65</v>
      </c>
      <c r="U132" s="718">
        <f t="shared" si="683"/>
        <v>74320.810256410245</v>
      </c>
      <c r="V132" s="62">
        <f t="shared" si="684"/>
        <v>80573.123278003986</v>
      </c>
      <c r="W132" s="1122">
        <f t="shared" si="685"/>
        <v>13950.90769230769</v>
      </c>
      <c r="X132" s="1324">
        <f>X96+X114</f>
        <v>2000.3759999999997</v>
      </c>
      <c r="Y132" s="761">
        <f t="shared" ref="Y132" si="734">+O132+S132+W132</f>
        <v>43893.41025641025</v>
      </c>
      <c r="Z132" s="84">
        <f t="shared" ref="Z132" si="735">+P132+T132+X132</f>
        <v>17950.975778003998</v>
      </c>
      <c r="AA132" s="465">
        <f t="shared" ref="AA132" si="736">+M132+Y132</f>
        <v>88271.717948717938</v>
      </c>
      <c r="AB132" s="454">
        <f t="shared" ref="AB132" si="737">+N132+Z132</f>
        <v>82573.49927800399</v>
      </c>
      <c r="AC132" s="1122">
        <f>+AC114+AC96</f>
        <v>16686.017214265179</v>
      </c>
      <c r="AD132" s="1324">
        <f>AD96+AD114</f>
        <v>16263</v>
      </c>
      <c r="AE132" s="718">
        <f t="shared" si="658"/>
        <v>104957.73516298312</v>
      </c>
      <c r="AF132" s="62">
        <f t="shared" si="659"/>
        <v>98836.49927800399</v>
      </c>
      <c r="AG132" s="1122">
        <f>+AG114+AG96</f>
        <v>16147.758594450177</v>
      </c>
      <c r="AH132" s="1324">
        <f>AH96+AH114</f>
        <v>15123.830000000002</v>
      </c>
      <c r="AI132" s="718">
        <f t="shared" si="660"/>
        <v>121105.4937574333</v>
      </c>
      <c r="AJ132" s="62">
        <f t="shared" si="661"/>
        <v>113960.32927800399</v>
      </c>
      <c r="AK132" s="1122">
        <f>+AK114+AK96</f>
        <v>16686.017214265179</v>
      </c>
      <c r="AL132" s="1324">
        <f>AL96+AL114</f>
        <v>16326.650000000001</v>
      </c>
      <c r="AM132" s="761">
        <f t="shared" si="662"/>
        <v>49519.793022980535</v>
      </c>
      <c r="AN132" s="84">
        <f t="shared" si="663"/>
        <v>47713.48</v>
      </c>
      <c r="AO132" s="760">
        <f t="shared" si="686"/>
        <v>137791.51097169847</v>
      </c>
      <c r="AP132" s="760">
        <f t="shared" si="687"/>
        <v>130286.979278004</v>
      </c>
      <c r="AQ132" s="1122">
        <f>+AQ114+AQ96</f>
        <v>16686.017214265179</v>
      </c>
      <c r="AR132" s="1324">
        <f>AR96+AR114</f>
        <v>17345.349999999999</v>
      </c>
      <c r="AS132" s="718">
        <f t="shared" si="666"/>
        <v>154477.52818596366</v>
      </c>
      <c r="AT132" s="62">
        <f t="shared" si="667"/>
        <v>147632.32927800401</v>
      </c>
      <c r="AU132" s="1122">
        <f>+AU114+AU96</f>
        <v>15071.241354820162</v>
      </c>
      <c r="AV132" s="1324">
        <f>AV96+AV114</f>
        <v>14905.442500000001</v>
      </c>
      <c r="AW132" s="718">
        <f t="shared" si="668"/>
        <v>169548.76954078383</v>
      </c>
      <c r="AX132" s="62">
        <f t="shared" si="669"/>
        <v>162537.77177800401</v>
      </c>
      <c r="AY132" s="1122">
        <f>+AY114+AY96</f>
        <v>16686.017214265179</v>
      </c>
      <c r="AZ132" s="1324">
        <f>AZ96+AZ114</f>
        <v>10048.328000000001</v>
      </c>
      <c r="BA132" s="761">
        <f t="shared" ref="BA132" si="738">+AQ132+AU132+AY132</f>
        <v>48443.275783350517</v>
      </c>
      <c r="BB132" s="84">
        <f t="shared" ref="BB132" si="739">+AR132+AV132+AZ132</f>
        <v>42299.120500000005</v>
      </c>
      <c r="BC132" s="2513">
        <f t="shared" si="672"/>
        <v>97963.068806331052</v>
      </c>
      <c r="BD132" s="2513">
        <f t="shared" si="673"/>
        <v>90012.6005</v>
      </c>
      <c r="BE132" s="782">
        <f t="shared" si="674"/>
        <v>186234.78675504902</v>
      </c>
      <c r="BF132" s="782">
        <f t="shared" si="675"/>
        <v>172586.09977800402</v>
      </c>
      <c r="BG132" s="1219"/>
      <c r="BH132" s="1219"/>
      <c r="BI132" s="1219"/>
      <c r="BJ132" s="1546"/>
      <c r="BK132" s="1546"/>
      <c r="BL132" s="26"/>
      <c r="BM132" s="26"/>
      <c r="BN132" s="26"/>
    </row>
    <row r="133" spans="1:66" ht="16.149999999999999" thickBot="1" x14ac:dyDescent="0.35">
      <c r="B133" s="1852" t="s">
        <v>13</v>
      </c>
      <c r="C133" s="1396" t="s">
        <v>50</v>
      </c>
      <c r="D133" s="139">
        <f>SUM(D127:D132)</f>
        <v>1375530.5846153847</v>
      </c>
      <c r="E133" s="537">
        <f>SUM(E127:E132)</f>
        <v>114718.63247863247</v>
      </c>
      <c r="F133" s="775">
        <f>SUM(F127:F132)</f>
        <v>106408.94769999999</v>
      </c>
      <c r="G133" s="537">
        <f>SUM(G127:G132)</f>
        <v>118542.58689458689</v>
      </c>
      <c r="H133" s="775">
        <f>SUM(H127:H132)</f>
        <v>111692.25</v>
      </c>
      <c r="I133" s="537">
        <f t="shared" ref="I133:N133" si="740">SUM(I127:I132)</f>
        <v>233261.21937321941</v>
      </c>
      <c r="J133" s="537">
        <f t="shared" si="740"/>
        <v>218101.19769999999</v>
      </c>
      <c r="K133" s="537">
        <f>SUM(K127:K132)</f>
        <v>113142.70085470087</v>
      </c>
      <c r="L133" s="775">
        <f>SUM(L127:L132)</f>
        <v>107847.80100000001</v>
      </c>
      <c r="M133" s="354">
        <f t="shared" si="740"/>
        <v>346403.92022792023</v>
      </c>
      <c r="N133" s="1583">
        <f t="shared" si="740"/>
        <v>325948.9987</v>
      </c>
      <c r="O133" s="537">
        <f>SUM(O127:O132)</f>
        <v>116914.12421652423</v>
      </c>
      <c r="P133" s="775">
        <f>SUM(P127:P132)</f>
        <v>112443.682</v>
      </c>
      <c r="Q133" s="537">
        <f t="shared" ref="Q133:R133" si="741">SUM(Q127:Q132)</f>
        <v>463318.04444444447</v>
      </c>
      <c r="R133" s="537">
        <f t="shared" si="741"/>
        <v>438392.68069999997</v>
      </c>
      <c r="S133" s="537">
        <f>SUM(S127:S132)</f>
        <v>116914.12421652423</v>
      </c>
      <c r="T133" s="775">
        <f>SUM(T127:T132)</f>
        <v>112498.17800000001</v>
      </c>
      <c r="U133" s="537">
        <f t="shared" ref="U133:V133" si="742">SUM(U127:U132)</f>
        <v>580232.16866096877</v>
      </c>
      <c r="V133" s="537">
        <f t="shared" si="742"/>
        <v>550890.85869999998</v>
      </c>
      <c r="W133" s="537">
        <f>SUM(W127:W132)</f>
        <v>108899.36410256411</v>
      </c>
      <c r="X133" s="775">
        <f>SUM(X127:X132)</f>
        <v>109054.21900000001</v>
      </c>
      <c r="Y133" s="354">
        <f t="shared" ref="Y133:AF133" si="743">SUM(Y127:Y132)</f>
        <v>342727.61253561254</v>
      </c>
      <c r="Z133" s="354">
        <f t="shared" si="743"/>
        <v>333996.07899999997</v>
      </c>
      <c r="AA133" s="2382">
        <f t="shared" si="743"/>
        <v>689131.53276353283</v>
      </c>
      <c r="AB133" s="463">
        <f t="shared" si="743"/>
        <v>659945.07770000002</v>
      </c>
      <c r="AC133" s="537">
        <f>SUM(AC127:AC132)</f>
        <v>121682.84999239055</v>
      </c>
      <c r="AD133" s="775">
        <f>SUM(AD127:AD132)</f>
        <v>118894</v>
      </c>
      <c r="AE133" s="537">
        <f t="shared" si="743"/>
        <v>810814.38275592355</v>
      </c>
      <c r="AF133" s="537">
        <f t="shared" si="743"/>
        <v>778839.07770000002</v>
      </c>
      <c r="AG133" s="537">
        <f>SUM(AG127:AG132)</f>
        <v>117757.59676682958</v>
      </c>
      <c r="AH133" s="775">
        <f>SUM(AH127:AH132)</f>
        <v>108878.47</v>
      </c>
      <c r="AI133" s="537">
        <f t="shared" ref="AI133:AN133" si="744">SUM(AI127:AI132)</f>
        <v>928571.97952275292</v>
      </c>
      <c r="AJ133" s="537">
        <f t="shared" si="744"/>
        <v>887717.54770000011</v>
      </c>
      <c r="AK133" s="537">
        <f>SUM(AK127:AK132)</f>
        <v>121682.84999239055</v>
      </c>
      <c r="AL133" s="775">
        <f>SUM(AL127:AL132)</f>
        <v>116839.5</v>
      </c>
      <c r="AM133" s="354">
        <f t="shared" si="744"/>
        <v>361123.2967516107</v>
      </c>
      <c r="AN133" s="354">
        <f t="shared" si="744"/>
        <v>344611.97000000003</v>
      </c>
      <c r="AO133" s="537">
        <f t="shared" ref="AO133:AT133" si="745">SUM(AO127:AO132)</f>
        <v>1050254.8295151435</v>
      </c>
      <c r="AP133" s="537">
        <f t="shared" si="745"/>
        <v>1004557.0477</v>
      </c>
      <c r="AQ133" s="537">
        <f>SUM(AQ127:AQ132)</f>
        <v>121682.84999239055</v>
      </c>
      <c r="AR133" s="775">
        <f>SUM(AR127:AR132)</f>
        <v>118871.43</v>
      </c>
      <c r="AS133" s="537">
        <f t="shared" si="745"/>
        <v>1171937.679507534</v>
      </c>
      <c r="AT133" s="537">
        <f t="shared" si="745"/>
        <v>1123428.4777000002</v>
      </c>
      <c r="AU133" s="537">
        <f>SUM(AU127:AU132)</f>
        <v>109907.09031570758</v>
      </c>
      <c r="AV133" s="775">
        <f>SUM(AV127:AV132)</f>
        <v>104944.8775</v>
      </c>
      <c r="AW133" s="537">
        <f t="shared" ref="AW133:AX133" si="746">SUM(AW127:AW132)</f>
        <v>1281844.7698232415</v>
      </c>
      <c r="AX133" s="537">
        <f t="shared" si="746"/>
        <v>1228373.3552000003</v>
      </c>
      <c r="AY133" s="537">
        <f>SUM(AY127:AY132)</f>
        <v>121682.84999239055</v>
      </c>
      <c r="AZ133" s="775">
        <f>SUM(AZ127:AZ132)</f>
        <v>102743.91399999999</v>
      </c>
      <c r="BA133" s="354">
        <f t="shared" ref="BA133:BB133" si="747">SUM(BA127:BA132)</f>
        <v>353272.79030048865</v>
      </c>
      <c r="BB133" s="354">
        <f t="shared" si="747"/>
        <v>326560.22150000004</v>
      </c>
      <c r="BC133" s="2382">
        <f>SUM(BC127:BC132)</f>
        <v>714396.08705209929</v>
      </c>
      <c r="BD133" s="463">
        <f>SUM(BD127:BD132)</f>
        <v>671172.19149999996</v>
      </c>
      <c r="BE133" s="537">
        <f t="shared" ref="BE133:BF133" si="748">SUM(BE127:BE132)</f>
        <v>1403527.6198156318</v>
      </c>
      <c r="BF133" s="537">
        <f t="shared" si="748"/>
        <v>1331117.2692000002</v>
      </c>
      <c r="BG133" s="1219"/>
      <c r="BH133" s="1219"/>
      <c r="BI133" s="1219"/>
      <c r="BJ133" s="1546"/>
      <c r="BK133" s="1546"/>
      <c r="BL133" s="26"/>
      <c r="BM133" s="26"/>
      <c r="BN133" s="26"/>
    </row>
    <row r="134" spans="1:66" ht="14.45" x14ac:dyDescent="0.3">
      <c r="B134" s="1856" t="s">
        <v>1381</v>
      </c>
      <c r="C134" s="1394" t="s">
        <v>50</v>
      </c>
      <c r="D134" s="1313">
        <f t="shared" ref="D134:F135" si="749">+D116+D98</f>
        <v>332760.74131054129</v>
      </c>
      <c r="E134" s="1122">
        <f t="shared" si="749"/>
        <v>27766.666666666664</v>
      </c>
      <c r="F134" s="85">
        <f t="shared" si="749"/>
        <v>38258.780700000003</v>
      </c>
      <c r="G134" s="1122">
        <f t="shared" ref="G134:H134" si="750">+G116+G98</f>
        <v>28692.222222222219</v>
      </c>
      <c r="H134" s="85">
        <f t="shared" si="750"/>
        <v>39673.759999999995</v>
      </c>
      <c r="I134" s="718">
        <f t="shared" ref="I134:J137" si="751">+E134+G134</f>
        <v>56458.888888888883</v>
      </c>
      <c r="J134" s="62">
        <f t="shared" si="751"/>
        <v>77932.540699999998</v>
      </c>
      <c r="K134" s="1122">
        <f t="shared" ref="K134:L134" si="752">+K116+K98</f>
        <v>27366.803418803418</v>
      </c>
      <c r="L134" s="85">
        <f t="shared" si="752"/>
        <v>35330.267999999996</v>
      </c>
      <c r="M134" s="1123">
        <f t="shared" ref="M134:N137" si="753">+E134+G134+K134</f>
        <v>83825.692307692298</v>
      </c>
      <c r="N134" s="1577">
        <f t="shared" si="753"/>
        <v>113262.80869999999</v>
      </c>
      <c r="O134" s="1122">
        <f t="shared" ref="O134:P134" si="754">+O116+O98</f>
        <v>28279.030199430199</v>
      </c>
      <c r="P134" s="85">
        <f t="shared" si="754"/>
        <v>32813.638649700006</v>
      </c>
      <c r="Q134" s="718">
        <f t="shared" ref="Q134:R137" si="755">+M134+O134</f>
        <v>112104.7225071225</v>
      </c>
      <c r="R134" s="62">
        <f t="shared" si="755"/>
        <v>146076.4473497</v>
      </c>
      <c r="S134" s="1122">
        <f t="shared" ref="S134:T134" si="756">+S116+S98</f>
        <v>28279.030199430199</v>
      </c>
      <c r="T134" s="85">
        <f t="shared" si="756"/>
        <v>28424.789000000001</v>
      </c>
      <c r="U134" s="718">
        <f t="shared" ref="U134:U137" si="757">+Q134+S134</f>
        <v>140383.75270655268</v>
      </c>
      <c r="V134" s="62">
        <f t="shared" ref="V134:V137" si="758">+R134+T134</f>
        <v>174501.23634969999</v>
      </c>
      <c r="W134" s="1122">
        <f t="shared" ref="W134:X134" si="759">+W116+W98</f>
        <v>26351.714529914527</v>
      </c>
      <c r="X134" s="85">
        <f t="shared" si="759"/>
        <v>26345.622147800001</v>
      </c>
      <c r="Y134" s="761">
        <f t="shared" ref="Y134:Y137" si="760">+O134+S134+W134</f>
        <v>82909.774928774917</v>
      </c>
      <c r="Z134" s="84">
        <f t="shared" ref="Z134:Z137" si="761">+P134+T134+X134</f>
        <v>87584.049797500018</v>
      </c>
      <c r="AA134" s="465">
        <f t="shared" ref="AA134:AA139" si="762">+M134+Y134</f>
        <v>166735.46723646723</v>
      </c>
      <c r="AB134" s="454">
        <f t="shared" ref="AB134:AB139" si="763">+N134+Z134</f>
        <v>200846.85849750001</v>
      </c>
      <c r="AC134" s="1122">
        <f>+AC116+AC98</f>
        <v>33949.080947630078</v>
      </c>
      <c r="AD134" s="85">
        <f>+AD116+AD98</f>
        <v>29948</v>
      </c>
      <c r="AE134" s="718">
        <f t="shared" ref="AE134:AE137" si="764">+AA134+AC134</f>
        <v>200684.54818409731</v>
      </c>
      <c r="AF134" s="62">
        <f t="shared" ref="AF134:AF137" si="765">+AB134+AD134</f>
        <v>230794.85849750001</v>
      </c>
      <c r="AG134" s="1122">
        <f>+AG116+AG98</f>
        <v>32853.949304158145</v>
      </c>
      <c r="AH134" s="85">
        <f>+AH116+AH98</f>
        <v>26924.26</v>
      </c>
      <c r="AI134" s="718">
        <f t="shared" ref="AI134:AI137" si="766">+AE134+AG134</f>
        <v>233538.49748825544</v>
      </c>
      <c r="AJ134" s="62">
        <f t="shared" ref="AJ134:AJ137" si="767">+AF134+AH134</f>
        <v>257719.11849750002</v>
      </c>
      <c r="AK134" s="1122">
        <f>+AK116+AK98</f>
        <v>33949.080947630078</v>
      </c>
      <c r="AL134" s="85">
        <f>+AL116+AL98</f>
        <v>30052.05</v>
      </c>
      <c r="AM134" s="761">
        <f t="shared" ref="AM134:AM137" si="768">+AC134+AG134+AK134</f>
        <v>100752.1111994183</v>
      </c>
      <c r="AN134" s="84">
        <f t="shared" ref="AN134:AN137" si="769">+AD134+AH134+AL134</f>
        <v>86924.31</v>
      </c>
      <c r="AO134" s="760">
        <f t="shared" si="687"/>
        <v>267487.57843588549</v>
      </c>
      <c r="AP134" s="760">
        <f t="shared" si="687"/>
        <v>287771.16849750001</v>
      </c>
      <c r="AQ134" s="1122">
        <f>+AQ116+AQ98</f>
        <v>33949.080947630078</v>
      </c>
      <c r="AR134" s="85">
        <f>+AR116+AR98</f>
        <v>28218.35</v>
      </c>
      <c r="AS134" s="718">
        <f t="shared" ref="AS134:AS137" si="770">+AO134+AQ134</f>
        <v>301436.65938351559</v>
      </c>
      <c r="AT134" s="62">
        <f t="shared" ref="AT134:AT137" si="771">+AP134+AR134</f>
        <v>315989.51849749999</v>
      </c>
      <c r="AU134" s="1122">
        <f>+AU116+AU98</f>
        <v>30663.686017214262</v>
      </c>
      <c r="AV134" s="85">
        <f>+AV116+AV98</f>
        <v>32161.072500000002</v>
      </c>
      <c r="AW134" s="718">
        <f t="shared" ref="AW134:AW137" si="772">+AS134+AU134</f>
        <v>332100.34540072986</v>
      </c>
      <c r="AX134" s="62">
        <f t="shared" ref="AX134:AX137" si="773">+AT134+AV134</f>
        <v>348150.5909975</v>
      </c>
      <c r="AY134" s="1122">
        <f>+AY116+AY98</f>
        <v>33949.080947630078</v>
      </c>
      <c r="AZ134" s="85">
        <f>+AZ116+AZ98</f>
        <v>38171.086000000003</v>
      </c>
      <c r="BA134" s="761">
        <f t="shared" ref="BA134:BA137" si="774">+AQ134+AU134+AY134</f>
        <v>98561.847912474419</v>
      </c>
      <c r="BB134" s="84">
        <f t="shared" ref="BB134:BB137" si="775">+AR134+AV134+AZ134</f>
        <v>98550.508499999996</v>
      </c>
      <c r="BC134" s="2513">
        <f t="shared" ref="BC134:BC137" si="776">+AM134+BA134</f>
        <v>199313.95911189273</v>
      </c>
      <c r="BD134" s="2513">
        <f t="shared" ref="BD134:BD137" si="777">+AN134+BB134</f>
        <v>185474.81849999999</v>
      </c>
      <c r="BE134" s="782">
        <f t="shared" ref="BE134:BE137" si="778">AW134+AY134</f>
        <v>366049.42634835991</v>
      </c>
      <c r="BF134" s="782">
        <f t="shared" ref="BF134:BF137" si="779">AX134+AZ134</f>
        <v>386321.67699750001</v>
      </c>
      <c r="BG134" s="1219"/>
      <c r="BH134" s="1219"/>
      <c r="BI134" s="1219"/>
      <c r="BJ134" s="1546"/>
      <c r="BK134" s="1546"/>
      <c r="BL134" s="26"/>
      <c r="BM134" s="26"/>
      <c r="BN134" s="26"/>
    </row>
    <row r="135" spans="1:66" ht="14.45" x14ac:dyDescent="0.3">
      <c r="B135" s="1770" t="s">
        <v>627</v>
      </c>
      <c r="C135" s="1672" t="s">
        <v>50</v>
      </c>
      <c r="D135" s="1313">
        <f t="shared" si="749"/>
        <v>97870.806267806271</v>
      </c>
      <c r="E135" s="1122">
        <f t="shared" si="749"/>
        <v>8166.666666666667</v>
      </c>
      <c r="F135" s="85">
        <f t="shared" si="749"/>
        <v>171.6165</v>
      </c>
      <c r="G135" s="1122">
        <f t="shared" ref="G135:H135" si="780">+G117+G99</f>
        <v>8438.8888888888905</v>
      </c>
      <c r="H135" s="85">
        <f t="shared" si="780"/>
        <v>341.5</v>
      </c>
      <c r="I135" s="718">
        <f t="shared" si="751"/>
        <v>16605.555555555558</v>
      </c>
      <c r="J135" s="62">
        <f t="shared" si="751"/>
        <v>513.11649999999997</v>
      </c>
      <c r="K135" s="1122">
        <f t="shared" ref="K135:L135" si="781">+K117+K99</f>
        <v>8049.0598290598291</v>
      </c>
      <c r="L135" s="85">
        <f t="shared" si="781"/>
        <v>3411.53</v>
      </c>
      <c r="M135" s="1123">
        <f t="shared" si="753"/>
        <v>24654.615384615387</v>
      </c>
      <c r="N135" s="1577">
        <f t="shared" si="753"/>
        <v>3924.6465000000003</v>
      </c>
      <c r="O135" s="1122">
        <f t="shared" ref="O135:P135" si="782">+O117+O99</f>
        <v>8317.3618233618236</v>
      </c>
      <c r="P135" s="85">
        <f t="shared" si="782"/>
        <v>0</v>
      </c>
      <c r="Q135" s="718">
        <f t="shared" si="755"/>
        <v>32971.977207977208</v>
      </c>
      <c r="R135" s="62">
        <f t="shared" si="755"/>
        <v>3924.6465000000003</v>
      </c>
      <c r="S135" s="1122">
        <f t="shared" ref="S135:T135" si="783">+S117+S99</f>
        <v>8317.3618233618236</v>
      </c>
      <c r="T135" s="85">
        <f t="shared" si="783"/>
        <v>0</v>
      </c>
      <c r="U135" s="718">
        <f t="shared" si="757"/>
        <v>41289.339031339034</v>
      </c>
      <c r="V135" s="62">
        <f t="shared" si="758"/>
        <v>3924.6465000000003</v>
      </c>
      <c r="W135" s="1122">
        <f t="shared" ref="W135:X135" si="784">+W117+W99</f>
        <v>7750.5042735042725</v>
      </c>
      <c r="X135" s="85">
        <f t="shared" si="784"/>
        <v>0</v>
      </c>
      <c r="Y135" s="761">
        <f t="shared" si="760"/>
        <v>24385.227920227921</v>
      </c>
      <c r="Z135" s="84">
        <f t="shared" si="761"/>
        <v>0</v>
      </c>
      <c r="AA135" s="465">
        <f t="shared" si="762"/>
        <v>49039.843304843307</v>
      </c>
      <c r="AB135" s="454">
        <f t="shared" si="763"/>
        <v>3924.6465000000003</v>
      </c>
      <c r="AC135" s="1122">
        <f>+AC117+AC99</f>
        <v>8343.0086071325895</v>
      </c>
      <c r="AD135" s="85">
        <f>+AD117+AD99</f>
        <v>11284</v>
      </c>
      <c r="AE135" s="718">
        <f t="shared" si="764"/>
        <v>57382.8519119759</v>
      </c>
      <c r="AF135" s="62">
        <f t="shared" si="765"/>
        <v>15208.646500000001</v>
      </c>
      <c r="AG135" s="1122">
        <f>+AG117+AG99</f>
        <v>8073.8792972250885</v>
      </c>
      <c r="AH135" s="85">
        <f>+AH117+AH99</f>
        <v>10495.03</v>
      </c>
      <c r="AI135" s="718">
        <f t="shared" si="766"/>
        <v>65456.731209200989</v>
      </c>
      <c r="AJ135" s="62">
        <f t="shared" si="767"/>
        <v>25703.676500000001</v>
      </c>
      <c r="AK135" s="1122">
        <f>+AK117+AK99</f>
        <v>8343.0086071325895</v>
      </c>
      <c r="AL135" s="85">
        <f>+AL117+AL99</f>
        <v>11338.779999999999</v>
      </c>
      <c r="AM135" s="761">
        <f t="shared" si="768"/>
        <v>24759.896511490268</v>
      </c>
      <c r="AN135" s="84">
        <f t="shared" si="769"/>
        <v>33117.81</v>
      </c>
      <c r="AO135" s="760">
        <f t="shared" ref="AO135:AO137" si="785">AI135+AK135</f>
        <v>73799.739816333575</v>
      </c>
      <c r="AP135" s="760">
        <f t="shared" ref="AP135:AP137" si="786">AJ135+AL135</f>
        <v>37042.4565</v>
      </c>
      <c r="AQ135" s="1122">
        <f>+AQ117+AQ99</f>
        <v>8343.0086071325895</v>
      </c>
      <c r="AR135" s="85">
        <f>+AR117+AR99</f>
        <v>8407.98</v>
      </c>
      <c r="AS135" s="718">
        <f t="shared" si="770"/>
        <v>82142.748423466168</v>
      </c>
      <c r="AT135" s="62">
        <f t="shared" si="771"/>
        <v>45450.436499999996</v>
      </c>
      <c r="AU135" s="1122">
        <f>+AU117+AU99</f>
        <v>7535.620677410081</v>
      </c>
      <c r="AV135" s="85">
        <f>+AV117+AV99</f>
        <v>0</v>
      </c>
      <c r="AW135" s="718">
        <f t="shared" si="772"/>
        <v>89678.369100876254</v>
      </c>
      <c r="AX135" s="62">
        <f t="shared" si="773"/>
        <v>45450.436499999996</v>
      </c>
      <c r="AY135" s="1122">
        <f>+AY117+AY99</f>
        <v>8343.0086071325895</v>
      </c>
      <c r="AZ135" s="85">
        <f>+AZ117+AZ99</f>
        <v>2188.84</v>
      </c>
      <c r="BA135" s="761">
        <f t="shared" si="774"/>
        <v>24221.637891675258</v>
      </c>
      <c r="BB135" s="84">
        <f t="shared" si="775"/>
        <v>10596.82</v>
      </c>
      <c r="BC135" s="2513">
        <f t="shared" si="776"/>
        <v>48981.534403165526</v>
      </c>
      <c r="BD135" s="2513">
        <f t="shared" si="777"/>
        <v>43714.63</v>
      </c>
      <c r="BE135" s="782">
        <f t="shared" si="778"/>
        <v>98021.377708008848</v>
      </c>
      <c r="BF135" s="782">
        <f t="shared" si="779"/>
        <v>47639.276499999993</v>
      </c>
      <c r="BG135" s="1219"/>
      <c r="BH135" s="1219"/>
      <c r="BI135" s="1219"/>
      <c r="BJ135" s="1546"/>
      <c r="BK135" s="1546"/>
      <c r="BL135" s="26"/>
      <c r="BM135" s="26"/>
      <c r="BN135" s="26"/>
    </row>
    <row r="136" spans="1:66" ht="14.45" x14ac:dyDescent="0.3">
      <c r="B136" s="1770" t="s">
        <v>1366</v>
      </c>
      <c r="C136" s="1672" t="s">
        <v>50</v>
      </c>
      <c r="D136" s="1313">
        <f>+D118+D100</f>
        <v>0</v>
      </c>
      <c r="E136" s="1122">
        <f>+E118+E100</f>
        <v>0</v>
      </c>
      <c r="F136" s="85">
        <f>F100+F118</f>
        <v>0</v>
      </c>
      <c r="G136" s="1122">
        <f>+G118+G100</f>
        <v>0</v>
      </c>
      <c r="H136" s="85">
        <f>H100+H118</f>
        <v>0</v>
      </c>
      <c r="I136" s="718">
        <f t="shared" si="751"/>
        <v>0</v>
      </c>
      <c r="J136" s="62">
        <f t="shared" si="751"/>
        <v>0</v>
      </c>
      <c r="K136" s="1122">
        <f>+K118+K100</f>
        <v>0</v>
      </c>
      <c r="L136" s="85">
        <f>L100+L118</f>
        <v>0</v>
      </c>
      <c r="M136" s="1123">
        <f t="shared" ref="M136" si="787">+E136+G136+K136</f>
        <v>0</v>
      </c>
      <c r="N136" s="1577">
        <f t="shared" ref="N136" si="788">+F136+H136+L136</f>
        <v>0</v>
      </c>
      <c r="O136" s="1122">
        <f>+O118+O100</f>
        <v>0</v>
      </c>
      <c r="P136" s="85">
        <f>P100+P118</f>
        <v>3516.6805570259999</v>
      </c>
      <c r="Q136" s="718">
        <f t="shared" ref="Q136" si="789">+M136+O136</f>
        <v>0</v>
      </c>
      <c r="R136" s="62">
        <f t="shared" ref="R136" si="790">+N136+P136</f>
        <v>3516.6805570259999</v>
      </c>
      <c r="S136" s="1122">
        <f>+S118+S100</f>
        <v>0</v>
      </c>
      <c r="T136" s="85">
        <f>T100+T118</f>
        <v>0</v>
      </c>
      <c r="U136" s="718">
        <f t="shared" si="757"/>
        <v>0</v>
      </c>
      <c r="V136" s="62">
        <f t="shared" si="758"/>
        <v>3516.6805570259999</v>
      </c>
      <c r="W136" s="1122">
        <f>+W118+W100</f>
        <v>0</v>
      </c>
      <c r="X136" s="85">
        <f>X100+X118</f>
        <v>8978.3327800000006</v>
      </c>
      <c r="Y136" s="761">
        <f t="shared" si="760"/>
        <v>0</v>
      </c>
      <c r="Z136" s="84">
        <f t="shared" si="761"/>
        <v>12495.013337026001</v>
      </c>
      <c r="AA136" s="465">
        <f t="shared" si="762"/>
        <v>0</v>
      </c>
      <c r="AB136" s="454">
        <f t="shared" si="763"/>
        <v>12495.013337026001</v>
      </c>
      <c r="AC136" s="1122">
        <f>+AC118+AC100</f>
        <v>0</v>
      </c>
      <c r="AD136" s="85">
        <f>AD100+AD118</f>
        <v>0</v>
      </c>
      <c r="AE136" s="718">
        <f t="shared" si="764"/>
        <v>0</v>
      </c>
      <c r="AF136" s="62">
        <f t="shared" si="765"/>
        <v>12495.013337026001</v>
      </c>
      <c r="AG136" s="1122">
        <f>+AG118+AG100</f>
        <v>0</v>
      </c>
      <c r="AH136" s="85">
        <f>AH100+AH118</f>
        <v>0</v>
      </c>
      <c r="AI136" s="718">
        <f t="shared" si="766"/>
        <v>0</v>
      </c>
      <c r="AJ136" s="62">
        <f t="shared" si="767"/>
        <v>12495.013337026001</v>
      </c>
      <c r="AK136" s="1122">
        <f>+AK118+AK100</f>
        <v>0</v>
      </c>
      <c r="AL136" s="85">
        <f>AL100+AL118</f>
        <v>0</v>
      </c>
      <c r="AM136" s="761">
        <f t="shared" si="768"/>
        <v>0</v>
      </c>
      <c r="AN136" s="84">
        <f t="shared" si="769"/>
        <v>0</v>
      </c>
      <c r="AO136" s="760">
        <f t="shared" si="785"/>
        <v>0</v>
      </c>
      <c r="AP136" s="760">
        <f t="shared" si="786"/>
        <v>12495.013337026001</v>
      </c>
      <c r="AQ136" s="1122">
        <f>+AQ118+AQ100</f>
        <v>0</v>
      </c>
      <c r="AR136" s="85">
        <f>AR100+AR118</f>
        <v>0</v>
      </c>
      <c r="AS136" s="718">
        <f t="shared" si="770"/>
        <v>0</v>
      </c>
      <c r="AT136" s="62">
        <f t="shared" si="771"/>
        <v>12495.013337026001</v>
      </c>
      <c r="AU136" s="1122">
        <f>+AU118+AU100</f>
        <v>0</v>
      </c>
      <c r="AV136" s="85">
        <f>AV100+AV118</f>
        <v>0</v>
      </c>
      <c r="AW136" s="718">
        <f t="shared" si="772"/>
        <v>0</v>
      </c>
      <c r="AX136" s="62">
        <f t="shared" si="773"/>
        <v>12495.013337026001</v>
      </c>
      <c r="AY136" s="1122">
        <f>+AY118+AY100</f>
        <v>0</v>
      </c>
      <c r="AZ136" s="85">
        <f>AZ100+AZ118</f>
        <v>0</v>
      </c>
      <c r="BA136" s="761">
        <f t="shared" si="774"/>
        <v>0</v>
      </c>
      <c r="BB136" s="84">
        <f t="shared" si="775"/>
        <v>0</v>
      </c>
      <c r="BC136" s="2513">
        <f t="shared" si="776"/>
        <v>0</v>
      </c>
      <c r="BD136" s="2513">
        <f t="shared" si="777"/>
        <v>0</v>
      </c>
      <c r="BE136" s="782">
        <f t="shared" si="778"/>
        <v>0</v>
      </c>
      <c r="BF136" s="782">
        <f t="shared" si="779"/>
        <v>12495.013337026001</v>
      </c>
      <c r="BG136" s="1219"/>
      <c r="BH136" s="1219"/>
      <c r="BI136" s="1219"/>
      <c r="BJ136" s="1546"/>
      <c r="BK136" s="1546"/>
      <c r="BL136" s="26"/>
      <c r="BM136" s="26"/>
      <c r="BN136" s="26"/>
    </row>
    <row r="137" spans="1:66" thickBot="1" x14ac:dyDescent="0.35">
      <c r="B137" s="1770" t="s">
        <v>1380</v>
      </c>
      <c r="C137" s="1672" t="s">
        <v>50</v>
      </c>
      <c r="D137" s="1313">
        <f>+D119+D101</f>
        <v>58722.483760683754</v>
      </c>
      <c r="E137" s="1126">
        <f>+E119+E101</f>
        <v>4900</v>
      </c>
      <c r="F137" s="124">
        <f>+F119+F101</f>
        <v>0</v>
      </c>
      <c r="G137" s="1126">
        <f>+G119+G101</f>
        <v>5063.333333333333</v>
      </c>
      <c r="H137" s="124">
        <f>+H119+H101</f>
        <v>0</v>
      </c>
      <c r="I137" s="718">
        <f t="shared" si="751"/>
        <v>9963.3333333333321</v>
      </c>
      <c r="J137" s="62">
        <f t="shared" si="751"/>
        <v>0</v>
      </c>
      <c r="K137" s="1126">
        <f>+K119+K101</f>
        <v>4829.4358974358975</v>
      </c>
      <c r="L137" s="124">
        <f>+L119+L101</f>
        <v>0</v>
      </c>
      <c r="M137" s="72">
        <f t="shared" si="753"/>
        <v>14792.76923076923</v>
      </c>
      <c r="N137" s="125">
        <f t="shared" si="753"/>
        <v>0</v>
      </c>
      <c r="O137" s="1126">
        <f>+O119+O101</f>
        <v>4990.4170940170934</v>
      </c>
      <c r="P137" s="124">
        <f>+P119+P101</f>
        <v>3741.8205570259997</v>
      </c>
      <c r="Q137" s="718">
        <f t="shared" si="755"/>
        <v>19783.186324786322</v>
      </c>
      <c r="R137" s="62">
        <f t="shared" si="755"/>
        <v>3741.8205570259997</v>
      </c>
      <c r="S137" s="1126">
        <f>+S119+S101</f>
        <v>4990.4170940170934</v>
      </c>
      <c r="T137" s="124">
        <f>+T119+T101</f>
        <v>11341.484</v>
      </c>
      <c r="U137" s="718">
        <f t="shared" si="757"/>
        <v>24773.603418803417</v>
      </c>
      <c r="V137" s="62">
        <f t="shared" si="758"/>
        <v>15083.304557026</v>
      </c>
      <c r="W137" s="1126">
        <f>+W119+W101</f>
        <v>4650.3025641025642</v>
      </c>
      <c r="X137" s="124">
        <f>+X119+X101</f>
        <v>3221.8694779999996</v>
      </c>
      <c r="Y137" s="761">
        <f t="shared" si="760"/>
        <v>14631.13675213675</v>
      </c>
      <c r="Z137" s="84">
        <f t="shared" si="761"/>
        <v>18305.174035026001</v>
      </c>
      <c r="AA137" s="465">
        <f t="shared" si="762"/>
        <v>29423.905982905981</v>
      </c>
      <c r="AB137" s="454">
        <f t="shared" si="763"/>
        <v>18305.174035026001</v>
      </c>
      <c r="AC137" s="1126">
        <f>+AC119+AC101</f>
        <v>0</v>
      </c>
      <c r="AD137" s="124">
        <f>+AD119+AD101</f>
        <v>0</v>
      </c>
      <c r="AE137" s="718">
        <f t="shared" si="764"/>
        <v>29423.905982905981</v>
      </c>
      <c r="AF137" s="62">
        <f t="shared" si="765"/>
        <v>18305.174035026001</v>
      </c>
      <c r="AG137" s="1126">
        <f>+AG119+AG101</f>
        <v>0</v>
      </c>
      <c r="AH137" s="124">
        <f>+AH119+AH101</f>
        <v>0</v>
      </c>
      <c r="AI137" s="718">
        <f t="shared" si="766"/>
        <v>29423.905982905981</v>
      </c>
      <c r="AJ137" s="62">
        <f t="shared" si="767"/>
        <v>18305.174035026001</v>
      </c>
      <c r="AK137" s="1126">
        <f>+AK119+AK101</f>
        <v>0</v>
      </c>
      <c r="AL137" s="124">
        <f>+AL119+AL101</f>
        <v>0</v>
      </c>
      <c r="AM137" s="761">
        <f t="shared" si="768"/>
        <v>0</v>
      </c>
      <c r="AN137" s="84">
        <f t="shared" si="769"/>
        <v>0</v>
      </c>
      <c r="AO137" s="760">
        <f t="shared" si="785"/>
        <v>29423.905982905981</v>
      </c>
      <c r="AP137" s="760">
        <f t="shared" si="786"/>
        <v>18305.174035026001</v>
      </c>
      <c r="AQ137" s="1126">
        <f>+AQ119+AQ101</f>
        <v>0</v>
      </c>
      <c r="AR137" s="124">
        <f>+AR119+AR101</f>
        <v>0</v>
      </c>
      <c r="AS137" s="718">
        <f t="shared" si="770"/>
        <v>29423.905982905981</v>
      </c>
      <c r="AT137" s="62">
        <f t="shared" si="771"/>
        <v>18305.174035026001</v>
      </c>
      <c r="AU137" s="1126">
        <f>+AU119+AU101</f>
        <v>0</v>
      </c>
      <c r="AV137" s="124">
        <f>+AV119+AV101</f>
        <v>0</v>
      </c>
      <c r="AW137" s="718">
        <f t="shared" si="772"/>
        <v>29423.905982905981</v>
      </c>
      <c r="AX137" s="62">
        <f t="shared" si="773"/>
        <v>18305.174035026001</v>
      </c>
      <c r="AY137" s="1126">
        <f>+AY119+AY101</f>
        <v>0</v>
      </c>
      <c r="AZ137" s="124">
        <f>+AZ119+AZ101</f>
        <v>0</v>
      </c>
      <c r="BA137" s="761">
        <f t="shared" si="774"/>
        <v>0</v>
      </c>
      <c r="BB137" s="84">
        <f t="shared" si="775"/>
        <v>0</v>
      </c>
      <c r="BC137" s="2513">
        <f t="shared" si="776"/>
        <v>0</v>
      </c>
      <c r="BD137" s="2513">
        <f t="shared" si="777"/>
        <v>0</v>
      </c>
      <c r="BE137" s="782">
        <f t="shared" si="778"/>
        <v>29423.905982905981</v>
      </c>
      <c r="BF137" s="782">
        <f t="shared" si="779"/>
        <v>18305.174035026001</v>
      </c>
      <c r="BG137" s="1219"/>
      <c r="BH137" s="1219"/>
      <c r="BI137" s="1219"/>
      <c r="BJ137" s="1546"/>
      <c r="BK137" s="1546"/>
      <c r="BL137" s="26"/>
      <c r="BM137" s="26"/>
      <c r="BN137" s="26"/>
    </row>
    <row r="138" spans="1:66" ht="16.149999999999999" thickBot="1" x14ac:dyDescent="0.35">
      <c r="B138" s="1851" t="s">
        <v>134</v>
      </c>
      <c r="C138" s="1673" t="s">
        <v>50</v>
      </c>
      <c r="D138" s="139">
        <f>SUM(D134:D137)</f>
        <v>489354.03133903129</v>
      </c>
      <c r="E138" s="537">
        <f>SUM(E134:E137)</f>
        <v>40833.333333333328</v>
      </c>
      <c r="F138" s="92">
        <f>SUM(F134:F137)</f>
        <v>38430.397199999999</v>
      </c>
      <c r="G138" s="537">
        <f>SUM(G134:G137)</f>
        <v>42194.444444444445</v>
      </c>
      <c r="H138" s="92">
        <f>SUM(H134:H137)</f>
        <v>40015.259999999995</v>
      </c>
      <c r="I138" s="27">
        <f t="shared" ref="I138:N138" si="791">SUM(I134:I137)</f>
        <v>83027.777777777766</v>
      </c>
      <c r="J138" s="27">
        <f t="shared" si="791"/>
        <v>78445.657200000001</v>
      </c>
      <c r="K138" s="537">
        <f>SUM(K134:K137)</f>
        <v>40245.299145299148</v>
      </c>
      <c r="L138" s="92">
        <f>SUM(L134:L137)</f>
        <v>38741.797999999995</v>
      </c>
      <c r="M138" s="354">
        <f t="shared" si="791"/>
        <v>123273.07692307692</v>
      </c>
      <c r="N138" s="1494">
        <f t="shared" si="791"/>
        <v>117187.4552</v>
      </c>
      <c r="O138" s="537">
        <f>SUM(O134:O137)</f>
        <v>41586.80911680912</v>
      </c>
      <c r="P138" s="92">
        <f>SUM(P134:P137)</f>
        <v>40072.139763751999</v>
      </c>
      <c r="Q138" s="27">
        <f t="shared" ref="Q138:R138" si="792">SUM(Q134:Q137)</f>
        <v>164859.88603988604</v>
      </c>
      <c r="R138" s="27">
        <f t="shared" si="792"/>
        <v>157259.594963752</v>
      </c>
      <c r="S138" s="537">
        <f>SUM(S134:S137)</f>
        <v>41586.80911680912</v>
      </c>
      <c r="T138" s="92">
        <f>SUM(T134:T137)</f>
        <v>39766.273000000001</v>
      </c>
      <c r="U138" s="27">
        <f t="shared" ref="U138:V138" si="793">SUM(U134:U137)</f>
        <v>206446.69515669515</v>
      </c>
      <c r="V138" s="27">
        <f t="shared" si="793"/>
        <v>197025.86796375201</v>
      </c>
      <c r="W138" s="537">
        <f>SUM(W134:W137)</f>
        <v>38752.521367521367</v>
      </c>
      <c r="X138" s="92">
        <f>SUM(X134:X137)</f>
        <v>38545.824405800005</v>
      </c>
      <c r="Y138" s="727">
        <f t="shared" ref="Y138" si="794">SUM(Y134:Y137)</f>
        <v>121926.13960113958</v>
      </c>
      <c r="Z138" s="727">
        <f>SUM(Z134:Z137)</f>
        <v>118384.23716955201</v>
      </c>
      <c r="AA138" s="2382">
        <f t="shared" si="762"/>
        <v>245199.21652421652</v>
      </c>
      <c r="AB138" s="463">
        <f t="shared" si="763"/>
        <v>235571.69236955201</v>
      </c>
      <c r="AC138" s="537">
        <f>SUM(AC134:AC137)</f>
        <v>42292.089554762671</v>
      </c>
      <c r="AD138" s="92">
        <f>SUM(AD134:AD137)</f>
        <v>41232</v>
      </c>
      <c r="AE138" s="27">
        <f t="shared" ref="AE138:AF138" si="795">SUM(AE134:AE137)</f>
        <v>287491.30607897922</v>
      </c>
      <c r="AF138" s="27">
        <f t="shared" si="795"/>
        <v>276803.69236955204</v>
      </c>
      <c r="AG138" s="537">
        <f>SUM(AG134:AG137)</f>
        <v>40927.828601383233</v>
      </c>
      <c r="AH138" s="92">
        <f>SUM(AH134:AH137)</f>
        <v>37419.29</v>
      </c>
      <c r="AI138" s="27">
        <f t="shared" ref="AI138:AM138" si="796">SUM(AI134:AI137)</f>
        <v>328419.13468036242</v>
      </c>
      <c r="AJ138" s="27">
        <f t="shared" si="796"/>
        <v>314222.98236955202</v>
      </c>
      <c r="AK138" s="537">
        <f>SUM(AK134:AK137)</f>
        <v>42292.089554762671</v>
      </c>
      <c r="AL138" s="92">
        <f>SUM(AL134:AL137)</f>
        <v>41390.83</v>
      </c>
      <c r="AM138" s="727">
        <f t="shared" si="796"/>
        <v>125512.00771090857</v>
      </c>
      <c r="AN138" s="727">
        <f>SUM(AN134:AN137)</f>
        <v>120042.12</v>
      </c>
      <c r="AO138" s="27">
        <f t="shared" ref="AO138:AT138" si="797">SUM(AO134:AO137)</f>
        <v>370711.22423512506</v>
      </c>
      <c r="AP138" s="27">
        <f t="shared" si="797"/>
        <v>355613.81236955198</v>
      </c>
      <c r="AQ138" s="537">
        <f>SUM(AQ134:AQ137)</f>
        <v>42292.089554762671</v>
      </c>
      <c r="AR138" s="92">
        <f>SUM(AR134:AR137)</f>
        <v>36626.33</v>
      </c>
      <c r="AS138" s="27">
        <f t="shared" si="797"/>
        <v>413003.31378988776</v>
      </c>
      <c r="AT138" s="27">
        <f t="shared" si="797"/>
        <v>392240.14236955199</v>
      </c>
      <c r="AU138" s="537">
        <f>SUM(AU134:AU137)</f>
        <v>38199.306694624342</v>
      </c>
      <c r="AV138" s="92">
        <f>SUM(AV134:AV137)</f>
        <v>32161.072500000002</v>
      </c>
      <c r="AW138" s="27">
        <f t="shared" ref="AW138:AX138" si="798">SUM(AW134:AW137)</f>
        <v>451202.62048451212</v>
      </c>
      <c r="AX138" s="27">
        <f t="shared" si="798"/>
        <v>424401.214869552</v>
      </c>
      <c r="AY138" s="537">
        <f>SUM(AY134:AY137)</f>
        <v>42292.089554762671</v>
      </c>
      <c r="AZ138" s="92">
        <f>SUM(AZ134:AZ137)</f>
        <v>40359.926000000007</v>
      </c>
      <c r="BA138" s="727">
        <f t="shared" ref="BA138" si="799">SUM(BA134:BA137)</f>
        <v>122783.48580414968</v>
      </c>
      <c r="BB138" s="727">
        <f>SUM(BB134:BB137)</f>
        <v>109147.3285</v>
      </c>
      <c r="BC138" s="2513">
        <f>+AM138+BA138</f>
        <v>248295.49351505825</v>
      </c>
      <c r="BD138" s="2513">
        <f>+AN138+BB138</f>
        <v>229189.4485</v>
      </c>
      <c r="BE138" s="27">
        <f t="shared" ref="BE138:BF138" si="800">SUM(BE134:BE137)</f>
        <v>493494.71003927477</v>
      </c>
      <c r="BF138" s="27">
        <f t="shared" si="800"/>
        <v>464761.14086955198</v>
      </c>
      <c r="BG138" s="1219"/>
      <c r="BH138" s="1219"/>
      <c r="BI138" s="1219"/>
      <c r="BJ138" s="1546"/>
      <c r="BK138" s="1546"/>
      <c r="BL138" s="26"/>
      <c r="BM138" s="26"/>
      <c r="BN138" s="26"/>
    </row>
    <row r="139" spans="1:66" ht="16.149999999999999" thickBot="1" x14ac:dyDescent="0.35">
      <c r="A139" s="148"/>
      <c r="B139" s="1857" t="s">
        <v>12</v>
      </c>
      <c r="C139" s="1396" t="s">
        <v>50</v>
      </c>
      <c r="D139" s="139">
        <f>+D133+D138</f>
        <v>1864884.6159544159</v>
      </c>
      <c r="E139" s="537">
        <f>+E133+E138</f>
        <v>155551.96581196581</v>
      </c>
      <c r="F139" s="92">
        <f>+F133+F138</f>
        <v>144839.3449</v>
      </c>
      <c r="G139" s="537">
        <f>+G133+G138</f>
        <v>160737.03133903132</v>
      </c>
      <c r="H139" s="92">
        <f>+H133+H138</f>
        <v>151707.51</v>
      </c>
      <c r="I139" s="27">
        <f t="shared" ref="I139:N139" si="801">+I133+I138</f>
        <v>316288.99715099717</v>
      </c>
      <c r="J139" s="27">
        <f t="shared" si="801"/>
        <v>296546.85489999998</v>
      </c>
      <c r="K139" s="537">
        <f>+K133+K138</f>
        <v>153388.00000000003</v>
      </c>
      <c r="L139" s="92">
        <f>+L133+L138</f>
        <v>146589.59899999999</v>
      </c>
      <c r="M139" s="354">
        <f t="shared" si="801"/>
        <v>469676.99715099717</v>
      </c>
      <c r="N139" s="1494">
        <f t="shared" si="801"/>
        <v>443136.45389999996</v>
      </c>
      <c r="O139" s="537">
        <f>+O133+O138</f>
        <v>158500.93333333335</v>
      </c>
      <c r="P139" s="92">
        <f>+P133+P138</f>
        <v>152515.821763752</v>
      </c>
      <c r="Q139" s="27">
        <f t="shared" ref="Q139:R139" si="802">+Q133+Q138</f>
        <v>628177.93048433051</v>
      </c>
      <c r="R139" s="27">
        <f t="shared" si="802"/>
        <v>595652.27566375199</v>
      </c>
      <c r="S139" s="537">
        <f>+S133+S138</f>
        <v>158500.93333333335</v>
      </c>
      <c r="T139" s="92">
        <f>+T133+T138</f>
        <v>152264.451</v>
      </c>
      <c r="U139" s="27">
        <f t="shared" ref="U139:V139" si="803">+U133+U138</f>
        <v>786678.86381766386</v>
      </c>
      <c r="V139" s="27">
        <f t="shared" si="803"/>
        <v>747916.72666375199</v>
      </c>
      <c r="W139" s="537">
        <f>+W133+W138</f>
        <v>147651.88547008549</v>
      </c>
      <c r="X139" s="92">
        <f>+X133+X138</f>
        <v>147600.04340580001</v>
      </c>
      <c r="Y139" s="727">
        <f t="shared" ref="Y139:Z139" si="804">+Y133+Y138</f>
        <v>464653.75213675213</v>
      </c>
      <c r="Z139" s="727">
        <f t="shared" si="804"/>
        <v>452380.31616955198</v>
      </c>
      <c r="AA139" s="2382">
        <f t="shared" si="762"/>
        <v>934330.74928774929</v>
      </c>
      <c r="AB139" s="463">
        <f t="shared" si="763"/>
        <v>895516.77006955189</v>
      </c>
      <c r="AC139" s="537">
        <f>+AC133+AC138</f>
        <v>163974.93954715322</v>
      </c>
      <c r="AD139" s="92">
        <f>+AD133+AD138</f>
        <v>160126</v>
      </c>
      <c r="AE139" s="27">
        <f t="shared" ref="AE139:AF139" si="805">+AE133+AE138</f>
        <v>1098305.6888349028</v>
      </c>
      <c r="AF139" s="27">
        <f t="shared" si="805"/>
        <v>1055642.7700695521</v>
      </c>
      <c r="AG139" s="537">
        <f>+AG133+AG138</f>
        <v>158685.4253682128</v>
      </c>
      <c r="AH139" s="92">
        <f>+AH133+AH138</f>
        <v>146297.76</v>
      </c>
      <c r="AI139" s="27">
        <f t="shared" ref="AI139:AJ139" si="806">+AI133+AI138</f>
        <v>1256991.1142031155</v>
      </c>
      <c r="AJ139" s="27">
        <f t="shared" si="806"/>
        <v>1201940.5300695521</v>
      </c>
      <c r="AK139" s="537">
        <f>+AK133+AK138</f>
        <v>163974.93954715322</v>
      </c>
      <c r="AL139" s="92">
        <f>+AL133+AL138</f>
        <v>158230.33000000002</v>
      </c>
      <c r="AM139" s="727">
        <f t="shared" ref="AM139:AT139" si="807">+AM133+AM138</f>
        <v>486635.30446251924</v>
      </c>
      <c r="AN139" s="727">
        <f t="shared" si="807"/>
        <v>464654.09</v>
      </c>
      <c r="AO139" s="27">
        <f t="shared" si="807"/>
        <v>1420966.0537502686</v>
      </c>
      <c r="AP139" s="27">
        <f t="shared" si="807"/>
        <v>1360170.860069552</v>
      </c>
      <c r="AQ139" s="537">
        <f>+AQ133+AQ138</f>
        <v>163974.93954715322</v>
      </c>
      <c r="AR139" s="92">
        <f>+AR133+AR138</f>
        <v>155497.76</v>
      </c>
      <c r="AS139" s="27">
        <f t="shared" si="807"/>
        <v>1584940.9932974218</v>
      </c>
      <c r="AT139" s="27">
        <f t="shared" si="807"/>
        <v>1515668.6200695522</v>
      </c>
      <c r="AU139" s="537">
        <f>+AU133+AU138</f>
        <v>148106.39701033192</v>
      </c>
      <c r="AV139" s="92">
        <f>+AV133+AV138</f>
        <v>137105.95000000001</v>
      </c>
      <c r="AW139" s="27">
        <f t="shared" ref="AW139:AX139" si="808">+AW133+AW138</f>
        <v>1733047.3903077536</v>
      </c>
      <c r="AX139" s="27">
        <f t="shared" si="808"/>
        <v>1652774.5700695524</v>
      </c>
      <c r="AY139" s="537">
        <f>+AY133+AY138</f>
        <v>163974.93954715322</v>
      </c>
      <c r="AZ139" s="92">
        <f>+AZ133+AZ138</f>
        <v>143103.84</v>
      </c>
      <c r="BA139" s="727">
        <f t="shared" ref="BA139:BB139" si="809">+BA133+BA138</f>
        <v>476056.27610463835</v>
      </c>
      <c r="BB139" s="727">
        <f t="shared" si="809"/>
        <v>435707.55000000005</v>
      </c>
      <c r="BC139" s="2513">
        <f>+AM139+BA139</f>
        <v>962691.58056715759</v>
      </c>
      <c r="BD139" s="2513">
        <f>+AN139+BB139</f>
        <v>900361.64000000013</v>
      </c>
      <c r="BE139" s="27">
        <f t="shared" ref="BE139:BF139" si="810">+BE133+BE138</f>
        <v>1897022.3298549065</v>
      </c>
      <c r="BF139" s="27">
        <f t="shared" si="810"/>
        <v>1795878.4100695523</v>
      </c>
      <c r="BG139" s="1219"/>
      <c r="BH139" s="1219"/>
      <c r="BI139" s="1219"/>
      <c r="BJ139" s="1546"/>
      <c r="BK139" s="1546"/>
      <c r="BL139" s="26"/>
      <c r="BM139" s="26"/>
      <c r="BN139" s="26"/>
    </row>
    <row r="140" spans="1:66" ht="15.75" customHeight="1" x14ac:dyDescent="0.25">
      <c r="B140" s="1858" t="s">
        <v>1007</v>
      </c>
      <c r="C140" s="1394" t="s">
        <v>50</v>
      </c>
      <c r="D140" s="6035">
        <f>+D104+D122</f>
        <v>91514.679628064303</v>
      </c>
      <c r="E140" s="6006">
        <f>+E104+E122</f>
        <v>7695.8579881656897</v>
      </c>
      <c r="F140" s="1323">
        <f>F104+F122</f>
        <v>0</v>
      </c>
      <c r="G140" s="6006">
        <f>+G104+G122</f>
        <v>7952.3865877711996</v>
      </c>
      <c r="H140" s="1323">
        <f>H104+H122</f>
        <v>0</v>
      </c>
      <c r="I140" s="6004">
        <f>+E140+G140</f>
        <v>15648.244575936889</v>
      </c>
      <c r="J140" s="62">
        <f>+F140+H140</f>
        <v>0</v>
      </c>
      <c r="K140" s="6006">
        <f>+K104+K122</f>
        <v>7509.7548605241009</v>
      </c>
      <c r="L140" s="1323">
        <f>L104+L122</f>
        <v>0</v>
      </c>
      <c r="M140" s="6016">
        <f>+K140+G140+E140</f>
        <v>23157.999436460988</v>
      </c>
      <c r="N140" s="1586">
        <f>+F140+H140+L140</f>
        <v>0</v>
      </c>
      <c r="O140" s="6006">
        <f>+O104+O122</f>
        <v>7760.0800225415596</v>
      </c>
      <c r="P140" s="1323">
        <f>P104+P122</f>
        <v>0</v>
      </c>
      <c r="Q140" s="6004">
        <f>+M140+O140</f>
        <v>30918.079459002547</v>
      </c>
      <c r="R140" s="62">
        <f>+N140+P140</f>
        <v>0</v>
      </c>
      <c r="S140" s="6006">
        <f>+S104+S122</f>
        <v>7760.0800225415596</v>
      </c>
      <c r="T140" s="1323">
        <f>T104+T122</f>
        <v>0</v>
      </c>
      <c r="U140" s="6004">
        <f>+Q140+S140</f>
        <v>38678.159481544106</v>
      </c>
      <c r="V140" s="62">
        <f>+R140+T140</f>
        <v>0</v>
      </c>
      <c r="W140" s="6006">
        <f>+W104+W122</f>
        <v>7277.3406593406598</v>
      </c>
      <c r="X140" s="1323">
        <f>X104+X122</f>
        <v>0</v>
      </c>
      <c r="Y140" s="6016">
        <f>O140+S140+W140</f>
        <v>22797.500704423779</v>
      </c>
      <c r="Z140" s="1123">
        <f t="shared" ref="Z140:Z142" si="811">+P140+T140+X140</f>
        <v>0</v>
      </c>
      <c r="AA140" s="6043">
        <f>Y140+M140</f>
        <v>45955.500140884767</v>
      </c>
      <c r="AB140" s="796">
        <f t="shared" ref="AB140:AB142" si="812">+N140+Z140</f>
        <v>0</v>
      </c>
      <c r="AC140" s="6006">
        <f>+AC104+AC122</f>
        <v>2853.24</v>
      </c>
      <c r="AD140" s="1323">
        <f>AD104+AD122</f>
        <v>3153</v>
      </c>
      <c r="AE140" s="6004">
        <f>+AA140+AC140</f>
        <v>48808.740140884765</v>
      </c>
      <c r="AF140" s="62">
        <f>+AB140+AD140</f>
        <v>3153</v>
      </c>
      <c r="AG140" s="6006">
        <f>+AG104+AG122</f>
        <v>2761.2040133779301</v>
      </c>
      <c r="AH140" s="1323">
        <f>AH104+AH122</f>
        <v>7156.8</v>
      </c>
      <c r="AI140" s="6004">
        <f>+AE140+AG140</f>
        <v>51569.944154262696</v>
      </c>
      <c r="AJ140" s="62">
        <f>+AF140+AH140</f>
        <v>10309.799999999999</v>
      </c>
      <c r="AK140" s="6006">
        <f>+AK104+AK122</f>
        <v>2853.2441471571901</v>
      </c>
      <c r="AL140" s="1323">
        <f>AL104+AL122</f>
        <v>1630.7</v>
      </c>
      <c r="AM140" s="6016">
        <f>AC140+AG140+AK140</f>
        <v>8467.6881605351191</v>
      </c>
      <c r="AN140" s="1123">
        <f t="shared" ref="AN140:AN142" si="813">+AD140+AH140+AL140</f>
        <v>11940.5</v>
      </c>
      <c r="AO140" s="6004">
        <f>AI140+AK140</f>
        <v>54423.188301419883</v>
      </c>
      <c r="AP140" s="760">
        <f t="shared" ref="AP140:AP142" si="814">AJ140+AL140</f>
        <v>11940.5</v>
      </c>
      <c r="AQ140" s="6006">
        <f>+AQ104+AQ122</f>
        <v>2853.2441471571901</v>
      </c>
      <c r="AR140" s="1323">
        <f>AR104+AR122</f>
        <v>0</v>
      </c>
      <c r="AS140" s="6004">
        <f>+AO140+AQ140</f>
        <v>57276.43244857707</v>
      </c>
      <c r="AT140" s="62">
        <f>+AP140+AR140</f>
        <v>11940.5</v>
      </c>
      <c r="AU140" s="6006">
        <f>+AU104+AU122</f>
        <v>2577.1237458194</v>
      </c>
      <c r="AV140" s="1323">
        <f>AV104+AV122</f>
        <v>0</v>
      </c>
      <c r="AW140" s="6004">
        <f>+AS140+AU140</f>
        <v>59853.556194396471</v>
      </c>
      <c r="AX140" s="62">
        <f>+AT140+AV140</f>
        <v>11940.5</v>
      </c>
      <c r="AY140" s="6006">
        <f>+AY104+AY122</f>
        <v>2853.2441471571901</v>
      </c>
      <c r="AZ140" s="1323">
        <f>AZ104+AZ122</f>
        <v>0</v>
      </c>
      <c r="BA140" s="6016">
        <f>AQ140+AU140+AY140</f>
        <v>8283.6120401337794</v>
      </c>
      <c r="BB140" s="1123">
        <f t="shared" ref="BB140:BB142" si="815">+AR140+AV140+AZ140</f>
        <v>0</v>
      </c>
      <c r="BC140" s="6043">
        <f>BA140+AM140</f>
        <v>16751.300200668898</v>
      </c>
      <c r="BD140" s="2513">
        <f>+AN140+BB140</f>
        <v>11940.5</v>
      </c>
      <c r="BE140" s="6003">
        <f>+AW140+AY140</f>
        <v>62706.800341553659</v>
      </c>
      <c r="BF140" s="782">
        <f t="shared" ref="BF140:BF142" si="816">AX140+AZ140</f>
        <v>11940.5</v>
      </c>
      <c r="BG140" s="1219"/>
      <c r="BH140" s="1219"/>
      <c r="BI140" s="1219"/>
      <c r="BJ140" s="1546"/>
      <c r="BK140" s="1546"/>
      <c r="BL140" s="26"/>
      <c r="BM140" s="26"/>
      <c r="BN140" s="26"/>
    </row>
    <row r="141" spans="1:66" ht="15.75" thickBot="1" x14ac:dyDescent="0.3">
      <c r="B141" s="1858" t="s">
        <v>1187</v>
      </c>
      <c r="C141" s="1394" t="s">
        <v>50</v>
      </c>
      <c r="D141" s="6036"/>
      <c r="E141" s="6007"/>
      <c r="F141" s="1323">
        <f>+F105+F123</f>
        <v>11266.765100000001</v>
      </c>
      <c r="G141" s="6007"/>
      <c r="H141" s="1323">
        <f>+H105+H123</f>
        <v>10256.740000000002</v>
      </c>
      <c r="I141" s="6003"/>
      <c r="J141" s="62">
        <f>+F141+H141</f>
        <v>21523.505100000002</v>
      </c>
      <c r="K141" s="6007"/>
      <c r="L141" s="1323">
        <f>+L105+L123</f>
        <v>10295.391</v>
      </c>
      <c r="M141" s="6017"/>
      <c r="N141" s="1586">
        <f>+F141+H141+L141</f>
        <v>31818.896100000002</v>
      </c>
      <c r="O141" s="6007"/>
      <c r="P141" s="1323">
        <f>+P105+P123</f>
        <v>9792.6059999999998</v>
      </c>
      <c r="Q141" s="6003"/>
      <c r="R141" s="62">
        <f>+N141+P141</f>
        <v>41611.502099999998</v>
      </c>
      <c r="S141" s="6007"/>
      <c r="T141" s="1323">
        <f>+T105+T123</f>
        <v>11035.929</v>
      </c>
      <c r="U141" s="6003"/>
      <c r="V141" s="62">
        <f>+R141+T141</f>
        <v>52647.431100000002</v>
      </c>
      <c r="W141" s="6007"/>
      <c r="X141" s="1323">
        <f>+X105+X123</f>
        <v>10692.960999999999</v>
      </c>
      <c r="Y141" s="6017"/>
      <c r="Z141" s="1123">
        <f t="shared" si="811"/>
        <v>31521.495999999999</v>
      </c>
      <c r="AA141" s="6044"/>
      <c r="AB141" s="796">
        <f t="shared" si="812"/>
        <v>63340.392099999997</v>
      </c>
      <c r="AC141" s="6007"/>
      <c r="AD141" s="1323">
        <f>+AD105+AD123</f>
        <v>4603</v>
      </c>
      <c r="AE141" s="6003"/>
      <c r="AF141" s="62">
        <f t="shared" ref="AF141:AF142" si="817">+AB141+AD141</f>
        <v>67943.392099999997</v>
      </c>
      <c r="AG141" s="6007"/>
      <c r="AH141" s="1323">
        <f>+AH105+AH123</f>
        <v>2673.4</v>
      </c>
      <c r="AI141" s="6003"/>
      <c r="AJ141" s="62">
        <f t="shared" ref="AJ141:AJ142" si="818">+AF141+AH141</f>
        <v>70616.792099999991</v>
      </c>
      <c r="AK141" s="6007"/>
      <c r="AL141" s="1323">
        <f>+AL105+AL123</f>
        <v>6138.26</v>
      </c>
      <c r="AM141" s="6017"/>
      <c r="AN141" s="1123">
        <f t="shared" si="813"/>
        <v>13414.66</v>
      </c>
      <c r="AO141" s="6003"/>
      <c r="AP141" s="760">
        <f t="shared" si="814"/>
        <v>76755.052099999986</v>
      </c>
      <c r="AQ141" s="6007"/>
      <c r="AR141" s="1323">
        <f>+AR105+AR123</f>
        <v>7768.96</v>
      </c>
      <c r="AS141" s="6003"/>
      <c r="AT141" s="62">
        <f t="shared" ref="AT141:AT142" si="819">+AP141+AR141</f>
        <v>84524.012099999993</v>
      </c>
      <c r="AU141" s="6007"/>
      <c r="AV141" s="1323">
        <f>+AV105+AV123</f>
        <v>7886.9599999999991</v>
      </c>
      <c r="AW141" s="6003"/>
      <c r="AX141" s="62">
        <f t="shared" ref="AX141:AX142" si="820">+AT141+AV141</f>
        <v>92410.972099999984</v>
      </c>
      <c r="AY141" s="6007"/>
      <c r="AZ141" s="1323">
        <f>+AZ105+AZ123</f>
        <v>11188.189999999999</v>
      </c>
      <c r="BA141" s="6017"/>
      <c r="BB141" s="1123">
        <f t="shared" si="815"/>
        <v>26844.109999999997</v>
      </c>
      <c r="BC141" s="6044"/>
      <c r="BD141" s="2513">
        <f>+AN141+BB141</f>
        <v>40258.769999999997</v>
      </c>
      <c r="BE141" s="6003"/>
      <c r="BF141" s="782">
        <f t="shared" si="816"/>
        <v>103599.16209999999</v>
      </c>
      <c r="BG141" s="1219"/>
      <c r="BH141" s="1219"/>
      <c r="BI141" s="1219"/>
      <c r="BJ141" s="1546"/>
      <c r="BK141" s="1546"/>
      <c r="BL141" s="26"/>
      <c r="BM141" s="26"/>
      <c r="BN141" s="26"/>
    </row>
    <row r="142" spans="1:66" ht="15.75" hidden="1" customHeight="1" thickBot="1" x14ac:dyDescent="0.35">
      <c r="A142" s="148"/>
      <c r="B142" s="1846" t="s">
        <v>1135</v>
      </c>
      <c r="C142" s="1394" t="s">
        <v>50</v>
      </c>
      <c r="D142" s="6037"/>
      <c r="E142" s="6008"/>
      <c r="F142" s="1323">
        <f>+F106+F124</f>
        <v>0</v>
      </c>
      <c r="G142" s="6008"/>
      <c r="H142" s="1323">
        <f>+H106+H124</f>
        <v>0</v>
      </c>
      <c r="I142" s="6005"/>
      <c r="J142" s="62">
        <f>+F142+H142</f>
        <v>0</v>
      </c>
      <c r="K142" s="6008"/>
      <c r="L142" s="1323">
        <f>+L106+L124</f>
        <v>0</v>
      </c>
      <c r="M142" s="6018"/>
      <c r="N142" s="1586">
        <f>+F142+H142+L142</f>
        <v>0</v>
      </c>
      <c r="O142" s="6008"/>
      <c r="P142" s="1323">
        <f>+P106+P124</f>
        <v>0</v>
      </c>
      <c r="Q142" s="6005"/>
      <c r="R142" s="62">
        <f>+N142+P142</f>
        <v>0</v>
      </c>
      <c r="S142" s="6008"/>
      <c r="T142" s="1323">
        <f>+T106+T124</f>
        <v>0</v>
      </c>
      <c r="U142" s="6005"/>
      <c r="V142" s="62">
        <f>+R142+T142</f>
        <v>0</v>
      </c>
      <c r="W142" s="6008"/>
      <c r="X142" s="1323">
        <f>+X106+X124</f>
        <v>0</v>
      </c>
      <c r="Y142" s="6018"/>
      <c r="Z142" s="1123">
        <f t="shared" si="811"/>
        <v>0</v>
      </c>
      <c r="AA142" s="6045"/>
      <c r="AB142" s="796">
        <f t="shared" si="812"/>
        <v>0</v>
      </c>
      <c r="AC142" s="6008"/>
      <c r="AD142" s="1323">
        <f>+AD106+AD124</f>
        <v>0</v>
      </c>
      <c r="AE142" s="6005"/>
      <c r="AF142" s="62">
        <f t="shared" si="817"/>
        <v>0</v>
      </c>
      <c r="AG142" s="6008"/>
      <c r="AH142" s="1323">
        <f>+AH106+AH124</f>
        <v>0</v>
      </c>
      <c r="AI142" s="6005"/>
      <c r="AJ142" s="62">
        <f t="shared" si="818"/>
        <v>0</v>
      </c>
      <c r="AK142" s="6008"/>
      <c r="AL142" s="1323">
        <f>+AL106+AL124</f>
        <v>0</v>
      </c>
      <c r="AM142" s="6018"/>
      <c r="AN142" s="1123">
        <f t="shared" si="813"/>
        <v>0</v>
      </c>
      <c r="AO142" s="6005"/>
      <c r="AP142" s="760">
        <f t="shared" si="814"/>
        <v>0</v>
      </c>
      <c r="AQ142" s="6008"/>
      <c r="AR142" s="1323">
        <f>+AR106+AR124</f>
        <v>0</v>
      </c>
      <c r="AS142" s="6005"/>
      <c r="AT142" s="62">
        <f t="shared" si="819"/>
        <v>0</v>
      </c>
      <c r="AU142" s="6008"/>
      <c r="AV142" s="1323">
        <f>+AV106+AV124</f>
        <v>0</v>
      </c>
      <c r="AW142" s="6005"/>
      <c r="AX142" s="62">
        <f t="shared" si="820"/>
        <v>0</v>
      </c>
      <c r="AY142" s="6008"/>
      <c r="AZ142" s="1323">
        <f>+AZ106+AZ124</f>
        <v>0</v>
      </c>
      <c r="BA142" s="6018"/>
      <c r="BB142" s="1123">
        <f t="shared" si="815"/>
        <v>0</v>
      </c>
      <c r="BC142" s="6045"/>
      <c r="BD142" s="2513">
        <f>+AN142+BB142</f>
        <v>0</v>
      </c>
      <c r="BE142" s="6003"/>
      <c r="BF142" s="782">
        <f t="shared" si="816"/>
        <v>0</v>
      </c>
      <c r="BG142" s="1219"/>
      <c r="BH142" s="1219"/>
      <c r="BI142" s="1219"/>
      <c r="BJ142" s="1546"/>
      <c r="BK142" s="1546"/>
      <c r="BL142" s="26"/>
      <c r="BM142" s="26"/>
      <c r="BN142" s="26"/>
    </row>
    <row r="143" spans="1:66" ht="16.149999999999999" thickBot="1" x14ac:dyDescent="0.35">
      <c r="A143" s="148"/>
      <c r="B143" s="1859" t="s">
        <v>11</v>
      </c>
      <c r="C143" s="1878" t="s">
        <v>50</v>
      </c>
      <c r="D143" s="215">
        <f>SUM(D139:D142)</f>
        <v>1956399.2955824803</v>
      </c>
      <c r="E143" s="1879">
        <f>SUM(E139:E142)</f>
        <v>163247.8238001315</v>
      </c>
      <c r="F143" s="1417">
        <f>SUM(F139:F142)</f>
        <v>156106.10999999999</v>
      </c>
      <c r="G143" s="1879">
        <f>SUM(G139:G142)</f>
        <v>168689.41792680253</v>
      </c>
      <c r="H143" s="1417">
        <f>SUM(H139:H142)</f>
        <v>161964.25</v>
      </c>
      <c r="I143" s="1417">
        <f t="shared" ref="I143:N143" si="821">SUM(I139:I142)</f>
        <v>331937.24172693404</v>
      </c>
      <c r="J143" s="1417">
        <f t="shared" si="821"/>
        <v>318070.36</v>
      </c>
      <c r="K143" s="1879">
        <f>SUM(K139:K142)</f>
        <v>160897.75486052412</v>
      </c>
      <c r="L143" s="1417">
        <f>SUM(L139:L142)</f>
        <v>156884.99</v>
      </c>
      <c r="M143" s="1880">
        <f t="shared" si="821"/>
        <v>492834.99658745818</v>
      </c>
      <c r="N143" s="1580">
        <f t="shared" si="821"/>
        <v>474955.35</v>
      </c>
      <c r="O143" s="1879">
        <f>SUM(O139:O142)</f>
        <v>166261.01335587492</v>
      </c>
      <c r="P143" s="1417">
        <f>SUM(P139:P142)</f>
        <v>162308.427763752</v>
      </c>
      <c r="Q143" s="1417">
        <f t="shared" ref="Q143:R143" si="822">SUM(Q139:Q142)</f>
        <v>659096.00994333311</v>
      </c>
      <c r="R143" s="1417">
        <f t="shared" si="822"/>
        <v>637263.77776375203</v>
      </c>
      <c r="S143" s="1879">
        <f>SUM(S139:S142)</f>
        <v>166261.01335587492</v>
      </c>
      <c r="T143" s="1417">
        <f>SUM(T139:T142)</f>
        <v>163300.38</v>
      </c>
      <c r="U143" s="1417">
        <f t="shared" ref="U143:V143" si="823">SUM(U139:U142)</f>
        <v>825357.02329920791</v>
      </c>
      <c r="V143" s="1417">
        <f t="shared" si="823"/>
        <v>800564.15776375204</v>
      </c>
      <c r="W143" s="1879">
        <f>SUM(W139:W142)</f>
        <v>154929.22612942616</v>
      </c>
      <c r="X143" s="1417">
        <f>SUM(X139:X142)</f>
        <v>158293.00440580002</v>
      </c>
      <c r="Y143" s="67">
        <f t="shared" ref="Y143:AF143" si="824">SUM(Y139:Y142)</f>
        <v>487451.25284117588</v>
      </c>
      <c r="Z143" s="67">
        <f t="shared" si="824"/>
        <v>483901.81216955197</v>
      </c>
      <c r="AA143" s="2384">
        <f t="shared" si="824"/>
        <v>980286.24942863407</v>
      </c>
      <c r="AB143" s="460">
        <f t="shared" si="824"/>
        <v>958857.16216955194</v>
      </c>
      <c r="AC143" s="1879">
        <f>SUM(AC139:AC142)</f>
        <v>166828.17954715321</v>
      </c>
      <c r="AD143" s="1417">
        <f>SUM(AD139:AD142)</f>
        <v>167882</v>
      </c>
      <c r="AE143" s="1417">
        <f t="shared" si="824"/>
        <v>1147114.4289757875</v>
      </c>
      <c r="AF143" s="1417">
        <f t="shared" si="824"/>
        <v>1126739.1621695522</v>
      </c>
      <c r="AG143" s="1879">
        <f>SUM(AG139:AG142)</f>
        <v>161446.62938159073</v>
      </c>
      <c r="AH143" s="1417">
        <f>SUM(AH139:AH142)</f>
        <v>156127.96</v>
      </c>
      <c r="AI143" s="1417">
        <f t="shared" ref="AI143:AN143" si="825">SUM(AI139:AI142)</f>
        <v>1308561.0583573782</v>
      </c>
      <c r="AJ143" s="1417">
        <f t="shared" si="825"/>
        <v>1282867.1221695521</v>
      </c>
      <c r="AK143" s="1879">
        <f>SUM(AK139:AK142)</f>
        <v>166828.1836943104</v>
      </c>
      <c r="AL143" s="1417">
        <f>SUM(AL139:AL142)</f>
        <v>165999.29000000004</v>
      </c>
      <c r="AM143" s="67">
        <f t="shared" si="825"/>
        <v>495102.99262305436</v>
      </c>
      <c r="AN143" s="67">
        <f t="shared" si="825"/>
        <v>490009.25</v>
      </c>
      <c r="AO143" s="1417">
        <f t="shared" ref="AO143:AT143" si="826">SUM(AO139:AO142)</f>
        <v>1475389.2420516885</v>
      </c>
      <c r="AP143" s="1417">
        <f t="shared" si="826"/>
        <v>1448866.4121695519</v>
      </c>
      <c r="AQ143" s="1879">
        <f>SUM(AQ139:AQ142)</f>
        <v>166828.1836943104</v>
      </c>
      <c r="AR143" s="1417">
        <f>SUM(AR139:AR142)</f>
        <v>163266.72</v>
      </c>
      <c r="AS143" s="1417">
        <f t="shared" si="826"/>
        <v>1642217.425745999</v>
      </c>
      <c r="AT143" s="1417">
        <f t="shared" si="826"/>
        <v>1612133.1321695521</v>
      </c>
      <c r="AU143" s="1879">
        <f>SUM(AU139:AU142)</f>
        <v>150683.52075615132</v>
      </c>
      <c r="AV143" s="1417">
        <f>SUM(AV139:AV142)</f>
        <v>144992.91</v>
      </c>
      <c r="AW143" s="1417">
        <f t="shared" ref="AW143:AX143" si="827">SUM(AW139:AW142)</f>
        <v>1792900.94650215</v>
      </c>
      <c r="AX143" s="1417">
        <f t="shared" si="827"/>
        <v>1757126.0421695523</v>
      </c>
      <c r="AY143" s="1879">
        <f>SUM(AY139:AY142)</f>
        <v>166828.1836943104</v>
      </c>
      <c r="AZ143" s="1417">
        <f>SUM(AZ139:AZ142)</f>
        <v>154292.03</v>
      </c>
      <c r="BA143" s="67">
        <f t="shared" ref="BA143:BB143" si="828">SUM(BA139:BA142)</f>
        <v>484339.88814477215</v>
      </c>
      <c r="BB143" s="67">
        <f t="shared" si="828"/>
        <v>462551.66000000003</v>
      </c>
      <c r="BC143" s="2384">
        <f t="shared" ref="BC143:BD143" si="829">SUM(BC139:BC142)</f>
        <v>979442.88076782646</v>
      </c>
      <c r="BD143" s="460">
        <f t="shared" si="829"/>
        <v>952560.91000000015</v>
      </c>
      <c r="BE143" s="1417">
        <f t="shared" ref="BE143:BF143" si="830">SUM(BE139:BE142)</f>
        <v>1959729.1301964603</v>
      </c>
      <c r="BF143" s="1417">
        <f t="shared" si="830"/>
        <v>1911418.0721695523</v>
      </c>
      <c r="BG143" s="1219"/>
      <c r="BH143" s="1219"/>
      <c r="BI143" s="1219"/>
      <c r="BJ143" s="1546"/>
      <c r="BK143" s="1546"/>
      <c r="BL143" s="26"/>
      <c r="BM143" s="26"/>
      <c r="BN143" s="26"/>
    </row>
    <row r="144" spans="1:66" ht="18" thickBot="1" x14ac:dyDescent="0.35">
      <c r="A144" s="148"/>
      <c r="B144" s="1864" t="s">
        <v>1139</v>
      </c>
      <c r="C144" s="1881"/>
      <c r="D144" s="1881"/>
      <c r="E144" s="1881"/>
      <c r="F144" s="1881"/>
      <c r="G144" s="1881"/>
      <c r="H144" s="1881"/>
      <c r="I144" s="1881"/>
      <c r="J144" s="1881"/>
      <c r="K144" s="1881"/>
      <c r="L144" s="1881"/>
      <c r="M144" s="1881"/>
      <c r="N144" s="1881"/>
      <c r="O144" s="1881"/>
      <c r="P144" s="1881"/>
      <c r="Q144" s="1881"/>
      <c r="R144" s="1881"/>
      <c r="S144" s="1881"/>
      <c r="T144" s="1881"/>
      <c r="U144" s="1881"/>
      <c r="V144" s="1881"/>
      <c r="W144" s="1881"/>
      <c r="X144" s="1881"/>
      <c r="Y144" s="1881"/>
      <c r="Z144" s="1881"/>
      <c r="AA144" s="1881"/>
      <c r="AB144" s="1882"/>
      <c r="AC144" s="1881"/>
      <c r="AD144" s="1881"/>
      <c r="AE144" s="1881"/>
      <c r="AF144" s="1882"/>
      <c r="AG144" s="1881"/>
      <c r="AH144" s="1881"/>
      <c r="AI144" s="1881"/>
      <c r="AJ144" s="1882"/>
      <c r="AK144" s="1881"/>
      <c r="AL144" s="1881"/>
      <c r="AM144" s="1881"/>
      <c r="AN144" s="1881"/>
      <c r="AO144" s="1881"/>
      <c r="AP144" s="1882"/>
      <c r="AQ144" s="1881"/>
      <c r="AR144" s="1881"/>
      <c r="AS144" s="1881"/>
      <c r="AT144" s="1882"/>
      <c r="AU144" s="1881"/>
      <c r="AV144" s="1881"/>
      <c r="AW144" s="1881"/>
      <c r="AX144" s="1882"/>
      <c r="AY144" s="1881"/>
      <c r="AZ144" s="1881"/>
      <c r="BA144" s="1881"/>
      <c r="BB144" s="1881"/>
      <c r="BC144" s="1881"/>
      <c r="BD144" s="1882"/>
      <c r="BE144" s="1881"/>
      <c r="BF144" s="1882"/>
      <c r="BG144" s="1219"/>
      <c r="BH144" s="1219"/>
      <c r="BI144" s="1219"/>
      <c r="BJ144" s="1546"/>
      <c r="BK144" s="1546"/>
      <c r="BL144" s="26"/>
      <c r="BM144" s="26"/>
      <c r="BN144" s="26"/>
    </row>
    <row r="145" spans="1:66" ht="18" thickBot="1" x14ac:dyDescent="0.35">
      <c r="B145" s="1866" t="s">
        <v>648</v>
      </c>
      <c r="C145" s="1841"/>
      <c r="D145" s="1841"/>
      <c r="E145" s="1841"/>
      <c r="F145" s="1841"/>
      <c r="G145" s="1841"/>
      <c r="H145" s="1841"/>
      <c r="I145" s="1841"/>
      <c r="J145" s="1841"/>
      <c r="K145" s="1841"/>
      <c r="L145" s="1841"/>
      <c r="M145" s="1841"/>
      <c r="N145" s="1841"/>
      <c r="O145" s="1841"/>
      <c r="P145" s="1841"/>
      <c r="Q145" s="1841"/>
      <c r="R145" s="1841"/>
      <c r="S145" s="1841"/>
      <c r="T145" s="1841"/>
      <c r="U145" s="1841"/>
      <c r="V145" s="1841"/>
      <c r="W145" s="1841"/>
      <c r="X145" s="1841"/>
      <c r="Y145" s="533"/>
      <c r="Z145" s="533"/>
      <c r="AA145" s="533"/>
      <c r="AB145" s="1868"/>
      <c r="AC145" s="1841"/>
      <c r="AD145" s="1841"/>
      <c r="AE145" s="1841"/>
      <c r="AF145" s="1842"/>
      <c r="AG145" s="1841"/>
      <c r="AH145" s="1841"/>
      <c r="AI145" s="1841"/>
      <c r="AJ145" s="1842"/>
      <c r="AK145" s="1841"/>
      <c r="AL145" s="1841"/>
      <c r="AM145" s="533"/>
      <c r="AN145" s="533"/>
      <c r="AO145" s="1841"/>
      <c r="AP145" s="1842"/>
      <c r="AQ145" s="1841"/>
      <c r="AR145" s="1841"/>
      <c r="AS145" s="1841"/>
      <c r="AT145" s="1842"/>
      <c r="AU145" s="1841"/>
      <c r="AV145" s="1841"/>
      <c r="AW145" s="1841"/>
      <c r="AX145" s="1842"/>
      <c r="AY145" s="1841"/>
      <c r="AZ145" s="1841"/>
      <c r="BA145" s="533"/>
      <c r="BB145" s="533"/>
      <c r="BC145" s="533"/>
      <c r="BD145" s="1868"/>
      <c r="BE145" s="1841"/>
      <c r="BF145" s="1842"/>
      <c r="BG145" s="1219"/>
      <c r="BH145" s="1219"/>
      <c r="BI145" s="1219"/>
      <c r="BJ145" s="1546"/>
      <c r="BK145" s="1546"/>
      <c r="BL145" s="26"/>
      <c r="BM145" s="26"/>
      <c r="BN145" s="26"/>
    </row>
    <row r="146" spans="1:66" ht="15.6" x14ac:dyDescent="0.3">
      <c r="B146" s="1897" t="s">
        <v>427</v>
      </c>
      <c r="C146" s="1874"/>
      <c r="D146" s="239"/>
      <c r="E146" s="783"/>
      <c r="F146" s="610"/>
      <c r="G146" s="783"/>
      <c r="H146" s="610"/>
      <c r="I146" s="239"/>
      <c r="J146" s="239"/>
      <c r="K146" s="783"/>
      <c r="L146" s="610"/>
      <c r="M146" s="783"/>
      <c r="N146" s="610"/>
      <c r="O146" s="783"/>
      <c r="P146" s="610"/>
      <c r="Q146" s="239"/>
      <c r="R146" s="239"/>
      <c r="S146" s="783"/>
      <c r="T146" s="610"/>
      <c r="U146" s="239"/>
      <c r="V146" s="239"/>
      <c r="W146" s="783"/>
      <c r="X146" s="610"/>
      <c r="Y146" s="239"/>
      <c r="Z146" s="239"/>
      <c r="AA146" s="2371"/>
      <c r="AB146" s="610"/>
      <c r="AC146" s="783"/>
      <c r="AD146" s="610"/>
      <c r="AE146" s="239"/>
      <c r="AF146" s="610"/>
      <c r="AG146" s="783"/>
      <c r="AH146" s="610"/>
      <c r="AI146" s="239"/>
      <c r="AJ146" s="610"/>
      <c r="AK146" s="783"/>
      <c r="AL146" s="610"/>
      <c r="AM146" s="239"/>
      <c r="AN146" s="239"/>
      <c r="AO146" s="239"/>
      <c r="AP146" s="610"/>
      <c r="AQ146" s="783"/>
      <c r="AR146" s="610"/>
      <c r="AS146" s="239"/>
      <c r="AT146" s="610"/>
      <c r="AU146" s="783"/>
      <c r="AV146" s="610"/>
      <c r="AW146" s="239"/>
      <c r="AX146" s="610"/>
      <c r="AY146" s="783"/>
      <c r="AZ146" s="610"/>
      <c r="BA146" s="239"/>
      <c r="BB146" s="239"/>
      <c r="BC146" s="2371"/>
      <c r="BD146" s="610"/>
      <c r="BE146" s="239"/>
      <c r="BF146" s="610"/>
      <c r="BG146" s="1219"/>
      <c r="BH146" s="1219"/>
      <c r="BI146" s="1219"/>
      <c r="BJ146" s="1546"/>
      <c r="BK146" s="1546"/>
      <c r="BL146" s="26"/>
      <c r="BM146" s="26"/>
      <c r="BN146" s="26"/>
    </row>
    <row r="147" spans="1:66" ht="14.45" x14ac:dyDescent="0.3">
      <c r="B147" s="1844" t="s">
        <v>194</v>
      </c>
      <c r="C147" s="1392" t="s">
        <v>49</v>
      </c>
      <c r="D147" s="106">
        <f t="shared" ref="D147:AX147" si="831">+D97/D107*100</f>
        <v>67.058952925648924</v>
      </c>
      <c r="E147" s="769">
        <f t="shared" si="831"/>
        <v>67.058952925648924</v>
      </c>
      <c r="F147" s="120">
        <f t="shared" si="831"/>
        <v>63.466660860350856</v>
      </c>
      <c r="G147" s="769">
        <f t="shared" ref="G147:H147" si="832">+G97/G107*100</f>
        <v>67.058952925648924</v>
      </c>
      <c r="H147" s="120">
        <f t="shared" si="832"/>
        <v>65.22577655770526</v>
      </c>
      <c r="I147" s="54">
        <f t="shared" si="831"/>
        <v>67.058952925648924</v>
      </c>
      <c r="J147" s="167">
        <f t="shared" si="831"/>
        <v>64.362502103666912</v>
      </c>
      <c r="K147" s="769">
        <f t="shared" si="831"/>
        <v>67.058952925648924</v>
      </c>
      <c r="L147" s="120">
        <f t="shared" si="831"/>
        <v>64.499999999999986</v>
      </c>
      <c r="M147" s="77">
        <f t="shared" si="831"/>
        <v>67.058952925648924</v>
      </c>
      <c r="N147" s="175">
        <f t="shared" si="831"/>
        <v>64.407410161194477</v>
      </c>
      <c r="O147" s="769">
        <f t="shared" ref="O147:P147" si="833">+O97/O107*100</f>
        <v>67.058952925648924</v>
      </c>
      <c r="P147" s="120">
        <f t="shared" si="833"/>
        <v>66.000002640000105</v>
      </c>
      <c r="Q147" s="54">
        <f t="shared" si="831"/>
        <v>67.058952925648924</v>
      </c>
      <c r="R147" s="167">
        <f t="shared" si="831"/>
        <v>64.807247735090044</v>
      </c>
      <c r="S147" s="769">
        <f t="shared" si="831"/>
        <v>67.058952925648924</v>
      </c>
      <c r="T147" s="120">
        <f t="shared" si="831"/>
        <v>65</v>
      </c>
      <c r="U147" s="54">
        <f t="shared" si="831"/>
        <v>67.058952925648924</v>
      </c>
      <c r="V147" s="167">
        <f t="shared" si="831"/>
        <v>64.846760634982672</v>
      </c>
      <c r="W147" s="769">
        <f t="shared" ref="W147:X147" si="834">+W97/W107*100</f>
        <v>67.058952925648924</v>
      </c>
      <c r="X147" s="120">
        <f t="shared" si="834"/>
        <v>65.000240500889845</v>
      </c>
      <c r="Y147" s="391">
        <f t="shared" si="831"/>
        <v>67.058952925648924</v>
      </c>
      <c r="Z147" s="175">
        <f t="shared" si="831"/>
        <v>65.33110098497005</v>
      </c>
      <c r="AA147" s="483">
        <f t="shared" si="831"/>
        <v>67.05895292564891</v>
      </c>
      <c r="AB147" s="481">
        <f t="shared" si="831"/>
        <v>64.872167689102511</v>
      </c>
      <c r="AC147" s="769">
        <f t="shared" si="831"/>
        <v>69.038276180006989</v>
      </c>
      <c r="AD147" s="120">
        <f t="shared" si="831"/>
        <v>66.001042752867562</v>
      </c>
      <c r="AE147" s="54">
        <f t="shared" si="831"/>
        <v>67.345612633930969</v>
      </c>
      <c r="AF147" s="167">
        <f t="shared" si="831"/>
        <v>65.037363081270783</v>
      </c>
      <c r="AG147" s="769">
        <f t="shared" si="831"/>
        <v>69.038271215565146</v>
      </c>
      <c r="AH147" s="120">
        <f t="shared" si="831"/>
        <v>66.000100994798771</v>
      </c>
      <c r="AI147" s="54">
        <f t="shared" si="831"/>
        <v>67.553685225947632</v>
      </c>
      <c r="AJ147" s="167">
        <f t="shared" si="831"/>
        <v>65.152605961811119</v>
      </c>
      <c r="AK147" s="769">
        <f t="shared" si="831"/>
        <v>69.038271215565146</v>
      </c>
      <c r="AL147" s="120">
        <f t="shared" si="831"/>
        <v>65.999979100703271</v>
      </c>
      <c r="AM147" s="391">
        <f t="shared" si="831"/>
        <v>69.038272888366109</v>
      </c>
      <c r="AN147" s="175">
        <f t="shared" si="831"/>
        <v>66.000381175623986</v>
      </c>
      <c r="AO147" s="54">
        <f t="shared" si="831"/>
        <v>67.721009181870855</v>
      </c>
      <c r="AP147" s="167">
        <f t="shared" si="831"/>
        <v>65.249125674194588</v>
      </c>
      <c r="AQ147" s="769">
        <f t="shared" si="831"/>
        <v>69.038271215565146</v>
      </c>
      <c r="AR147" s="120">
        <f t="shared" si="831"/>
        <v>70.967741935483858</v>
      </c>
      <c r="AS147" s="54">
        <f t="shared" si="831"/>
        <v>67.8544362461368</v>
      </c>
      <c r="AT147" s="167">
        <f t="shared" si="831"/>
        <v>65.833894587345242</v>
      </c>
      <c r="AU147" s="769">
        <f t="shared" si="831"/>
        <v>69.038271215565146</v>
      </c>
      <c r="AV147" s="120">
        <f t="shared" si="831"/>
        <v>66.492537313432834</v>
      </c>
      <c r="AW147" s="54">
        <f t="shared" si="831"/>
        <v>67.953665553650694</v>
      </c>
      <c r="AX147" s="167">
        <f t="shared" si="831"/>
        <v>65.887229989574251</v>
      </c>
      <c r="AY147" s="769">
        <f t="shared" ref="AY147:AZ147" si="835">+AY97/AY107*100</f>
        <v>69.038271215565146</v>
      </c>
      <c r="AZ147" s="120">
        <f t="shared" si="835"/>
        <v>62.739702826663425</v>
      </c>
      <c r="BA147" s="391">
        <f t="shared" ref="BA147:BF147" si="836">+BA97/BA107*100</f>
        <v>69.038271215565146</v>
      </c>
      <c r="BB147" s="175">
        <f t="shared" si="836"/>
        <v>66.827916764842229</v>
      </c>
      <c r="BC147" s="483">
        <f t="shared" si="836"/>
        <v>69.038272061156832</v>
      </c>
      <c r="BD147" s="481">
        <f t="shared" si="836"/>
        <v>66.404793875112546</v>
      </c>
      <c r="BE147" s="54">
        <f t="shared" si="836"/>
        <v>68.04577056466556</v>
      </c>
      <c r="BF147" s="167">
        <f t="shared" si="836"/>
        <v>65.63126898692218</v>
      </c>
      <c r="BG147" s="1219"/>
      <c r="BH147" s="1219"/>
      <c r="BI147" s="1219"/>
      <c r="BJ147" s="1546"/>
      <c r="BK147" s="1546"/>
      <c r="BL147" s="26"/>
      <c r="BM147" s="26"/>
      <c r="BN147" s="26"/>
    </row>
    <row r="148" spans="1:66" ht="14.45" x14ac:dyDescent="0.3">
      <c r="B148" s="1844" t="s">
        <v>195</v>
      </c>
      <c r="C148" s="1392" t="s">
        <v>49</v>
      </c>
      <c r="D148" s="106">
        <f t="shared" ref="D148:AX148" si="837">+D102/D107*100</f>
        <v>25.02199736031676</v>
      </c>
      <c r="E148" s="769">
        <f t="shared" si="837"/>
        <v>25.02199736031676</v>
      </c>
      <c r="F148" s="132">
        <f t="shared" si="837"/>
        <v>25.999956452631356</v>
      </c>
      <c r="G148" s="769">
        <f t="shared" ref="G148:H148" si="838">+G102/G107*100</f>
        <v>25.021997360316767</v>
      </c>
      <c r="H148" s="132">
        <f t="shared" si="838"/>
        <v>26.000017485115794</v>
      </c>
      <c r="I148" s="53">
        <f t="shared" si="837"/>
        <v>25.021997360316757</v>
      </c>
      <c r="J148" s="105">
        <f t="shared" si="837"/>
        <v>25.999987533825632</v>
      </c>
      <c r="K148" s="769">
        <f t="shared" si="837"/>
        <v>25.02199736031675</v>
      </c>
      <c r="L148" s="132">
        <f t="shared" si="837"/>
        <v>26</v>
      </c>
      <c r="M148" s="77">
        <f t="shared" si="837"/>
        <v>25.02199736031676</v>
      </c>
      <c r="N148" s="113">
        <f t="shared" si="837"/>
        <v>25.99999160539102</v>
      </c>
      <c r="O148" s="769">
        <f t="shared" ref="O148:P148" si="839">+O102/O107*100</f>
        <v>25.02199736031676</v>
      </c>
      <c r="P148" s="132">
        <f t="shared" si="839"/>
        <v>25.999997039999883</v>
      </c>
      <c r="Q148" s="53">
        <f t="shared" si="837"/>
        <v>25.021997360316757</v>
      </c>
      <c r="R148" s="105">
        <f t="shared" si="837"/>
        <v>25.999992969808378</v>
      </c>
      <c r="S148" s="769">
        <f t="shared" si="837"/>
        <v>25.02199736031676</v>
      </c>
      <c r="T148" s="132">
        <f t="shared" si="837"/>
        <v>24.999999999999996</v>
      </c>
      <c r="U148" s="53">
        <f t="shared" si="837"/>
        <v>25.02199736031675</v>
      </c>
      <c r="V148" s="105">
        <f t="shared" si="837"/>
        <v>25.795001230137661</v>
      </c>
      <c r="W148" s="769">
        <f t="shared" ref="W148:X148" si="840">+W102/W107*100</f>
        <v>25.02199736031676</v>
      </c>
      <c r="X148" s="132">
        <f t="shared" si="840"/>
        <v>24.999722498973249</v>
      </c>
      <c r="Y148" s="391">
        <f t="shared" si="837"/>
        <v>25.021997360316767</v>
      </c>
      <c r="Z148" s="113">
        <f t="shared" si="837"/>
        <v>25.330928705796545</v>
      </c>
      <c r="AA148" s="483">
        <f t="shared" si="837"/>
        <v>25.021997360316757</v>
      </c>
      <c r="AB148" s="471">
        <f t="shared" si="837"/>
        <v>25.663350803916462</v>
      </c>
      <c r="AC148" s="769">
        <f t="shared" si="837"/>
        <v>26.014422908408431</v>
      </c>
      <c r="AD148" s="132">
        <f t="shared" si="837"/>
        <v>25.999304831421622</v>
      </c>
      <c r="AE148" s="53">
        <f t="shared" si="837"/>
        <v>25.165727505193914</v>
      </c>
      <c r="AF148" s="105">
        <f t="shared" si="837"/>
        <v>25.712513070942826</v>
      </c>
      <c r="AG148" s="769">
        <f t="shared" si="837"/>
        <v>26.014421037749187</v>
      </c>
      <c r="AH148" s="132">
        <f t="shared" si="837"/>
        <v>24.269985280943214</v>
      </c>
      <c r="AI148" s="53">
        <f t="shared" si="837"/>
        <v>25.270054429159917</v>
      </c>
      <c r="AJ148" s="105">
        <f t="shared" si="837"/>
        <v>25.539837771213712</v>
      </c>
      <c r="AK148" s="769">
        <f t="shared" si="837"/>
        <v>26.014421037749191</v>
      </c>
      <c r="AL148" s="132">
        <f t="shared" si="837"/>
        <v>25.999944268542031</v>
      </c>
      <c r="AM148" s="391">
        <f t="shared" si="837"/>
        <v>26.01442166807999</v>
      </c>
      <c r="AN148" s="113">
        <f t="shared" si="837"/>
        <v>25.450538306665877</v>
      </c>
      <c r="AO148" s="53">
        <f t="shared" si="837"/>
        <v>25.353950118919457</v>
      </c>
      <c r="AP148" s="105">
        <f t="shared" si="837"/>
        <v>25.592246025322357</v>
      </c>
      <c r="AQ148" s="769">
        <f t="shared" si="837"/>
        <v>26.014421037749191</v>
      </c>
      <c r="AR148" s="132">
        <f t="shared" si="837"/>
        <v>21.032181433761423</v>
      </c>
      <c r="AS148" s="53">
        <f t="shared" si="837"/>
        <v>25.42085001694911</v>
      </c>
      <c r="AT148" s="105">
        <f t="shared" si="837"/>
        <v>25.125947205246842</v>
      </c>
      <c r="AU148" s="769">
        <f t="shared" si="837"/>
        <v>26.014421037749187</v>
      </c>
      <c r="AV148" s="132">
        <f t="shared" si="837"/>
        <v>23.35820895522388</v>
      </c>
      <c r="AW148" s="53">
        <f t="shared" si="837"/>
        <v>25.470603270464469</v>
      </c>
      <c r="AX148" s="105">
        <f t="shared" si="837"/>
        <v>24.982799749325434</v>
      </c>
      <c r="AY148" s="769">
        <f t="shared" ref="AY148:AZ148" si="841">+AY102/AY107*100</f>
        <v>26.014421037749191</v>
      </c>
      <c r="AZ148" s="132">
        <f t="shared" si="841"/>
        <v>25.616428883375686</v>
      </c>
      <c r="BA148" s="391">
        <f t="shared" ref="BA148:BF148" si="842">+BA102/BA107*100</f>
        <v>26.014421037749187</v>
      </c>
      <c r="BB148" s="113">
        <f t="shared" si="842"/>
        <v>23.287254437095708</v>
      </c>
      <c r="BC148" s="483">
        <f t="shared" si="842"/>
        <v>26.014421356377937</v>
      </c>
      <c r="BD148" s="471">
        <f t="shared" si="842"/>
        <v>24.393351787014954</v>
      </c>
      <c r="BE148" s="53">
        <f t="shared" si="842"/>
        <v>25.516784424781353</v>
      </c>
      <c r="BF148" s="105">
        <f t="shared" si="842"/>
        <v>25.034327294622639</v>
      </c>
      <c r="BG148" s="1219"/>
      <c r="BH148" s="1219"/>
      <c r="BI148" s="1219"/>
      <c r="BJ148" s="1546"/>
      <c r="BK148" s="1546"/>
      <c r="BL148" s="26"/>
      <c r="BM148" s="26"/>
      <c r="BN148" s="26"/>
    </row>
    <row r="149" spans="1:66" ht="14.45" x14ac:dyDescent="0.3">
      <c r="A149" s="148"/>
      <c r="B149" s="1860" t="s">
        <v>12</v>
      </c>
      <c r="C149" s="1393" t="s">
        <v>49</v>
      </c>
      <c r="D149" s="1438">
        <f t="shared" ref="D149:J149" si="843">SUM(D147:D148)</f>
        <v>92.080950285965685</v>
      </c>
      <c r="E149" s="1368">
        <f t="shared" si="843"/>
        <v>92.080950285965685</v>
      </c>
      <c r="F149" s="145">
        <f t="shared" si="843"/>
        <v>89.466617312982208</v>
      </c>
      <c r="G149" s="1368">
        <f t="shared" ref="G149:H149" si="844">SUM(G147:G148)</f>
        <v>92.080950285965685</v>
      </c>
      <c r="H149" s="145">
        <f t="shared" si="844"/>
        <v>91.22579404282105</v>
      </c>
      <c r="I149" s="1369">
        <f t="shared" si="843"/>
        <v>92.080950285965685</v>
      </c>
      <c r="J149" s="168">
        <f t="shared" si="843"/>
        <v>90.362489637492544</v>
      </c>
      <c r="K149" s="1368">
        <f t="shared" ref="K149:L149" si="845">SUM(K147:K148)</f>
        <v>92.08095028596567</v>
      </c>
      <c r="L149" s="145">
        <f t="shared" si="845"/>
        <v>90.499999999999986</v>
      </c>
      <c r="M149" s="1370">
        <f t="shared" ref="M149:R149" si="846">SUM(M147:M148)</f>
        <v>92.080950285965685</v>
      </c>
      <c r="N149" s="176">
        <f t="shared" si="846"/>
        <v>90.407401766585494</v>
      </c>
      <c r="O149" s="1368">
        <f t="shared" si="846"/>
        <v>92.080950285965685</v>
      </c>
      <c r="P149" s="145">
        <f t="shared" si="846"/>
        <v>91.999999679999988</v>
      </c>
      <c r="Q149" s="1369">
        <f t="shared" si="846"/>
        <v>92.080950285965685</v>
      </c>
      <c r="R149" s="168">
        <f t="shared" si="846"/>
        <v>90.807240704898419</v>
      </c>
      <c r="S149" s="1368">
        <f t="shared" ref="S149:T149" si="847">SUM(S147:S148)</f>
        <v>92.080950285965685</v>
      </c>
      <c r="T149" s="145">
        <f t="shared" si="847"/>
        <v>90</v>
      </c>
      <c r="U149" s="1369">
        <f t="shared" ref="U149:X149" si="848">SUM(U147:U148)</f>
        <v>92.08095028596567</v>
      </c>
      <c r="V149" s="168">
        <f t="shared" si="848"/>
        <v>90.64176186512033</v>
      </c>
      <c r="W149" s="1368">
        <f t="shared" si="848"/>
        <v>92.080950285965685</v>
      </c>
      <c r="X149" s="145">
        <f t="shared" si="848"/>
        <v>89.999962999863101</v>
      </c>
      <c r="Y149" s="1371">
        <f t="shared" ref="Y149:AF149" si="849">SUM(Y147:Y148)</f>
        <v>92.080950285965685</v>
      </c>
      <c r="Z149" s="176">
        <f t="shared" si="849"/>
        <v>90.662029690766587</v>
      </c>
      <c r="AA149" s="483">
        <f t="shared" si="849"/>
        <v>92.08095028596567</v>
      </c>
      <c r="AB149" s="482">
        <f t="shared" si="849"/>
        <v>90.535518493018969</v>
      </c>
      <c r="AC149" s="1368">
        <f t="shared" si="849"/>
        <v>95.052699088415423</v>
      </c>
      <c r="AD149" s="145">
        <f t="shared" si="849"/>
        <v>92.000347584289187</v>
      </c>
      <c r="AE149" s="1369">
        <f t="shared" si="849"/>
        <v>92.511340139124883</v>
      </c>
      <c r="AF149" s="168">
        <f t="shared" si="849"/>
        <v>90.749876152213602</v>
      </c>
      <c r="AG149" s="1368">
        <f t="shared" ref="AG149:AH149" si="850">SUM(AG147:AG148)</f>
        <v>95.052692253314333</v>
      </c>
      <c r="AH149" s="145">
        <f t="shared" si="850"/>
        <v>90.270086275741988</v>
      </c>
      <c r="AI149" s="1369">
        <f t="shared" ref="AI149:AN149" si="851">SUM(AI147:AI148)</f>
        <v>92.823739655107545</v>
      </c>
      <c r="AJ149" s="168">
        <f t="shared" si="851"/>
        <v>90.692443733024831</v>
      </c>
      <c r="AK149" s="1368">
        <f t="shared" si="851"/>
        <v>95.052692253314333</v>
      </c>
      <c r="AL149" s="145">
        <f t="shared" si="851"/>
        <v>91.999923369245295</v>
      </c>
      <c r="AM149" s="1371">
        <f t="shared" si="851"/>
        <v>95.052694556446099</v>
      </c>
      <c r="AN149" s="176">
        <f t="shared" si="851"/>
        <v>91.450919482289862</v>
      </c>
      <c r="AO149" s="1369">
        <f t="shared" ref="AO149:AT149" si="852">SUM(AO147:AO148)</f>
        <v>93.074959300790312</v>
      </c>
      <c r="AP149" s="168">
        <f t="shared" si="852"/>
        <v>90.841371699516941</v>
      </c>
      <c r="AQ149" s="1368">
        <f t="shared" si="852"/>
        <v>95.052692253314333</v>
      </c>
      <c r="AR149" s="145">
        <f t="shared" si="852"/>
        <v>91.99992336924528</v>
      </c>
      <c r="AS149" s="1369">
        <f t="shared" si="852"/>
        <v>93.275286263085917</v>
      </c>
      <c r="AT149" s="168">
        <f t="shared" si="852"/>
        <v>90.959841792592087</v>
      </c>
      <c r="AU149" s="1368">
        <f t="shared" ref="AU149:AX149" si="853">SUM(AU147:AU148)</f>
        <v>95.052692253314333</v>
      </c>
      <c r="AV149" s="145">
        <f t="shared" si="853"/>
        <v>89.850746268656707</v>
      </c>
      <c r="AW149" s="1369">
        <f t="shared" si="853"/>
        <v>93.42426882411516</v>
      </c>
      <c r="AX149" s="168">
        <f t="shared" si="853"/>
        <v>90.870029738899689</v>
      </c>
      <c r="AY149" s="1368">
        <f t="shared" ref="AY149:AZ149" si="854">SUM(AY147:AY148)</f>
        <v>95.052692253314333</v>
      </c>
      <c r="AZ149" s="145">
        <f t="shared" si="854"/>
        <v>88.356131710039108</v>
      </c>
      <c r="BA149" s="1371">
        <f t="shared" ref="BA149:BF149" si="855">SUM(BA147:BA148)</f>
        <v>95.052692253314333</v>
      </c>
      <c r="BB149" s="176">
        <f t="shared" si="855"/>
        <v>90.11517120193794</v>
      </c>
      <c r="BC149" s="483">
        <f t="shared" si="855"/>
        <v>95.052693417534769</v>
      </c>
      <c r="BD149" s="482">
        <f t="shared" si="855"/>
        <v>90.798145662127496</v>
      </c>
      <c r="BE149" s="1369">
        <f t="shared" si="855"/>
        <v>93.562554989446909</v>
      </c>
      <c r="BF149" s="168">
        <f t="shared" si="855"/>
        <v>90.665596281544822</v>
      </c>
      <c r="BG149" s="1219"/>
      <c r="BH149" s="1219"/>
      <c r="BI149" s="1219"/>
      <c r="BJ149" s="1546"/>
      <c r="BK149" s="1546"/>
      <c r="BL149" s="26"/>
      <c r="BM149" s="26"/>
      <c r="BN149" s="26"/>
    </row>
    <row r="150" spans="1:66" ht="14.45" x14ac:dyDescent="0.3">
      <c r="B150" s="1844" t="s">
        <v>198</v>
      </c>
      <c r="C150" s="1392" t="s">
        <v>49</v>
      </c>
      <c r="D150" s="106">
        <f t="shared" ref="D150:AX150" si="856">+((+D104+D105+D106)/D107)*100</f>
        <v>7.9190497140343252</v>
      </c>
      <c r="E150" s="1325">
        <f t="shared" si="856"/>
        <v>7.9190497140343252</v>
      </c>
      <c r="F150" s="132">
        <f t="shared" si="856"/>
        <v>10.533382687017804</v>
      </c>
      <c r="G150" s="1325">
        <f t="shared" ref="G150:H150" si="857">+((+G104+G105+G106)/G107)*100</f>
        <v>7.9190497140343128</v>
      </c>
      <c r="H150" s="132">
        <f t="shared" si="857"/>
        <v>8.7742059571789532</v>
      </c>
      <c r="I150" s="105">
        <f t="shared" si="856"/>
        <v>7.9190497140343163</v>
      </c>
      <c r="J150" s="105">
        <f t="shared" si="856"/>
        <v>9.637510362507447</v>
      </c>
      <c r="K150" s="1325">
        <f t="shared" si="856"/>
        <v>7.9190497140343226</v>
      </c>
      <c r="L150" s="132">
        <f t="shared" si="856"/>
        <v>9.5000000000000018</v>
      </c>
      <c r="M150" s="1587">
        <f t="shared" si="856"/>
        <v>7.919049714034319</v>
      </c>
      <c r="N150" s="113">
        <f t="shared" si="856"/>
        <v>9.5925982334145026</v>
      </c>
      <c r="O150" s="1325">
        <f t="shared" ref="O150:P150" si="858">+((+O104+O105+O106)/O107)*100</f>
        <v>7.9190497140343137</v>
      </c>
      <c r="P150" s="132">
        <f t="shared" si="858"/>
        <v>8.0000003200000123</v>
      </c>
      <c r="Q150" s="105">
        <f t="shared" si="856"/>
        <v>7.9190497140343181</v>
      </c>
      <c r="R150" s="105">
        <f t="shared" si="856"/>
        <v>9.1927592951015775</v>
      </c>
      <c r="S150" s="1325">
        <f t="shared" si="856"/>
        <v>7.9190497140343137</v>
      </c>
      <c r="T150" s="132">
        <f t="shared" si="856"/>
        <v>10</v>
      </c>
      <c r="U150" s="105">
        <f t="shared" si="856"/>
        <v>7.9190497140343163</v>
      </c>
      <c r="V150" s="105">
        <f t="shared" si="856"/>
        <v>9.3582381348796773</v>
      </c>
      <c r="W150" s="1325">
        <f t="shared" ref="W150:X150" si="859">+((+W104+W105+W106)/W107)*100</f>
        <v>7.9190497140343137</v>
      </c>
      <c r="X150" s="132">
        <f t="shared" si="859"/>
        <v>10.000037000136899</v>
      </c>
      <c r="Y150" s="113">
        <f t="shared" si="856"/>
        <v>7.9190497140343155</v>
      </c>
      <c r="Z150" s="113">
        <f t="shared" si="856"/>
        <v>9.3379703092334001</v>
      </c>
      <c r="AA150" s="471">
        <f t="shared" si="856"/>
        <v>7.9190497140343163</v>
      </c>
      <c r="AB150" s="471">
        <f t="shared" si="856"/>
        <v>9.4644815069810324</v>
      </c>
      <c r="AC150" s="1325">
        <f t="shared" si="856"/>
        <v>4.9473009115845796</v>
      </c>
      <c r="AD150" s="132">
        <f t="shared" si="856"/>
        <v>7.99965241571081</v>
      </c>
      <c r="AE150" s="105">
        <f t="shared" si="856"/>
        <v>7.4886598608751092</v>
      </c>
      <c r="AF150" s="105">
        <f t="shared" si="856"/>
        <v>9.2501238477863854</v>
      </c>
      <c r="AG150" s="1325">
        <f t="shared" si="856"/>
        <v>4.9473077466856692</v>
      </c>
      <c r="AH150" s="132">
        <f t="shared" si="856"/>
        <v>9.7299137242580152</v>
      </c>
      <c r="AI150" s="105">
        <f t="shared" si="856"/>
        <v>7.1762603448924507</v>
      </c>
      <c r="AJ150" s="105">
        <f t="shared" si="856"/>
        <v>9.3075562669751761</v>
      </c>
      <c r="AK150" s="1325">
        <f t="shared" si="856"/>
        <v>4.947307746685663</v>
      </c>
      <c r="AL150" s="132">
        <f t="shared" si="856"/>
        <v>8.0000766307547089</v>
      </c>
      <c r="AM150" s="113">
        <f t="shared" si="856"/>
        <v>4.9473054435538861</v>
      </c>
      <c r="AN150" s="113">
        <f t="shared" si="856"/>
        <v>8.5490805177101201</v>
      </c>
      <c r="AO150" s="105">
        <f t="shared" si="856"/>
        <v>6.9250406992096751</v>
      </c>
      <c r="AP150" s="105">
        <f t="shared" si="856"/>
        <v>9.1586283004830538</v>
      </c>
      <c r="AQ150" s="1325">
        <f t="shared" si="856"/>
        <v>4.947307746685663</v>
      </c>
      <c r="AR150" s="132">
        <f t="shared" si="856"/>
        <v>8.0000766307547071</v>
      </c>
      <c r="AS150" s="105">
        <f t="shared" si="856"/>
        <v>6.7247137369140866</v>
      </c>
      <c r="AT150" s="105">
        <f t="shared" si="856"/>
        <v>9.0401582074079183</v>
      </c>
      <c r="AU150" s="1325">
        <f t="shared" si="856"/>
        <v>4.9473077466856665</v>
      </c>
      <c r="AV150" s="132">
        <f t="shared" si="856"/>
        <v>10.149253731343283</v>
      </c>
      <c r="AW150" s="105">
        <f t="shared" si="856"/>
        <v>6.5757311758848376</v>
      </c>
      <c r="AX150" s="105">
        <f t="shared" si="856"/>
        <v>9.1299702611003113</v>
      </c>
      <c r="AY150" s="1325">
        <f t="shared" ref="AY150:AZ150" si="860">+((+AY104+AY105+AY106)/AY107)*100</f>
        <v>4.947307746685663</v>
      </c>
      <c r="AZ150" s="132">
        <f t="shared" si="860"/>
        <v>11.643868289960885</v>
      </c>
      <c r="BA150" s="113">
        <f t="shared" ref="BA150:BF150" si="861">+((+BA104+BA105+BA106)/BA107)*100</f>
        <v>4.947307746685663</v>
      </c>
      <c r="BB150" s="113">
        <f t="shared" si="861"/>
        <v>9.8848287980620526</v>
      </c>
      <c r="BC150" s="471">
        <f t="shared" si="861"/>
        <v>4.9473065824652185</v>
      </c>
      <c r="BD150" s="471">
        <f t="shared" si="861"/>
        <v>9.2018543378724971</v>
      </c>
      <c r="BE150" s="105">
        <f t="shared" si="861"/>
        <v>6.4374450105530761</v>
      </c>
      <c r="BF150" s="105">
        <f t="shared" si="861"/>
        <v>9.3344037184551798</v>
      </c>
      <c r="BG150" s="1219"/>
      <c r="BH150" s="1219"/>
      <c r="BI150" s="1219"/>
      <c r="BJ150" s="1546"/>
      <c r="BK150" s="1546"/>
      <c r="BL150" s="26"/>
      <c r="BM150" s="26"/>
      <c r="BN150" s="26"/>
    </row>
    <row r="151" spans="1:66" ht="18" x14ac:dyDescent="0.3">
      <c r="B151" s="1896" t="s">
        <v>193</v>
      </c>
      <c r="C151" s="1397"/>
      <c r="D151" s="1372"/>
      <c r="E151" s="1373"/>
      <c r="F151" s="1374"/>
      <c r="G151" s="1373"/>
      <c r="H151" s="1374"/>
      <c r="I151" s="1375"/>
      <c r="J151" s="1372"/>
      <c r="K151" s="1373"/>
      <c r="L151" s="1374"/>
      <c r="M151" s="1373"/>
      <c r="N151" s="1374"/>
      <c r="O151" s="1373"/>
      <c r="P151" s="1374"/>
      <c r="Q151" s="1375"/>
      <c r="R151" s="1372"/>
      <c r="S151" s="1373"/>
      <c r="T151" s="1374"/>
      <c r="U151" s="1375"/>
      <c r="V151" s="1372"/>
      <c r="W151" s="1373"/>
      <c r="X151" s="1374"/>
      <c r="Y151" s="1372"/>
      <c r="Z151" s="1372"/>
      <c r="AA151" s="2385"/>
      <c r="AB151" s="1374"/>
      <c r="AC151" s="1373"/>
      <c r="AD151" s="1374"/>
      <c r="AE151" s="1375"/>
      <c r="AF151" s="1374"/>
      <c r="AG151" s="1373"/>
      <c r="AH151" s="1374"/>
      <c r="AI151" s="1375"/>
      <c r="AJ151" s="1374"/>
      <c r="AK151" s="1373"/>
      <c r="AL151" s="1374"/>
      <c r="AM151" s="1372"/>
      <c r="AN151" s="1372"/>
      <c r="AO151" s="1375"/>
      <c r="AP151" s="1374"/>
      <c r="AQ151" s="1373"/>
      <c r="AR151" s="1374"/>
      <c r="AS151" s="1375"/>
      <c r="AT151" s="1374"/>
      <c r="AU151" s="1373"/>
      <c r="AV151" s="1374"/>
      <c r="AW151" s="1375"/>
      <c r="AX151" s="1374"/>
      <c r="AY151" s="1373"/>
      <c r="AZ151" s="1374"/>
      <c r="BA151" s="1372"/>
      <c r="BB151" s="1372"/>
      <c r="BC151" s="2385"/>
      <c r="BD151" s="1374"/>
      <c r="BE151" s="1375"/>
      <c r="BF151" s="1374"/>
      <c r="BG151" s="1219"/>
      <c r="BH151" s="1219"/>
      <c r="BI151" s="1219"/>
      <c r="BJ151" s="1546"/>
      <c r="BK151" s="1546"/>
      <c r="BL151" s="26"/>
      <c r="BM151" s="26"/>
      <c r="BN151" s="26"/>
    </row>
    <row r="152" spans="1:66" ht="14.45" x14ac:dyDescent="0.3">
      <c r="B152" s="1844" t="s">
        <v>199</v>
      </c>
      <c r="C152" s="1392" t="s">
        <v>49</v>
      </c>
      <c r="D152" s="106">
        <v>9.6999999999999993</v>
      </c>
      <c r="E152" s="769">
        <f>+$D$152</f>
        <v>9.6999999999999993</v>
      </c>
      <c r="F152" s="134">
        <v>8.27</v>
      </c>
      <c r="G152" s="769">
        <f>+$D$152</f>
        <v>9.6999999999999993</v>
      </c>
      <c r="H152" s="134">
        <v>8.5</v>
      </c>
      <c r="I152" s="53">
        <f>+$D$152</f>
        <v>9.6999999999999993</v>
      </c>
      <c r="J152" s="107">
        <f>+((F152*F$107)+(H$107*H152))/J$107</f>
        <v>8.3871290133290124</v>
      </c>
      <c r="K152" s="769">
        <f>+$D$152</f>
        <v>9.6999999999999993</v>
      </c>
      <c r="L152" s="134">
        <v>9.1999999999999993</v>
      </c>
      <c r="M152" s="77">
        <f>+$D$152</f>
        <v>9.6999999999999993</v>
      </c>
      <c r="N152" s="114">
        <f>+((F152*F$107)+(H152*H$107)+(L152*L$107))/N$107</f>
        <v>8.652620035413257</v>
      </c>
      <c r="O152" s="769">
        <f>+$D$152</f>
        <v>9.6999999999999993</v>
      </c>
      <c r="P152" s="134">
        <v>9.6999999999999993</v>
      </c>
      <c r="Q152" s="53">
        <f>+$D$152</f>
        <v>9.6999999999999993</v>
      </c>
      <c r="R152" s="107">
        <f>+((N152*N$107)+(P152*P$107))/R$107</f>
        <v>8.915576108332333</v>
      </c>
      <c r="S152" s="769">
        <f>+$D$152</f>
        <v>9.6999999999999993</v>
      </c>
      <c r="T152" s="134">
        <v>9.8000000000000007</v>
      </c>
      <c r="U152" s="53">
        <f>+$D$152</f>
        <v>9.6999999999999993</v>
      </c>
      <c r="V152" s="107">
        <f>+((R152*R$107)+(T152*T$107))/V$107</f>
        <v>9.0968769750714742</v>
      </c>
      <c r="W152" s="769">
        <f>+$D$152</f>
        <v>9.6999999999999993</v>
      </c>
      <c r="X152" s="134">
        <v>9.6</v>
      </c>
      <c r="Y152" s="77">
        <f>+$D$152</f>
        <v>9.6999999999999993</v>
      </c>
      <c r="Z152" s="114">
        <f>+((P152*P$107)+(T152*T$107)+(X$107*X152))/Z$107</f>
        <v>9.7010968106379689</v>
      </c>
      <c r="AA152" s="667">
        <f>+$D$152</f>
        <v>9.6999999999999993</v>
      </c>
      <c r="AB152" s="474">
        <f>+((N152*N$107)+(Z$107*Z152))/AB$107</f>
        <v>9.1801639511692237</v>
      </c>
      <c r="AC152" s="769">
        <f>+$D$152</f>
        <v>9.6999999999999993</v>
      </c>
      <c r="AD152" s="134">
        <v>10.210000000000001</v>
      </c>
      <c r="AE152" s="53">
        <f>+$D$152</f>
        <v>9.6999999999999993</v>
      </c>
      <c r="AF152" s="107">
        <f>+((AB152*AB$107)+(AD152*AD$107))/AF$107</f>
        <v>9.3308663410229098</v>
      </c>
      <c r="AG152" s="769">
        <f>+$D$152</f>
        <v>9.6999999999999993</v>
      </c>
      <c r="AH152" s="134">
        <v>10.01</v>
      </c>
      <c r="AI152" s="53">
        <f>+$D$152</f>
        <v>9.6999999999999993</v>
      </c>
      <c r="AJ152" s="107">
        <f>+((AF152*AF$107)+(AH152*AH$107))/AJ$107</f>
        <v>9.4121608636885945</v>
      </c>
      <c r="AK152" s="769">
        <f>+$D$152</f>
        <v>9.6999999999999993</v>
      </c>
      <c r="AL152" s="134">
        <v>9.17</v>
      </c>
      <c r="AM152" s="77">
        <f>+$D$152</f>
        <v>9.6999999999999993</v>
      </c>
      <c r="AN152" s="114">
        <f>+((AD152*AD$107)+(AH152*AH$107)+(AL$107*AL152))/AN$107</f>
        <v>9.7919622707380025</v>
      </c>
      <c r="AO152" s="53">
        <f>+$D$152</f>
        <v>9.6999999999999993</v>
      </c>
      <c r="AP152" s="107">
        <f>+((AL152*AL$107)+(AJ152*AJ$107))/AP$107</f>
        <v>9.3845776233886742</v>
      </c>
      <c r="AQ152" s="769">
        <f>+$D$152</f>
        <v>9.6999999999999993</v>
      </c>
      <c r="AR152" s="134">
        <v>8.64</v>
      </c>
      <c r="AS152" s="53">
        <f>+$D$152</f>
        <v>9.6999999999999993</v>
      </c>
      <c r="AT152" s="107">
        <f>+((AP152*AP$107)+(AR152*AR$107))/AT$107</f>
        <v>9.3084393011633022</v>
      </c>
      <c r="AU152" s="769">
        <f>+$D$152</f>
        <v>9.6999999999999993</v>
      </c>
      <c r="AV152" s="134">
        <v>8.32</v>
      </c>
      <c r="AW152" s="53">
        <f>+$D$152</f>
        <v>9.6999999999999993</v>
      </c>
      <c r="AX152" s="107">
        <f>+((AT152*AT$107)+(AV152*AV$107))/AX$107</f>
        <v>9.228397716221405</v>
      </c>
      <c r="AY152" s="769">
        <f>+$D$152</f>
        <v>9.6999999999999993</v>
      </c>
      <c r="AZ152" s="134">
        <v>8.08</v>
      </c>
      <c r="BA152" s="77">
        <f>+$D$152</f>
        <v>9.6999999999999993</v>
      </c>
      <c r="BB152" s="114">
        <f>+((AR152*AR$107)+(AV152*AV$107)+(AZ$107*AZ152))/BB$107</f>
        <v>8.3535050824454267</v>
      </c>
      <c r="BC152" s="667">
        <f>+$D$152</f>
        <v>9.6999999999999993</v>
      </c>
      <c r="BD152" s="474">
        <f>+((AN152*AN$107)+(BB$107*BB152))/BD$107</f>
        <v>9.0889950966426092</v>
      </c>
      <c r="BE152" s="53">
        <f>+$D$152</f>
        <v>9.6999999999999993</v>
      </c>
      <c r="BF152" s="107">
        <f>+((AX152*AX$107)+(AZ152*AZ$107))/BF$107</f>
        <v>9.1350085202992499</v>
      </c>
      <c r="BG152" s="1219"/>
      <c r="BH152" s="1219"/>
      <c r="BI152" s="1219"/>
      <c r="BJ152" s="1546"/>
      <c r="BK152" s="1546"/>
      <c r="BL152" s="26"/>
      <c r="BM152" s="26"/>
      <c r="BN152" s="26"/>
    </row>
    <row r="153" spans="1:66" ht="14.45" x14ac:dyDescent="0.3">
      <c r="A153" s="148"/>
      <c r="B153" s="1844" t="s">
        <v>200</v>
      </c>
      <c r="C153" s="1392" t="s">
        <v>49</v>
      </c>
      <c r="D153" s="106" t="s">
        <v>2201</v>
      </c>
      <c r="E153" s="769" t="str">
        <f>+$D$153</f>
        <v>10.5-10.7</v>
      </c>
      <c r="F153" s="134">
        <v>10.63</v>
      </c>
      <c r="G153" s="769" t="str">
        <f>+$D$153</f>
        <v>10.5-10.7</v>
      </c>
      <c r="H153" s="134">
        <v>10.39</v>
      </c>
      <c r="I153" s="53" t="str">
        <f>+$D$153</f>
        <v>10.5-10.7</v>
      </c>
      <c r="J153" s="107">
        <f>+((F153*F$107)+(H$107*H153))/J$107</f>
        <v>10.507778420874075</v>
      </c>
      <c r="K153" s="769" t="str">
        <f>+$D$153</f>
        <v>10.5-10.7</v>
      </c>
      <c r="L153" s="134">
        <v>10.7</v>
      </c>
      <c r="M153" s="77" t="str">
        <f>+$D$153</f>
        <v>10.5-10.7</v>
      </c>
      <c r="N153" s="114">
        <f>+((F153*F$107)+(H153*H$107)+(L153*L$107))/N$107</f>
        <v>10.57055972854233</v>
      </c>
      <c r="O153" s="769" t="str">
        <f>+$D$153</f>
        <v>10.5-10.7</v>
      </c>
      <c r="P153" s="134">
        <v>10.5</v>
      </c>
      <c r="Q153" s="53" t="str">
        <f>+$D$153</f>
        <v>10.5-10.7</v>
      </c>
      <c r="R153" s="107">
        <f>+((N153*N$107)+(P153*P$107))/R$107</f>
        <v>10.552844945224846</v>
      </c>
      <c r="S153" s="769" t="str">
        <f>+$D$153</f>
        <v>10.5-10.7</v>
      </c>
      <c r="T153" s="134">
        <v>10.4</v>
      </c>
      <c r="U153" s="53" t="str">
        <f>+$D$153</f>
        <v>10.5-10.7</v>
      </c>
      <c r="V153" s="107">
        <f>+((R153*R$107)+(T153*T$107))/V$107</f>
        <v>10.521512773732162</v>
      </c>
      <c r="W153" s="769" t="str">
        <f>+$D$153</f>
        <v>10.5-10.7</v>
      </c>
      <c r="X153" s="134">
        <v>10.5</v>
      </c>
      <c r="Y153" s="77" t="str">
        <f>+$D$153</f>
        <v>10.5-10.7</v>
      </c>
      <c r="Z153" s="114">
        <f>+((P153*P$107)+(T153*T$107)+(X$107*X153))/Z$107</f>
        <v>10.466002643929519</v>
      </c>
      <c r="AA153" s="667" t="str">
        <f>+$D$153</f>
        <v>10.5-10.7</v>
      </c>
      <c r="AB153" s="474">
        <f>+((N153*N$107)+(Z$107*Z153))/AB$107</f>
        <v>10.517951549572558</v>
      </c>
      <c r="AC153" s="769" t="str">
        <f>+$D$153</f>
        <v>10.5-10.7</v>
      </c>
      <c r="AD153" s="134">
        <v>10.39</v>
      </c>
      <c r="AE153" s="53" t="str">
        <f>+$D$153</f>
        <v>10.5-10.7</v>
      </c>
      <c r="AF153" s="107">
        <f>+((AB153*AB$107)+(AD153*AD$107))/AF$107</f>
        <v>10.499227594115803</v>
      </c>
      <c r="AG153" s="769" t="str">
        <f>+$D$153</f>
        <v>10.5-10.7</v>
      </c>
      <c r="AH153" s="134">
        <v>10.68</v>
      </c>
      <c r="AI153" s="53" t="str">
        <f>+$D$153</f>
        <v>10.5-10.7</v>
      </c>
      <c r="AJ153" s="107">
        <f>+((AF153*AF$107)+(AH153*AH$107))/AJ$107</f>
        <v>10.520866643002908</v>
      </c>
      <c r="AK153" s="769" t="str">
        <f>+$D$153</f>
        <v>10.5-10.7</v>
      </c>
      <c r="AL153" s="134">
        <v>10.5</v>
      </c>
      <c r="AM153" s="77" t="str">
        <f>+$D$153</f>
        <v>10.5-10.7</v>
      </c>
      <c r="AN153" s="114">
        <f>+((AD153*AD$107)+(AH153*AH$107)+(AL$107*AL153))/AN$107</f>
        <v>10.519562609877434</v>
      </c>
      <c r="AO153" s="53" t="str">
        <f>+$D$153</f>
        <v>10.5-10.7</v>
      </c>
      <c r="AP153" s="107">
        <f>+((AL153*AL$107)+(AJ153*AJ$107))/AP$107</f>
        <v>10.518489836034865</v>
      </c>
      <c r="AQ153" s="769" t="str">
        <f>+$D$153</f>
        <v>10.5-10.7</v>
      </c>
      <c r="AR153" s="134">
        <v>10.59</v>
      </c>
      <c r="AS153" s="53" t="str">
        <f>+$D$153</f>
        <v>10.5-10.7</v>
      </c>
      <c r="AT153" s="107">
        <f>+((AP153*AP$107)+(AR153*AR$107))/AT$107</f>
        <v>10.525802255499723</v>
      </c>
      <c r="AU153" s="769" t="str">
        <f>+$D$153</f>
        <v>10.5-10.7</v>
      </c>
      <c r="AV153" s="134">
        <v>10.74</v>
      </c>
      <c r="AW153" s="53" t="str">
        <f>+$D$153</f>
        <v>10.5-10.7</v>
      </c>
      <c r="AX153" s="107">
        <f>+((AT153*AT$107)+(AV153*AV$107))/AX$107</f>
        <v>10.543147505674018</v>
      </c>
      <c r="AY153" s="769" t="str">
        <f>+$D$153</f>
        <v>10.5-10.7</v>
      </c>
      <c r="AZ153" s="134">
        <v>10.9</v>
      </c>
      <c r="BA153" s="77" t="str">
        <f>+$D$153</f>
        <v>10.5-10.7</v>
      </c>
      <c r="BB153" s="114">
        <f>+((AR153*AR$107)+(AV153*AV$107)+(AZ$107*AZ153))/BB$107</f>
        <v>10.740253149160624</v>
      </c>
      <c r="BC153" s="667" t="str">
        <f>+$D$153</f>
        <v>10.5-10.7</v>
      </c>
      <c r="BD153" s="474">
        <f>+((AN153*AN$107)+(BB$107*BB153))/BD$107</f>
        <v>10.627413024899962</v>
      </c>
      <c r="BE153" s="53" t="str">
        <f>+$D$153</f>
        <v>10.5-10.7</v>
      </c>
      <c r="BF153" s="107">
        <f>+((AX153*AX$107)+(AZ153*AZ$107))/BF$107</f>
        <v>10.572167214645203</v>
      </c>
      <c r="BG153" s="1219"/>
      <c r="BH153" s="1219"/>
      <c r="BI153" s="1219"/>
      <c r="BJ153" s="1546"/>
      <c r="BK153" s="1546"/>
      <c r="BL153" s="26"/>
      <c r="BM153" s="26"/>
      <c r="BN153" s="26"/>
    </row>
    <row r="154" spans="1:66" ht="14.45" x14ac:dyDescent="0.3">
      <c r="B154" s="1844" t="s">
        <v>201</v>
      </c>
      <c r="C154" s="1392" t="s">
        <v>49</v>
      </c>
      <c r="D154" s="106" t="s">
        <v>1741</v>
      </c>
      <c r="E154" s="769" t="str">
        <f>+$D$154</f>
        <v>25.0-25.2</v>
      </c>
      <c r="F154" s="134">
        <v>24.73</v>
      </c>
      <c r="G154" s="769" t="str">
        <f>+$D$154</f>
        <v>25.0-25.2</v>
      </c>
      <c r="H154" s="134">
        <v>25.06</v>
      </c>
      <c r="I154" s="53" t="str">
        <f>+$D$154</f>
        <v>25.0-25.2</v>
      </c>
      <c r="J154" s="107">
        <f>+((F154*F$107)+(H$107*H154))/J$107</f>
        <v>24.898054671298144</v>
      </c>
      <c r="K154" s="769" t="str">
        <f>+$D$154</f>
        <v>25.0-25.2</v>
      </c>
      <c r="L154" s="134">
        <v>24.6</v>
      </c>
      <c r="M154" s="77" t="str">
        <f>+$D$154</f>
        <v>25.0-25.2</v>
      </c>
      <c r="N154" s="114">
        <f>+((F154*F$107)+(H154*H$107)+(L154*L$107))/N$107</f>
        <v>24.800707317760533</v>
      </c>
      <c r="O154" s="769" t="str">
        <f>+$D$154</f>
        <v>25.0-25.2</v>
      </c>
      <c r="P154" s="134">
        <v>25.3</v>
      </c>
      <c r="Q154" s="53" t="str">
        <f>+$D$154</f>
        <v>25.0-25.2</v>
      </c>
      <c r="R154" s="107">
        <f>+((N154*N$107)+(P154*P$107))/R$107</f>
        <v>24.926060148059062</v>
      </c>
      <c r="S154" s="769" t="str">
        <f>+$D$154</f>
        <v>25.0-25.2</v>
      </c>
      <c r="T154" s="134">
        <v>25.4</v>
      </c>
      <c r="U154" s="53" t="str">
        <f>+$D$154</f>
        <v>25.0-25.2</v>
      </c>
      <c r="V154" s="107">
        <f>+((R154*R$107)+(T154*T$107))/V$107</f>
        <v>25.023214585822036</v>
      </c>
      <c r="W154" s="769" t="str">
        <f>+$D$154</f>
        <v>25.0-25.2</v>
      </c>
      <c r="X154" s="134">
        <v>25.4</v>
      </c>
      <c r="Y154" s="77" t="str">
        <f>+$D$154</f>
        <v>25.0-25.2</v>
      </c>
      <c r="Z154" s="114">
        <f>+((P154*P$107)+(T154*T$107)+(X$107*X154))/Z$107</f>
        <v>25.366897901502988</v>
      </c>
      <c r="AA154" s="667" t="str">
        <f>+$D$154</f>
        <v>25.0-25.2</v>
      </c>
      <c r="AB154" s="474">
        <f>+((N154*N$107)+(Z$107*Z154))/AB$107</f>
        <v>25.085587636208821</v>
      </c>
      <c r="AC154" s="769" t="str">
        <f>+$D$154</f>
        <v>25.0-25.2</v>
      </c>
      <c r="AD154" s="134">
        <v>25.02</v>
      </c>
      <c r="AE154" s="53" t="str">
        <f>+$D$154</f>
        <v>25.0-25.2</v>
      </c>
      <c r="AF154" s="107">
        <f>+((AB154*AB$107)+(AD154*AD$107))/AF$107</f>
        <v>25.075989784654933</v>
      </c>
      <c r="AG154" s="769" t="str">
        <f>+$D$154</f>
        <v>25.0-25.2</v>
      </c>
      <c r="AH154" s="134">
        <v>24.97</v>
      </c>
      <c r="AI154" s="53" t="str">
        <f>+$D$154</f>
        <v>25.0-25.2</v>
      </c>
      <c r="AJ154" s="107">
        <f>+((AF154*AF$107)+(AH154*AH$107))/AJ$107</f>
        <v>25.063302460389579</v>
      </c>
      <c r="AK154" s="769" t="str">
        <f>+$D$154</f>
        <v>25.0-25.2</v>
      </c>
      <c r="AL154" s="134">
        <v>25</v>
      </c>
      <c r="AM154" s="77" t="str">
        <f>+$D$154</f>
        <v>25.0-25.2</v>
      </c>
      <c r="AN154" s="114">
        <f>+((AD154*AD$107)+(AH154*AH$107)+(AL$107*AL154))/AN$107</f>
        <v>24.997308953530414</v>
      </c>
      <c r="AO154" s="53" t="str">
        <f>+$D$154</f>
        <v>25.0-25.2</v>
      </c>
      <c r="AP154" s="107">
        <f>+((AL154*AL$107)+(AJ154*AJ$107))/AP$107</f>
        <v>25.056092017917965</v>
      </c>
      <c r="AQ154" s="769" t="str">
        <f>+$D$154</f>
        <v>25.0-25.2</v>
      </c>
      <c r="AR154" s="134">
        <v>25.22</v>
      </c>
      <c r="AS154" s="53" t="str">
        <f>+$D$154</f>
        <v>25.0-25.2</v>
      </c>
      <c r="AT154" s="107">
        <f>+((AP154*AP$107)+(AR154*AR$107))/AT$107</f>
        <v>25.072852767050172</v>
      </c>
      <c r="AU154" s="769" t="str">
        <f>+$D$154</f>
        <v>25.0-25.2</v>
      </c>
      <c r="AV154" s="134">
        <v>24.75</v>
      </c>
      <c r="AW154" s="53" t="str">
        <f>+$D$154</f>
        <v>25.0-25.2</v>
      </c>
      <c r="AX154" s="107">
        <f>+((AT154*AT$107)+(AV154*AV$107))/AX$107</f>
        <v>25.046708878247735</v>
      </c>
      <c r="AY154" s="769" t="str">
        <f>+$D$154</f>
        <v>25.0-25.2</v>
      </c>
      <c r="AZ154" s="134">
        <v>24.91</v>
      </c>
      <c r="BA154" s="77" t="str">
        <f>+$D$154</f>
        <v>25.0-25.2</v>
      </c>
      <c r="BB154" s="114">
        <f>+((AR154*AR$107)+(AV154*AV$107)+(AZ$107*AZ154))/BB$107</f>
        <v>24.971396094797935</v>
      </c>
      <c r="BC154" s="667" t="str">
        <f>+$D$154</f>
        <v>25.0-25.2</v>
      </c>
      <c r="BD154" s="474">
        <f>+((AN154*AN$107)+(BB$107*BB154))/BD$107</f>
        <v>24.984645462934964</v>
      </c>
      <c r="BE154" s="53" t="str">
        <f>+$D$154</f>
        <v>25.0-25.2</v>
      </c>
      <c r="BF154" s="107">
        <f>+((AX154*AX$107)+(AZ154*AZ$107))/BF$107</f>
        <v>25.035591534461137</v>
      </c>
      <c r="BG154" s="1219"/>
      <c r="BH154" s="1219"/>
      <c r="BI154" s="1219"/>
      <c r="BJ154" s="1546"/>
      <c r="BK154" s="1546"/>
      <c r="BL154" s="26"/>
      <c r="BM154" s="26"/>
      <c r="BN154" s="26"/>
    </row>
    <row r="155" spans="1:66" ht="18" x14ac:dyDescent="0.3">
      <c r="B155" s="1895" t="s">
        <v>197</v>
      </c>
      <c r="C155" s="1397"/>
      <c r="D155" s="1372"/>
      <c r="E155" s="1373"/>
      <c r="F155" s="1374"/>
      <c r="G155" s="1373"/>
      <c r="H155" s="1374"/>
      <c r="I155" s="1376"/>
      <c r="J155" s="1372"/>
      <c r="K155" s="1373"/>
      <c r="L155" s="1374"/>
      <c r="M155" s="1373"/>
      <c r="N155" s="1374"/>
      <c r="O155" s="1373"/>
      <c r="P155" s="1374"/>
      <c r="Q155" s="1376"/>
      <c r="R155" s="1372"/>
      <c r="S155" s="1373"/>
      <c r="T155" s="1374"/>
      <c r="U155" s="1376"/>
      <c r="V155" s="1372"/>
      <c r="W155" s="1373"/>
      <c r="X155" s="1374"/>
      <c r="Y155" s="1372"/>
      <c r="Z155" s="1372"/>
      <c r="AA155" s="2386"/>
      <c r="AB155" s="1374"/>
      <c r="AC155" s="1373"/>
      <c r="AD155" s="1374"/>
      <c r="AE155" s="1376"/>
      <c r="AF155" s="1374"/>
      <c r="AG155" s="1373"/>
      <c r="AH155" s="1374"/>
      <c r="AI155" s="1376"/>
      <c r="AJ155" s="1374"/>
      <c r="AK155" s="1373"/>
      <c r="AL155" s="1374"/>
      <c r="AM155" s="1372"/>
      <c r="AN155" s="1372"/>
      <c r="AO155" s="1376"/>
      <c r="AP155" s="1374"/>
      <c r="AQ155" s="1373"/>
      <c r="AR155" s="1374"/>
      <c r="AS155" s="1376"/>
      <c r="AT155" s="1374"/>
      <c r="AU155" s="1373"/>
      <c r="AV155" s="1374"/>
      <c r="AW155" s="1376"/>
      <c r="AX155" s="1374"/>
      <c r="AY155" s="1373"/>
      <c r="AZ155" s="1374"/>
      <c r="BA155" s="1372"/>
      <c r="BB155" s="1372"/>
      <c r="BC155" s="2386"/>
      <c r="BD155" s="1374"/>
      <c r="BE155" s="1376"/>
      <c r="BF155" s="1374"/>
      <c r="BG155" s="1219"/>
      <c r="BH155" s="1219"/>
      <c r="BI155" s="1219"/>
      <c r="BJ155" s="1546"/>
      <c r="BK155" s="1546"/>
      <c r="BL155" s="26"/>
      <c r="BM155" s="26"/>
      <c r="BN155" s="26"/>
    </row>
    <row r="156" spans="1:66" ht="14.45" x14ac:dyDescent="0.3">
      <c r="B156" s="1844" t="s">
        <v>202</v>
      </c>
      <c r="C156" s="1392" t="s">
        <v>49</v>
      </c>
      <c r="D156" s="396" t="s">
        <v>2202</v>
      </c>
      <c r="E156" s="774" t="str">
        <f>+$D$156</f>
        <v>&lt;=3.6</v>
      </c>
      <c r="F156" s="134">
        <v>3.12</v>
      </c>
      <c r="G156" s="774" t="str">
        <f>+$D$156</f>
        <v>&lt;=3.6</v>
      </c>
      <c r="H156" s="134">
        <v>3.64</v>
      </c>
      <c r="I156" s="53" t="str">
        <f>+$D$156</f>
        <v>&lt;=3.6</v>
      </c>
      <c r="J156" s="107">
        <f t="shared" ref="J156:J161" si="862">+((F156*F$21)+(H$21*H156))/J$21</f>
        <v>3.3848131942107034</v>
      </c>
      <c r="K156" s="774" t="str">
        <f>+$D$156</f>
        <v>&lt;=3.6</v>
      </c>
      <c r="L156" s="134">
        <v>3.2</v>
      </c>
      <c r="M156" s="77" t="str">
        <f>+$D$156</f>
        <v>&lt;=3.6</v>
      </c>
      <c r="N156" s="114">
        <f t="shared" ref="N156:N161" si="863">+((F156*F$21)+(H156*H$21)+(L$21*L156))/N$21</f>
        <v>3.3244514959202176</v>
      </c>
      <c r="O156" s="774" t="str">
        <f>+$D$156</f>
        <v>&lt;=3.6</v>
      </c>
      <c r="P156" s="134">
        <v>3</v>
      </c>
      <c r="Q156" s="53" t="str">
        <f>+$D$156</f>
        <v>&lt;=3.6</v>
      </c>
      <c r="R156" s="107">
        <f t="shared" ref="R156:R161" si="864">+((N156*N$21)+(P$21*P156))/R$21</f>
        <v>3.2429943982345946</v>
      </c>
      <c r="S156" s="774" t="str">
        <f>+$D$156</f>
        <v>&lt;=3.6</v>
      </c>
      <c r="T156" s="134">
        <v>3</v>
      </c>
      <c r="U156" s="53" t="str">
        <f>+$D$156</f>
        <v>&lt;=3.6</v>
      </c>
      <c r="V156" s="107">
        <f t="shared" ref="V156:V161" si="865">+((R156*R$21)+(T$21*T156))/V$21</f>
        <v>3.1931821862348171</v>
      </c>
      <c r="W156" s="774" t="str">
        <f>+$D$156</f>
        <v>&lt;=3.6</v>
      </c>
      <c r="X156" s="134">
        <v>3.7</v>
      </c>
      <c r="Y156" s="77" t="str">
        <f>+$D$156</f>
        <v>&lt;=3.6</v>
      </c>
      <c r="Z156" s="114">
        <f t="shared" ref="Z156:Z161" si="866">+((P156*P$21)+(T156*T$21)+(X$21*X156))/Z$21</f>
        <v>3.2303043867502237</v>
      </c>
      <c r="AA156" s="667" t="str">
        <f>+$D$156</f>
        <v>&lt;=3.6</v>
      </c>
      <c r="AB156" s="474">
        <f t="shared" ref="AB156:AB161" si="867">+((N156*N$21)+(Z$21*Z156))/AB$21</f>
        <v>3.2770810810810809</v>
      </c>
      <c r="AC156" s="774" t="str">
        <f>+$D$156</f>
        <v>&lt;=3.6</v>
      </c>
      <c r="AD156" s="134">
        <v>5.38</v>
      </c>
      <c r="AE156" s="53" t="str">
        <f>+$D$156</f>
        <v>&lt;=3.6</v>
      </c>
      <c r="AF156" s="107">
        <f t="shared" ref="AF156:AF161" si="868">+((AB156*AB$21)+(AD$21*AD156))/AF$21</f>
        <v>3.5861312884620142</v>
      </c>
      <c r="AG156" s="774" t="str">
        <f>+$D$156</f>
        <v>&lt;=3.6</v>
      </c>
      <c r="AH156" s="134">
        <v>5.37</v>
      </c>
      <c r="AI156" s="53" t="str">
        <f>+$D$156</f>
        <v>&lt;=3.6</v>
      </c>
      <c r="AJ156" s="107">
        <f t="shared" ref="AJ156:AJ161" si="869">+((AF156*AF$21)+(AH$21*AH156))/AJ$21</f>
        <v>3.8008422381325899</v>
      </c>
      <c r="AK156" s="774" t="str">
        <f>+$D$156</f>
        <v>&lt;=3.6</v>
      </c>
      <c r="AL156" s="134">
        <v>4.2300000000000004</v>
      </c>
      <c r="AM156" s="77" t="str">
        <f>+$D$156</f>
        <v>&lt;=3.6</v>
      </c>
      <c r="AN156" s="114">
        <f t="shared" ref="AN156:AN157" si="870">+((AD156*AD$21)+(AH156*AH$21)+(AL$21*AL156))/AN$21</f>
        <v>4.9862696990928495</v>
      </c>
      <c r="AO156" s="53" t="str">
        <f>+$D$156</f>
        <v>&lt;=3.6</v>
      </c>
      <c r="AP156" s="107">
        <f t="shared" ref="AP156:AP161" si="871">+((AL156*AL$21)+(AJ$21*AJ156))/AP$21</f>
        <v>3.8496672559664291</v>
      </c>
      <c r="AQ156" s="774" t="str">
        <f>+$D$156</f>
        <v>&lt;=3.6</v>
      </c>
      <c r="AR156" s="134">
        <v>4.34</v>
      </c>
      <c r="AS156" s="53" t="str">
        <f>+$D$156</f>
        <v>&lt;=3.6</v>
      </c>
      <c r="AT156" s="107">
        <f t="shared" ref="AT156:AT161" si="872">+((AP156*AP$21)+(AR$21*AR156))/AT$21</f>
        <v>3.9001292478769396</v>
      </c>
      <c r="AU156" s="774" t="str">
        <f>+$D$156</f>
        <v>&lt;=3.6</v>
      </c>
      <c r="AV156" s="134">
        <v>3.1</v>
      </c>
      <c r="AW156" s="53" t="str">
        <f>+$D$156</f>
        <v>&lt;=3.6</v>
      </c>
      <c r="AX156" s="107">
        <f t="shared" ref="AX156:AX161" si="873">+((AT156*AT$21)+(AV$21*AV156))/AX$21</f>
        <v>3.8323671154269112</v>
      </c>
      <c r="AY156" s="774" t="str">
        <f>+$D$156</f>
        <v>&lt;=3.6</v>
      </c>
      <c r="AZ156" s="134">
        <v>2.99</v>
      </c>
      <c r="BA156" s="77" t="str">
        <f>+$D$156</f>
        <v>&lt;=3.6</v>
      </c>
      <c r="BB156" s="114">
        <f>+((AR156*AR$21)+(AV156*AV$21)+(AZ$21*AZ156))/BB$21</f>
        <v>3.4900147128367558</v>
      </c>
      <c r="BC156" s="667" t="str">
        <f>+$D$156</f>
        <v>&lt;=3.6</v>
      </c>
      <c r="BD156" s="474">
        <f t="shared" ref="BD156:BD161" si="874">+((AN156*AN$21)+(BB$21*BB156))/BD$21</f>
        <v>4.2410338117829616</v>
      </c>
      <c r="BE156" s="53" t="str">
        <f>+$D$156</f>
        <v>&lt;=3.6</v>
      </c>
      <c r="BF156" s="107">
        <f t="shared" ref="BF156:BF161" si="875">+((AX156*AX$21)+(AZ$21*AZ156))/BF$21</f>
        <v>3.7599380105188769</v>
      </c>
      <c r="BG156" s="1219"/>
      <c r="BH156" s="1219"/>
      <c r="BI156" s="1219"/>
      <c r="BJ156" s="1546"/>
      <c r="BK156" s="1546"/>
      <c r="BL156" s="26"/>
      <c r="BM156" s="26"/>
      <c r="BN156" s="26"/>
    </row>
    <row r="157" spans="1:66" ht="14.45" x14ac:dyDescent="0.3">
      <c r="B157" s="1844" t="s">
        <v>203</v>
      </c>
      <c r="C157" s="1392" t="s">
        <v>49</v>
      </c>
      <c r="D157" s="396" t="s">
        <v>2203</v>
      </c>
      <c r="E157" s="774" t="str">
        <f>+$D$157</f>
        <v>13.4-14.1</v>
      </c>
      <c r="F157" s="134">
        <v>14</v>
      </c>
      <c r="G157" s="774" t="str">
        <f>+$D$157</f>
        <v>13.4-14.1</v>
      </c>
      <c r="H157" s="134">
        <v>13.68</v>
      </c>
      <c r="I157" s="53" t="str">
        <f>+$D$157</f>
        <v>13.4-14.1</v>
      </c>
      <c r="J157" s="107">
        <f t="shared" si="862"/>
        <v>13.837038034331874</v>
      </c>
      <c r="K157" s="774" t="str">
        <f>+$D$157</f>
        <v>13.4-14.1</v>
      </c>
      <c r="L157" s="134">
        <v>13.9</v>
      </c>
      <c r="M157" s="77" t="str">
        <f>+$D$157</f>
        <v>13.4-14.1</v>
      </c>
      <c r="N157" s="114">
        <f t="shared" si="863"/>
        <v>13.857601994560291</v>
      </c>
      <c r="O157" s="774" t="str">
        <f>+$D$157</f>
        <v>13.4-14.1</v>
      </c>
      <c r="P157" s="134">
        <v>13.7</v>
      </c>
      <c r="Q157" s="53" t="str">
        <f>+$D$157</f>
        <v>13.4-14.1</v>
      </c>
      <c r="R157" s="107">
        <f t="shared" si="864"/>
        <v>13.818034289594294</v>
      </c>
      <c r="S157" s="774" t="str">
        <f>+$D$157</f>
        <v>13.4-14.1</v>
      </c>
      <c r="T157" s="134">
        <v>13.6</v>
      </c>
      <c r="U157" s="53" t="str">
        <f>+$D$157</f>
        <v>13.4-14.1</v>
      </c>
      <c r="V157" s="107">
        <f t="shared" si="865"/>
        <v>13.773338731443994</v>
      </c>
      <c r="W157" s="774" t="str">
        <f>+$D$157</f>
        <v>13.4-14.1</v>
      </c>
      <c r="X157" s="134">
        <v>13.6</v>
      </c>
      <c r="Y157" s="77" t="str">
        <f>+$D$157</f>
        <v>13.4-14.1</v>
      </c>
      <c r="Z157" s="114">
        <f t="shared" si="866"/>
        <v>13.633102059086838</v>
      </c>
      <c r="AA157" s="667" t="str">
        <f>+$D$157</f>
        <v>13.4-14.1</v>
      </c>
      <c r="AB157" s="474">
        <f t="shared" si="867"/>
        <v>13.744644144144143</v>
      </c>
      <c r="AC157" s="774" t="str">
        <f>+$D$157</f>
        <v>13.4-14.1</v>
      </c>
      <c r="AD157" s="134">
        <v>13.48</v>
      </c>
      <c r="AE157" s="53" t="str">
        <f>+$D$157</f>
        <v>13.4-14.1</v>
      </c>
      <c r="AF157" s="107">
        <f t="shared" si="868"/>
        <v>13.705751380902495</v>
      </c>
      <c r="AG157" s="774" t="str">
        <f>+$D$157</f>
        <v>13.4-14.1</v>
      </c>
      <c r="AH157" s="134">
        <v>14.08</v>
      </c>
      <c r="AI157" s="53" t="str">
        <f>+$D$157</f>
        <v>13.4-14.1</v>
      </c>
      <c r="AJ157" s="107">
        <f t="shared" si="869"/>
        <v>13.750796891202436</v>
      </c>
      <c r="AK157" s="774" t="str">
        <f>+$D$157</f>
        <v>13.4-14.1</v>
      </c>
      <c r="AL157" s="134">
        <v>13.62</v>
      </c>
      <c r="AM157" s="77" t="str">
        <f>+$D$157</f>
        <v>13.4-14.1</v>
      </c>
      <c r="AN157" s="114">
        <f t="shared" si="870"/>
        <v>13.718590967936464</v>
      </c>
      <c r="AO157" s="53" t="str">
        <f>+$D$157</f>
        <v>13.4-14.1</v>
      </c>
      <c r="AP157" s="107">
        <f t="shared" si="871"/>
        <v>13.735916208355686</v>
      </c>
      <c r="AQ157" s="774" t="str">
        <f>+$D$157</f>
        <v>13.4-14.1</v>
      </c>
      <c r="AR157" s="134">
        <v>13.65</v>
      </c>
      <c r="AS157" s="53" t="str">
        <f>+$D$157</f>
        <v>13.4-14.1</v>
      </c>
      <c r="AT157" s="107">
        <f t="shared" si="872"/>
        <v>13.727074247332725</v>
      </c>
      <c r="AU157" s="774" t="str">
        <f>+$D$157</f>
        <v>13.4-14.1</v>
      </c>
      <c r="AV157" s="134">
        <v>13.83</v>
      </c>
      <c r="AW157" s="53" t="str">
        <f>+$D$157</f>
        <v>13.4-14.1</v>
      </c>
      <c r="AX157" s="107">
        <f t="shared" si="873"/>
        <v>13.735790924673625</v>
      </c>
      <c r="AY157" s="774" t="str">
        <f>+$D$157</f>
        <v>13.4-14.1</v>
      </c>
      <c r="AZ157" s="134">
        <v>14.04</v>
      </c>
      <c r="BA157" s="77" t="str">
        <f>+$D$157</f>
        <v>13.4-14.1</v>
      </c>
      <c r="BB157" s="114">
        <f>+((AR157*AR$21)+(AV157*AV$21)+(AZ$21*AZ157))/BB$21</f>
        <v>13.840255491986495</v>
      </c>
      <c r="BC157" s="667" t="str">
        <f>+$D$157</f>
        <v>13.4-14.1</v>
      </c>
      <c r="BD157" s="474">
        <f t="shared" si="874"/>
        <v>13.779188105702021</v>
      </c>
      <c r="BE157" s="53" t="str">
        <f>+$D$157</f>
        <v>13.4-14.1</v>
      </c>
      <c r="BF157" s="107">
        <f t="shared" si="875"/>
        <v>13.761947680590698</v>
      </c>
      <c r="BG157" s="1219"/>
      <c r="BH157" s="1219"/>
      <c r="BI157" s="1219"/>
      <c r="BJ157" s="1546"/>
      <c r="BK157" s="1546"/>
      <c r="BL157" s="26"/>
      <c r="BM157" s="26"/>
      <c r="BN157" s="26"/>
    </row>
    <row r="158" spans="1:66" ht="14.45" x14ac:dyDescent="0.3">
      <c r="B158" s="1844" t="s">
        <v>204</v>
      </c>
      <c r="C158" s="1392" t="s">
        <v>49</v>
      </c>
      <c r="D158" s="396" t="s">
        <v>2204</v>
      </c>
      <c r="E158" s="774" t="str">
        <f>+$D$158</f>
        <v>85.0-86.5</v>
      </c>
      <c r="F158" s="134">
        <v>86.12</v>
      </c>
      <c r="G158" s="774" t="str">
        <f>+$D$158</f>
        <v>85.0-86.5</v>
      </c>
      <c r="H158" s="134">
        <v>86.48</v>
      </c>
      <c r="I158" s="53" t="str">
        <f>+$D$158</f>
        <v>85.0-86.5</v>
      </c>
      <c r="J158" s="107">
        <f t="shared" si="862"/>
        <v>86.303332211376642</v>
      </c>
      <c r="K158" s="774" t="str">
        <f>+$D$158</f>
        <v>85.0-86.5</v>
      </c>
      <c r="L158" s="134">
        <v>86.8</v>
      </c>
      <c r="M158" s="77" t="str">
        <f>+$D$158</f>
        <v>85.0-86.5</v>
      </c>
      <c r="N158" s="114">
        <f t="shared" si="863"/>
        <v>86.465548504079777</v>
      </c>
      <c r="O158" s="774" t="str">
        <f>+$D$158</f>
        <v>85.0-86.5</v>
      </c>
      <c r="P158" s="134">
        <v>86.6</v>
      </c>
      <c r="Q158" s="53" t="str">
        <f>+$D$158</f>
        <v>85.0-86.5</v>
      </c>
      <c r="R158" s="107">
        <f t="shared" si="864"/>
        <v>86.499304023086054</v>
      </c>
      <c r="S158" s="774" t="str">
        <f>+$D$158</f>
        <v>85.0-86.5</v>
      </c>
      <c r="T158" s="134">
        <v>86.4</v>
      </c>
      <c r="U158" s="53" t="str">
        <f>+$D$158</f>
        <v>85.0-86.5</v>
      </c>
      <c r="V158" s="107">
        <f t="shared" si="865"/>
        <v>86.478947368421046</v>
      </c>
      <c r="W158" s="774" t="str">
        <f>+$D$158</f>
        <v>85.0-86.5</v>
      </c>
      <c r="X158" s="134">
        <v>86.2</v>
      </c>
      <c r="Y158" s="77" t="str">
        <f>+$D$158</f>
        <v>85.0-86.5</v>
      </c>
      <c r="Z158" s="114">
        <f>+((P158*P$21)+(T158*T$21)+(X158*X$21))/Z$21</f>
        <v>86.400402864816485</v>
      </c>
      <c r="AA158" s="667" t="str">
        <f>+$D$158</f>
        <v>85.0-86.5</v>
      </c>
      <c r="AB158" s="474">
        <f t="shared" si="867"/>
        <v>86.432770270270268</v>
      </c>
      <c r="AC158" s="774" t="str">
        <f>+$D$158</f>
        <v>85.0-86.5</v>
      </c>
      <c r="AD158" s="134">
        <v>86.86</v>
      </c>
      <c r="AE158" s="53" t="str">
        <f>+$D$158</f>
        <v>85.0-86.5</v>
      </c>
      <c r="AF158" s="107">
        <f t="shared" si="868"/>
        <v>86.49555701653253</v>
      </c>
      <c r="AG158" s="774" t="str">
        <f>+$D$158</f>
        <v>85.0-86.5</v>
      </c>
      <c r="AH158" s="134">
        <v>86.55</v>
      </c>
      <c r="AI158" s="53" t="str">
        <f>+$D$158</f>
        <v>85.0-86.5</v>
      </c>
      <c r="AJ158" s="107">
        <f t="shared" si="869"/>
        <v>86.502109911713433</v>
      </c>
      <c r="AK158" s="774" t="str">
        <f>+$D$158</f>
        <v>85.0-86.5</v>
      </c>
      <c r="AL158" s="134">
        <v>86.5</v>
      </c>
      <c r="AM158" s="77" t="str">
        <f>+$D$158</f>
        <v>85.0-86.5</v>
      </c>
      <c r="AN158" s="114">
        <f>+((AD158*AD$21)+(AH158*AH$21)+(AL158*AL$21))/AN$21</f>
        <v>86.639034849664029</v>
      </c>
      <c r="AO158" s="53" t="str">
        <f>+$D$158</f>
        <v>85.0-86.5</v>
      </c>
      <c r="AP158" s="107">
        <f t="shared" si="871"/>
        <v>86.501869868339654</v>
      </c>
      <c r="AQ158" s="774" t="str">
        <f>+$D$158</f>
        <v>85.0-86.5</v>
      </c>
      <c r="AR158" s="134">
        <v>86.4</v>
      </c>
      <c r="AS158" s="53" t="str">
        <f>+$D$158</f>
        <v>85.0-86.5</v>
      </c>
      <c r="AT158" s="107">
        <f t="shared" si="872"/>
        <v>86.491386056000735</v>
      </c>
      <c r="AU158" s="774" t="str">
        <f>+$D$158</f>
        <v>85.0-86.5</v>
      </c>
      <c r="AV158" s="134">
        <v>86.45</v>
      </c>
      <c r="AW158" s="53" t="str">
        <f>+$D$158</f>
        <v>85.0-86.5</v>
      </c>
      <c r="AX158" s="107">
        <f t="shared" si="873"/>
        <v>86.487881112998394</v>
      </c>
      <c r="AY158" s="774" t="str">
        <f>+$D$158</f>
        <v>85.0-86.5</v>
      </c>
      <c r="AZ158" s="134">
        <v>86.43</v>
      </c>
      <c r="BA158" s="77" t="str">
        <f>+$D$158</f>
        <v>85.0-86.5</v>
      </c>
      <c r="BB158" s="114">
        <f>+((AR158*AR$21)+(AV158*AV$21)+(AZ158*AZ$21))/BB$21</f>
        <v>86.425852249134721</v>
      </c>
      <c r="BC158" s="667" t="str">
        <f>+$D$158</f>
        <v>85.0-86.5</v>
      </c>
      <c r="BD158" s="474">
        <f t="shared" si="874"/>
        <v>86.532855538033445</v>
      </c>
      <c r="BE158" s="53" t="str">
        <f>+$D$158</f>
        <v>85.0-86.5</v>
      </c>
      <c r="BF158" s="107">
        <f t="shared" si="875"/>
        <v>86.482904331344912</v>
      </c>
      <c r="BG158" s="1219"/>
      <c r="BH158" s="1219"/>
      <c r="BI158" s="1219"/>
      <c r="BJ158" s="1546"/>
      <c r="BK158" s="1546"/>
      <c r="BL158" s="26"/>
      <c r="BM158" s="26"/>
      <c r="BN158" s="26"/>
    </row>
    <row r="159" spans="1:66" ht="14.45" x14ac:dyDescent="0.3">
      <c r="B159" s="1844" t="s">
        <v>205</v>
      </c>
      <c r="C159" s="1392" t="s">
        <v>49</v>
      </c>
      <c r="D159" s="396" t="s">
        <v>2205</v>
      </c>
      <c r="E159" s="774" t="str">
        <f>+$D$159</f>
        <v>7.5-8.0</v>
      </c>
      <c r="F159" s="134">
        <v>7.74</v>
      </c>
      <c r="G159" s="774" t="str">
        <f>+$D$159</f>
        <v>7.5-8.0</v>
      </c>
      <c r="H159" s="134">
        <v>7.64</v>
      </c>
      <c r="I159" s="53" t="str">
        <f>+$D$159</f>
        <v>7.5-8.0</v>
      </c>
      <c r="J159" s="107">
        <f t="shared" si="862"/>
        <v>7.68907438572871</v>
      </c>
      <c r="K159" s="774" t="str">
        <f>+$D$159</f>
        <v>7.5-8.0</v>
      </c>
      <c r="L159" s="134">
        <v>7.7</v>
      </c>
      <c r="M159" s="77" t="str">
        <f>+$D$159</f>
        <v>7.5-8.0</v>
      </c>
      <c r="N159" s="114">
        <f t="shared" si="863"/>
        <v>7.6926427923844054</v>
      </c>
      <c r="O159" s="774" t="str">
        <f>+$D$159</f>
        <v>7.5-8.0</v>
      </c>
      <c r="P159" s="134">
        <v>7.8</v>
      </c>
      <c r="Q159" s="53" t="str">
        <f>+$D$159</f>
        <v>7.5-8.0</v>
      </c>
      <c r="R159" s="107">
        <f t="shared" si="864"/>
        <v>7.7195959938889835</v>
      </c>
      <c r="S159" s="774" t="str">
        <f>+$D$159</f>
        <v>7.5-8.0</v>
      </c>
      <c r="T159" s="134">
        <v>7.9</v>
      </c>
      <c r="U159" s="53" t="str">
        <f>+$D$159</f>
        <v>7.5-8.0</v>
      </c>
      <c r="V159" s="107">
        <f t="shared" si="865"/>
        <v>7.7565775978407565</v>
      </c>
      <c r="W159" s="774" t="str">
        <f>+$D$159</f>
        <v>7.5-8.0</v>
      </c>
      <c r="X159" s="134">
        <v>7.9</v>
      </c>
      <c r="Y159" s="77" t="str">
        <f>+$D$159</f>
        <v>7.5-8.0</v>
      </c>
      <c r="Z159" s="114">
        <f t="shared" si="866"/>
        <v>7.8668979409131605</v>
      </c>
      <c r="AA159" s="667" t="str">
        <f>+$D$159</f>
        <v>7.5-8.0</v>
      </c>
      <c r="AB159" s="474">
        <f t="shared" si="867"/>
        <v>7.7803198198198196</v>
      </c>
      <c r="AC159" s="774" t="str">
        <f>+$D$159</f>
        <v>7.5-8.0</v>
      </c>
      <c r="AD159" s="134">
        <v>7.73</v>
      </c>
      <c r="AE159" s="53" t="str">
        <f>+$D$159</f>
        <v>7.5-8.0</v>
      </c>
      <c r="AF159" s="107">
        <f t="shared" si="868"/>
        <v>7.7729246936403085</v>
      </c>
      <c r="AG159" s="774" t="str">
        <f>+$D$159</f>
        <v>7.5-8.0</v>
      </c>
      <c r="AH159" s="134">
        <v>7.85</v>
      </c>
      <c r="AI159" s="53" t="str">
        <f>+$D$159</f>
        <v>7.5-8.0</v>
      </c>
      <c r="AJ159" s="107">
        <f t="shared" si="869"/>
        <v>7.7822016724435148</v>
      </c>
      <c r="AK159" s="774" t="str">
        <f>+$D$159</f>
        <v>7.5-8.0</v>
      </c>
      <c r="AL159" s="134">
        <v>7.73</v>
      </c>
      <c r="AM159" s="77" t="str">
        <f>+$D$159</f>
        <v>7.5-8.0</v>
      </c>
      <c r="AN159" s="114">
        <f t="shared" ref="AN159:AN161" si="876">+((AD159*AD$21)+(AH159*AH$21)+(AL$21*AL159))/AN$21</f>
        <v>7.7682092426953133</v>
      </c>
      <c r="AO159" s="53" t="str">
        <f>+$D$159</f>
        <v>7.5-8.0</v>
      </c>
      <c r="AP159" s="107">
        <f t="shared" si="871"/>
        <v>7.7762627198846221</v>
      </c>
      <c r="AQ159" s="774" t="str">
        <f>+$D$159</f>
        <v>7.5-8.0</v>
      </c>
      <c r="AR159" s="134">
        <v>7.73</v>
      </c>
      <c r="AS159" s="53" t="str">
        <f>+$D$159</f>
        <v>7.5-8.0</v>
      </c>
      <c r="AT159" s="107">
        <f t="shared" si="872"/>
        <v>7.7715016489078561</v>
      </c>
      <c r="AU159" s="774" t="str">
        <f>+$D$159</f>
        <v>7.5-8.0</v>
      </c>
      <c r="AV159" s="134">
        <v>7.76</v>
      </c>
      <c r="AW159" s="53" t="str">
        <f>+$D$159</f>
        <v>7.5-8.0</v>
      </c>
      <c r="AX159" s="107">
        <f t="shared" si="873"/>
        <v>7.770527585956458</v>
      </c>
      <c r="AY159" s="774" t="str">
        <f>+$D$159</f>
        <v>7.5-8.0</v>
      </c>
      <c r="AZ159" s="134">
        <v>7.81</v>
      </c>
      <c r="BA159" s="77" t="str">
        <f>+$D$159</f>
        <v>7.5-8.0</v>
      </c>
      <c r="BB159" s="114">
        <f>+((AR159*AR$21)+(AV159*AV$21)+(AZ$21*AZ159))/BB$21</f>
        <v>7.7668787909570511</v>
      </c>
      <c r="BC159" s="667" t="str">
        <f>+$D$159</f>
        <v>7.5-8.0</v>
      </c>
      <c r="BD159" s="474">
        <f t="shared" si="874"/>
        <v>7.7675465880069119</v>
      </c>
      <c r="BE159" s="53" t="str">
        <f>+$D$159</f>
        <v>7.5-8.0</v>
      </c>
      <c r="BF159" s="107">
        <f t="shared" si="875"/>
        <v>7.7739215356553188</v>
      </c>
      <c r="BG159" s="1219"/>
      <c r="BH159" s="1219"/>
      <c r="BI159" s="1219"/>
      <c r="BJ159" s="1546"/>
      <c r="BK159" s="1546"/>
      <c r="BL159" s="26"/>
      <c r="BM159" s="26"/>
      <c r="BN159" s="26"/>
    </row>
    <row r="160" spans="1:66" x14ac:dyDescent="0.25">
      <c r="A160" s="148"/>
      <c r="B160" s="1844" t="s">
        <v>206</v>
      </c>
      <c r="C160" s="1392" t="s">
        <v>49</v>
      </c>
      <c r="D160" s="396" t="s">
        <v>2206</v>
      </c>
      <c r="E160" s="774" t="str">
        <f>+$D$160</f>
        <v>64.0-65.5</v>
      </c>
      <c r="F160" s="134">
        <v>65.14</v>
      </c>
      <c r="G160" s="774" t="str">
        <f>+$D$160</f>
        <v>64.0-65.5</v>
      </c>
      <c r="H160" s="134">
        <v>65.19</v>
      </c>
      <c r="I160" s="53" t="str">
        <f>+$D$160</f>
        <v>64.0-65.5</v>
      </c>
      <c r="J160" s="107">
        <f t="shared" si="862"/>
        <v>65.165462807135626</v>
      </c>
      <c r="K160" s="774" t="str">
        <f>+$D$160</f>
        <v>64.0-65.5</v>
      </c>
      <c r="L160" s="134">
        <v>65.099999999999994</v>
      </c>
      <c r="M160" s="77" t="str">
        <f>+$D$160</f>
        <v>64.0-65.5</v>
      </c>
      <c r="N160" s="114">
        <f t="shared" si="863"/>
        <v>65.144082048957372</v>
      </c>
      <c r="O160" s="774" t="str">
        <f>+$D$160</f>
        <v>64.0-65.5</v>
      </c>
      <c r="P160" s="134">
        <v>65.7</v>
      </c>
      <c r="Q160" s="53" t="str">
        <f>+$D$160</f>
        <v>64.0-65.5</v>
      </c>
      <c r="R160" s="107">
        <f t="shared" si="864"/>
        <v>65.283651332541154</v>
      </c>
      <c r="S160" s="774" t="str">
        <f>+$D$160</f>
        <v>64.0-65.5</v>
      </c>
      <c r="T160" s="134">
        <v>65.5</v>
      </c>
      <c r="U160" s="53" t="str">
        <f>+$D$160</f>
        <v>64.0-65.5</v>
      </c>
      <c r="V160" s="107">
        <f t="shared" si="865"/>
        <v>65.328001349527653</v>
      </c>
      <c r="W160" s="774" t="str">
        <f>+$D$160</f>
        <v>64.0-65.5</v>
      </c>
      <c r="X160" s="134">
        <v>65.7</v>
      </c>
      <c r="Y160" s="77" t="str">
        <f>+$D$160</f>
        <v>64.0-65.5</v>
      </c>
      <c r="Z160" s="114">
        <f t="shared" si="866"/>
        <v>65.63200537153088</v>
      </c>
      <c r="AA160" s="667" t="str">
        <f>+$D$160</f>
        <v>64.0-65.5</v>
      </c>
      <c r="AB160" s="474">
        <f t="shared" si="867"/>
        <v>65.389582207207198</v>
      </c>
      <c r="AC160" s="774" t="str">
        <f>+$D$160</f>
        <v>64.0-65.5</v>
      </c>
      <c r="AD160" s="134">
        <v>64.73</v>
      </c>
      <c r="AE160" s="53" t="str">
        <f>+$D$160</f>
        <v>64.0-65.5</v>
      </c>
      <c r="AF160" s="107">
        <f t="shared" si="868"/>
        <v>65.292648361547108</v>
      </c>
      <c r="AG160" s="774" t="str">
        <f>+$D$160</f>
        <v>64.0-65.5</v>
      </c>
      <c r="AH160" s="134">
        <v>64.39</v>
      </c>
      <c r="AI160" s="53" t="str">
        <f>+$D$160</f>
        <v>64.0-65.5</v>
      </c>
      <c r="AJ160" s="107">
        <f t="shared" si="869"/>
        <v>65.184003321879771</v>
      </c>
      <c r="AK160" s="774" t="str">
        <f>+$D$160</f>
        <v>64.0-65.5</v>
      </c>
      <c r="AL160" s="134">
        <v>64.7</v>
      </c>
      <c r="AM160" s="77" t="str">
        <f>+$D$160</f>
        <v>64.0-65.5</v>
      </c>
      <c r="AN160" s="114">
        <f t="shared" si="876"/>
        <v>64.611552317359966</v>
      </c>
      <c r="AO160" s="53" t="str">
        <f>+$D$160</f>
        <v>64.0-65.5</v>
      </c>
      <c r="AP160" s="107">
        <f t="shared" si="871"/>
        <v>65.12893855800462</v>
      </c>
      <c r="AQ160" s="774" t="str">
        <f>+$D$160</f>
        <v>64.0-65.5</v>
      </c>
      <c r="AR160" s="134">
        <v>64.650000000000006</v>
      </c>
      <c r="AS160" s="53" t="str">
        <f>+$D$160</f>
        <v>64.0-65.5</v>
      </c>
      <c r="AT160" s="107">
        <f t="shared" si="872"/>
        <v>65.079649184749954</v>
      </c>
      <c r="AU160" s="774" t="str">
        <f>+$D$160</f>
        <v>64.0-65.5</v>
      </c>
      <c r="AV160" s="134">
        <v>65</v>
      </c>
      <c r="AW160" s="53" t="str">
        <f>+$D$160</f>
        <v>64.0-65.5</v>
      </c>
      <c r="AX160" s="107">
        <f t="shared" si="873"/>
        <v>65.072903776278906</v>
      </c>
      <c r="AY160" s="774" t="str">
        <f>+$D$160</f>
        <v>64.0-65.5</v>
      </c>
      <c r="AZ160" s="134">
        <v>64.98</v>
      </c>
      <c r="BA160" s="77" t="str">
        <f>+$D$160</f>
        <v>64.0-65.5</v>
      </c>
      <c r="BB160" s="114">
        <f>+((AR160*AR$21)+(AV160*AV$21)+(AZ$21*AZ160))/BB$21</f>
        <v>64.872322082284043</v>
      </c>
      <c r="BC160" s="667" t="str">
        <f>+$D$160</f>
        <v>64.0-65.5</v>
      </c>
      <c r="BD160" s="474">
        <f t="shared" si="874"/>
        <v>64.741433246033111</v>
      </c>
      <c r="BE160" s="53" t="str">
        <f>+$D$160</f>
        <v>64.0-65.5</v>
      </c>
      <c r="BF160" s="107">
        <f t="shared" si="875"/>
        <v>65.064915647071075</v>
      </c>
      <c r="BG160" s="1219"/>
      <c r="BH160" s="1219"/>
      <c r="BI160" s="1219"/>
      <c r="BJ160" s="1546"/>
      <c r="BK160" s="1546"/>
      <c r="BL160" s="26"/>
      <c r="BM160" s="26"/>
      <c r="BN160" s="26"/>
    </row>
    <row r="161" spans="1:66" x14ac:dyDescent="0.25">
      <c r="B161" s="1844" t="s">
        <v>207</v>
      </c>
      <c r="C161" s="1392" t="s">
        <v>49</v>
      </c>
      <c r="D161" s="396" t="s">
        <v>2207</v>
      </c>
      <c r="E161" s="774" t="str">
        <f>+$D$161</f>
        <v>22.5-24.0</v>
      </c>
      <c r="F161" s="134">
        <v>23.41</v>
      </c>
      <c r="G161" s="774" t="str">
        <f>+$D$161</f>
        <v>22.5-24.0</v>
      </c>
      <c r="H161" s="134">
        <v>23.19</v>
      </c>
      <c r="I161" s="53" t="str">
        <f>+$D$161</f>
        <v>22.5-24.0</v>
      </c>
      <c r="J161" s="107">
        <f t="shared" si="862"/>
        <v>23.297963648603162</v>
      </c>
      <c r="K161" s="774" t="str">
        <f>+$D$161</f>
        <v>22.5-24.0</v>
      </c>
      <c r="L161" s="134">
        <v>23.8</v>
      </c>
      <c r="M161" s="77" t="str">
        <f>+$D$161</f>
        <v>22.5-24.0</v>
      </c>
      <c r="N161" s="114">
        <f t="shared" si="863"/>
        <v>23.461933363553943</v>
      </c>
      <c r="O161" s="774" t="str">
        <f>+$D$161</f>
        <v>22.5-24.0</v>
      </c>
      <c r="P161" s="134">
        <v>23.2</v>
      </c>
      <c r="Q161" s="53" t="str">
        <f>+$D$161</f>
        <v>22.5-24.0</v>
      </c>
      <c r="R161" s="107">
        <f t="shared" si="864"/>
        <v>23.396172126973347</v>
      </c>
      <c r="S161" s="774" t="str">
        <f>+$D$161</f>
        <v>22.5-24.0</v>
      </c>
      <c r="T161" s="134">
        <v>22.8</v>
      </c>
      <c r="U161" s="53" t="str">
        <f>+$D$161</f>
        <v>22.5-24.0</v>
      </c>
      <c r="V161" s="107">
        <f t="shared" si="865"/>
        <v>23.273960863697706</v>
      </c>
      <c r="W161" s="774" t="str">
        <f>+$D$161</f>
        <v>22.5-24.0</v>
      </c>
      <c r="X161" s="134">
        <v>23.5</v>
      </c>
      <c r="Y161" s="77" t="str">
        <f>+$D$161</f>
        <v>22.5-24.0</v>
      </c>
      <c r="Z161" s="114">
        <f t="shared" si="866"/>
        <v>23.16271262309758</v>
      </c>
      <c r="AA161" s="667" t="str">
        <f>+$D$161</f>
        <v>22.5-24.0</v>
      </c>
      <c r="AB161" s="474">
        <f t="shared" si="867"/>
        <v>23.311379504504501</v>
      </c>
      <c r="AC161" s="774" t="str">
        <f>+$D$161</f>
        <v>22.5-24.0</v>
      </c>
      <c r="AD161" s="134">
        <v>23.4</v>
      </c>
      <c r="AE161" s="53" t="str">
        <f>+$D$161</f>
        <v>22.5-24.0</v>
      </c>
      <c r="AF161" s="107">
        <f t="shared" si="868"/>
        <v>23.324403393473631</v>
      </c>
      <c r="AG161" s="774" t="str">
        <f>+$D$161</f>
        <v>22.5-24.0</v>
      </c>
      <c r="AH161" s="134">
        <v>23.59</v>
      </c>
      <c r="AI161" s="53" t="str">
        <f>+$D$161</f>
        <v>22.5-24.0</v>
      </c>
      <c r="AJ161" s="107">
        <f t="shared" si="869"/>
        <v>23.356371272750682</v>
      </c>
      <c r="AK161" s="774" t="str">
        <f>+$D$161</f>
        <v>22.5-24.0</v>
      </c>
      <c r="AL161" s="134">
        <v>23.35</v>
      </c>
      <c r="AM161" s="77" t="str">
        <f>+$D$161</f>
        <v>22.5-24.0</v>
      </c>
      <c r="AN161" s="114">
        <f t="shared" si="876"/>
        <v>23.443517698150945</v>
      </c>
      <c r="AO161" s="53" t="str">
        <f>+$D$161</f>
        <v>22.5-24.0</v>
      </c>
      <c r="AP161" s="107">
        <f t="shared" si="871"/>
        <v>23.355646416920692</v>
      </c>
      <c r="AQ161" s="774" t="str">
        <f>+$D$161</f>
        <v>22.5-24.0</v>
      </c>
      <c r="AR161" s="134">
        <v>23.62</v>
      </c>
      <c r="AS161" s="53" t="str">
        <f>+$D$161</f>
        <v>22.5-24.0</v>
      </c>
      <c r="AT161" s="107">
        <f t="shared" si="872"/>
        <v>23.382852041128299</v>
      </c>
      <c r="AU161" s="774" t="str">
        <f>+$D$161</f>
        <v>22.5-24.0</v>
      </c>
      <c r="AV161" s="134">
        <v>23.38</v>
      </c>
      <c r="AW161" s="53" t="str">
        <f>+$D$161</f>
        <v>22.5-24.0</v>
      </c>
      <c r="AX161" s="107">
        <f t="shared" si="873"/>
        <v>23.382610504665031</v>
      </c>
      <c r="AY161" s="774" t="str">
        <f>+$D$161</f>
        <v>22.5-24.0</v>
      </c>
      <c r="AZ161" s="134">
        <v>23.48</v>
      </c>
      <c r="BA161" s="77" t="str">
        <f>+$D$161</f>
        <v>22.5-24.0</v>
      </c>
      <c r="BB161" s="114">
        <f>+((AR161*AR$21)+(AV161*AV$21)+(AZ$21*AZ161))/BB$21</f>
        <v>23.497287748764769</v>
      </c>
      <c r="BC161" s="667" t="str">
        <f>+$D$161</f>
        <v>22.5-24.0</v>
      </c>
      <c r="BD161" s="474">
        <f t="shared" si="874"/>
        <v>23.470298809490902</v>
      </c>
      <c r="BE161" s="53" t="str">
        <f>+$D$161</f>
        <v>22.5-24.0</v>
      </c>
      <c r="BF161" s="107">
        <f t="shared" si="875"/>
        <v>23.390984328672847</v>
      </c>
      <c r="BG161" s="1219"/>
      <c r="BH161" s="1219"/>
      <c r="BI161" s="1219"/>
      <c r="BJ161" s="1546"/>
      <c r="BK161" s="1546"/>
      <c r="BL161" s="26"/>
      <c r="BM161" s="26"/>
      <c r="BN161" s="26"/>
    </row>
    <row r="162" spans="1:66" x14ac:dyDescent="0.25">
      <c r="B162" s="1894" t="s">
        <v>5</v>
      </c>
      <c r="C162" s="1398"/>
      <c r="D162" s="414"/>
      <c r="E162" s="1000"/>
      <c r="F162" s="693"/>
      <c r="G162" s="1000"/>
      <c r="H162" s="693"/>
      <c r="I162" s="414"/>
      <c r="J162" s="414"/>
      <c r="K162" s="1000"/>
      <c r="L162" s="693"/>
      <c r="M162" s="1000"/>
      <c r="N162" s="693"/>
      <c r="O162" s="1000"/>
      <c r="P162" s="693"/>
      <c r="Q162" s="414"/>
      <c r="R162" s="414"/>
      <c r="S162" s="1000"/>
      <c r="T162" s="693"/>
      <c r="U162" s="414"/>
      <c r="V162" s="414"/>
      <c r="W162" s="1000"/>
      <c r="X162" s="693"/>
      <c r="Y162" s="414"/>
      <c r="Z162" s="414"/>
      <c r="AA162" s="2387"/>
      <c r="AB162" s="693"/>
      <c r="AC162" s="1000"/>
      <c r="AD162" s="693"/>
      <c r="AE162" s="414"/>
      <c r="AF162" s="693"/>
      <c r="AG162" s="1000"/>
      <c r="AH162" s="693"/>
      <c r="AI162" s="414"/>
      <c r="AJ162" s="693"/>
      <c r="AK162" s="1000"/>
      <c r="AL162" s="693"/>
      <c r="AM162" s="414"/>
      <c r="AN162" s="414"/>
      <c r="AO162" s="414"/>
      <c r="AP162" s="693"/>
      <c r="AQ162" s="1000"/>
      <c r="AR162" s="693"/>
      <c r="AS162" s="414"/>
      <c r="AT162" s="693"/>
      <c r="AU162" s="1000"/>
      <c r="AV162" s="693"/>
      <c r="AW162" s="414"/>
      <c r="AX162" s="693"/>
      <c r="AY162" s="1000"/>
      <c r="AZ162" s="693"/>
      <c r="BA162" s="414"/>
      <c r="BB162" s="414"/>
      <c r="BC162" s="2387"/>
      <c r="BD162" s="693"/>
      <c r="BE162" s="414"/>
      <c r="BF162" s="693"/>
      <c r="BG162" s="1219"/>
      <c r="BH162" s="1219"/>
      <c r="BI162" s="1219"/>
      <c r="BJ162" s="1546"/>
      <c r="BK162" s="1546"/>
      <c r="BL162" s="26"/>
      <c r="BM162" s="26"/>
      <c r="BN162" s="26"/>
    </row>
    <row r="163" spans="1:66" x14ac:dyDescent="0.25">
      <c r="B163" s="1861" t="s">
        <v>215</v>
      </c>
      <c r="C163" s="1392" t="s">
        <v>210</v>
      </c>
      <c r="D163" s="396">
        <f>+(D164*D17)/1000000</f>
        <v>183.93800400000001</v>
      </c>
      <c r="E163" s="774">
        <f>+(E164*E17)/1000000</f>
        <v>15.676080000000001</v>
      </c>
      <c r="F163" s="134">
        <v>15.58093</v>
      </c>
      <c r="G163" s="774">
        <f>+(G164*G17)/1000000</f>
        <v>16.198616000000001</v>
      </c>
      <c r="H163" s="134">
        <f>16165.26/1000</f>
        <v>16.16526</v>
      </c>
      <c r="I163" s="53">
        <f>+(I164*I17)/1000000</f>
        <v>31.874696</v>
      </c>
      <c r="J163" s="107">
        <f>+F163+H163</f>
        <v>31.746189999999999</v>
      </c>
      <c r="K163" s="774">
        <f>+(K164*K17)/1000000</f>
        <v>15.036239999999999</v>
      </c>
      <c r="L163" s="134">
        <v>15.39714</v>
      </c>
      <c r="M163" s="77">
        <f>+(M164*M17)/1000000</f>
        <v>46.910936</v>
      </c>
      <c r="N163" s="2329">
        <f>+L163+H163+F163</f>
        <v>47.143329999999999</v>
      </c>
      <c r="O163" s="774">
        <f>+(O164*O17)/1000000</f>
        <v>15.537447999999998</v>
      </c>
      <c r="P163" s="134">
        <v>15.742000000000001</v>
      </c>
      <c r="Q163" s="53">
        <f>+(Q164*Q17)/1000000</f>
        <v>62.448383999999997</v>
      </c>
      <c r="R163" s="107">
        <f>+N163+P163</f>
        <v>62.885329999999996</v>
      </c>
      <c r="S163" s="774">
        <f>+(S164*S17)/1000000</f>
        <v>15.537447999999998</v>
      </c>
      <c r="T163" s="134">
        <v>15.956017725097499</v>
      </c>
      <c r="U163" s="53">
        <f>+(U164*U17)/1000000</f>
        <v>77.985832000000002</v>
      </c>
      <c r="V163" s="107">
        <f>+R163+T163</f>
        <v>78.841347725097492</v>
      </c>
      <c r="W163" s="774">
        <f>+(W164*W17)/1000000</f>
        <v>14.732316000000001</v>
      </c>
      <c r="X163" s="134">
        <v>15.46</v>
      </c>
      <c r="Y163" s="77">
        <f>+(Y164*Y17)/1000000</f>
        <v>45.807211999999993</v>
      </c>
      <c r="Z163" s="123">
        <f>+P163+T163+X163</f>
        <v>47.158017725097501</v>
      </c>
      <c r="AA163" s="667">
        <f>+(AA164*AA17)/1000000</f>
        <v>92.718147999999999</v>
      </c>
      <c r="AB163" s="474">
        <f>+N163+Z163</f>
        <v>94.3013477250975</v>
      </c>
      <c r="AC163" s="774">
        <f>+(AC164*AC17)/1000000</f>
        <v>15.868031999999999</v>
      </c>
      <c r="AD163" s="134">
        <v>16.240020000000001</v>
      </c>
      <c r="AE163" s="53">
        <f>+(AE164*AE17)/1000000</f>
        <v>108.58618</v>
      </c>
      <c r="AF163" s="107">
        <f>+AB163+AD163</f>
        <v>110.5413677250975</v>
      </c>
      <c r="AG163" s="774">
        <f>+(AG164*AG17)/1000000</f>
        <v>15.356159999999997</v>
      </c>
      <c r="AH163" s="134">
        <f>14741.71/1000</f>
        <v>14.741709999999999</v>
      </c>
      <c r="AI163" s="53">
        <f>+(AI164*AI17)/1000000</f>
        <v>123.94234</v>
      </c>
      <c r="AJ163" s="107">
        <f>+AF163+AH163</f>
        <v>125.2830777250975</v>
      </c>
      <c r="AK163" s="774">
        <f>+(AK164*AK17)/1000000</f>
        <v>15.868031999999999</v>
      </c>
      <c r="AL163" s="134">
        <v>16.225960000000001</v>
      </c>
      <c r="AM163" s="77">
        <f>+(AM164*AM17)/1000000</f>
        <v>47.092223999999995</v>
      </c>
      <c r="AN163" s="123">
        <f>+AD163+AH163+AL163</f>
        <v>47.207689999999999</v>
      </c>
      <c r="AO163" s="53">
        <f>+(AO164*AO17)/1000000</f>
        <v>139.810372</v>
      </c>
      <c r="AP163" s="107">
        <f>+AL163+AJ163</f>
        <v>141.5090377250975</v>
      </c>
      <c r="AQ163" s="774">
        <f>+(AQ164*AQ17)/1000000</f>
        <v>15.868031999999999</v>
      </c>
      <c r="AR163" s="134">
        <v>16.215</v>
      </c>
      <c r="AS163" s="53">
        <f>+(AS164*AS17)/1000000</f>
        <v>155.678404</v>
      </c>
      <c r="AT163" s="107">
        <f>+AP163+AR163</f>
        <v>157.7240377250975</v>
      </c>
      <c r="AU163" s="774">
        <f>+(AU164*AU17)/1000000</f>
        <v>14.332415999999998</v>
      </c>
      <c r="AV163" s="134">
        <v>14.603014</v>
      </c>
      <c r="AW163" s="53">
        <f>+(AW164*AW17)/1000000</f>
        <v>170.01082</v>
      </c>
      <c r="AX163" s="107">
        <f>+AT163+AV163</f>
        <v>172.3270517250975</v>
      </c>
      <c r="AY163" s="774">
        <f>+(AY164*AY17)/1000000</f>
        <v>15.868031999999999</v>
      </c>
      <c r="AZ163" s="134">
        <v>16.202269999999999</v>
      </c>
      <c r="BA163" s="77">
        <f>+(BA164*BA17)/1000000</f>
        <v>46.068480000000001</v>
      </c>
      <c r="BB163" s="123">
        <f>+AR163+AV163+AZ163</f>
        <v>47.020283999999997</v>
      </c>
      <c r="BC163" s="667">
        <f>+(BC164*BC17)/1000000</f>
        <v>93.160703999999981</v>
      </c>
      <c r="BD163" s="474">
        <f>+AN163+BB163</f>
        <v>94.227973999999989</v>
      </c>
      <c r="BE163" s="53">
        <f>+(BE164*BE17)/1000000</f>
        <v>185.87885199999999</v>
      </c>
      <c r="BF163" s="107">
        <f>+AX163+AZ163</f>
        <v>188.5293217250975</v>
      </c>
      <c r="BG163" s="1219"/>
      <c r="BH163" s="1219"/>
      <c r="BI163" s="1219"/>
      <c r="BJ163" s="1546"/>
      <c r="BK163" s="1546"/>
      <c r="BL163" s="26"/>
      <c r="BM163" s="26"/>
      <c r="BN163" s="26"/>
    </row>
    <row r="164" spans="1:66" x14ac:dyDescent="0.25">
      <c r="B164" s="1862" t="s">
        <v>216</v>
      </c>
      <c r="C164" s="1392" t="s">
        <v>211</v>
      </c>
      <c r="D164" s="448">
        <v>310</v>
      </c>
      <c r="E164" s="155">
        <f>+$D$164</f>
        <v>310</v>
      </c>
      <c r="F164" s="181">
        <f>+(F163*1000000)/F17</f>
        <v>310.65432896289917</v>
      </c>
      <c r="G164" s="155">
        <f>+$D$164</f>
        <v>310</v>
      </c>
      <c r="H164" s="181">
        <f>+(H163*1000000)/H17</f>
        <v>310.58846585407093</v>
      </c>
      <c r="I164" s="61">
        <f>+$D$164</f>
        <v>310</v>
      </c>
      <c r="J164" s="39">
        <f>+(J163*1000000)/J17</f>
        <v>310.62078777015023</v>
      </c>
      <c r="K164" s="155">
        <f>+$D$164</f>
        <v>310</v>
      </c>
      <c r="L164" s="181">
        <f>+(L163*1000000)/L17</f>
        <v>310.61157464938759</v>
      </c>
      <c r="M164" s="72">
        <f>+$D$164</f>
        <v>310</v>
      </c>
      <c r="N164" s="69">
        <f>+(N163*1000000)/N17</f>
        <v>310.61777867971074</v>
      </c>
      <c r="O164" s="155">
        <f>+$D$164</f>
        <v>310</v>
      </c>
      <c r="P164" s="181">
        <f>+(P163*1000000)/P17</f>
        <v>309.40924886394015</v>
      </c>
      <c r="Q164" s="61">
        <f>+$D$164</f>
        <v>310</v>
      </c>
      <c r="R164" s="39">
        <f>+(R163*1000000)/R17</f>
        <v>310.31436404764065</v>
      </c>
      <c r="S164" s="155">
        <f>+$D$164</f>
        <v>310</v>
      </c>
      <c r="T164" s="181">
        <f>+(T163*1000000)/T17</f>
        <v>305.35729069571283</v>
      </c>
      <c r="U164" s="61">
        <f>+$D$164</f>
        <v>310</v>
      </c>
      <c r="V164" s="39">
        <f>+(V163*1000000)/V17</f>
        <v>309.29819745903359</v>
      </c>
      <c r="W164" s="155">
        <f>+$D$164</f>
        <v>310</v>
      </c>
      <c r="X164" s="181">
        <f>+(X163*1000000)/X17</f>
        <v>305.72694193956653</v>
      </c>
      <c r="Y164" s="72">
        <f>+$D$164</f>
        <v>310</v>
      </c>
      <c r="Z164" s="69">
        <f>+(Z163*1000000)/Z17</f>
        <v>306.82018985848657</v>
      </c>
      <c r="AA164" s="640">
        <f>+$D$164</f>
        <v>310</v>
      </c>
      <c r="AB164" s="454">
        <f>+(AB163*1000000)/AB17</f>
        <v>308.70700988993264</v>
      </c>
      <c r="AC164" s="155">
        <f>+$D$164</f>
        <v>310</v>
      </c>
      <c r="AD164" s="181">
        <f>+(AD163*1000000)/AD17</f>
        <v>310.79236645896174</v>
      </c>
      <c r="AE164" s="61">
        <f>+$D$164</f>
        <v>310</v>
      </c>
      <c r="AF164" s="39">
        <f>+(AF163*1000000)/AF17</f>
        <v>309.01162154762619</v>
      </c>
      <c r="AG164" s="155">
        <f>+$D$164</f>
        <v>310</v>
      </c>
      <c r="AH164" s="181">
        <f>+(AH163*1000000)/AH17</f>
        <v>302.96082106422682</v>
      </c>
      <c r="AI164" s="61">
        <f>+$D$164</f>
        <v>310</v>
      </c>
      <c r="AJ164" s="39">
        <f>+(AJ163*1000000)/AJ17</f>
        <v>308.28712353401733</v>
      </c>
      <c r="AK164" s="155">
        <f>+$D$164</f>
        <v>310</v>
      </c>
      <c r="AL164" s="181">
        <f>+(AL163*1000000)/AL17</f>
        <v>310.52329408882832</v>
      </c>
      <c r="AM164" s="72">
        <f>+$D$164</f>
        <v>310</v>
      </c>
      <c r="AN164" s="69">
        <f>+(AN163*1000000)/AN17</f>
        <v>308.21259287309192</v>
      </c>
      <c r="AO164" s="61">
        <f>+$D$164</f>
        <v>310</v>
      </c>
      <c r="AP164" s="39">
        <f>+(AP163*1000000)/AP17</f>
        <v>308.54189518770255</v>
      </c>
      <c r="AQ164" s="155">
        <f>+$D$164</f>
        <v>310</v>
      </c>
      <c r="AR164" s="181">
        <f>+(AR163*1000000)/AR17</f>
        <v>310.3135477746988</v>
      </c>
      <c r="AS164" s="61">
        <f>+$D$164</f>
        <v>310</v>
      </c>
      <c r="AT164" s="39">
        <f>+(AT163*1000000)/AT17</f>
        <v>308.72309845199555</v>
      </c>
      <c r="AU164" s="155">
        <f>+$D$164</f>
        <v>310</v>
      </c>
      <c r="AV164" s="181">
        <f>+(AV163*1000000)/AV17</f>
        <v>310.42502444623955</v>
      </c>
      <c r="AW164" s="61">
        <f>+$D$164</f>
        <v>310</v>
      </c>
      <c r="AX164" s="39">
        <f>+(AX163*1000000)/AX17</f>
        <v>308.86659581910385</v>
      </c>
      <c r="AY164" s="155">
        <f>+$D$164</f>
        <v>310</v>
      </c>
      <c r="AZ164" s="181">
        <f>+(AZ163*1000000)/AZ17</f>
        <v>310.06992819633479</v>
      </c>
      <c r="BA164" s="72">
        <f>+$D$164</f>
        <v>310</v>
      </c>
      <c r="BB164" s="69">
        <f>+(BB163*1000000)/BB17</f>
        <v>310.26415183979856</v>
      </c>
      <c r="BC164" s="640">
        <f>+$D$164</f>
        <v>310</v>
      </c>
      <c r="BD164" s="454">
        <f>+(BD163*1000000)/BD17</f>
        <v>309.23292963396636</v>
      </c>
      <c r="BE164" s="61">
        <f>+$D$164</f>
        <v>310</v>
      </c>
      <c r="BF164" s="39">
        <f>+(BF163*1000000)/BF17</f>
        <v>308.96964361936398</v>
      </c>
      <c r="BG164" s="1219"/>
      <c r="BH164" s="1219"/>
      <c r="BI164" s="1219"/>
      <c r="BJ164" s="1546"/>
      <c r="BK164" s="1546"/>
      <c r="BL164" s="26"/>
      <c r="BM164" s="26"/>
      <c r="BN164" s="26"/>
    </row>
    <row r="165" spans="1:66" x14ac:dyDescent="0.25">
      <c r="B165" s="1861" t="s">
        <v>217</v>
      </c>
      <c r="C165" s="1392" t="s">
        <v>212</v>
      </c>
      <c r="D165" s="448">
        <v>4225</v>
      </c>
      <c r="E165" s="155">
        <f>+$D$165</f>
        <v>4225</v>
      </c>
      <c r="F165" s="181">
        <v>4221.21</v>
      </c>
      <c r="G165" s="155">
        <f>+$D$165</f>
        <v>4225</v>
      </c>
      <c r="H165" s="181">
        <v>4217.0200000000004</v>
      </c>
      <c r="I165" s="61">
        <f>+$D$165</f>
        <v>4225</v>
      </c>
      <c r="J165" s="39">
        <f>+((F165*F163)+(H163*H165))/J163</f>
        <v>4219.0764387947029</v>
      </c>
      <c r="K165" s="155">
        <f>+$D$165</f>
        <v>4225</v>
      </c>
      <c r="L165" s="181">
        <v>4228.26</v>
      </c>
      <c r="M165" s="72">
        <f>+$D$165</f>
        <v>4225</v>
      </c>
      <c r="N165" s="69">
        <f>+((F165*F163)+(H165*H163)+(L163*L165))/N163</f>
        <v>4222.075814901069</v>
      </c>
      <c r="O165" s="155">
        <f>+$D$165</f>
        <v>4225</v>
      </c>
      <c r="P165" s="181">
        <v>4223.92</v>
      </c>
      <c r="Q165" s="61">
        <f>+$D$165</f>
        <v>4225</v>
      </c>
      <c r="R165" s="39">
        <f>+((N165*N163)+(P163*P165))/R163</f>
        <v>4222.5374672741646</v>
      </c>
      <c r="S165" s="155">
        <f>+$D$165</f>
        <v>4225</v>
      </c>
      <c r="T165" s="181">
        <v>4231.1400000000003</v>
      </c>
      <c r="U165" s="61">
        <f>+$D$165</f>
        <v>4225</v>
      </c>
      <c r="V165" s="39">
        <f>+((R165*R163)+(T163*T165))/V163</f>
        <v>4224.2784593882616</v>
      </c>
      <c r="W165" s="155">
        <f>+$D$165</f>
        <v>4225</v>
      </c>
      <c r="X165" s="181">
        <v>4223.79</v>
      </c>
      <c r="Y165" s="72">
        <f>+$D$165</f>
        <v>4225</v>
      </c>
      <c r="Z165" s="69">
        <f>+((P165*P163)+(T165*T163)+(X163*X165))/Z163</f>
        <v>4226.3202842662949</v>
      </c>
      <c r="AA165" s="640">
        <f>+$D$165</f>
        <v>4225</v>
      </c>
      <c r="AB165" s="454">
        <f>+((N165*N163)+(Z163*Z165))/AB163</f>
        <v>4224.198380128264</v>
      </c>
      <c r="AC165" s="155">
        <f>+$D$165</f>
        <v>4225</v>
      </c>
      <c r="AD165" s="181">
        <v>4220.6099999999997</v>
      </c>
      <c r="AE165" s="61">
        <f>+$D$165</f>
        <v>4225</v>
      </c>
      <c r="AF165" s="39">
        <f>+((AB165*AB163)+(AD163*AD165))/AF163</f>
        <v>4223.6711986192058</v>
      </c>
      <c r="AG165" s="155">
        <f>+$D$165</f>
        <v>4225</v>
      </c>
      <c r="AH165" s="181">
        <v>4214.67</v>
      </c>
      <c r="AI165" s="61">
        <f>+$D$165</f>
        <v>4225</v>
      </c>
      <c r="AJ165" s="39">
        <f>+((AF165*AF163)+(AH163*AH165))/AJ163</f>
        <v>4222.6120527065559</v>
      </c>
      <c r="AK165" s="155">
        <f>+$D$165</f>
        <v>4225</v>
      </c>
      <c r="AL165" s="181">
        <v>4227.41</v>
      </c>
      <c r="AM165" s="72">
        <f>+$D$165</f>
        <v>4225</v>
      </c>
      <c r="AN165" s="69">
        <f>+((AD165*AD163)+(AH165*AH163)+(AL163*AL165))/AN163</f>
        <v>4221.09235299376</v>
      </c>
      <c r="AO165" s="61">
        <f>+$D$165</f>
        <v>4225</v>
      </c>
      <c r="AP165" s="39">
        <f>+((AL165*AL163)+(AJ163*AJ165))/AP163</f>
        <v>4223.1622034398033</v>
      </c>
      <c r="AQ165" s="155">
        <f>+$D$165</f>
        <v>4225</v>
      </c>
      <c r="AR165" s="181">
        <v>4222.26</v>
      </c>
      <c r="AS165" s="61">
        <f>+$D$165</f>
        <v>4225</v>
      </c>
      <c r="AT165" s="39">
        <f>+((AP165*AP163)+(AR163*AR165))/AT163</f>
        <v>4223.0694513838234</v>
      </c>
      <c r="AU165" s="155">
        <f>+$D$165</f>
        <v>4225</v>
      </c>
      <c r="AV165" s="181">
        <v>4224.67</v>
      </c>
      <c r="AW165" s="61">
        <f>+$D$165</f>
        <v>4225</v>
      </c>
      <c r="AX165" s="39">
        <f>+((AT165*AT163)+(AV163*AV165))/AX163</f>
        <v>4223.2050820559425</v>
      </c>
      <c r="AY165" s="155">
        <f>+$D$165</f>
        <v>4225</v>
      </c>
      <c r="AZ165" s="181">
        <v>4227.1099999999997</v>
      </c>
      <c r="BA165" s="72">
        <f>+$D$165</f>
        <v>4225</v>
      </c>
      <c r="BB165" s="69">
        <f>+((AR165*AR163)+(AV165*AV163)+(AZ165*AZ163))/BB163</f>
        <v>4224.6796849436305</v>
      </c>
      <c r="BC165" s="640">
        <f>+$D$165</f>
        <v>4225</v>
      </c>
      <c r="BD165" s="454">
        <f>+((AN165*AN163)+(BB163*BB165))/BD163</f>
        <v>4222.8824516229124</v>
      </c>
      <c r="BE165" s="61">
        <f>+$D$165</f>
        <v>4225</v>
      </c>
      <c r="BF165" s="39">
        <f>+((AX165*AX163)+(AZ165*AZ163))/BF163</f>
        <v>4223.54067194869</v>
      </c>
      <c r="BG165" s="1219"/>
      <c r="BH165" s="1219"/>
      <c r="BI165" s="1219"/>
      <c r="BJ165" s="1546"/>
      <c r="BK165" s="1546"/>
      <c r="BL165" s="26"/>
      <c r="BM165" s="26"/>
      <c r="BN165" s="26"/>
    </row>
    <row r="166" spans="1:66" x14ac:dyDescent="0.25">
      <c r="B166" s="1861" t="s">
        <v>574</v>
      </c>
      <c r="C166" s="1392" t="s">
        <v>301</v>
      </c>
      <c r="D166" s="396">
        <v>13.476669361111112</v>
      </c>
      <c r="E166" s="774">
        <f>+(EMD!D21)/(E2*24)</f>
        <v>14.236886666666667</v>
      </c>
      <c r="F166" s="1317">
        <f>+(EMD!E21)/(F2*24)</f>
        <v>13.016388888888887</v>
      </c>
      <c r="G166" s="774">
        <f>+(EMD!F21)/(G2*24)</f>
        <v>14.236886666666667</v>
      </c>
      <c r="H166" s="1317">
        <f>+(EMD!G21)/(H2*24)</f>
        <v>13.080887096774196</v>
      </c>
      <c r="I166" s="53">
        <f>+(EMD!H21)/(I2*24)</f>
        <v>14.236886666666667</v>
      </c>
      <c r="J166" s="390">
        <f>+(EMD!I21)/(J2*24)</f>
        <v>13.049166666666668</v>
      </c>
      <c r="K166" s="774">
        <f>+(EMD!J21)/(K2*24)</f>
        <v>13.365993333333334</v>
      </c>
      <c r="L166" s="1317">
        <f>+(EMD!K21)/(L2*24)</f>
        <v>13.019152777777778</v>
      </c>
      <c r="M166" s="77">
        <f>+(EMD!L21)/(M2*24)</f>
        <v>13.949778974358976</v>
      </c>
      <c r="N166" s="113">
        <f>+(EMD!M21)/(N2*24)</f>
        <v>13.039271978021979</v>
      </c>
      <c r="O166" s="774">
        <f>+(EMD!N21)/(O2*24)</f>
        <v>13.365993333333334</v>
      </c>
      <c r="P166" s="1317">
        <f>+(EMD!O21)/(P2*24)</f>
        <v>13.345645161290328</v>
      </c>
      <c r="Q166" s="53">
        <f>+(EMD!P21)/(Q2*24)</f>
        <v>13.801439999999999</v>
      </c>
      <c r="R166" s="390">
        <f>+(EMD!Q21)/(R2*24)</f>
        <v>13.117120901639346</v>
      </c>
      <c r="S166" s="774">
        <f>+(EMD!R21)/(S2*24)</f>
        <v>13.365993333333334</v>
      </c>
      <c r="T166" s="1317">
        <f>+(EMD!S21)/(T2*24)</f>
        <v>13.589717741935486</v>
      </c>
      <c r="U166" s="53">
        <f>+(EMD!T21)/(U2*24)</f>
        <v>13.713212244008714</v>
      </c>
      <c r="V166" s="390">
        <f>+(EMD!U21)/(V2*24)</f>
        <v>13.212875816993465</v>
      </c>
      <c r="W166" s="774">
        <f>+(EMD!V21)/(W2*24)</f>
        <v>12.952319000000001</v>
      </c>
      <c r="X166" s="1317">
        <f>+(EMD!W21)/(X2*24)</f>
        <v>13.582527777777777</v>
      </c>
      <c r="Y166" s="77">
        <f>+(EMD!X21)/(Y2*24)</f>
        <v>13.231099528985508</v>
      </c>
      <c r="Z166" s="391">
        <f>+((P166*P2)+(T166*T2)+(X166*X2))/Z2</f>
        <v>13.505131340579712</v>
      </c>
      <c r="AA166" s="667">
        <f>+(EMD!Z21)/(AA2*24)</f>
        <v>13.588475646630238</v>
      </c>
      <c r="AB166" s="471">
        <f>+((N166*N2)+(Z166*Z2))/AB2</f>
        <v>13.273474499089254</v>
      </c>
      <c r="AC166" s="774">
        <f>+(EMD!AB21)/(AC2*24)</f>
        <v>12.796799999999998</v>
      </c>
      <c r="AD166" s="1317">
        <f>+(EMD!AC21)/(AD2*24)</f>
        <v>13.094879032258065</v>
      </c>
      <c r="AE166" s="53">
        <f>+(EMD!AD21)/(AE2*24)</f>
        <v>13.473793660436138</v>
      </c>
      <c r="AF166" s="105">
        <f>+(EMD!AE21)/(AF2*24)</f>
        <v>13.247603193146418</v>
      </c>
      <c r="AG166" s="774">
        <f>+(EMD!AF21)/(AG2*24)</f>
        <v>12.796799999999999</v>
      </c>
      <c r="AH166" s="1317">
        <f>+(EMD!AG21)/(AH2*24)</f>
        <v>13.290333333333335</v>
      </c>
      <c r="AI166" s="53">
        <f>+(EMD!AH21)/(AI2*24)</f>
        <v>13.390556734972678</v>
      </c>
      <c r="AJ166" s="105">
        <f>+(EMD!AI21)/(AJ2*24)</f>
        <v>13.252856898907106</v>
      </c>
      <c r="AK166" s="774">
        <f>+(EMD!AJ21)/(AK2*24)</f>
        <v>12.796799999999998</v>
      </c>
      <c r="AL166" s="1317">
        <f>+(EMD!AK21)/(AL2*24)</f>
        <v>13.14146505376344</v>
      </c>
      <c r="AM166" s="77">
        <f>+(EMD!AL21)/(AM2*24)</f>
        <v>12.796799999999998</v>
      </c>
      <c r="AN166" s="114">
        <f>+(EMD!AM21)/(AN2*24)</f>
        <v>13.1743115942029</v>
      </c>
      <c r="AO166" s="53">
        <f>+(EMD!AN21)/(AO2*24)</f>
        <v>13.323624157575757</v>
      </c>
      <c r="AP166" s="107">
        <f>+(EMD!AO21)/(AP2*24)</f>
        <v>13.240300000000001</v>
      </c>
      <c r="AQ166" s="774">
        <f>+(EMD!AP21)/(AQ2*24)</f>
        <v>12.796799999999998</v>
      </c>
      <c r="AR166" s="1317">
        <f>+(EMD!AQ21)/(AR2*24)</f>
        <v>13.170551075268817</v>
      </c>
      <c r="AS166" s="53">
        <f>+(EMD!AR21)/(AS2*24)</f>
        <v>13.27025308278867</v>
      </c>
      <c r="AT166" s="105">
        <f>+(EMD!AS21)/(AT2*24)</f>
        <v>13.233233932461875</v>
      </c>
      <c r="AU166" s="774">
        <f>+(EMD!AT21)/(AU2*24)</f>
        <v>12.796799999999999</v>
      </c>
      <c r="AV166" s="1317">
        <f>+(EMD!AU21)/(AV2*24)</f>
        <v>13.070520833333335</v>
      </c>
      <c r="AW166" s="53">
        <f>+(EMD!AV21)/(AW2*24)</f>
        <v>13.23056240518962</v>
      </c>
      <c r="AX166" s="105">
        <f>+(EMD!AW21)/(AX2*24)</f>
        <v>13.219593313373254</v>
      </c>
      <c r="AY166" s="774">
        <f>+(EMD!AX21)/(AY2*24)</f>
        <v>12.796799999999998</v>
      </c>
      <c r="AZ166" s="1317">
        <f>+(EMD!AY21)/(AZ2*24)</f>
        <v>13.081693548387095</v>
      </c>
      <c r="BA166" s="77">
        <f>+(EMD!AZ21)/(BA2*24)</f>
        <v>12.796799999999998</v>
      </c>
      <c r="BB166" s="114">
        <f>+(EMD!BA21)/(BB2*24)</f>
        <v>13.108824074074073</v>
      </c>
      <c r="BC166" s="667">
        <f>+(EMD!BB21)/(BC2*24)</f>
        <v>12.796799999999999</v>
      </c>
      <c r="BD166" s="474">
        <f>+(EMD!BC21)/(BD2*24)</f>
        <v>13.141927655677657</v>
      </c>
      <c r="BE166" s="53">
        <f>+(EMD!BD21)/(BE2*24)</f>
        <v>13.193722310502281</v>
      </c>
      <c r="BF166" s="107">
        <f>+(EMD!BE21)/(BF2*24)</f>
        <v>13.207881278538814</v>
      </c>
      <c r="BG166" s="1219"/>
      <c r="BH166" s="1219"/>
      <c r="BI166" s="1219"/>
      <c r="BJ166" s="1546"/>
      <c r="BK166" s="1546"/>
      <c r="BL166" s="26"/>
      <c r="BM166" s="26"/>
      <c r="BN166" s="26"/>
    </row>
    <row r="167" spans="1:66" x14ac:dyDescent="0.25">
      <c r="A167" s="1544">
        <v>0.77013299999999996</v>
      </c>
      <c r="B167" s="1892" t="s">
        <v>783</v>
      </c>
      <c r="C167" s="1392" t="s">
        <v>213</v>
      </c>
      <c r="D167" s="448">
        <f>1.61199713888889*1000*24*365</f>
        <v>14121094.936666677</v>
      </c>
      <c r="E167" s="155">
        <f>+'POWER DISTRIBUTION'!I36</f>
        <v>1203518.4000000001</v>
      </c>
      <c r="F167" s="496">
        <f>+'POWER DISTRIBUTION'!J36</f>
        <v>1090632.9999999993</v>
      </c>
      <c r="G167" s="155">
        <f>+'POWER DISTRIBUTION'!K36</f>
        <v>1243635.68</v>
      </c>
      <c r="H167" s="496">
        <f>+'POWER DISTRIBUTION'!L36</f>
        <v>1231879.1000000001</v>
      </c>
      <c r="I167" s="61">
        <f>+'POWER DISTRIBUTION'!M36</f>
        <v>2447154.08</v>
      </c>
      <c r="J167" s="39">
        <f>+'POWER DISTRIBUTION'!N36</f>
        <v>2322512.0999999996</v>
      </c>
      <c r="K167" s="155">
        <f>+'POWER DISTRIBUTION'!O36</f>
        <v>1154395.2</v>
      </c>
      <c r="L167" s="496">
        <f>+'POWER DISTRIBUTION'!P36</f>
        <v>1198690.0000000007</v>
      </c>
      <c r="M167" s="72">
        <f>+'POWER DISTRIBUTION'!Q36</f>
        <v>3601549.2800000003</v>
      </c>
      <c r="N167" s="125">
        <f>+L167+H167+F167</f>
        <v>3521202.0999999996</v>
      </c>
      <c r="O167" s="155">
        <f>+'POWER DISTRIBUTION'!S36</f>
        <v>1192875.04</v>
      </c>
      <c r="P167" s="496">
        <f>+'POWER DISTRIBUTION'!T36</f>
        <v>1201692</v>
      </c>
      <c r="Q167" s="61">
        <f>+'POWER DISTRIBUTION'!U36</f>
        <v>4794424.32</v>
      </c>
      <c r="R167" s="39">
        <f>+'POWER DISTRIBUTION'!V36</f>
        <v>4722894.1000000006</v>
      </c>
      <c r="S167" s="155">
        <f>+'POWER DISTRIBUTION'!W36</f>
        <v>1192875.04</v>
      </c>
      <c r="T167" s="496">
        <f>+'POWER DISTRIBUTION'!X36</f>
        <v>1172042.9999999998</v>
      </c>
      <c r="U167" s="61">
        <f>+'POWER DISTRIBUTION'!Y36</f>
        <v>5987299.3600000003</v>
      </c>
      <c r="V167" s="39">
        <f>+'POWER DISTRIBUTION'!Z36</f>
        <v>5894937.1000000006</v>
      </c>
      <c r="W167" s="155">
        <f>+'POWER DISTRIBUTION'!AA36</f>
        <v>1131061.68</v>
      </c>
      <c r="X167" s="496">
        <f>+'POWER DISTRIBUTION'!AB36</f>
        <v>1117056.9999999995</v>
      </c>
      <c r="Y167" s="72">
        <f>+'POWER DISTRIBUTION'!AC36</f>
        <v>3516811.76</v>
      </c>
      <c r="Z167" s="84">
        <f>+P167+T167+X167</f>
        <v>3490791.9999999995</v>
      </c>
      <c r="AA167" s="640">
        <f>+'POWER DISTRIBUTION'!AE36</f>
        <v>7118361.04</v>
      </c>
      <c r="AB167" s="454">
        <f>+N167+Z167</f>
        <v>7011994.0999999996</v>
      </c>
      <c r="AC167" s="155">
        <f>+'POWER DISTRIBUTION'!AG36</f>
        <v>1226445.3120000002</v>
      </c>
      <c r="AD167" s="496">
        <f>+'POWER DISTRIBUTION'!AH36</f>
        <v>1233627</v>
      </c>
      <c r="AE167" s="61">
        <f>+'POWER DISTRIBUTION'!AI36</f>
        <v>8344806.352</v>
      </c>
      <c r="AF167" s="39">
        <f>+'POWER DISTRIBUTION'!AJ36</f>
        <v>8245621.0999999996</v>
      </c>
      <c r="AG167" s="155">
        <f>+'POWER DISTRIBUTION'!AK36</f>
        <v>1186882.5600000001</v>
      </c>
      <c r="AH167" s="496">
        <f>+'POWER DISTRIBUTION'!AL36</f>
        <v>1139976.9999999995</v>
      </c>
      <c r="AI167" s="61">
        <f>+'POWER DISTRIBUTION'!AM36</f>
        <v>9531688.9120000005</v>
      </c>
      <c r="AJ167" s="39">
        <f>+'POWER DISTRIBUTION'!AN36</f>
        <v>9385598.0999999996</v>
      </c>
      <c r="AK167" s="155">
        <f>+'POWER DISTRIBUTION'!AO36</f>
        <v>1226445.3120000002</v>
      </c>
      <c r="AL167" s="496">
        <f>+'POWER DISTRIBUTION'!AP36</f>
        <v>1124007</v>
      </c>
      <c r="AM167" s="72">
        <f>+'POWER DISTRIBUTION'!AQ36</f>
        <v>3639773.1840000004</v>
      </c>
      <c r="AN167" s="72">
        <f>+'POWER DISTRIBUTION'!AR36</f>
        <v>3497610.9999999995</v>
      </c>
      <c r="AO167" s="61">
        <f>+'POWER DISTRIBUTION'!AS36</f>
        <v>10758134.224000001</v>
      </c>
      <c r="AP167" s="39">
        <f>+'POWER DISTRIBUTION'!AT36</f>
        <v>10509605.1</v>
      </c>
      <c r="AQ167" s="155">
        <f>+'POWER DISTRIBUTION'!AU36</f>
        <v>1226445.3120000002</v>
      </c>
      <c r="AR167" s="496">
        <f>+'POWER DISTRIBUTION'!AV36</f>
        <v>1063826.0000000007</v>
      </c>
      <c r="AS167" s="61">
        <f>+'POWER DISTRIBUTION'!AW36</f>
        <v>11984579.536000002</v>
      </c>
      <c r="AT167" s="39">
        <f>+'POWER DISTRIBUTION'!AX36</f>
        <v>11573431.1</v>
      </c>
      <c r="AU167" s="155">
        <f>+'POWER DISTRIBUTION'!AY36</f>
        <v>1107757.0560000001</v>
      </c>
      <c r="AV167" s="496">
        <f>+'POWER DISTRIBUTION'!AZ36</f>
        <v>1031726.9999999995</v>
      </c>
      <c r="AW167" s="61">
        <f>+'POWER DISTRIBUTION'!BA36</f>
        <v>13092336.592000002</v>
      </c>
      <c r="AX167" s="39">
        <f>+'POWER DISTRIBUTION'!BB36</f>
        <v>12605158.1</v>
      </c>
      <c r="AY167" s="155">
        <f>+'POWER DISTRIBUTION'!BC36</f>
        <v>1226445.3120000002</v>
      </c>
      <c r="AZ167" s="496">
        <f>+'POWER DISTRIBUTION'!BD36</f>
        <v>1164705.0000000002</v>
      </c>
      <c r="BA167" s="72">
        <f>+'POWER DISTRIBUTION'!BE36</f>
        <v>3560647.6800000006</v>
      </c>
      <c r="BB167" s="69">
        <f>+'POWER DISTRIBUTION'!BF36</f>
        <v>3260258.0000000005</v>
      </c>
      <c r="BC167" s="640">
        <f>+'POWER DISTRIBUTION'!BG36</f>
        <v>7200420.864000001</v>
      </c>
      <c r="BD167" s="454">
        <f>+'POWER DISTRIBUTION'!BH36</f>
        <v>6757869</v>
      </c>
      <c r="BE167" s="61">
        <f>+'POWER DISTRIBUTION'!BI36</f>
        <v>14318781.904000003</v>
      </c>
      <c r="BF167" s="39">
        <f>+'POWER DISTRIBUTION'!BJ36</f>
        <v>13769863.1</v>
      </c>
      <c r="BG167" s="1219"/>
      <c r="BH167" s="1219"/>
      <c r="BI167" s="1219"/>
      <c r="BJ167" s="1546"/>
      <c r="BK167" s="1546"/>
      <c r="BL167" s="26"/>
      <c r="BM167" s="26"/>
      <c r="BN167" s="26"/>
    </row>
    <row r="168" spans="1:66" x14ac:dyDescent="0.25">
      <c r="A168" s="148"/>
      <c r="B168" s="1892" t="s">
        <v>784</v>
      </c>
      <c r="C168" s="1392" t="s">
        <v>214</v>
      </c>
      <c r="D168" s="396">
        <f t="shared" ref="D168:AX168" si="877">+D167/D17</f>
        <v>23.798993873863445</v>
      </c>
      <c r="E168" s="774">
        <f t="shared" si="877"/>
        <v>23.800000000000004</v>
      </c>
      <c r="F168" s="134">
        <f t="shared" si="877"/>
        <v>21.745163014004518</v>
      </c>
      <c r="G168" s="774">
        <f t="shared" ref="G168:H168" si="878">+G167/G17</f>
        <v>23.8</v>
      </c>
      <c r="H168" s="134">
        <f t="shared" si="878"/>
        <v>23.668498977850877</v>
      </c>
      <c r="I168" s="53">
        <f t="shared" si="877"/>
        <v>23.8</v>
      </c>
      <c r="J168" s="107">
        <f t="shared" si="877"/>
        <v>22.724633668093897</v>
      </c>
      <c r="K168" s="774">
        <f t="shared" si="877"/>
        <v>23.8</v>
      </c>
      <c r="L168" s="134">
        <f t="shared" si="877"/>
        <v>24.181568032535562</v>
      </c>
      <c r="M168" s="77">
        <f t="shared" si="877"/>
        <v>23.8</v>
      </c>
      <c r="N168" s="114">
        <f t="shared" si="877"/>
        <v>23.200481904530982</v>
      </c>
      <c r="O168" s="774">
        <f t="shared" ref="O168:P168" si="879">+O167/O17</f>
        <v>23.800000000000004</v>
      </c>
      <c r="P168" s="134">
        <f t="shared" si="879"/>
        <v>23.61927449407991</v>
      </c>
      <c r="Q168" s="53">
        <f t="shared" si="877"/>
        <v>23.8</v>
      </c>
      <c r="R168" s="107">
        <f t="shared" si="877"/>
        <v>23.305624365903057</v>
      </c>
      <c r="S168" s="774">
        <f t="shared" si="877"/>
        <v>23.800000000000004</v>
      </c>
      <c r="T168" s="134">
        <f t="shared" si="877"/>
        <v>22.429899566728412</v>
      </c>
      <c r="U168" s="53">
        <f t="shared" si="877"/>
        <v>23.800000000000004</v>
      </c>
      <c r="V168" s="107">
        <f t="shared" si="877"/>
        <v>23.126106691146472</v>
      </c>
      <c r="W168" s="774">
        <f t="shared" ref="W168:X168" si="880">+W167/W17</f>
        <v>23.8</v>
      </c>
      <c r="X168" s="134">
        <f t="shared" si="880"/>
        <v>22.090195380477763</v>
      </c>
      <c r="Y168" s="77">
        <f t="shared" si="877"/>
        <v>23.8</v>
      </c>
      <c r="Z168" s="114">
        <f t="shared" si="877"/>
        <v>22.711842351814447</v>
      </c>
      <c r="AA168" s="667">
        <f t="shared" si="877"/>
        <v>23.8</v>
      </c>
      <c r="AB168" s="474">
        <f t="shared" si="877"/>
        <v>22.954621372826313</v>
      </c>
      <c r="AC168" s="774">
        <f t="shared" si="877"/>
        <v>23.960000000000004</v>
      </c>
      <c r="AD168" s="134">
        <f t="shared" si="877"/>
        <v>23.608459512837392</v>
      </c>
      <c r="AE168" s="53">
        <f t="shared" si="877"/>
        <v>23.823381291431378</v>
      </c>
      <c r="AF168" s="107">
        <f t="shared" si="877"/>
        <v>23.050128646090748</v>
      </c>
      <c r="AG168" s="774">
        <f t="shared" si="877"/>
        <v>23.960000000000004</v>
      </c>
      <c r="AH168" s="134">
        <f t="shared" si="877"/>
        <v>23.427971918748504</v>
      </c>
      <c r="AI168" s="53">
        <f t="shared" si="877"/>
        <v>23.840308023230804</v>
      </c>
      <c r="AJ168" s="107">
        <f t="shared" si="877"/>
        <v>23.095370048653443</v>
      </c>
      <c r="AK168" s="774">
        <f t="shared" si="877"/>
        <v>23.960000000000004</v>
      </c>
      <c r="AL168" s="134">
        <f t="shared" si="877"/>
        <v>21.510613622793453</v>
      </c>
      <c r="AM168" s="77">
        <f t="shared" si="877"/>
        <v>23.960000000000008</v>
      </c>
      <c r="AN168" s="114">
        <f t="shared" si="877"/>
        <v>22.835426922424034</v>
      </c>
      <c r="AO168" s="53">
        <f t="shared" si="877"/>
        <v>23.853892681438545</v>
      </c>
      <c r="AP168" s="107">
        <f t="shared" si="877"/>
        <v>22.914815388171064</v>
      </c>
      <c r="AQ168" s="774">
        <f t="shared" si="877"/>
        <v>23.960000000000004</v>
      </c>
      <c r="AR168" s="134">
        <f t="shared" si="877"/>
        <v>20.358903501385566</v>
      </c>
      <c r="AS168" s="53">
        <f t="shared" si="877"/>
        <v>23.864708017947052</v>
      </c>
      <c r="AT168" s="107">
        <f t="shared" si="877"/>
        <v>22.653398685748606</v>
      </c>
      <c r="AU168" s="774">
        <f t="shared" si="877"/>
        <v>23.960000000000008</v>
      </c>
      <c r="AV168" s="134">
        <f t="shared" si="877"/>
        <v>21.932039454104832</v>
      </c>
      <c r="AW168" s="53">
        <f t="shared" si="877"/>
        <v>23.872741414458211</v>
      </c>
      <c r="AX168" s="107">
        <f t="shared" si="877"/>
        <v>22.592577503846339</v>
      </c>
      <c r="AY168" s="774">
        <f t="shared" ref="AY168:AZ168" si="881">+AY167/AY17</f>
        <v>23.960000000000004</v>
      </c>
      <c r="AZ168" s="134">
        <f t="shared" si="881"/>
        <v>22.289469050936209</v>
      </c>
      <c r="BA168" s="77">
        <f t="shared" ref="BA168:BF168" si="882">+BA167/BA17</f>
        <v>23.960000000000004</v>
      </c>
      <c r="BB168" s="114">
        <f t="shared" si="882"/>
        <v>21.512868428206815</v>
      </c>
      <c r="BC168" s="667">
        <f t="shared" si="882"/>
        <v>23.960000000000004</v>
      </c>
      <c r="BD168" s="474">
        <f t="shared" si="882"/>
        <v>22.177656382090554</v>
      </c>
      <c r="BE168" s="53">
        <f t="shared" si="882"/>
        <v>23.880190470726607</v>
      </c>
      <c r="BF168" s="107">
        <f t="shared" si="882"/>
        <v>22.566620702630281</v>
      </c>
      <c r="BG168" s="1219"/>
      <c r="BH168" s="1219"/>
      <c r="BI168" s="1219"/>
      <c r="BJ168" s="1546"/>
      <c r="BK168" s="1546"/>
      <c r="BL168" s="26"/>
      <c r="BM168" s="26"/>
      <c r="BN168" s="26"/>
    </row>
    <row r="169" spans="1:66" ht="15.75" thickBot="1" x14ac:dyDescent="0.3">
      <c r="A169" s="148"/>
      <c r="B169" s="1893" t="s">
        <v>218</v>
      </c>
      <c r="C169" s="1412" t="s">
        <v>1091</v>
      </c>
      <c r="D169" s="2814">
        <v>0.84071734845074231</v>
      </c>
      <c r="E169" s="790">
        <v>0.85644299240626509</v>
      </c>
      <c r="F169" s="388">
        <v>0.7</v>
      </c>
      <c r="G169" s="790">
        <v>0.85644299240626509</v>
      </c>
      <c r="H169" s="388">
        <v>0.7</v>
      </c>
      <c r="I169" s="392">
        <f>+((E169*E17)+(G169*G17))/I17</f>
        <v>0.85644299240626498</v>
      </c>
      <c r="J169" s="392">
        <f>+((F169*F17)+(H169*H17))/J17</f>
        <v>0.7</v>
      </c>
      <c r="K169" s="790">
        <v>0.8382680133597229</v>
      </c>
      <c r="L169" s="388">
        <v>0.71</v>
      </c>
      <c r="M169" s="1588">
        <f>+((E169*E17)+(G169*G17)+(K169*K17))/M17</f>
        <v>0.85061741376211308</v>
      </c>
      <c r="N169" s="1588">
        <f>+((F169*F17)+(H169*H17)+(L169*L17))/N17</f>
        <v>0.70326609247506799</v>
      </c>
      <c r="O169" s="790">
        <v>0.8382680133597229</v>
      </c>
      <c r="P169" s="388">
        <v>0.73199999999999998</v>
      </c>
      <c r="Q169" s="392">
        <f>+((M169*M17)+(O169*O17))/Q17</f>
        <v>0.84754482558139554</v>
      </c>
      <c r="R169" s="392">
        <f>+((N169*N17)+(P169*P17))/R17</f>
        <v>0.71048005432014938</v>
      </c>
      <c r="S169" s="790">
        <v>0.8382680133597229</v>
      </c>
      <c r="T169" s="388">
        <v>0.72699999999999998</v>
      </c>
      <c r="U169" s="392">
        <f>+((Q169*Q17)+(S169*S17))/U17</f>
        <v>0.84569656694513451</v>
      </c>
      <c r="V169" s="392">
        <f>+((R169*R17)+(T169*T17))/V17</f>
        <v>0.71386653171390013</v>
      </c>
      <c r="W169" s="790">
        <v>0.82908185402621015</v>
      </c>
      <c r="X169" s="388">
        <v>0.72499999999999998</v>
      </c>
      <c r="Y169" s="393">
        <f>+((O169*O17)+(S169*S17)+(W169*W17))/Y17</f>
        <v>0.83531360080722672</v>
      </c>
      <c r="Z169" s="393">
        <f>+((P169*P17)+(T169*T17)+(X169*X17))/Z17</f>
        <v>0.72799709042076988</v>
      </c>
      <c r="AA169" s="2441">
        <f>+((M169*M17)+(Y169*Y17))/AA17</f>
        <v>0.84305659617079498</v>
      </c>
      <c r="AB169" s="2441">
        <f>+((N169*N17)+(Z169*Z17))/AB17-0.001</f>
        <v>0.71470957207207197</v>
      </c>
      <c r="AC169" s="790">
        <v>0.78585000000000005</v>
      </c>
      <c r="AD169" s="388">
        <v>0.69750000000000001</v>
      </c>
      <c r="AE169" s="1867">
        <f>+((AA169*AA17)+(AC169*AC17))/AE17</f>
        <v>0.83469682056537953</v>
      </c>
      <c r="AF169" s="1867">
        <f>+((AB169*AB17)+(AD169*AD17))/AF17</f>
        <v>0.71219573997499752</v>
      </c>
      <c r="AG169" s="790">
        <v>0.78585000000000016</v>
      </c>
      <c r="AH169" s="388">
        <v>0.73599999999999999</v>
      </c>
      <c r="AI169" s="1867">
        <f>+((AE169*AE17)+(AG169*AG17))/AI17</f>
        <v>0.82864481612449792</v>
      </c>
      <c r="AJ169" s="1867">
        <f>+((AF169*AF17)+(AH169*AH17))/AJ17</f>
        <v>0.7150459643628051</v>
      </c>
      <c r="AK169" s="790">
        <v>0.78585000000000005</v>
      </c>
      <c r="AL169" s="388">
        <v>0.70199999999999996</v>
      </c>
      <c r="AM169" s="395">
        <f>+$D$169</f>
        <v>0.84071734845074231</v>
      </c>
      <c r="AN169" s="393">
        <f>+((AD169*AD17)+(AH169*AH17)+(AL169*AL17))/AN17</f>
        <v>0.71126614261650756</v>
      </c>
      <c r="AO169" s="1867">
        <f>+((AK169*AK17)+(AI169*AI17))/AO17</f>
        <v>0.82378774077319528</v>
      </c>
      <c r="AP169" s="1867">
        <f>+((AL169*AL17)+(AJ169*AJ17))/AP17</f>
        <v>0.7135596099756234</v>
      </c>
      <c r="AQ169" s="790">
        <v>0.78585000000000005</v>
      </c>
      <c r="AR169" s="388">
        <v>0.70299999999999996</v>
      </c>
      <c r="AS169" s="1867">
        <f>+((AO169*AO17)+(AQ169*AQ17))/AS17</f>
        <v>0.81992081209761114</v>
      </c>
      <c r="AT169" s="1867">
        <f>+((AP169*AP17)+(AR169*AR17))/AT17</f>
        <v>0.71247958118708543</v>
      </c>
      <c r="AU169" s="790">
        <v>0.78585000000000016</v>
      </c>
      <c r="AV169" s="388">
        <v>0.7</v>
      </c>
      <c r="AW169" s="1867">
        <f>+((AS169*AS17)+(AU169*AU17))/AW17</f>
        <v>0.81704854165952501</v>
      </c>
      <c r="AX169" s="1867">
        <f>+((AT169*AT17)+(AV169*AV17))/AX17</f>
        <v>0.71142736913496529</v>
      </c>
      <c r="AY169" s="790">
        <v>0.78585000000000005</v>
      </c>
      <c r="AZ169" s="388">
        <v>0.69899999999999995</v>
      </c>
      <c r="BA169" s="393">
        <f>+((AQ169*AQ17)+(AU169*AU17)+(AY169*AY17))/BA17</f>
        <v>0.78585000000000005</v>
      </c>
      <c r="BB169" s="393">
        <f>+((AR169*AR17)+(AV169*AV17)+(AZ169*AZ17))/BB17</f>
        <v>0.70068959255476104</v>
      </c>
      <c r="BC169" s="2441">
        <f>+((AM169*AM17)+(BA169*BA17))/BC17</f>
        <v>0.81358514317290276</v>
      </c>
      <c r="BD169" s="2441">
        <f>+((AN169*AN17)+(BB169*BB17))/BD17</f>
        <v>0.706005926845789</v>
      </c>
      <c r="BE169" s="1867">
        <f>+((AW169*AW17)+(AY169*AY17))/BE17</f>
        <v>0.81438519694827904</v>
      </c>
      <c r="BF169" s="1867">
        <f>+((AX169*AX17)+(AZ169*AZ17))/BF17</f>
        <v>0.71036314691622526</v>
      </c>
      <c r="BG169" s="1219"/>
      <c r="BH169" s="1219"/>
      <c r="BI169" s="1219"/>
      <c r="BJ169" s="1546"/>
      <c r="BK169" s="1546"/>
      <c r="BL169" s="26"/>
      <c r="BM169" s="26"/>
      <c r="BN169" s="26"/>
    </row>
    <row r="170" spans="1:66" ht="19.5" thickBot="1" x14ac:dyDescent="0.3">
      <c r="B170" s="1866" t="s">
        <v>208</v>
      </c>
      <c r="C170" s="1841"/>
      <c r="D170" s="1841"/>
      <c r="E170" s="1841"/>
      <c r="F170" s="1841"/>
      <c r="G170" s="1841"/>
      <c r="H170" s="1841"/>
      <c r="I170" s="1841"/>
      <c r="J170" s="1841"/>
      <c r="K170" s="1841"/>
      <c r="L170" s="1841"/>
      <c r="M170" s="1841"/>
      <c r="N170" s="1841"/>
      <c r="O170" s="1841"/>
      <c r="P170" s="1841"/>
      <c r="Q170" s="1841"/>
      <c r="R170" s="1841"/>
      <c r="S170" s="1841"/>
      <c r="T170" s="1841"/>
      <c r="U170" s="1841"/>
      <c r="V170" s="1841"/>
      <c r="W170" s="1841"/>
      <c r="X170" s="1841"/>
      <c r="Y170" s="533"/>
      <c r="Z170" s="533"/>
      <c r="AA170" s="533"/>
      <c r="AB170" s="1868"/>
      <c r="AC170" s="1841"/>
      <c r="AD170" s="1841"/>
      <c r="AE170" s="1841"/>
      <c r="AF170" s="1842"/>
      <c r="AG170" s="1841"/>
      <c r="AH170" s="1841"/>
      <c r="AI170" s="1841"/>
      <c r="AJ170" s="1842"/>
      <c r="AK170" s="1841"/>
      <c r="AL170" s="1841"/>
      <c r="AM170" s="533"/>
      <c r="AN170" s="533"/>
      <c r="AO170" s="1841"/>
      <c r="AP170" s="1842"/>
      <c r="AQ170" s="1841"/>
      <c r="AR170" s="1841"/>
      <c r="AS170" s="1841"/>
      <c r="AT170" s="1842"/>
      <c r="AU170" s="1841"/>
      <c r="AV170" s="1841"/>
      <c r="AW170" s="1841"/>
      <c r="AX170" s="1842"/>
      <c r="AY170" s="1841"/>
      <c r="AZ170" s="1841"/>
      <c r="BA170" s="533"/>
      <c r="BB170" s="533"/>
      <c r="BC170" s="533"/>
      <c r="BD170" s="1868"/>
      <c r="BE170" s="1841"/>
      <c r="BF170" s="1842"/>
      <c r="BG170" s="1219"/>
      <c r="BH170" s="1219"/>
      <c r="BI170" s="1219"/>
      <c r="BJ170" s="1546"/>
      <c r="BK170" s="1546"/>
      <c r="BL170" s="26"/>
      <c r="BM170" s="26"/>
      <c r="BN170" s="26"/>
    </row>
    <row r="171" spans="1:66" ht="21" thickBot="1" x14ac:dyDescent="0.3">
      <c r="B171" s="1905" t="s">
        <v>196</v>
      </c>
      <c r="C171" s="1841"/>
      <c r="D171" s="1841"/>
      <c r="E171" s="1841"/>
      <c r="F171" s="1841"/>
      <c r="G171" s="1841"/>
      <c r="H171" s="1841"/>
      <c r="I171" s="1841"/>
      <c r="J171" s="1841"/>
      <c r="K171" s="1841"/>
      <c r="L171" s="1841"/>
      <c r="M171" s="1841"/>
      <c r="N171" s="1841"/>
      <c r="O171" s="1841"/>
      <c r="P171" s="1841"/>
      <c r="Q171" s="1841"/>
      <c r="R171" s="1841"/>
      <c r="S171" s="1841"/>
      <c r="T171" s="1841"/>
      <c r="U171" s="1841"/>
      <c r="V171" s="1841"/>
      <c r="W171" s="1841"/>
      <c r="X171" s="1841"/>
      <c r="Y171" s="1841"/>
      <c r="Z171" s="1841"/>
      <c r="AA171" s="1841"/>
      <c r="AB171" s="1842"/>
      <c r="AC171" s="1841"/>
      <c r="AD171" s="1841"/>
      <c r="AE171" s="1841"/>
      <c r="AF171" s="1842"/>
      <c r="AG171" s="1841"/>
      <c r="AH171" s="1841"/>
      <c r="AI171" s="1841"/>
      <c r="AJ171" s="1842"/>
      <c r="AK171" s="1841"/>
      <c r="AL171" s="1841"/>
      <c r="AM171" s="1841"/>
      <c r="AN171" s="1841"/>
      <c r="AO171" s="1841"/>
      <c r="AP171" s="1842"/>
      <c r="AQ171" s="1841"/>
      <c r="AR171" s="1841"/>
      <c r="AS171" s="1841"/>
      <c r="AT171" s="1842"/>
      <c r="AU171" s="1841"/>
      <c r="AV171" s="1841"/>
      <c r="AW171" s="1841"/>
      <c r="AX171" s="1842"/>
      <c r="AY171" s="1841"/>
      <c r="AZ171" s="1841"/>
      <c r="BA171" s="1841"/>
      <c r="BB171" s="1841"/>
      <c r="BC171" s="1841"/>
      <c r="BD171" s="1842"/>
      <c r="BE171" s="1841"/>
      <c r="BF171" s="1842"/>
      <c r="BG171" s="1219"/>
      <c r="BH171" s="1219"/>
      <c r="BI171" s="1219"/>
      <c r="BJ171" s="1546"/>
      <c r="BK171" s="1546"/>
      <c r="BL171" s="26"/>
      <c r="BM171" s="26"/>
      <c r="BN171" s="26"/>
    </row>
    <row r="172" spans="1:66" x14ac:dyDescent="0.25">
      <c r="B172" s="1887" t="s">
        <v>194</v>
      </c>
      <c r="C172" s="1329" t="s">
        <v>49</v>
      </c>
      <c r="D172" s="1888">
        <f>+D115/D125*100</f>
        <v>72.02374409145871</v>
      </c>
      <c r="E172" s="767">
        <f>+E115/E125*100</f>
        <v>72.023744091458724</v>
      </c>
      <c r="F172" s="1889">
        <f>+F115/F125*100</f>
        <v>70.728115345005151</v>
      </c>
      <c r="G172" s="767">
        <f>+G115/G125*100</f>
        <v>72.023744091458724</v>
      </c>
      <c r="H172" s="1889">
        <f>+H115/H125*100</f>
        <v>70.99999761388338</v>
      </c>
      <c r="I172" s="768">
        <f t="shared" ref="I172:N172" si="883">+I115/I125*100</f>
        <v>72.023744091458724</v>
      </c>
      <c r="J172" s="1890">
        <f t="shared" si="883"/>
        <v>70.866553130184585</v>
      </c>
      <c r="K172" s="767">
        <f>+K115/K125*100</f>
        <v>72.023744091458724</v>
      </c>
      <c r="L172" s="1889">
        <f>+L115/L125*100</f>
        <v>70.999995215553483</v>
      </c>
      <c r="M172" s="1574">
        <f t="shared" ref="M172" si="884">+M115/M125*100</f>
        <v>72.023744091458724</v>
      </c>
      <c r="N172" s="1891">
        <f t="shared" si="883"/>
        <v>70.910898718337052</v>
      </c>
      <c r="O172" s="767">
        <f>+O115/O125*100</f>
        <v>72.023744091458724</v>
      </c>
      <c r="P172" s="1889">
        <f>+P115/P125*100</f>
        <v>71.000006296860505</v>
      </c>
      <c r="Q172" s="768">
        <f t="shared" ref="Q172" si="885">+Q115/Q125*100</f>
        <v>72.023744091458724</v>
      </c>
      <c r="R172" s="1890">
        <f t="shared" ref="R172:AB172" si="886">+R115/R125*100</f>
        <v>70.93376802301141</v>
      </c>
      <c r="S172" s="767">
        <f>+S115/S125*100</f>
        <v>72.023744091458724</v>
      </c>
      <c r="T172" s="1889">
        <f>+T115/T125*100</f>
        <v>71.000000188889203</v>
      </c>
      <c r="U172" s="768">
        <f t="shared" ref="U172:V172" si="887">+U115/U125*100</f>
        <v>72.023744091458724</v>
      </c>
      <c r="V172" s="1890">
        <f t="shared" si="887"/>
        <v>70.947242112194601</v>
      </c>
      <c r="W172" s="767">
        <f>+W115/W125*100</f>
        <v>72.023744091458724</v>
      </c>
      <c r="X172" s="1889">
        <f>+X115/X125*100</f>
        <v>70.999999902654807</v>
      </c>
      <c r="Y172" s="353">
        <f t="shared" si="886"/>
        <v>72.023744091458724</v>
      </c>
      <c r="Z172" s="353">
        <f t="shared" si="886"/>
        <v>71.000002158650517</v>
      </c>
      <c r="AA172" s="466">
        <f t="shared" si="886"/>
        <v>72.023744091458724</v>
      </c>
      <c r="AB172" s="474">
        <f t="shared" si="886"/>
        <v>70.955938709030022</v>
      </c>
      <c r="AC172" s="767">
        <f>+AC115/AC125*100</f>
        <v>74.999999999999986</v>
      </c>
      <c r="AD172" s="1889">
        <f>+AD115/AD125*100</f>
        <v>73.332910405829153</v>
      </c>
      <c r="AE172" s="768">
        <f t="shared" ref="AE172:AF172" si="888">+AE115/AE125*100</f>
        <v>72.457548308649294</v>
      </c>
      <c r="AF172" s="1890">
        <f t="shared" si="888"/>
        <v>71.313494537215632</v>
      </c>
      <c r="AG172" s="767">
        <f>+AG115/AG125*100</f>
        <v>75</v>
      </c>
      <c r="AH172" s="1889">
        <f>+AH115/AH125*100</f>
        <v>71.68280767185928</v>
      </c>
      <c r="AI172" s="768">
        <f t="shared" ref="AI172:AN172" si="889">+AI115/AI125*100</f>
        <v>72.771837801367454</v>
      </c>
      <c r="AJ172" s="1890">
        <f t="shared" si="889"/>
        <v>71.358835191972474</v>
      </c>
      <c r="AK172" s="767">
        <f>+AK115/AK125*100</f>
        <v>74.999999999999986</v>
      </c>
      <c r="AL172" s="1889">
        <f>+AL115/AL125*100</f>
        <v>72.704648663961649</v>
      </c>
      <c r="AM172" s="353">
        <f t="shared" si="889"/>
        <v>75</v>
      </c>
      <c r="AN172" s="353">
        <f t="shared" si="889"/>
        <v>72.594013457492068</v>
      </c>
      <c r="AO172" s="768">
        <f t="shared" ref="AO172:AT172" si="890">+AO115/AO125*100</f>
        <v>73.024218689533214</v>
      </c>
      <c r="AP172" s="1890">
        <f t="shared" si="890"/>
        <v>71.513506626997881</v>
      </c>
      <c r="AQ172" s="767">
        <f>+AQ115/AQ125*100</f>
        <v>74.999999999999986</v>
      </c>
      <c r="AR172" s="1889">
        <f>+AR115/AR125*100</f>
        <v>73.806445286150435</v>
      </c>
      <c r="AS172" s="768">
        <f t="shared" si="890"/>
        <v>73.225242991272125</v>
      </c>
      <c r="AT172" s="1890">
        <f t="shared" si="890"/>
        <v>71.744516001022404</v>
      </c>
      <c r="AU172" s="767">
        <f>+AU115/AU125*100</f>
        <v>75</v>
      </c>
      <c r="AV172" s="1889">
        <f>+AV115/AV125*100</f>
        <v>75.428574001044424</v>
      </c>
      <c r="AW172" s="768">
        <f t="shared" ref="AW172:AX172" si="891">+AW115/AW125*100</f>
        <v>73.374612811734536</v>
      </c>
      <c r="AX172" s="1890">
        <f t="shared" si="891"/>
        <v>72.051536804138067</v>
      </c>
      <c r="AY172" s="767">
        <f>+AY115/AY125*100</f>
        <v>74.999999999999986</v>
      </c>
      <c r="AZ172" s="1889">
        <f t="shared" ref="AZ172:BF172" si="892">+AZ115/AZ125*100</f>
        <v>68.668936550528954</v>
      </c>
      <c r="BA172" s="353">
        <f t="shared" si="892"/>
        <v>75</v>
      </c>
      <c r="BB172" s="353">
        <f t="shared" si="892"/>
        <v>72.613109825297713</v>
      </c>
      <c r="BC172" s="466">
        <f t="shared" si="892"/>
        <v>74.999999999999986</v>
      </c>
      <c r="BD172" s="474">
        <f t="shared" si="892"/>
        <v>72.603255043680861</v>
      </c>
      <c r="BE172" s="768">
        <f t="shared" si="892"/>
        <v>73.513158290320746</v>
      </c>
      <c r="BF172" s="1890">
        <f t="shared" si="892"/>
        <v>71.779572246229179</v>
      </c>
      <c r="BG172" s="1219"/>
      <c r="BH172" s="1219"/>
      <c r="BI172" s="1219"/>
      <c r="BJ172" s="1546"/>
      <c r="BK172" s="1546"/>
      <c r="BL172" s="26"/>
      <c r="BM172" s="26"/>
      <c r="BN172" s="26"/>
    </row>
    <row r="173" spans="1:66" x14ac:dyDescent="0.25">
      <c r="B173" s="1846" t="s">
        <v>195</v>
      </c>
      <c r="C173" s="1392" t="s">
        <v>49</v>
      </c>
      <c r="D173" s="106">
        <f>+D120/D125*100</f>
        <v>25.008244476200947</v>
      </c>
      <c r="E173" s="769">
        <f>+E120/E125*100</f>
        <v>25.008244476200947</v>
      </c>
      <c r="F173" s="132">
        <f>+F120/F125*100</f>
        <v>23.864057672502575</v>
      </c>
      <c r="G173" s="769">
        <f>+G120/G125*100</f>
        <v>25.008244476200943</v>
      </c>
      <c r="H173" s="132">
        <f>+H120/H125*100</f>
        <v>23.999999999999996</v>
      </c>
      <c r="I173" s="53">
        <f t="shared" ref="I173:N173" si="893">+I120/I125*100</f>
        <v>25.008244476200947</v>
      </c>
      <c r="J173" s="105">
        <f t="shared" si="893"/>
        <v>23.933277172577107</v>
      </c>
      <c r="K173" s="769">
        <f>+K120/K125*100</f>
        <v>25.008244476200947</v>
      </c>
      <c r="L173" s="132">
        <f>+L120/L125*100</f>
        <v>24.000004296237698</v>
      </c>
      <c r="M173" s="77">
        <f t="shared" ref="M173" si="894">+M120/M125*100</f>
        <v>25.008244476200943</v>
      </c>
      <c r="N173" s="113">
        <f t="shared" si="893"/>
        <v>23.955451987488544</v>
      </c>
      <c r="O173" s="769">
        <f>+O120/O125*100</f>
        <v>25.008244476200943</v>
      </c>
      <c r="P173" s="132">
        <f>+P120/P125*100</f>
        <v>23.999995112884385</v>
      </c>
      <c r="Q173" s="53">
        <f t="shared" ref="Q173" si="895">+Q120/Q125*100</f>
        <v>25.008244476200947</v>
      </c>
      <c r="R173" s="105">
        <f t="shared" ref="R173" si="896">+R120/R125*100</f>
        <v>23.966883902963129</v>
      </c>
      <c r="S173" s="769">
        <f>+S120/S125*100</f>
        <v>25.008244476200943</v>
      </c>
      <c r="T173" s="132">
        <f>+T120/T125*100</f>
        <v>23.999999811110804</v>
      </c>
      <c r="U173" s="53">
        <f t="shared" ref="U173:V173" si="897">+U120/U125*100</f>
        <v>25.008244476200943</v>
      </c>
      <c r="V173" s="105">
        <f t="shared" si="897"/>
        <v>23.973620911995685</v>
      </c>
      <c r="W173" s="769">
        <f>+W120/W125*100</f>
        <v>25.008244476200943</v>
      </c>
      <c r="X173" s="132">
        <f>+X120/X125*100</f>
        <v>23.999999610619231</v>
      </c>
      <c r="Y173" s="353">
        <f t="shared" ref="Y173:AF173" si="898">+Y120/Y125*100</f>
        <v>25.008244476200943</v>
      </c>
      <c r="Z173" s="353">
        <f t="shared" si="898"/>
        <v>23.999998158798082</v>
      </c>
      <c r="AA173" s="466">
        <f t="shared" si="898"/>
        <v>25.008244476200943</v>
      </c>
      <c r="AB173" s="474">
        <f t="shared" si="898"/>
        <v>23.977969178004763</v>
      </c>
      <c r="AC173" s="769">
        <f>+AC120/AC125*100</f>
        <v>25</v>
      </c>
      <c r="AD173" s="132">
        <f>+AD120/AD125*100</f>
        <v>23.809610121259357</v>
      </c>
      <c r="AE173" s="53">
        <f t="shared" si="898"/>
        <v>25.007042802469108</v>
      </c>
      <c r="AF173" s="105">
        <f t="shared" si="898"/>
        <v>23.952643776760723</v>
      </c>
      <c r="AG173" s="769">
        <f>+AG120/AG125*100</f>
        <v>25.000000000000007</v>
      </c>
      <c r="AH173" s="132">
        <f>+AH120/AH125*100</f>
        <v>23.809296057875006</v>
      </c>
      <c r="AI173" s="53">
        <f t="shared" ref="AI173:AN173" si="899">+AI120/AI125*100</f>
        <v>25.006172194456045</v>
      </c>
      <c r="AJ173" s="105">
        <f t="shared" si="899"/>
        <v>23.935044945789151</v>
      </c>
      <c r="AK173" s="769">
        <f>+AK120/AK125*100</f>
        <v>25</v>
      </c>
      <c r="AL173" s="132">
        <f>+AL120/AL125*100</f>
        <v>24.370845789078004</v>
      </c>
      <c r="AM173" s="353">
        <f t="shared" si="899"/>
        <v>25</v>
      </c>
      <c r="AN173" s="353">
        <f t="shared" si="899"/>
        <v>23.999008653910288</v>
      </c>
      <c r="AO173" s="53">
        <f t="shared" ref="AO173:AT173" si="900">+AO120/AO125*100</f>
        <v>25.005473078422341</v>
      </c>
      <c r="AP173" s="105">
        <f t="shared" si="900"/>
        <v>23.985130595264138</v>
      </c>
      <c r="AQ173" s="769">
        <f>+AQ120/AQ125*100</f>
        <v>25</v>
      </c>
      <c r="AR173" s="132">
        <f>+AR120/AR125*100</f>
        <v>23.193550556965743</v>
      </c>
      <c r="AS173" s="53">
        <f t="shared" si="900"/>
        <v>25.004916224400901</v>
      </c>
      <c r="AT173" s="105">
        <f t="shared" si="900"/>
        <v>23.905380354930532</v>
      </c>
      <c r="AU173" s="769">
        <f>+AU120/AU125*100</f>
        <v>25</v>
      </c>
      <c r="AV173" s="132">
        <f>+AV120/AV125*100</f>
        <v>21.571428930378296</v>
      </c>
      <c r="AW173" s="53">
        <f t="shared" ref="AW173:AX173" si="901">+AW120/AW125*100</f>
        <v>25.004502457585215</v>
      </c>
      <c r="AX173" s="105">
        <f t="shared" si="901"/>
        <v>23.710874285592137</v>
      </c>
      <c r="AY173" s="769">
        <f>+AY120/AY125*100</f>
        <v>25</v>
      </c>
      <c r="AZ173" s="132">
        <f>+AZ120/AZ125*100</f>
        <v>26.450513767545168</v>
      </c>
      <c r="BA173" s="353">
        <f t="shared" ref="BA173:BF173" si="902">+BA120/BA125*100</f>
        <v>25</v>
      </c>
      <c r="BB173" s="353">
        <f t="shared" si="902"/>
        <v>23.762013880219069</v>
      </c>
      <c r="BC173" s="466">
        <f t="shared" si="902"/>
        <v>25</v>
      </c>
      <c r="BD173" s="474">
        <f t="shared" si="902"/>
        <v>23.884316286772485</v>
      </c>
      <c r="BE173" s="53">
        <f t="shared" si="902"/>
        <v>25.004118675096059</v>
      </c>
      <c r="BF173" s="105">
        <f t="shared" si="902"/>
        <v>23.931144132655522</v>
      </c>
      <c r="BG173" s="1219"/>
      <c r="BH173" s="1219"/>
      <c r="BI173" s="1219"/>
      <c r="BJ173" s="1546"/>
      <c r="BK173" s="1546"/>
      <c r="BL173" s="26"/>
      <c r="BM173" s="26"/>
      <c r="BN173" s="26"/>
    </row>
    <row r="174" spans="1:66" ht="15.75" thickBot="1" x14ac:dyDescent="0.3">
      <c r="A174" s="148"/>
      <c r="B174" s="1876" t="s">
        <v>12</v>
      </c>
      <c r="C174" s="1393" t="s">
        <v>49</v>
      </c>
      <c r="D174" s="540">
        <f t="shared" ref="D174:J174" si="903">SUM(D172:D173)</f>
        <v>97.031988567659653</v>
      </c>
      <c r="E174" s="1377">
        <f t="shared" si="903"/>
        <v>97.031988567659667</v>
      </c>
      <c r="F174" s="538">
        <f t="shared" si="903"/>
        <v>94.592173017507719</v>
      </c>
      <c r="G174" s="1377">
        <f t="shared" ref="G174:H174" si="904">SUM(G172:G173)</f>
        <v>97.031988567659667</v>
      </c>
      <c r="H174" s="538">
        <f t="shared" si="904"/>
        <v>94.99999761388338</v>
      </c>
      <c r="I174" s="1378">
        <f t="shared" si="903"/>
        <v>97.031988567659667</v>
      </c>
      <c r="J174" s="539">
        <f t="shared" si="903"/>
        <v>94.799830302761691</v>
      </c>
      <c r="K174" s="1377">
        <f t="shared" ref="K174:L174" si="905">SUM(K172:K173)</f>
        <v>97.031988567659667</v>
      </c>
      <c r="L174" s="538">
        <f t="shared" si="905"/>
        <v>94.999999511791174</v>
      </c>
      <c r="M174" s="1379">
        <f t="shared" ref="M174" si="906">SUM(M172:M173)</f>
        <v>97.031988567659667</v>
      </c>
      <c r="N174" s="541">
        <f t="shared" ref="N174:P174" si="907">SUM(N172:N173)</f>
        <v>94.866350705825596</v>
      </c>
      <c r="O174" s="1377">
        <f t="shared" si="907"/>
        <v>97.031988567659667</v>
      </c>
      <c r="P174" s="538">
        <f t="shared" si="907"/>
        <v>95.000001409744897</v>
      </c>
      <c r="Q174" s="1378">
        <f t="shared" ref="Q174" si="908">SUM(Q172:Q173)</f>
        <v>97.031988567659667</v>
      </c>
      <c r="R174" s="539">
        <f t="shared" ref="R174:U174" si="909">SUM(R172:R173)</f>
        <v>94.900651925974543</v>
      </c>
      <c r="S174" s="1377">
        <f t="shared" si="909"/>
        <v>97.031988567659667</v>
      </c>
      <c r="T174" s="538">
        <f t="shared" si="909"/>
        <v>95</v>
      </c>
      <c r="U174" s="1378">
        <f t="shared" si="909"/>
        <v>97.031988567659667</v>
      </c>
      <c r="V174" s="539">
        <f t="shared" ref="V174:X174" si="910">SUM(V172:V173)</f>
        <v>94.920863024190282</v>
      </c>
      <c r="W174" s="1377">
        <f t="shared" si="910"/>
        <v>97.031988567659667</v>
      </c>
      <c r="X174" s="538">
        <f t="shared" si="910"/>
        <v>94.999999513274034</v>
      </c>
      <c r="Y174" s="620">
        <f t="shared" ref="Y174:AF174" si="911">SUM(Y172:Y173)</f>
        <v>97.031988567659667</v>
      </c>
      <c r="Z174" s="620">
        <f t="shared" si="911"/>
        <v>95.000000317448595</v>
      </c>
      <c r="AA174" s="466">
        <f t="shared" si="911"/>
        <v>97.031988567659667</v>
      </c>
      <c r="AB174" s="2313">
        <f t="shared" si="911"/>
        <v>94.933907887034792</v>
      </c>
      <c r="AC174" s="1377">
        <f t="shared" si="911"/>
        <v>99.999999999999986</v>
      </c>
      <c r="AD174" s="538">
        <f t="shared" si="911"/>
        <v>97.142520527088507</v>
      </c>
      <c r="AE174" s="1378">
        <f t="shared" si="911"/>
        <v>97.464591111118409</v>
      </c>
      <c r="AF174" s="539">
        <f t="shared" si="911"/>
        <v>95.266138313976356</v>
      </c>
      <c r="AG174" s="1377">
        <f t="shared" ref="AG174:AH174" si="912">SUM(AG172:AG173)</f>
        <v>100</v>
      </c>
      <c r="AH174" s="538">
        <f t="shared" si="912"/>
        <v>95.492103729734282</v>
      </c>
      <c r="AI174" s="1378">
        <f t="shared" ref="AI174:AN174" si="913">SUM(AI172:AI173)</f>
        <v>97.778009995823496</v>
      </c>
      <c r="AJ174" s="539">
        <f t="shared" si="913"/>
        <v>95.293880137761619</v>
      </c>
      <c r="AK174" s="1377">
        <f t="shared" si="913"/>
        <v>99.999999999999986</v>
      </c>
      <c r="AL174" s="538">
        <f t="shared" si="913"/>
        <v>97.075494453039653</v>
      </c>
      <c r="AM174" s="620">
        <f t="shared" si="913"/>
        <v>100</v>
      </c>
      <c r="AN174" s="620">
        <f t="shared" si="913"/>
        <v>96.593022111402348</v>
      </c>
      <c r="AO174" s="1378">
        <f t="shared" ref="AO174:AT174" si="914">SUM(AO172:AO173)</f>
        <v>98.029691767955555</v>
      </c>
      <c r="AP174" s="539">
        <f t="shared" si="914"/>
        <v>95.498637222262019</v>
      </c>
      <c r="AQ174" s="1377">
        <f t="shared" si="914"/>
        <v>99.999999999999986</v>
      </c>
      <c r="AR174" s="538">
        <f t="shared" si="914"/>
        <v>96.999995843116182</v>
      </c>
      <c r="AS174" s="1378">
        <f t="shared" si="914"/>
        <v>98.230159215673027</v>
      </c>
      <c r="AT174" s="539">
        <f t="shared" si="914"/>
        <v>95.649896355952933</v>
      </c>
      <c r="AU174" s="1377">
        <f t="shared" ref="AU174:AX174" si="915">SUM(AU172:AU173)</f>
        <v>100</v>
      </c>
      <c r="AV174" s="538">
        <f t="shared" si="915"/>
        <v>97.000002931422728</v>
      </c>
      <c r="AW174" s="1378">
        <f t="shared" si="915"/>
        <v>98.379115269319755</v>
      </c>
      <c r="AX174" s="539">
        <f t="shared" si="915"/>
        <v>95.762411089730207</v>
      </c>
      <c r="AY174" s="1377">
        <f t="shared" ref="AY174:AZ174" si="916">SUM(AY172:AY173)</f>
        <v>99.999999999999986</v>
      </c>
      <c r="AZ174" s="538">
        <f t="shared" si="916"/>
        <v>95.119450318074115</v>
      </c>
      <c r="BA174" s="620">
        <f t="shared" ref="BA174:BF174" si="917">SUM(BA172:BA173)</f>
        <v>100</v>
      </c>
      <c r="BB174" s="620">
        <f t="shared" si="917"/>
        <v>96.375123705516785</v>
      </c>
      <c r="BC174" s="466">
        <f t="shared" si="917"/>
        <v>99.999999999999986</v>
      </c>
      <c r="BD174" s="2313">
        <f t="shared" si="917"/>
        <v>96.487571330453349</v>
      </c>
      <c r="BE174" s="1378">
        <f t="shared" si="917"/>
        <v>98.517276965416812</v>
      </c>
      <c r="BF174" s="539">
        <f t="shared" si="917"/>
        <v>95.710716378884698</v>
      </c>
      <c r="BG174" s="1219"/>
      <c r="BH174" s="1219"/>
      <c r="BI174" s="1219"/>
      <c r="BJ174" s="1546"/>
      <c r="BK174" s="1546"/>
      <c r="BL174" s="26"/>
      <c r="BM174" s="26"/>
      <c r="BN174" s="26"/>
    </row>
    <row r="175" spans="1:66" ht="15.75" thickBot="1" x14ac:dyDescent="0.3">
      <c r="B175" s="1877" t="s">
        <v>198</v>
      </c>
      <c r="C175" s="1412" t="s">
        <v>49</v>
      </c>
      <c r="D175" s="1836">
        <f>+((+D122+D123+D124)/D125)*100</f>
        <v>2.9680114323403322</v>
      </c>
      <c r="E175" s="1837">
        <f>+((+E122+E123+E124)/E125)*100</f>
        <v>2.9680114323403366</v>
      </c>
      <c r="F175" s="1838">
        <f>+((+F122+F123+F124)/F125)*100</f>
        <v>5.4078269824922778</v>
      </c>
      <c r="G175" s="1837">
        <f>+((+G122+G123+G124)/G125)*100</f>
        <v>2.9680114323403313</v>
      </c>
      <c r="H175" s="1838">
        <f>+((+H122+H123+H124)/H125)*100</f>
        <v>5.0000023861166181</v>
      </c>
      <c r="I175" s="593">
        <f t="shared" ref="I175:N175" si="918">+((+I122+I123+I124)/I125)*100</f>
        <v>2.9680114323403339</v>
      </c>
      <c r="J175" s="593">
        <f t="shared" si="918"/>
        <v>5.2001696972383176</v>
      </c>
      <c r="K175" s="1837">
        <f>+((+K122+K123+K124)/K125)*100</f>
        <v>2.9680114323403366</v>
      </c>
      <c r="L175" s="1838">
        <f>+((+L122+L123+L124)/L125)*100</f>
        <v>5.0000004882088298</v>
      </c>
      <c r="M175" s="1839">
        <f t="shared" ref="M175" si="919">+((+M122+M123+M124)/M125)*100</f>
        <v>2.9680114323403344</v>
      </c>
      <c r="N175" s="177">
        <f t="shared" si="918"/>
        <v>5.1336492941743934</v>
      </c>
      <c r="O175" s="1837">
        <f>+((+O122+O123+O124)/O125)*100</f>
        <v>2.9680114323403313</v>
      </c>
      <c r="P175" s="1838">
        <f>+((+P122+P123+P124)/P125)*100</f>
        <v>4.9999985902551103</v>
      </c>
      <c r="Q175" s="593">
        <f t="shared" ref="Q175" si="920">+((+Q122+Q123+Q124)/Q125)*100</f>
        <v>2.9680114323403339</v>
      </c>
      <c r="R175" s="593">
        <f t="shared" ref="R175" si="921">+((+R122+R123+R124)/R125)*100</f>
        <v>5.0993480740254542</v>
      </c>
      <c r="S175" s="1837">
        <f>+((+S122+S123+S124)/S125)*100</f>
        <v>2.9680114323403313</v>
      </c>
      <c r="T175" s="1838">
        <f>+((+T122+T123+T124)/T125)*100</f>
        <v>5</v>
      </c>
      <c r="U175" s="593">
        <f t="shared" ref="U175:V175" si="922">+((+U122+U123+U124)/U125)*100</f>
        <v>2.9680114323403335</v>
      </c>
      <c r="V175" s="593">
        <f t="shared" si="922"/>
        <v>5.0791369758097202</v>
      </c>
      <c r="W175" s="1837">
        <f>+((+W122+W123+W124)/W125)*100</f>
        <v>2.9680114323403335</v>
      </c>
      <c r="X175" s="1838">
        <f>+((+X122+X123+X124)/X125)*100</f>
        <v>5.0000004867259609</v>
      </c>
      <c r="Y175" s="353">
        <f t="shared" ref="Y175:AF175" si="923">+((+Y122+Y123+Y124)/Y125)*100</f>
        <v>2.9680114323403317</v>
      </c>
      <c r="Z175" s="353">
        <f t="shared" si="923"/>
        <v>4.999999682551393</v>
      </c>
      <c r="AA175" s="466">
        <f t="shared" si="923"/>
        <v>2.968011432340333</v>
      </c>
      <c r="AB175" s="474">
        <f t="shared" si="923"/>
        <v>5.0660921129652126</v>
      </c>
      <c r="AC175" s="1837">
        <f>+((+AC122+AC123+AC124)/AC125)*100</f>
        <v>0</v>
      </c>
      <c r="AD175" s="1838">
        <f>+((+AD122+AD123+AD124)/AD125)*100</f>
        <v>2.8574794729114932</v>
      </c>
      <c r="AE175" s="593">
        <f t="shared" si="923"/>
        <v>2.5354088888815922</v>
      </c>
      <c r="AF175" s="131">
        <f t="shared" si="923"/>
        <v>4.7338616860236318</v>
      </c>
      <c r="AG175" s="1837">
        <f>+((+AG122+AG123+AG124)/AG125)*100</f>
        <v>0</v>
      </c>
      <c r="AH175" s="1838">
        <f>+((+AH122+AH123+AH124)/AH125)*100</f>
        <v>4.5078962702657108</v>
      </c>
      <c r="AI175" s="593">
        <f t="shared" ref="AI175:AN175" si="924">+((+AI122+AI123+AI124)/AI125)*100</f>
        <v>2.221990004176488</v>
      </c>
      <c r="AJ175" s="131">
        <f t="shared" si="924"/>
        <v>4.706119862238376</v>
      </c>
      <c r="AK175" s="1837">
        <f>+((+AK122+AK123+AK124)/AK125)*100</f>
        <v>0</v>
      </c>
      <c r="AL175" s="1838">
        <f>+((+AL122+AL123+AL124)/AL125)*100</f>
        <v>2.9245055469603409</v>
      </c>
      <c r="AM175" s="353">
        <f t="shared" si="924"/>
        <v>0</v>
      </c>
      <c r="AN175" s="353">
        <f t="shared" si="924"/>
        <v>3.4069778885976385</v>
      </c>
      <c r="AO175" s="593">
        <f t="shared" ref="AO175:AT175" si="925">+((+AO122+AO123+AO124)/AO125)*100</f>
        <v>1.9703082320444358</v>
      </c>
      <c r="AP175" s="131">
        <f t="shared" si="925"/>
        <v>4.5013627777379925</v>
      </c>
      <c r="AQ175" s="1837">
        <f>+((+AQ122+AQ123+AQ124)/AQ125)*100</f>
        <v>0</v>
      </c>
      <c r="AR175" s="1838">
        <f>+((+AR122+AR123+AR124)/AR125)*100</f>
        <v>3.0000041568838181</v>
      </c>
      <c r="AS175" s="593">
        <f t="shared" si="925"/>
        <v>1.7698407843269655</v>
      </c>
      <c r="AT175" s="131">
        <f t="shared" si="925"/>
        <v>4.3501036440470653</v>
      </c>
      <c r="AU175" s="1837">
        <f>+((+AU122+AU123+AU124)/AU125)*100</f>
        <v>0</v>
      </c>
      <c r="AV175" s="1838">
        <f>+((+AV122+AV123+AV124)/AV125)*100</f>
        <v>2.9999970685772848</v>
      </c>
      <c r="AW175" s="593">
        <f t="shared" ref="AW175:AX175" si="926">+((+AW122+AW123+AW124)/AW125)*100</f>
        <v>1.6208847306802345</v>
      </c>
      <c r="AX175" s="131">
        <f t="shared" si="926"/>
        <v>4.2375889102698059</v>
      </c>
      <c r="AY175" s="1837">
        <f>+((+AY122+AY123+AY124)/AY125)*100</f>
        <v>0</v>
      </c>
      <c r="AZ175" s="1838">
        <f>+((+AZ122+AZ123+AZ124)/AZ125)*100</f>
        <v>4.8805496819258627</v>
      </c>
      <c r="BA175" s="353">
        <f t="shared" ref="BA175:BF175" si="927">+((+BA122+BA123+BA124)/BA125)*100</f>
        <v>0</v>
      </c>
      <c r="BB175" s="353">
        <f t="shared" si="927"/>
        <v>3.6248762944832098</v>
      </c>
      <c r="BC175" s="466">
        <f t="shared" si="927"/>
        <v>0</v>
      </c>
      <c r="BD175" s="474">
        <f t="shared" si="927"/>
        <v>3.51242866954663</v>
      </c>
      <c r="BE175" s="593">
        <f t="shared" si="927"/>
        <v>1.4827230345831957</v>
      </c>
      <c r="BF175" s="131">
        <f t="shared" si="927"/>
        <v>4.2892836211152909</v>
      </c>
      <c r="BG175" s="1219"/>
      <c r="BH175" s="1219"/>
      <c r="BI175" s="1219"/>
      <c r="BJ175" s="1546"/>
      <c r="BK175" s="1546"/>
      <c r="BL175" s="26"/>
      <c r="BM175" s="26"/>
      <c r="BN175" s="26"/>
    </row>
    <row r="176" spans="1:66" ht="18.75" x14ac:dyDescent="0.3">
      <c r="B176" s="1898" t="s">
        <v>193</v>
      </c>
      <c r="C176" s="1865"/>
      <c r="D176" s="1884"/>
      <c r="E176" s="1885"/>
      <c r="F176" s="1886"/>
      <c r="G176" s="1885"/>
      <c r="H176" s="1886"/>
      <c r="I176" s="1375"/>
      <c r="J176" s="1884"/>
      <c r="K176" s="1885"/>
      <c r="L176" s="1886"/>
      <c r="M176" s="1885"/>
      <c r="N176" s="1886"/>
      <c r="O176" s="1885"/>
      <c r="P176" s="1886"/>
      <c r="Q176" s="1375"/>
      <c r="R176" s="1884"/>
      <c r="S176" s="1885"/>
      <c r="T176" s="1886"/>
      <c r="U176" s="1375"/>
      <c r="V176" s="1884"/>
      <c r="W176" s="1885"/>
      <c r="X176" s="1886"/>
      <c r="Y176" s="1372"/>
      <c r="Z176" s="1372"/>
      <c r="AA176" s="2385"/>
      <c r="AB176" s="1374"/>
      <c r="AC176" s="1885"/>
      <c r="AD176" s="1886"/>
      <c r="AE176" s="1375"/>
      <c r="AF176" s="1886"/>
      <c r="AG176" s="1885"/>
      <c r="AH176" s="1886"/>
      <c r="AI176" s="1375"/>
      <c r="AJ176" s="1886"/>
      <c r="AK176" s="1885"/>
      <c r="AL176" s="1886"/>
      <c r="AM176" s="1372"/>
      <c r="AN176" s="1372"/>
      <c r="AO176" s="1375"/>
      <c r="AP176" s="1886"/>
      <c r="AQ176" s="1885"/>
      <c r="AR176" s="1886"/>
      <c r="AS176" s="1375"/>
      <c r="AT176" s="1886"/>
      <c r="AU176" s="1885"/>
      <c r="AV176" s="1886"/>
      <c r="AW176" s="1375"/>
      <c r="AX176" s="1886"/>
      <c r="AY176" s="1885"/>
      <c r="AZ176" s="1886"/>
      <c r="BA176" s="1372"/>
      <c r="BB176" s="1372"/>
      <c r="BC176" s="2385"/>
      <c r="BD176" s="1374"/>
      <c r="BE176" s="1375"/>
      <c r="BF176" s="1886"/>
      <c r="BG176" s="1219"/>
      <c r="BH176" s="1219"/>
      <c r="BI176" s="1219"/>
      <c r="BJ176" s="1546"/>
      <c r="BK176" s="1546"/>
      <c r="BL176" s="26"/>
      <c r="BM176" s="26"/>
      <c r="BN176" s="26"/>
    </row>
    <row r="177" spans="1:66" x14ac:dyDescent="0.25">
      <c r="B177" s="1844" t="s">
        <v>199</v>
      </c>
      <c r="C177" s="1392" t="s">
        <v>49</v>
      </c>
      <c r="D177" s="106">
        <v>9.6999999999999993</v>
      </c>
      <c r="E177" s="769">
        <f>+$D$177</f>
        <v>9.6999999999999993</v>
      </c>
      <c r="F177" s="134">
        <v>8.9</v>
      </c>
      <c r="G177" s="769">
        <f>+$D$177</f>
        <v>9.6999999999999993</v>
      </c>
      <c r="H177" s="134">
        <v>8.82</v>
      </c>
      <c r="I177" s="53">
        <f>+$D$177</f>
        <v>9.6999999999999993</v>
      </c>
      <c r="J177" s="107">
        <f>+((F177*F$125)+(H$125*H177))/J$125</f>
        <v>8.8592653729864459</v>
      </c>
      <c r="K177" s="769">
        <f>+$D$177</f>
        <v>9.6999999999999993</v>
      </c>
      <c r="L177" s="134">
        <v>9.1999999999999993</v>
      </c>
      <c r="M177" s="77">
        <f>+$D$177</f>
        <v>9.6999999999999993</v>
      </c>
      <c r="N177" s="114">
        <f>+((F177*F$125)+(H177*H$125)+(L$125*L177))/N$125</f>
        <v>8.972498596201298</v>
      </c>
      <c r="O177" s="769">
        <f>+$D$177</f>
        <v>9.6999999999999993</v>
      </c>
      <c r="P177" s="134">
        <v>11.1</v>
      </c>
      <c r="Q177" s="53">
        <f>+$D$177</f>
        <v>9.6999999999999993</v>
      </c>
      <c r="R177" s="107">
        <f>+((N177*N$125)+(P$125*P177))/R$125</f>
        <v>9.5185181223158004</v>
      </c>
      <c r="S177" s="769">
        <f>+$D$177</f>
        <v>9.6999999999999993</v>
      </c>
      <c r="T177" s="134">
        <v>10.9</v>
      </c>
      <c r="U177" s="53">
        <f>+$D$177</f>
        <v>9.6999999999999993</v>
      </c>
      <c r="V177" s="107">
        <f>+((R177*R$125)+(T$125*T177))/V$125</f>
        <v>9.7995629859130489</v>
      </c>
      <c r="W177" s="769">
        <f>+$D$177</f>
        <v>9.6999999999999993</v>
      </c>
      <c r="X177" s="134">
        <v>10.8</v>
      </c>
      <c r="Y177" s="77">
        <f>+$D$177</f>
        <v>9.6999999999999993</v>
      </c>
      <c r="Z177" s="114">
        <f>+((P177*P$125)+(T177*T$125)+(X$125*X177))/Z$125</f>
        <v>10.934943869689635</v>
      </c>
      <c r="AA177" s="667">
        <f>+$D$177</f>
        <v>9.6999999999999993</v>
      </c>
      <c r="AB177" s="474">
        <f>+((N177*N$125)+(Z$125*Z177))/AB$125</f>
        <v>9.9644750736797914</v>
      </c>
      <c r="AC177" s="769">
        <f>+$D$177</f>
        <v>9.6999999999999993</v>
      </c>
      <c r="AD177" s="134">
        <v>10.32</v>
      </c>
      <c r="AE177" s="53">
        <f>+$D$177</f>
        <v>9.6999999999999993</v>
      </c>
      <c r="AF177" s="107">
        <f>+((AB177*AB$125)+(AD$125*AD177))/AF$125</f>
        <v>10.017954889885528</v>
      </c>
      <c r="AG177" s="769">
        <f>+$D$177</f>
        <v>9.6999999999999993</v>
      </c>
      <c r="AH177" s="134">
        <v>9.9600000000000009</v>
      </c>
      <c r="AI177" s="53">
        <f>+$D$177</f>
        <v>9.6999999999999993</v>
      </c>
      <c r="AJ177" s="107">
        <f>+((AF177*AF$125)+(AH$125*AH177))/AJ$125</f>
        <v>10.01083975530927</v>
      </c>
      <c r="AK177" s="769">
        <f>+$D$177</f>
        <v>9.6999999999999993</v>
      </c>
      <c r="AL177" s="134">
        <v>9.19</v>
      </c>
      <c r="AM177" s="77">
        <f>+$D$177</f>
        <v>9.6999999999999993</v>
      </c>
      <c r="AN177" s="114">
        <f>+((AD177*AD$125)+(AH177*AH$125)+(AL$125*AL177))/AN$125</f>
        <v>9.8235365485017159</v>
      </c>
      <c r="AO177" s="53">
        <f>+$D$177</f>
        <v>9.6999999999999993</v>
      </c>
      <c r="AP177" s="107">
        <f>+((AL177*AL$125)+(AJ$125*AJ177))/AP$125</f>
        <v>9.916502415460883</v>
      </c>
      <c r="AQ177" s="769">
        <f>+$D$177</f>
        <v>9.6999999999999993</v>
      </c>
      <c r="AR177" s="134">
        <v>9.07</v>
      </c>
      <c r="AS177" s="53">
        <f>+$D$177</f>
        <v>9.6999999999999993</v>
      </c>
      <c r="AT177" s="107">
        <f>+((AP177*AP$125)+(AR$125*AR177))/AT$125</f>
        <v>9.8312188461314953</v>
      </c>
      <c r="AU177" s="769">
        <f>+$D$177</f>
        <v>9.6999999999999993</v>
      </c>
      <c r="AV177" s="134">
        <v>8.94</v>
      </c>
      <c r="AW177" s="53">
        <f>+$D$177</f>
        <v>9.6999999999999993</v>
      </c>
      <c r="AX177" s="107">
        <f>+((AT177*AT$125)+(AV$125*AV177))/AX$125</f>
        <v>9.7569467456679675</v>
      </c>
      <c r="AY177" s="769">
        <f>+$D$177</f>
        <v>9.6999999999999993</v>
      </c>
      <c r="AZ177" s="134">
        <v>8.5399999999999991</v>
      </c>
      <c r="BA177" s="77">
        <f>+$D$177</f>
        <v>9.6999999999999993</v>
      </c>
      <c r="BB177" s="114">
        <f>+((AR177*AR$125)+(AV177*AV$125)+(AZ$125*AZ177))/BB$125</f>
        <v>8.8527150108406563</v>
      </c>
      <c r="BC177" s="667">
        <f>+$D$177</f>
        <v>9.6999999999999993</v>
      </c>
      <c r="BD177" s="474">
        <f>+((AN177*AN$125)+(BB$125*BB177))/BD$125</f>
        <v>9.3537126005366211</v>
      </c>
      <c r="BE177" s="53">
        <f>+$D$177</f>
        <v>9.6999999999999993</v>
      </c>
      <c r="BF177" s="107">
        <f>+((AX177*AX$125)+(AZ$125*AZ177))/BF$125</f>
        <v>9.6591029690256889</v>
      </c>
      <c r="BG177" s="1219"/>
      <c r="BH177" s="1219"/>
      <c r="BI177" s="1219"/>
      <c r="BJ177" s="1546"/>
      <c r="BK177" s="1546"/>
      <c r="BL177" s="26"/>
      <c r="BM177" s="26"/>
      <c r="BN177" s="26"/>
    </row>
    <row r="178" spans="1:66" x14ac:dyDescent="0.25">
      <c r="A178" s="148"/>
      <c r="B178" s="1844" t="s">
        <v>200</v>
      </c>
      <c r="C178" s="1392" t="s">
        <v>49</v>
      </c>
      <c r="D178" s="106" t="s">
        <v>2208</v>
      </c>
      <c r="E178" s="769" t="str">
        <f>+$D$178</f>
        <v>10.0-10.2</v>
      </c>
      <c r="F178" s="134">
        <v>10.14</v>
      </c>
      <c r="G178" s="769" t="str">
        <f>+$D$178</f>
        <v>10.0-10.2</v>
      </c>
      <c r="H178" s="134">
        <v>10.25</v>
      </c>
      <c r="I178" s="53" t="str">
        <f>+$D$178</f>
        <v>10.0-10.2</v>
      </c>
      <c r="J178" s="107">
        <f>+((F178*F$125)+(H$125*H178))/J$125</f>
        <v>10.196010112143645</v>
      </c>
      <c r="K178" s="769" t="str">
        <f>+$D$178</f>
        <v>10.0-10.2</v>
      </c>
      <c r="L178" s="134">
        <v>10.199999999999999</v>
      </c>
      <c r="M178" s="77" t="str">
        <f>+$D$178</f>
        <v>10.0-10.2</v>
      </c>
      <c r="N178" s="114">
        <f>+((F178*F$125)+(H178*H$125)+(L$125*L178))/N$125</f>
        <v>10.197336035094885</v>
      </c>
      <c r="O178" s="769" t="str">
        <f>+$D$178</f>
        <v>10.0-10.2</v>
      </c>
      <c r="P178" s="134">
        <v>10.5</v>
      </c>
      <c r="Q178" s="53" t="str">
        <f>+$D$178</f>
        <v>10.0-10.2</v>
      </c>
      <c r="R178" s="107">
        <f>+((N178*N$125)+(P$125*P178))/R$125</f>
        <v>10.275014214011406</v>
      </c>
      <c r="S178" s="769" t="str">
        <f>+$D$178</f>
        <v>10.0-10.2</v>
      </c>
      <c r="T178" s="134">
        <v>10.1</v>
      </c>
      <c r="U178" s="53" t="str">
        <f>+$D$178</f>
        <v>10.0-10.2</v>
      </c>
      <c r="V178" s="107">
        <f>+((R178*R$125)+(T$125*T178))/V$125</f>
        <v>10.239409804935216</v>
      </c>
      <c r="W178" s="769" t="str">
        <f>+$D$178</f>
        <v>10.0-10.2</v>
      </c>
      <c r="X178" s="134">
        <v>10.1</v>
      </c>
      <c r="Y178" s="77" t="str">
        <f>+$D$178</f>
        <v>10.0-10.2</v>
      </c>
      <c r="Z178" s="114">
        <f>+((P178*P$125)+(T178*T$125)+(X$125*X178))/Z$125</f>
        <v>10.235108958837774</v>
      </c>
      <c r="AA178" s="667" t="str">
        <f>+$D$178</f>
        <v>10.0-10.2</v>
      </c>
      <c r="AB178" s="474">
        <f>+((N178*N$125)+(Z$125*Z178))/AB$125</f>
        <v>10.216429485671435</v>
      </c>
      <c r="AC178" s="769" t="str">
        <f>+$D$178</f>
        <v>10.0-10.2</v>
      </c>
      <c r="AD178" s="134">
        <v>10.039999999999999</v>
      </c>
      <c r="AE178" s="53" t="str">
        <f>+$D$178</f>
        <v>10.0-10.2</v>
      </c>
      <c r="AF178" s="107">
        <f>+((AB178*AB$125)+(AD$125*AD178))/AF$125</f>
        <v>10.189890090629179</v>
      </c>
      <c r="AG178" s="769" t="str">
        <f>+$D$178</f>
        <v>10.0-10.2</v>
      </c>
      <c r="AH178" s="134">
        <v>10.35</v>
      </c>
      <c r="AI178" s="53" t="str">
        <f>+$D$178</f>
        <v>10.0-10.2</v>
      </c>
      <c r="AJ178" s="107">
        <f>+((AF178*AF$125)+(AH$125*AH178))/AJ$125</f>
        <v>10.209546819412834</v>
      </c>
      <c r="AK178" s="769" t="str">
        <f>+$D$178</f>
        <v>10.0-10.2</v>
      </c>
      <c r="AL178" s="134">
        <v>10.11</v>
      </c>
      <c r="AM178" s="77" t="str">
        <f>+$D$178</f>
        <v>10.0-10.2</v>
      </c>
      <c r="AN178" s="114">
        <f>+((AD178*AD$125)+(AH178*AH$125)+(AL$125*AL178))/AN$125</f>
        <v>10.162597397965282</v>
      </c>
      <c r="AO178" s="53" t="str">
        <f>+$D$178</f>
        <v>10.0-10.2</v>
      </c>
      <c r="AP178" s="107">
        <f>+((AL178*AL$125)+(AJ$125*AJ178))/AP$125</f>
        <v>10.198106118504974</v>
      </c>
      <c r="AQ178" s="769" t="str">
        <f>+$D$178</f>
        <v>10.0-10.2</v>
      </c>
      <c r="AR178" s="134">
        <v>9.9600000000000009</v>
      </c>
      <c r="AS178" s="53" t="str">
        <f>+$D$178</f>
        <v>10.0-10.2</v>
      </c>
      <c r="AT178" s="107">
        <f>+((AP178*AP$125)+(AR$125*AR178))/AT$125</f>
        <v>10.174117362779789</v>
      </c>
      <c r="AU178" s="769" t="str">
        <f>+$D$178</f>
        <v>10.0-10.2</v>
      </c>
      <c r="AV178" s="134">
        <v>9.94</v>
      </c>
      <c r="AW178" s="53" t="str">
        <f>+$D$178</f>
        <v>10.0-10.2</v>
      </c>
      <c r="AX178" s="107">
        <f>+((AT178*AT$125)+(AV$125*AV178))/AX$125</f>
        <v>10.154606567688196</v>
      </c>
      <c r="AY178" s="769" t="str">
        <f>+$D$178</f>
        <v>10.0-10.2</v>
      </c>
      <c r="AZ178" s="134">
        <v>10.24</v>
      </c>
      <c r="BA178" s="77" t="str">
        <f>+$D$178</f>
        <v>10.0-10.2</v>
      </c>
      <c r="BB178" s="114">
        <f>+((AR178*AR$125)+(AV178*AV$125)+(AZ$125*AZ178))/BB$125</f>
        <v>10.046704831217509</v>
      </c>
      <c r="BC178" s="667" t="str">
        <f>+$D$178</f>
        <v>10.0-10.2</v>
      </c>
      <c r="BD178" s="474">
        <f>+((AN178*AN$125)+(BB$125*BB178))/BD$125</f>
        <v>10.106511803304468</v>
      </c>
      <c r="BE178" s="53" t="str">
        <f>+$D$178</f>
        <v>10.0-10.2</v>
      </c>
      <c r="BF178" s="107">
        <f>+((AX178*AX$125)+(AZ$125*AZ178))/BF$125</f>
        <v>10.161472287940601</v>
      </c>
      <c r="BG178" s="1219"/>
      <c r="BH178" s="1219"/>
      <c r="BI178" s="1219"/>
      <c r="BJ178" s="1546"/>
      <c r="BK178" s="1546"/>
      <c r="BL178" s="26"/>
      <c r="BM178" s="26"/>
      <c r="BN178" s="26"/>
    </row>
    <row r="179" spans="1:66" x14ac:dyDescent="0.25">
      <c r="B179" s="1844" t="s">
        <v>201</v>
      </c>
      <c r="C179" s="1392" t="s">
        <v>49</v>
      </c>
      <c r="D179" s="106" t="s">
        <v>2209</v>
      </c>
      <c r="E179" s="769" t="str">
        <f>+$D$179</f>
        <v>25.0-25.4</v>
      </c>
      <c r="F179" s="134">
        <v>24.41</v>
      </c>
      <c r="G179" s="769" t="str">
        <f>+$D$179</f>
        <v>25.0-25.4</v>
      </c>
      <c r="H179" s="134">
        <v>24.23</v>
      </c>
      <c r="I179" s="53" t="str">
        <f>+$D$179</f>
        <v>25.0-25.4</v>
      </c>
      <c r="J179" s="107">
        <f>+((F179*F$125)+(H$125*H179))/J$125</f>
        <v>24.318347089219504</v>
      </c>
      <c r="K179" s="769" t="str">
        <f>+$D$179</f>
        <v>25.0-25.4</v>
      </c>
      <c r="L179" s="134">
        <v>24.5</v>
      </c>
      <c r="M179" s="77" t="str">
        <f>+$D$179</f>
        <v>25.0-25.4</v>
      </c>
      <c r="N179" s="114">
        <f>+((F179*F$125)+(H179*H$125)+(L$125*L179))/N$125</f>
        <v>24.378714140183231</v>
      </c>
      <c r="O179" s="769" t="str">
        <f>+$D$179</f>
        <v>25.0-25.4</v>
      </c>
      <c r="P179" s="134">
        <v>24.9</v>
      </c>
      <c r="Q179" s="53" t="str">
        <f>+$D$179</f>
        <v>25.0-25.4</v>
      </c>
      <c r="R179" s="107">
        <f>+((N179*N$125)+(P$125*P179))/R$125</f>
        <v>24.512501247274731</v>
      </c>
      <c r="S179" s="769" t="str">
        <f>+$D$179</f>
        <v>25.0-25.4</v>
      </c>
      <c r="T179" s="134">
        <v>25.2</v>
      </c>
      <c r="U179" s="53" t="str">
        <f>+$D$179</f>
        <v>25.0-25.4</v>
      </c>
      <c r="V179" s="107">
        <f>+((R179*R$125)+(T$125*T179))/V$125</f>
        <v>24.652364097670461</v>
      </c>
      <c r="W179" s="769" t="str">
        <f>+$D$179</f>
        <v>25.0-25.4</v>
      </c>
      <c r="X179" s="134">
        <v>24.6</v>
      </c>
      <c r="Y179" s="77" t="str">
        <f>+$D$179</f>
        <v>25.0-25.4</v>
      </c>
      <c r="Z179" s="114">
        <f>+((P179*P$125)+(T179*T$125)+(X$125*X179))/Z$125</f>
        <v>24.903004622496148</v>
      </c>
      <c r="AA179" s="667" t="str">
        <f>+$D$179</f>
        <v>25.0-25.4</v>
      </c>
      <c r="AB179" s="474">
        <f>+((N179*N$125)+(Z$125*Z179))/AB$125</f>
        <v>24.643732397174315</v>
      </c>
      <c r="AC179" s="769" t="str">
        <f>+$D$179</f>
        <v>25.0-25.4</v>
      </c>
      <c r="AD179" s="134">
        <v>24.86</v>
      </c>
      <c r="AE179" s="53" t="str">
        <f>+$D$179</f>
        <v>25.0-25.4</v>
      </c>
      <c r="AF179" s="107">
        <f>+((AB179*AB$125)+(AD$125*AD179))/AF$125</f>
        <v>24.676264438654737</v>
      </c>
      <c r="AG179" s="769" t="str">
        <f>+$D$179</f>
        <v>25.0-25.4</v>
      </c>
      <c r="AH179" s="134">
        <v>25.1</v>
      </c>
      <c r="AI179" s="53" t="str">
        <f>+$D$179</f>
        <v>25.0-25.4</v>
      </c>
      <c r="AJ179" s="107">
        <f>+((AF179*AF$125)+(AH$125*AH179))/AJ$125</f>
        <v>24.728286546705917</v>
      </c>
      <c r="AK179" s="769" t="str">
        <f>+$D$179</f>
        <v>25.0-25.4</v>
      </c>
      <c r="AL179" s="134">
        <v>25.14</v>
      </c>
      <c r="AM179" s="77" t="str">
        <f>+$D$179</f>
        <v>25.0-25.4</v>
      </c>
      <c r="AN179" s="114">
        <f>+((AD179*AD$125)+(AH179*AH$125)+(AL$125*AL179))/AN$125</f>
        <v>25.031156684768273</v>
      </c>
      <c r="AO179" s="53" t="str">
        <f>+$D$179</f>
        <v>25.0-25.4</v>
      </c>
      <c r="AP179" s="107">
        <f>+((AL179*AL$125)+(AJ$125*AJ179))/AP$125</f>
        <v>24.775603884483889</v>
      </c>
      <c r="AQ179" s="769" t="str">
        <f>+$D$179</f>
        <v>25.0-25.4</v>
      </c>
      <c r="AR179" s="134">
        <v>24.9</v>
      </c>
      <c r="AS179" s="53" t="str">
        <f>+$D$179</f>
        <v>25.0-25.4</v>
      </c>
      <c r="AT179" s="107">
        <f>+((AP179*AP$125)+(AR$125*AR179))/AT$125</f>
        <v>24.788136565487697</v>
      </c>
      <c r="AU179" s="769" t="str">
        <f>+$D$179</f>
        <v>25.0-25.4</v>
      </c>
      <c r="AV179" s="134">
        <v>24.71</v>
      </c>
      <c r="AW179" s="53" t="str">
        <f>+$D$179</f>
        <v>25.0-25.4</v>
      </c>
      <c r="AX179" s="107">
        <f>+((AT179*AT$125)+(AV$125*AV179))/AX$125</f>
        <v>24.781624846321336</v>
      </c>
      <c r="AY179" s="769" t="str">
        <f>+$D$179</f>
        <v>25.0-25.4</v>
      </c>
      <c r="AZ179" s="134">
        <v>24.62</v>
      </c>
      <c r="BA179" s="77" t="str">
        <f>+$D$179</f>
        <v>25.0-25.4</v>
      </c>
      <c r="BB179" s="114">
        <f>+((AR179*AR$125)+(AV179*AV$125)+(AZ$125*AZ179))/BB$125</f>
        <v>24.746782197547162</v>
      </c>
      <c r="BC179" s="667" t="str">
        <f>+$D$179</f>
        <v>25.0-25.4</v>
      </c>
      <c r="BD179" s="474">
        <f>+((AN179*AN$125)+(BB$125*BB179))/BD$125</f>
        <v>24.893535155883921</v>
      </c>
      <c r="BE179" s="53" t="str">
        <f>+$D$179</f>
        <v>25.0-25.4</v>
      </c>
      <c r="BF179" s="107">
        <f>+((AX179*AX$125)+(AZ$125*AZ179))/BF$125</f>
        <v>24.768630041561305</v>
      </c>
      <c r="BG179" s="1219"/>
      <c r="BH179" s="1219"/>
      <c r="BI179" s="1219"/>
      <c r="BJ179" s="1546"/>
      <c r="BK179" s="1546"/>
      <c r="BL179" s="26"/>
      <c r="BM179" s="26"/>
      <c r="BN179" s="26"/>
    </row>
    <row r="180" spans="1:66" ht="18.75" x14ac:dyDescent="0.25">
      <c r="B180" s="1899" t="s">
        <v>197</v>
      </c>
      <c r="C180" s="1397"/>
      <c r="D180" s="1376"/>
      <c r="E180" s="1380"/>
      <c r="F180" s="1374"/>
      <c r="G180" s="1380"/>
      <c r="H180" s="1374"/>
      <c r="I180" s="1380"/>
      <c r="J180" s="1372"/>
      <c r="K180" s="1380"/>
      <c r="L180" s="1374"/>
      <c r="M180" s="1380"/>
      <c r="N180" s="1374"/>
      <c r="O180" s="1380"/>
      <c r="P180" s="1374"/>
      <c r="Q180" s="1380"/>
      <c r="R180" s="1372"/>
      <c r="S180" s="1380"/>
      <c r="T180" s="1374"/>
      <c r="U180" s="1380"/>
      <c r="V180" s="1372"/>
      <c r="W180" s="1380"/>
      <c r="X180" s="1374"/>
      <c r="Y180" s="1380"/>
      <c r="Z180" s="1372"/>
      <c r="AA180" s="2388"/>
      <c r="AB180" s="1374"/>
      <c r="AC180" s="1380"/>
      <c r="AD180" s="1374"/>
      <c r="AE180" s="1380"/>
      <c r="AF180" s="1374"/>
      <c r="AG180" s="1380"/>
      <c r="AH180" s="1374"/>
      <c r="AI180" s="1380"/>
      <c r="AJ180" s="1374"/>
      <c r="AK180" s="1380"/>
      <c r="AL180" s="1374"/>
      <c r="AM180" s="1380"/>
      <c r="AN180" s="1372"/>
      <c r="AO180" s="1380"/>
      <c r="AP180" s="1374"/>
      <c r="AQ180" s="1380"/>
      <c r="AR180" s="1374"/>
      <c r="AS180" s="1380"/>
      <c r="AT180" s="1374"/>
      <c r="AU180" s="1380"/>
      <c r="AV180" s="1374"/>
      <c r="AW180" s="1380"/>
      <c r="AX180" s="1374"/>
      <c r="AY180" s="1380"/>
      <c r="AZ180" s="1374"/>
      <c r="BA180" s="1380"/>
      <c r="BB180" s="1372"/>
      <c r="BC180" s="2388"/>
      <c r="BD180" s="1374"/>
      <c r="BE180" s="1380"/>
      <c r="BF180" s="1374"/>
      <c r="BG180" s="1219"/>
      <c r="BH180" s="1219"/>
      <c r="BI180" s="1219"/>
      <c r="BJ180" s="1546"/>
      <c r="BK180" s="1546"/>
      <c r="BL180" s="26"/>
      <c r="BM180" s="26"/>
      <c r="BN180" s="26"/>
    </row>
    <row r="181" spans="1:66" ht="15.75" customHeight="1" x14ac:dyDescent="0.25">
      <c r="B181" s="1844" t="s">
        <v>202</v>
      </c>
      <c r="C181" s="1392" t="s">
        <v>49</v>
      </c>
      <c r="D181" s="106" t="s">
        <v>1742</v>
      </c>
      <c r="E181" s="769" t="str">
        <f>+$D$181</f>
        <v>&lt;=0.4</v>
      </c>
      <c r="F181" s="2114">
        <v>0.3</v>
      </c>
      <c r="G181" s="769" t="str">
        <f>+$D$181</f>
        <v>&lt;=0.4</v>
      </c>
      <c r="H181" s="2114">
        <v>0.33</v>
      </c>
      <c r="I181" s="53" t="str">
        <f>+$D$181</f>
        <v>&lt;=0.4</v>
      </c>
      <c r="J181" s="107">
        <f t="shared" ref="J181:J186" si="928">+((F181*F$22)+(H$22*H181))/J$22</f>
        <v>0.31527548441449027</v>
      </c>
      <c r="K181" s="769" t="str">
        <f>+$D$181</f>
        <v>&lt;=0.4</v>
      </c>
      <c r="L181" s="2114">
        <v>0.4</v>
      </c>
      <c r="M181" s="77" t="str">
        <f>+$D$181</f>
        <v>&lt;=0.4</v>
      </c>
      <c r="N181" s="114">
        <f t="shared" ref="N181:N186" si="929">+((F181*F$22)+(H181*H$22)+(L$22*L181))/N$22</f>
        <v>0.3434312071099111</v>
      </c>
      <c r="O181" s="769" t="str">
        <f>+$D$181</f>
        <v>&lt;=0.4</v>
      </c>
      <c r="P181" s="134">
        <v>0.5</v>
      </c>
      <c r="Q181" s="53" t="str">
        <f>+$D$181</f>
        <v>&lt;=0.4</v>
      </c>
      <c r="R181" s="107">
        <f t="shared" ref="R181:R186" si="930">+((N181*N$22)+(P$22*P181))/R$22</f>
        <v>0.38361431677538049</v>
      </c>
      <c r="S181" s="769" t="str">
        <f>+$D$181</f>
        <v>&lt;=0.4</v>
      </c>
      <c r="T181" s="134">
        <v>0.6</v>
      </c>
      <c r="U181" s="53" t="str">
        <f>+$D$181</f>
        <v>&lt;=0.4</v>
      </c>
      <c r="V181" s="107">
        <f t="shared" ref="V181:V186" si="931">+((R181*R$22)+(T$22*T181))/V$22</f>
        <v>0.42763522515321073</v>
      </c>
      <c r="W181" s="769" t="str">
        <f>+$D$181</f>
        <v>&lt;=0.4</v>
      </c>
      <c r="X181" s="134">
        <v>0.6</v>
      </c>
      <c r="Y181" s="77" t="str">
        <f>+$D$181</f>
        <v>&lt;=0.4</v>
      </c>
      <c r="Z181" s="114">
        <f t="shared" ref="Z181:Z186" si="932">+((P181*P$22)+(T181*T$22)+(X$22*X181))/Z$22</f>
        <v>0.56614278433356735</v>
      </c>
      <c r="AA181" s="667" t="str">
        <f>+$D$181</f>
        <v>&lt;=0.4</v>
      </c>
      <c r="AB181" s="474">
        <f t="shared" ref="AB181:AB186" si="933">+((N181*N$22)+(Z$22*Z181))/AB$22</f>
        <v>0.45587575682583176</v>
      </c>
      <c r="AC181" s="769" t="str">
        <f>+$D$181</f>
        <v>&lt;=0.4</v>
      </c>
      <c r="AD181" s="2114">
        <v>0.4</v>
      </c>
      <c r="AE181" s="53" t="str">
        <f>+$D$181</f>
        <v>&lt;=0.4</v>
      </c>
      <c r="AF181" s="107">
        <f t="shared" ref="AF181:AF186" si="934">+((AB181*AB$22)+(AD$22*AD181))/AF$22</f>
        <v>0.44775578668283317</v>
      </c>
      <c r="AG181" s="769" t="str">
        <f>+$D$181</f>
        <v>&lt;=0.4</v>
      </c>
      <c r="AH181" s="2114">
        <v>0.38</v>
      </c>
      <c r="AI181" s="53" t="str">
        <f>+$D$181</f>
        <v>&lt;=0.4</v>
      </c>
      <c r="AJ181" s="107">
        <f t="shared" ref="AJ181:AJ186" si="935">+((AF181*AF$22)+(AH$22*AH181))/AJ$22</f>
        <v>0.43968695665671192</v>
      </c>
      <c r="AK181" s="769" t="str">
        <f>+$D$181</f>
        <v>&lt;=0.4</v>
      </c>
      <c r="AL181" s="2114">
        <v>0.27</v>
      </c>
      <c r="AM181" s="77" t="str">
        <f>+$D$181</f>
        <v>&lt;=0.4</v>
      </c>
      <c r="AN181" s="114">
        <f t="shared" ref="AN181:AN186" si="936">+((AD181*AD$22)+(AH181*AH$22)+(AL$22*AL181))/AN$22</f>
        <v>0.34927902966601032</v>
      </c>
      <c r="AO181" s="53" t="str">
        <f>+$D$181</f>
        <v>&lt;=0.4</v>
      </c>
      <c r="AP181" s="107">
        <f t="shared" ref="AP181:AP186" si="937">+((AL181*AL$22)+(AJ$22*AJ181))/AP$22</f>
        <v>0.42042523366998369</v>
      </c>
      <c r="AQ181" s="769" t="str">
        <f>+$D$181</f>
        <v>&lt;=0.4</v>
      </c>
      <c r="AR181" s="2114">
        <v>0.3</v>
      </c>
      <c r="AS181" s="53" t="str">
        <f>+$D$181</f>
        <v>&lt;=0.4</v>
      </c>
      <c r="AT181" s="107">
        <f t="shared" ref="AT181:AT186" si="938">+((AP181*AP$22)+(AR$22*AR181))/AT$22</f>
        <v>0.40805685277401404</v>
      </c>
      <c r="AU181" s="769" t="str">
        <f>+$D$181</f>
        <v>&lt;=0.4</v>
      </c>
      <c r="AV181" s="2114">
        <v>0.33</v>
      </c>
      <c r="AW181" s="53" t="str">
        <f>+$D$181</f>
        <v>&lt;=0.4</v>
      </c>
      <c r="AX181" s="107">
        <f t="shared" ref="AX181:AX186" si="939">+((AT181*AT$22)+(AV$22*AV181))/AX$22</f>
        <v>0.40144424758258618</v>
      </c>
      <c r="AY181" s="769" t="str">
        <f>+$D$181</f>
        <v>&lt;=0.4</v>
      </c>
      <c r="AZ181" s="2114">
        <v>0.28000000000000003</v>
      </c>
      <c r="BA181" s="77" t="str">
        <f>+$D$181</f>
        <v>&lt;=0.4</v>
      </c>
      <c r="BB181" s="114">
        <f t="shared" ref="BB181:BB186" si="940">+((AR181*AR$22)+(AV181*AV$22)+(AZ$22*AZ181))/BB$22</f>
        <v>0.30242274226337229</v>
      </c>
      <c r="BC181" s="667" t="str">
        <f>+$D$181</f>
        <v>&lt;=0.4</v>
      </c>
      <c r="BD181" s="474">
        <f t="shared" ref="BD181:BD186" si="941">+((AN181*AN$22)+(BB$22*BB181))/BD$22</f>
        <v>0.32586708763883926</v>
      </c>
      <c r="BE181" s="53" t="str">
        <f>+$D$181</f>
        <v>&lt;=0.4</v>
      </c>
      <c r="BF181" s="107">
        <f t="shared" ref="BF181:BF186" si="942">+((AX181*AX$22)+(AZ$22*AZ181))/BF$22</f>
        <v>0.39100608139803378</v>
      </c>
      <c r="BG181" s="1219"/>
      <c r="BH181" s="1219"/>
      <c r="BI181" s="1219"/>
      <c r="BJ181" s="1546"/>
      <c r="BK181" s="1546"/>
      <c r="BL181" s="26"/>
      <c r="BM181" s="26"/>
      <c r="BN181" s="26"/>
    </row>
    <row r="182" spans="1:66" x14ac:dyDescent="0.25">
      <c r="B182" s="1844" t="s">
        <v>203</v>
      </c>
      <c r="C182" s="1392" t="s">
        <v>49</v>
      </c>
      <c r="D182" s="106" t="s">
        <v>2210</v>
      </c>
      <c r="E182" s="769" t="str">
        <f>+$D$182</f>
        <v>12.5-13.5</v>
      </c>
      <c r="F182" s="134">
        <v>13.14</v>
      </c>
      <c r="G182" s="769" t="str">
        <f>+$D$182</f>
        <v>12.5-13.5</v>
      </c>
      <c r="H182" s="134">
        <v>13.15</v>
      </c>
      <c r="I182" s="53" t="str">
        <f>+$D$182</f>
        <v>12.5-13.5</v>
      </c>
      <c r="J182" s="107">
        <f t="shared" si="928"/>
        <v>13.145091828138161</v>
      </c>
      <c r="K182" s="769" t="str">
        <f>+$D$182</f>
        <v>12.5-13.5</v>
      </c>
      <c r="L182" s="134">
        <v>13.1</v>
      </c>
      <c r="M182" s="77" t="str">
        <f>+$D$182</f>
        <v>12.5-13.5</v>
      </c>
      <c r="N182" s="114">
        <f t="shared" si="929"/>
        <v>13.130106873664078</v>
      </c>
      <c r="O182" s="769" t="str">
        <f>+$D$182</f>
        <v>12.5-13.5</v>
      </c>
      <c r="P182" s="134">
        <v>13.3</v>
      </c>
      <c r="Q182" s="53" t="str">
        <f>+$D$182</f>
        <v>12.5-13.5</v>
      </c>
      <c r="R182" s="107">
        <f t="shared" si="930"/>
        <v>13.173709650443216</v>
      </c>
      <c r="S182" s="769" t="str">
        <f>+$D$182</f>
        <v>12.5-13.5</v>
      </c>
      <c r="T182" s="134">
        <v>13</v>
      </c>
      <c r="U182" s="53" t="str">
        <f>+$D$182</f>
        <v>12.5-13.5</v>
      </c>
      <c r="V182" s="107">
        <f t="shared" si="931"/>
        <v>13.138370636823872</v>
      </c>
      <c r="W182" s="769" t="str">
        <f>+$D$182</f>
        <v>12.5-13.5</v>
      </c>
      <c r="X182" s="134">
        <v>13.1</v>
      </c>
      <c r="Y182" s="77" t="str">
        <f>+$D$182</f>
        <v>12.5-13.5</v>
      </c>
      <c r="Z182" s="114">
        <f t="shared" si="932"/>
        <v>13.134022695703901</v>
      </c>
      <c r="AA182" s="667" t="str">
        <f>+$D$182</f>
        <v>12.5-13.5</v>
      </c>
      <c r="AB182" s="474">
        <f t="shared" si="933"/>
        <v>13.132083927805244</v>
      </c>
      <c r="AC182" s="769" t="str">
        <f>+$D$182</f>
        <v>12.5-13.5</v>
      </c>
      <c r="AD182" s="134">
        <v>13.02</v>
      </c>
      <c r="AE182" s="53" t="str">
        <f>+$D$182</f>
        <v>12.5-13.5</v>
      </c>
      <c r="AF182" s="107">
        <f t="shared" si="934"/>
        <v>13.115795680468828</v>
      </c>
      <c r="AG182" s="769" t="str">
        <f>+$D$182</f>
        <v>12.5-13.5</v>
      </c>
      <c r="AH182" s="134">
        <v>13.44</v>
      </c>
      <c r="AI182" s="53" t="str">
        <f>+$D$182</f>
        <v>12.5-13.5</v>
      </c>
      <c r="AJ182" s="107">
        <f t="shared" si="935"/>
        <v>13.154404184274958</v>
      </c>
      <c r="AK182" s="769" t="str">
        <f>+$D$182</f>
        <v>12.5-13.5</v>
      </c>
      <c r="AL182" s="134">
        <v>13.06</v>
      </c>
      <c r="AM182" s="77" t="str">
        <f>+$D$182</f>
        <v>12.5-13.5</v>
      </c>
      <c r="AN182" s="114">
        <f t="shared" si="936"/>
        <v>13.166976559682402</v>
      </c>
      <c r="AO182" s="53" t="str">
        <f>+$D$182</f>
        <v>12.5-13.5</v>
      </c>
      <c r="AP182" s="107">
        <f t="shared" si="937"/>
        <v>13.143688055692541</v>
      </c>
      <c r="AQ182" s="769" t="str">
        <f>+$D$182</f>
        <v>12.5-13.5</v>
      </c>
      <c r="AR182" s="134">
        <v>13</v>
      </c>
      <c r="AS182" s="53" t="str">
        <f>+$D$182</f>
        <v>12.5-13.5</v>
      </c>
      <c r="AT182" s="107">
        <f t="shared" si="938"/>
        <v>13.128930445938783</v>
      </c>
      <c r="AU182" s="769" t="str">
        <f>+$D$182</f>
        <v>12.5-13.5</v>
      </c>
      <c r="AV182" s="134">
        <v>12.95</v>
      </c>
      <c r="AW182" s="53" t="str">
        <f>+$D$182</f>
        <v>12.5-13.5</v>
      </c>
      <c r="AX182" s="107">
        <f t="shared" si="939"/>
        <v>13.113772309866544</v>
      </c>
      <c r="AY182" s="769" t="str">
        <f>+$D$182</f>
        <v>12.5-13.5</v>
      </c>
      <c r="AZ182" s="134">
        <v>13.24</v>
      </c>
      <c r="BA182" s="77" t="str">
        <f>+$D$182</f>
        <v>12.5-13.5</v>
      </c>
      <c r="BB182" s="114">
        <f t="shared" si="940"/>
        <v>13.067211086791749</v>
      </c>
      <c r="BC182" s="667" t="str">
        <f>+$D$182</f>
        <v>12.5-13.5</v>
      </c>
      <c r="BD182" s="474">
        <f t="shared" si="941"/>
        <v>13.117128319518633</v>
      </c>
      <c r="BE182" s="53" t="str">
        <f>+$D$182</f>
        <v>12.5-13.5</v>
      </c>
      <c r="BF182" s="107">
        <f t="shared" si="942"/>
        <v>13.124621614242276</v>
      </c>
      <c r="BG182" s="1219"/>
      <c r="BH182" s="1219"/>
      <c r="BI182" s="1219"/>
      <c r="BJ182" s="1546"/>
      <c r="BK182" s="1546"/>
      <c r="BL182" s="26"/>
      <c r="BM182" s="26"/>
      <c r="BN182" s="26"/>
    </row>
    <row r="183" spans="1:66" x14ac:dyDescent="0.25">
      <c r="B183" s="1844" t="s">
        <v>204</v>
      </c>
      <c r="C183" s="1392" t="s">
        <v>49</v>
      </c>
      <c r="D183" s="106" t="s">
        <v>2211</v>
      </c>
      <c r="E183" s="769" t="str">
        <f>+$D$183</f>
        <v>89.0-90.5</v>
      </c>
      <c r="F183" s="134">
        <v>89.6</v>
      </c>
      <c r="G183" s="769" t="str">
        <f>+$D$183</f>
        <v>89.0-90.5</v>
      </c>
      <c r="H183" s="134">
        <v>89.66</v>
      </c>
      <c r="I183" s="53" t="str">
        <f>+$D$183</f>
        <v>89.0-90.5</v>
      </c>
      <c r="J183" s="107">
        <f t="shared" si="928"/>
        <v>89.630550968828985</v>
      </c>
      <c r="K183" s="769" t="str">
        <f>+$D$183</f>
        <v>89.0-90.5</v>
      </c>
      <c r="L183" s="134">
        <v>89.6</v>
      </c>
      <c r="M183" s="77" t="str">
        <f>+$D$183</f>
        <v>89.0-90.5</v>
      </c>
      <c r="N183" s="114">
        <f t="shared" si="929"/>
        <v>89.620398245021931</v>
      </c>
      <c r="O183" s="769" t="str">
        <f>+$D$183</f>
        <v>89.0-90.5</v>
      </c>
      <c r="P183" s="134">
        <v>89.5</v>
      </c>
      <c r="Q183" s="53" t="str">
        <f>+$D$183</f>
        <v>89.0-90.5</v>
      </c>
      <c r="R183" s="107">
        <f t="shared" si="930"/>
        <v>89.589498243853484</v>
      </c>
      <c r="S183" s="769" t="str">
        <f>+$D$183</f>
        <v>89.0-90.5</v>
      </c>
      <c r="T183" s="134">
        <v>89.3</v>
      </c>
      <c r="U183" s="53" t="str">
        <f>+$D$183</f>
        <v>89.0-90.5</v>
      </c>
      <c r="V183" s="107">
        <f t="shared" si="931"/>
        <v>89.530603517186236</v>
      </c>
      <c r="W183" s="769" t="str">
        <f>+$D$183</f>
        <v>89.0-90.5</v>
      </c>
      <c r="X183" s="134">
        <v>89.5</v>
      </c>
      <c r="Y183" s="77" t="str">
        <f>+$D$183</f>
        <v>89.0-90.5</v>
      </c>
      <c r="Z183" s="114">
        <f t="shared" si="932"/>
        <v>89.432616528742074</v>
      </c>
      <c r="AA183" s="667" t="str">
        <f>+$D$183</f>
        <v>89.0-90.5</v>
      </c>
      <c r="AB183" s="474">
        <f t="shared" si="933"/>
        <v>89.52558938598014</v>
      </c>
      <c r="AC183" s="769" t="str">
        <f>+$D$183</f>
        <v>89.0-90.5</v>
      </c>
      <c r="AD183" s="134">
        <v>89.73</v>
      </c>
      <c r="AE183" s="53" t="str">
        <f>+$D$183</f>
        <v>89.0-90.5</v>
      </c>
      <c r="AF183" s="107">
        <f t="shared" si="934"/>
        <v>89.555294721120873</v>
      </c>
      <c r="AG183" s="769" t="str">
        <f>+$D$183</f>
        <v>89.0-90.5</v>
      </c>
      <c r="AH183" s="134">
        <v>89.42</v>
      </c>
      <c r="AI183" s="53" t="str">
        <f>+$D$183</f>
        <v>89.0-90.5</v>
      </c>
      <c r="AJ183" s="107">
        <f t="shared" si="935"/>
        <v>89.539182885341205</v>
      </c>
      <c r="AK183" s="769" t="str">
        <f>+$D$183</f>
        <v>89.0-90.5</v>
      </c>
      <c r="AL183" s="134">
        <v>89.7</v>
      </c>
      <c r="AM183" s="77" t="str">
        <f>+$D$183</f>
        <v>89.0-90.5</v>
      </c>
      <c r="AN183" s="114">
        <f t="shared" si="936"/>
        <v>89.621354765549114</v>
      </c>
      <c r="AO183" s="53" t="str">
        <f>+$D$183</f>
        <v>89.0-90.5</v>
      </c>
      <c r="AP183" s="107">
        <f t="shared" si="937"/>
        <v>89.557437763471583</v>
      </c>
      <c r="AQ183" s="769" t="str">
        <f>+$D$183</f>
        <v>89.0-90.5</v>
      </c>
      <c r="AR183" s="134">
        <v>89.69</v>
      </c>
      <c r="AS183" s="53" t="str">
        <f>+$D$183</f>
        <v>89.0-90.5</v>
      </c>
      <c r="AT183" s="107">
        <f t="shared" si="938"/>
        <v>89.57105268605747</v>
      </c>
      <c r="AU183" s="769" t="str">
        <f>+$D$183</f>
        <v>89.0-90.5</v>
      </c>
      <c r="AV183" s="134">
        <v>89.77</v>
      </c>
      <c r="AW183" s="53" t="str">
        <f>+$D$183</f>
        <v>89.0-90.5</v>
      </c>
      <c r="AX183" s="107">
        <f t="shared" si="939"/>
        <v>89.587906555951577</v>
      </c>
      <c r="AY183" s="769" t="str">
        <f>+$D$183</f>
        <v>89.0-90.5</v>
      </c>
      <c r="AZ183" s="134">
        <v>89.71</v>
      </c>
      <c r="BA183" s="77" t="str">
        <f>+$D$183</f>
        <v>89.0-90.5</v>
      </c>
      <c r="BB183" s="114">
        <f t="shared" si="940"/>
        <v>89.72174254591323</v>
      </c>
      <c r="BC183" s="667" t="str">
        <f>+$D$183</f>
        <v>89.0-90.5</v>
      </c>
      <c r="BD183" s="474">
        <f t="shared" si="941"/>
        <v>89.671513944272021</v>
      </c>
      <c r="BE183" s="53" t="str">
        <f>+$D$183</f>
        <v>89.0-90.5</v>
      </c>
      <c r="BF183" s="107">
        <f t="shared" si="942"/>
        <v>89.598400520749323</v>
      </c>
      <c r="BG183" s="1219"/>
      <c r="BH183" s="1219"/>
      <c r="BI183" s="1219"/>
      <c r="BJ183" s="1546"/>
      <c r="BK183" s="1546"/>
      <c r="BL183" s="26"/>
      <c r="BM183" s="26"/>
      <c r="BN183" s="26"/>
    </row>
    <row r="184" spans="1:66" x14ac:dyDescent="0.25">
      <c r="B184" s="1844" t="s">
        <v>205</v>
      </c>
      <c r="C184" s="1392" t="s">
        <v>49</v>
      </c>
      <c r="D184" s="106" t="s">
        <v>2212</v>
      </c>
      <c r="E184" s="769" t="str">
        <f>+$D$184</f>
        <v>5.5-5.9</v>
      </c>
      <c r="F184" s="134">
        <v>5.7</v>
      </c>
      <c r="G184" s="769" t="str">
        <f>+$D$184</f>
        <v>5.5-5.9</v>
      </c>
      <c r="H184" s="134">
        <v>5.62</v>
      </c>
      <c r="I184" s="53" t="str">
        <f>+$D$184</f>
        <v>5.5-5.9</v>
      </c>
      <c r="J184" s="107">
        <f t="shared" si="928"/>
        <v>5.6592653748946926</v>
      </c>
      <c r="K184" s="769" t="str">
        <f>+$D$184</f>
        <v>5.5-5.9</v>
      </c>
      <c r="L184" s="134">
        <v>5.7</v>
      </c>
      <c r="M184" s="77" t="str">
        <f>+$D$184</f>
        <v>5.5-5.9</v>
      </c>
      <c r="N184" s="114">
        <f t="shared" si="929"/>
        <v>5.672802339970751</v>
      </c>
      <c r="O184" s="769" t="str">
        <f>+$D$184</f>
        <v>5.5-5.9</v>
      </c>
      <c r="P184" s="134">
        <v>5.7</v>
      </c>
      <c r="Q184" s="53" t="str">
        <f>+$D$184</f>
        <v>5.5-5.9</v>
      </c>
      <c r="R184" s="107">
        <f t="shared" si="930"/>
        <v>5.679782572336511</v>
      </c>
      <c r="S184" s="769" t="str">
        <f>+$D$184</f>
        <v>5.5-5.9</v>
      </c>
      <c r="T184" s="134">
        <v>5.8</v>
      </c>
      <c r="U184" s="53" t="str">
        <f>+$D$184</f>
        <v>5.5-5.9</v>
      </c>
      <c r="V184" s="107">
        <f t="shared" si="931"/>
        <v>5.7042392752464686</v>
      </c>
      <c r="W184" s="769" t="str">
        <f>+$D$184</f>
        <v>5.5-5.9</v>
      </c>
      <c r="X184" s="134">
        <v>5.7</v>
      </c>
      <c r="Y184" s="77" t="str">
        <f>+$D$184</f>
        <v>5.5-5.9</v>
      </c>
      <c r="Z184" s="114">
        <f t="shared" si="932"/>
        <v>5.7336917356289616</v>
      </c>
      <c r="AA184" s="667" t="str">
        <f>+$D$184</f>
        <v>5.5-5.9</v>
      </c>
      <c r="AB184" s="474">
        <f t="shared" si="933"/>
        <v>5.703544705332324</v>
      </c>
      <c r="AC184" s="769" t="str">
        <f>+$D$184</f>
        <v>5.5-5.9</v>
      </c>
      <c r="AD184" s="134">
        <v>5.72</v>
      </c>
      <c r="AE184" s="53" t="str">
        <f>+$D$184</f>
        <v>5.5-5.9</v>
      </c>
      <c r="AF184" s="107">
        <f t="shared" si="934"/>
        <v>5.7059360197231479</v>
      </c>
      <c r="AG184" s="769" t="str">
        <f>+$D$184</f>
        <v>5.5-5.9</v>
      </c>
      <c r="AH184" s="134">
        <v>5.82</v>
      </c>
      <c r="AI184" s="53" t="str">
        <f>+$D$184</f>
        <v>5.5-5.9</v>
      </c>
      <c r="AJ184" s="107">
        <f t="shared" si="935"/>
        <v>5.7195195513152912</v>
      </c>
      <c r="AK184" s="769" t="str">
        <f>+$D$184</f>
        <v>5.5-5.9</v>
      </c>
      <c r="AL184" s="134">
        <v>5.69</v>
      </c>
      <c r="AM184" s="77" t="str">
        <f>+$D$184</f>
        <v>5.5-5.9</v>
      </c>
      <c r="AN184" s="114">
        <f t="shared" si="936"/>
        <v>5.7415039610434278</v>
      </c>
      <c r="AO184" s="53" t="str">
        <f>+$D$184</f>
        <v>5.5-5.9</v>
      </c>
      <c r="AP184" s="107">
        <f t="shared" si="937"/>
        <v>5.7161686902277307</v>
      </c>
      <c r="AQ184" s="769" t="str">
        <f>+$D$184</f>
        <v>5.5-5.9</v>
      </c>
      <c r="AR184" s="134">
        <v>5.65</v>
      </c>
      <c r="AS184" s="53" t="str">
        <f>+$D$184</f>
        <v>5.5-5.9</v>
      </c>
      <c r="AT184" s="107">
        <f t="shared" si="938"/>
        <v>5.7093727759564175</v>
      </c>
      <c r="AU184" s="769" t="str">
        <f>+$D$184</f>
        <v>5.5-5.9</v>
      </c>
      <c r="AV184" s="134">
        <v>5.6</v>
      </c>
      <c r="AW184" s="53" t="str">
        <f>+$D$184</f>
        <v>5.5-5.9</v>
      </c>
      <c r="AX184" s="107">
        <f t="shared" si="939"/>
        <v>5.7001072347465485</v>
      </c>
      <c r="AY184" s="769" t="str">
        <f>+$D$184</f>
        <v>5.5-5.9</v>
      </c>
      <c r="AZ184" s="134">
        <v>5.64</v>
      </c>
      <c r="BA184" s="77" t="str">
        <f>+$D$184</f>
        <v>5.5-5.9</v>
      </c>
      <c r="BB184" s="114">
        <f t="shared" si="940"/>
        <v>5.6310227917546083</v>
      </c>
      <c r="BC184" s="667" t="str">
        <f>+$D$184</f>
        <v>5.5-5.9</v>
      </c>
      <c r="BD184" s="474">
        <f t="shared" si="941"/>
        <v>5.6863015778870905</v>
      </c>
      <c r="BE184" s="53" t="str">
        <f>+$D$184</f>
        <v>5.5-5.9</v>
      </c>
      <c r="BF184" s="107">
        <f t="shared" si="942"/>
        <v>5.6949410015352822</v>
      </c>
      <c r="BG184" s="1219"/>
      <c r="BH184" s="1219"/>
      <c r="BI184" s="1219"/>
      <c r="BJ184" s="1546"/>
      <c r="BK184" s="1546"/>
      <c r="BL184" s="26"/>
      <c r="BM184" s="26"/>
      <c r="BN184" s="26"/>
    </row>
    <row r="185" spans="1:66" x14ac:dyDescent="0.25">
      <c r="A185" s="148"/>
      <c r="B185" s="1844" t="s">
        <v>206</v>
      </c>
      <c r="C185" s="1392" t="s">
        <v>49</v>
      </c>
      <c r="D185" s="106" t="s">
        <v>2213</v>
      </c>
      <c r="E185" s="769" t="str">
        <f>+$D$185</f>
        <v>67.0-68.4</v>
      </c>
      <c r="F185" s="134">
        <v>67.97</v>
      </c>
      <c r="G185" s="769" t="str">
        <f>+$D$185</f>
        <v>67.0-68.4</v>
      </c>
      <c r="H185" s="134">
        <v>68.13</v>
      </c>
      <c r="I185" s="53" t="str">
        <f>+$D$185</f>
        <v>67.0-68.4</v>
      </c>
      <c r="J185" s="107">
        <f t="shared" si="928"/>
        <v>68.051469250210616</v>
      </c>
      <c r="K185" s="769" t="str">
        <f>+$D$185</f>
        <v>67.0-68.4</v>
      </c>
      <c r="L185" s="134">
        <v>68.3</v>
      </c>
      <c r="M185" s="77" t="str">
        <f>+$D$185</f>
        <v>67.0-68.4</v>
      </c>
      <c r="N185" s="114">
        <f t="shared" si="929"/>
        <v>68.134061199235006</v>
      </c>
      <c r="O185" s="769" t="str">
        <f>+$D$185</f>
        <v>67.0-68.4</v>
      </c>
      <c r="P185" s="134">
        <v>68.5</v>
      </c>
      <c r="Q185" s="53" t="str">
        <f>+$D$185</f>
        <v>67.0-68.4</v>
      </c>
      <c r="R185" s="107">
        <f t="shared" si="930"/>
        <v>68.227978758989792</v>
      </c>
      <c r="S185" s="769" t="str">
        <f>+$D$185</f>
        <v>67.0-68.4</v>
      </c>
      <c r="T185" s="134">
        <v>68.599999999999994</v>
      </c>
      <c r="U185" s="53" t="str">
        <f>+$D$185</f>
        <v>67.0-68.4</v>
      </c>
      <c r="V185" s="107">
        <f t="shared" si="931"/>
        <v>68.303661737276826</v>
      </c>
      <c r="W185" s="769" t="str">
        <f>+$D$185</f>
        <v>67.0-68.4</v>
      </c>
      <c r="X185" s="134">
        <v>68.5</v>
      </c>
      <c r="Y185" s="77" t="str">
        <f>+$D$185</f>
        <v>67.0-68.4</v>
      </c>
      <c r="Z185" s="114">
        <f t="shared" si="932"/>
        <v>68.533691735628963</v>
      </c>
      <c r="AA185" s="667" t="str">
        <f>+$D$185</f>
        <v>67.0-68.4</v>
      </c>
      <c r="AB185" s="474">
        <f t="shared" si="933"/>
        <v>68.335830125115422</v>
      </c>
      <c r="AC185" s="769" t="str">
        <f>+$D$185</f>
        <v>67.0-68.4</v>
      </c>
      <c r="AD185" s="134">
        <v>67.5</v>
      </c>
      <c r="AE185" s="53" t="str">
        <f>+$D$185</f>
        <v>67.0-68.4</v>
      </c>
      <c r="AF185" s="107">
        <f t="shared" si="934"/>
        <v>68.214365718258051</v>
      </c>
      <c r="AG185" s="769" t="str">
        <f>+$D$185</f>
        <v>67.0-68.4</v>
      </c>
      <c r="AH185" s="134">
        <v>66.989999999999995</v>
      </c>
      <c r="AI185" s="53" t="str">
        <f>+$D$185</f>
        <v>67.0-68.4</v>
      </c>
      <c r="AJ185" s="107">
        <f t="shared" si="935"/>
        <v>68.06855973836916</v>
      </c>
      <c r="AK185" s="769" t="str">
        <f>+$D$185</f>
        <v>67.0-68.4</v>
      </c>
      <c r="AL185" s="134">
        <v>67.739999999999995</v>
      </c>
      <c r="AM185" s="77" t="str">
        <f>+$D$185</f>
        <v>67.0-68.4</v>
      </c>
      <c r="AN185" s="114">
        <f t="shared" si="936"/>
        <v>67.420025059685145</v>
      </c>
      <c r="AO185" s="53" t="str">
        <f>+$D$185</f>
        <v>67.0-68.4</v>
      </c>
      <c r="AP185" s="107">
        <f t="shared" si="937"/>
        <v>68.031263844861783</v>
      </c>
      <c r="AQ185" s="769" t="str">
        <f>+$D$185</f>
        <v>67.0-68.4</v>
      </c>
      <c r="AR185" s="134">
        <v>67.819999999999993</v>
      </c>
      <c r="AS185" s="53" t="str">
        <f>+$D$185</f>
        <v>67.0-68.4</v>
      </c>
      <c r="AT185" s="107">
        <f t="shared" si="938"/>
        <v>68.00956580348651</v>
      </c>
      <c r="AU185" s="769" t="str">
        <f>+$D$185</f>
        <v>67.0-68.4</v>
      </c>
      <c r="AV185" s="134">
        <v>67.97</v>
      </c>
      <c r="AW185" s="53" t="str">
        <f>+$D$185</f>
        <v>67.0-68.4</v>
      </c>
      <c r="AX185" s="107">
        <f t="shared" si="939"/>
        <v>68.006213976859627</v>
      </c>
      <c r="AY185" s="769" t="str">
        <f>+$D$185</f>
        <v>67.0-68.4</v>
      </c>
      <c r="AZ185" s="134">
        <v>67.73</v>
      </c>
      <c r="BA185" s="77" t="str">
        <f>+$D$185</f>
        <v>67.0-68.4</v>
      </c>
      <c r="BB185" s="114">
        <f t="shared" si="940"/>
        <v>67.835561243118335</v>
      </c>
      <c r="BC185" s="667" t="str">
        <f>+$D$185</f>
        <v>67.0-68.4</v>
      </c>
      <c r="BD185" s="474">
        <f t="shared" si="941"/>
        <v>67.627649469897833</v>
      </c>
      <c r="BE185" s="53" t="str">
        <f>+$D$185</f>
        <v>67.0-68.4</v>
      </c>
      <c r="BF185" s="107">
        <f t="shared" si="942"/>
        <v>67.982473310254591</v>
      </c>
      <c r="BG185" s="1219"/>
      <c r="BH185" s="1219"/>
      <c r="BI185" s="1219"/>
      <c r="BJ185" s="1546"/>
      <c r="BK185" s="1546"/>
      <c r="BL185" s="26"/>
      <c r="BM185" s="26"/>
      <c r="BN185" s="26"/>
    </row>
    <row r="186" spans="1:66" x14ac:dyDescent="0.25">
      <c r="B186" s="1844" t="s">
        <v>207</v>
      </c>
      <c r="C186" s="1392" t="s">
        <v>49</v>
      </c>
      <c r="D186" s="106" t="s">
        <v>2214</v>
      </c>
      <c r="E186" s="769" t="str">
        <f>+$D$186</f>
        <v>21.0-22.5</v>
      </c>
      <c r="F186" s="134">
        <v>21.56</v>
      </c>
      <c r="G186" s="769" t="str">
        <f>+$D$186</f>
        <v>21.0-22.5</v>
      </c>
      <c r="H186" s="134">
        <v>22.14</v>
      </c>
      <c r="I186" s="53" t="str">
        <f>+$D$186</f>
        <v>21.0-22.5</v>
      </c>
      <c r="J186" s="107">
        <f t="shared" si="928"/>
        <v>21.855326032013476</v>
      </c>
      <c r="K186" s="769" t="str">
        <f>+$D$186</f>
        <v>21.0-22.5</v>
      </c>
      <c r="L186" s="134">
        <v>21.5</v>
      </c>
      <c r="M186" s="77" t="str">
        <f>+$D$186</f>
        <v>21.0-22.5</v>
      </c>
      <c r="N186" s="114">
        <f t="shared" si="929"/>
        <v>21.737243784452691</v>
      </c>
      <c r="O186" s="769" t="str">
        <f>+$D$186</f>
        <v>21.0-22.5</v>
      </c>
      <c r="P186" s="134">
        <v>21.3</v>
      </c>
      <c r="Q186" s="53" t="str">
        <f>+$D$186</f>
        <v>21.0-22.5</v>
      </c>
      <c r="R186" s="107">
        <f t="shared" si="930"/>
        <v>21.625025924067568</v>
      </c>
      <c r="S186" s="769" t="str">
        <f>+$D$186</f>
        <v>21.0-22.5</v>
      </c>
      <c r="T186" s="134">
        <v>21.2</v>
      </c>
      <c r="U186" s="53" t="str">
        <f>+$D$186</f>
        <v>21.0-22.5</v>
      </c>
      <c r="V186" s="107">
        <f t="shared" si="931"/>
        <v>21.538559818811613</v>
      </c>
      <c r="W186" s="769" t="str">
        <f>+$D$186</f>
        <v>21.0-22.5</v>
      </c>
      <c r="X186" s="134">
        <v>21.4</v>
      </c>
      <c r="Y186" s="77" t="str">
        <f>+$D$186</f>
        <v>21.0-22.5</v>
      </c>
      <c r="Z186" s="114">
        <f t="shared" si="932"/>
        <v>21.298759313075639</v>
      </c>
      <c r="AA186" s="667" t="str">
        <f>+$D$186</f>
        <v>21.0-22.5</v>
      </c>
      <c r="AB186" s="474">
        <f t="shared" si="933"/>
        <v>21.51585794741602</v>
      </c>
      <c r="AC186" s="769" t="str">
        <f>+$D$186</f>
        <v>21.0-22.5</v>
      </c>
      <c r="AD186" s="134">
        <v>21.54</v>
      </c>
      <c r="AE186" s="53" t="str">
        <f>+$D$186</f>
        <v>21.0-22.5</v>
      </c>
      <c r="AF186" s="107">
        <f t="shared" si="934"/>
        <v>21.519366315934121</v>
      </c>
      <c r="AG186" s="769" t="str">
        <f>+$D$186</f>
        <v>21.0-22.5</v>
      </c>
      <c r="AH186" s="134">
        <v>21.62</v>
      </c>
      <c r="AI186" s="53" t="str">
        <f>+$D$186</f>
        <v>21.0-22.5</v>
      </c>
      <c r="AJ186" s="107">
        <f t="shared" si="935"/>
        <v>21.531350474503942</v>
      </c>
      <c r="AK186" s="769" t="str">
        <f>+$D$186</f>
        <v>21.0-22.5</v>
      </c>
      <c r="AL186" s="134">
        <v>20.92</v>
      </c>
      <c r="AM186" s="77" t="str">
        <f>+$D$186</f>
        <v>21.0-22.5</v>
      </c>
      <c r="AN186" s="114">
        <f t="shared" si="936"/>
        <v>21.353773564697384</v>
      </c>
      <c r="AO186" s="53" t="str">
        <f>+$D$186</f>
        <v>21.0-22.5</v>
      </c>
      <c r="AP186" s="107">
        <f t="shared" si="937"/>
        <v>21.461954077045281</v>
      </c>
      <c r="AQ186" s="769" t="str">
        <f>+$D$186</f>
        <v>21.0-22.5</v>
      </c>
      <c r="AR186" s="134">
        <v>20.71</v>
      </c>
      <c r="AS186" s="53" t="str">
        <f>+$D$186</f>
        <v>21.0-22.5</v>
      </c>
      <c r="AT186" s="107">
        <f t="shared" si="938"/>
        <v>21.384723963739784</v>
      </c>
      <c r="AU186" s="769" t="str">
        <f>+$D$186</f>
        <v>21.0-22.5</v>
      </c>
      <c r="AV186" s="134">
        <v>20.6</v>
      </c>
      <c r="AW186" s="53" t="str">
        <f>+$D$186</f>
        <v>21.0-22.5</v>
      </c>
      <c r="AX186" s="107">
        <f t="shared" si="939"/>
        <v>21.318245883058172</v>
      </c>
      <c r="AY186" s="769" t="str">
        <f>+$D$186</f>
        <v>21.0-22.5</v>
      </c>
      <c r="AZ186" s="134">
        <v>21.57</v>
      </c>
      <c r="BA186" s="77" t="str">
        <f>+$D$186</f>
        <v>21.0-22.5</v>
      </c>
      <c r="BB186" s="114">
        <f t="shared" si="940"/>
        <v>20.972322446751168</v>
      </c>
      <c r="BC186" s="667" t="str">
        <f>+$D$186</f>
        <v>21.0-22.5</v>
      </c>
      <c r="BD186" s="474">
        <f t="shared" si="941"/>
        <v>21.163179901507291</v>
      </c>
      <c r="BE186" s="53" t="str">
        <f>+$D$186</f>
        <v>21.0-22.5</v>
      </c>
      <c r="BF186" s="107">
        <f t="shared" si="942"/>
        <v>21.339884218035685</v>
      </c>
      <c r="BG186" s="1219"/>
      <c r="BH186" s="1219"/>
      <c r="BI186" s="1219"/>
      <c r="BJ186" s="1546"/>
      <c r="BK186" s="1546"/>
      <c r="BL186" s="26"/>
      <c r="BM186" s="26"/>
      <c r="BN186" s="26"/>
    </row>
    <row r="187" spans="1:66" x14ac:dyDescent="0.25">
      <c r="B187" s="1894" t="s">
        <v>5</v>
      </c>
      <c r="C187" s="1398"/>
      <c r="D187" s="1381"/>
      <c r="E187" s="1382"/>
      <c r="F187" s="1383"/>
      <c r="G187" s="1382"/>
      <c r="H187" s="1383"/>
      <c r="I187" s="1384"/>
      <c r="J187" s="1381"/>
      <c r="K187" s="1382"/>
      <c r="L187" s="1383"/>
      <c r="M187" s="1382"/>
      <c r="N187" s="1383"/>
      <c r="O187" s="1382"/>
      <c r="P187" s="1383"/>
      <c r="Q187" s="1384"/>
      <c r="R187" s="1381"/>
      <c r="S187" s="1382"/>
      <c r="T187" s="1383"/>
      <c r="U187" s="1384"/>
      <c r="V187" s="1381"/>
      <c r="W187" s="1382"/>
      <c r="X187" s="1383"/>
      <c r="Y187" s="1381"/>
      <c r="Z187" s="1381"/>
      <c r="AA187" s="2389"/>
      <c r="AB187" s="1383"/>
      <c r="AC187" s="1382"/>
      <c r="AD187" s="1383"/>
      <c r="AE187" s="1384"/>
      <c r="AF187" s="1383"/>
      <c r="AG187" s="1382"/>
      <c r="AH187" s="1383"/>
      <c r="AI187" s="1384"/>
      <c r="AJ187" s="1383"/>
      <c r="AK187" s="1382"/>
      <c r="AL187" s="1383"/>
      <c r="AM187" s="1381"/>
      <c r="AN187" s="1381"/>
      <c r="AO187" s="1384"/>
      <c r="AP187" s="1383"/>
      <c r="AQ187" s="1382"/>
      <c r="AR187" s="1383"/>
      <c r="AS187" s="1384"/>
      <c r="AT187" s="1383"/>
      <c r="AU187" s="1382"/>
      <c r="AV187" s="1383"/>
      <c r="AW187" s="1384"/>
      <c r="AX187" s="1383"/>
      <c r="AY187" s="1382"/>
      <c r="AZ187" s="1383"/>
      <c r="BA187" s="1381"/>
      <c r="BB187" s="1381"/>
      <c r="BC187" s="2389"/>
      <c r="BD187" s="1383"/>
      <c r="BE187" s="1384"/>
      <c r="BF187" s="1383"/>
      <c r="BG187" s="1219"/>
      <c r="BH187" s="1219"/>
      <c r="BI187" s="1219"/>
      <c r="BJ187" s="1546"/>
      <c r="BK187" s="1546"/>
      <c r="BL187" s="26"/>
      <c r="BM187" s="26"/>
      <c r="BN187" s="26"/>
    </row>
    <row r="188" spans="1:66" x14ac:dyDescent="0.25">
      <c r="B188" s="1861" t="s">
        <v>215</v>
      </c>
      <c r="C188" s="1392" t="s">
        <v>210</v>
      </c>
      <c r="D188" s="2817">
        <f>+(D189*D18)/1000000</f>
        <v>382.25664499999999</v>
      </c>
      <c r="E188" s="962">
        <f>+(E189*E18)/1000000</f>
        <v>31.537379999999999</v>
      </c>
      <c r="F188" s="410">
        <v>31.262</v>
      </c>
      <c r="G188" s="962">
        <f>+(G189*G18)/1000000</f>
        <v>32.588626000000005</v>
      </c>
      <c r="H188" s="410">
        <f>32246.7759158506/1000</f>
        <v>32.246775915850598</v>
      </c>
      <c r="I188" s="54">
        <f>+(I189*I18)/1000000</f>
        <v>64.126006000000004</v>
      </c>
      <c r="J188" s="127">
        <f>+F188+H188</f>
        <v>63.508775915850599</v>
      </c>
      <c r="K188" s="962">
        <f>+(K189*K18)/1000000</f>
        <v>31.537379999999999</v>
      </c>
      <c r="L188" s="410">
        <v>30.995259999999998</v>
      </c>
      <c r="M188" s="241">
        <f>+(M189*M18)/1000000</f>
        <v>95.663386000000017</v>
      </c>
      <c r="N188" s="123">
        <f>+L188+H188+F188</f>
        <v>94.504035915850594</v>
      </c>
      <c r="O188" s="962">
        <f>+(O189*O18)/1000000</f>
        <v>32.588626000000005</v>
      </c>
      <c r="P188" s="410">
        <v>32.070999999999998</v>
      </c>
      <c r="Q188" s="54">
        <f>+(Q189*Q18)/1000000</f>
        <v>128.25201200000001</v>
      </c>
      <c r="R188" s="127">
        <f>+N188+P188</f>
        <v>126.57503591585059</v>
      </c>
      <c r="S188" s="962">
        <f>+(S189*S18)/1000000</f>
        <v>32.588626000000005</v>
      </c>
      <c r="T188" s="410">
        <v>31.417210000000001</v>
      </c>
      <c r="U188" s="54">
        <f>+(U189*U18)/1000000</f>
        <v>160.84063800000004</v>
      </c>
      <c r="V188" s="127">
        <f>+R188+T188</f>
        <v>157.99224591585059</v>
      </c>
      <c r="W188" s="962">
        <f>+(W189*W18)/1000000</f>
        <v>30.089234999999999</v>
      </c>
      <c r="X188" s="410">
        <v>30.898</v>
      </c>
      <c r="Y188" s="241">
        <f>+(Y189*Y18)/1000000</f>
        <v>95.266487000000012</v>
      </c>
      <c r="Z188" s="241">
        <f>+P188+T188+X188</f>
        <v>94.386209999999991</v>
      </c>
      <c r="AA188" s="462">
        <f>+(AA189*AA18)/1000000</f>
        <v>190.92987300000004</v>
      </c>
      <c r="AB188" s="480">
        <f>+N188+Z188</f>
        <v>188.89024591585058</v>
      </c>
      <c r="AC188" s="962">
        <f>+(AC189*AC18)/1000000</f>
        <v>32.921163000000007</v>
      </c>
      <c r="AD188" s="410">
        <v>32.933039999999998</v>
      </c>
      <c r="AE188" s="54">
        <f>+(AE189*AE18)/1000000</f>
        <v>223.85103600000005</v>
      </c>
      <c r="AF188" s="127">
        <f>+AB188+AD188</f>
        <v>221.82328591585059</v>
      </c>
      <c r="AG188" s="962">
        <f>+(AG189*AG18)/1000000</f>
        <v>31.859190000000005</v>
      </c>
      <c r="AH188" s="410">
        <v>29.1062381653553</v>
      </c>
      <c r="AI188" s="54">
        <f>+(AI189*AI18)/1000000</f>
        <v>255.71022600000006</v>
      </c>
      <c r="AJ188" s="127">
        <f>+AF188+AH188</f>
        <v>250.9295240812059</v>
      </c>
      <c r="AK188" s="962">
        <f>+(AK189*AK18)/1000000</f>
        <v>32.921163000000007</v>
      </c>
      <c r="AL188" s="410">
        <v>32.950763737421099</v>
      </c>
      <c r="AM188" s="241">
        <f>+(AM189*AM18)/1000000</f>
        <v>97.701516000000012</v>
      </c>
      <c r="AN188" s="241">
        <f>+AD188+AH188+AL188</f>
        <v>94.990041902776397</v>
      </c>
      <c r="AO188" s="54">
        <f>+(AO189*AO18)/1000000</f>
        <v>288.63138900000007</v>
      </c>
      <c r="AP188" s="127">
        <f>+AL188+AJ188</f>
        <v>283.88028781862698</v>
      </c>
      <c r="AQ188" s="962">
        <f>+(AQ189*AQ18)/1000000</f>
        <v>32.921163000000007</v>
      </c>
      <c r="AR188" s="410">
        <v>32.887</v>
      </c>
      <c r="AS188" s="54">
        <f>+(AS189*AS18)/1000000</f>
        <v>321.55255199999999</v>
      </c>
      <c r="AT188" s="127">
        <f>+AP188+AR188</f>
        <v>316.76728781862698</v>
      </c>
      <c r="AU188" s="962">
        <f>+(AU189*AU18)/1000000</f>
        <v>29.735244000000005</v>
      </c>
      <c r="AV188" s="410">
        <v>29.467410000000001</v>
      </c>
      <c r="AW188" s="54">
        <f>+(AW189*AW18)/1000000</f>
        <v>351.28779600000001</v>
      </c>
      <c r="AX188" s="127">
        <f>+AT188+AV188</f>
        <v>346.23469781862696</v>
      </c>
      <c r="AY188" s="962">
        <f>+(AY189*AY18)/1000000</f>
        <v>32.921163000000007</v>
      </c>
      <c r="AZ188" s="410">
        <v>32.8508</v>
      </c>
      <c r="BA188" s="241">
        <f>+(BA189*BA18)/1000000</f>
        <v>95.577569999999994</v>
      </c>
      <c r="BB188" s="241">
        <f>+AR188+AV188+AZ188</f>
        <v>95.205209999999994</v>
      </c>
      <c r="BC188" s="462">
        <f>+(BC189*BC18)/1000000</f>
        <v>193.27908600000001</v>
      </c>
      <c r="BD188" s="480">
        <f>+AN188+BB188</f>
        <v>190.19525190277639</v>
      </c>
      <c r="BE188" s="54">
        <f>+(BE189*BE18)/1000000</f>
        <v>384.20895900000005</v>
      </c>
      <c r="BF188" s="127">
        <f>+AX188+AZ188</f>
        <v>379.08549781862695</v>
      </c>
      <c r="BG188" s="1219"/>
      <c r="BH188" s="1219"/>
      <c r="BI188" s="1219"/>
      <c r="BJ188" s="1546"/>
      <c r="BK188" s="1546"/>
      <c r="BL188" s="26"/>
      <c r="BM188" s="26"/>
      <c r="BN188" s="26"/>
    </row>
    <row r="189" spans="1:66" x14ac:dyDescent="0.25">
      <c r="B189" s="1862" t="s">
        <v>216</v>
      </c>
      <c r="C189" s="1392" t="s">
        <v>211</v>
      </c>
      <c r="D189" s="448">
        <v>340</v>
      </c>
      <c r="E189" s="155">
        <f>+$D$189</f>
        <v>340</v>
      </c>
      <c r="F189" s="496">
        <f>+(F188*1000000)/F18</f>
        <v>340.15504027793867</v>
      </c>
      <c r="G189" s="155">
        <f>+$D$189</f>
        <v>340</v>
      </c>
      <c r="H189" s="496">
        <f>+(H188*1000000)/H18</f>
        <v>338.21469724765979</v>
      </c>
      <c r="I189" s="61">
        <f>+$D$189</f>
        <v>340</v>
      </c>
      <c r="J189" s="89">
        <f>+(J188*1000000)/J18</f>
        <v>339.16705095401238</v>
      </c>
      <c r="K189" s="155">
        <f>+$D$189</f>
        <v>340</v>
      </c>
      <c r="L189" s="496">
        <f>+(L188*1000000)/L18</f>
        <v>332.57180625910019</v>
      </c>
      <c r="M189" s="72">
        <f>+$D$189</f>
        <v>340</v>
      </c>
      <c r="N189" s="125">
        <f>+(N188*1000000)/N18</f>
        <v>336.97531365749182</v>
      </c>
      <c r="O189" s="155">
        <f>+$D$189</f>
        <v>340</v>
      </c>
      <c r="P189" s="496">
        <f>+(P188*1000000)/P18</f>
        <v>331.21976887633031</v>
      </c>
      <c r="Q189" s="61">
        <f>+$D$189</f>
        <v>340</v>
      </c>
      <c r="R189" s="89">
        <f>+(R188*1000000)/R18</f>
        <v>335.49816305259264</v>
      </c>
      <c r="S189" s="155">
        <f>+$D$189</f>
        <v>340</v>
      </c>
      <c r="T189" s="496">
        <f>+(T188*1000000)/T18</f>
        <v>326.06127216702629</v>
      </c>
      <c r="U189" s="61">
        <f>+$D$189</f>
        <v>340</v>
      </c>
      <c r="V189" s="89">
        <f>+(V188*1000000)/V18</f>
        <v>333.57834792039705</v>
      </c>
      <c r="W189" s="155">
        <f>+$D$189</f>
        <v>340</v>
      </c>
      <c r="X189" s="496">
        <f>+(X188*1000000)/X18</f>
        <v>330.52122506154882</v>
      </c>
      <c r="Y189" s="72">
        <f>+$D$189</f>
        <v>340</v>
      </c>
      <c r="Z189" s="125">
        <f>+(Z188*1000000)/Z18</f>
        <v>329.2580877984729</v>
      </c>
      <c r="AA189" s="640">
        <f>+$D$189</f>
        <v>340</v>
      </c>
      <c r="AB189" s="484">
        <f>+(AB188*1000000)/AB18</f>
        <v>333.07441161826819</v>
      </c>
      <c r="AC189" s="155">
        <f>+$D$189</f>
        <v>340</v>
      </c>
      <c r="AD189" s="496">
        <f>+(AD188*1000000)/AD18</f>
        <v>344.1597263696799</v>
      </c>
      <c r="AE189" s="61">
        <f>+$D$189</f>
        <v>340</v>
      </c>
      <c r="AF189" s="89">
        <f>+(AF188*1000000)/AF18</f>
        <v>334.67483810536982</v>
      </c>
      <c r="AG189" s="155">
        <f>+$D$189</f>
        <v>340</v>
      </c>
      <c r="AH189" s="496">
        <f>+(AH188*1000000)/AH18</f>
        <v>327.14298103151918</v>
      </c>
      <c r="AI189" s="61">
        <f>+$D$189</f>
        <v>340</v>
      </c>
      <c r="AJ189" s="89">
        <f>+(AJ188*1000000)/AJ18</f>
        <v>333.78345666554031</v>
      </c>
      <c r="AK189" s="155">
        <f>+$D$189</f>
        <v>340</v>
      </c>
      <c r="AL189" s="496">
        <f>+(AL188*1000000)/AL18</f>
        <v>342.08916368063933</v>
      </c>
      <c r="AM189" s="72">
        <f>+$D$189</f>
        <v>340</v>
      </c>
      <c r="AN189" s="125">
        <f>+(AN188*1000000)/AN18</f>
        <v>338.06174189368011</v>
      </c>
      <c r="AO189" s="61">
        <f>+$D$189</f>
        <v>340</v>
      </c>
      <c r="AP189" s="89">
        <f>+(AP188*1000000)/AP18</f>
        <v>334.72677438129108</v>
      </c>
      <c r="AQ189" s="155">
        <f>+$D$189</f>
        <v>340</v>
      </c>
      <c r="AR189" s="496">
        <f>+(AR188*1000000)/AR18</f>
        <v>341.42717952205174</v>
      </c>
      <c r="AS189" s="61">
        <f>+$D$189</f>
        <v>340</v>
      </c>
      <c r="AT189" s="89">
        <f>+(AT188*1000000)/AT18</f>
        <v>335.41015571672045</v>
      </c>
      <c r="AU189" s="155">
        <f>+$D$189</f>
        <v>340</v>
      </c>
      <c r="AV189" s="496">
        <f>+(AV188*1000000)/AV18</f>
        <v>339.01662731066693</v>
      </c>
      <c r="AW189" s="61">
        <f>+$D$189</f>
        <v>340</v>
      </c>
      <c r="AX189" s="89">
        <f>+(AX188*1000000)/AX18</f>
        <v>335.7141059520082</v>
      </c>
      <c r="AY189" s="155">
        <f>+$D$189</f>
        <v>340</v>
      </c>
      <c r="AZ189" s="496">
        <f>+(AZ188*1000000)/AZ18</f>
        <v>340.49371941720506</v>
      </c>
      <c r="BA189" s="72">
        <f>+$D$189</f>
        <v>340</v>
      </c>
      <c r="BB189" s="125">
        <f>+(BB188*1000000)/BB18</f>
        <v>340.35616752758</v>
      </c>
      <c r="BC189" s="640">
        <f>+$D$189</f>
        <v>340</v>
      </c>
      <c r="BD189" s="484">
        <f>+(BD188*1000000)/BD18</f>
        <v>339.20637264261978</v>
      </c>
      <c r="BE189" s="61">
        <f>+$D$189</f>
        <v>340</v>
      </c>
      <c r="BF189" s="89">
        <f>+(BF188*1000000)/BF18</f>
        <v>336.12298104576632</v>
      </c>
      <c r="BG189" s="1219"/>
      <c r="BH189" s="1219"/>
      <c r="BI189" s="1219"/>
      <c r="BJ189" s="1546"/>
      <c r="BK189" s="1546"/>
      <c r="BL189" s="26"/>
      <c r="BM189" s="26"/>
      <c r="BN189" s="26"/>
    </row>
    <row r="190" spans="1:66" x14ac:dyDescent="0.25">
      <c r="B190" s="1861" t="s">
        <v>217</v>
      </c>
      <c r="C190" s="1392" t="s">
        <v>212</v>
      </c>
      <c r="D190" s="448">
        <v>4225</v>
      </c>
      <c r="E190" s="155">
        <f>+$D$190</f>
        <v>4225</v>
      </c>
      <c r="F190" s="181">
        <v>4263.8599999999997</v>
      </c>
      <c r="G190" s="155">
        <f>+$D$190</f>
        <v>4225</v>
      </c>
      <c r="H190" s="181">
        <v>4266.08</v>
      </c>
      <c r="I190" s="61">
        <f>+$D$190</f>
        <v>4225</v>
      </c>
      <c r="J190" s="39">
        <f>+((F190*F188)+(H188*H190))/J188</f>
        <v>4264.9872118144431</v>
      </c>
      <c r="K190" s="155">
        <f>+$D$190</f>
        <v>4225</v>
      </c>
      <c r="L190" s="181">
        <v>4267.9799999999996</v>
      </c>
      <c r="M190" s="72">
        <f>+$D$190</f>
        <v>4225</v>
      </c>
      <c r="N190" s="69">
        <f>+((J190*J188)+(L188*L190))/N188</f>
        <v>4265.9687809827574</v>
      </c>
      <c r="O190" s="155">
        <f>+$D$190</f>
        <v>4225</v>
      </c>
      <c r="P190" s="181">
        <v>4266.47</v>
      </c>
      <c r="Q190" s="61">
        <f>+$D$190</f>
        <v>4225</v>
      </c>
      <c r="R190" s="39">
        <f>+((N190*N188)+(P188*P190))/R188</f>
        <v>4266.095777550333</v>
      </c>
      <c r="S190" s="155">
        <f>+$D$190</f>
        <v>4225</v>
      </c>
      <c r="T190" s="181">
        <v>4264.1099999999997</v>
      </c>
      <c r="U190" s="61">
        <f>+$D$165</f>
        <v>4225</v>
      </c>
      <c r="V190" s="39">
        <f>+((R190*R188)+(T188*T190))/V188</f>
        <v>4265.7009000046</v>
      </c>
      <c r="W190" s="155">
        <f>+$D$190</f>
        <v>4225</v>
      </c>
      <c r="X190" s="181">
        <v>4266.33</v>
      </c>
      <c r="Y190" s="72">
        <f>+$D$190</f>
        <v>4225</v>
      </c>
      <c r="Z190" s="69">
        <f>+((P190*P188)+(T190*T188)+(X188*X190))/Z188</f>
        <v>4265.638624997232</v>
      </c>
      <c r="AA190" s="640">
        <f>+$D$190</f>
        <v>4225</v>
      </c>
      <c r="AB190" s="454">
        <f>+((N190*N188)+(Z188*Z190))/AB188</f>
        <v>4265.8038059623086</v>
      </c>
      <c r="AC190" s="155">
        <f>+$D$190</f>
        <v>4225</v>
      </c>
      <c r="AD190" s="181">
        <v>4262.01</v>
      </c>
      <c r="AE190" s="61">
        <f>+$D$190</f>
        <v>4225</v>
      </c>
      <c r="AF190" s="39">
        <f>+((AB190*AB188)+(AD188*AD190))/AF188</f>
        <v>4265.2405577758382</v>
      </c>
      <c r="AG190" s="155">
        <f>+$D$190</f>
        <v>4225</v>
      </c>
      <c r="AH190" s="181">
        <v>4252.9399999999996</v>
      </c>
      <c r="AI190" s="61">
        <f>+$D$190</f>
        <v>4225</v>
      </c>
      <c r="AJ190" s="39">
        <f>+((AF190*AF188)+(AH188*AH190))/AJ188</f>
        <v>4263.8137708503009</v>
      </c>
      <c r="AK190" s="155">
        <f>+$D$190</f>
        <v>4225</v>
      </c>
      <c r="AL190" s="181">
        <v>4263.49</v>
      </c>
      <c r="AM190" s="72">
        <f>+$D$190</f>
        <v>4225</v>
      </c>
      <c r="AN190" s="69">
        <f>+((AD190*AD188)+(AH190*AH188)+(AL188*AL190))/AN188</f>
        <v>4259.7442209191913</v>
      </c>
      <c r="AO190" s="61">
        <f>+$D$190</f>
        <v>4225</v>
      </c>
      <c r="AP190" s="39">
        <f>+((AL190*AL188)+(AJ188*AJ190))/AP188</f>
        <v>4263.7761898795507</v>
      </c>
      <c r="AQ190" s="155">
        <f>+$D$190</f>
        <v>4225</v>
      </c>
      <c r="AR190" s="181">
        <v>4263.76</v>
      </c>
      <c r="AS190" s="61">
        <f>+$D$190</f>
        <v>4225</v>
      </c>
      <c r="AT190" s="39">
        <f>+((AP190*AP188)+(AR188*AR190))/AT188</f>
        <v>4263.7745090350027</v>
      </c>
      <c r="AU190" s="155">
        <f>+$D$190</f>
        <v>4225</v>
      </c>
      <c r="AV190" s="181">
        <v>4263.4399999999996</v>
      </c>
      <c r="AW190" s="61">
        <f>+$D$190</f>
        <v>4225</v>
      </c>
      <c r="AX190" s="39">
        <f>+((AT190*AT188)+(AV188*AV190))/AX188</f>
        <v>4263.746039574994</v>
      </c>
      <c r="AY190" s="155">
        <f>+$D$190</f>
        <v>4225</v>
      </c>
      <c r="AZ190" s="181">
        <v>4264.7299999999996</v>
      </c>
      <c r="BA190" s="72">
        <f>+$D$190</f>
        <v>4225</v>
      </c>
      <c r="BB190" s="69">
        <f>+((AR190*AR188)+(AV190*AV188)+(AZ190*AZ188))/BB188</f>
        <v>4263.9956562713323</v>
      </c>
      <c r="BC190" s="640">
        <f>+$D$190</f>
        <v>4225</v>
      </c>
      <c r="BD190" s="454">
        <f>+((AN190*AN188)+(BB188*BB190))/BD188</f>
        <v>4261.8723434220019</v>
      </c>
      <c r="BE190" s="61">
        <f>+$D$190</f>
        <v>4225</v>
      </c>
      <c r="BF190" s="39">
        <f>+((AX190*AX188)+(AZ190*AZ188))/BF188</f>
        <v>4263.831307640683</v>
      </c>
      <c r="BG190" s="1219"/>
      <c r="BH190" s="1219"/>
      <c r="BI190" s="1219"/>
      <c r="BJ190" s="1546"/>
      <c r="BK190" s="1546"/>
      <c r="BL190" s="26"/>
      <c r="BM190" s="26"/>
      <c r="BN190" s="26"/>
    </row>
    <row r="191" spans="1:66" x14ac:dyDescent="0.25">
      <c r="A191" s="147">
        <v>30.467097599999999</v>
      </c>
      <c r="B191" s="1861" t="s">
        <v>574</v>
      </c>
      <c r="C191" s="1392" t="s">
        <v>301</v>
      </c>
      <c r="D191" s="396">
        <v>3.6664755917159737</v>
      </c>
      <c r="E191" s="774">
        <f>+(EMD!D23)/(24*E2)</f>
        <v>3.0229881656804674</v>
      </c>
      <c r="F191" s="134">
        <f>+(EMD!E23)/(24*F2)</f>
        <v>4.9151270360072674</v>
      </c>
      <c r="G191" s="774">
        <f>+(EMD!F23)/(24*G2)</f>
        <v>3.0229881656804669</v>
      </c>
      <c r="H191" s="134">
        <f>+(EMD!G23)/(24*H2)</f>
        <v>3.2312822713198526</v>
      </c>
      <c r="I191" s="53">
        <f>+(EMD!H23)/(24*I2)</f>
        <v>3.0229881656804678</v>
      </c>
      <c r="J191" s="53">
        <f>+(EMD!I23)/(24*J2)</f>
        <v>4.0594026473956308</v>
      </c>
      <c r="K191" s="774">
        <f>+(EMD!J23)/(24*K2)</f>
        <v>3.0229881656804674</v>
      </c>
      <c r="L191" s="134">
        <f>+(EMD!K23)/(24*L2)</f>
        <v>2.4660706434818951</v>
      </c>
      <c r="M191" s="77">
        <f>+(EMD!L23)/(24*M2)</f>
        <v>3.0229881656804678</v>
      </c>
      <c r="N191" s="114">
        <f>+((F191*F$2)+(H191*H$2)+(L191*L$2))/N$2</f>
        <v>3.5341283603911018</v>
      </c>
      <c r="O191" s="774">
        <f>+(EMD!N23)/(24*O2)</f>
        <v>3.0229881656804669</v>
      </c>
      <c r="P191" s="134">
        <f>+(EMD!O23)/(24*P2)</f>
        <v>2.3550810876015635</v>
      </c>
      <c r="Q191" s="53">
        <f>+(EMD!P23)/(24*Q2)</f>
        <v>3.0229881656804678</v>
      </c>
      <c r="R191" s="53">
        <f>+(EMD!Q23)/(24*R2)</f>
        <v>3.2345343812396625</v>
      </c>
      <c r="S191" s="774">
        <f>+(EMD!R23)/(24*S2)</f>
        <v>3.0293934911242606</v>
      </c>
      <c r="T191" s="134">
        <f>+(EMD!S23)/(24*T2)</f>
        <v>2.9080478264353409</v>
      </c>
      <c r="U191" s="53">
        <f>+(EMD!T23)/(24*U2)</f>
        <v>3.0242859767180987</v>
      </c>
      <c r="V191" s="53">
        <f>+(EMD!U23)/(24*V2)</f>
        <v>3.1683835106583951</v>
      </c>
      <c r="W191" s="774">
        <f>+(EMD!V23)/(24*W2)</f>
        <v>10.7</v>
      </c>
      <c r="X191" s="134">
        <f>+(EMD!W23)/(24*X2)</f>
        <v>2.6607083333333335</v>
      </c>
      <c r="Y191" s="77">
        <f>+(EMD!X23)/(24*Y2)</f>
        <v>5.5285199060972445</v>
      </c>
      <c r="Z191" s="77">
        <f>+((P191*P$2)+(T191*T$2)+(X191*X$2))/Z$2</f>
        <v>2.6410678949472177</v>
      </c>
      <c r="AA191" s="667">
        <f>+(EMD!Z23)/(24*AA2)</f>
        <v>4.2825997510266074</v>
      </c>
      <c r="AB191" s="2314">
        <f>+((N191*N$2)+(Z191*Z$2))/AB$2</f>
        <v>3.0851580717526463</v>
      </c>
      <c r="AC191" s="774">
        <f>+(EMD!AB23)/(24*AC2)</f>
        <v>3.0293934911242606</v>
      </c>
      <c r="AD191" s="134">
        <f>+(EMD!AC23)/(24*AD2)</f>
        <v>2.9954704301075266</v>
      </c>
      <c r="AE191" s="53">
        <f>+(EMD!AD23)/(24*AE2)</f>
        <v>4.101060526461314</v>
      </c>
      <c r="AF191" s="1869">
        <f>+(EMD!AE23)/(24*AF2)</f>
        <v>3.0721659367479797</v>
      </c>
      <c r="AG191" s="774">
        <f>+(EMD!AF23)/(24*AG2)</f>
        <v>3.029393491124261</v>
      </c>
      <c r="AH191" s="134">
        <f>+(EMD!AG23)/(24*AH2)</f>
        <v>18.165416666666662</v>
      </c>
      <c r="AI191" s="53">
        <f>+(EMD!AH23)/(24*AI2)</f>
        <v>3.9692981860510201</v>
      </c>
      <c r="AJ191" s="1869">
        <f>+(EMD!AI23)/(24*AJ2)</f>
        <v>4.9278934855084735</v>
      </c>
      <c r="AK191" s="774">
        <f>+(EMD!AJ23)/(24*AK2)</f>
        <v>3.0293934911242606</v>
      </c>
      <c r="AL191" s="134">
        <f>+(EMD!AK23)/(24*AL2)</f>
        <v>3.8304800817159022</v>
      </c>
      <c r="AM191" s="77">
        <f>+(EMD!AL23)/(24*AM2)</f>
        <v>3.0293934911242606</v>
      </c>
      <c r="AN191" s="113">
        <f>+(EMD!AM23)/(24*AN2)</f>
        <v>8.2235539768100683</v>
      </c>
      <c r="AO191" s="53">
        <f>+(EMD!AN23)/(24*AO2)</f>
        <v>3.8633452931683672</v>
      </c>
      <c r="AP191" s="105">
        <f>+(EMD!AO23)/(24*AP2)</f>
        <v>4.8041850654445843</v>
      </c>
      <c r="AQ191" s="774">
        <f>+(EMD!AP23)/(24*AQ2)</f>
        <v>3.0293934911242606</v>
      </c>
      <c r="AR191" s="134">
        <f>+(EMD!AQ23)/(24*AR2)</f>
        <v>3.4710752688172044</v>
      </c>
      <c r="AS191" s="53">
        <f>+(EMD!AR23)/(24*AS2)</f>
        <v>3.7788599798893889</v>
      </c>
      <c r="AT191" s="1869">
        <f>+(EMD!AS23)/(24*AT2)</f>
        <v>4.6691314585967127</v>
      </c>
      <c r="AU191" s="774">
        <f>+(EMD!AT23)/(24*AU2)</f>
        <v>3.0293934911242544</v>
      </c>
      <c r="AV191" s="134">
        <f>+(EMD!AU23)/(24*AV2)</f>
        <v>3.5551825618692723</v>
      </c>
      <c r="AW191" s="53">
        <f>+(EMD!AV23)/(24*AW2)</f>
        <v>3.7160304538851263</v>
      </c>
      <c r="AX191" s="1869">
        <f>+(EMD!AW23)/(24*AX2)</f>
        <v>4.5757465211465087</v>
      </c>
      <c r="AY191" s="774">
        <f>+(EMD!AX23)/(24*AY2)</f>
        <v>3.0293934911242606</v>
      </c>
      <c r="AZ191" s="134">
        <f>+(EMD!AY23)/(24*AZ2)</f>
        <v>3.3187792970619365</v>
      </c>
      <c r="BA191" s="77">
        <f>+(EMD!AZ23)/(24*BA2)</f>
        <v>3.0293934911242588</v>
      </c>
      <c r="BB191" s="114">
        <f>+(EMD!BA23)/(24*BB2)</f>
        <v>3.4447844808288108</v>
      </c>
      <c r="BC191" s="667">
        <f>+(EMD!BB23)/(24*BC2)</f>
        <v>3.0293934911242597</v>
      </c>
      <c r="BD191" s="474">
        <f>+(EMD!BC23)/(24*BD2)</f>
        <v>5.8604262040720831</v>
      </c>
      <c r="BE191" s="53">
        <f>+(EMD!BD23)/(24*BE2)</f>
        <v>3.6577133419794086</v>
      </c>
      <c r="BF191" s="107">
        <f>+(EMD!BE23)/(24*BF2)</f>
        <v>4.4689904007448051</v>
      </c>
      <c r="BG191" s="1219"/>
      <c r="BH191" s="1219"/>
      <c r="BI191" s="1219"/>
      <c r="BJ191" s="1546"/>
      <c r="BK191" s="1546"/>
      <c r="BL191" s="26"/>
      <c r="BM191" s="26"/>
      <c r="BN191" s="26"/>
    </row>
    <row r="192" spans="1:66" x14ac:dyDescent="0.25">
      <c r="B192" s="1861" t="s">
        <v>575</v>
      </c>
      <c r="C192" s="1392" t="s">
        <v>301</v>
      </c>
      <c r="D192" s="396">
        <v>83.041666666666671</v>
      </c>
      <c r="E192" s="774">
        <f>+(EMD!D61)/(24*E2)</f>
        <v>86.5</v>
      </c>
      <c r="F192" s="134">
        <f>+(EMD!E61)/(24*F2)</f>
        <v>78.856944444444451</v>
      </c>
      <c r="G192" s="774">
        <f>+(EMD!F61)/(24*G2)</f>
        <v>86.5</v>
      </c>
      <c r="H192" s="134">
        <f>+(EMD!G61)/(24*H2)</f>
        <v>86.924731182795696</v>
      </c>
      <c r="I192" s="53">
        <f>+(EMD!H61)/(24*I2)</f>
        <v>86.5</v>
      </c>
      <c r="J192" s="53">
        <f>+(EMD!I61)/(24*J2)</f>
        <v>82.956967213114751</v>
      </c>
      <c r="K192" s="774">
        <f>+(EMD!J61)/(24*K2)</f>
        <v>86.5</v>
      </c>
      <c r="L192" s="134">
        <f>+(EMD!K61)/(24*L2)</f>
        <v>91.350462962962951</v>
      </c>
      <c r="M192" s="77">
        <f>+(EMD!L61)/(24*M2)</f>
        <v>86.5</v>
      </c>
      <c r="N192" s="114">
        <f>+((F192*F$2)+(H192*H$2)+(L192*L$2))/N$2</f>
        <v>85.724053724053718</v>
      </c>
      <c r="O192" s="774">
        <f>+(EMD!N61)/(24*O2)</f>
        <v>86.5</v>
      </c>
      <c r="P192" s="134">
        <f>+(EMD!O61)/(24*P2)</f>
        <v>92.540322580645167</v>
      </c>
      <c r="Q192" s="53">
        <f>+(EMD!P61)/(24*Q2)</f>
        <v>86.5</v>
      </c>
      <c r="R192" s="53">
        <f>+(EMD!Q61)/(24*R2)</f>
        <v>87.456056466302357</v>
      </c>
      <c r="S192" s="774">
        <f>+(EMD!R61)/(24*S2)</f>
        <v>86.5</v>
      </c>
      <c r="T192" s="134">
        <f>+(EMD!S61)/(24*T2)</f>
        <v>88.795698924731184</v>
      </c>
      <c r="U192" s="53">
        <f>+(EMD!T61)/(24*U2)</f>
        <v>86.5</v>
      </c>
      <c r="V192" s="53">
        <f>+(EMD!U61)/(24*V2)</f>
        <v>87.727487291212782</v>
      </c>
      <c r="W192" s="774">
        <f>+(EMD!V61)/(24*W2)</f>
        <v>45</v>
      </c>
      <c r="X192" s="134">
        <f>+(EMD!W61)/(24*X2)</f>
        <v>90.990555555555545</v>
      </c>
      <c r="Y192" s="77">
        <f>+(EMD!X61)/(24*Y2)</f>
        <v>72.967391304347828</v>
      </c>
      <c r="Z192" s="77">
        <f>+((P192*P$2)+(T192*T$2)+(X192*X$2))/Z$2</f>
        <v>90.773188405797086</v>
      </c>
      <c r="AA192" s="667">
        <f>+(EMD!Z61)/(24*AA2)</f>
        <v>79.696721311475414</v>
      </c>
      <c r="AB192" s="2314">
        <f>+((N192*N$2)+(Z192*Z$2))/AB$2</f>
        <v>88.262416514875525</v>
      </c>
      <c r="AC192" s="774">
        <f>+(EMD!AB61)/(24*AC2)</f>
        <v>87.5</v>
      </c>
      <c r="AD192" s="134">
        <f>+(EMD!AC61)/(24*AD2)</f>
        <v>85.916666666666671</v>
      </c>
      <c r="AE192" s="53">
        <f>+(EMD!AD61)/(24*AE2)</f>
        <v>80.827102803738313</v>
      </c>
      <c r="AF192" s="1869">
        <f>+(EMD!AE61)/(24*AF2)</f>
        <v>87.92261163032191</v>
      </c>
      <c r="AG192" s="774">
        <f>+(EMD!AF61)/(24*AG2)</f>
        <v>87.5</v>
      </c>
      <c r="AH192" s="134">
        <f>+(EMD!AG61)/(24*AH2)</f>
        <v>2.7986111111111103</v>
      </c>
      <c r="AI192" s="53">
        <f>+(EMD!AH61)/(24*AI2)</f>
        <v>81.647540983606561</v>
      </c>
      <c r="AJ192" s="1869">
        <f>+(EMD!AI61)/(24*AJ2)</f>
        <v>77.456545992714027</v>
      </c>
      <c r="AK192" s="774">
        <f>+(EMD!AJ61)/(24*AK2)</f>
        <v>87.5</v>
      </c>
      <c r="AL192" s="134">
        <f>+(EMD!AK61)/(24*AL2)</f>
        <v>84.288978494623649</v>
      </c>
      <c r="AM192" s="77">
        <f>+(EMD!AL61)/(24*AM2)</f>
        <v>87.5</v>
      </c>
      <c r="AN192" s="113">
        <f>+(EMD!AM61)/(24*AN2)</f>
        <v>58.264492753623188</v>
      </c>
      <c r="AO192" s="53">
        <f>+(EMD!AN61)/(24*AO2)</f>
        <v>82.307272727272732</v>
      </c>
      <c r="AP192" s="105">
        <f>+(EMD!AO61)/(24*AP2)</f>
        <v>78.226747474747469</v>
      </c>
      <c r="AQ192" s="774">
        <f>+(EMD!AP61)/(24*AQ2)</f>
        <v>87.5</v>
      </c>
      <c r="AR192" s="134">
        <f>+(EMD!AQ61)/(24*AR2)</f>
        <v>86.594086021505376</v>
      </c>
      <c r="AS192" s="53">
        <f>+(EMD!AR61)/(24*AS2)</f>
        <v>82.833333333333329</v>
      </c>
      <c r="AT192" s="1869">
        <f>+(EMD!AS61)/(24*AT2)</f>
        <v>79.074419026870004</v>
      </c>
      <c r="AU192" s="774">
        <f>+(EMD!AT61)/(24*AU2)</f>
        <v>87.5</v>
      </c>
      <c r="AV192" s="134">
        <f>+(EMD!AU61)/(24*AV2)</f>
        <v>87.02529761904762</v>
      </c>
      <c r="AW192" s="53">
        <f>+(EMD!AV61)/(24*AW2)</f>
        <v>83.224550898203589</v>
      </c>
      <c r="AX192" s="1869">
        <f>+(EMD!AW61)/(24*AX2)</f>
        <v>79.740959747172326</v>
      </c>
      <c r="AY192" s="774">
        <f>+(EMD!AX61)/(24*AY2)</f>
        <v>87.5</v>
      </c>
      <c r="AZ192" s="134">
        <f>+(EMD!AY61)/(24*AZ2)</f>
        <v>88.512365591397852</v>
      </c>
      <c r="BA192" s="72">
        <f>+(EMD!AZ61)/(24*BA2)</f>
        <v>87.5</v>
      </c>
      <c r="BB192" s="69">
        <f>+(EMD!BA61)/(24*BB2)</f>
        <v>87.38898148148148</v>
      </c>
      <c r="BC192" s="640">
        <f>+(EMD!BB61)/(24*BC2)</f>
        <v>87.5</v>
      </c>
      <c r="BD192" s="454">
        <f>+(EMD!BC61)/(24*BD2)</f>
        <v>72.666712454212458</v>
      </c>
      <c r="BE192" s="61">
        <f>+(EMD!BD61)/(24*BE2)</f>
        <v>83.587671232876716</v>
      </c>
      <c r="BF192" s="39">
        <f>+(EMD!BE61)/(24*BF2)</f>
        <v>80.485928462709282</v>
      </c>
      <c r="BG192" s="1219"/>
      <c r="BH192" s="1219"/>
      <c r="BI192" s="1219"/>
      <c r="BJ192" s="1546"/>
      <c r="BK192" s="1546"/>
      <c r="BL192" s="26"/>
      <c r="BM192" s="26"/>
      <c r="BN192" s="26"/>
    </row>
    <row r="193" spans="1:66" x14ac:dyDescent="0.25">
      <c r="B193" s="1892" t="s">
        <v>781</v>
      </c>
      <c r="C193" s="1392" t="s">
        <v>213</v>
      </c>
      <c r="D193" s="448">
        <f>7.2882126796875*1000*24*365</f>
        <v>63844743.074062496</v>
      </c>
      <c r="E193" s="155">
        <f>+'POWER DISTRIBUTION'!I20</f>
        <v>5267670.03</v>
      </c>
      <c r="F193" s="496">
        <f>+'POWER DISTRIBUTION'!J20</f>
        <v>5114575.7499999991</v>
      </c>
      <c r="G193" s="155">
        <f>+'POWER DISTRIBUTION'!K20</f>
        <v>5443259.0310000004</v>
      </c>
      <c r="H193" s="496">
        <f>+'POWER DISTRIBUTION'!L20</f>
        <v>5230424.8400000054</v>
      </c>
      <c r="I193" s="61">
        <f>+'POWER DISTRIBUTION'!M20</f>
        <v>10710929.061000001</v>
      </c>
      <c r="J193" s="39">
        <f>+'POWER DISTRIBUTION'!N20</f>
        <v>10345000.590000004</v>
      </c>
      <c r="K193" s="155">
        <f>+'POWER DISTRIBUTION'!O20</f>
        <v>5267670.03</v>
      </c>
      <c r="L193" s="496">
        <f>+'POWER DISTRIBUTION'!P20</f>
        <v>4982808.9399999864</v>
      </c>
      <c r="M193" s="72">
        <f>+'POWER DISTRIBUTION'!Q20</f>
        <v>15978599.091000002</v>
      </c>
      <c r="N193" s="125">
        <f>+L193+H193+F193</f>
        <v>15327809.52999999</v>
      </c>
      <c r="O193" s="155">
        <f>+'POWER DISTRIBUTION'!S20</f>
        <v>5443259.0310000004</v>
      </c>
      <c r="P193" s="496">
        <f>+'POWER DISTRIBUTION'!T20</f>
        <v>5165082.3400000138</v>
      </c>
      <c r="Q193" s="61">
        <f>+'POWER DISTRIBUTION'!U20</f>
        <v>21421858.122000001</v>
      </c>
      <c r="R193" s="39">
        <f>+'POWER DISTRIBUTION'!V20</f>
        <v>20492891.870000005</v>
      </c>
      <c r="S193" s="155">
        <f>+'POWER DISTRIBUTION'!W20</f>
        <v>5443259.0310000004</v>
      </c>
      <c r="T193" s="496">
        <f>+'POWER DISTRIBUTION'!X20</f>
        <v>4967620.5999999903</v>
      </c>
      <c r="U193" s="61">
        <f>+'POWER DISTRIBUTION'!Y20</f>
        <v>26865117.153000001</v>
      </c>
      <c r="V193" s="39">
        <f>+'POWER DISTRIBUTION'!Z20</f>
        <v>25460512.469999995</v>
      </c>
      <c r="W193" s="155">
        <f>+'POWER DISTRIBUTION'!AA20</f>
        <v>5025787.2224999992</v>
      </c>
      <c r="X193" s="496">
        <f>+'POWER DISTRIBUTION'!AB20</f>
        <v>4729684.800000011</v>
      </c>
      <c r="Y193" s="72">
        <f>+'POWER DISTRIBUTION'!AC20</f>
        <v>15912305.284499999</v>
      </c>
      <c r="Z193" s="1123">
        <f>+P193+T193+X193</f>
        <v>14862387.740000017</v>
      </c>
      <c r="AA193" s="640">
        <f>+'POWER DISTRIBUTION'!AE20</f>
        <v>31890904.375500001</v>
      </c>
      <c r="AB193" s="454">
        <f>+N193+Z193</f>
        <v>30190197.270000007</v>
      </c>
      <c r="AC193" s="155">
        <f>+'POWER DISTRIBUTION'!AG20</f>
        <v>4979810.0384999998</v>
      </c>
      <c r="AD193" s="496">
        <f>+'POWER DISTRIBUTION'!AH20</f>
        <v>5000839.9999999776</v>
      </c>
      <c r="AE193" s="61">
        <f>+'POWER DISTRIBUTION'!AI20</f>
        <v>36870714.414000005</v>
      </c>
      <c r="AF193" s="39">
        <f>+'POWER DISTRIBUTION'!AJ20</f>
        <v>35191037.269999981</v>
      </c>
      <c r="AG193" s="155">
        <f>+'POWER DISTRIBUTION'!AK20</f>
        <v>4819171.0049999999</v>
      </c>
      <c r="AH193" s="496">
        <f>+'POWER DISTRIBUTION'!AL20</f>
        <v>4483330.0000000158</v>
      </c>
      <c r="AI193" s="61">
        <f>+'POWER DISTRIBUTION'!AM20</f>
        <v>41689885.419000007</v>
      </c>
      <c r="AJ193" s="39">
        <f>+'POWER DISTRIBUTION'!AN20</f>
        <v>39674367.269999996</v>
      </c>
      <c r="AK193" s="155">
        <f>+'POWER DISTRIBUTION'!AO20</f>
        <v>4979810.0384999998</v>
      </c>
      <c r="AL193" s="496">
        <f>+'POWER DISTRIBUTION'!AP20</f>
        <v>4868829.9999999832</v>
      </c>
      <c r="AM193" s="72">
        <f>+'POWER DISTRIBUTION'!AQ20</f>
        <v>14778791.081999999</v>
      </c>
      <c r="AN193" s="72">
        <f>+'POWER DISTRIBUTION'!AR20</f>
        <v>14352999.999999976</v>
      </c>
      <c r="AO193" s="61">
        <f>+'POWER DISTRIBUTION'!AS20</f>
        <v>46669695.457500011</v>
      </c>
      <c r="AP193" s="39">
        <f>+'POWER DISTRIBUTION'!AT20</f>
        <v>44543197.269999981</v>
      </c>
      <c r="AQ193" s="155">
        <f>+'POWER DISTRIBUTION'!AU20</f>
        <v>4979810.0384999998</v>
      </c>
      <c r="AR193" s="496">
        <f>+'POWER DISTRIBUTION'!AV20</f>
        <v>5053670.000000013</v>
      </c>
      <c r="AS193" s="61">
        <f>+'POWER DISTRIBUTION'!AW20</f>
        <v>51649505.496000007</v>
      </c>
      <c r="AT193" s="39">
        <f>+'POWER DISTRIBUTION'!AX20</f>
        <v>49596867.269999996</v>
      </c>
      <c r="AU193" s="155">
        <f>+'POWER DISTRIBUTION'!AY20</f>
        <v>4497892.9380000001</v>
      </c>
      <c r="AV193" s="496">
        <f>+'POWER DISTRIBUTION'!AZ20</f>
        <v>4831609.3899999885</v>
      </c>
      <c r="AW193" s="61">
        <f>+'POWER DISTRIBUTION'!BA20</f>
        <v>56147398.434000008</v>
      </c>
      <c r="AX193" s="39">
        <f>+'POWER DISTRIBUTION'!BB20</f>
        <v>54428476.659999982</v>
      </c>
      <c r="AY193" s="155">
        <f>+'POWER DISTRIBUTION'!BC20</f>
        <v>4979810.0384999998</v>
      </c>
      <c r="AZ193" s="496">
        <f>+'POWER DISTRIBUTION'!BD20</f>
        <v>5262355.5900000036</v>
      </c>
      <c r="BA193" s="72">
        <f>+'POWER DISTRIBUTION'!BE20</f>
        <v>14457513.015000001</v>
      </c>
      <c r="BB193" s="69">
        <f>+'POWER DISTRIBUTION'!BF20</f>
        <v>15147634.980000004</v>
      </c>
      <c r="BC193" s="640">
        <f>+'POWER DISTRIBUTION'!BG20</f>
        <v>29236304.096999999</v>
      </c>
      <c r="BD193" s="454">
        <f>+'POWER DISTRIBUTION'!BH20</f>
        <v>29500634.979999982</v>
      </c>
      <c r="BE193" s="61">
        <f>+'POWER DISTRIBUTION'!BI20</f>
        <v>61127208.472500011</v>
      </c>
      <c r="BF193" s="39">
        <f>+'POWER DISTRIBUTION'!BJ20</f>
        <v>59690832.249999985</v>
      </c>
      <c r="BG193" s="1219"/>
      <c r="BH193" s="1219"/>
      <c r="BI193" s="1219"/>
      <c r="BJ193" s="1546"/>
      <c r="BK193" s="1546"/>
      <c r="BL193" s="26"/>
      <c r="BM193" s="26"/>
      <c r="BN193" s="26"/>
    </row>
    <row r="194" spans="1:66" x14ac:dyDescent="0.25">
      <c r="A194" s="533"/>
      <c r="B194" s="1892" t="s">
        <v>782</v>
      </c>
      <c r="C194" s="1392" t="s">
        <v>1845</v>
      </c>
      <c r="D194" s="396">
        <f t="shared" ref="D194:AX194" si="943">+D193/D18</f>
        <v>56.787011891398905</v>
      </c>
      <c r="E194" s="774">
        <f t="shared" si="943"/>
        <v>56.790000000000006</v>
      </c>
      <c r="F194" s="1317">
        <f t="shared" si="943"/>
        <v>55.650589221605088</v>
      </c>
      <c r="G194" s="774">
        <f t="shared" ref="G194:H194" si="944">+G193/G18</f>
        <v>56.79</v>
      </c>
      <c r="H194" s="1317">
        <f t="shared" si="944"/>
        <v>54.85840067712639</v>
      </c>
      <c r="I194" s="53">
        <f t="shared" si="943"/>
        <v>56.79</v>
      </c>
      <c r="J194" s="105">
        <f t="shared" si="943"/>
        <v>55.247220429454345</v>
      </c>
      <c r="K194" s="774">
        <f t="shared" si="943"/>
        <v>56.790000000000006</v>
      </c>
      <c r="L194" s="1317">
        <f t="shared" si="943"/>
        <v>53.464360983575808</v>
      </c>
      <c r="M194" s="77">
        <f t="shared" si="943"/>
        <v>56.79</v>
      </c>
      <c r="N194" s="113">
        <f t="shared" si="943"/>
        <v>54.654739070119746</v>
      </c>
      <c r="O194" s="774">
        <f t="shared" ref="O194:P194" si="945">+O193/O18</f>
        <v>56.79</v>
      </c>
      <c r="P194" s="1317">
        <f t="shared" si="945"/>
        <v>53.343437338468405</v>
      </c>
      <c r="Q194" s="53">
        <f t="shared" si="943"/>
        <v>56.79</v>
      </c>
      <c r="R194" s="105">
        <f t="shared" si="943"/>
        <v>54.318195750631709</v>
      </c>
      <c r="S194" s="774">
        <f t="shared" si="943"/>
        <v>56.79</v>
      </c>
      <c r="T194" s="1317">
        <f t="shared" si="943"/>
        <v>51.556095925740166</v>
      </c>
      <c r="U194" s="53">
        <f t="shared" si="943"/>
        <v>56.789999999999992</v>
      </c>
      <c r="V194" s="105">
        <f t="shared" si="943"/>
        <v>53.756281757478312</v>
      </c>
      <c r="W194" s="774">
        <f t="shared" ref="W194:X194" si="946">+W193/W18</f>
        <v>56.789999999999992</v>
      </c>
      <c r="X194" s="1317">
        <f t="shared" si="946"/>
        <v>50.594252516376145</v>
      </c>
      <c r="Y194" s="77">
        <f t="shared" si="943"/>
        <v>56.789999999999985</v>
      </c>
      <c r="Z194" s="113">
        <f t="shared" si="943"/>
        <v>51.84614751870928</v>
      </c>
      <c r="AA194" s="667">
        <f t="shared" si="943"/>
        <v>56.789999999999992</v>
      </c>
      <c r="AB194" s="471">
        <f t="shared" si="943"/>
        <v>53.23505268146242</v>
      </c>
      <c r="AC194" s="774">
        <f t="shared" si="943"/>
        <v>51.429999999999993</v>
      </c>
      <c r="AD194" s="1317">
        <f t="shared" si="943"/>
        <v>52.26021424133765</v>
      </c>
      <c r="AE194" s="53">
        <f t="shared" si="943"/>
        <v>56.001719378953418</v>
      </c>
      <c r="AF194" s="105">
        <f t="shared" si="943"/>
        <v>53.094311773765426</v>
      </c>
      <c r="AG194" s="774">
        <f t="shared" si="943"/>
        <v>51.429999999999993</v>
      </c>
      <c r="AH194" s="1317">
        <f t="shared" si="943"/>
        <v>50.390913893291241</v>
      </c>
      <c r="AI194" s="53">
        <f t="shared" si="943"/>
        <v>55.432124339290205</v>
      </c>
      <c r="AJ194" s="105">
        <f t="shared" si="943"/>
        <v>52.774369603925855</v>
      </c>
      <c r="AK194" s="774">
        <f t="shared" si="943"/>
        <v>51.429999999999993</v>
      </c>
      <c r="AL194" s="1317">
        <f t="shared" si="943"/>
        <v>50.547355930074055</v>
      </c>
      <c r="AM194" s="77">
        <f t="shared" si="943"/>
        <v>51.429999999999993</v>
      </c>
      <c r="AN194" s="113">
        <f t="shared" si="943"/>
        <v>51.081145814908425</v>
      </c>
      <c r="AO194" s="53">
        <f t="shared" si="943"/>
        <v>54.975643884491028</v>
      </c>
      <c r="AP194" s="105">
        <f t="shared" si="943"/>
        <v>52.521437319179398</v>
      </c>
      <c r="AQ194" s="774">
        <f t="shared" si="943"/>
        <v>51.429999999999993</v>
      </c>
      <c r="AR194" s="1317">
        <f t="shared" si="943"/>
        <v>52.466333029318932</v>
      </c>
      <c r="AS194" s="53">
        <f t="shared" si="943"/>
        <v>54.612634107285835</v>
      </c>
      <c r="AT194" s="105">
        <f t="shared" si="943"/>
        <v>52.515817174963992</v>
      </c>
      <c r="AU194" s="774">
        <f t="shared" si="943"/>
        <v>51.43</v>
      </c>
      <c r="AV194" s="1317">
        <f t="shared" si="943"/>
        <v>55.586694584978623</v>
      </c>
      <c r="AW194" s="53">
        <f t="shared" si="943"/>
        <v>54.343235617442296</v>
      </c>
      <c r="AX194" s="105">
        <f t="shared" si="943"/>
        <v>52.774628006270859</v>
      </c>
      <c r="AY194" s="774">
        <f t="shared" ref="AY194:AZ194" si="947">+AY193/AY18</f>
        <v>51.429999999999993</v>
      </c>
      <c r="AZ194" s="1317">
        <f t="shared" si="947"/>
        <v>54.543543162876453</v>
      </c>
      <c r="BA194" s="77">
        <f t="shared" ref="BA194:BF194" si="948">+BA193/BA18</f>
        <v>51.43</v>
      </c>
      <c r="BB194" s="113">
        <f t="shared" si="948"/>
        <v>54.152403937762564</v>
      </c>
      <c r="BC194" s="667">
        <f t="shared" si="948"/>
        <v>51.43</v>
      </c>
      <c r="BD194" s="471">
        <f t="shared" si="948"/>
        <v>52.613318587653467</v>
      </c>
      <c r="BE194" s="53">
        <f t="shared" si="948"/>
        <v>54.093613367953772</v>
      </c>
      <c r="BF194" s="105">
        <f t="shared" si="948"/>
        <v>52.92595098579082</v>
      </c>
      <c r="BG194" s="1219"/>
      <c r="BH194" s="1219"/>
      <c r="BI194" s="1219"/>
      <c r="BJ194" s="1546"/>
      <c r="BK194" s="1546"/>
      <c r="BL194" s="26"/>
      <c r="BM194" s="26"/>
      <c r="BN194" s="26"/>
    </row>
    <row r="195" spans="1:66" ht="15.75" thickBot="1" x14ac:dyDescent="0.3">
      <c r="B195" s="1893" t="s">
        <v>218</v>
      </c>
      <c r="C195" s="1412" t="s">
        <v>1091</v>
      </c>
      <c r="D195" s="2814">
        <v>0.69015754301650478</v>
      </c>
      <c r="E195" s="790">
        <v>0.68999999999999984</v>
      </c>
      <c r="F195" s="388">
        <v>0.68640000000000001</v>
      </c>
      <c r="G195" s="790">
        <v>0.68999999999999972</v>
      </c>
      <c r="H195" s="388">
        <v>0.68300000000000005</v>
      </c>
      <c r="I195" s="394">
        <f>+((E195*E18)+(G195*G18))/I18</f>
        <v>0.68999999999999972</v>
      </c>
      <c r="J195" s="394">
        <f>+((F195*F18)+(H195*H18))/J18</f>
        <v>0.68466877843302443</v>
      </c>
      <c r="K195" s="790">
        <v>0.68999999999999984</v>
      </c>
      <c r="L195" s="388">
        <v>0.68300000000000005</v>
      </c>
      <c r="M195" s="1588">
        <f>+((E195*E18)+(G195*G18)+(K195*K18))/M18</f>
        <v>0.68999999999999984</v>
      </c>
      <c r="N195" s="1588">
        <f>+((F195*F18)+(H195*H18)+(L195*L18))/N18</f>
        <v>0.6841142085723928</v>
      </c>
      <c r="O195" s="790">
        <v>0.68999999999999972</v>
      </c>
      <c r="P195" s="388">
        <v>0.68100000000000005</v>
      </c>
      <c r="Q195" s="394">
        <f>+((M195*M18)+(O195*O18))/Q18</f>
        <v>0.68999999999999984</v>
      </c>
      <c r="R195" s="394">
        <f>+((N195*N18)+(P195*P18))/R18</f>
        <v>0.68331495233316608</v>
      </c>
      <c r="S195" s="790">
        <v>0.69021006500857063</v>
      </c>
      <c r="T195" s="388">
        <v>0.67900000000000005</v>
      </c>
      <c r="U195" s="394">
        <f>+((Q195*Q18)+(S195*S18))/U18</f>
        <v>0.69004256219127891</v>
      </c>
      <c r="V195" s="394">
        <f>+((R195*R18)+(T195*T18))/V18</f>
        <v>0.68243713029576336</v>
      </c>
      <c r="W195" s="790">
        <v>0.6899768638185716</v>
      </c>
      <c r="X195" s="388">
        <v>0.68500000000000005</v>
      </c>
      <c r="Y195" s="395">
        <f>+((O195*O18)+(S195*S18)+(W195*W18))/Y18</f>
        <v>0.69006455134637201</v>
      </c>
      <c r="Z195" s="395">
        <f>+((P195*P18)+(T195*T18)+(X195*X18))/Z18</f>
        <v>0.68163218137794401</v>
      </c>
      <c r="AA195" s="2315">
        <f>+((M195*M18)+(Y195*Y18))/AA18</f>
        <v>0.69003220857953418</v>
      </c>
      <c r="AB195" s="2315">
        <f>+((N195*N18)+(Z195*Z18))/AB18</f>
        <v>0.68285959388038941</v>
      </c>
      <c r="AC195" s="790">
        <v>0.68999999999999984</v>
      </c>
      <c r="AD195" s="388">
        <v>0.66</v>
      </c>
      <c r="AE195" s="1870">
        <f>+((AA195*AA18)+(AC195*AC18))/AE18</f>
        <v>0.69002747175134793</v>
      </c>
      <c r="AF195" s="1870">
        <f>+((AB195*AB18)+(AD195*AD18))/AF18</f>
        <v>0.67955927265803495</v>
      </c>
      <c r="AG195" s="790">
        <v>0.69</v>
      </c>
      <c r="AH195" s="388">
        <v>0.60499999999999998</v>
      </c>
      <c r="AI195" s="1870">
        <f>+((AE195*AE18)+(AG195*AG18))/AI18</f>
        <v>0.69002404901867298</v>
      </c>
      <c r="AJ195" s="1870">
        <f>+((AF195*AF18)+(AH195*AH18))/AJ18</f>
        <v>0.67073531979184153</v>
      </c>
      <c r="AK195" s="790">
        <v>0.68999999999999984</v>
      </c>
      <c r="AL195" s="388">
        <v>0.68</v>
      </c>
      <c r="AM195" s="395">
        <f>+((AC195*AC18)+(AG195*AG18)+(AK195*AK18))/AM18</f>
        <v>0.69</v>
      </c>
      <c r="AN195" s="395">
        <f>+((AD195*AD18)+(AH195*AH18)+(AL195*AL18))/AN18</f>
        <v>0.64944082640916234</v>
      </c>
      <c r="AO195" s="1870">
        <f>+((AK195*AK18)+(AI195*AI18))/AO18</f>
        <v>0.69002130599870393</v>
      </c>
      <c r="AP195" s="1870">
        <f>+((AL195*AL18)+(AJ195*AJ18))/AP18</f>
        <v>0.67178755254640821</v>
      </c>
      <c r="AQ195" s="790">
        <v>0.68999999999999984</v>
      </c>
      <c r="AR195" s="388">
        <v>0.68400000000000005</v>
      </c>
      <c r="AS195" s="1870">
        <f>+((AO195*AO18)+(AQ195*AQ18))/AS18</f>
        <v>0.69001912464995763</v>
      </c>
      <c r="AT195" s="1870">
        <f>+((AP195*AP18)+(AR195*AR18))/AT18</f>
        <v>0.67303311284826606</v>
      </c>
      <c r="AU195" s="790">
        <v>0.68999999999999972</v>
      </c>
      <c r="AV195" s="388">
        <v>0.68899999999999995</v>
      </c>
      <c r="AW195" s="1870">
        <f>+((AS195*AS18)+(AU195*AU18))/AW18</f>
        <v>0.69001750581736687</v>
      </c>
      <c r="AX195" s="1870">
        <f>+((AT195*AT18)+(AV195*AV18))/AX18</f>
        <v>0.67437878797148876</v>
      </c>
      <c r="AY195" s="790">
        <v>0.68999999999999984</v>
      </c>
      <c r="AZ195" s="388">
        <v>0.69</v>
      </c>
      <c r="BA195" s="756">
        <f>+((AQ195*AQ18)+(AU195*AU18)+(AY195*AY18))/BA18</f>
        <v>0.68999999999999984</v>
      </c>
      <c r="BB195" s="756">
        <f>+((AR195*AR18)+(AV195*AV18)+(AZ195*AZ18))/BB18</f>
        <v>0.68762316715542515</v>
      </c>
      <c r="BC195" s="4910">
        <f>+((AM195*AM18)+(BA195*BA18))/BC18</f>
        <v>0.69</v>
      </c>
      <c r="BD195" s="4910">
        <f>+((AN195*AN18)+(BB195*BB18))/BD18</f>
        <v>0.66848902768399732</v>
      </c>
      <c r="BE195" s="1870">
        <f>+((AW195*AW18)+(AY195*AY18))/BE18</f>
        <v>0.69001600582145717</v>
      </c>
      <c r="BF195" s="1870">
        <f>+((AX195*AX18)+(AZ195*AZ18))/BF18</f>
        <v>0.67571511455506739</v>
      </c>
      <c r="BG195" s="1219"/>
      <c r="BH195" s="1219"/>
      <c r="BI195" s="1219"/>
      <c r="BJ195" s="1546"/>
      <c r="BK195" s="1546"/>
      <c r="BL195" s="26"/>
      <c r="BM195" s="26"/>
      <c r="BN195" s="26"/>
    </row>
    <row r="196" spans="1:66" ht="15.75" thickBot="1" x14ac:dyDescent="0.3">
      <c r="B196" s="1883"/>
      <c r="C196" s="533"/>
      <c r="D196" s="533"/>
      <c r="E196" s="533"/>
      <c r="F196" s="533"/>
      <c r="G196" s="533"/>
      <c r="H196" s="533"/>
      <c r="I196" s="533"/>
      <c r="J196" s="533"/>
      <c r="K196" s="533"/>
      <c r="L196" s="533"/>
      <c r="M196" s="533"/>
      <c r="N196" s="533"/>
      <c r="O196" s="533"/>
      <c r="P196" s="533"/>
      <c r="Q196" s="533"/>
      <c r="R196" s="533"/>
      <c r="S196" s="533"/>
      <c r="T196" s="533"/>
      <c r="U196" s="533"/>
      <c r="V196" s="533"/>
      <c r="W196" s="533"/>
      <c r="X196" s="533"/>
      <c r="Y196" s="533"/>
      <c r="Z196" s="533"/>
      <c r="AA196" s="533"/>
      <c r="AB196" s="1868"/>
      <c r="AC196" s="533"/>
      <c r="AD196" s="533"/>
      <c r="AE196" s="533"/>
      <c r="AF196" s="1868"/>
      <c r="AG196" s="533"/>
      <c r="AH196" s="533"/>
      <c r="AI196" s="533"/>
      <c r="AJ196" s="1868"/>
      <c r="AK196" s="533"/>
      <c r="AL196" s="533"/>
      <c r="AM196" s="533"/>
      <c r="AN196" s="533"/>
      <c r="AO196" s="533"/>
      <c r="AP196" s="1868"/>
      <c r="AQ196" s="533"/>
      <c r="AR196" s="533"/>
      <c r="AS196" s="533"/>
      <c r="AT196" s="1868"/>
      <c r="AU196" s="533"/>
      <c r="AV196" s="533"/>
      <c r="AW196" s="533"/>
      <c r="AX196" s="1868"/>
      <c r="AY196" s="533"/>
      <c r="AZ196" s="533"/>
      <c r="BA196" s="533"/>
      <c r="BB196" s="533"/>
      <c r="BC196" s="533"/>
      <c r="BD196" s="1868"/>
      <c r="BE196" s="533"/>
      <c r="BF196" s="1868"/>
      <c r="BG196" s="1219"/>
      <c r="BH196" s="1219"/>
      <c r="BI196" s="1219"/>
      <c r="BJ196" s="1546"/>
      <c r="BK196" s="1546"/>
      <c r="BL196" s="26"/>
      <c r="BM196" s="26"/>
      <c r="BN196" s="26"/>
    </row>
    <row r="197" spans="1:66" ht="15.75" thickBot="1" x14ac:dyDescent="0.3">
      <c r="B197" s="1875" t="s">
        <v>495</v>
      </c>
      <c r="C197" s="1329" t="s">
        <v>49</v>
      </c>
      <c r="D197" s="1439">
        <v>9.9532229029959769</v>
      </c>
      <c r="E197" s="1326">
        <f>+$D$197</f>
        <v>9.9532229029959769</v>
      </c>
      <c r="F197" s="94">
        <f>+((F152*F107)+(F177*F125))/F143</f>
        <v>8.6775819793344411</v>
      </c>
      <c r="G197" s="1326">
        <f>+$D$197</f>
        <v>9.9532229029959769</v>
      </c>
      <c r="H197" s="94">
        <f>+((H152*H107)+(H177*H125))/H143</f>
        <v>8.7070042000009256</v>
      </c>
      <c r="I197" s="1366">
        <f>+$D$197</f>
        <v>9.9532229029959769</v>
      </c>
      <c r="J197" s="573">
        <f>+((J152*J107)+(J177*J125))/J143</f>
        <v>8.6925640352027784</v>
      </c>
      <c r="K197" s="1326">
        <f>+$D$197</f>
        <v>9.9532229029959769</v>
      </c>
      <c r="L197" s="94">
        <f>+((L152*L107)+(L177*L125))/L143</f>
        <v>9.1999999999999993</v>
      </c>
      <c r="M197" s="1589">
        <f>+$D$197</f>
        <v>9.9532229029959769</v>
      </c>
      <c r="N197" s="95">
        <f>+((N152*N107)+(N177*N125))/N143</f>
        <v>8.8601778672458344</v>
      </c>
      <c r="O197" s="1326">
        <f>+$D$197</f>
        <v>9.9532229029959769</v>
      </c>
      <c r="P197" s="94">
        <f>+((P152*P107)+(P177*P125))/P143</f>
        <v>10.61777810956818</v>
      </c>
      <c r="Q197" s="1366">
        <f>+$D$197</f>
        <v>9.9532229029959769</v>
      </c>
      <c r="R197" s="573">
        <f>+((R152*R107)+(R177*R125))/R143</f>
        <v>9.3078313224125377</v>
      </c>
      <c r="S197" s="1326">
        <f>+$D$197</f>
        <v>9.9532229029959769</v>
      </c>
      <c r="T197" s="94">
        <f>+((T152*T107)+(T177*T125))/T143</f>
        <v>10.513227966768969</v>
      </c>
      <c r="U197" s="1366">
        <f>+$D$197</f>
        <v>9.9532229029959769</v>
      </c>
      <c r="V197" s="573">
        <f>+((V152*V107)+(V177*V125))/V143</f>
        <v>9.5537100919842057</v>
      </c>
      <c r="W197" s="1326">
        <f>+$D$197</f>
        <v>9.9532229029959769</v>
      </c>
      <c r="X197" s="94">
        <f>+((X152*X107)+(X177*X125))/X143</f>
        <v>10.378762475718625</v>
      </c>
      <c r="Y197" s="1589">
        <f>+$D$197</f>
        <v>9.9532229029959769</v>
      </c>
      <c r="Z197" s="2125">
        <f>+((Z152*Z107)+(Z177*Z125))/Z143</f>
        <v>10.50430967558156</v>
      </c>
      <c r="AA197" s="1617">
        <f>+$D$197</f>
        <v>9.9532229029959769</v>
      </c>
      <c r="AB197" s="2126">
        <f>+((AB152*AB107)+(AB177*AB125))/AB143</f>
        <v>9.6899139248032551</v>
      </c>
      <c r="AC197" s="1326">
        <f>+$D$197</f>
        <v>9.9532229029959769</v>
      </c>
      <c r="AD197" s="94">
        <f>+((AD152*AD107)+(AD177*AD125))/AD143</f>
        <v>10.282298519198008</v>
      </c>
      <c r="AE197" s="1366">
        <f>+$D$197</f>
        <v>9.9532229029959769</v>
      </c>
      <c r="AF197" s="573">
        <f>+((AF152*AF107)+(AF177*AF125))/AF143</f>
        <v>9.7781781068031837</v>
      </c>
      <c r="AG197" s="1326">
        <f>+$D$197</f>
        <v>9.9532229029959769</v>
      </c>
      <c r="AH197" s="94">
        <f>+((AH152*AH107)+(AH177*AH125))/AH143</f>
        <v>9.9771231661516619</v>
      </c>
      <c r="AI197" s="1366">
        <f>+$D$197</f>
        <v>9.9532229029959769</v>
      </c>
      <c r="AJ197" s="573">
        <f>+((AJ152*AJ107)+(AJ177*AJ125))/AJ143</f>
        <v>9.8023901906046813</v>
      </c>
      <c r="AK197" s="1326">
        <f>+$D$197</f>
        <v>9.9532229029959769</v>
      </c>
      <c r="AL197" s="94">
        <f>+((AL152*AL107)+(AL177*AL125))/AL143</f>
        <v>9.1830821149897659</v>
      </c>
      <c r="AM197" s="1589">
        <f>+$D$197</f>
        <v>9.9532229029959769</v>
      </c>
      <c r="AN197" s="2125">
        <f>+((AN152*AN107)+(AN177*AN125))/AN143</f>
        <v>9.8126838170912087</v>
      </c>
      <c r="AO197" s="1366">
        <f>+$D$197</f>
        <v>9.9532229029959769</v>
      </c>
      <c r="AP197" s="573">
        <f>+((AP152*AP107)+(AP177*AP125))/AP143</f>
        <v>9.7314349251779699</v>
      </c>
      <c r="AQ197" s="1326">
        <f>+$D$197</f>
        <v>9.9532229029959769</v>
      </c>
      <c r="AR197" s="94">
        <f>+((AR152*AR107)+(AR177*AR125))/AR143</f>
        <v>8.9187761253487565</v>
      </c>
      <c r="AS197" s="1366">
        <f>+$D$197</f>
        <v>9.9532229029959769</v>
      </c>
      <c r="AT197" s="573">
        <f>+((AT152*AT107)+(AT177*AT125))/AT143</f>
        <v>9.6491339451412284</v>
      </c>
      <c r="AU197" s="1326">
        <f>+$D$197</f>
        <v>9.9532229029959769</v>
      </c>
      <c r="AV197" s="94">
        <f>+((AV152*AV107)+(AV177*AV125))/AV143</f>
        <v>8.728436462169082</v>
      </c>
      <c r="AW197" s="1366">
        <f>+$D$197</f>
        <v>9.9532229029959769</v>
      </c>
      <c r="AX197" s="573">
        <f>+((AX152*AX107)+(AX177*AX125))/AX143</f>
        <v>9.5731606773835107</v>
      </c>
      <c r="AY197" s="1326">
        <f>+$D$197</f>
        <v>9.9532229029959769</v>
      </c>
      <c r="AZ197" s="94">
        <f>+((AZ152*AZ107)+(AZ177*AZ125))/AZ143</f>
        <v>8.3787553809487108</v>
      </c>
      <c r="BA197" s="1589">
        <f>+$D$197</f>
        <v>9.9532229029959769</v>
      </c>
      <c r="BB197" s="2125">
        <f>+((BB152*BB107)+(BB177*BB125))/BB143</f>
        <v>8.6789784808036359</v>
      </c>
      <c r="BC197" s="1617">
        <f>+$D$197</f>
        <v>9.9532229029959769</v>
      </c>
      <c r="BD197" s="2316">
        <f>+((BD152*BD107)+(BD177*BD125))/BD143</f>
        <v>9.2621706900611738</v>
      </c>
      <c r="BE197" s="1366">
        <f>+$D$197</f>
        <v>9.9532229029959769</v>
      </c>
      <c r="BF197" s="573">
        <f>+((BF152*BF107)+(BF177*BF125))/BF143</f>
        <v>9.4767468051318442</v>
      </c>
      <c r="BG197" s="1219"/>
      <c r="BH197" s="1219"/>
      <c r="BI197" s="1219"/>
      <c r="BJ197" s="1546"/>
      <c r="BK197" s="1546"/>
      <c r="BL197" s="26"/>
      <c r="BM197" s="26"/>
      <c r="BN197" s="26"/>
    </row>
    <row r="198" spans="1:66" ht="17.25" thickBot="1" x14ac:dyDescent="0.3">
      <c r="A198" s="148"/>
      <c r="B198" s="1753" t="s">
        <v>703</v>
      </c>
      <c r="C198" s="1392" t="s">
        <v>49</v>
      </c>
      <c r="D198" s="2815" t="s">
        <v>2215</v>
      </c>
      <c r="E198" s="2816" t="str">
        <f>$D$198</f>
        <v>&lt;=2</v>
      </c>
      <c r="F198" s="1327">
        <f>+((F156*F21)+(F22*F181))/(F21+F22)</f>
        <v>1.2956167502051064</v>
      </c>
      <c r="G198" s="2816" t="str">
        <f>$D$198</f>
        <v>&lt;=2</v>
      </c>
      <c r="H198" s="1327">
        <f>+((H156*H21)+(H22*H181))/(H21+H22)</f>
        <v>1.4988358268093165</v>
      </c>
      <c r="I198" s="1367" t="str">
        <f>+$D$198</f>
        <v>&lt;=2</v>
      </c>
      <c r="J198" s="574">
        <f>+((J156*J21)+(J22*J181))/(J21+J22)</f>
        <v>1.3990976731347013</v>
      </c>
      <c r="K198" s="2816" t="str">
        <f>$D$198</f>
        <v>&lt;=2</v>
      </c>
      <c r="L198" s="1327">
        <f>+((L156*L21)+(L22*L181))/(L21+L22)</f>
        <v>1.3721789939139493</v>
      </c>
      <c r="M198" s="1590" t="str">
        <f>+$D$198</f>
        <v>&lt;=2</v>
      </c>
      <c r="N198" s="1591">
        <f>+((N156*N21)+(N22*N181))/(N21+N22)</f>
        <v>1.390206023195323</v>
      </c>
      <c r="O198" s="2816" t="str">
        <f>$D$198</f>
        <v>&lt;=2</v>
      </c>
      <c r="P198" s="1327">
        <f>+((P156*P21)+(P22*P181))/(P21+P22)</f>
        <v>1.3611379947334052</v>
      </c>
      <c r="Q198" s="1367" t="str">
        <f>+$D$198</f>
        <v>&lt;=2</v>
      </c>
      <c r="R198" s="574">
        <f>+((R156*R21)+(R22*R181))/(R21+R22)</f>
        <v>1.382802517841522</v>
      </c>
      <c r="S198" s="2816" t="str">
        <f>$D$198</f>
        <v>&lt;=2</v>
      </c>
      <c r="T198" s="1327">
        <f>+((T156*T21)+(T22*T181))/(T21+T22)</f>
        <v>1.4438928639440998</v>
      </c>
      <c r="U198" s="1367" t="str">
        <f>+$D$198</f>
        <v>&lt;=2</v>
      </c>
      <c r="V198" s="574">
        <f>+((V156*V21)+(V22*V181))/(V21+V22)</f>
        <v>1.3952638289624921</v>
      </c>
      <c r="W198" s="2816" t="str">
        <f>$D$198</f>
        <v>&lt;=2</v>
      </c>
      <c r="X198" s="1327">
        <f>+((X156*X21)+(X22*X181))/(X21+X22)</f>
        <v>1.693373546646967</v>
      </c>
      <c r="Y198" s="1590" t="str">
        <f>+$D$198</f>
        <v>&lt;=2</v>
      </c>
      <c r="Z198" s="643">
        <f>+((Z156*Z21)+(Z22*Z181))/(Z21+Z22)</f>
        <v>1.4974439985086738</v>
      </c>
      <c r="AA198" s="1618" t="str">
        <f>+$D$198</f>
        <v>&lt;=2</v>
      </c>
      <c r="AB198" s="2316">
        <f>+((AB156*AB21)+(AB22*AB181))/(AB21+AB22)</f>
        <v>1.4442840564705299</v>
      </c>
      <c r="AC198" s="2816">
        <v>1.6449750243473344</v>
      </c>
      <c r="AD198" s="1327">
        <f>+((AD156*AD21)+(AD22*AD181))/(AD21+AD22)</f>
        <v>2.1596729236406191</v>
      </c>
      <c r="AE198" s="1367" t="str">
        <f>+$D$198</f>
        <v>&lt;=2</v>
      </c>
      <c r="AF198" s="1871">
        <f>+((AF156*AF21)+(AF22*AF181))/(AF21+AF22)</f>
        <v>1.5486574230842658</v>
      </c>
      <c r="AG198" s="2816">
        <v>1.6449750243473344</v>
      </c>
      <c r="AH198" s="1327">
        <f>+((AH156*AH21)+(AH22*AH181))/(AH21+AH22)</f>
        <v>2.1442066761704224</v>
      </c>
      <c r="AI198" s="1367" t="str">
        <f>+$D$198</f>
        <v>&lt;=2</v>
      </c>
      <c r="AJ198" s="1871">
        <f>+((AJ156*AJ21)+(AJ22*AJ181))/(AJ21+AJ22)</f>
        <v>1.6198463007100496</v>
      </c>
      <c r="AK198" s="2816">
        <v>1.6449750243473344</v>
      </c>
      <c r="AL198" s="1327">
        <f>+((AL156*AL21)+(AL22*AL181))/(AL21+AL22)</f>
        <v>1.6627189060125898</v>
      </c>
      <c r="AM198" s="1590" t="str">
        <f>+$D$198</f>
        <v>&lt;=2</v>
      </c>
      <c r="AN198" s="643">
        <f>+((AN156*AN21)+(AN22*AN181))/(AN21+AN22)</f>
        <v>1.9854368070031896</v>
      </c>
      <c r="AO198" s="1367" t="str">
        <f>+$D$198</f>
        <v>&lt;=2</v>
      </c>
      <c r="AP198" s="1871">
        <f>+((AP156*AP21)+(AP22*AP181))/(AP21+AP22)</f>
        <v>1.6247167668166045</v>
      </c>
      <c r="AQ198" s="2816">
        <v>1.6449750243473344</v>
      </c>
      <c r="AR198" s="1327">
        <f>+((AR156*AR21)+(AR22*AR181))/(AR21+AR22)</f>
        <v>1.7208546414875912</v>
      </c>
      <c r="AS198" s="1367" t="str">
        <f>+$D$198</f>
        <v>&lt;=2</v>
      </c>
      <c r="AT198" s="1871">
        <f>+((AT156*AT21)+(AT22*AT181))/(AT21+AT22)</f>
        <v>1.6345977123889892</v>
      </c>
      <c r="AU198" s="2816">
        <v>1.6449750243473344</v>
      </c>
      <c r="AV198" s="1327">
        <f>+((AV156*AV21)+(AV22*AV181))/(AV21+AV22)</f>
        <v>1.3027094013425424</v>
      </c>
      <c r="AW198" s="1367" t="str">
        <f>+$D$198</f>
        <v>&lt;=2</v>
      </c>
      <c r="AX198" s="1871">
        <f>+((AX156*AX21)+(AX22*AX181))/(AX21+AX22)</f>
        <v>1.6064847747059288</v>
      </c>
      <c r="AY198" s="4914">
        <v>1.6449750243473344</v>
      </c>
      <c r="AZ198" s="1327">
        <f>+((AZ156*AZ21)+(AZ22*AZ181))/(AZ21+AZ22)</f>
        <v>1.2320871626096339</v>
      </c>
      <c r="BA198" s="1590" t="str">
        <f>+$D$198</f>
        <v>&lt;=2</v>
      </c>
      <c r="BB198" s="2125">
        <f>+((BB156*BB21)+(BB22*BB181))/(BB21+BB22)</f>
        <v>1.422545916967801</v>
      </c>
      <c r="BC198" s="1618" t="str">
        <f>+$D$198</f>
        <v>&lt;=2</v>
      </c>
      <c r="BD198" s="2316">
        <f>+((BD156*BD21)+(BD22*BD181))/(BD21+BD22)</f>
        <v>1.7045005101889699</v>
      </c>
      <c r="BE198" s="1367" t="str">
        <f>+$D$198</f>
        <v>&lt;=2</v>
      </c>
      <c r="BF198" s="1871">
        <f>+((BF156*BF21)+(BF22*BF181))/(BF21+BF22)</f>
        <v>1.5743009170678894</v>
      </c>
      <c r="BG198" s="1219"/>
      <c r="BH198" s="1219"/>
      <c r="BI198" s="1219"/>
      <c r="BJ198" s="1546"/>
      <c r="BK198" s="1546"/>
      <c r="BL198" s="26"/>
      <c r="BM198" s="26"/>
      <c r="BN198" s="26"/>
    </row>
    <row r="199" spans="1:66" ht="15.75" thickBot="1" x14ac:dyDescent="0.3">
      <c r="A199" s="148"/>
      <c r="B199" s="1900" t="s">
        <v>496</v>
      </c>
      <c r="C199" s="1412" t="s">
        <v>49</v>
      </c>
      <c r="D199" s="1434">
        <v>2.5</v>
      </c>
      <c r="E199" s="754">
        <f>+$D$199</f>
        <v>2.5</v>
      </c>
      <c r="F199" s="135">
        <f>+((F139*2.5)+((+F140+F141+F142)*2.5))/F143</f>
        <v>2.5000000000000004</v>
      </c>
      <c r="G199" s="754">
        <f>+$D$199</f>
        <v>2.5</v>
      </c>
      <c r="H199" s="135">
        <f>+((H139*2.5)+((+H140+H141+H142)*2.5))/H143</f>
        <v>2.5</v>
      </c>
      <c r="I199" s="755">
        <f>+$D$199</f>
        <v>2.5</v>
      </c>
      <c r="J199" s="1872">
        <f>+((J139*2.5)+((+J140+J141+J142)*2.5))/J143</f>
        <v>2.5</v>
      </c>
      <c r="K199" s="754">
        <f>+$D$199</f>
        <v>2.5</v>
      </c>
      <c r="L199" s="135">
        <f>+((L139*2.5)+((+L140+L141+L142)*2.5))/L143</f>
        <v>2.4999999999999996</v>
      </c>
      <c r="M199" s="756">
        <f>+$D$199</f>
        <v>2.5</v>
      </c>
      <c r="N199" s="171">
        <f>+((N139*2.5)+((+N140+N141+N142)*2.5))/N143</f>
        <v>2.5</v>
      </c>
      <c r="O199" s="754">
        <f>+$D$199</f>
        <v>2.5</v>
      </c>
      <c r="P199" s="135">
        <f>+((P139*2.5)+((+P140+P141+P142)*2.5))/P143</f>
        <v>2.5</v>
      </c>
      <c r="Q199" s="755">
        <f>+$D$199</f>
        <v>2.5</v>
      </c>
      <c r="R199" s="1872">
        <f>+((R139*2.5)+((+R140+R141+R142)*2.5))/R143</f>
        <v>2.5</v>
      </c>
      <c r="S199" s="754">
        <f>+$D$199</f>
        <v>2.5</v>
      </c>
      <c r="T199" s="135">
        <f>+((T139*2.5)+((+T140+T141+T142)*2.5))/T143</f>
        <v>2.5</v>
      </c>
      <c r="U199" s="755">
        <f>+$D$199</f>
        <v>2.5</v>
      </c>
      <c r="V199" s="1872">
        <f>+((V139*2.5)+((+V140+V141+V142)*2.5))/V143</f>
        <v>2.5</v>
      </c>
      <c r="W199" s="754">
        <f>+$D$199</f>
        <v>2.5</v>
      </c>
      <c r="X199" s="135">
        <f>+((X139*2.5)+((+X140+X141+X142)*2.5))/X143</f>
        <v>2.5</v>
      </c>
      <c r="Y199" s="756">
        <f>+$D$199</f>
        <v>2.5</v>
      </c>
      <c r="Z199" s="2132">
        <f>+((Z139*2.5)+((+Z140+Z141+Z142)*2.5))/Z143</f>
        <v>2.5</v>
      </c>
      <c r="AA199" s="757">
        <f>+$D$199</f>
        <v>2.5</v>
      </c>
      <c r="AB199" s="476">
        <f>+((AB139*2.5)+((+AB140+AB141+AB142)*2.5))/AB143</f>
        <v>2.4999999999999996</v>
      </c>
      <c r="AC199" s="754">
        <f>+$D$199</f>
        <v>2.5</v>
      </c>
      <c r="AD199" s="135">
        <f>+((AD139*2.5)+((+AD140+AD141+AD142)*2.5))/AD143</f>
        <v>2.5</v>
      </c>
      <c r="AE199" s="755">
        <f>+$D$199</f>
        <v>2.5</v>
      </c>
      <c r="AF199" s="1873">
        <f>+((AF139*2.5)+((+AF140+AF141+AF142)*2.5))/AF143</f>
        <v>2.5</v>
      </c>
      <c r="AG199" s="754">
        <f>+$D$199</f>
        <v>2.5</v>
      </c>
      <c r="AH199" s="135">
        <f>+((AH139*2.5)+((+AH140+AH141+AH142)*2.5))/AH143</f>
        <v>2.5000000000000004</v>
      </c>
      <c r="AI199" s="755">
        <f>+$D$199</f>
        <v>2.5</v>
      </c>
      <c r="AJ199" s="1873">
        <f>+((AJ139*2.5)+((+AJ140+AJ141+AJ142)*2.5))/AJ143</f>
        <v>2.5</v>
      </c>
      <c r="AK199" s="754">
        <f>+$D$199</f>
        <v>2.5</v>
      </c>
      <c r="AL199" s="135">
        <f>+((AL139*2.5)+((+AL140+AL141+AL142)*2.5))/AL143</f>
        <v>2.5</v>
      </c>
      <c r="AM199" s="756">
        <f>+$D$199</f>
        <v>2.5</v>
      </c>
      <c r="AN199" s="2132">
        <f>+((AN139*2.5)+((+AN140+AN141+AN142)*2.5))/AN143</f>
        <v>2.5</v>
      </c>
      <c r="AO199" s="755">
        <f>+$D$199</f>
        <v>2.5</v>
      </c>
      <c r="AP199" s="1873">
        <f>+((AP139*2.5)+((+AP140+AP141+AP142)*2.5))/AP143</f>
        <v>2.5</v>
      </c>
      <c r="AQ199" s="754">
        <f>+$D$199</f>
        <v>2.5</v>
      </c>
      <c r="AR199" s="135">
        <f>+((AR139*2.5)+((+AR140+AR141+AR142)*2.5))/AR143</f>
        <v>2.5000000000000004</v>
      </c>
      <c r="AS199" s="755">
        <f>+$D$199</f>
        <v>2.5</v>
      </c>
      <c r="AT199" s="1873">
        <f>+((AT139*2.5)+((+AT140+AT141+AT142)*2.5))/AT143</f>
        <v>2.5</v>
      </c>
      <c r="AU199" s="754">
        <f>+$D$199</f>
        <v>2.5</v>
      </c>
      <c r="AV199" s="135">
        <f>+((AV139*2.5)+((+AV140+AV141+AV142)*2.5))/AV143</f>
        <v>2.5</v>
      </c>
      <c r="AW199" s="755">
        <f>+$D$199</f>
        <v>2.5</v>
      </c>
      <c r="AX199" s="1873">
        <f>+((AX139*2.5)+((+AX140+AX141+AX142)*2.5))/AX143</f>
        <v>2.5</v>
      </c>
      <c r="AY199" s="754">
        <f>+$D$199</f>
        <v>2.5</v>
      </c>
      <c r="AZ199" s="135">
        <f>+((AZ139*2.5)+((+AZ140+AZ141+AZ142)*2.5))/AZ143</f>
        <v>2.4999999999999996</v>
      </c>
      <c r="BA199" s="756">
        <f>+$D$199</f>
        <v>2.5</v>
      </c>
      <c r="BB199" s="2132">
        <f>+((BB139*2.5)+((+BB140+BB141+BB142)*2.5))/BB143</f>
        <v>2.4999999999999996</v>
      </c>
      <c r="BC199" s="757">
        <f>+$D$199</f>
        <v>2.5</v>
      </c>
      <c r="BD199" s="476">
        <f>+((BD139*2.5)+((+BD140+BD141+BD142)*2.5))/BD143</f>
        <v>2.5</v>
      </c>
      <c r="BE199" s="755">
        <f>+$D$199</f>
        <v>2.5</v>
      </c>
      <c r="BF199" s="1873">
        <f>+((BF139*2.5)+((+BF140+BF141+BF142)*2.5))/BF143</f>
        <v>2.4999999999999996</v>
      </c>
      <c r="BG199" s="1219"/>
      <c r="BH199" s="1219"/>
      <c r="BI199" s="1219"/>
      <c r="BJ199" s="1546"/>
      <c r="BK199" s="1546"/>
      <c r="BL199" s="26"/>
      <c r="BM199" s="26"/>
      <c r="BN199" s="26"/>
    </row>
    <row r="200" spans="1:66" x14ac:dyDescent="0.25">
      <c r="A200" s="148"/>
      <c r="B200" s="1883"/>
      <c r="C200" s="533"/>
      <c r="D200" s="533"/>
      <c r="E200" s="533"/>
      <c r="F200" s="533"/>
      <c r="G200" s="533"/>
      <c r="H200" s="533"/>
      <c r="I200" s="533"/>
      <c r="J200" s="533"/>
      <c r="K200" s="533"/>
      <c r="L200" s="533"/>
      <c r="M200" s="533"/>
      <c r="N200" s="533"/>
      <c r="O200" s="533"/>
      <c r="P200" s="533"/>
      <c r="Q200" s="533"/>
      <c r="R200" s="533"/>
      <c r="S200" s="533"/>
      <c r="T200" s="533"/>
      <c r="U200" s="533"/>
      <c r="V200" s="533"/>
      <c r="W200" s="533"/>
      <c r="X200" s="533"/>
      <c r="Y200" s="533"/>
      <c r="Z200" s="533"/>
      <c r="AA200" s="533"/>
      <c r="AB200" s="1868"/>
      <c r="AC200" s="533"/>
      <c r="AD200" s="533"/>
      <c r="AE200" s="533"/>
      <c r="AF200" s="533"/>
      <c r="AG200" s="533"/>
      <c r="AH200" s="533"/>
      <c r="AI200" s="533"/>
      <c r="AJ200" s="533"/>
      <c r="AK200" s="533"/>
      <c r="AL200" s="533"/>
      <c r="AM200" s="533"/>
      <c r="AN200" s="533"/>
      <c r="AO200" s="533"/>
      <c r="AP200" s="533"/>
      <c r="AQ200" s="533"/>
      <c r="AR200" s="533"/>
      <c r="AS200" s="533"/>
      <c r="AT200" s="533"/>
      <c r="AU200" s="533"/>
      <c r="AV200" s="533"/>
      <c r="AW200" s="533"/>
      <c r="AX200" s="533"/>
      <c r="AY200" s="533"/>
      <c r="AZ200" s="533"/>
      <c r="BA200" s="533"/>
      <c r="BB200" s="533"/>
      <c r="BC200" s="533"/>
      <c r="BD200" s="1868"/>
      <c r="BE200" s="533"/>
      <c r="BF200" s="533"/>
      <c r="BG200" s="1219"/>
      <c r="BH200" s="1219"/>
      <c r="BI200" s="1219"/>
      <c r="BJ200" s="1546"/>
      <c r="BK200" s="1546"/>
      <c r="BL200" s="26"/>
      <c r="BM200" s="26"/>
      <c r="BN200" s="26"/>
    </row>
    <row r="201" spans="1:66" ht="15.75" thickBot="1" x14ac:dyDescent="0.3">
      <c r="B201" s="1883"/>
      <c r="C201" s="533"/>
      <c r="D201" s="533"/>
      <c r="E201" s="533"/>
      <c r="F201" s="533"/>
      <c r="G201" s="533"/>
      <c r="H201" s="533"/>
      <c r="I201" s="533"/>
      <c r="J201" s="533"/>
      <c r="K201" s="533"/>
      <c r="L201" s="533"/>
      <c r="M201" s="533"/>
      <c r="N201" s="533"/>
      <c r="O201" s="533"/>
      <c r="P201" s="533"/>
      <c r="Q201" s="533"/>
      <c r="R201" s="533"/>
      <c r="S201" s="533"/>
      <c r="T201" s="533"/>
      <c r="U201" s="533"/>
      <c r="V201" s="533"/>
      <c r="W201" s="533"/>
      <c r="X201" s="533"/>
      <c r="Y201" s="533"/>
      <c r="Z201" s="533"/>
      <c r="AA201" s="533"/>
      <c r="AB201" s="1868"/>
      <c r="AC201" s="533"/>
      <c r="AD201" s="533"/>
      <c r="AE201" s="533"/>
      <c r="AF201" s="533"/>
      <c r="AG201" s="533"/>
      <c r="AH201" s="533"/>
      <c r="AI201" s="533"/>
      <c r="AJ201" s="533"/>
      <c r="AK201" s="533"/>
      <c r="AL201" s="533"/>
      <c r="AM201" s="533"/>
      <c r="AN201" s="533"/>
      <c r="AO201" s="533"/>
      <c r="AP201" s="533"/>
      <c r="AQ201" s="533"/>
      <c r="AR201" s="533"/>
      <c r="AS201" s="533"/>
      <c r="AT201" s="533"/>
      <c r="AU201" s="533"/>
      <c r="AV201" s="533"/>
      <c r="AW201" s="533"/>
      <c r="AX201" s="533"/>
      <c r="AY201" s="533"/>
      <c r="AZ201" s="533"/>
      <c r="BA201" s="533"/>
      <c r="BB201" s="533"/>
      <c r="BC201" s="533"/>
      <c r="BD201" s="1868"/>
      <c r="BE201" s="533"/>
      <c r="BF201" s="533"/>
      <c r="BG201" s="1219"/>
      <c r="BH201" s="1219"/>
      <c r="BI201" s="1219"/>
      <c r="BJ201" s="1546"/>
      <c r="BK201" s="1546"/>
      <c r="BL201" s="26"/>
      <c r="BM201" s="26"/>
      <c r="BN201" s="26"/>
    </row>
    <row r="202" spans="1:66" ht="19.5" thickBot="1" x14ac:dyDescent="0.3">
      <c r="B202" s="1866" t="s">
        <v>649</v>
      </c>
      <c r="C202" s="1903"/>
      <c r="D202" s="533"/>
      <c r="E202" s="533"/>
      <c r="F202" s="533"/>
      <c r="G202" s="533"/>
      <c r="H202" s="533"/>
      <c r="I202" s="533"/>
      <c r="J202" s="533"/>
      <c r="K202" s="533"/>
      <c r="L202" s="533"/>
      <c r="M202" s="533"/>
      <c r="N202" s="533"/>
      <c r="O202" s="533"/>
      <c r="P202" s="533"/>
      <c r="Q202" s="533"/>
      <c r="R202" s="533"/>
      <c r="S202" s="533"/>
      <c r="T202" s="533"/>
      <c r="U202" s="533"/>
      <c r="V202" s="533"/>
      <c r="W202" s="533"/>
      <c r="X202" s="533"/>
      <c r="Y202" s="533"/>
      <c r="Z202" s="533"/>
      <c r="AA202" s="533"/>
      <c r="AB202" s="1868"/>
      <c r="AC202" s="533"/>
      <c r="AD202" s="533"/>
      <c r="AE202" s="533"/>
      <c r="AF202" s="533"/>
      <c r="AG202" s="533"/>
      <c r="AH202" s="533"/>
      <c r="AI202" s="533"/>
      <c r="AJ202" s="533"/>
      <c r="AK202" s="533"/>
      <c r="AL202" s="533"/>
      <c r="AM202" s="533"/>
      <c r="AN202" s="533"/>
      <c r="AO202" s="533"/>
      <c r="AP202" s="533"/>
      <c r="AQ202" s="533"/>
      <c r="AR202" s="533"/>
      <c r="AS202" s="533"/>
      <c r="AT202" s="533"/>
      <c r="AU202" s="533"/>
      <c r="AV202" s="533"/>
      <c r="AW202" s="533"/>
      <c r="AX202" s="533"/>
      <c r="AY202" s="533"/>
      <c r="AZ202" s="533"/>
      <c r="BA202" s="533"/>
      <c r="BB202" s="533"/>
      <c r="BC202" s="533"/>
      <c r="BD202" s="1868"/>
      <c r="BE202" s="533"/>
      <c r="BF202" s="533"/>
      <c r="BG202" s="1219"/>
      <c r="BH202" s="1219"/>
      <c r="BI202" s="1219"/>
      <c r="BJ202" s="1546"/>
      <c r="BK202" s="1546"/>
      <c r="BL202" s="26"/>
      <c r="BM202" s="26"/>
      <c r="BN202" s="26"/>
    </row>
    <row r="203" spans="1:66" x14ac:dyDescent="0.25">
      <c r="B203" s="1904" t="s">
        <v>2198</v>
      </c>
      <c r="C203" s="1329" t="s">
        <v>49</v>
      </c>
      <c r="D203" s="1888">
        <f t="shared" ref="D203:AX203" si="949">+D127/D$143*100</f>
        <v>46.29682276900661</v>
      </c>
      <c r="E203" s="767">
        <f t="shared" si="949"/>
        <v>46.2601158904831</v>
      </c>
      <c r="F203" s="144">
        <f t="shared" si="949"/>
        <v>43.988231978876421</v>
      </c>
      <c r="G203" s="767">
        <f t="shared" ref="G203:H203" si="950">+G127/G$143*100</f>
        <v>46.2601158904831</v>
      </c>
      <c r="H203" s="144">
        <f t="shared" si="950"/>
        <v>43.020364061822285</v>
      </c>
      <c r="I203" s="1450">
        <f t="shared" si="949"/>
        <v>46.260115890483107</v>
      </c>
      <c r="J203" s="166">
        <f t="shared" si="949"/>
        <v>43.495385046252032</v>
      </c>
      <c r="K203" s="767">
        <f t="shared" si="949"/>
        <v>46.307180444998153</v>
      </c>
      <c r="L203" s="144">
        <f t="shared" si="949"/>
        <v>43.236167080101168</v>
      </c>
      <c r="M203" s="1574">
        <f t="shared" si="949"/>
        <v>46.275481238332617</v>
      </c>
      <c r="N203" s="174">
        <f t="shared" si="949"/>
        <v>43.409761401782298</v>
      </c>
      <c r="O203" s="767">
        <f t="shared" ref="O203:P203" si="951">+O127/O$143*100</f>
        <v>46.307180444998146</v>
      </c>
      <c r="P203" s="144">
        <f t="shared" si="951"/>
        <v>43.999999866888686</v>
      </c>
      <c r="Q203" s="768">
        <f t="shared" si="949"/>
        <v>46.283477557750849</v>
      </c>
      <c r="R203" s="166">
        <f t="shared" si="949"/>
        <v>43.56009267843713</v>
      </c>
      <c r="S203" s="767">
        <f t="shared" si="949"/>
        <v>46.307180444998146</v>
      </c>
      <c r="T203" s="144">
        <f t="shared" si="949"/>
        <v>43.999999877526307</v>
      </c>
      <c r="U203" s="768">
        <f t="shared" si="949"/>
        <v>46.288252298792557</v>
      </c>
      <c r="V203" s="166">
        <f t="shared" si="949"/>
        <v>43.649825664955863</v>
      </c>
      <c r="W203" s="767">
        <f t="shared" ref="W203:X203" si="952">+W127/W$143*100</f>
        <v>46.277223078522809</v>
      </c>
      <c r="X203" s="144">
        <f t="shared" si="952"/>
        <v>44.000056895406296</v>
      </c>
      <c r="Y203" s="1533">
        <f t="shared" si="949"/>
        <v>46.297658935764474</v>
      </c>
      <c r="Z203" s="1533">
        <f t="shared" si="949"/>
        <v>44.000018525534493</v>
      </c>
      <c r="AA203" s="2317">
        <f t="shared" si="949"/>
        <v>46.286509186959449</v>
      </c>
      <c r="AB203" s="478">
        <f t="shared" si="949"/>
        <v>43.70764361312586</v>
      </c>
      <c r="AC203" s="767">
        <f t="shared" si="949"/>
        <v>53.626976476580666</v>
      </c>
      <c r="AD203" s="144">
        <f t="shared" si="949"/>
        <v>44.500303784801233</v>
      </c>
      <c r="AE203" s="1450">
        <f t="shared" si="949"/>
        <v>47.3540546419027</v>
      </c>
      <c r="AF203" s="166">
        <f t="shared" si="949"/>
        <v>43.825748476619694</v>
      </c>
      <c r="AG203" s="767">
        <f t="shared" si="949"/>
        <v>53.626975143475583</v>
      </c>
      <c r="AH203" s="144">
        <f t="shared" si="949"/>
        <v>43.415266554433941</v>
      </c>
      <c r="AI203" s="1450">
        <f t="shared" si="949"/>
        <v>48.12799015288978</v>
      </c>
      <c r="AJ203" s="166">
        <f t="shared" si="949"/>
        <v>43.775791856779477</v>
      </c>
      <c r="AK203" s="767">
        <f t="shared" si="949"/>
        <v>53.626975143475576</v>
      </c>
      <c r="AL203" s="144">
        <f t="shared" si="949"/>
        <v>45.908551777540723</v>
      </c>
      <c r="AM203" s="1533">
        <f t="shared" si="949"/>
        <v>53.626975592674029</v>
      </c>
      <c r="AN203" s="1533">
        <f t="shared" si="949"/>
        <v>44.631655422831301</v>
      </c>
      <c r="AO203" s="1450">
        <f t="shared" si="949"/>
        <v>48.7497824582654</v>
      </c>
      <c r="AP203" s="166">
        <f t="shared" si="949"/>
        <v>44.020146084065829</v>
      </c>
      <c r="AQ203" s="767">
        <f t="shared" si="949"/>
        <v>53.626975143475576</v>
      </c>
      <c r="AR203" s="144">
        <f t="shared" si="949"/>
        <v>51.730401639721805</v>
      </c>
      <c r="AS203" s="1450">
        <f t="shared" si="949"/>
        <v>49.245242550482587</v>
      </c>
      <c r="AT203" s="166">
        <f t="shared" si="949"/>
        <v>44.800992349063577</v>
      </c>
      <c r="AU203" s="767">
        <f t="shared" si="949"/>
        <v>53.626975143475583</v>
      </c>
      <c r="AV203" s="144">
        <f t="shared" si="949"/>
        <v>53.346982621426108</v>
      </c>
      <c r="AW203" s="1450">
        <f t="shared" si="949"/>
        <v>49.613503215084442</v>
      </c>
      <c r="AX203" s="166">
        <f t="shared" si="949"/>
        <v>45.506182511114552</v>
      </c>
      <c r="AY203" s="767">
        <f t="shared" ref="AY203:AZ203" si="953">+AY127/AY$143*100</f>
        <v>53.626975143475576</v>
      </c>
      <c r="AZ203" s="144">
        <f t="shared" si="953"/>
        <v>50.877629907390556</v>
      </c>
      <c r="BA203" s="1533">
        <f t="shared" ref="BA203:BF206" si="954">+BA127/BA$143*100</f>
        <v>53.626975143475576</v>
      </c>
      <c r="BB203" s="1533">
        <f t="shared" si="954"/>
        <v>51.952683620246866</v>
      </c>
      <c r="BC203" s="2317">
        <f t="shared" si="954"/>
        <v>53.62697537054293</v>
      </c>
      <c r="BD203" s="478">
        <f t="shared" si="954"/>
        <v>48.186655118988654</v>
      </c>
      <c r="BE203" s="1450">
        <f t="shared" si="954"/>
        <v>49.955162795382904</v>
      </c>
      <c r="BF203" s="166">
        <f t="shared" si="954"/>
        <v>45.939772386022945</v>
      </c>
      <c r="BG203" s="1219"/>
      <c r="BH203" s="1219"/>
      <c r="BI203" s="1219"/>
      <c r="BJ203" s="1546"/>
      <c r="BK203" s="1546"/>
      <c r="BL203" s="26"/>
      <c r="BM203" s="26"/>
      <c r="BN203" s="26"/>
    </row>
    <row r="204" spans="1:66" x14ac:dyDescent="0.25">
      <c r="B204" s="1844" t="s">
        <v>10</v>
      </c>
      <c r="C204" s="1392" t="s">
        <v>49</v>
      </c>
      <c r="D204" s="142">
        <f t="shared" ref="D204:AX204" si="955">+D128/D$143*100</f>
        <v>10.005197455222669</v>
      </c>
      <c r="E204" s="1363">
        <f t="shared" si="955"/>
        <v>10.005238019791708</v>
      </c>
      <c r="F204" s="690">
        <f t="shared" si="955"/>
        <v>11.271610316854352</v>
      </c>
      <c r="G204" s="1363">
        <f t="shared" ref="G204:H204" si="956">+G128/G$143*100</f>
        <v>10.005238019791712</v>
      </c>
      <c r="H204" s="690">
        <f t="shared" si="956"/>
        <v>12.000012348404047</v>
      </c>
      <c r="I204" s="348">
        <f t="shared" si="955"/>
        <v>10.00523801979171</v>
      </c>
      <c r="J204" s="127">
        <f t="shared" si="955"/>
        <v>11.642519095460514</v>
      </c>
      <c r="K204" s="1363">
        <f t="shared" si="955"/>
        <v>10.005186009012046</v>
      </c>
      <c r="L204" s="690">
        <f t="shared" si="955"/>
        <v>10.958410999038213</v>
      </c>
      <c r="M204" s="241">
        <f t="shared" si="955"/>
        <v>10.005221039630531</v>
      </c>
      <c r="N204" s="123">
        <f t="shared" si="955"/>
        <v>11.416547766016322</v>
      </c>
      <c r="O204" s="1363">
        <f t="shared" ref="O204:P204" si="957">+O128/O$143*100</f>
        <v>10.005186009012046</v>
      </c>
      <c r="P204" s="690">
        <f t="shared" si="957"/>
        <v>1.0573511330526661</v>
      </c>
      <c r="Q204" s="54">
        <f t="shared" si="955"/>
        <v>10.005212202942037</v>
      </c>
      <c r="R204" s="127">
        <f t="shared" si="955"/>
        <v>8.7781035658891771</v>
      </c>
      <c r="S204" s="1363">
        <f t="shared" si="955"/>
        <v>10.005186009012046</v>
      </c>
      <c r="T204" s="690">
        <f t="shared" si="955"/>
        <v>9.2760261794859264</v>
      </c>
      <c r="U204" s="54">
        <f t="shared" si="955"/>
        <v>10.005206926402042</v>
      </c>
      <c r="V204" s="127">
        <f t="shared" si="955"/>
        <v>8.8796706310923845</v>
      </c>
      <c r="W204" s="1363">
        <f t="shared" ref="W204:X204" si="958">+W128/W$143*100</f>
        <v>10.005219114732538</v>
      </c>
      <c r="X204" s="690">
        <f t="shared" si="958"/>
        <v>10.946917752333137</v>
      </c>
      <c r="Y204" s="452">
        <f t="shared" si="955"/>
        <v>10.005196531179397</v>
      </c>
      <c r="Z204" s="452">
        <f t="shared" si="955"/>
        <v>7.065929521259898</v>
      </c>
      <c r="AA204" s="472">
        <f t="shared" si="955"/>
        <v>10.005208852705316</v>
      </c>
      <c r="AB204" s="480">
        <f t="shared" si="955"/>
        <v>9.2209422725640238</v>
      </c>
      <c r="AC204" s="1363">
        <f t="shared" si="955"/>
        <v>9.3101322679575969</v>
      </c>
      <c r="AD204" s="690">
        <f t="shared" si="955"/>
        <v>10.372761820802706</v>
      </c>
      <c r="AE204" s="348">
        <f t="shared" si="955"/>
        <v>9.9041218483487832</v>
      </c>
      <c r="AF204" s="127">
        <f t="shared" si="955"/>
        <v>9.3925612025611578</v>
      </c>
      <c r="AG204" s="1363">
        <f t="shared" si="955"/>
        <v>9.3101320365183913</v>
      </c>
      <c r="AH204" s="690">
        <f t="shared" si="955"/>
        <v>10.371768131729898</v>
      </c>
      <c r="AI204" s="348">
        <f t="shared" si="955"/>
        <v>9.8308370349313634</v>
      </c>
      <c r="AJ204" s="127">
        <f t="shared" si="955"/>
        <v>9.5117329995672488</v>
      </c>
      <c r="AK204" s="1363">
        <f t="shared" si="955"/>
        <v>9.3101320365183931</v>
      </c>
      <c r="AL204" s="690">
        <f t="shared" si="955"/>
        <v>10.527183580122539</v>
      </c>
      <c r="AM204" s="452">
        <f t="shared" si="955"/>
        <v>9.3101321145033396</v>
      </c>
      <c r="AN204" s="452">
        <f t="shared" si="955"/>
        <v>10.424758308133979</v>
      </c>
      <c r="AO204" s="348">
        <f t="shared" si="955"/>
        <v>9.7719588306922009</v>
      </c>
      <c r="AP204" s="127">
        <f t="shared" si="955"/>
        <v>9.6280750404803648</v>
      </c>
      <c r="AQ204" s="1363">
        <f t="shared" si="955"/>
        <v>9.3101320365183931</v>
      </c>
      <c r="AR204" s="690">
        <f t="shared" si="955"/>
        <v>10.4537838452319</v>
      </c>
      <c r="AS204" s="348">
        <f t="shared" si="955"/>
        <v>9.7250431640785777</v>
      </c>
      <c r="AT204" s="127">
        <f t="shared" si="955"/>
        <v>9.7116976430662181</v>
      </c>
      <c r="AU204" s="1363">
        <f t="shared" si="955"/>
        <v>9.3101320365183931</v>
      </c>
      <c r="AV204" s="690">
        <f t="shared" si="955"/>
        <v>8.7522158842111644</v>
      </c>
      <c r="AW204" s="348">
        <f t="shared" si="955"/>
        <v>9.6901721525909412</v>
      </c>
      <c r="AX204" s="127">
        <f t="shared" si="955"/>
        <v>9.6325240101169598</v>
      </c>
      <c r="AY204" s="1363">
        <f t="shared" ref="AY204:AZ204" si="959">+AY128/AY$143*100</f>
        <v>9.3101320365183931</v>
      </c>
      <c r="AZ204" s="690">
        <f t="shared" si="959"/>
        <v>9.2003831954249353</v>
      </c>
      <c r="BA204" s="452">
        <f t="shared" si="954"/>
        <v>9.3101320365183913</v>
      </c>
      <c r="BB204" s="452">
        <f t="shared" si="954"/>
        <v>9.5023116985462757</v>
      </c>
      <c r="BC204" s="472">
        <f t="shared" si="954"/>
        <v>9.3101320759393555</v>
      </c>
      <c r="BD204" s="480">
        <f t="shared" si="954"/>
        <v>9.9768297756413276</v>
      </c>
      <c r="BE204" s="348">
        <f t="shared" si="954"/>
        <v>9.6578200273311605</v>
      </c>
      <c r="BF204" s="127">
        <f t="shared" si="954"/>
        <v>9.5976410692703222</v>
      </c>
      <c r="BG204" s="1219"/>
      <c r="BH204" s="1219"/>
      <c r="BI204" s="1219"/>
      <c r="BJ204" s="1546"/>
      <c r="BK204" s="1546"/>
      <c r="BL204" s="26"/>
      <c r="BM204" s="26"/>
      <c r="BN204" s="26"/>
    </row>
    <row r="205" spans="1:66" x14ac:dyDescent="0.25">
      <c r="B205" s="1845" t="s">
        <v>2200</v>
      </c>
      <c r="C205" s="1392" t="s">
        <v>49</v>
      </c>
      <c r="D205" s="142">
        <f t="shared" ref="D205:AX206" si="960">+D129/D$143*100</f>
        <v>2.5012993638056673</v>
      </c>
      <c r="E205" s="1363">
        <f t="shared" si="960"/>
        <v>2.501309504947927</v>
      </c>
      <c r="F205" s="690">
        <f t="shared" si="960"/>
        <v>0</v>
      </c>
      <c r="G205" s="1363">
        <f t="shared" ref="G205:H205" si="961">+G129/G$143*100</f>
        <v>2.5013095049479279</v>
      </c>
      <c r="H205" s="690">
        <f t="shared" si="961"/>
        <v>0</v>
      </c>
      <c r="I205" s="348">
        <f t="shared" si="960"/>
        <v>2.5013095049479275</v>
      </c>
      <c r="J205" s="127">
        <f t="shared" si="960"/>
        <v>0</v>
      </c>
      <c r="K205" s="1363">
        <f t="shared" si="960"/>
        <v>2.5012965022530116</v>
      </c>
      <c r="L205" s="690">
        <f t="shared" si="960"/>
        <v>0</v>
      </c>
      <c r="M205" s="241">
        <f t="shared" si="960"/>
        <v>2.5013052599076326</v>
      </c>
      <c r="N205" s="123">
        <f t="shared" si="960"/>
        <v>0</v>
      </c>
      <c r="O205" s="1363">
        <f t="shared" ref="O205:P205" si="962">+O129/O$143*100</f>
        <v>2.5012965022530116</v>
      </c>
      <c r="P205" s="690">
        <f t="shared" si="962"/>
        <v>10.615058293259954</v>
      </c>
      <c r="Q205" s="54">
        <f t="shared" si="960"/>
        <v>2.5013030507355092</v>
      </c>
      <c r="R205" s="127">
        <f t="shared" si="960"/>
        <v>2.7036110984458346</v>
      </c>
      <c r="S205" s="1363">
        <f t="shared" si="960"/>
        <v>2.5012965022530116</v>
      </c>
      <c r="T205" s="690">
        <f t="shared" si="960"/>
        <v>7.5087767707582795</v>
      </c>
      <c r="U205" s="54">
        <f t="shared" si="960"/>
        <v>2.5013017316005106</v>
      </c>
      <c r="V205" s="127">
        <f t="shared" si="960"/>
        <v>3.6837766137787611</v>
      </c>
      <c r="W205" s="1363">
        <f t="shared" ref="W205:X205" si="963">+W129/W$143*100</f>
        <v>2.5013047786831346</v>
      </c>
      <c r="X205" s="690">
        <f t="shared" si="963"/>
        <v>12.683204842414611</v>
      </c>
      <c r="Y205" s="452">
        <f t="shared" si="960"/>
        <v>2.5012991327948493</v>
      </c>
      <c r="Z205" s="452">
        <f t="shared" si="960"/>
        <v>10.243322090438514</v>
      </c>
      <c r="AA205" s="472">
        <f t="shared" si="960"/>
        <v>2.5013022131763289</v>
      </c>
      <c r="AB205" s="480">
        <f t="shared" si="960"/>
        <v>5.1694478779135506</v>
      </c>
      <c r="AC205" s="1363">
        <f t="shared" si="960"/>
        <v>0</v>
      </c>
      <c r="AD205" s="690">
        <f t="shared" si="960"/>
        <v>3.1295791091361789</v>
      </c>
      <c r="AE205" s="348">
        <f t="shared" si="960"/>
        <v>2.1375305752464913</v>
      </c>
      <c r="AF205" s="127">
        <f t="shared" si="960"/>
        <v>4.865511296903553</v>
      </c>
      <c r="AG205" s="1363">
        <f t="shared" si="960"/>
        <v>0</v>
      </c>
      <c r="AH205" s="690">
        <f t="shared" si="960"/>
        <v>3.1310983631631393</v>
      </c>
      <c r="AI205" s="348">
        <f t="shared" si="960"/>
        <v>1.8738079889983301</v>
      </c>
      <c r="AJ205" s="127">
        <f t="shared" si="960"/>
        <v>4.6544291446970547</v>
      </c>
      <c r="AK205" s="1363">
        <f t="shared" si="960"/>
        <v>0</v>
      </c>
      <c r="AL205" s="690">
        <f t="shared" si="960"/>
        <v>1.6455311345006354</v>
      </c>
      <c r="AM205" s="452">
        <f t="shared" si="960"/>
        <v>0</v>
      </c>
      <c r="AN205" s="452">
        <f t="shared" si="960"/>
        <v>2.6273157088361088</v>
      </c>
      <c r="AO205" s="348">
        <f t="shared" si="960"/>
        <v>1.6619289983654786</v>
      </c>
      <c r="AP205" s="127">
        <f t="shared" si="960"/>
        <v>4.3096941648674809</v>
      </c>
      <c r="AQ205" s="1363">
        <f t="shared" si="960"/>
        <v>0</v>
      </c>
      <c r="AR205" s="690">
        <f t="shared" si="960"/>
        <v>0</v>
      </c>
      <c r="AS205" s="348">
        <f t="shared" si="960"/>
        <v>1.4930983722379607</v>
      </c>
      <c r="AT205" s="127">
        <f t="shared" si="960"/>
        <v>3.8732354032054501</v>
      </c>
      <c r="AU205" s="1363">
        <f t="shared" si="960"/>
        <v>0</v>
      </c>
      <c r="AV205" s="690">
        <f t="shared" si="960"/>
        <v>0</v>
      </c>
      <c r="AW205" s="348">
        <f t="shared" si="960"/>
        <v>1.3676116184922906</v>
      </c>
      <c r="AX205" s="127">
        <f t="shared" si="960"/>
        <v>3.5536273280030728</v>
      </c>
      <c r="AY205" s="1363">
        <f t="shared" ref="AY205:AZ206" si="964">+AY129/AY$143*100</f>
        <v>0</v>
      </c>
      <c r="AZ205" s="690">
        <f t="shared" si="964"/>
        <v>0</v>
      </c>
      <c r="BA205" s="452">
        <f t="shared" si="954"/>
        <v>0</v>
      </c>
      <c r="BB205" s="452">
        <f t="shared" si="954"/>
        <v>0</v>
      </c>
      <c r="BC205" s="472">
        <f t="shared" si="954"/>
        <v>0</v>
      </c>
      <c r="BD205" s="480">
        <f t="shared" si="954"/>
        <v>1.3515240720931954</v>
      </c>
      <c r="BE205" s="348">
        <f t="shared" si="954"/>
        <v>1.2511893238002523</v>
      </c>
      <c r="BF205" s="127">
        <f t="shared" si="954"/>
        <v>3.2667741364986487</v>
      </c>
      <c r="BG205" s="1219"/>
      <c r="BH205" s="1219"/>
      <c r="BI205" s="1219"/>
      <c r="BJ205" s="1546"/>
      <c r="BK205" s="1546"/>
      <c r="BL205" s="26"/>
      <c r="BM205" s="26"/>
      <c r="BN205" s="26"/>
    </row>
    <row r="206" spans="1:66" x14ac:dyDescent="0.25">
      <c r="B206" s="1845" t="s">
        <v>2199</v>
      </c>
      <c r="C206" s="1392" t="s">
        <v>49</v>
      </c>
      <c r="D206" s="142">
        <f t="shared" si="960"/>
        <v>2.5012993638056673</v>
      </c>
      <c r="E206" s="1363">
        <f t="shared" si="960"/>
        <v>2.501309504947927</v>
      </c>
      <c r="F206" s="690">
        <f t="shared" si="960"/>
        <v>0</v>
      </c>
      <c r="G206" s="1363">
        <f t="shared" ref="G206:H206" si="965">+G130/G$143*100</f>
        <v>2.5013095049479279</v>
      </c>
      <c r="H206" s="690">
        <f t="shared" si="965"/>
        <v>0</v>
      </c>
      <c r="I206" s="348">
        <f t="shared" si="960"/>
        <v>2.5013095049479275</v>
      </c>
      <c r="J206" s="127">
        <f t="shared" si="960"/>
        <v>0</v>
      </c>
      <c r="K206" s="1363">
        <f t="shared" si="960"/>
        <v>2.5012965022530116</v>
      </c>
      <c r="L206" s="690">
        <f t="shared" si="960"/>
        <v>0.59023275585510127</v>
      </c>
      <c r="M206" s="241">
        <f t="shared" si="960"/>
        <v>2.5013052599076326</v>
      </c>
      <c r="N206" s="123">
        <f t="shared" si="960"/>
        <v>0.19496287387856565</v>
      </c>
      <c r="O206" s="1363">
        <f t="shared" ref="O206:P206" si="966">+O130/O$143*100</f>
        <v>2.5012965022530116</v>
      </c>
      <c r="P206" s="690">
        <f t="shared" si="966"/>
        <v>10.042294306321986</v>
      </c>
      <c r="Q206" s="54">
        <f t="shared" si="960"/>
        <v>2.5013030507355092</v>
      </c>
      <c r="R206" s="127">
        <f t="shared" si="960"/>
        <v>2.7030371411421834</v>
      </c>
      <c r="S206" s="1363">
        <f t="shared" si="960"/>
        <v>2.5012965022530116</v>
      </c>
      <c r="T206" s="690">
        <f t="shared" si="960"/>
        <v>1.3538633529205502</v>
      </c>
      <c r="U206" s="54">
        <f t="shared" si="960"/>
        <v>2.5013017316005106</v>
      </c>
      <c r="V206" s="127">
        <f t="shared" si="960"/>
        <v>2.4278304757350506</v>
      </c>
      <c r="W206" s="1363">
        <f t="shared" ref="W206:X206" si="967">+W130/W$143*100</f>
        <v>2.5013047786831346</v>
      </c>
      <c r="X206" s="690">
        <f t="shared" si="967"/>
        <v>0</v>
      </c>
      <c r="Y206" s="452">
        <f t="shared" si="960"/>
        <v>2.5012991327948493</v>
      </c>
      <c r="Z206" s="452">
        <f t="shared" si="960"/>
        <v>3.8252293201816423</v>
      </c>
      <c r="AA206" s="472">
        <f t="shared" si="960"/>
        <v>2.5013022131763289</v>
      </c>
      <c r="AB206" s="480">
        <f t="shared" si="960"/>
        <v>2.0270319049421803</v>
      </c>
      <c r="AC206" s="1363">
        <f t="shared" si="960"/>
        <v>0</v>
      </c>
      <c r="AD206" s="690">
        <f t="shared" si="960"/>
        <v>3.1301747656091776</v>
      </c>
      <c r="AE206" s="348">
        <f t="shared" si="960"/>
        <v>2.1375305752464913</v>
      </c>
      <c r="AF206" s="127">
        <f t="shared" si="960"/>
        <v>2.1913981007331347</v>
      </c>
      <c r="AG206" s="1363">
        <f t="shared" si="960"/>
        <v>0</v>
      </c>
      <c r="AH206" s="690">
        <f t="shared" si="960"/>
        <v>3.1317388634297152</v>
      </c>
      <c r="AI206" s="348">
        <f t="shared" si="960"/>
        <v>1.8738079889983301</v>
      </c>
      <c r="AJ206" s="127">
        <f t="shared" si="960"/>
        <v>2.3058397934443593</v>
      </c>
      <c r="AK206" s="1363">
        <f t="shared" si="960"/>
        <v>0</v>
      </c>
      <c r="AL206" s="690">
        <f t="shared" si="960"/>
        <v>1.6461335467157718</v>
      </c>
      <c r="AM206" s="452">
        <f t="shared" si="960"/>
        <v>0</v>
      </c>
      <c r="AN206" s="452">
        <f t="shared" si="960"/>
        <v>2.6279279421766017</v>
      </c>
      <c r="AO206" s="348">
        <f t="shared" si="960"/>
        <v>1.6619289983654786</v>
      </c>
      <c r="AP206" s="127">
        <f t="shared" si="960"/>
        <v>2.230256035241609</v>
      </c>
      <c r="AQ206" s="1363">
        <f t="shared" si="960"/>
        <v>0</v>
      </c>
      <c r="AR206" s="690">
        <f t="shared" si="960"/>
        <v>0</v>
      </c>
      <c r="AS206" s="348">
        <f t="shared" si="960"/>
        <v>1.4930983722379607</v>
      </c>
      <c r="AT206" s="127">
        <f t="shared" si="960"/>
        <v>2.0043897092117771</v>
      </c>
      <c r="AU206" s="1363">
        <f t="shared" si="960"/>
        <v>0</v>
      </c>
      <c r="AV206" s="690">
        <f t="shared" si="960"/>
        <v>0</v>
      </c>
      <c r="AW206" s="348">
        <f t="shared" si="960"/>
        <v>1.3676116184922906</v>
      </c>
      <c r="AX206" s="127">
        <f t="shared" si="960"/>
        <v>1.838993323444349</v>
      </c>
      <c r="AY206" s="1363">
        <f t="shared" si="964"/>
        <v>0</v>
      </c>
      <c r="AZ206" s="690">
        <f t="shared" si="964"/>
        <v>0</v>
      </c>
      <c r="BA206" s="452">
        <f t="shared" si="954"/>
        <v>0</v>
      </c>
      <c r="BB206" s="452">
        <f t="shared" si="954"/>
        <v>0</v>
      </c>
      <c r="BC206" s="472">
        <f t="shared" si="954"/>
        <v>0</v>
      </c>
      <c r="BD206" s="480">
        <f t="shared" si="954"/>
        <v>1.3518390125834576</v>
      </c>
      <c r="BE206" s="348">
        <f t="shared" si="954"/>
        <v>1.2511893238002523</v>
      </c>
      <c r="BF206" s="127">
        <f t="shared" si="954"/>
        <v>1.6905475087050259</v>
      </c>
      <c r="BG206" s="1219"/>
      <c r="BH206" s="1219"/>
      <c r="BI206" s="1219"/>
      <c r="BJ206" s="1546"/>
      <c r="BK206" s="1546"/>
      <c r="BL206" s="26"/>
      <c r="BM206" s="26"/>
      <c r="BN206" s="26"/>
    </row>
    <row r="207" spans="1:66" x14ac:dyDescent="0.25">
      <c r="B207" s="1844" t="s">
        <v>1278</v>
      </c>
      <c r="C207" s="1392" t="s">
        <v>49</v>
      </c>
      <c r="D207" s="142">
        <f t="shared" ref="D207:AR207" si="968">+D131/D$143*100</f>
        <v>0</v>
      </c>
      <c r="E207" s="1363">
        <f t="shared" si="968"/>
        <v>0</v>
      </c>
      <c r="F207" s="690">
        <f t="shared" si="968"/>
        <v>0</v>
      </c>
      <c r="G207" s="1363">
        <f t="shared" ref="G207:H207" si="969">+G131/G$143*100</f>
        <v>0</v>
      </c>
      <c r="H207" s="690">
        <f t="shared" si="969"/>
        <v>0</v>
      </c>
      <c r="I207" s="348">
        <f t="shared" si="968"/>
        <v>0</v>
      </c>
      <c r="J207" s="127">
        <f t="shared" si="968"/>
        <v>0</v>
      </c>
      <c r="K207" s="1363">
        <f t="shared" si="968"/>
        <v>0</v>
      </c>
      <c r="L207" s="690">
        <f t="shared" si="968"/>
        <v>0</v>
      </c>
      <c r="M207" s="241">
        <f t="shared" si="968"/>
        <v>0</v>
      </c>
      <c r="N207" s="123">
        <f t="shared" si="968"/>
        <v>0</v>
      </c>
      <c r="O207" s="1363">
        <f t="shared" ref="O207:P207" si="970">+O131/O$143*100</f>
        <v>0</v>
      </c>
      <c r="P207" s="690">
        <f t="shared" si="970"/>
        <v>0.21146776216672394</v>
      </c>
      <c r="Q207" s="54">
        <f t="shared" si="968"/>
        <v>0</v>
      </c>
      <c r="R207" s="127">
        <f t="shared" si="968"/>
        <v>5.3859957520956583E-2</v>
      </c>
      <c r="S207" s="1363">
        <f t="shared" si="968"/>
        <v>0</v>
      </c>
      <c r="T207" s="690">
        <f t="shared" si="968"/>
        <v>0.31527789463808964</v>
      </c>
      <c r="U207" s="54">
        <f t="shared" si="968"/>
        <v>0</v>
      </c>
      <c r="V207" s="127">
        <f t="shared" si="968"/>
        <v>0.10718441385096597</v>
      </c>
      <c r="W207" s="1363">
        <f t="shared" ref="W207:X207" si="971">+W131/W$143*100</f>
        <v>0</v>
      </c>
      <c r="X207" s="690">
        <f t="shared" si="971"/>
        <v>0</v>
      </c>
      <c r="Y207" s="452">
        <f t="shared" si="968"/>
        <v>0</v>
      </c>
      <c r="Z207" s="452">
        <f t="shared" si="968"/>
        <v>0.17732522970989445</v>
      </c>
      <c r="AA207" s="472">
        <f t="shared" si="968"/>
        <v>0</v>
      </c>
      <c r="AB207" s="480">
        <f t="shared" si="968"/>
        <v>8.9489867089115854E-2</v>
      </c>
      <c r="AC207" s="1363">
        <f t="shared" si="968"/>
        <v>0</v>
      </c>
      <c r="AD207" s="690">
        <f t="shared" si="968"/>
        <v>0</v>
      </c>
      <c r="AE207" s="348">
        <f t="shared" si="968"/>
        <v>0</v>
      </c>
      <c r="AF207" s="127">
        <f t="shared" si="968"/>
        <v>7.6156046475544067E-2</v>
      </c>
      <c r="AG207" s="1363">
        <f t="shared" si="968"/>
        <v>0</v>
      </c>
      <c r="AH207" s="690">
        <f t="shared" si="968"/>
        <v>0</v>
      </c>
      <c r="AI207" s="348">
        <f t="shared" si="968"/>
        <v>0</v>
      </c>
      <c r="AJ207" s="127">
        <f t="shared" si="968"/>
        <v>6.6887675673598768E-2</v>
      </c>
      <c r="AK207" s="1363">
        <f t="shared" si="968"/>
        <v>0</v>
      </c>
      <c r="AL207" s="690">
        <f t="shared" si="968"/>
        <v>0.82276857931139324</v>
      </c>
      <c r="AM207" s="452">
        <f t="shared" si="968"/>
        <v>0</v>
      </c>
      <c r="AN207" s="452">
        <f t="shared" si="968"/>
        <v>0.27872739137067309</v>
      </c>
      <c r="AO207" s="348">
        <f t="shared" si="968"/>
        <v>0</v>
      </c>
      <c r="AP207" s="127">
        <f t="shared" si="968"/>
        <v>0.15349034122959251</v>
      </c>
      <c r="AQ207" s="1363">
        <f t="shared" si="968"/>
        <v>0</v>
      </c>
      <c r="AR207" s="690">
        <f t="shared" si="968"/>
        <v>0</v>
      </c>
      <c r="AS207" s="348">
        <f t="shared" ref="AS207:AX208" si="972">+AS131/AS$143*100</f>
        <v>0</v>
      </c>
      <c r="AT207" s="127">
        <f t="shared" si="972"/>
        <v>0.13794580333493883</v>
      </c>
      <c r="AU207" s="1363">
        <f t="shared" si="972"/>
        <v>0</v>
      </c>
      <c r="AV207" s="690">
        <f t="shared" si="972"/>
        <v>0</v>
      </c>
      <c r="AW207" s="348">
        <f t="shared" si="972"/>
        <v>0</v>
      </c>
      <c r="AX207" s="127">
        <f t="shared" si="972"/>
        <v>0.12656291846054202</v>
      </c>
      <c r="AY207" s="1363">
        <f t="shared" ref="AY207:BF207" si="973">+AY131/AY$143*100</f>
        <v>0</v>
      </c>
      <c r="AZ207" s="690">
        <f t="shared" si="973"/>
        <v>0</v>
      </c>
      <c r="BA207" s="452">
        <f t="shared" si="973"/>
        <v>0</v>
      </c>
      <c r="BB207" s="452">
        <f t="shared" si="973"/>
        <v>0</v>
      </c>
      <c r="BC207" s="472">
        <f t="shared" si="973"/>
        <v>0</v>
      </c>
      <c r="BD207" s="480">
        <f t="shared" si="973"/>
        <v>0.14338085739839984</v>
      </c>
      <c r="BE207" s="348">
        <f t="shared" si="973"/>
        <v>0</v>
      </c>
      <c r="BF207" s="127">
        <f t="shared" si="973"/>
        <v>0.11634660320417499</v>
      </c>
      <c r="BG207" s="1219"/>
      <c r="BH207" s="1219"/>
      <c r="BI207" s="1219"/>
      <c r="BJ207" s="1546"/>
      <c r="BK207" s="1546"/>
      <c r="BL207" s="26"/>
      <c r="BM207" s="26"/>
      <c r="BN207" s="26"/>
    </row>
    <row r="208" spans="1:66" ht="15.75" thickBot="1" x14ac:dyDescent="0.3">
      <c r="B208" s="1845" t="s">
        <v>612</v>
      </c>
      <c r="C208" s="1404" t="s">
        <v>49</v>
      </c>
      <c r="D208" s="142">
        <f t="shared" ref="D208:AR208" si="974">+D132/D$143*100</f>
        <v>9.0046777097004007</v>
      </c>
      <c r="E208" s="1363">
        <f t="shared" si="974"/>
        <v>9.0047142178125377</v>
      </c>
      <c r="F208" s="1405">
        <f t="shared" si="974"/>
        <v>12.904656646687307</v>
      </c>
      <c r="G208" s="1363">
        <f t="shared" ref="G208:H208" si="975">+G132/G$143*100</f>
        <v>9.0047142178125394</v>
      </c>
      <c r="H208" s="1405">
        <f t="shared" si="975"/>
        <v>13.940675179862222</v>
      </c>
      <c r="I208" s="1406">
        <f t="shared" si="974"/>
        <v>9.0047142178125377</v>
      </c>
      <c r="J208" s="1408">
        <f t="shared" si="974"/>
        <v>13.432206477837166</v>
      </c>
      <c r="K208" s="1363">
        <f t="shared" si="974"/>
        <v>9.0046674081108407</v>
      </c>
      <c r="L208" s="1405">
        <f t="shared" si="974"/>
        <v>13.95841373989953</v>
      </c>
      <c r="M208" s="2440">
        <f t="shared" si="974"/>
        <v>9.0046989356674754</v>
      </c>
      <c r="N208" s="1570">
        <f t="shared" si="974"/>
        <v>13.606020755424694</v>
      </c>
      <c r="O208" s="1363">
        <f t="shared" ref="O208:P208" si="976">+O132/O$143*100</f>
        <v>9.0046674081108424</v>
      </c>
      <c r="P208" s="1405">
        <f t="shared" si="976"/>
        <v>3.3516126383296116</v>
      </c>
      <c r="Q208" s="2439">
        <f t="shared" si="974"/>
        <v>9.0046909826478316</v>
      </c>
      <c r="R208" s="1408">
        <f t="shared" si="974"/>
        <v>10.994265753478572</v>
      </c>
      <c r="S208" s="1363">
        <f t="shared" si="974"/>
        <v>9.0046674081108424</v>
      </c>
      <c r="T208" s="1405">
        <f t="shared" si="974"/>
        <v>6.4363904113389072</v>
      </c>
      <c r="U208" s="2439">
        <f t="shared" si="974"/>
        <v>9.0046862337618361</v>
      </c>
      <c r="V208" s="1408">
        <f t="shared" si="974"/>
        <v>10.064542922215269</v>
      </c>
      <c r="W208" s="1363">
        <f t="shared" ref="W208:X208" si="977">+W132/W$143*100</f>
        <v>9.0046972032592851</v>
      </c>
      <c r="X208" s="1405">
        <f t="shared" si="977"/>
        <v>1.2637172485979449</v>
      </c>
      <c r="Y208" s="452">
        <f t="shared" si="974"/>
        <v>9.0046768780614563</v>
      </c>
      <c r="Z208" s="452">
        <f t="shared" si="974"/>
        <v>3.7096318564135164</v>
      </c>
      <c r="AA208" s="472">
        <f t="shared" si="974"/>
        <v>9.0046879674347835</v>
      </c>
      <c r="AB208" s="480">
        <f t="shared" si="974"/>
        <v>8.611657975330715</v>
      </c>
      <c r="AC208" s="1363">
        <f t="shared" si="974"/>
        <v>10.001917697332994</v>
      </c>
      <c r="AD208" s="1405">
        <f t="shared" si="974"/>
        <v>9.6871612203809807</v>
      </c>
      <c r="AE208" s="1406">
        <f t="shared" si="974"/>
        <v>9.1497179803322393</v>
      </c>
      <c r="AF208" s="1408">
        <f t="shared" si="974"/>
        <v>8.7719059207716636</v>
      </c>
      <c r="AG208" s="1363">
        <f t="shared" si="974"/>
        <v>10.001917448696799</v>
      </c>
      <c r="AH208" s="1405">
        <f t="shared" si="974"/>
        <v>9.6868171466532988</v>
      </c>
      <c r="AI208" s="1406">
        <f t="shared" si="974"/>
        <v>9.2548599841000652</v>
      </c>
      <c r="AJ208" s="1408">
        <f t="shared" si="974"/>
        <v>8.8832527787661437</v>
      </c>
      <c r="AK208" s="1363">
        <f t="shared" si="974"/>
        <v>10.001917448696798</v>
      </c>
      <c r="AL208" s="1405">
        <f t="shared" si="974"/>
        <v>9.8353733922596884</v>
      </c>
      <c r="AM208" s="452">
        <f t="shared" si="974"/>
        <v>10.001917532476384</v>
      </c>
      <c r="AN208" s="452">
        <f t="shared" si="974"/>
        <v>9.7372610823163033</v>
      </c>
      <c r="AO208" s="1406">
        <f t="shared" si="974"/>
        <v>9.3393327702514934</v>
      </c>
      <c r="AP208" s="1408">
        <f t="shared" si="974"/>
        <v>8.9923389888589202</v>
      </c>
      <c r="AQ208" s="1363">
        <f t="shared" si="974"/>
        <v>10.001917448696798</v>
      </c>
      <c r="AR208" s="1405">
        <f t="shared" si="974"/>
        <v>10.623934871724011</v>
      </c>
      <c r="AS208" s="1406">
        <f t="shared" si="972"/>
        <v>9.4066428576465864</v>
      </c>
      <c r="AT208" s="1408">
        <f t="shared" si="972"/>
        <v>9.1575767740301703</v>
      </c>
      <c r="AU208" s="1363">
        <f t="shared" si="972"/>
        <v>10.001917448696799</v>
      </c>
      <c r="AV208" s="1405">
        <f t="shared" si="972"/>
        <v>10.280118179571678</v>
      </c>
      <c r="AW208" s="1406">
        <f t="shared" si="972"/>
        <v>9.4566724319915174</v>
      </c>
      <c r="AX208" s="1408">
        <f t="shared" si="972"/>
        <v>9.2502056128720263</v>
      </c>
      <c r="AY208" s="1363">
        <f t="shared" ref="AY208:BF208" si="978">+AY132/AY$143*100</f>
        <v>10.001917448696798</v>
      </c>
      <c r="AZ208" s="1405">
        <f t="shared" si="978"/>
        <v>6.5125385932118469</v>
      </c>
      <c r="BA208" s="452">
        <f t="shared" si="978"/>
        <v>10.001917448696798</v>
      </c>
      <c r="BB208" s="452">
        <f t="shared" si="978"/>
        <v>9.1447343416733169</v>
      </c>
      <c r="BC208" s="472">
        <f t="shared" si="978"/>
        <v>10.001917491046919</v>
      </c>
      <c r="BD208" s="480">
        <f t="shared" si="978"/>
        <v>9.4495375104149488</v>
      </c>
      <c r="BE208" s="348">
        <f t="shared" si="978"/>
        <v>9.5030881505741167</v>
      </c>
      <c r="BF208" s="127">
        <f t="shared" si="978"/>
        <v>9.0292177462835443</v>
      </c>
      <c r="BG208" s="1219"/>
      <c r="BH208" s="1219"/>
      <c r="BI208" s="1219"/>
      <c r="BJ208" s="1546"/>
      <c r="BK208" s="1546"/>
      <c r="BL208" s="26"/>
      <c r="BM208" s="26"/>
      <c r="BN208" s="26"/>
    </row>
    <row r="209" spans="2:66" ht="19.5" thickBot="1" x14ac:dyDescent="0.3">
      <c r="B209" s="1901" t="s">
        <v>13</v>
      </c>
      <c r="C209" s="736" t="s">
        <v>49</v>
      </c>
      <c r="D209" s="1440">
        <f t="shared" ref="D209:AX209" si="979">SUM(D203:D208)</f>
        <v>70.309296661541012</v>
      </c>
      <c r="E209" s="1386">
        <f t="shared" si="979"/>
        <v>70.272687137983198</v>
      </c>
      <c r="F209" s="143">
        <f t="shared" si="979"/>
        <v>68.164498942418078</v>
      </c>
      <c r="G209" s="1386">
        <f t="shared" ref="G209:H209" si="980">SUM(G203:G208)</f>
        <v>70.272687137983198</v>
      </c>
      <c r="H209" s="143">
        <f t="shared" si="980"/>
        <v>68.961051590088559</v>
      </c>
      <c r="I209" s="604">
        <f t="shared" si="979"/>
        <v>70.272687137983212</v>
      </c>
      <c r="J209" s="169">
        <f t="shared" si="979"/>
        <v>68.570110619549709</v>
      </c>
      <c r="K209" s="1386">
        <f t="shared" ref="K209:L209" si="981">SUM(K203:K208)</f>
        <v>70.319626866627061</v>
      </c>
      <c r="L209" s="143">
        <f t="shared" si="981"/>
        <v>68.743224574894015</v>
      </c>
      <c r="M209" s="1592">
        <f t="shared" si="979"/>
        <v>70.288011733445884</v>
      </c>
      <c r="N209" s="1593">
        <f t="shared" si="979"/>
        <v>68.627292797101887</v>
      </c>
      <c r="O209" s="1386">
        <f t="shared" ref="O209:P209" si="982">SUM(O203:O208)</f>
        <v>70.319626866627061</v>
      </c>
      <c r="P209" s="143">
        <f t="shared" si="982"/>
        <v>69.277784000019622</v>
      </c>
      <c r="Q209" s="1717">
        <f t="shared" si="979"/>
        <v>70.295986844811736</v>
      </c>
      <c r="R209" s="169">
        <f t="shared" si="979"/>
        <v>68.792970194913849</v>
      </c>
      <c r="S209" s="1386">
        <f t="shared" ref="S209:T209" si="983">SUM(S203:S208)</f>
        <v>70.319626866627061</v>
      </c>
      <c r="T209" s="143">
        <f t="shared" si="983"/>
        <v>68.890334486668053</v>
      </c>
      <c r="U209" s="1717">
        <f t="shared" si="979"/>
        <v>70.300748922157453</v>
      </c>
      <c r="V209" s="169">
        <f t="shared" si="979"/>
        <v>68.812830721628302</v>
      </c>
      <c r="W209" s="1386">
        <f t="shared" ref="W209:X209" si="984">SUM(W203:W208)</f>
        <v>70.289748953880903</v>
      </c>
      <c r="X209" s="143">
        <f t="shared" si="984"/>
        <v>68.893896738751977</v>
      </c>
      <c r="Y209" s="1385">
        <f t="shared" si="979"/>
        <v>70.310130610595024</v>
      </c>
      <c r="Z209" s="355">
        <f t="shared" si="979"/>
        <v>69.021456543537965</v>
      </c>
      <c r="AA209" s="2390">
        <f t="shared" si="979"/>
        <v>70.29901043345221</v>
      </c>
      <c r="AB209" s="2318">
        <f t="shared" si="979"/>
        <v>68.826213510965431</v>
      </c>
      <c r="AC209" s="1386">
        <f t="shared" si="979"/>
        <v>72.939026441871263</v>
      </c>
      <c r="AD209" s="143">
        <f t="shared" si="979"/>
        <v>70.819980700730284</v>
      </c>
      <c r="AE209" s="604">
        <f t="shared" si="979"/>
        <v>70.682955621076715</v>
      </c>
      <c r="AF209" s="169">
        <f t="shared" si="979"/>
        <v>69.12328104406474</v>
      </c>
      <c r="AG209" s="1386">
        <f t="shared" si="979"/>
        <v>72.939024628690774</v>
      </c>
      <c r="AH209" s="143">
        <f t="shared" si="979"/>
        <v>69.736689059409997</v>
      </c>
      <c r="AI209" s="604">
        <f t="shared" si="979"/>
        <v>70.961303149917867</v>
      </c>
      <c r="AJ209" s="169">
        <f t="shared" si="979"/>
        <v>69.197934248927879</v>
      </c>
      <c r="AK209" s="1386">
        <f t="shared" si="979"/>
        <v>72.939024628690774</v>
      </c>
      <c r="AL209" s="143">
        <f t="shared" si="979"/>
        <v>70.385542010450749</v>
      </c>
      <c r="AM209" s="1385">
        <f t="shared" si="979"/>
        <v>72.939025239653745</v>
      </c>
      <c r="AN209" s="355">
        <f t="shared" si="979"/>
        <v>70.327645855664969</v>
      </c>
      <c r="AO209" s="604">
        <f t="shared" si="979"/>
        <v>71.184932055940038</v>
      </c>
      <c r="AP209" s="169">
        <f t="shared" si="979"/>
        <v>69.334000654743804</v>
      </c>
      <c r="AQ209" s="1386">
        <f t="shared" si="979"/>
        <v>72.939024628690774</v>
      </c>
      <c r="AR209" s="143">
        <f t="shared" si="979"/>
        <v>72.808120356677705</v>
      </c>
      <c r="AS209" s="604">
        <f t="shared" si="979"/>
        <v>71.363125316683664</v>
      </c>
      <c r="AT209" s="169">
        <f t="shared" si="979"/>
        <v>69.685837681912133</v>
      </c>
      <c r="AU209" s="1386">
        <f t="shared" si="979"/>
        <v>72.939024628690774</v>
      </c>
      <c r="AV209" s="143">
        <f t="shared" si="979"/>
        <v>72.379316685208948</v>
      </c>
      <c r="AW209" s="604">
        <f t="shared" si="979"/>
        <v>71.495571036651484</v>
      </c>
      <c r="AX209" s="169">
        <f t="shared" si="979"/>
        <v>69.908095704011501</v>
      </c>
      <c r="AY209" s="1386">
        <f t="shared" ref="AY209:AZ209" si="985">SUM(AY203:AY208)</f>
        <v>72.939024628690774</v>
      </c>
      <c r="AZ209" s="143">
        <f t="shared" si="985"/>
        <v>66.590551696027333</v>
      </c>
      <c r="BA209" s="1385">
        <f t="shared" ref="BA209:BF209" si="986">SUM(BA203:BA208)</f>
        <v>72.93902462869076</v>
      </c>
      <c r="BB209" s="355">
        <f t="shared" si="986"/>
        <v>70.599729660466451</v>
      </c>
      <c r="BC209" s="2390">
        <f t="shared" si="986"/>
        <v>72.939024937529211</v>
      </c>
      <c r="BD209" s="2318">
        <f t="shared" si="986"/>
        <v>70.459766347119981</v>
      </c>
      <c r="BE209" s="604">
        <f t="shared" si="986"/>
        <v>71.618449620888697</v>
      </c>
      <c r="BF209" s="169">
        <f t="shared" si="986"/>
        <v>69.640299449984667</v>
      </c>
      <c r="BG209" s="1219"/>
      <c r="BH209" s="1219"/>
      <c r="BI209" s="1219"/>
      <c r="BJ209" s="1546"/>
      <c r="BK209" s="1546"/>
      <c r="BL209" s="26"/>
      <c r="BM209" s="26"/>
      <c r="BN209" s="26"/>
    </row>
    <row r="210" spans="2:66" ht="14.25" customHeight="1" x14ac:dyDescent="0.25">
      <c r="B210" s="1854" t="s">
        <v>1381</v>
      </c>
      <c r="C210" s="1407" t="s">
        <v>49</v>
      </c>
      <c r="D210" s="142">
        <f t="shared" ref="D210:AX210" si="987">+D134/D$143*100</f>
        <v>17.008835673878536</v>
      </c>
      <c r="E210" s="1363">
        <f t="shared" si="987"/>
        <v>17.008904633645901</v>
      </c>
      <c r="F210" s="690">
        <f t="shared" si="987"/>
        <v>24.508189141347515</v>
      </c>
      <c r="G210" s="1363">
        <f t="shared" ref="G210:H210" si="988">+G134/G$143*100</f>
        <v>17.008904633645901</v>
      </c>
      <c r="H210" s="690">
        <f t="shared" si="988"/>
        <v>24.495380925111558</v>
      </c>
      <c r="I210" s="348">
        <f t="shared" si="987"/>
        <v>17.008904633645901</v>
      </c>
      <c r="J210" s="127">
        <f t="shared" si="987"/>
        <v>24.501667083974755</v>
      </c>
      <c r="K210" s="1363">
        <f t="shared" si="987"/>
        <v>17.008816215320476</v>
      </c>
      <c r="L210" s="690">
        <f t="shared" si="987"/>
        <v>22.51985228159813</v>
      </c>
      <c r="M210" s="241">
        <f t="shared" si="987"/>
        <v>17.008875767371897</v>
      </c>
      <c r="N210" s="123">
        <f t="shared" si="987"/>
        <v>23.847043453663591</v>
      </c>
      <c r="O210" s="1363">
        <f t="shared" ref="O210:P210" si="989">+O134/O$143*100</f>
        <v>17.008816215320476</v>
      </c>
      <c r="P210" s="690">
        <f t="shared" si="989"/>
        <v>20.216842157735574</v>
      </c>
      <c r="Q210" s="54">
        <f t="shared" si="987"/>
        <v>17.00886074500146</v>
      </c>
      <c r="R210" s="127">
        <f t="shared" si="987"/>
        <v>22.922446316076954</v>
      </c>
      <c r="S210" s="1363">
        <f t="shared" si="987"/>
        <v>17.008816215320476</v>
      </c>
      <c r="T210" s="690">
        <f t="shared" si="987"/>
        <v>17.40644387967744</v>
      </c>
      <c r="U210" s="54">
        <f t="shared" si="987"/>
        <v>17.008851774883468</v>
      </c>
      <c r="V210" s="127">
        <f t="shared" si="987"/>
        <v>21.797283160557836</v>
      </c>
      <c r="W210" s="1363">
        <f t="shared" ref="W210:X210" si="990">+W134/W$143*100</f>
        <v>17.008872495045317</v>
      </c>
      <c r="X210" s="690">
        <f t="shared" si="990"/>
        <v>16.643579573649607</v>
      </c>
      <c r="Y210" s="353">
        <f t="shared" si="987"/>
        <v>17.008834103004972</v>
      </c>
      <c r="Z210" s="356">
        <f t="shared" si="987"/>
        <v>18.099549866288136</v>
      </c>
      <c r="AA210" s="466">
        <f t="shared" si="987"/>
        <v>17.008855049599035</v>
      </c>
      <c r="AB210" s="474">
        <f t="shared" si="987"/>
        <v>20.946483628808192</v>
      </c>
      <c r="AC210" s="1363">
        <f t="shared" si="987"/>
        <v>20.349728109353691</v>
      </c>
      <c r="AD210" s="690">
        <f t="shared" si="987"/>
        <v>17.838720053370821</v>
      </c>
      <c r="AE210" s="348">
        <f t="shared" si="987"/>
        <v>17.494727911606908</v>
      </c>
      <c r="AF210" s="127">
        <f t="shared" si="987"/>
        <v>20.483432745259449</v>
      </c>
      <c r="AG210" s="1363">
        <f t="shared" si="987"/>
        <v>20.349727603482805</v>
      </c>
      <c r="AH210" s="690">
        <f t="shared" si="987"/>
        <v>17.244995707367213</v>
      </c>
      <c r="AI210" s="348">
        <f t="shared" si="987"/>
        <v>17.846969844984812</v>
      </c>
      <c r="AJ210" s="127">
        <f t="shared" si="987"/>
        <v>20.089307305783315</v>
      </c>
      <c r="AK210" s="1363">
        <f t="shared" si="987"/>
        <v>20.349727603482805</v>
      </c>
      <c r="AL210" s="690">
        <f t="shared" si="987"/>
        <v>18.103722009895339</v>
      </c>
      <c r="AM210" s="353">
        <f t="shared" si="987"/>
        <v>20.349727773939293</v>
      </c>
      <c r="AN210" s="356">
        <f t="shared" si="987"/>
        <v>17.73932022711816</v>
      </c>
      <c r="AO210" s="348">
        <f t="shared" si="987"/>
        <v>18.129966710609537</v>
      </c>
      <c r="AP210" s="127">
        <f t="shared" si="987"/>
        <v>19.861815145993177</v>
      </c>
      <c r="AQ210" s="1363">
        <f t="shared" si="987"/>
        <v>20.349727603482805</v>
      </c>
      <c r="AR210" s="690">
        <f t="shared" si="987"/>
        <v>17.283589699113204</v>
      </c>
      <c r="AS210" s="348">
        <f t="shared" si="987"/>
        <v>18.355465887629588</v>
      </c>
      <c r="AT210" s="127">
        <f t="shared" si="987"/>
        <v>19.600708663077494</v>
      </c>
      <c r="AU210" s="1363">
        <f t="shared" si="987"/>
        <v>20.349727603482801</v>
      </c>
      <c r="AV210" s="690">
        <f t="shared" si="987"/>
        <v>22.181134580994343</v>
      </c>
      <c r="AW210" s="348">
        <f t="shared" si="987"/>
        <v>18.523072679984868</v>
      </c>
      <c r="AX210" s="127">
        <f t="shared" si="987"/>
        <v>19.81363787469866</v>
      </c>
      <c r="AY210" s="1363">
        <f t="shared" ref="AY210:AZ210" si="991">+AY134/AY$143*100</f>
        <v>20.349727603482805</v>
      </c>
      <c r="AZ210" s="690">
        <f t="shared" si="991"/>
        <v>24.739505987444723</v>
      </c>
      <c r="BA210" s="353">
        <f t="shared" ref="BA210:BF213" si="992">+BA134/BA$143*100</f>
        <v>20.349727603482801</v>
      </c>
      <c r="BB210" s="356">
        <f t="shared" si="992"/>
        <v>21.30583824950493</v>
      </c>
      <c r="BC210" s="466">
        <f t="shared" si="992"/>
        <v>20.349727689647622</v>
      </c>
      <c r="BD210" s="474">
        <f t="shared" si="992"/>
        <v>19.471176756560372</v>
      </c>
      <c r="BE210" s="348">
        <f t="shared" si="992"/>
        <v>18.678572498009657</v>
      </c>
      <c r="BF210" s="127">
        <f t="shared" si="992"/>
        <v>20.211260038940939</v>
      </c>
      <c r="BG210" s="1219"/>
      <c r="BH210" s="1219"/>
      <c r="BI210" s="1219"/>
      <c r="BJ210" s="1546"/>
      <c r="BK210" s="1546"/>
      <c r="BL210" s="26"/>
      <c r="BM210" s="26"/>
      <c r="BN210" s="26"/>
    </row>
    <row r="211" spans="2:66" x14ac:dyDescent="0.25">
      <c r="B211" s="1848" t="s">
        <v>627</v>
      </c>
      <c r="C211" s="1674" t="s">
        <v>49</v>
      </c>
      <c r="D211" s="142">
        <f t="shared" ref="D211:AX211" si="993">+D135/D$143*100</f>
        <v>5.0025987276113346</v>
      </c>
      <c r="E211" s="1363">
        <f t="shared" si="993"/>
        <v>5.0026190098958541</v>
      </c>
      <c r="F211" s="101">
        <f t="shared" si="993"/>
        <v>0.10993579943795924</v>
      </c>
      <c r="G211" s="1363">
        <f t="shared" ref="G211:H211" si="994">+G135/G$143*100</f>
        <v>5.0026190098958558</v>
      </c>
      <c r="H211" s="101">
        <f t="shared" si="994"/>
        <v>0.21084899908467455</v>
      </c>
      <c r="I211" s="266">
        <f t="shared" si="993"/>
        <v>5.002619009895855</v>
      </c>
      <c r="J211" s="107">
        <f t="shared" si="993"/>
        <v>0.16132169624356069</v>
      </c>
      <c r="K211" s="1363">
        <f t="shared" si="993"/>
        <v>5.0025930045060232</v>
      </c>
      <c r="L211" s="101">
        <f t="shared" si="993"/>
        <v>2.1745420004807348</v>
      </c>
      <c r="M211" s="241">
        <f t="shared" si="993"/>
        <v>5.0026105198152653</v>
      </c>
      <c r="N211" s="123">
        <f t="shared" si="993"/>
        <v>0.82631904241103948</v>
      </c>
      <c r="O211" s="1363">
        <f t="shared" ref="O211:P211" si="995">+O135/O$143*100</f>
        <v>5.0025930045060232</v>
      </c>
      <c r="P211" s="101">
        <f t="shared" si="995"/>
        <v>0</v>
      </c>
      <c r="Q211" s="54">
        <f t="shared" si="993"/>
        <v>5.0026061014710184</v>
      </c>
      <c r="R211" s="127">
        <f t="shared" si="993"/>
        <v>0.61585902681808391</v>
      </c>
      <c r="S211" s="1363">
        <f t="shared" si="993"/>
        <v>5.0025930045060232</v>
      </c>
      <c r="T211" s="101">
        <f t="shared" si="993"/>
        <v>0</v>
      </c>
      <c r="U211" s="54">
        <f t="shared" si="993"/>
        <v>5.0026034632010212</v>
      </c>
      <c r="V211" s="127">
        <f t="shared" si="993"/>
        <v>0.49023510007778426</v>
      </c>
      <c r="W211" s="1363">
        <f t="shared" ref="W211:X211" si="996">+W135/W$143*100</f>
        <v>5.0026095573662692</v>
      </c>
      <c r="X211" s="101">
        <f t="shared" si="996"/>
        <v>0</v>
      </c>
      <c r="Y211" s="353">
        <f t="shared" si="993"/>
        <v>5.0025982655896986</v>
      </c>
      <c r="Z211" s="356">
        <f t="shared" si="993"/>
        <v>0</v>
      </c>
      <c r="AA211" s="466">
        <f t="shared" si="993"/>
        <v>5.0026044263526579</v>
      </c>
      <c r="AB211" s="474">
        <f t="shared" si="993"/>
        <v>0.40930460290038656</v>
      </c>
      <c r="AC211" s="1363">
        <f t="shared" si="993"/>
        <v>5.0009588486664969</v>
      </c>
      <c r="AD211" s="101">
        <f t="shared" si="993"/>
        <v>6.7213876413194988</v>
      </c>
      <c r="AE211" s="266">
        <f t="shared" si="993"/>
        <v>5.0023651052154188</v>
      </c>
      <c r="AF211" s="107">
        <f t="shared" si="993"/>
        <v>1.3497930142692065</v>
      </c>
      <c r="AG211" s="1363">
        <f t="shared" si="993"/>
        <v>5.0009587243483997</v>
      </c>
      <c r="AH211" s="101">
        <f t="shared" si="993"/>
        <v>6.7220695127253318</v>
      </c>
      <c r="AI211" s="266">
        <f t="shared" si="993"/>
        <v>5.0021915898496996</v>
      </c>
      <c r="AJ211" s="107">
        <f t="shared" si="993"/>
        <v>2.0036117580541468</v>
      </c>
      <c r="AK211" s="1363">
        <f t="shared" si="993"/>
        <v>5.0009587243483988</v>
      </c>
      <c r="AL211" s="101">
        <f t="shared" si="993"/>
        <v>6.83061957674638</v>
      </c>
      <c r="AM211" s="353">
        <f t="shared" si="993"/>
        <v>5.0009587662381918</v>
      </c>
      <c r="AN211" s="356">
        <f t="shared" si="993"/>
        <v>6.7586091487048456</v>
      </c>
      <c r="AO211" s="266">
        <f t="shared" si="993"/>
        <v>5.0020521847988428</v>
      </c>
      <c r="AP211" s="107">
        <f t="shared" si="993"/>
        <v>2.5566509230158858</v>
      </c>
      <c r="AQ211" s="1363">
        <f t="shared" si="993"/>
        <v>5.0009587243483988</v>
      </c>
      <c r="AR211" s="101">
        <f t="shared" si="993"/>
        <v>5.1498431523582999</v>
      </c>
      <c r="AS211" s="266">
        <f t="shared" si="993"/>
        <v>5.0019411032708865</v>
      </c>
      <c r="AT211" s="107">
        <f t="shared" si="993"/>
        <v>2.8192731476732567</v>
      </c>
      <c r="AU211" s="1363">
        <f t="shared" si="993"/>
        <v>5.0009587243483997</v>
      </c>
      <c r="AV211" s="101">
        <f t="shared" si="993"/>
        <v>0</v>
      </c>
      <c r="AW211" s="266">
        <f t="shared" si="993"/>
        <v>5.0018585396942177</v>
      </c>
      <c r="AX211" s="107">
        <f t="shared" si="993"/>
        <v>2.5866349601125709</v>
      </c>
      <c r="AY211" s="1363">
        <f t="shared" ref="AY211:AZ211" si="997">+AY135/AY$143*100</f>
        <v>5.0009587243483988</v>
      </c>
      <c r="AZ211" s="101">
        <f t="shared" si="997"/>
        <v>1.4186345205257849</v>
      </c>
      <c r="BA211" s="353">
        <f t="shared" si="992"/>
        <v>5.0009587243483988</v>
      </c>
      <c r="BB211" s="356">
        <f t="shared" si="992"/>
        <v>2.2909484315762696</v>
      </c>
      <c r="BC211" s="466">
        <f t="shared" si="992"/>
        <v>5.0009587455234596</v>
      </c>
      <c r="BD211" s="474">
        <f t="shared" si="992"/>
        <v>4.5891690012767787</v>
      </c>
      <c r="BE211" s="266">
        <f t="shared" si="992"/>
        <v>5.0017819400471089</v>
      </c>
      <c r="BF211" s="107">
        <f t="shared" si="992"/>
        <v>2.4923525205517754</v>
      </c>
      <c r="BG211" s="1219"/>
      <c r="BH211" s="1219"/>
      <c r="BI211" s="1219"/>
      <c r="BJ211" s="1546"/>
      <c r="BK211" s="1546"/>
      <c r="BL211" s="26"/>
      <c r="BM211" s="26"/>
      <c r="BN211" s="26"/>
    </row>
    <row r="212" spans="2:66" x14ac:dyDescent="0.25">
      <c r="B212" s="1848" t="s">
        <v>1366</v>
      </c>
      <c r="C212" s="1675" t="s">
        <v>49</v>
      </c>
      <c r="D212" s="142">
        <f t="shared" ref="D212:AX212" si="998">+D136/D$143*100</f>
        <v>0</v>
      </c>
      <c r="E212" s="1363">
        <f t="shared" si="998"/>
        <v>0</v>
      </c>
      <c r="F212" s="101">
        <f t="shared" si="998"/>
        <v>0</v>
      </c>
      <c r="G212" s="1363">
        <f t="shared" ref="G212:H212" si="999">+G136/G$143*100</f>
        <v>0</v>
      </c>
      <c r="H212" s="101">
        <f t="shared" si="999"/>
        <v>0</v>
      </c>
      <c r="I212" s="266">
        <f t="shared" si="998"/>
        <v>0</v>
      </c>
      <c r="J212" s="107">
        <f t="shared" si="998"/>
        <v>0</v>
      </c>
      <c r="K212" s="1363">
        <f t="shared" si="998"/>
        <v>0</v>
      </c>
      <c r="L212" s="101">
        <f t="shared" si="998"/>
        <v>0</v>
      </c>
      <c r="M212" s="241">
        <f t="shared" si="998"/>
        <v>0</v>
      </c>
      <c r="N212" s="123">
        <f t="shared" si="998"/>
        <v>0</v>
      </c>
      <c r="O212" s="1363">
        <f t="shared" ref="O212:P212" si="1000">+O136/O$143*100</f>
        <v>0</v>
      </c>
      <c r="P212" s="101">
        <f t="shared" si="1000"/>
        <v>2.1666654070142948</v>
      </c>
      <c r="Q212" s="54">
        <f t="shared" si="998"/>
        <v>0</v>
      </c>
      <c r="R212" s="127">
        <f t="shared" si="998"/>
        <v>0.5518406474264903</v>
      </c>
      <c r="S212" s="1363">
        <f t="shared" si="998"/>
        <v>0</v>
      </c>
      <c r="T212" s="101">
        <f t="shared" si="998"/>
        <v>0</v>
      </c>
      <c r="U212" s="54">
        <f t="shared" si="998"/>
        <v>0</v>
      </c>
      <c r="V212" s="127">
        <f t="shared" si="998"/>
        <v>0.43927529391888898</v>
      </c>
      <c r="W212" s="1363">
        <f t="shared" ref="W212:X212" si="1001">+W136/W$143*100</f>
        <v>0</v>
      </c>
      <c r="X212" s="101">
        <f t="shared" si="1001"/>
        <v>5.6719706683835147</v>
      </c>
      <c r="Y212" s="353">
        <f t="shared" si="998"/>
        <v>0</v>
      </c>
      <c r="Z212" s="356">
        <f t="shared" si="998"/>
        <v>2.5821381575334823</v>
      </c>
      <c r="AA212" s="466">
        <f t="shared" si="998"/>
        <v>0</v>
      </c>
      <c r="AB212" s="474">
        <f t="shared" si="998"/>
        <v>1.303115190666589</v>
      </c>
      <c r="AC212" s="1363">
        <f t="shared" si="998"/>
        <v>0</v>
      </c>
      <c r="AD212" s="101">
        <f t="shared" si="998"/>
        <v>0</v>
      </c>
      <c r="AE212" s="266">
        <f t="shared" si="998"/>
        <v>0</v>
      </c>
      <c r="AF212" s="107">
        <f t="shared" si="998"/>
        <v>1.1089534966519381</v>
      </c>
      <c r="AG212" s="1363">
        <f t="shared" si="998"/>
        <v>0</v>
      </c>
      <c r="AH212" s="101">
        <f t="shared" si="998"/>
        <v>0</v>
      </c>
      <c r="AI212" s="266">
        <f t="shared" si="998"/>
        <v>0</v>
      </c>
      <c r="AJ212" s="107">
        <f t="shared" si="998"/>
        <v>0.97399123581051428</v>
      </c>
      <c r="AK212" s="1363">
        <f t="shared" si="998"/>
        <v>0</v>
      </c>
      <c r="AL212" s="101">
        <f t="shared" si="998"/>
        <v>0</v>
      </c>
      <c r="AM212" s="353">
        <f t="shared" si="998"/>
        <v>0</v>
      </c>
      <c r="AN212" s="356">
        <f t="shared" si="998"/>
        <v>0</v>
      </c>
      <c r="AO212" s="266">
        <f t="shared" si="998"/>
        <v>0</v>
      </c>
      <c r="AP212" s="107">
        <f t="shared" si="998"/>
        <v>0.862399268288358</v>
      </c>
      <c r="AQ212" s="1363">
        <f t="shared" si="998"/>
        <v>0</v>
      </c>
      <c r="AR212" s="101">
        <f t="shared" si="998"/>
        <v>0</v>
      </c>
      <c r="AS212" s="266">
        <f t="shared" si="998"/>
        <v>0</v>
      </c>
      <c r="AT212" s="107">
        <f t="shared" si="998"/>
        <v>0.77506088595863365</v>
      </c>
      <c r="AU212" s="1363">
        <f t="shared" si="998"/>
        <v>0</v>
      </c>
      <c r="AV212" s="101">
        <f t="shared" si="998"/>
        <v>0</v>
      </c>
      <c r="AW212" s="266">
        <f t="shared" si="998"/>
        <v>0</v>
      </c>
      <c r="AX212" s="107">
        <f t="shared" si="998"/>
        <v>0.71110512491171118</v>
      </c>
      <c r="AY212" s="1363">
        <f t="shared" ref="AY212:AZ212" si="1002">+AY136/AY$143*100</f>
        <v>0</v>
      </c>
      <c r="AZ212" s="101">
        <f t="shared" si="1002"/>
        <v>0</v>
      </c>
      <c r="BA212" s="353">
        <f t="shared" si="992"/>
        <v>0</v>
      </c>
      <c r="BB212" s="356">
        <f t="shared" si="992"/>
        <v>0</v>
      </c>
      <c r="BC212" s="466">
        <f t="shared" si="992"/>
        <v>0</v>
      </c>
      <c r="BD212" s="474">
        <f t="shared" si="992"/>
        <v>0</v>
      </c>
      <c r="BE212" s="266">
        <f t="shared" si="992"/>
        <v>0</v>
      </c>
      <c r="BF212" s="107">
        <f t="shared" si="992"/>
        <v>0.65370384004183624</v>
      </c>
      <c r="BG212" s="1219"/>
      <c r="BH212" s="1219"/>
      <c r="BI212" s="1219"/>
      <c r="BJ212" s="1546"/>
      <c r="BK212" s="1546"/>
      <c r="BL212" s="26"/>
      <c r="BM212" s="26"/>
      <c r="BN212" s="26"/>
    </row>
    <row r="213" spans="2:66" ht="15.75" thickBot="1" x14ac:dyDescent="0.3">
      <c r="B213" s="1848" t="s">
        <v>2119</v>
      </c>
      <c r="C213" s="1675" t="s">
        <v>49</v>
      </c>
      <c r="D213" s="142">
        <f t="shared" ref="D213:AX213" si="1003">+D137/D$143*100</f>
        <v>3.0015592365668002</v>
      </c>
      <c r="E213" s="1363">
        <f t="shared" si="1003"/>
        <v>3.0015714059375123</v>
      </c>
      <c r="F213" s="133">
        <f t="shared" si="1003"/>
        <v>0</v>
      </c>
      <c r="G213" s="1363">
        <f t="shared" ref="G213:H213" si="1004">+G137/G$143*100</f>
        <v>3.0015714059375127</v>
      </c>
      <c r="H213" s="133">
        <f t="shared" si="1004"/>
        <v>0</v>
      </c>
      <c r="I213" s="603">
        <f t="shared" si="1003"/>
        <v>3.0015714059375123</v>
      </c>
      <c r="J213" s="108">
        <f t="shared" si="1003"/>
        <v>0</v>
      </c>
      <c r="K213" s="1363">
        <f t="shared" si="1003"/>
        <v>3.001555802703614</v>
      </c>
      <c r="L213" s="133">
        <f t="shared" si="1003"/>
        <v>0</v>
      </c>
      <c r="M213" s="1575">
        <f t="shared" si="1003"/>
        <v>3.0015663118891589</v>
      </c>
      <c r="N213" s="115">
        <f t="shared" si="1003"/>
        <v>0</v>
      </c>
      <c r="O213" s="1363">
        <f t="shared" ref="O213:P213" si="1005">+O137/O$143*100</f>
        <v>3.0015558027036136</v>
      </c>
      <c r="P213" s="133">
        <f t="shared" si="1005"/>
        <v>2.3053766268208857</v>
      </c>
      <c r="Q213" s="770">
        <f t="shared" si="1003"/>
        <v>3.0015636608826104</v>
      </c>
      <c r="R213" s="108">
        <f t="shared" si="1003"/>
        <v>0.58716981689381009</v>
      </c>
      <c r="S213" s="1363">
        <f t="shared" si="1003"/>
        <v>3.0015558027036136</v>
      </c>
      <c r="T213" s="133">
        <f t="shared" si="1003"/>
        <v>6.9451669371498088</v>
      </c>
      <c r="U213" s="770">
        <f t="shared" si="1003"/>
        <v>3.0015620779206125</v>
      </c>
      <c r="V213" s="108">
        <f t="shared" si="1003"/>
        <v>1.8840844185628793</v>
      </c>
      <c r="W213" s="1363">
        <f t="shared" ref="W213:X213" si="1006">+W137/W$143*100</f>
        <v>3.0015657344197622</v>
      </c>
      <c r="X213" s="133">
        <f t="shared" si="1006"/>
        <v>2.0353833639675027</v>
      </c>
      <c r="Y213" s="353">
        <f t="shared" si="1003"/>
        <v>3.0015589593538188</v>
      </c>
      <c r="Z213" s="356">
        <f t="shared" si="1003"/>
        <v>3.7828281636217849</v>
      </c>
      <c r="AA213" s="466">
        <f t="shared" si="1003"/>
        <v>3.0015626558115946</v>
      </c>
      <c r="AB213" s="474">
        <f t="shared" si="1003"/>
        <v>1.9090616159770781</v>
      </c>
      <c r="AC213" s="1363">
        <f t="shared" si="1003"/>
        <v>0</v>
      </c>
      <c r="AD213" s="133">
        <f t="shared" si="1003"/>
        <v>0</v>
      </c>
      <c r="AE213" s="603">
        <f t="shared" si="1003"/>
        <v>2.5650366902957895</v>
      </c>
      <c r="AF213" s="108">
        <f t="shared" si="1003"/>
        <v>1.6246150528556342</v>
      </c>
      <c r="AG213" s="1363">
        <f t="shared" si="1003"/>
        <v>0</v>
      </c>
      <c r="AH213" s="133">
        <f t="shared" si="1003"/>
        <v>0</v>
      </c>
      <c r="AI213" s="603">
        <f t="shared" si="1003"/>
        <v>2.2485695867979958</v>
      </c>
      <c r="AJ213" s="108">
        <f t="shared" si="1003"/>
        <v>1.4268955621895398</v>
      </c>
      <c r="AK213" s="1363">
        <f t="shared" si="1003"/>
        <v>0</v>
      </c>
      <c r="AL213" s="133">
        <f t="shared" si="1003"/>
        <v>0</v>
      </c>
      <c r="AM213" s="353">
        <f t="shared" si="1003"/>
        <v>0</v>
      </c>
      <c r="AN213" s="356">
        <f t="shared" si="1003"/>
        <v>0</v>
      </c>
      <c r="AO213" s="603">
        <f t="shared" si="1003"/>
        <v>1.9943147980385743</v>
      </c>
      <c r="AP213" s="108">
        <f t="shared" si="1003"/>
        <v>1.2634135128866428</v>
      </c>
      <c r="AQ213" s="1363">
        <f t="shared" si="1003"/>
        <v>0</v>
      </c>
      <c r="AR213" s="133">
        <f t="shared" si="1003"/>
        <v>0</v>
      </c>
      <c r="AS213" s="603">
        <f t="shared" si="1003"/>
        <v>1.7917180466855527</v>
      </c>
      <c r="AT213" s="108">
        <f t="shared" si="1003"/>
        <v>1.1354629260916895</v>
      </c>
      <c r="AU213" s="1363">
        <f t="shared" si="1003"/>
        <v>0</v>
      </c>
      <c r="AV213" s="133">
        <f t="shared" si="1003"/>
        <v>0</v>
      </c>
      <c r="AW213" s="603">
        <f t="shared" si="1003"/>
        <v>1.6411339421907485</v>
      </c>
      <c r="AX213" s="108">
        <f t="shared" si="1003"/>
        <v>1.0417678411062818</v>
      </c>
      <c r="AY213" s="1363">
        <f t="shared" ref="AY213:AZ213" si="1007">+AY137/AY$143*100</f>
        <v>0</v>
      </c>
      <c r="AZ213" s="133">
        <f t="shared" si="1007"/>
        <v>0</v>
      </c>
      <c r="BA213" s="353">
        <f t="shared" si="992"/>
        <v>0</v>
      </c>
      <c r="BB213" s="356">
        <f t="shared" si="992"/>
        <v>0</v>
      </c>
      <c r="BC213" s="466">
        <f t="shared" si="992"/>
        <v>0</v>
      </c>
      <c r="BD213" s="474">
        <f t="shared" si="992"/>
        <v>0</v>
      </c>
      <c r="BE213" s="603">
        <f t="shared" si="992"/>
        <v>1.5014271885603023</v>
      </c>
      <c r="BF213" s="108">
        <f t="shared" si="992"/>
        <v>0.95767505296466826</v>
      </c>
      <c r="BG213" s="1219"/>
      <c r="BH213" s="1219"/>
      <c r="BI213" s="1219"/>
      <c r="BJ213" s="1546"/>
      <c r="BK213" s="1546"/>
      <c r="BL213" s="26"/>
      <c r="BM213" s="26"/>
      <c r="BN213" s="26"/>
    </row>
    <row r="214" spans="2:66" ht="19.5" thickBot="1" x14ac:dyDescent="0.3">
      <c r="B214" s="1902" t="s">
        <v>134</v>
      </c>
      <c r="C214" s="736" t="s">
        <v>49</v>
      </c>
      <c r="D214" s="1440">
        <f>SUM(D210:D213)</f>
        <v>25.01299363805667</v>
      </c>
      <c r="E214" s="1386">
        <f>SUM(E210:E213)</f>
        <v>25.013095049479269</v>
      </c>
      <c r="F214" s="143">
        <f>SUM(F210:F213)</f>
        <v>24.618124940785474</v>
      </c>
      <c r="G214" s="1386">
        <f>SUM(G210:G213)</f>
        <v>25.013095049479269</v>
      </c>
      <c r="H214" s="143">
        <f>SUM(H210:H213)</f>
        <v>24.706229924196233</v>
      </c>
      <c r="I214" s="604">
        <f t="shared" ref="I214:N214" si="1008">SUM(I210:I213)</f>
        <v>25.013095049479269</v>
      </c>
      <c r="J214" s="169">
        <f t="shared" si="1008"/>
        <v>24.662988780218317</v>
      </c>
      <c r="K214" s="1386">
        <f>SUM(K210:K213)</f>
        <v>25.012965022530111</v>
      </c>
      <c r="L214" s="143">
        <f>SUM(L210:L213)</f>
        <v>24.694394282078864</v>
      </c>
      <c r="M214" s="1592">
        <f t="shared" si="1008"/>
        <v>25.013052599076321</v>
      </c>
      <c r="N214" s="1593">
        <f t="shared" si="1008"/>
        <v>24.673362496074631</v>
      </c>
      <c r="O214" s="1386">
        <f>SUM(O210:O213)</f>
        <v>25.012965022530111</v>
      </c>
      <c r="P214" s="143">
        <f>SUM(P210:P213)</f>
        <v>24.688884191570757</v>
      </c>
      <c r="Q214" s="1717">
        <f t="shared" ref="Q214:R214" si="1009">SUM(Q210:Q213)</f>
        <v>25.01303050735509</v>
      </c>
      <c r="R214" s="169">
        <f t="shared" si="1009"/>
        <v>24.677315807215336</v>
      </c>
      <c r="S214" s="1386">
        <f>SUM(S210:S213)</f>
        <v>25.012965022530111</v>
      </c>
      <c r="T214" s="143">
        <f>SUM(T210:T213)</f>
        <v>24.351610816827247</v>
      </c>
      <c r="U214" s="1717">
        <f t="shared" ref="U214:V214" si="1010">SUM(U210:U213)</f>
        <v>25.013017316005101</v>
      </c>
      <c r="V214" s="169">
        <f t="shared" si="1010"/>
        <v>24.610877973117386</v>
      </c>
      <c r="W214" s="1386">
        <f>SUM(W210:W213)</f>
        <v>25.013047786831351</v>
      </c>
      <c r="X214" s="143">
        <f>SUM(X210:X213)</f>
        <v>24.350933606000623</v>
      </c>
      <c r="Y214" s="605">
        <f t="shared" ref="Y214:AF214" si="1011">SUM(Y210:Y213)</f>
        <v>25.012991327948487</v>
      </c>
      <c r="Z214" s="355">
        <f t="shared" si="1011"/>
        <v>24.464516187443401</v>
      </c>
      <c r="AA214" s="2391">
        <f t="shared" si="1011"/>
        <v>25.013022131763286</v>
      </c>
      <c r="AB214" s="2318">
        <f t="shared" si="1011"/>
        <v>24.567965038352245</v>
      </c>
      <c r="AC214" s="1386">
        <f>SUM(AC210:AC213)</f>
        <v>25.350686958020187</v>
      </c>
      <c r="AD214" s="143">
        <f>SUM(AD210:AD213)</f>
        <v>24.56010769469032</v>
      </c>
      <c r="AE214" s="604">
        <f t="shared" si="1011"/>
        <v>25.062129707118117</v>
      </c>
      <c r="AF214" s="169">
        <f t="shared" si="1011"/>
        <v>24.566794309036229</v>
      </c>
      <c r="AG214" s="1386">
        <f>SUM(AG210:AG213)</f>
        <v>25.350686327831205</v>
      </c>
      <c r="AH214" s="143">
        <f>SUM(AH210:AH213)</f>
        <v>23.967065220092543</v>
      </c>
      <c r="AI214" s="604">
        <f t="shared" ref="AI214:AN214" si="1012">SUM(AI210:AI213)</f>
        <v>25.097731021632509</v>
      </c>
      <c r="AJ214" s="169">
        <f t="shared" si="1012"/>
        <v>24.493805861837519</v>
      </c>
      <c r="AK214" s="1386">
        <f>SUM(AK210:AK213)</f>
        <v>25.350686327831205</v>
      </c>
      <c r="AL214" s="143">
        <f>SUM(AL210:AL213)</f>
        <v>24.934341586641718</v>
      </c>
      <c r="AM214" s="605">
        <f t="shared" si="1012"/>
        <v>25.350686540177485</v>
      </c>
      <c r="AN214" s="355">
        <f t="shared" si="1012"/>
        <v>24.497929375823006</v>
      </c>
      <c r="AO214" s="604">
        <f t="shared" ref="AO214:AT214" si="1013">SUM(AO210:AO213)</f>
        <v>25.126333693446952</v>
      </c>
      <c r="AP214" s="169">
        <f t="shared" si="1013"/>
        <v>24.544278850184064</v>
      </c>
      <c r="AQ214" s="1386">
        <f>SUM(AQ210:AQ213)</f>
        <v>25.350686327831205</v>
      </c>
      <c r="AR214" s="143">
        <f>SUM(AR210:AR213)</f>
        <v>22.433432851471505</v>
      </c>
      <c r="AS214" s="604">
        <f t="shared" si="1013"/>
        <v>25.149125037586028</v>
      </c>
      <c r="AT214" s="169">
        <f t="shared" si="1013"/>
        <v>24.330505622801077</v>
      </c>
      <c r="AU214" s="1386">
        <f>SUM(AU210:AU213)</f>
        <v>25.350686327831202</v>
      </c>
      <c r="AV214" s="143">
        <f>SUM(AV210:AV213)</f>
        <v>22.181134580994343</v>
      </c>
      <c r="AW214" s="604">
        <f t="shared" ref="AW214:AX214" si="1014">SUM(AW210:AW213)</f>
        <v>25.166065161869835</v>
      </c>
      <c r="AX214" s="169">
        <f t="shared" si="1014"/>
        <v>24.153145800829225</v>
      </c>
      <c r="AY214" s="1386">
        <f>SUM(AY210:AY213)</f>
        <v>25.350686327831205</v>
      </c>
      <c r="AZ214" s="143">
        <f>SUM(AZ210:AZ213)</f>
        <v>26.158140507970508</v>
      </c>
      <c r="BA214" s="605">
        <f t="shared" ref="BA214:BF214" si="1015">SUM(BA210:BA213)</f>
        <v>25.350686327831198</v>
      </c>
      <c r="BB214" s="355">
        <f t="shared" si="1015"/>
        <v>23.596786681081198</v>
      </c>
      <c r="BC214" s="2391">
        <f t="shared" si="1015"/>
        <v>25.350686435171081</v>
      </c>
      <c r="BD214" s="2318">
        <f t="shared" si="1015"/>
        <v>24.060345757837151</v>
      </c>
      <c r="BE214" s="604">
        <f t="shared" si="1015"/>
        <v>25.18178162661707</v>
      </c>
      <c r="BF214" s="169">
        <f t="shared" si="1015"/>
        <v>24.314991452499218</v>
      </c>
      <c r="BG214" s="1219"/>
      <c r="BH214" s="1219"/>
      <c r="BI214" s="1219"/>
      <c r="BJ214" s="1546"/>
      <c r="BK214" s="1546"/>
      <c r="BL214" s="26"/>
      <c r="BM214" s="26"/>
      <c r="BN214" s="26"/>
    </row>
    <row r="215" spans="2:66" ht="19.5" thickBot="1" x14ac:dyDescent="0.3">
      <c r="B215" s="1901" t="s">
        <v>12</v>
      </c>
      <c r="C215" s="736" t="s">
        <v>49</v>
      </c>
      <c r="D215" s="1440">
        <f>+D209+D214</f>
        <v>95.322290299597682</v>
      </c>
      <c r="E215" s="1386">
        <f>+E209+E214</f>
        <v>95.285782187462473</v>
      </c>
      <c r="F215" s="143">
        <f>+F209+F214</f>
        <v>92.782623883203556</v>
      </c>
      <c r="G215" s="1386">
        <f>+G209+G214</f>
        <v>95.285782187462473</v>
      </c>
      <c r="H215" s="143">
        <f>+H209+H214</f>
        <v>93.667281514284795</v>
      </c>
      <c r="I215" s="604">
        <f t="shared" ref="I215:N215" si="1016">+I209+I214</f>
        <v>95.285782187462473</v>
      </c>
      <c r="J215" s="169">
        <f t="shared" si="1016"/>
        <v>93.233099399768022</v>
      </c>
      <c r="K215" s="1386">
        <f>+K209+K214</f>
        <v>95.332591889157172</v>
      </c>
      <c r="L215" s="143">
        <f>+L209+L214</f>
        <v>93.437618856972875</v>
      </c>
      <c r="M215" s="1592">
        <f t="shared" si="1016"/>
        <v>95.301064332522202</v>
      </c>
      <c r="N215" s="1593">
        <f t="shared" si="1016"/>
        <v>93.300655293176519</v>
      </c>
      <c r="O215" s="1386">
        <f>+O209+O214</f>
        <v>95.332591889157172</v>
      </c>
      <c r="P215" s="143">
        <f>+P209+P214</f>
        <v>93.966668191590372</v>
      </c>
      <c r="Q215" s="1717">
        <f t="shared" ref="Q215:R215" si="1017">+Q209+Q214</f>
        <v>95.309017352166819</v>
      </c>
      <c r="R215" s="169">
        <f t="shared" si="1017"/>
        <v>93.470286002129185</v>
      </c>
      <c r="S215" s="1386">
        <f>+S209+S214</f>
        <v>95.332591889157172</v>
      </c>
      <c r="T215" s="143">
        <f>+T209+T214</f>
        <v>93.241945303495299</v>
      </c>
      <c r="U215" s="1717">
        <f t="shared" ref="U215:V215" si="1018">+U209+U214</f>
        <v>95.313766238162557</v>
      </c>
      <c r="V215" s="169">
        <f t="shared" si="1018"/>
        <v>93.423708694745685</v>
      </c>
      <c r="W215" s="1386">
        <f>+W209+W214</f>
        <v>95.302796740712253</v>
      </c>
      <c r="X215" s="143">
        <f>+X209+X214</f>
        <v>93.2448303447526</v>
      </c>
      <c r="Y215" s="605">
        <f t="shared" ref="Y215:AF215" si="1019">+Y209+Y214</f>
        <v>95.323121938543508</v>
      </c>
      <c r="Z215" s="355">
        <f t="shared" si="1019"/>
        <v>93.485972730981359</v>
      </c>
      <c r="AA215" s="2391">
        <f t="shared" si="1019"/>
        <v>95.312032565215503</v>
      </c>
      <c r="AB215" s="2318">
        <f t="shared" si="1019"/>
        <v>93.394178549317672</v>
      </c>
      <c r="AC215" s="1386">
        <f>+AC209+AC214</f>
        <v>98.289713399891454</v>
      </c>
      <c r="AD215" s="143">
        <f>+AD209+AD214</f>
        <v>95.3800883954206</v>
      </c>
      <c r="AE215" s="604">
        <f t="shared" si="1019"/>
        <v>95.745085328194833</v>
      </c>
      <c r="AF215" s="169">
        <f t="shared" si="1019"/>
        <v>93.690075353100966</v>
      </c>
      <c r="AG215" s="1386">
        <f>+AG209+AG214</f>
        <v>98.289710956521986</v>
      </c>
      <c r="AH215" s="143">
        <f>+AH209+AH214</f>
        <v>93.703754279502533</v>
      </c>
      <c r="AI215" s="604">
        <f t="shared" ref="AI215:AN215" si="1020">+AI209+AI214</f>
        <v>96.05903417155038</v>
      </c>
      <c r="AJ215" s="169">
        <f t="shared" si="1020"/>
        <v>93.691740110765394</v>
      </c>
      <c r="AK215" s="1386">
        <f>+AK209+AK214</f>
        <v>98.289710956521986</v>
      </c>
      <c r="AL215" s="143">
        <f>+AL209+AL214</f>
        <v>95.31988359709247</v>
      </c>
      <c r="AM215" s="605">
        <f t="shared" si="1020"/>
        <v>98.289711779831237</v>
      </c>
      <c r="AN215" s="355">
        <f t="shared" si="1020"/>
        <v>94.825575231487974</v>
      </c>
      <c r="AO215" s="604">
        <f t="shared" ref="AO215:AT215" si="1021">+AO209+AO214</f>
        <v>96.31126574938699</v>
      </c>
      <c r="AP215" s="169">
        <f t="shared" si="1021"/>
        <v>93.87827950492786</v>
      </c>
      <c r="AQ215" s="1386">
        <f>+AQ209+AQ214</f>
        <v>98.289710956521986</v>
      </c>
      <c r="AR215" s="143">
        <f>+AR209+AR214</f>
        <v>95.241553208149213</v>
      </c>
      <c r="AS215" s="604">
        <f t="shared" si="1021"/>
        <v>96.512250354269696</v>
      </c>
      <c r="AT215" s="169">
        <f t="shared" si="1021"/>
        <v>94.016343304713217</v>
      </c>
      <c r="AU215" s="1386">
        <f>+AU209+AU214</f>
        <v>98.289710956521972</v>
      </c>
      <c r="AV215" s="143">
        <f>+AV209+AV214</f>
        <v>94.560451266203287</v>
      </c>
      <c r="AW215" s="604">
        <f t="shared" ref="AW215:AX215" si="1022">+AW209+AW214</f>
        <v>96.661636198521322</v>
      </c>
      <c r="AX215" s="169">
        <f t="shared" si="1022"/>
        <v>94.061241504840723</v>
      </c>
      <c r="AY215" s="1386">
        <f>+AY209+AY214</f>
        <v>98.289710956521986</v>
      </c>
      <c r="AZ215" s="143">
        <f>+AZ209+AZ214</f>
        <v>92.748692203997848</v>
      </c>
      <c r="BA215" s="605">
        <f t="shared" ref="BA215:BF215" si="1023">+BA209+BA214</f>
        <v>98.289710956521958</v>
      </c>
      <c r="BB215" s="355">
        <f t="shared" si="1023"/>
        <v>94.19651634154765</v>
      </c>
      <c r="BC215" s="2391">
        <f t="shared" si="1023"/>
        <v>98.289711372700296</v>
      </c>
      <c r="BD215" s="2318">
        <f t="shared" si="1023"/>
        <v>94.520112104957136</v>
      </c>
      <c r="BE215" s="604">
        <f t="shared" si="1023"/>
        <v>96.800231247505764</v>
      </c>
      <c r="BF215" s="169">
        <f t="shared" si="1023"/>
        <v>93.955290902483881</v>
      </c>
      <c r="BG215" s="1219"/>
      <c r="BH215" s="1219"/>
      <c r="BI215" s="1219"/>
      <c r="BJ215" s="1546"/>
      <c r="BK215" s="1546"/>
      <c r="BL215" s="26"/>
      <c r="BM215" s="26"/>
      <c r="BN215" s="26"/>
    </row>
    <row r="216" spans="2:66" x14ac:dyDescent="0.25">
      <c r="B216" s="1855" t="s">
        <v>1007</v>
      </c>
      <c r="C216" s="1407" t="s">
        <v>49</v>
      </c>
      <c r="D216" s="6032">
        <f t="shared" ref="D216:AX216" si="1024">+D140/D$143*100</f>
        <v>4.6777097004023185</v>
      </c>
      <c r="E216" s="6000">
        <f t="shared" si="1024"/>
        <v>4.7142178125375356</v>
      </c>
      <c r="F216" s="690">
        <f t="shared" si="1024"/>
        <v>0</v>
      </c>
      <c r="G216" s="6000">
        <f t="shared" ref="G216:H216" si="1025">+G140/G$143*100</f>
        <v>4.7142178125375285</v>
      </c>
      <c r="H216" s="690">
        <f t="shared" si="1025"/>
        <v>0</v>
      </c>
      <c r="I216" s="6041">
        <f t="shared" si="1024"/>
        <v>4.714217812537532</v>
      </c>
      <c r="J216" s="127">
        <f t="shared" si="1024"/>
        <v>0</v>
      </c>
      <c r="K216" s="6000">
        <f t="shared" si="1024"/>
        <v>4.6674081108428203</v>
      </c>
      <c r="L216" s="690">
        <f t="shared" si="1024"/>
        <v>0</v>
      </c>
      <c r="M216" s="6040">
        <f t="shared" si="1024"/>
        <v>4.6989356674777838</v>
      </c>
      <c r="N216" s="123">
        <f t="shared" si="1024"/>
        <v>0</v>
      </c>
      <c r="O216" s="6000">
        <f t="shared" ref="O216:P216" si="1026">+O140/O$143*100</f>
        <v>4.6674081108428132</v>
      </c>
      <c r="P216" s="690">
        <f t="shared" si="1026"/>
        <v>0</v>
      </c>
      <c r="Q216" s="6033">
        <f t="shared" si="1024"/>
        <v>4.6909826478331711</v>
      </c>
      <c r="R216" s="127">
        <f t="shared" si="1024"/>
        <v>0</v>
      </c>
      <c r="S216" s="6000">
        <f t="shared" si="1024"/>
        <v>4.6674081108428132</v>
      </c>
      <c r="T216" s="690">
        <f t="shared" si="1024"/>
        <v>0</v>
      </c>
      <c r="U216" s="6033">
        <f t="shared" si="1024"/>
        <v>4.6862337618374541</v>
      </c>
      <c r="V216" s="127">
        <f t="shared" si="1024"/>
        <v>0</v>
      </c>
      <c r="W216" s="6000">
        <f t="shared" ref="W216:X216" si="1027">+W140/W$143*100</f>
        <v>4.6972032592877282</v>
      </c>
      <c r="X216" s="690">
        <f t="shared" si="1027"/>
        <v>0</v>
      </c>
      <c r="Y216" s="6010">
        <f t="shared" si="1024"/>
        <v>4.6768780614564935</v>
      </c>
      <c r="Z216" s="356">
        <f t="shared" si="1024"/>
        <v>0</v>
      </c>
      <c r="AA216" s="6013">
        <f t="shared" si="1024"/>
        <v>4.6879674347845048</v>
      </c>
      <c r="AB216" s="474">
        <f t="shared" si="1024"/>
        <v>0</v>
      </c>
      <c r="AC216" s="6000">
        <f t="shared" si="1024"/>
        <v>1.7102866001085535</v>
      </c>
      <c r="AD216" s="690">
        <f t="shared" si="1024"/>
        <v>1.8781048593655068</v>
      </c>
      <c r="AE216" s="6009">
        <f t="shared" si="1024"/>
        <v>4.2549146718051603</v>
      </c>
      <c r="AF216" s="127">
        <f t="shared" si="1024"/>
        <v>0.27983406504916841</v>
      </c>
      <c r="AG216" s="6000">
        <f t="shared" si="1024"/>
        <v>1.7102890434780311</v>
      </c>
      <c r="AH216" s="690">
        <f t="shared" si="1024"/>
        <v>4.5839323078326268</v>
      </c>
      <c r="AI216" s="6009">
        <f t="shared" si="1024"/>
        <v>3.940965828449599</v>
      </c>
      <c r="AJ216" s="127">
        <f t="shared" si="1024"/>
        <v>0.80365299116593836</v>
      </c>
      <c r="AK216" s="6000">
        <f t="shared" si="1024"/>
        <v>1.7102890434780287</v>
      </c>
      <c r="AL216" s="690">
        <f t="shared" si="1024"/>
        <v>0.9823535992232254</v>
      </c>
      <c r="AM216" s="6010">
        <f t="shared" si="1024"/>
        <v>1.7102882201687633</v>
      </c>
      <c r="AN216" s="356">
        <f t="shared" si="1024"/>
        <v>2.4367907340524693</v>
      </c>
      <c r="AO216" s="6009">
        <f t="shared" si="1024"/>
        <v>3.6887342506129803</v>
      </c>
      <c r="AP216" s="127">
        <f t="shared" si="1024"/>
        <v>0.8241270485468799</v>
      </c>
      <c r="AQ216" s="6000">
        <f t="shared" si="1024"/>
        <v>1.7102890434780287</v>
      </c>
      <c r="AR216" s="690">
        <f t="shared" si="1024"/>
        <v>0</v>
      </c>
      <c r="AS216" s="6009">
        <f t="shared" si="1024"/>
        <v>3.4877496457302843</v>
      </c>
      <c r="AT216" s="127">
        <f t="shared" si="1024"/>
        <v>0.74066463629656287</v>
      </c>
      <c r="AU216" s="6000">
        <f t="shared" si="1024"/>
        <v>1.7102890434780305</v>
      </c>
      <c r="AV216" s="690">
        <f t="shared" si="1024"/>
        <v>0</v>
      </c>
      <c r="AW216" s="6009">
        <f t="shared" si="1024"/>
        <v>3.3383638014786832</v>
      </c>
      <c r="AX216" s="127">
        <f t="shared" si="1024"/>
        <v>0.67954715333095106</v>
      </c>
      <c r="AY216" s="6000">
        <f t="shared" ref="AY216:AZ216" si="1028">+AY140/AY$143*100</f>
        <v>1.7102890434780287</v>
      </c>
      <c r="AZ216" s="690">
        <f t="shared" si="1028"/>
        <v>0</v>
      </c>
      <c r="BA216" s="6010">
        <f t="shared" ref="BA216:BF216" si="1029">+BA140/BA$143*100</f>
        <v>1.7102890434780291</v>
      </c>
      <c r="BB216" s="356">
        <f t="shared" si="1029"/>
        <v>0</v>
      </c>
      <c r="BC216" s="6013">
        <f t="shared" si="1029"/>
        <v>1.7102886272997206</v>
      </c>
      <c r="BD216" s="474">
        <f t="shared" si="1029"/>
        <v>1.2535156413252353</v>
      </c>
      <c r="BE216" s="6009">
        <f t="shared" si="1029"/>
        <v>3.1997687524942484</v>
      </c>
      <c r="BF216" s="127">
        <f t="shared" si="1029"/>
        <v>0.62469326694431393</v>
      </c>
      <c r="BG216" s="1219"/>
      <c r="BH216" s="1219"/>
      <c r="BI216" s="1219"/>
      <c r="BJ216" s="1546"/>
      <c r="BK216" s="1546"/>
      <c r="BL216" s="26"/>
      <c r="BM216" s="26"/>
      <c r="BN216" s="26"/>
    </row>
    <row r="217" spans="2:66" x14ac:dyDescent="0.25">
      <c r="B217" s="1855" t="s">
        <v>1187</v>
      </c>
      <c r="C217" s="1392" t="s">
        <v>49</v>
      </c>
      <c r="D217" s="6032"/>
      <c r="E217" s="6000"/>
      <c r="F217" s="101">
        <f>+F141/F$143*100</f>
        <v>7.217376116796455</v>
      </c>
      <c r="G217" s="6000"/>
      <c r="H217" s="101">
        <f>+H141/H$143*100</f>
        <v>6.3327184857152119</v>
      </c>
      <c r="I217" s="6033"/>
      <c r="J217" s="107">
        <f>+J141/J$143*100</f>
        <v>6.7669006002319749</v>
      </c>
      <c r="K217" s="6000"/>
      <c r="L217" s="101">
        <f>+L141/L$143*100</f>
        <v>6.5623811430271308</v>
      </c>
      <c r="M217" s="6040"/>
      <c r="N217" s="114">
        <f>+N141/N$143*100</f>
        <v>6.6993447068234939</v>
      </c>
      <c r="O217" s="6000"/>
      <c r="P217" s="101">
        <f>+P141/P$143*100</f>
        <v>6.0333318084096197</v>
      </c>
      <c r="Q217" s="6033"/>
      <c r="R217" s="107">
        <f>+R141/R$143*100</f>
        <v>6.5297139978708021</v>
      </c>
      <c r="S217" s="6000"/>
      <c r="T217" s="101">
        <f>+T141/T$143*100</f>
        <v>6.7580546965046864</v>
      </c>
      <c r="U217" s="6033"/>
      <c r="V217" s="107">
        <f>+V141/V$143*100</f>
        <v>6.5762913052543075</v>
      </c>
      <c r="W217" s="6000"/>
      <c r="X217" s="101">
        <f>+X141/X$143*100</f>
        <v>6.7551696552473786</v>
      </c>
      <c r="Y217" s="6011"/>
      <c r="Z217" s="356">
        <f>+Z141/Z$143*100</f>
        <v>6.5140272690186451</v>
      </c>
      <c r="AA217" s="6014"/>
      <c r="AB217" s="474">
        <f>+AB141/AB$143*100</f>
        <v>6.605821450682317</v>
      </c>
      <c r="AC217" s="6000"/>
      <c r="AD217" s="101">
        <f>+AD141/AD$143*100</f>
        <v>2.7418067452138999</v>
      </c>
      <c r="AE217" s="6009"/>
      <c r="AF217" s="107">
        <f>+AF141/AF$143*100</f>
        <v>6.0300905818498434</v>
      </c>
      <c r="AG217" s="6000"/>
      <c r="AH217" s="101">
        <f>+AH141/AH$143*100</f>
        <v>1.7123134126648427</v>
      </c>
      <c r="AI217" s="6009"/>
      <c r="AJ217" s="107">
        <f>+AJ141/AJ$143*100</f>
        <v>5.5046068980686531</v>
      </c>
      <c r="AK217" s="6000"/>
      <c r="AL217" s="101">
        <f>+AL141/AL$143*100</f>
        <v>3.69776280368428</v>
      </c>
      <c r="AM217" s="6011"/>
      <c r="AN217" s="356">
        <f>+AN141/AN$143*100</f>
        <v>2.7376340344595533</v>
      </c>
      <c r="AO217" s="6009"/>
      <c r="AP217" s="107">
        <f>+AP141/AP$143*100</f>
        <v>5.2975934465252701</v>
      </c>
      <c r="AQ217" s="6000"/>
      <c r="AR217" s="101">
        <f>+AR141/AR$143*100</f>
        <v>4.7584467918507825</v>
      </c>
      <c r="AS217" s="6009"/>
      <c r="AT217" s="107">
        <f>+AT141/AT$143*100</f>
        <v>5.2429920589902244</v>
      </c>
      <c r="AU217" s="6000"/>
      <c r="AV217" s="101">
        <f>+AV141/AV$143*100</f>
        <v>5.4395487337967072</v>
      </c>
      <c r="AW217" s="6009"/>
      <c r="AX217" s="107">
        <f>+AX141/AX$143*100</f>
        <v>5.2592113418283102</v>
      </c>
      <c r="AY217" s="6000"/>
      <c r="AZ217" s="101">
        <f>+AZ141/AZ$143*100</f>
        <v>7.2513077960021644</v>
      </c>
      <c r="BA217" s="6011"/>
      <c r="BB217" s="356">
        <f>+BB141/BB$143*100</f>
        <v>5.8034836584523326</v>
      </c>
      <c r="BC217" s="6014"/>
      <c r="BD217" s="474">
        <f>+BD141/BD$143*100</f>
        <v>4.2263722537176118</v>
      </c>
      <c r="BE217" s="6009"/>
      <c r="BF217" s="107">
        <f>+BF141/BF$143*100</f>
        <v>5.4200158305717974</v>
      </c>
      <c r="BG217" s="1219"/>
      <c r="BH217" s="1219"/>
      <c r="BI217" s="1219"/>
      <c r="BJ217" s="1546"/>
      <c r="BK217" s="1546"/>
      <c r="BL217" s="26"/>
      <c r="BM217" s="26"/>
      <c r="BN217" s="26"/>
    </row>
    <row r="218" spans="2:66" ht="15" customHeight="1" thickBot="1" x14ac:dyDescent="0.3">
      <c r="B218" s="1845" t="s">
        <v>1135</v>
      </c>
      <c r="C218" s="1404" t="s">
        <v>49</v>
      </c>
      <c r="D218" s="6032"/>
      <c r="E218" s="6000"/>
      <c r="F218" s="133">
        <f>+F142/F$143*100</f>
        <v>0</v>
      </c>
      <c r="G218" s="6000"/>
      <c r="H218" s="133">
        <f>+H142/H$143*100</f>
        <v>0</v>
      </c>
      <c r="I218" s="6042"/>
      <c r="J218" s="108">
        <f>+J142/J$143*100</f>
        <v>0</v>
      </c>
      <c r="K218" s="6000"/>
      <c r="L218" s="133">
        <f>+L142/L$143*100</f>
        <v>0</v>
      </c>
      <c r="M218" s="6040"/>
      <c r="N218" s="115">
        <f>+N142/N$143*100</f>
        <v>0</v>
      </c>
      <c r="O218" s="6000"/>
      <c r="P218" s="133">
        <f>+P142/P$143*100</f>
        <v>0</v>
      </c>
      <c r="Q218" s="6033"/>
      <c r="R218" s="108">
        <f>+R142/R$143*100</f>
        <v>0</v>
      </c>
      <c r="S218" s="6000"/>
      <c r="T218" s="133">
        <f>+T142/T$143*100</f>
        <v>0</v>
      </c>
      <c r="U218" s="6033"/>
      <c r="V218" s="108">
        <f>+V142/V$143*100</f>
        <v>0</v>
      </c>
      <c r="W218" s="6000"/>
      <c r="X218" s="133">
        <f>+X142/X$143*100</f>
        <v>0</v>
      </c>
      <c r="Y218" s="6012"/>
      <c r="Z218" s="356">
        <f>+Z142/Z$143*100</f>
        <v>0</v>
      </c>
      <c r="AA218" s="6015"/>
      <c r="AB218" s="474">
        <f>+AB142/AB$143*100</f>
        <v>0</v>
      </c>
      <c r="AC218" s="6000"/>
      <c r="AD218" s="133">
        <f>+AD142/AD$143*100</f>
        <v>0</v>
      </c>
      <c r="AE218" s="6009"/>
      <c r="AF218" s="108">
        <f>+AF142/AF$143*100</f>
        <v>0</v>
      </c>
      <c r="AG218" s="6000"/>
      <c r="AH218" s="133">
        <f>+AH142/AH$143*100</f>
        <v>0</v>
      </c>
      <c r="AI218" s="6009"/>
      <c r="AJ218" s="108">
        <f>+AJ142/AJ$143*100</f>
        <v>0</v>
      </c>
      <c r="AK218" s="6000"/>
      <c r="AL218" s="133">
        <f>+AL142/AL$143*100</f>
        <v>0</v>
      </c>
      <c r="AM218" s="6012"/>
      <c r="AN218" s="356">
        <f>+AN142/AN$143*100</f>
        <v>0</v>
      </c>
      <c r="AO218" s="6009"/>
      <c r="AP218" s="108">
        <f>+AP142/AP$143*100</f>
        <v>0</v>
      </c>
      <c r="AQ218" s="6000"/>
      <c r="AR218" s="133">
        <f>+AR142/AR$143*100</f>
        <v>0</v>
      </c>
      <c r="AS218" s="6009"/>
      <c r="AT218" s="108">
        <f>+AT142/AT$143*100</f>
        <v>0</v>
      </c>
      <c r="AU218" s="6000"/>
      <c r="AV218" s="133">
        <f>+AV142/AV$143*100</f>
        <v>0</v>
      </c>
      <c r="AW218" s="6009"/>
      <c r="AX218" s="108">
        <f>+AX142/AX$143*100</f>
        <v>0</v>
      </c>
      <c r="AY218" s="6000"/>
      <c r="AZ218" s="133">
        <f>+AZ142/AZ$143*100</f>
        <v>0</v>
      </c>
      <c r="BA218" s="6012"/>
      <c r="BB218" s="356">
        <f>+BB142/BB$143*100</f>
        <v>0</v>
      </c>
      <c r="BC218" s="6015"/>
      <c r="BD218" s="474">
        <f>+BD142/BD$143*100</f>
        <v>0</v>
      </c>
      <c r="BE218" s="6009"/>
      <c r="BF218" s="108">
        <f>+BF142/BF$143*100</f>
        <v>0</v>
      </c>
      <c r="BG218" s="1219"/>
      <c r="BH218" s="1219"/>
      <c r="BI218" s="1219"/>
      <c r="BJ218" s="1546"/>
      <c r="BK218" s="1546"/>
      <c r="BL218" s="26"/>
      <c r="BM218" s="26"/>
      <c r="BN218" s="26"/>
    </row>
    <row r="219" spans="2:66" ht="19.5" thickBot="1" x14ac:dyDescent="0.3">
      <c r="B219" s="1901" t="s">
        <v>608</v>
      </c>
      <c r="C219" s="736" t="s">
        <v>49</v>
      </c>
      <c r="D219" s="1440">
        <f>SUM(D216:D218)</f>
        <v>4.6777097004023185</v>
      </c>
      <c r="E219" s="1386">
        <f>SUM(E216:E218)</f>
        <v>4.7142178125375356</v>
      </c>
      <c r="F219" s="143">
        <f>SUM(F216:F218)</f>
        <v>7.217376116796455</v>
      </c>
      <c r="G219" s="1386">
        <f>SUM(G216:G218)</f>
        <v>4.7142178125375285</v>
      </c>
      <c r="H219" s="143">
        <f>SUM(H216:H218)</f>
        <v>6.3327184857152119</v>
      </c>
      <c r="I219" s="604">
        <f t="shared" ref="I219:N219" si="1030">SUM(I216:I218)</f>
        <v>4.714217812537532</v>
      </c>
      <c r="J219" s="169">
        <f t="shared" si="1030"/>
        <v>6.7669006002319749</v>
      </c>
      <c r="K219" s="1386">
        <f>SUM(K216:K218)</f>
        <v>4.6674081108428203</v>
      </c>
      <c r="L219" s="143">
        <f>SUM(L216:L218)</f>
        <v>6.5623811430271308</v>
      </c>
      <c r="M219" s="1592">
        <f t="shared" si="1030"/>
        <v>4.6989356674777838</v>
      </c>
      <c r="N219" s="1593">
        <f t="shared" si="1030"/>
        <v>6.6993447068234939</v>
      </c>
      <c r="O219" s="1386">
        <f>SUM(O216:O218)</f>
        <v>4.6674081108428132</v>
      </c>
      <c r="P219" s="143">
        <f>SUM(P216:P218)</f>
        <v>6.0333318084096197</v>
      </c>
      <c r="Q219" s="1717">
        <f t="shared" ref="Q219:R219" si="1031">SUM(Q216:Q218)</f>
        <v>4.6909826478331711</v>
      </c>
      <c r="R219" s="169">
        <f t="shared" si="1031"/>
        <v>6.5297139978708021</v>
      </c>
      <c r="S219" s="1386">
        <f>SUM(S216:S218)</f>
        <v>4.6674081108428132</v>
      </c>
      <c r="T219" s="143">
        <f>SUM(T216:T218)</f>
        <v>6.7580546965046864</v>
      </c>
      <c r="U219" s="1717">
        <f t="shared" ref="U219:V219" si="1032">SUM(U216:U218)</f>
        <v>4.6862337618374541</v>
      </c>
      <c r="V219" s="169">
        <f t="shared" si="1032"/>
        <v>6.5762913052543075</v>
      </c>
      <c r="W219" s="1386">
        <f>SUM(W216:W218)</f>
        <v>4.6972032592877282</v>
      </c>
      <c r="X219" s="143">
        <f>SUM(X216:X218)</f>
        <v>6.7551696552473786</v>
      </c>
      <c r="Y219" s="605">
        <f t="shared" ref="Y219:AF219" si="1033">SUM(Y216:Y218)</f>
        <v>4.6768780614564935</v>
      </c>
      <c r="Z219" s="355">
        <f t="shared" si="1033"/>
        <v>6.5140272690186451</v>
      </c>
      <c r="AA219" s="2391">
        <f t="shared" si="1033"/>
        <v>4.6879674347845048</v>
      </c>
      <c r="AB219" s="2318">
        <f t="shared" si="1033"/>
        <v>6.605821450682317</v>
      </c>
      <c r="AC219" s="1386">
        <f>SUM(AC216:AC218)</f>
        <v>1.7102866001085535</v>
      </c>
      <c r="AD219" s="143">
        <f>SUM(AD216:AD218)</f>
        <v>4.6199116045794071</v>
      </c>
      <c r="AE219" s="604">
        <f t="shared" si="1033"/>
        <v>4.2549146718051603</v>
      </c>
      <c r="AF219" s="169">
        <f t="shared" si="1033"/>
        <v>6.3099246468990113</v>
      </c>
      <c r="AG219" s="1386">
        <f>SUM(AG216:AG218)</f>
        <v>1.7102890434780311</v>
      </c>
      <c r="AH219" s="143">
        <f>SUM(AH216:AH218)</f>
        <v>6.2962457204974696</v>
      </c>
      <c r="AI219" s="604">
        <f t="shared" ref="AI219:AN219" si="1034">SUM(AI216:AI218)</f>
        <v>3.940965828449599</v>
      </c>
      <c r="AJ219" s="169">
        <f t="shared" si="1034"/>
        <v>6.3082598892345914</v>
      </c>
      <c r="AK219" s="1386">
        <f>SUM(AK216:AK218)</f>
        <v>1.7102890434780287</v>
      </c>
      <c r="AL219" s="143">
        <f>SUM(AL216:AL218)</f>
        <v>4.6801164029075055</v>
      </c>
      <c r="AM219" s="605">
        <f t="shared" si="1034"/>
        <v>1.7102882201687633</v>
      </c>
      <c r="AN219" s="355">
        <f t="shared" si="1034"/>
        <v>5.1744247685120222</v>
      </c>
      <c r="AO219" s="604">
        <f t="shared" ref="AO219:AT219" si="1035">SUM(AO216:AO218)</f>
        <v>3.6887342506129803</v>
      </c>
      <c r="AP219" s="169">
        <f t="shared" si="1035"/>
        <v>6.1217204950721502</v>
      </c>
      <c r="AQ219" s="1386">
        <f>SUM(AQ216:AQ218)</f>
        <v>1.7102890434780287</v>
      </c>
      <c r="AR219" s="143">
        <f>SUM(AR216:AR218)</f>
        <v>4.7584467918507825</v>
      </c>
      <c r="AS219" s="604">
        <f t="shared" si="1035"/>
        <v>3.4877496457302843</v>
      </c>
      <c r="AT219" s="169">
        <f t="shared" si="1035"/>
        <v>5.9836566952867871</v>
      </c>
      <c r="AU219" s="1386">
        <f>SUM(AU216:AU218)</f>
        <v>1.7102890434780305</v>
      </c>
      <c r="AV219" s="143">
        <f>SUM(AV216:AV218)</f>
        <v>5.4395487337967072</v>
      </c>
      <c r="AW219" s="604">
        <f t="shared" ref="AW219:AX219" si="1036">SUM(AW216:AW218)</f>
        <v>3.3383638014786832</v>
      </c>
      <c r="AX219" s="169">
        <f t="shared" si="1036"/>
        <v>5.9387584951592611</v>
      </c>
      <c r="AY219" s="1386">
        <f>SUM(AY216:AY218)</f>
        <v>1.7102890434780287</v>
      </c>
      <c r="AZ219" s="143">
        <f>SUM(AZ216:AZ218)</f>
        <v>7.2513077960021644</v>
      </c>
      <c r="BA219" s="605">
        <f t="shared" ref="BA219:BF219" si="1037">SUM(BA216:BA218)</f>
        <v>1.7102890434780291</v>
      </c>
      <c r="BB219" s="355">
        <f t="shared" si="1037"/>
        <v>5.8034836584523326</v>
      </c>
      <c r="BC219" s="2391">
        <f t="shared" si="1037"/>
        <v>1.7102886272997206</v>
      </c>
      <c r="BD219" s="2318">
        <f t="shared" si="1037"/>
        <v>5.4798878950428467</v>
      </c>
      <c r="BE219" s="604">
        <f t="shared" si="1037"/>
        <v>3.1997687524942484</v>
      </c>
      <c r="BF219" s="169">
        <f t="shared" si="1037"/>
        <v>6.0447090975161117</v>
      </c>
      <c r="BG219" s="1219"/>
      <c r="BH219" s="1219"/>
      <c r="BI219" s="1219"/>
      <c r="BJ219" s="1546"/>
      <c r="BK219" s="1546"/>
      <c r="BL219" s="26"/>
      <c r="BM219" s="26"/>
      <c r="BN219" s="26"/>
    </row>
    <row r="220" spans="2:66" ht="19.5" thickBot="1" x14ac:dyDescent="0.3">
      <c r="B220" s="1901" t="s">
        <v>11</v>
      </c>
      <c r="C220" s="736" t="s">
        <v>49</v>
      </c>
      <c r="D220" s="4511">
        <f>+D215+D219</f>
        <v>100</v>
      </c>
      <c r="E220" s="4512">
        <f>+E215+E219</f>
        <v>100.00000000000001</v>
      </c>
      <c r="F220" s="140">
        <f>+F215+F219</f>
        <v>100.00000000000001</v>
      </c>
      <c r="G220" s="4512">
        <f>+G215+G219</f>
        <v>100</v>
      </c>
      <c r="H220" s="140">
        <f>+H215+H219</f>
        <v>100</v>
      </c>
      <c r="I220" s="4513">
        <f t="shared" ref="I220:N220" si="1038">+I215+I219</f>
        <v>100</v>
      </c>
      <c r="J220" s="4514">
        <f t="shared" si="1038"/>
        <v>100</v>
      </c>
      <c r="K220" s="4512">
        <f>+K215+K219</f>
        <v>99.999999999999986</v>
      </c>
      <c r="L220" s="140">
        <f>+L215+L219</f>
        <v>100</v>
      </c>
      <c r="M220" s="4515">
        <f t="shared" si="1038"/>
        <v>99.999999999999986</v>
      </c>
      <c r="N220" s="4516">
        <f t="shared" si="1038"/>
        <v>100.00000000000001</v>
      </c>
      <c r="O220" s="4512">
        <f>+O215+O219</f>
        <v>99.999999999999986</v>
      </c>
      <c r="P220" s="140">
        <f>+P215+P219</f>
        <v>99.999999999999986</v>
      </c>
      <c r="Q220" s="4517">
        <f t="shared" ref="Q220:R220" si="1039">+Q215+Q219</f>
        <v>99.999999999999986</v>
      </c>
      <c r="R220" s="4514">
        <f t="shared" si="1039"/>
        <v>99.999999999999986</v>
      </c>
      <c r="S220" s="4512">
        <f>+S215+S219</f>
        <v>99.999999999999986</v>
      </c>
      <c r="T220" s="140">
        <f>+T215+T219</f>
        <v>99.999999999999986</v>
      </c>
      <c r="U220" s="4517">
        <f t="shared" ref="U220:V220" si="1040">+U215+U219</f>
        <v>100.00000000000001</v>
      </c>
      <c r="V220" s="4514">
        <f t="shared" si="1040"/>
        <v>99.999999999999986</v>
      </c>
      <c r="W220" s="4512">
        <f>+W215+W219</f>
        <v>99.999999999999986</v>
      </c>
      <c r="X220" s="140">
        <f>+X215+X219</f>
        <v>99.999999999999972</v>
      </c>
      <c r="Y220" s="4518">
        <f t="shared" ref="Y220:AF220" si="1041">+Y215+Y219</f>
        <v>100</v>
      </c>
      <c r="Z220" s="4519">
        <f t="shared" si="1041"/>
        <v>100</v>
      </c>
      <c r="AA220" s="4520">
        <f t="shared" si="1041"/>
        <v>100.00000000000001</v>
      </c>
      <c r="AB220" s="4521">
        <f t="shared" si="1041"/>
        <v>99.999999999999986</v>
      </c>
      <c r="AC220" s="4512">
        <f>+AC215+AC219</f>
        <v>100.00000000000001</v>
      </c>
      <c r="AD220" s="140">
        <f>+AD215+AD219</f>
        <v>100</v>
      </c>
      <c r="AE220" s="4513">
        <f t="shared" si="1041"/>
        <v>100</v>
      </c>
      <c r="AF220" s="4514">
        <f t="shared" si="1041"/>
        <v>99.999999999999972</v>
      </c>
      <c r="AG220" s="4512">
        <f>+AG215+AG219</f>
        <v>100.00000000000001</v>
      </c>
      <c r="AH220" s="140">
        <f>+AH215+AH219</f>
        <v>100</v>
      </c>
      <c r="AI220" s="4513">
        <f t="shared" ref="AI220:AN220" si="1042">+AI215+AI219</f>
        <v>99.999999999999972</v>
      </c>
      <c r="AJ220" s="4514">
        <f t="shared" si="1042"/>
        <v>99.999999999999986</v>
      </c>
      <c r="AK220" s="4512">
        <f>+AK215+AK219</f>
        <v>100.00000000000001</v>
      </c>
      <c r="AL220" s="140">
        <f>+AL215+AL219</f>
        <v>99.999999999999972</v>
      </c>
      <c r="AM220" s="605">
        <f t="shared" si="1042"/>
        <v>100</v>
      </c>
      <c r="AN220" s="355">
        <f t="shared" si="1042"/>
        <v>100</v>
      </c>
      <c r="AO220" s="604">
        <f t="shared" ref="AO220:AT220" si="1043">+AO215+AO219</f>
        <v>99.999999999999972</v>
      </c>
      <c r="AP220" s="169">
        <f t="shared" si="1043"/>
        <v>100.00000000000001</v>
      </c>
      <c r="AQ220" s="4512">
        <f>+AQ215+AQ219</f>
        <v>100.00000000000001</v>
      </c>
      <c r="AR220" s="140">
        <f>+AR215+AR219</f>
        <v>100</v>
      </c>
      <c r="AS220" s="604">
        <f t="shared" si="1043"/>
        <v>99.999999999999986</v>
      </c>
      <c r="AT220" s="169">
        <f t="shared" si="1043"/>
        <v>100</v>
      </c>
      <c r="AU220" s="4512">
        <f>+AU215+AU219</f>
        <v>100</v>
      </c>
      <c r="AV220" s="140">
        <f>+AV215+AV219</f>
        <v>100</v>
      </c>
      <c r="AW220" s="604">
        <f t="shared" ref="AW220:AX220" si="1044">+AW215+AW219</f>
        <v>100</v>
      </c>
      <c r="AX220" s="169">
        <f t="shared" si="1044"/>
        <v>99.999999999999986</v>
      </c>
      <c r="AY220" s="4512">
        <f>+AY215+AY219</f>
        <v>100.00000000000001</v>
      </c>
      <c r="AZ220" s="140">
        <f>+AZ215+AZ219</f>
        <v>100.00000000000001</v>
      </c>
      <c r="BA220" s="605">
        <f t="shared" ref="BA220:BF220" si="1045">+BA215+BA219</f>
        <v>99.999999999999986</v>
      </c>
      <c r="BB220" s="355">
        <f t="shared" si="1045"/>
        <v>99.999999999999986</v>
      </c>
      <c r="BC220" s="1387">
        <f t="shared" si="1045"/>
        <v>100.00000000000001</v>
      </c>
      <c r="BD220" s="2318">
        <f t="shared" si="1045"/>
        <v>99.999999999999986</v>
      </c>
      <c r="BE220" s="604">
        <f t="shared" si="1045"/>
        <v>100.00000000000001</v>
      </c>
      <c r="BF220" s="169">
        <f t="shared" si="1045"/>
        <v>100</v>
      </c>
      <c r="BG220" s="1219"/>
      <c r="BH220" s="1219"/>
      <c r="BI220" s="1219"/>
      <c r="BJ220" s="1546"/>
      <c r="BK220" s="1546"/>
      <c r="BL220" s="26"/>
      <c r="BM220" s="26"/>
      <c r="BN220" s="26"/>
    </row>
    <row r="221" spans="2:66" x14ac:dyDescent="0.25">
      <c r="B221" s="4"/>
      <c r="C221" s="4"/>
      <c r="D221" s="45"/>
      <c r="E221" s="112"/>
      <c r="F221" s="45"/>
      <c r="G221" s="112"/>
      <c r="H221" s="45"/>
      <c r="I221" s="112"/>
      <c r="J221" s="45"/>
      <c r="K221" s="112"/>
      <c r="L221" s="45"/>
      <c r="M221" s="112"/>
      <c r="N221" s="45"/>
      <c r="O221" s="112"/>
      <c r="P221" s="45"/>
      <c r="Q221" s="112"/>
      <c r="R221" s="45"/>
      <c r="S221" s="112"/>
      <c r="T221" s="45"/>
      <c r="U221" s="112"/>
      <c r="V221" s="45"/>
      <c r="W221" s="112"/>
      <c r="X221" s="45"/>
      <c r="Y221" s="112"/>
      <c r="Z221" s="45"/>
      <c r="AA221" s="112"/>
      <c r="AB221" s="45"/>
      <c r="AC221" s="112"/>
      <c r="AD221" s="45"/>
      <c r="AE221" s="112"/>
      <c r="AF221" s="45"/>
      <c r="AG221" s="112"/>
      <c r="AH221" s="45"/>
      <c r="AI221" s="112"/>
      <c r="AJ221" s="45"/>
      <c r="AK221" s="112"/>
      <c r="AL221" s="45"/>
      <c r="AM221" s="112"/>
      <c r="AN221" s="45"/>
      <c r="AO221" s="112"/>
      <c r="AP221" s="45"/>
      <c r="AQ221" s="112"/>
      <c r="AR221" s="45"/>
      <c r="AS221" s="112"/>
      <c r="AT221" s="45"/>
      <c r="AU221" s="112"/>
      <c r="AV221" s="45"/>
      <c r="AW221" s="112"/>
      <c r="AX221" s="45"/>
      <c r="AY221" s="112"/>
      <c r="AZ221" s="45"/>
      <c r="BA221" s="112"/>
      <c r="BB221" s="45"/>
      <c r="BC221" s="112"/>
      <c r="BD221" s="45"/>
      <c r="BE221" s="112"/>
      <c r="BF221" s="45"/>
      <c r="BG221" s="1219"/>
      <c r="BH221" s="1219"/>
      <c r="BI221" s="1219"/>
      <c r="BJ221" s="1546"/>
      <c r="BK221" s="1546"/>
      <c r="BL221" s="26"/>
      <c r="BM221" s="26"/>
      <c r="BN221" s="26"/>
    </row>
    <row r="222" spans="2:66" x14ac:dyDescent="0.25">
      <c r="B222" s="2422" t="s">
        <v>132</v>
      </c>
      <c r="C222" s="2420" t="s">
        <v>175</v>
      </c>
      <c r="D222" s="2421">
        <v>77.5</v>
      </c>
      <c r="E222" s="4056">
        <f>E12</f>
        <v>78</v>
      </c>
      <c r="F222" s="4056">
        <f t="shared" ref="F222:AX222" si="1046">F12</f>
        <v>77.83</v>
      </c>
      <c r="G222" s="4056">
        <f>G12</f>
        <v>78</v>
      </c>
      <c r="H222" s="4056">
        <f t="shared" ref="H222" si="1047">H12</f>
        <v>77.83</v>
      </c>
      <c r="I222" s="4056">
        <f t="shared" si="1046"/>
        <v>78</v>
      </c>
      <c r="J222" s="4056">
        <f t="shared" si="1046"/>
        <v>77.83</v>
      </c>
      <c r="K222" s="4056">
        <f>K12</f>
        <v>74</v>
      </c>
      <c r="L222" s="4056">
        <f t="shared" ref="L222:L223" si="1048">L12</f>
        <v>76</v>
      </c>
      <c r="M222" s="4056">
        <f t="shared" si="1046"/>
        <v>76.681318681318686</v>
      </c>
      <c r="N222" s="4056">
        <f t="shared" si="1046"/>
        <v>77.226703296703292</v>
      </c>
      <c r="O222" s="4056">
        <f>O12</f>
        <v>74</v>
      </c>
      <c r="P222" s="4056">
        <f t="shared" ref="P222:P223" si="1049">P12</f>
        <v>74.930000000000007</v>
      </c>
      <c r="Q222" s="4056">
        <f t="shared" si="1046"/>
        <v>76</v>
      </c>
      <c r="R222" s="4056">
        <f t="shared" si="1046"/>
        <v>76.643114754098349</v>
      </c>
      <c r="S222" s="4056">
        <f>S12</f>
        <v>74</v>
      </c>
      <c r="T222" s="4056">
        <f t="shared" ref="T222:T223" si="1050">T12</f>
        <v>77.7</v>
      </c>
      <c r="U222" s="4056">
        <f t="shared" si="1046"/>
        <v>75.59477124183006</v>
      </c>
      <c r="V222" s="4056">
        <f t="shared" si="1046"/>
        <v>76.857254901960786</v>
      </c>
      <c r="W222" s="4056">
        <f>W12</f>
        <v>74</v>
      </c>
      <c r="X222" s="4056">
        <f t="shared" ref="X222:X223" si="1051">X12</f>
        <v>77.8</v>
      </c>
      <c r="Y222" s="4056">
        <f t="shared" si="1046"/>
        <v>74</v>
      </c>
      <c r="Z222" s="4056">
        <f t="shared" si="1046"/>
        <v>76.799239130434785</v>
      </c>
      <c r="AA222" s="4056">
        <f t="shared" si="1046"/>
        <v>75.333333333333329</v>
      </c>
      <c r="AB222" s="4056">
        <f t="shared" si="1046"/>
        <v>77.011803278688518</v>
      </c>
      <c r="AC222" s="4056">
        <f t="shared" si="1046"/>
        <v>76</v>
      </c>
      <c r="AD222" s="4056">
        <f t="shared" si="1046"/>
        <v>77.83</v>
      </c>
      <c r="AE222" s="4056">
        <f t="shared" si="1046"/>
        <v>75.429906542056074</v>
      </c>
      <c r="AF222" s="4056">
        <f t="shared" si="1046"/>
        <v>77.130327102803733</v>
      </c>
      <c r="AG222" s="4056">
        <f t="shared" si="1046"/>
        <v>76</v>
      </c>
      <c r="AH222" s="4056">
        <f t="shared" si="1046"/>
        <v>77.8</v>
      </c>
      <c r="AI222" s="4056">
        <f t="shared" si="1046"/>
        <v>75.5</v>
      </c>
      <c r="AJ222" s="4056">
        <f t="shared" si="1046"/>
        <v>77.212663934426232</v>
      </c>
      <c r="AK222" s="4056">
        <f t="shared" si="1046"/>
        <v>76</v>
      </c>
      <c r="AL222" s="4056">
        <f t="shared" si="1046"/>
        <v>77.8</v>
      </c>
      <c r="AM222" s="4056">
        <f t="shared" si="1046"/>
        <v>76</v>
      </c>
      <c r="AN222" s="4056">
        <f t="shared" si="1046"/>
        <v>77.810108695652161</v>
      </c>
      <c r="AO222" s="4056">
        <f t="shared" si="1046"/>
        <v>75.556363636363642</v>
      </c>
      <c r="AP222" s="4056">
        <f t="shared" si="1046"/>
        <v>77.278872727272727</v>
      </c>
      <c r="AQ222" s="4056">
        <f t="shared" si="1046"/>
        <v>76</v>
      </c>
      <c r="AR222" s="4056">
        <f t="shared" si="1046"/>
        <v>77.8</v>
      </c>
      <c r="AS222" s="4056">
        <f t="shared" si="1046"/>
        <v>75.601307189542482</v>
      </c>
      <c r="AT222" s="4056">
        <f t="shared" si="1046"/>
        <v>77.331666666666663</v>
      </c>
      <c r="AU222" s="4056">
        <f t="shared" si="1046"/>
        <v>76</v>
      </c>
      <c r="AV222" s="4056">
        <f t="shared" si="1046"/>
        <v>77.819999999999993</v>
      </c>
      <c r="AW222" s="4056">
        <f t="shared" si="1046"/>
        <v>75.634730538922156</v>
      </c>
      <c r="AX222" s="4056">
        <f t="shared" si="1046"/>
        <v>77.372604790419146</v>
      </c>
      <c r="AY222" s="4056">
        <f t="shared" ref="AY222:AZ222" si="1052">AY12</f>
        <v>76</v>
      </c>
      <c r="AZ222" s="4056">
        <f t="shared" si="1052"/>
        <v>77.83</v>
      </c>
      <c r="BA222" s="2421">
        <v>77.5</v>
      </c>
      <c r="BB222" s="2421">
        <v>77.5</v>
      </c>
      <c r="BC222" s="2421">
        <v>77.5</v>
      </c>
      <c r="BD222" s="2421">
        <v>77.5</v>
      </c>
      <c r="BE222" s="2421">
        <v>77.5</v>
      </c>
      <c r="BF222" s="2421">
        <v>77.5</v>
      </c>
      <c r="BG222" s="1219"/>
      <c r="BH222" s="1219"/>
      <c r="BI222" s="1219"/>
      <c r="BJ222" s="1546"/>
      <c r="BK222" s="1546"/>
      <c r="BL222" s="26"/>
      <c r="BM222" s="26"/>
      <c r="BN222" s="26"/>
    </row>
    <row r="223" spans="2:66" x14ac:dyDescent="0.25">
      <c r="B223" s="2422" t="s">
        <v>133</v>
      </c>
      <c r="C223" s="2420" t="s">
        <v>175</v>
      </c>
      <c r="D223" s="2421">
        <v>73.5</v>
      </c>
      <c r="E223" s="4056">
        <f>E13</f>
        <v>73.3</v>
      </c>
      <c r="F223" s="4056">
        <f t="shared" ref="F223:AX223" si="1053">F13</f>
        <v>74</v>
      </c>
      <c r="G223" s="4056">
        <f>G13</f>
        <v>73.3</v>
      </c>
      <c r="H223" s="4056">
        <f t="shared" ref="H223" si="1054">H13</f>
        <v>74</v>
      </c>
      <c r="I223" s="4056">
        <f t="shared" si="1053"/>
        <v>73.299999999999983</v>
      </c>
      <c r="J223" s="4056">
        <f t="shared" si="1053"/>
        <v>74</v>
      </c>
      <c r="K223" s="4056">
        <f>K13</f>
        <v>73.3</v>
      </c>
      <c r="L223" s="4056">
        <f t="shared" si="1048"/>
        <v>74</v>
      </c>
      <c r="M223" s="4056">
        <f t="shared" si="1053"/>
        <v>73.3</v>
      </c>
      <c r="N223" s="4056">
        <f t="shared" si="1053"/>
        <v>74</v>
      </c>
      <c r="O223" s="4056">
        <f>O13</f>
        <v>73.3</v>
      </c>
      <c r="P223" s="4056">
        <f t="shared" si="1049"/>
        <v>74</v>
      </c>
      <c r="Q223" s="4056">
        <f t="shared" si="1053"/>
        <v>73.3</v>
      </c>
      <c r="R223" s="4056">
        <f t="shared" si="1053"/>
        <v>74</v>
      </c>
      <c r="S223" s="4056">
        <f>S13</f>
        <v>73.3</v>
      </c>
      <c r="T223" s="4056">
        <f t="shared" si="1050"/>
        <v>74</v>
      </c>
      <c r="U223" s="4056">
        <f t="shared" si="1053"/>
        <v>73.3</v>
      </c>
      <c r="V223" s="4056">
        <f t="shared" si="1053"/>
        <v>74</v>
      </c>
      <c r="W223" s="4056">
        <f>W13</f>
        <v>73.3</v>
      </c>
      <c r="X223" s="4056">
        <f t="shared" si="1051"/>
        <v>74</v>
      </c>
      <c r="Y223" s="4056">
        <f t="shared" si="1053"/>
        <v>73.3</v>
      </c>
      <c r="Z223" s="4056">
        <f t="shared" si="1053"/>
        <v>74</v>
      </c>
      <c r="AA223" s="4056">
        <f t="shared" si="1053"/>
        <v>73.3</v>
      </c>
      <c r="AB223" s="4056">
        <f t="shared" si="1053"/>
        <v>74</v>
      </c>
      <c r="AC223" s="4056">
        <f t="shared" si="1053"/>
        <v>73.5</v>
      </c>
      <c r="AD223" s="4056">
        <f t="shared" si="1053"/>
        <v>74</v>
      </c>
      <c r="AE223" s="4056">
        <f t="shared" si="1053"/>
        <v>73.328971962616819</v>
      </c>
      <c r="AF223" s="4056">
        <f t="shared" si="1053"/>
        <v>74</v>
      </c>
      <c r="AG223" s="4056">
        <f t="shared" si="1053"/>
        <v>73.5</v>
      </c>
      <c r="AH223" s="4056">
        <f t="shared" si="1053"/>
        <v>74</v>
      </c>
      <c r="AI223" s="4056">
        <f t="shared" si="1053"/>
        <v>73.350000000000009</v>
      </c>
      <c r="AJ223" s="4056">
        <f t="shared" si="1053"/>
        <v>74</v>
      </c>
      <c r="AK223" s="4056">
        <f t="shared" si="1053"/>
        <v>73.5</v>
      </c>
      <c r="AL223" s="4056">
        <f t="shared" si="1053"/>
        <v>74</v>
      </c>
      <c r="AM223" s="4056">
        <f t="shared" si="1053"/>
        <v>73.5</v>
      </c>
      <c r="AN223" s="4056">
        <f t="shared" si="1053"/>
        <v>74</v>
      </c>
      <c r="AO223" s="4056">
        <f t="shared" si="1053"/>
        <v>73.36690909090909</v>
      </c>
      <c r="AP223" s="4056">
        <f t="shared" si="1053"/>
        <v>74</v>
      </c>
      <c r="AQ223" s="4056">
        <f t="shared" si="1053"/>
        <v>73.5</v>
      </c>
      <c r="AR223" s="4056">
        <f t="shared" si="1053"/>
        <v>74</v>
      </c>
      <c r="AS223" s="4056">
        <f t="shared" si="1053"/>
        <v>73.380392156862754</v>
      </c>
      <c r="AT223" s="4056">
        <f t="shared" si="1053"/>
        <v>74</v>
      </c>
      <c r="AU223" s="4056">
        <f t="shared" si="1053"/>
        <v>73.5</v>
      </c>
      <c r="AV223" s="4056">
        <f t="shared" si="1053"/>
        <v>74</v>
      </c>
      <c r="AW223" s="4056">
        <f t="shared" si="1053"/>
        <v>73.390419161676647</v>
      </c>
      <c r="AX223" s="4056">
        <f t="shared" si="1053"/>
        <v>74</v>
      </c>
      <c r="AY223" s="4056">
        <f t="shared" ref="AY223:AZ223" si="1055">AY13</f>
        <v>73.5</v>
      </c>
      <c r="AZ223" s="4056">
        <f t="shared" si="1055"/>
        <v>74</v>
      </c>
      <c r="BA223" s="2421">
        <v>73.5</v>
      </c>
      <c r="BB223" s="2421">
        <v>73.5</v>
      </c>
      <c r="BC223" s="2421">
        <v>73.5</v>
      </c>
      <c r="BD223" s="2421">
        <v>73.5</v>
      </c>
      <c r="BE223" s="2421">
        <v>73.5</v>
      </c>
      <c r="BF223" s="2421">
        <v>73.5</v>
      </c>
      <c r="BG223" s="1219"/>
      <c r="BH223" s="1219"/>
      <c r="BI223" s="1219"/>
      <c r="BJ223" s="1546"/>
      <c r="BK223" s="1546"/>
    </row>
    <row r="224" spans="2:66" ht="15.75" thickBot="1" x14ac:dyDescent="0.3">
      <c r="E224"/>
      <c r="F224"/>
      <c r="G224"/>
      <c r="H224"/>
      <c r="K224"/>
      <c r="L224"/>
      <c r="O224"/>
      <c r="P224"/>
      <c r="S224"/>
      <c r="V224" s="93"/>
      <c r="BG224" s="1219"/>
      <c r="BH224" s="1219"/>
      <c r="BI224" s="1219"/>
      <c r="BJ224" s="1546"/>
      <c r="BK224" s="1546"/>
    </row>
    <row r="225" spans="2:63" ht="19.5" thickBot="1" x14ac:dyDescent="0.3">
      <c r="B225" s="2714" t="s">
        <v>1847</v>
      </c>
      <c r="C225" s="2714" t="s">
        <v>175</v>
      </c>
      <c r="D225" s="4507"/>
      <c r="E225" s="4508"/>
      <c r="F225" s="4506">
        <v>21</v>
      </c>
      <c r="G225" s="4508"/>
      <c r="H225" s="4506">
        <v>12</v>
      </c>
      <c r="I225" s="4509"/>
      <c r="J225" s="4506">
        <f>F225+H225</f>
        <v>33</v>
      </c>
      <c r="K225" s="4508"/>
      <c r="L225" s="4506">
        <v>0</v>
      </c>
      <c r="M225" s="4509"/>
      <c r="N225" s="4506">
        <f>+L225+H225+F225</f>
        <v>33</v>
      </c>
      <c r="O225" s="4508"/>
      <c r="P225" s="4506">
        <v>0</v>
      </c>
      <c r="Q225" s="4509"/>
      <c r="R225" s="4510">
        <f>N225+P225</f>
        <v>33</v>
      </c>
      <c r="S225" s="4508"/>
      <c r="T225" s="4506">
        <v>0</v>
      </c>
      <c r="U225" s="4509"/>
      <c r="V225" s="4510">
        <f>R225+T225</f>
        <v>33</v>
      </c>
      <c r="W225" s="4508"/>
      <c r="X225" s="4506">
        <v>89</v>
      </c>
      <c r="Y225" s="4508"/>
      <c r="Z225" s="4508">
        <f>+P225+T225+X225</f>
        <v>89</v>
      </c>
      <c r="AA225" s="4508"/>
      <c r="AB225" s="4508">
        <f>+N225+Z225</f>
        <v>122</v>
      </c>
      <c r="AC225" s="4508"/>
      <c r="AD225" s="4506">
        <v>66</v>
      </c>
      <c r="AE225" s="4508"/>
      <c r="AF225" s="4508">
        <f t="shared" ref="AF225" si="1056">+AB225+AD225</f>
        <v>188</v>
      </c>
      <c r="AG225" s="4508"/>
      <c r="AH225" s="4506">
        <v>387</v>
      </c>
      <c r="AI225" s="4508"/>
      <c r="AJ225" s="4508">
        <f>+AB225+AD225+AH225</f>
        <v>575</v>
      </c>
      <c r="AK225" s="4508"/>
      <c r="AL225" s="4506">
        <v>30</v>
      </c>
      <c r="AM225" s="4508"/>
      <c r="AN225" s="4508">
        <f>+AD225+AH225+AL225</f>
        <v>483</v>
      </c>
      <c r="AO225" s="2715"/>
      <c r="AP225" s="4508">
        <f>AJ225+AL225</f>
        <v>605</v>
      </c>
      <c r="AQ225" s="4508"/>
      <c r="AR225" s="4506">
        <v>77</v>
      </c>
      <c r="AS225" s="2715"/>
      <c r="AT225" s="4508">
        <f>AP225+AR225</f>
        <v>682</v>
      </c>
      <c r="AU225" s="4508"/>
      <c r="AV225" s="4506">
        <v>55</v>
      </c>
      <c r="AW225" s="2715"/>
      <c r="AX225" s="4508">
        <f>AT225+AV225</f>
        <v>737</v>
      </c>
      <c r="AY225" s="4508"/>
      <c r="AZ225" s="4506">
        <v>112</v>
      </c>
      <c r="BA225" s="2715"/>
      <c r="BB225" s="4506">
        <f>+AR225+AV225+AZ225</f>
        <v>244</v>
      </c>
      <c r="BC225" s="4506"/>
      <c r="BD225" s="4506">
        <f>+AN225+BB225</f>
        <v>727</v>
      </c>
      <c r="BE225" s="2715"/>
      <c r="BF225" s="4506">
        <f>AZ225+AX225</f>
        <v>849</v>
      </c>
      <c r="BG225" s="1219"/>
      <c r="BH225" s="1219"/>
      <c r="BI225" s="1219"/>
      <c r="BJ225" s="1546"/>
      <c r="BK225" s="1546"/>
    </row>
    <row r="226" spans="2:63" x14ac:dyDescent="0.25">
      <c r="E226"/>
      <c r="F226"/>
      <c r="G226"/>
      <c r="H226"/>
      <c r="K226"/>
      <c r="L226"/>
      <c r="T226" s="93"/>
      <c r="V226" s="93"/>
      <c r="W226" s="87"/>
      <c r="X226" s="93"/>
    </row>
    <row r="227" spans="2:63" x14ac:dyDescent="0.25">
      <c r="E227"/>
      <c r="F227"/>
      <c r="G227"/>
      <c r="H227"/>
      <c r="K227"/>
      <c r="L227"/>
      <c r="T227" s="93"/>
      <c r="V227" s="93"/>
      <c r="W227" s="87"/>
      <c r="X227" s="93"/>
    </row>
    <row r="228" spans="2:63" x14ac:dyDescent="0.25">
      <c r="E228"/>
      <c r="F228"/>
      <c r="G228"/>
      <c r="H228"/>
      <c r="K228"/>
      <c r="L228"/>
      <c r="T228" s="93"/>
      <c r="V228" s="93"/>
      <c r="W228" s="87"/>
      <c r="X228" s="93"/>
    </row>
    <row r="229" spans="2:63" x14ac:dyDescent="0.25">
      <c r="E229"/>
      <c r="F229"/>
      <c r="G229"/>
      <c r="H229"/>
      <c r="K229"/>
      <c r="L229"/>
      <c r="T229" s="93"/>
      <c r="V229" s="93"/>
      <c r="W229" s="87"/>
      <c r="X229" s="93"/>
    </row>
    <row r="230" spans="2:63" x14ac:dyDescent="0.25">
      <c r="E230"/>
      <c r="F230"/>
      <c r="G230"/>
      <c r="H230"/>
      <c r="K230"/>
      <c r="L230"/>
      <c r="T230" s="93"/>
      <c r="V230" s="93"/>
      <c r="W230" s="87"/>
      <c r="X230" s="93"/>
    </row>
    <row r="231" spans="2:63" x14ac:dyDescent="0.25">
      <c r="E231"/>
      <c r="F231"/>
      <c r="G231"/>
      <c r="H231"/>
      <c r="K231"/>
      <c r="L231"/>
      <c r="T231" s="93"/>
      <c r="V231" s="93"/>
      <c r="W231" s="87"/>
      <c r="X231" s="93"/>
    </row>
    <row r="232" spans="2:63" x14ac:dyDescent="0.25">
      <c r="E232"/>
      <c r="F232"/>
      <c r="G232"/>
      <c r="H232"/>
      <c r="K232"/>
      <c r="L232"/>
      <c r="T232" s="93"/>
      <c r="V232" s="93"/>
      <c r="W232" s="87"/>
      <c r="X232" s="93"/>
    </row>
    <row r="233" spans="2:63" x14ac:dyDescent="0.25">
      <c r="E233"/>
      <c r="F233"/>
      <c r="G233"/>
      <c r="H233"/>
      <c r="K233"/>
      <c r="L233"/>
      <c r="T233" s="93"/>
      <c r="V233" s="93"/>
      <c r="W233" s="87"/>
      <c r="X233" s="93"/>
    </row>
    <row r="234" spans="2:63" x14ac:dyDescent="0.25">
      <c r="E234"/>
      <c r="F234"/>
      <c r="G234"/>
      <c r="H234"/>
      <c r="T234" s="93"/>
      <c r="V234" s="93"/>
      <c r="W234" s="87"/>
      <c r="X234" s="93"/>
    </row>
    <row r="235" spans="2:63" x14ac:dyDescent="0.25">
      <c r="E235"/>
      <c r="F235"/>
      <c r="G235"/>
      <c r="H235"/>
      <c r="T235" s="93"/>
      <c r="V235" s="93"/>
      <c r="W235" s="87"/>
      <c r="X235" s="93"/>
    </row>
    <row r="236" spans="2:63" x14ac:dyDescent="0.25">
      <c r="E236"/>
      <c r="F236"/>
      <c r="G236"/>
      <c r="H236"/>
      <c r="T236" s="93"/>
      <c r="V236" s="93"/>
      <c r="W236" s="87"/>
      <c r="X236" s="93"/>
    </row>
    <row r="237" spans="2:63" x14ac:dyDescent="0.25">
      <c r="E237"/>
      <c r="F237"/>
      <c r="G237"/>
      <c r="H237"/>
      <c r="T237" s="93"/>
      <c r="V237" s="93"/>
      <c r="W237" s="87"/>
      <c r="X237" s="93"/>
    </row>
    <row r="238" spans="2:63" x14ac:dyDescent="0.25">
      <c r="E238"/>
      <c r="F238"/>
      <c r="G238"/>
      <c r="H238"/>
      <c r="T238" s="93"/>
      <c r="V238" s="93"/>
      <c r="W238" s="87"/>
      <c r="X238" s="93"/>
    </row>
    <row r="239" spans="2:63" x14ac:dyDescent="0.25">
      <c r="T239" s="93"/>
      <c r="V239" s="93"/>
      <c r="W239" s="87"/>
      <c r="X239" s="93"/>
    </row>
    <row r="240" spans="2:63" x14ac:dyDescent="0.25">
      <c r="T240" s="93"/>
      <c r="V240" s="93"/>
      <c r="W240" s="87"/>
      <c r="X240" s="93"/>
    </row>
    <row r="241" spans="20:24" x14ac:dyDescent="0.25">
      <c r="T241" s="93"/>
      <c r="V241" s="93"/>
      <c r="W241" s="87"/>
      <c r="X241" s="93"/>
    </row>
    <row r="242" spans="20:24" x14ac:dyDescent="0.25">
      <c r="T242" s="93"/>
      <c r="V242" s="93"/>
      <c r="W242" s="87"/>
      <c r="X242" s="93"/>
    </row>
    <row r="243" spans="20:24" x14ac:dyDescent="0.25">
      <c r="T243" s="93"/>
      <c r="V243" s="93"/>
    </row>
    <row r="244" spans="20:24" x14ac:dyDescent="0.25">
      <c r="T244" s="93"/>
      <c r="V244" s="93"/>
    </row>
    <row r="245" spans="20:24" x14ac:dyDescent="0.25">
      <c r="T245" s="93"/>
      <c r="V245" s="93"/>
    </row>
  </sheetData>
  <mergeCells count="142"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</mergeCells>
  <printOptions horizontalCentered="1" verticalCentered="1"/>
  <pageMargins left="0" right="0" top="0" bottom="0" header="0.31496062992125984" footer="0.31496062992125984"/>
  <pageSetup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CC99FF"/>
    <pageSetUpPr fitToPage="1"/>
  </sheetPr>
  <dimension ref="B1:BU67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BH19" sqref="BH19"/>
    </sheetView>
  </sheetViews>
  <sheetFormatPr defaultRowHeight="15" x14ac:dyDescent="0.25"/>
  <cols>
    <col min="1" max="1" width="3.5703125" customWidth="1"/>
    <col min="2" max="2" width="32.140625" bestFit="1" customWidth="1"/>
    <col min="3" max="3" width="53.5703125" style="261" bestFit="1" customWidth="1"/>
    <col min="4" max="4" width="7.28515625" style="261" hidden="1" customWidth="1"/>
    <col min="5" max="5" width="15" style="261" customWidth="1"/>
    <col min="6" max="6" width="6.7109375" style="261" hidden="1" customWidth="1"/>
    <col min="7" max="7" width="13.140625" style="261" customWidth="1"/>
    <col min="8" max="8" width="6.7109375" style="261" hidden="1" customWidth="1"/>
    <col min="9" max="9" width="15.5703125" style="261" hidden="1" customWidth="1"/>
    <col min="10" max="10" width="6.7109375" style="261" hidden="1" customWidth="1"/>
    <col min="11" max="11" width="9.85546875" style="261" customWidth="1"/>
    <col min="12" max="12" width="6.7109375" style="261" hidden="1" customWidth="1"/>
    <col min="13" max="13" width="10.28515625" customWidth="1"/>
    <col min="14" max="14" width="6.7109375" hidden="1" customWidth="1"/>
    <col min="15" max="15" width="11" customWidth="1"/>
    <col min="16" max="16" width="6.7109375" hidden="1" customWidth="1"/>
    <col min="17" max="17" width="15.5703125" hidden="1" customWidth="1"/>
    <col min="18" max="18" width="9.85546875" hidden="1" customWidth="1"/>
    <col min="19" max="19" width="9.85546875" customWidth="1"/>
    <col min="20" max="20" width="11.28515625" hidden="1" customWidth="1"/>
    <col min="21" max="21" width="10.28515625" hidden="1" customWidth="1"/>
    <col min="22" max="22" width="9.85546875" hidden="1" customWidth="1"/>
    <col min="23" max="23" width="9.85546875" customWidth="1"/>
    <col min="24" max="24" width="9.85546875" hidden="1" customWidth="1"/>
    <col min="25" max="25" width="10.28515625" customWidth="1"/>
    <col min="26" max="26" width="11.28515625" hidden="1" customWidth="1"/>
    <col min="27" max="27" width="10.28515625" customWidth="1"/>
    <col min="28" max="29" width="9.85546875" hidden="1" customWidth="1"/>
    <col min="30" max="30" width="11.28515625" hidden="1" customWidth="1"/>
    <col min="31" max="31" width="10.28515625" hidden="1" customWidth="1"/>
    <col min="32" max="32" width="11.28515625" hidden="1" customWidth="1"/>
    <col min="33" max="33" width="9.85546875" hidden="1" customWidth="1"/>
    <col min="34" max="34" width="11.28515625" hidden="1" customWidth="1"/>
    <col min="35" max="35" width="10.28515625" hidden="1" customWidth="1"/>
    <col min="36" max="36" width="8.85546875" hidden="1" customWidth="1"/>
    <col min="37" max="38" width="9.85546875" hidden="1" customWidth="1"/>
    <col min="39" max="39" width="10.28515625" hidden="1" customWidth="1"/>
    <col min="40" max="40" width="8.85546875" hidden="1" customWidth="1"/>
    <col min="41" max="41" width="12.5703125" hidden="1" customWidth="1"/>
    <col min="42" max="42" width="9.140625" hidden="1" customWidth="1"/>
    <col min="43" max="43" width="9.85546875" hidden="1" customWidth="1"/>
    <col min="44" max="44" width="9.140625" hidden="1" customWidth="1"/>
    <col min="45" max="45" width="11" hidden="1" customWidth="1"/>
    <col min="46" max="46" width="9.140625" hidden="1" customWidth="1"/>
    <col min="47" max="47" width="9.85546875" hidden="1" customWidth="1"/>
    <col min="48" max="48" width="9.140625" hidden="1" customWidth="1"/>
    <col min="49" max="49" width="10.28515625" hidden="1" customWidth="1"/>
    <col min="50" max="50" width="9.140625" hidden="1" customWidth="1"/>
    <col min="51" max="51" width="9.85546875" hidden="1" customWidth="1"/>
    <col min="52" max="52" width="9.140625" hidden="1" customWidth="1"/>
    <col min="53" max="53" width="10.28515625" hidden="1" customWidth="1"/>
    <col min="54" max="54" width="9.140625" hidden="1" customWidth="1"/>
    <col min="55" max="55" width="10.28515625" hidden="1" customWidth="1"/>
    <col min="56" max="56" width="9.140625" hidden="1" customWidth="1"/>
    <col min="57" max="57" width="10.28515625" hidden="1" customWidth="1"/>
    <col min="58" max="58" width="12" bestFit="1" customWidth="1"/>
  </cols>
  <sheetData>
    <row r="1" spans="2:71" ht="14.45" x14ac:dyDescent="0.3">
      <c r="C1"/>
      <c r="D1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2:71" ht="14.45" x14ac:dyDescent="0.3">
      <c r="C2"/>
      <c r="D2"/>
      <c r="E2"/>
      <c r="F2"/>
      <c r="G2"/>
      <c r="H2"/>
      <c r="I2"/>
      <c r="J2"/>
      <c r="K2"/>
      <c r="L2"/>
    </row>
    <row r="3" spans="2:71" s="149" customFormat="1" ht="17.45" x14ac:dyDescent="0.3">
      <c r="B3" s="184"/>
      <c r="C3" s="2101" t="s">
        <v>171</v>
      </c>
      <c r="D3" s="6052" t="s">
        <v>2190</v>
      </c>
      <c r="E3" s="6053"/>
      <c r="F3" s="6049" t="s">
        <v>2242</v>
      </c>
      <c r="G3" s="6049"/>
      <c r="H3" s="6047" t="s">
        <v>14</v>
      </c>
      <c r="I3" s="6047"/>
      <c r="J3" s="6049" t="s">
        <v>2273</v>
      </c>
      <c r="K3" s="6049"/>
      <c r="L3" s="6050" t="s">
        <v>637</v>
      </c>
      <c r="M3" s="6050"/>
      <c r="N3" s="6046" t="s">
        <v>2297</v>
      </c>
      <c r="O3" s="6046"/>
      <c r="P3" s="6047" t="s">
        <v>17</v>
      </c>
      <c r="Q3" s="6047"/>
      <c r="R3" s="6046" t="s">
        <v>2299</v>
      </c>
      <c r="S3" s="6046"/>
      <c r="T3" s="6047" t="s">
        <v>18</v>
      </c>
      <c r="U3" s="6047"/>
      <c r="V3" s="6046" t="s">
        <v>2344</v>
      </c>
      <c r="W3" s="6046"/>
      <c r="X3" s="3371"/>
      <c r="Y3" s="2080" t="s">
        <v>1987</v>
      </c>
      <c r="Z3" s="6048" t="s">
        <v>657</v>
      </c>
      <c r="AA3" s="6048"/>
      <c r="AB3" s="6046" t="s">
        <v>1954</v>
      </c>
      <c r="AC3" s="6046"/>
      <c r="AD3" s="6047" t="s">
        <v>24</v>
      </c>
      <c r="AE3" s="6047"/>
      <c r="AF3" s="6046" t="s">
        <v>1970</v>
      </c>
      <c r="AG3" s="6046"/>
      <c r="AH3" s="6047" t="s">
        <v>27</v>
      </c>
      <c r="AI3" s="6047"/>
      <c r="AJ3" s="6046" t="s">
        <v>1985</v>
      </c>
      <c r="AK3" s="6046"/>
      <c r="AL3" s="3371"/>
      <c r="AM3" s="2080" t="s">
        <v>1988</v>
      </c>
      <c r="AN3" s="6047" t="s">
        <v>1666</v>
      </c>
      <c r="AO3" s="6047"/>
      <c r="AP3" s="6046" t="s">
        <v>2085</v>
      </c>
      <c r="AQ3" s="6046"/>
      <c r="AR3" s="6047" t="s">
        <v>28</v>
      </c>
      <c r="AS3" s="6047"/>
      <c r="AT3" s="6046" t="s">
        <v>2099</v>
      </c>
      <c r="AU3" s="6046"/>
      <c r="AV3" s="6047" t="s">
        <v>30</v>
      </c>
      <c r="AW3" s="6047"/>
      <c r="AX3" s="6046" t="s">
        <v>2111</v>
      </c>
      <c r="AY3" s="6046"/>
      <c r="AZ3" s="3371"/>
      <c r="BA3" s="2080" t="s">
        <v>2114</v>
      </c>
      <c r="BB3" s="6048" t="s">
        <v>671</v>
      </c>
      <c r="BC3" s="6048"/>
      <c r="BD3" s="6047" t="s">
        <v>1745</v>
      </c>
      <c r="BE3" s="6047"/>
      <c r="BF3"/>
      <c r="BG3"/>
      <c r="BH3"/>
      <c r="BI3"/>
      <c r="BJ3"/>
      <c r="BK3"/>
      <c r="BL3"/>
      <c r="BM3"/>
      <c r="BN3"/>
      <c r="BO3"/>
      <c r="BP3"/>
      <c r="BQ3"/>
      <c r="BR3"/>
      <c r="BS3"/>
    </row>
    <row r="4" spans="2:71" ht="18.75" x14ac:dyDescent="0.3">
      <c r="B4" s="6063" t="s">
        <v>1582</v>
      </c>
      <c r="C4" s="2097"/>
      <c r="D4" s="1017" t="s">
        <v>173</v>
      </c>
      <c r="E4" s="1017" t="s">
        <v>174</v>
      </c>
      <c r="F4" s="1017" t="s">
        <v>173</v>
      </c>
      <c r="G4" s="1017" t="s">
        <v>174</v>
      </c>
      <c r="H4" s="2081" t="s">
        <v>173</v>
      </c>
      <c r="I4" s="2081" t="s">
        <v>174</v>
      </c>
      <c r="J4" s="270" t="s">
        <v>173</v>
      </c>
      <c r="K4" s="1017" t="s">
        <v>174</v>
      </c>
      <c r="L4" s="2080" t="s">
        <v>173</v>
      </c>
      <c r="M4" s="2080" t="s">
        <v>174</v>
      </c>
      <c r="N4" s="270" t="s">
        <v>173</v>
      </c>
      <c r="O4" s="1017" t="s">
        <v>174</v>
      </c>
      <c r="P4" s="2081" t="s">
        <v>173</v>
      </c>
      <c r="Q4" s="2081" t="s">
        <v>174</v>
      </c>
      <c r="R4" s="270" t="s">
        <v>173</v>
      </c>
      <c r="S4" s="1017" t="s">
        <v>174</v>
      </c>
      <c r="T4" s="2081" t="s">
        <v>173</v>
      </c>
      <c r="U4" s="2081" t="s">
        <v>174</v>
      </c>
      <c r="V4" s="270" t="s">
        <v>173</v>
      </c>
      <c r="W4" s="1017" t="s">
        <v>174</v>
      </c>
      <c r="X4" s="3013"/>
      <c r="Y4" s="2080" t="s">
        <v>174</v>
      </c>
      <c r="Z4" s="2230" t="s">
        <v>173</v>
      </c>
      <c r="AA4" s="2230" t="s">
        <v>174</v>
      </c>
      <c r="AB4" s="270" t="s">
        <v>173</v>
      </c>
      <c r="AC4" s="1017" t="s">
        <v>174</v>
      </c>
      <c r="AD4" s="2081" t="s">
        <v>173</v>
      </c>
      <c r="AE4" s="2081" t="s">
        <v>174</v>
      </c>
      <c r="AF4" s="270" t="s">
        <v>173</v>
      </c>
      <c r="AG4" s="1017" t="s">
        <v>174</v>
      </c>
      <c r="AH4" s="2081" t="s">
        <v>173</v>
      </c>
      <c r="AI4" s="2081" t="s">
        <v>174</v>
      </c>
      <c r="AJ4" s="270" t="s">
        <v>173</v>
      </c>
      <c r="AK4" s="1017" t="s">
        <v>174</v>
      </c>
      <c r="AL4" s="3013"/>
      <c r="AM4" s="2080" t="s">
        <v>174</v>
      </c>
      <c r="AN4" s="2081" t="s">
        <v>173</v>
      </c>
      <c r="AO4" s="2081" t="s">
        <v>174</v>
      </c>
      <c r="AP4" s="270" t="s">
        <v>173</v>
      </c>
      <c r="AQ4" s="1017" t="s">
        <v>174</v>
      </c>
      <c r="AR4" s="2081" t="s">
        <v>173</v>
      </c>
      <c r="AS4" s="2081" t="s">
        <v>174</v>
      </c>
      <c r="AT4" s="270" t="s">
        <v>173</v>
      </c>
      <c r="AU4" s="1017" t="s">
        <v>174</v>
      </c>
      <c r="AV4" s="2081" t="s">
        <v>173</v>
      </c>
      <c r="AW4" s="2081" t="s">
        <v>174</v>
      </c>
      <c r="AX4" s="270" t="s">
        <v>173</v>
      </c>
      <c r="AY4" s="1017" t="s">
        <v>174</v>
      </c>
      <c r="AZ4" s="3013"/>
      <c r="BA4" s="2080" t="s">
        <v>174</v>
      </c>
      <c r="BB4" s="2230" t="s">
        <v>173</v>
      </c>
      <c r="BC4" s="2230" t="s">
        <v>174</v>
      </c>
      <c r="BD4" s="2081" t="s">
        <v>173</v>
      </c>
      <c r="BE4" s="2081" t="s">
        <v>174</v>
      </c>
    </row>
    <row r="5" spans="2:71" ht="18.75" x14ac:dyDescent="0.25">
      <c r="B5" s="6058"/>
      <c r="C5" s="2089" t="s">
        <v>786</v>
      </c>
      <c r="D5" s="1708"/>
      <c r="E5" s="2077">
        <v>252453</v>
      </c>
      <c r="F5" s="2077"/>
      <c r="G5" s="2077">
        <v>268159</v>
      </c>
      <c r="H5" s="2079">
        <f>+D5+F5</f>
        <v>0</v>
      </c>
      <c r="I5" s="2162">
        <f>+E5+G5</f>
        <v>520612</v>
      </c>
      <c r="J5" s="2077"/>
      <c r="K5" s="2077">
        <v>280950</v>
      </c>
      <c r="L5" s="2078">
        <f>+H5+J5</f>
        <v>0</v>
      </c>
      <c r="M5" s="2078">
        <f t="shared" ref="M5:M24" si="0">E5+G5+K5</f>
        <v>801562</v>
      </c>
      <c r="N5" s="274"/>
      <c r="O5" s="2077">
        <v>294654</v>
      </c>
      <c r="P5" s="2079">
        <f>+L5+N5</f>
        <v>0</v>
      </c>
      <c r="Q5" s="2079">
        <f>+M5+O5</f>
        <v>1096216</v>
      </c>
      <c r="R5" s="274"/>
      <c r="S5" s="2077">
        <v>284181</v>
      </c>
      <c r="T5" s="2079">
        <f>+P5+R5</f>
        <v>0</v>
      </c>
      <c r="U5" s="2079">
        <f>+Q5+S5</f>
        <v>1380397</v>
      </c>
      <c r="V5" s="274"/>
      <c r="W5" s="2077">
        <v>287145</v>
      </c>
      <c r="X5" s="3980"/>
      <c r="Y5" s="2078">
        <f>O5+S5+W5</f>
        <v>865980</v>
      </c>
      <c r="Z5" s="4740">
        <f>+T5+V5</f>
        <v>0</v>
      </c>
      <c r="AA5" s="4740">
        <f>+U5+W5</f>
        <v>1667542</v>
      </c>
      <c r="AB5" s="274"/>
      <c r="AC5" s="2077">
        <v>305051</v>
      </c>
      <c r="AD5" s="2079">
        <f>+Z5+AB5</f>
        <v>0</v>
      </c>
      <c r="AE5" s="2079">
        <f>+AA5+AC5</f>
        <v>1972593</v>
      </c>
      <c r="AF5" s="274"/>
      <c r="AG5" s="2077">
        <v>13037</v>
      </c>
      <c r="AH5" s="2079">
        <f>+AD5+AF5</f>
        <v>0</v>
      </c>
      <c r="AI5" s="2079">
        <f>+AE5+AG5</f>
        <v>1985630</v>
      </c>
      <c r="AJ5" s="274"/>
      <c r="AK5" s="2077">
        <v>289004</v>
      </c>
      <c r="AL5" s="3980"/>
      <c r="AM5" s="2078">
        <f>AC5+AG5+AK5</f>
        <v>607092</v>
      </c>
      <c r="AN5" s="2079">
        <f>+AH5+AJ5</f>
        <v>0</v>
      </c>
      <c r="AO5" s="2079">
        <f>+AI5+AK5</f>
        <v>2274634</v>
      </c>
      <c r="AP5" s="274"/>
      <c r="AQ5" s="2077">
        <v>273021</v>
      </c>
      <c r="AR5" s="2079">
        <f>+AN5+AP5</f>
        <v>0</v>
      </c>
      <c r="AS5" s="2079">
        <f>+AO5+AQ5</f>
        <v>2547655</v>
      </c>
      <c r="AT5" s="274"/>
      <c r="AU5" s="2077">
        <v>252045</v>
      </c>
      <c r="AV5" s="2079">
        <f>+AR5+AT5</f>
        <v>0</v>
      </c>
      <c r="AW5" s="2079">
        <f>+AS5+AU5</f>
        <v>2799700</v>
      </c>
      <c r="AX5" s="274"/>
      <c r="AY5" s="2077">
        <v>312025</v>
      </c>
      <c r="AZ5" s="3980"/>
      <c r="BA5" s="2078">
        <f>AQ5+AU5+AY5</f>
        <v>837091</v>
      </c>
      <c r="BB5" s="4740">
        <f>+AV5+AX5</f>
        <v>0</v>
      </c>
      <c r="BC5" s="4740">
        <f>AM5+BA5</f>
        <v>1444183</v>
      </c>
      <c r="BD5" s="2079">
        <f>+AV5+AX5</f>
        <v>0</v>
      </c>
      <c r="BE5" s="2079">
        <f>+AW5+AY5</f>
        <v>3111725</v>
      </c>
    </row>
    <row r="6" spans="2:71" ht="18.75" x14ac:dyDescent="0.25">
      <c r="B6" s="6058"/>
      <c r="C6" s="2089" t="s">
        <v>1188</v>
      </c>
      <c r="D6" s="1708"/>
      <c r="E6" s="2077">
        <v>3716</v>
      </c>
      <c r="F6" s="2077"/>
      <c r="G6" s="2077">
        <v>6799</v>
      </c>
      <c r="H6" s="2079">
        <f t="shared" ref="H6:H64" si="1">+D6+F6</f>
        <v>0</v>
      </c>
      <c r="I6" s="2162">
        <f t="shared" ref="I6:I64" si="2">+E6+G6</f>
        <v>10515</v>
      </c>
      <c r="J6" s="2077"/>
      <c r="K6" s="2077">
        <v>8611</v>
      </c>
      <c r="L6" s="2078">
        <f t="shared" ref="L6:L64" si="3">+H6+J6</f>
        <v>0</v>
      </c>
      <c r="M6" s="2078">
        <f t="shared" si="0"/>
        <v>19126</v>
      </c>
      <c r="N6" s="274"/>
      <c r="O6" s="2077">
        <v>7621</v>
      </c>
      <c r="P6" s="2079">
        <f t="shared" ref="P6:P64" si="4">+L6+N6</f>
        <v>0</v>
      </c>
      <c r="Q6" s="2079">
        <f t="shared" ref="Q6:Q7" si="5">+M6+O6</f>
        <v>26747</v>
      </c>
      <c r="R6" s="274"/>
      <c r="S6" s="2077">
        <v>7950</v>
      </c>
      <c r="T6" s="2079">
        <f t="shared" ref="T6:T19" si="6">+P6+R6</f>
        <v>0</v>
      </c>
      <c r="U6" s="2079">
        <f t="shared" ref="U6:U24" si="7">+Q6+S6</f>
        <v>34697</v>
      </c>
      <c r="V6" s="274"/>
      <c r="W6" s="2077">
        <v>5111</v>
      </c>
      <c r="X6" s="3980"/>
      <c r="Y6" s="2078">
        <f t="shared" ref="Y6:Y64" si="8">O6+S6+W6</f>
        <v>20682</v>
      </c>
      <c r="Z6" s="4740">
        <f t="shared" ref="Z6:Z19" si="9">+T6+V6</f>
        <v>0</v>
      </c>
      <c r="AA6" s="4740">
        <f t="shared" ref="AA6:AA24" si="10">+U6+W6</f>
        <v>39808</v>
      </c>
      <c r="AB6" s="274"/>
      <c r="AC6" s="2077">
        <v>10011</v>
      </c>
      <c r="AD6" s="2079">
        <f t="shared" ref="AD6:AD19" si="11">+Z6+AB6</f>
        <v>0</v>
      </c>
      <c r="AE6" s="2079">
        <f t="shared" ref="AE6:AE24" si="12">+AA6+AC6</f>
        <v>49819</v>
      </c>
      <c r="AF6" s="274"/>
      <c r="AG6" s="2077">
        <v>745</v>
      </c>
      <c r="AH6" s="2079">
        <f t="shared" ref="AH6:AH19" si="13">+AD6+AF6</f>
        <v>0</v>
      </c>
      <c r="AI6" s="2079">
        <f t="shared" ref="AI6:AI24" si="14">+AE6+AG6</f>
        <v>50564</v>
      </c>
      <c r="AJ6" s="274"/>
      <c r="AK6" s="2077">
        <v>10541</v>
      </c>
      <c r="AL6" s="3980"/>
      <c r="AM6" s="2078">
        <f t="shared" ref="AM6:AM43" si="15">AC6+AG6+AK6</f>
        <v>21297</v>
      </c>
      <c r="AN6" s="2079">
        <f t="shared" ref="AN6:AN19" si="16">+AH6+AJ6</f>
        <v>0</v>
      </c>
      <c r="AO6" s="2079">
        <f t="shared" ref="AO6:AO24" si="17">+AI6+AK6</f>
        <v>61105</v>
      </c>
      <c r="AP6" s="274"/>
      <c r="AQ6" s="2077">
        <v>11247</v>
      </c>
      <c r="AR6" s="2079">
        <f t="shared" ref="AR6:AR21" si="18">+AN6+AP6</f>
        <v>0</v>
      </c>
      <c r="AS6" s="2079">
        <f t="shared" ref="AS6:AS24" si="19">+AO6+AQ6</f>
        <v>72352</v>
      </c>
      <c r="AT6" s="274"/>
      <c r="AU6" s="2077">
        <v>10641</v>
      </c>
      <c r="AV6" s="2079">
        <f t="shared" ref="AV6:AV24" si="20">+AR6+AT6</f>
        <v>0</v>
      </c>
      <c r="AW6" s="2079">
        <f t="shared" ref="AW6:AW24" si="21">+AS6+AU6</f>
        <v>82993</v>
      </c>
      <c r="AX6" s="274"/>
      <c r="AY6" s="2077">
        <v>7988</v>
      </c>
      <c r="AZ6" s="3980"/>
      <c r="BA6" s="2078">
        <f t="shared" ref="BA6:BA43" si="22">AQ6+AU6+AY6</f>
        <v>29876</v>
      </c>
      <c r="BB6" s="4740">
        <f t="shared" ref="BB6:BB19" si="23">+AV6+AX6</f>
        <v>0</v>
      </c>
      <c r="BC6" s="4740">
        <f t="shared" ref="BC6:BC7" si="24">AM6+BA6</f>
        <v>51173</v>
      </c>
      <c r="BD6" s="2079">
        <f t="shared" ref="BD6:BD24" si="25">+AV6+AX6</f>
        <v>0</v>
      </c>
      <c r="BE6" s="2079">
        <f t="shared" ref="BE6:BE24" si="26">+AW6+AY6</f>
        <v>90981</v>
      </c>
    </row>
    <row r="7" spans="2:71" ht="18.75" x14ac:dyDescent="0.25">
      <c r="B7" s="6058"/>
      <c r="C7" s="2089" t="s">
        <v>1189</v>
      </c>
      <c r="D7" s="1708"/>
      <c r="E7" s="2077">
        <v>200</v>
      </c>
      <c r="F7" s="2077"/>
      <c r="G7" s="2077">
        <v>1101</v>
      </c>
      <c r="H7" s="2079">
        <f t="shared" si="1"/>
        <v>0</v>
      </c>
      <c r="I7" s="2162">
        <f t="shared" si="2"/>
        <v>1301</v>
      </c>
      <c r="J7" s="2077"/>
      <c r="K7" s="2077">
        <v>2455</v>
      </c>
      <c r="L7" s="2078">
        <f t="shared" si="3"/>
        <v>0</v>
      </c>
      <c r="M7" s="2078">
        <f t="shared" si="0"/>
        <v>3756</v>
      </c>
      <c r="N7" s="274"/>
      <c r="O7" s="2077">
        <v>2024</v>
      </c>
      <c r="P7" s="2079">
        <f t="shared" si="4"/>
        <v>0</v>
      </c>
      <c r="Q7" s="2079">
        <f t="shared" si="5"/>
        <v>5780</v>
      </c>
      <c r="R7" s="274"/>
      <c r="S7" s="2077">
        <v>1124</v>
      </c>
      <c r="T7" s="2079">
        <f t="shared" si="6"/>
        <v>0</v>
      </c>
      <c r="U7" s="2079">
        <f t="shared" si="7"/>
        <v>6904</v>
      </c>
      <c r="V7" s="274"/>
      <c r="W7" s="2077">
        <v>1147</v>
      </c>
      <c r="X7" s="3980"/>
      <c r="Y7" s="2078">
        <f t="shared" si="8"/>
        <v>4295</v>
      </c>
      <c r="Z7" s="4740">
        <f t="shared" si="9"/>
        <v>0</v>
      </c>
      <c r="AA7" s="4740">
        <f t="shared" si="10"/>
        <v>8051</v>
      </c>
      <c r="AB7" s="274"/>
      <c r="AC7" s="2077">
        <v>3773</v>
      </c>
      <c r="AD7" s="2079">
        <f t="shared" si="11"/>
        <v>0</v>
      </c>
      <c r="AE7" s="2079">
        <f t="shared" si="12"/>
        <v>11824</v>
      </c>
      <c r="AF7" s="274"/>
      <c r="AG7" s="2077">
        <v>104</v>
      </c>
      <c r="AH7" s="2079">
        <f t="shared" si="13"/>
        <v>0</v>
      </c>
      <c r="AI7" s="2079">
        <f t="shared" si="14"/>
        <v>11928</v>
      </c>
      <c r="AJ7" s="274"/>
      <c r="AK7" s="2077">
        <v>3687</v>
      </c>
      <c r="AL7" s="3980"/>
      <c r="AM7" s="2078">
        <f t="shared" si="15"/>
        <v>7564</v>
      </c>
      <c r="AN7" s="2079">
        <f t="shared" si="16"/>
        <v>0</v>
      </c>
      <c r="AO7" s="2079">
        <f t="shared" si="17"/>
        <v>15615</v>
      </c>
      <c r="AP7" s="274"/>
      <c r="AQ7" s="2077">
        <v>1899</v>
      </c>
      <c r="AR7" s="2079">
        <f t="shared" si="18"/>
        <v>0</v>
      </c>
      <c r="AS7" s="2079">
        <f t="shared" si="19"/>
        <v>17514</v>
      </c>
      <c r="AT7" s="274"/>
      <c r="AU7" s="2077">
        <v>1247</v>
      </c>
      <c r="AV7" s="2079">
        <f t="shared" si="20"/>
        <v>0</v>
      </c>
      <c r="AW7" s="2079">
        <f t="shared" si="21"/>
        <v>18761</v>
      </c>
      <c r="AX7" s="274"/>
      <c r="AY7" s="2077">
        <v>901</v>
      </c>
      <c r="AZ7" s="3980"/>
      <c r="BA7" s="2078">
        <f t="shared" si="22"/>
        <v>4047</v>
      </c>
      <c r="BB7" s="4740">
        <f t="shared" si="23"/>
        <v>0</v>
      </c>
      <c r="BC7" s="4740">
        <f t="shared" si="24"/>
        <v>11611</v>
      </c>
      <c r="BD7" s="2079">
        <f t="shared" si="25"/>
        <v>0</v>
      </c>
      <c r="BE7" s="2079">
        <f t="shared" si="26"/>
        <v>19662</v>
      </c>
    </row>
    <row r="8" spans="2:71" ht="18.75" x14ac:dyDescent="0.25">
      <c r="B8" s="6058"/>
      <c r="C8" s="2090" t="s">
        <v>1250</v>
      </c>
      <c r="D8" s="2085"/>
      <c r="E8" s="2098">
        <f>SUM(E5:E7)</f>
        <v>256369</v>
      </c>
      <c r="F8" s="2098">
        <f t="shared" ref="F8:N8" si="27">SUM(F5:F7)</f>
        <v>0</v>
      </c>
      <c r="G8" s="2098">
        <f>SUM(G5:G7)</f>
        <v>276059</v>
      </c>
      <c r="H8" s="2102">
        <f t="shared" si="1"/>
        <v>0</v>
      </c>
      <c r="I8" s="3261">
        <f t="shared" si="2"/>
        <v>532428</v>
      </c>
      <c r="J8" s="2098">
        <f t="shared" si="27"/>
        <v>0</v>
      </c>
      <c r="K8" s="2098">
        <f>SUM(K5:K7)</f>
        <v>292016</v>
      </c>
      <c r="L8" s="2103">
        <f t="shared" si="3"/>
        <v>0</v>
      </c>
      <c r="M8" s="2103">
        <f t="shared" si="0"/>
        <v>824444</v>
      </c>
      <c r="N8" s="2098">
        <f t="shared" si="27"/>
        <v>0</v>
      </c>
      <c r="O8" s="2098">
        <f>SUM(O5:O7)</f>
        <v>304299</v>
      </c>
      <c r="P8" s="2102">
        <f t="shared" si="4"/>
        <v>0</v>
      </c>
      <c r="Q8" s="2102">
        <f t="shared" ref="Q8:Q64" si="28">+M8+O8</f>
        <v>1128743</v>
      </c>
      <c r="R8" s="2098">
        <f t="shared" ref="R8" si="29">SUM(R5:R7)</f>
        <v>0</v>
      </c>
      <c r="S8" s="2098">
        <f>SUM(S5:S7)</f>
        <v>293255</v>
      </c>
      <c r="T8" s="2102">
        <f t="shared" si="6"/>
        <v>0</v>
      </c>
      <c r="U8" s="2102">
        <f t="shared" si="7"/>
        <v>1421998</v>
      </c>
      <c r="V8" s="2098">
        <f t="shared" ref="V8" si="30">SUM(V5:V7)</f>
        <v>0</v>
      </c>
      <c r="W8" s="2098">
        <f>SUM(W5:W7)</f>
        <v>293403</v>
      </c>
      <c r="X8" s="4109"/>
      <c r="Y8" s="4116">
        <f t="shared" si="8"/>
        <v>890957</v>
      </c>
      <c r="Z8" s="4741">
        <f t="shared" si="9"/>
        <v>0</v>
      </c>
      <c r="AA8" s="4741">
        <f t="shared" si="10"/>
        <v>1715401</v>
      </c>
      <c r="AB8" s="2098">
        <f t="shared" ref="AB8" si="31">SUM(AB5:AB7)</f>
        <v>0</v>
      </c>
      <c r="AC8" s="2098">
        <f>SUM(AC5:AC7)</f>
        <v>318835</v>
      </c>
      <c r="AD8" s="2102">
        <f t="shared" si="11"/>
        <v>0</v>
      </c>
      <c r="AE8" s="2102">
        <f t="shared" si="12"/>
        <v>2034236</v>
      </c>
      <c r="AF8" s="2098">
        <f t="shared" ref="AF8" si="32">SUM(AF5:AF7)</f>
        <v>0</v>
      </c>
      <c r="AG8" s="2098">
        <f>SUM(AG5:AG7)</f>
        <v>13886</v>
      </c>
      <c r="AH8" s="2102">
        <f t="shared" si="13"/>
        <v>0</v>
      </c>
      <c r="AI8" s="2102">
        <f t="shared" si="14"/>
        <v>2048122</v>
      </c>
      <c r="AJ8" s="2098">
        <f t="shared" ref="AJ8" si="33">SUM(AJ5:AJ7)</f>
        <v>0</v>
      </c>
      <c r="AK8" s="2098">
        <f>SUM(AK5:AK7)</f>
        <v>303232</v>
      </c>
      <c r="AL8" s="4109"/>
      <c r="AM8" s="4116">
        <f t="shared" si="15"/>
        <v>635953</v>
      </c>
      <c r="AN8" s="2102">
        <f t="shared" si="16"/>
        <v>0</v>
      </c>
      <c r="AO8" s="2102">
        <f t="shared" si="17"/>
        <v>2351354</v>
      </c>
      <c r="AP8" s="2098">
        <f t="shared" ref="AP8" si="34">SUM(AP5:AP7)</f>
        <v>0</v>
      </c>
      <c r="AQ8" s="2098">
        <f>SUM(AQ5:AQ7)</f>
        <v>286167</v>
      </c>
      <c r="AR8" s="2102">
        <f t="shared" si="18"/>
        <v>0</v>
      </c>
      <c r="AS8" s="2102">
        <f t="shared" si="19"/>
        <v>2637521</v>
      </c>
      <c r="AT8" s="2098">
        <f t="shared" ref="AT8" si="35">SUM(AT5:AT7)</f>
        <v>0</v>
      </c>
      <c r="AU8" s="2098">
        <f>SUM(AU5:AU7)</f>
        <v>263933</v>
      </c>
      <c r="AV8" s="2102">
        <f t="shared" si="20"/>
        <v>0</v>
      </c>
      <c r="AW8" s="2102">
        <f t="shared" si="21"/>
        <v>2901454</v>
      </c>
      <c r="AX8" s="2098">
        <f t="shared" ref="AX8" si="36">SUM(AX5:AX7)</f>
        <v>0</v>
      </c>
      <c r="AY8" s="2098">
        <f>SUM(AY5:AY7)</f>
        <v>320914</v>
      </c>
      <c r="AZ8" s="4109"/>
      <c r="BA8" s="4116">
        <f t="shared" si="22"/>
        <v>871014</v>
      </c>
      <c r="BB8" s="4741">
        <f t="shared" si="23"/>
        <v>0</v>
      </c>
      <c r="BC8" s="4741">
        <f t="shared" ref="BC8" si="37">+AW8+AY8</f>
        <v>3222368</v>
      </c>
      <c r="BD8" s="2102">
        <f t="shared" si="25"/>
        <v>0</v>
      </c>
      <c r="BE8" s="2102">
        <f t="shared" si="26"/>
        <v>3222368</v>
      </c>
    </row>
    <row r="9" spans="2:71" ht="18.75" x14ac:dyDescent="0.25">
      <c r="B9" s="6058"/>
      <c r="C9" s="2089" t="s">
        <v>788</v>
      </c>
      <c r="D9" s="1708"/>
      <c r="E9" s="2077">
        <v>17957</v>
      </c>
      <c r="F9" s="2077"/>
      <c r="G9" s="2077">
        <v>17898</v>
      </c>
      <c r="H9" s="2079">
        <f t="shared" si="1"/>
        <v>0</v>
      </c>
      <c r="I9" s="2162">
        <f t="shared" si="2"/>
        <v>35855</v>
      </c>
      <c r="J9" s="2077"/>
      <c r="K9" s="2077">
        <v>13125</v>
      </c>
      <c r="L9" s="2078">
        <f t="shared" si="3"/>
        <v>0</v>
      </c>
      <c r="M9" s="2078">
        <f t="shared" si="0"/>
        <v>48980</v>
      </c>
      <c r="N9" s="274"/>
      <c r="O9" s="2077">
        <v>14258</v>
      </c>
      <c r="P9" s="2079">
        <f t="shared" si="4"/>
        <v>0</v>
      </c>
      <c r="Q9" s="2079">
        <f t="shared" si="28"/>
        <v>63238</v>
      </c>
      <c r="R9" s="274"/>
      <c r="S9" s="2077">
        <v>11784</v>
      </c>
      <c r="T9" s="2079">
        <f t="shared" si="6"/>
        <v>0</v>
      </c>
      <c r="U9" s="2079">
        <f t="shared" si="7"/>
        <v>75022</v>
      </c>
      <c r="V9" s="274"/>
      <c r="W9" s="2077">
        <v>15189</v>
      </c>
      <c r="X9" s="3980"/>
      <c r="Y9" s="2078">
        <f t="shared" si="8"/>
        <v>41231</v>
      </c>
      <c r="Z9" s="4740">
        <f t="shared" si="9"/>
        <v>0</v>
      </c>
      <c r="AA9" s="4740">
        <f t="shared" si="10"/>
        <v>90211</v>
      </c>
      <c r="AB9" s="274"/>
      <c r="AC9" s="2077">
        <v>16004</v>
      </c>
      <c r="AD9" s="2079">
        <f t="shared" si="11"/>
        <v>0</v>
      </c>
      <c r="AE9" s="2079">
        <f t="shared" si="12"/>
        <v>106215</v>
      </c>
      <c r="AF9" s="274"/>
      <c r="AG9" s="2077">
        <v>698</v>
      </c>
      <c r="AH9" s="2079">
        <f t="shared" si="13"/>
        <v>0</v>
      </c>
      <c r="AI9" s="2079">
        <f t="shared" si="14"/>
        <v>106913</v>
      </c>
      <c r="AJ9" s="274"/>
      <c r="AK9" s="2077">
        <v>20112</v>
      </c>
      <c r="AL9" s="3980"/>
      <c r="AM9" s="2078">
        <f t="shared" si="15"/>
        <v>36814</v>
      </c>
      <c r="AN9" s="2079">
        <f t="shared" si="16"/>
        <v>0</v>
      </c>
      <c r="AO9" s="2079">
        <f t="shared" si="17"/>
        <v>127025</v>
      </c>
      <c r="AP9" s="274"/>
      <c r="AQ9" s="2077">
        <v>18997</v>
      </c>
      <c r="AR9" s="2079">
        <f t="shared" si="18"/>
        <v>0</v>
      </c>
      <c r="AS9" s="2079">
        <f t="shared" si="19"/>
        <v>146022</v>
      </c>
      <c r="AT9" s="274"/>
      <c r="AU9" s="2077">
        <v>15876</v>
      </c>
      <c r="AV9" s="2079">
        <f t="shared" si="20"/>
        <v>0</v>
      </c>
      <c r="AW9" s="2079">
        <f t="shared" si="21"/>
        <v>161898</v>
      </c>
      <c r="AX9" s="274"/>
      <c r="AY9" s="2077">
        <v>16441</v>
      </c>
      <c r="AZ9" s="3980"/>
      <c r="BA9" s="2078">
        <f t="shared" si="22"/>
        <v>51314</v>
      </c>
      <c r="BB9" s="4740">
        <f t="shared" si="23"/>
        <v>0</v>
      </c>
      <c r="BC9" s="4740">
        <f t="shared" ref="BC9:BC24" si="38">AM9+BA9</f>
        <v>88128</v>
      </c>
      <c r="BD9" s="2079">
        <f t="shared" si="25"/>
        <v>0</v>
      </c>
      <c r="BE9" s="2079">
        <f t="shared" si="26"/>
        <v>178339</v>
      </c>
    </row>
    <row r="10" spans="2:71" ht="18.75" x14ac:dyDescent="0.25">
      <c r="B10" s="6058"/>
      <c r="C10" s="2089" t="s">
        <v>787</v>
      </c>
      <c r="D10" s="1708"/>
      <c r="E10" s="2077">
        <v>31854</v>
      </c>
      <c r="F10" s="2077"/>
      <c r="G10" s="2077">
        <v>32714</v>
      </c>
      <c r="H10" s="2079">
        <f t="shared" si="1"/>
        <v>0</v>
      </c>
      <c r="I10" s="2162">
        <f t="shared" si="2"/>
        <v>64568</v>
      </c>
      <c r="J10" s="2077"/>
      <c r="K10" s="2077">
        <v>32552</v>
      </c>
      <c r="L10" s="2078">
        <f t="shared" si="3"/>
        <v>0</v>
      </c>
      <c r="M10" s="2078">
        <f t="shared" si="0"/>
        <v>97120</v>
      </c>
      <c r="N10" s="274"/>
      <c r="O10" s="2077">
        <v>35815</v>
      </c>
      <c r="P10" s="2079">
        <f t="shared" si="4"/>
        <v>0</v>
      </c>
      <c r="Q10" s="2079">
        <f t="shared" si="28"/>
        <v>132935</v>
      </c>
      <c r="R10" s="274"/>
      <c r="S10" s="2077">
        <v>36757</v>
      </c>
      <c r="T10" s="2079">
        <f t="shared" si="6"/>
        <v>0</v>
      </c>
      <c r="U10" s="2079">
        <f t="shared" si="7"/>
        <v>169692</v>
      </c>
      <c r="V10" s="274"/>
      <c r="W10" s="2077">
        <v>34597</v>
      </c>
      <c r="X10" s="3980"/>
      <c r="Y10" s="2078">
        <f t="shared" si="8"/>
        <v>107169</v>
      </c>
      <c r="Z10" s="4740">
        <f t="shared" si="9"/>
        <v>0</v>
      </c>
      <c r="AA10" s="4740">
        <f t="shared" si="10"/>
        <v>204289</v>
      </c>
      <c r="AB10" s="274"/>
      <c r="AC10" s="2077">
        <v>40819</v>
      </c>
      <c r="AD10" s="2079">
        <f t="shared" si="11"/>
        <v>0</v>
      </c>
      <c r="AE10" s="2079">
        <f t="shared" si="12"/>
        <v>245108</v>
      </c>
      <c r="AF10" s="274"/>
      <c r="AG10" s="2077">
        <v>1315</v>
      </c>
      <c r="AH10" s="2079">
        <f t="shared" si="13"/>
        <v>0</v>
      </c>
      <c r="AI10" s="2079">
        <f t="shared" si="14"/>
        <v>246423</v>
      </c>
      <c r="AJ10" s="274"/>
      <c r="AK10" s="2077">
        <v>36987</v>
      </c>
      <c r="AL10" s="3980"/>
      <c r="AM10" s="2078">
        <f t="shared" si="15"/>
        <v>79121</v>
      </c>
      <c r="AN10" s="2079">
        <f t="shared" si="16"/>
        <v>0</v>
      </c>
      <c r="AO10" s="2079">
        <f t="shared" si="17"/>
        <v>283410</v>
      </c>
      <c r="AP10" s="274"/>
      <c r="AQ10" s="2077">
        <v>34547</v>
      </c>
      <c r="AR10" s="2079">
        <f t="shared" si="18"/>
        <v>0</v>
      </c>
      <c r="AS10" s="2079">
        <f t="shared" si="19"/>
        <v>317957</v>
      </c>
      <c r="AT10" s="274"/>
      <c r="AU10" s="2077">
        <v>30454</v>
      </c>
      <c r="AV10" s="2079">
        <f t="shared" si="20"/>
        <v>0</v>
      </c>
      <c r="AW10" s="2079">
        <f t="shared" si="21"/>
        <v>348411</v>
      </c>
      <c r="AX10" s="274"/>
      <c r="AY10" s="2077">
        <v>40058</v>
      </c>
      <c r="AZ10" s="3980"/>
      <c r="BA10" s="2078">
        <f t="shared" si="22"/>
        <v>105059</v>
      </c>
      <c r="BB10" s="4740">
        <f t="shared" si="23"/>
        <v>0</v>
      </c>
      <c r="BC10" s="4740">
        <f t="shared" si="38"/>
        <v>184180</v>
      </c>
      <c r="BD10" s="2079">
        <f t="shared" si="25"/>
        <v>0</v>
      </c>
      <c r="BE10" s="2079">
        <f t="shared" si="26"/>
        <v>388469</v>
      </c>
    </row>
    <row r="11" spans="2:71" ht="18.75" x14ac:dyDescent="0.25">
      <c r="B11" s="6058"/>
      <c r="C11" s="2089" t="s">
        <v>26</v>
      </c>
      <c r="D11" s="1708"/>
      <c r="E11" s="2077">
        <v>15008</v>
      </c>
      <c r="F11" s="2077"/>
      <c r="G11" s="2077">
        <v>14494</v>
      </c>
      <c r="H11" s="2079">
        <f t="shared" si="1"/>
        <v>0</v>
      </c>
      <c r="I11" s="2162">
        <f t="shared" si="2"/>
        <v>29502</v>
      </c>
      <c r="J11" s="2077"/>
      <c r="K11" s="2077">
        <v>13879</v>
      </c>
      <c r="L11" s="2078">
        <f t="shared" si="3"/>
        <v>0</v>
      </c>
      <c r="M11" s="2078">
        <f t="shared" si="0"/>
        <v>43381</v>
      </c>
      <c r="N11" s="274"/>
      <c r="O11" s="2077">
        <v>14787</v>
      </c>
      <c r="P11" s="2079">
        <f t="shared" si="4"/>
        <v>0</v>
      </c>
      <c r="Q11" s="2079">
        <f t="shared" si="28"/>
        <v>58168</v>
      </c>
      <c r="R11" s="274"/>
      <c r="S11" s="2077">
        <v>16050</v>
      </c>
      <c r="T11" s="2079">
        <f t="shared" si="6"/>
        <v>0</v>
      </c>
      <c r="U11" s="2079">
        <f t="shared" si="7"/>
        <v>74218</v>
      </c>
      <c r="V11" s="274"/>
      <c r="W11" s="2077">
        <v>13280</v>
      </c>
      <c r="X11" s="3980"/>
      <c r="Y11" s="2078">
        <f t="shared" si="8"/>
        <v>44117</v>
      </c>
      <c r="Z11" s="4740">
        <f t="shared" si="9"/>
        <v>0</v>
      </c>
      <c r="AA11" s="4740">
        <f t="shared" si="10"/>
        <v>87498</v>
      </c>
      <c r="AB11" s="274"/>
      <c r="AC11" s="2077">
        <v>16950</v>
      </c>
      <c r="AD11" s="2079">
        <f t="shared" si="11"/>
        <v>0</v>
      </c>
      <c r="AE11" s="2079">
        <f t="shared" si="12"/>
        <v>104448</v>
      </c>
      <c r="AF11" s="274"/>
      <c r="AG11" s="2077">
        <v>764</v>
      </c>
      <c r="AH11" s="2079">
        <f t="shared" si="13"/>
        <v>0</v>
      </c>
      <c r="AI11" s="2079">
        <f t="shared" si="14"/>
        <v>105212</v>
      </c>
      <c r="AJ11" s="274"/>
      <c r="AK11" s="2077">
        <v>17747</v>
      </c>
      <c r="AL11" s="3980"/>
      <c r="AM11" s="2078">
        <f t="shared" si="15"/>
        <v>35461</v>
      </c>
      <c r="AN11" s="2079">
        <f t="shared" si="16"/>
        <v>0</v>
      </c>
      <c r="AO11" s="2079">
        <f t="shared" si="17"/>
        <v>122959</v>
      </c>
      <c r="AP11" s="274"/>
      <c r="AQ11" s="2077">
        <v>15889</v>
      </c>
      <c r="AR11" s="2079">
        <f t="shared" si="18"/>
        <v>0</v>
      </c>
      <c r="AS11" s="2079">
        <f t="shared" si="19"/>
        <v>138848</v>
      </c>
      <c r="AT11" s="274"/>
      <c r="AU11" s="2077">
        <v>12897</v>
      </c>
      <c r="AV11" s="2079">
        <f t="shared" si="20"/>
        <v>0</v>
      </c>
      <c r="AW11" s="2079">
        <f t="shared" si="21"/>
        <v>151745</v>
      </c>
      <c r="AX11" s="274"/>
      <c r="AY11" s="2077">
        <v>18521</v>
      </c>
      <c r="AZ11" s="3980"/>
      <c r="BA11" s="2078">
        <f t="shared" si="22"/>
        <v>47307</v>
      </c>
      <c r="BB11" s="4740">
        <f t="shared" si="23"/>
        <v>0</v>
      </c>
      <c r="BC11" s="4740">
        <f t="shared" si="38"/>
        <v>82768</v>
      </c>
      <c r="BD11" s="2079">
        <f t="shared" si="25"/>
        <v>0</v>
      </c>
      <c r="BE11" s="2079">
        <f t="shared" si="26"/>
        <v>170266</v>
      </c>
    </row>
    <row r="12" spans="2:71" ht="18.75" x14ac:dyDescent="0.25">
      <c r="B12" s="6058"/>
      <c r="C12" s="2089" t="s">
        <v>789</v>
      </c>
      <c r="D12" s="1708"/>
      <c r="E12" s="2077">
        <v>0</v>
      </c>
      <c r="F12" s="2077"/>
      <c r="G12" s="2077">
        <v>0</v>
      </c>
      <c r="H12" s="2079">
        <f t="shared" si="1"/>
        <v>0</v>
      </c>
      <c r="I12" s="2162">
        <f t="shared" si="2"/>
        <v>0</v>
      </c>
      <c r="J12" s="2077"/>
      <c r="K12" s="2077">
        <v>0</v>
      </c>
      <c r="L12" s="2078">
        <f t="shared" si="3"/>
        <v>0</v>
      </c>
      <c r="M12" s="2078">
        <f t="shared" si="0"/>
        <v>0</v>
      </c>
      <c r="N12" s="274"/>
      <c r="O12" s="2077">
        <v>0</v>
      </c>
      <c r="P12" s="2079">
        <f t="shared" si="4"/>
        <v>0</v>
      </c>
      <c r="Q12" s="2079">
        <f t="shared" si="28"/>
        <v>0</v>
      </c>
      <c r="R12" s="274"/>
      <c r="S12" s="2077">
        <v>0</v>
      </c>
      <c r="T12" s="2079">
        <f t="shared" si="6"/>
        <v>0</v>
      </c>
      <c r="U12" s="2079">
        <f t="shared" si="7"/>
        <v>0</v>
      </c>
      <c r="V12" s="274"/>
      <c r="W12" s="2077">
        <v>0</v>
      </c>
      <c r="X12" s="3980"/>
      <c r="Y12" s="2078">
        <f t="shared" si="8"/>
        <v>0</v>
      </c>
      <c r="Z12" s="4740">
        <f t="shared" si="9"/>
        <v>0</v>
      </c>
      <c r="AA12" s="4740">
        <f t="shared" si="10"/>
        <v>0</v>
      </c>
      <c r="AB12" s="274"/>
      <c r="AC12" s="2077">
        <v>173</v>
      </c>
      <c r="AD12" s="2079">
        <f t="shared" si="11"/>
        <v>0</v>
      </c>
      <c r="AE12" s="2079">
        <f t="shared" si="12"/>
        <v>173</v>
      </c>
      <c r="AF12" s="274"/>
      <c r="AG12" s="2077">
        <v>0</v>
      </c>
      <c r="AH12" s="2079">
        <f t="shared" si="13"/>
        <v>0</v>
      </c>
      <c r="AI12" s="2079">
        <f t="shared" si="14"/>
        <v>173</v>
      </c>
      <c r="AJ12" s="274"/>
      <c r="AK12" s="2077">
        <v>500</v>
      </c>
      <c r="AL12" s="3980"/>
      <c r="AM12" s="2078">
        <f t="shared" si="15"/>
        <v>673</v>
      </c>
      <c r="AN12" s="2079">
        <f t="shared" si="16"/>
        <v>0</v>
      </c>
      <c r="AO12" s="2079">
        <f t="shared" si="17"/>
        <v>673</v>
      </c>
      <c r="AP12" s="274"/>
      <c r="AQ12" s="2077">
        <v>1450</v>
      </c>
      <c r="AR12" s="2079">
        <f t="shared" si="18"/>
        <v>0</v>
      </c>
      <c r="AS12" s="2079">
        <f t="shared" si="19"/>
        <v>2123</v>
      </c>
      <c r="AT12" s="274"/>
      <c r="AU12" s="2077">
        <v>897</v>
      </c>
      <c r="AV12" s="2079">
        <f t="shared" si="20"/>
        <v>0</v>
      </c>
      <c r="AW12" s="2079">
        <f t="shared" si="21"/>
        <v>3020</v>
      </c>
      <c r="AX12" s="274"/>
      <c r="AY12" s="2077">
        <v>0</v>
      </c>
      <c r="AZ12" s="3980"/>
      <c r="BA12" s="2078">
        <f t="shared" si="22"/>
        <v>2347</v>
      </c>
      <c r="BB12" s="4740">
        <f t="shared" si="23"/>
        <v>0</v>
      </c>
      <c r="BC12" s="4740">
        <f t="shared" si="38"/>
        <v>3020</v>
      </c>
      <c r="BD12" s="2079">
        <f t="shared" si="25"/>
        <v>0</v>
      </c>
      <c r="BE12" s="2079">
        <f t="shared" si="26"/>
        <v>3020</v>
      </c>
    </row>
    <row r="13" spans="2:71" ht="18.75" x14ac:dyDescent="0.25">
      <c r="B13" s="6058"/>
      <c r="C13" s="2089" t="s">
        <v>41</v>
      </c>
      <c r="D13" s="1708"/>
      <c r="E13" s="2077">
        <v>0</v>
      </c>
      <c r="F13" s="2077"/>
      <c r="G13" s="2077">
        <v>0</v>
      </c>
      <c r="H13" s="2079">
        <f t="shared" si="1"/>
        <v>0</v>
      </c>
      <c r="I13" s="2162">
        <f t="shared" si="2"/>
        <v>0</v>
      </c>
      <c r="J13" s="2077"/>
      <c r="K13" s="2077">
        <v>1740</v>
      </c>
      <c r="L13" s="2078">
        <f t="shared" si="3"/>
        <v>0</v>
      </c>
      <c r="M13" s="2078">
        <f t="shared" si="0"/>
        <v>1740</v>
      </c>
      <c r="N13" s="274"/>
      <c r="O13" s="2077">
        <v>2300</v>
      </c>
      <c r="P13" s="2079">
        <f t="shared" si="4"/>
        <v>0</v>
      </c>
      <c r="Q13" s="2079">
        <f t="shared" si="28"/>
        <v>4040</v>
      </c>
      <c r="R13" s="274"/>
      <c r="S13" s="2077">
        <v>3716</v>
      </c>
      <c r="T13" s="2079">
        <f t="shared" si="6"/>
        <v>0</v>
      </c>
      <c r="U13" s="2079">
        <f t="shared" si="7"/>
        <v>7756</v>
      </c>
      <c r="V13" s="274"/>
      <c r="W13" s="2077">
        <v>3244</v>
      </c>
      <c r="X13" s="3980"/>
      <c r="Y13" s="2078">
        <f t="shared" si="8"/>
        <v>9260</v>
      </c>
      <c r="Z13" s="4740">
        <f t="shared" si="9"/>
        <v>0</v>
      </c>
      <c r="AA13" s="4740">
        <f t="shared" si="10"/>
        <v>11000</v>
      </c>
      <c r="AB13" s="274"/>
      <c r="AC13" s="2077">
        <v>2946</v>
      </c>
      <c r="AD13" s="2079">
        <f t="shared" si="11"/>
        <v>0</v>
      </c>
      <c r="AE13" s="2079">
        <f t="shared" si="12"/>
        <v>13946</v>
      </c>
      <c r="AF13" s="274"/>
      <c r="AG13" s="2077">
        <v>111</v>
      </c>
      <c r="AH13" s="2079">
        <f t="shared" si="13"/>
        <v>0</v>
      </c>
      <c r="AI13" s="2079">
        <f t="shared" si="14"/>
        <v>14057</v>
      </c>
      <c r="AJ13" s="274"/>
      <c r="AK13" s="2077">
        <v>1834</v>
      </c>
      <c r="AL13" s="3980"/>
      <c r="AM13" s="2078">
        <f t="shared" si="15"/>
        <v>4891</v>
      </c>
      <c r="AN13" s="2079">
        <f t="shared" si="16"/>
        <v>0</v>
      </c>
      <c r="AO13" s="2079">
        <f t="shared" si="17"/>
        <v>15891</v>
      </c>
      <c r="AP13" s="274"/>
      <c r="AQ13" s="2077">
        <v>130</v>
      </c>
      <c r="AR13" s="2079">
        <f t="shared" si="18"/>
        <v>0</v>
      </c>
      <c r="AS13" s="2079">
        <f t="shared" si="19"/>
        <v>16021</v>
      </c>
      <c r="AT13" s="274"/>
      <c r="AU13" s="2077">
        <v>5</v>
      </c>
      <c r="AV13" s="2079">
        <f t="shared" si="20"/>
        <v>0</v>
      </c>
      <c r="AW13" s="2079">
        <f t="shared" si="21"/>
        <v>16026</v>
      </c>
      <c r="AX13" s="274"/>
      <c r="AY13" s="2077">
        <v>0</v>
      </c>
      <c r="AZ13" s="3980"/>
      <c r="BA13" s="2078">
        <f t="shared" si="22"/>
        <v>135</v>
      </c>
      <c r="BB13" s="4740">
        <f t="shared" si="23"/>
        <v>0</v>
      </c>
      <c r="BC13" s="4740">
        <f t="shared" si="38"/>
        <v>5026</v>
      </c>
      <c r="BD13" s="2079">
        <f t="shared" si="25"/>
        <v>0</v>
      </c>
      <c r="BE13" s="2079">
        <f t="shared" si="26"/>
        <v>16026</v>
      </c>
    </row>
    <row r="14" spans="2:71" ht="18.75" x14ac:dyDescent="0.25">
      <c r="B14" s="6058"/>
      <c r="C14" s="2089" t="s">
        <v>1548</v>
      </c>
      <c r="D14" s="1708"/>
      <c r="E14" s="2077">
        <v>676</v>
      </c>
      <c r="F14" s="2077"/>
      <c r="G14" s="2077">
        <v>690</v>
      </c>
      <c r="H14" s="2079">
        <f t="shared" si="1"/>
        <v>0</v>
      </c>
      <c r="I14" s="2162">
        <f t="shared" si="2"/>
        <v>1366</v>
      </c>
      <c r="J14" s="2077"/>
      <c r="K14" s="2077">
        <v>301</v>
      </c>
      <c r="L14" s="2078">
        <f t="shared" si="3"/>
        <v>0</v>
      </c>
      <c r="M14" s="2078">
        <f t="shared" si="0"/>
        <v>1667</v>
      </c>
      <c r="N14" s="274"/>
      <c r="O14" s="2077">
        <v>1020</v>
      </c>
      <c r="P14" s="2079">
        <f t="shared" si="4"/>
        <v>0</v>
      </c>
      <c r="Q14" s="2079">
        <f t="shared" si="28"/>
        <v>2687</v>
      </c>
      <c r="R14" s="274"/>
      <c r="S14" s="2077">
        <v>600</v>
      </c>
      <c r="T14" s="2079">
        <f t="shared" si="6"/>
        <v>0</v>
      </c>
      <c r="U14" s="2079">
        <f t="shared" si="7"/>
        <v>3287</v>
      </c>
      <c r="V14" s="274"/>
      <c r="W14" s="2077">
        <v>550</v>
      </c>
      <c r="X14" s="3980"/>
      <c r="Y14" s="2078">
        <f t="shared" si="8"/>
        <v>2170</v>
      </c>
      <c r="Z14" s="4740">
        <f t="shared" si="9"/>
        <v>0</v>
      </c>
      <c r="AA14" s="4740">
        <f t="shared" si="10"/>
        <v>3837</v>
      </c>
      <c r="AB14" s="274"/>
      <c r="AC14" s="2077">
        <v>1510</v>
      </c>
      <c r="AD14" s="2079">
        <f t="shared" si="11"/>
        <v>0</v>
      </c>
      <c r="AE14" s="2079">
        <f t="shared" si="12"/>
        <v>5347</v>
      </c>
      <c r="AF14" s="274"/>
      <c r="AG14" s="2077">
        <v>20</v>
      </c>
      <c r="AH14" s="2079">
        <f t="shared" si="13"/>
        <v>0</v>
      </c>
      <c r="AI14" s="2079">
        <f t="shared" si="14"/>
        <v>5367</v>
      </c>
      <c r="AJ14" s="274"/>
      <c r="AK14" s="2077">
        <v>1820</v>
      </c>
      <c r="AL14" s="3980"/>
      <c r="AM14" s="2078">
        <f t="shared" si="15"/>
        <v>3350</v>
      </c>
      <c r="AN14" s="2079">
        <f t="shared" si="16"/>
        <v>0</v>
      </c>
      <c r="AO14" s="2079">
        <f t="shared" si="17"/>
        <v>7187</v>
      </c>
      <c r="AP14" s="274"/>
      <c r="AQ14" s="2077">
        <v>1850</v>
      </c>
      <c r="AR14" s="2079">
        <f t="shared" si="18"/>
        <v>0</v>
      </c>
      <c r="AS14" s="2079">
        <f t="shared" si="19"/>
        <v>9037</v>
      </c>
      <c r="AT14" s="274"/>
      <c r="AU14" s="2077">
        <v>0</v>
      </c>
      <c r="AV14" s="2079">
        <f t="shared" si="20"/>
        <v>0</v>
      </c>
      <c r="AW14" s="2079">
        <f t="shared" si="21"/>
        <v>9037</v>
      </c>
      <c r="AX14" s="274"/>
      <c r="AY14" s="2077">
        <v>0</v>
      </c>
      <c r="AZ14" s="3980"/>
      <c r="BA14" s="2078">
        <f t="shared" si="22"/>
        <v>1850</v>
      </c>
      <c r="BB14" s="4740">
        <f t="shared" si="23"/>
        <v>0</v>
      </c>
      <c r="BC14" s="4740">
        <f t="shared" si="38"/>
        <v>5200</v>
      </c>
      <c r="BD14" s="2079">
        <f t="shared" si="25"/>
        <v>0</v>
      </c>
      <c r="BE14" s="2079">
        <f t="shared" si="26"/>
        <v>9037</v>
      </c>
    </row>
    <row r="15" spans="2:71" ht="18.75" x14ac:dyDescent="0.25">
      <c r="B15" s="6058"/>
      <c r="C15" s="2089" t="s">
        <v>600</v>
      </c>
      <c r="D15" s="1708"/>
      <c r="E15" s="2077">
        <v>9984</v>
      </c>
      <c r="F15" s="2077"/>
      <c r="G15" s="2077">
        <v>9999</v>
      </c>
      <c r="H15" s="2079">
        <f t="shared" si="1"/>
        <v>0</v>
      </c>
      <c r="I15" s="2162">
        <f t="shared" si="2"/>
        <v>19983</v>
      </c>
      <c r="J15" s="2077"/>
      <c r="K15" s="2077">
        <v>2890</v>
      </c>
      <c r="L15" s="2078">
        <f t="shared" si="3"/>
        <v>0</v>
      </c>
      <c r="M15" s="2078">
        <f t="shared" si="0"/>
        <v>22873</v>
      </c>
      <c r="N15" s="274"/>
      <c r="O15" s="2077">
        <v>1258</v>
      </c>
      <c r="P15" s="2079">
        <f t="shared" si="4"/>
        <v>0</v>
      </c>
      <c r="Q15" s="2079">
        <f t="shared" si="28"/>
        <v>24131</v>
      </c>
      <c r="R15" s="274"/>
      <c r="S15" s="2077">
        <v>4201</v>
      </c>
      <c r="T15" s="2079">
        <f t="shared" si="6"/>
        <v>0</v>
      </c>
      <c r="U15" s="2079">
        <f t="shared" si="7"/>
        <v>28332</v>
      </c>
      <c r="V15" s="274"/>
      <c r="W15" s="2077">
        <v>200</v>
      </c>
      <c r="X15" s="3980"/>
      <c r="Y15" s="2078">
        <f t="shared" si="8"/>
        <v>5659</v>
      </c>
      <c r="Z15" s="4740">
        <f t="shared" si="9"/>
        <v>0</v>
      </c>
      <c r="AA15" s="4740">
        <f t="shared" si="10"/>
        <v>28532</v>
      </c>
      <c r="AB15" s="274"/>
      <c r="AC15" s="2077">
        <v>4401</v>
      </c>
      <c r="AD15" s="2079">
        <f t="shared" si="11"/>
        <v>0</v>
      </c>
      <c r="AE15" s="2079">
        <f t="shared" si="12"/>
        <v>32933</v>
      </c>
      <c r="AF15" s="274"/>
      <c r="AG15" s="2077">
        <v>90</v>
      </c>
      <c r="AH15" s="2079">
        <f t="shared" si="13"/>
        <v>0</v>
      </c>
      <c r="AI15" s="2079">
        <f t="shared" si="14"/>
        <v>33023</v>
      </c>
      <c r="AJ15" s="274"/>
      <c r="AK15" s="2077">
        <v>860</v>
      </c>
      <c r="AL15" s="3980"/>
      <c r="AM15" s="2078">
        <f t="shared" si="15"/>
        <v>5351</v>
      </c>
      <c r="AN15" s="2079">
        <f t="shared" si="16"/>
        <v>0</v>
      </c>
      <c r="AO15" s="2079">
        <f t="shared" si="17"/>
        <v>33883</v>
      </c>
      <c r="AP15" s="274"/>
      <c r="AQ15" s="2077">
        <v>1383</v>
      </c>
      <c r="AR15" s="2079">
        <f t="shared" si="18"/>
        <v>0</v>
      </c>
      <c r="AS15" s="2079">
        <f t="shared" si="19"/>
        <v>35266</v>
      </c>
      <c r="AT15" s="274"/>
      <c r="AU15" s="2077">
        <v>15241</v>
      </c>
      <c r="AV15" s="2079">
        <f t="shared" si="20"/>
        <v>0</v>
      </c>
      <c r="AW15" s="2079">
        <f t="shared" si="21"/>
        <v>50507</v>
      </c>
      <c r="AX15" s="274"/>
      <c r="AY15" s="2077">
        <v>14818</v>
      </c>
      <c r="AZ15" s="3980"/>
      <c r="BA15" s="2078">
        <f t="shared" si="22"/>
        <v>31442</v>
      </c>
      <c r="BB15" s="4740">
        <f t="shared" si="23"/>
        <v>0</v>
      </c>
      <c r="BC15" s="4740">
        <f t="shared" si="38"/>
        <v>36793</v>
      </c>
      <c r="BD15" s="2079">
        <f t="shared" si="25"/>
        <v>0</v>
      </c>
      <c r="BE15" s="2079">
        <f t="shared" si="26"/>
        <v>65325</v>
      </c>
    </row>
    <row r="16" spans="2:71" ht="18.75" x14ac:dyDescent="0.25">
      <c r="B16" s="6058"/>
      <c r="C16" s="2089" t="s">
        <v>790</v>
      </c>
      <c r="D16" s="1708"/>
      <c r="E16" s="2077">
        <v>5650</v>
      </c>
      <c r="F16" s="2077"/>
      <c r="G16" s="2077">
        <v>5463</v>
      </c>
      <c r="H16" s="2079">
        <f t="shared" si="1"/>
        <v>0</v>
      </c>
      <c r="I16" s="2162">
        <f t="shared" si="2"/>
        <v>11113</v>
      </c>
      <c r="J16" s="2077"/>
      <c r="K16" s="2077">
        <v>6700</v>
      </c>
      <c r="L16" s="2078">
        <f t="shared" si="3"/>
        <v>0</v>
      </c>
      <c r="M16" s="2078">
        <f t="shared" si="0"/>
        <v>17813</v>
      </c>
      <c r="N16" s="274"/>
      <c r="O16" s="2077">
        <v>5501</v>
      </c>
      <c r="P16" s="2079">
        <f t="shared" si="4"/>
        <v>0</v>
      </c>
      <c r="Q16" s="2079">
        <f t="shared" si="28"/>
        <v>23314</v>
      </c>
      <c r="R16" s="274"/>
      <c r="S16" s="2077">
        <v>6298</v>
      </c>
      <c r="T16" s="2079">
        <f t="shared" si="6"/>
        <v>0</v>
      </c>
      <c r="U16" s="2079">
        <f t="shared" si="7"/>
        <v>29612</v>
      </c>
      <c r="V16" s="274"/>
      <c r="W16" s="2077">
        <v>5358</v>
      </c>
      <c r="X16" s="3980"/>
      <c r="Y16" s="2078">
        <f t="shared" si="8"/>
        <v>17157</v>
      </c>
      <c r="Z16" s="4740">
        <f t="shared" si="9"/>
        <v>0</v>
      </c>
      <c r="AA16" s="4740">
        <f t="shared" si="10"/>
        <v>34970</v>
      </c>
      <c r="AB16" s="274"/>
      <c r="AC16" s="2077">
        <v>5099</v>
      </c>
      <c r="AD16" s="2079">
        <f t="shared" si="11"/>
        <v>0</v>
      </c>
      <c r="AE16" s="2079">
        <f t="shared" si="12"/>
        <v>40069</v>
      </c>
      <c r="AF16" s="274"/>
      <c r="AG16" s="2077">
        <v>101</v>
      </c>
      <c r="AH16" s="2079">
        <f t="shared" si="13"/>
        <v>0</v>
      </c>
      <c r="AI16" s="2079">
        <f t="shared" si="14"/>
        <v>40170</v>
      </c>
      <c r="AJ16" s="274"/>
      <c r="AK16" s="2077">
        <v>4601</v>
      </c>
      <c r="AL16" s="3980"/>
      <c r="AM16" s="2078">
        <f t="shared" si="15"/>
        <v>9801</v>
      </c>
      <c r="AN16" s="2079">
        <f t="shared" si="16"/>
        <v>0</v>
      </c>
      <c r="AO16" s="2079">
        <f t="shared" si="17"/>
        <v>44771</v>
      </c>
      <c r="AP16" s="274"/>
      <c r="AQ16" s="2077">
        <v>5265</v>
      </c>
      <c r="AR16" s="2079">
        <f t="shared" si="18"/>
        <v>0</v>
      </c>
      <c r="AS16" s="2079">
        <f t="shared" si="19"/>
        <v>50036</v>
      </c>
      <c r="AT16" s="274"/>
      <c r="AU16" s="2077">
        <v>3877</v>
      </c>
      <c r="AV16" s="2079">
        <f t="shared" si="20"/>
        <v>0</v>
      </c>
      <c r="AW16" s="2079">
        <f t="shared" si="21"/>
        <v>53913</v>
      </c>
      <c r="AX16" s="274"/>
      <c r="AY16" s="2077">
        <v>6412</v>
      </c>
      <c r="AZ16" s="3980"/>
      <c r="BA16" s="2078">
        <f t="shared" si="22"/>
        <v>15554</v>
      </c>
      <c r="BB16" s="4740">
        <f t="shared" si="23"/>
        <v>0</v>
      </c>
      <c r="BC16" s="4740">
        <f t="shared" si="38"/>
        <v>25355</v>
      </c>
      <c r="BD16" s="2079">
        <f t="shared" si="25"/>
        <v>0</v>
      </c>
      <c r="BE16" s="2079">
        <f t="shared" si="26"/>
        <v>60325</v>
      </c>
    </row>
    <row r="17" spans="2:73" ht="18.75" x14ac:dyDescent="0.25">
      <c r="B17" s="6058"/>
      <c r="C17" s="2089" t="s">
        <v>98</v>
      </c>
      <c r="D17" s="1708"/>
      <c r="E17" s="2077">
        <v>60954</v>
      </c>
      <c r="F17" s="2077"/>
      <c r="G17" s="2077">
        <v>64874</v>
      </c>
      <c r="H17" s="2079">
        <f t="shared" si="1"/>
        <v>0</v>
      </c>
      <c r="I17" s="2162">
        <f t="shared" si="2"/>
        <v>125828</v>
      </c>
      <c r="J17" s="2077"/>
      <c r="K17" s="2077">
        <v>72124</v>
      </c>
      <c r="L17" s="2078">
        <f t="shared" si="3"/>
        <v>0</v>
      </c>
      <c r="M17" s="2078">
        <f t="shared" si="0"/>
        <v>197952</v>
      </c>
      <c r="N17" s="274"/>
      <c r="O17" s="2077">
        <v>77578</v>
      </c>
      <c r="P17" s="2079">
        <f t="shared" si="4"/>
        <v>0</v>
      </c>
      <c r="Q17" s="2079">
        <f t="shared" si="28"/>
        <v>275530</v>
      </c>
      <c r="R17" s="274"/>
      <c r="S17" s="2077">
        <v>74857</v>
      </c>
      <c r="T17" s="2079">
        <f t="shared" si="6"/>
        <v>0</v>
      </c>
      <c r="U17" s="2079">
        <f t="shared" si="7"/>
        <v>350387</v>
      </c>
      <c r="V17" s="274"/>
      <c r="W17" s="2077">
        <v>77679</v>
      </c>
      <c r="X17" s="3980"/>
      <c r="Y17" s="2078">
        <f t="shared" si="8"/>
        <v>230114</v>
      </c>
      <c r="Z17" s="4740">
        <f t="shared" si="9"/>
        <v>0</v>
      </c>
      <c r="AA17" s="4740">
        <f t="shared" si="10"/>
        <v>428066</v>
      </c>
      <c r="AB17" s="274"/>
      <c r="AC17" s="2077">
        <v>77501</v>
      </c>
      <c r="AD17" s="2079">
        <f t="shared" si="11"/>
        <v>0</v>
      </c>
      <c r="AE17" s="2079">
        <f t="shared" si="12"/>
        <v>505567</v>
      </c>
      <c r="AF17" s="274"/>
      <c r="AG17" s="2077">
        <v>3011</v>
      </c>
      <c r="AH17" s="2079">
        <f t="shared" si="13"/>
        <v>0</v>
      </c>
      <c r="AI17" s="2079">
        <f t="shared" si="14"/>
        <v>508578</v>
      </c>
      <c r="AJ17" s="274"/>
      <c r="AK17" s="2077">
        <v>73114</v>
      </c>
      <c r="AL17" s="3980"/>
      <c r="AM17" s="2078">
        <f t="shared" si="15"/>
        <v>153626</v>
      </c>
      <c r="AN17" s="2079">
        <f t="shared" si="16"/>
        <v>0</v>
      </c>
      <c r="AO17" s="2079">
        <f t="shared" si="17"/>
        <v>581692</v>
      </c>
      <c r="AP17" s="274"/>
      <c r="AQ17" s="2077">
        <v>67224</v>
      </c>
      <c r="AR17" s="2079">
        <f t="shared" si="18"/>
        <v>0</v>
      </c>
      <c r="AS17" s="2079">
        <f t="shared" si="19"/>
        <v>648916</v>
      </c>
      <c r="AT17" s="274"/>
      <c r="AU17" s="2077">
        <v>70069</v>
      </c>
      <c r="AV17" s="2079">
        <f t="shared" si="20"/>
        <v>0</v>
      </c>
      <c r="AW17" s="2079">
        <f t="shared" si="21"/>
        <v>718985</v>
      </c>
      <c r="AX17" s="274"/>
      <c r="AY17" s="2077">
        <v>82371</v>
      </c>
      <c r="AZ17" s="3980"/>
      <c r="BA17" s="2078">
        <f t="shared" si="22"/>
        <v>219664</v>
      </c>
      <c r="BB17" s="4740">
        <f t="shared" si="23"/>
        <v>0</v>
      </c>
      <c r="BC17" s="4740">
        <f t="shared" si="38"/>
        <v>373290</v>
      </c>
      <c r="BD17" s="2079">
        <f t="shared" si="25"/>
        <v>0</v>
      </c>
      <c r="BE17" s="2079">
        <f t="shared" si="26"/>
        <v>801356</v>
      </c>
    </row>
    <row r="18" spans="2:73" ht="18.75" x14ac:dyDescent="0.25">
      <c r="B18" s="6058"/>
      <c r="C18" s="2089" t="s">
        <v>1307</v>
      </c>
      <c r="D18" s="1708"/>
      <c r="E18" s="2077">
        <v>621</v>
      </c>
      <c r="F18" s="2077"/>
      <c r="G18" s="2077">
        <v>1293</v>
      </c>
      <c r="H18" s="2079">
        <f t="shared" si="1"/>
        <v>0</v>
      </c>
      <c r="I18" s="2162">
        <f t="shared" si="2"/>
        <v>1914</v>
      </c>
      <c r="J18" s="2077"/>
      <c r="K18" s="2077">
        <v>901</v>
      </c>
      <c r="L18" s="2078">
        <f t="shared" si="3"/>
        <v>0</v>
      </c>
      <c r="M18" s="2078">
        <f t="shared" si="0"/>
        <v>2815</v>
      </c>
      <c r="N18" s="274"/>
      <c r="O18" s="2077">
        <v>855</v>
      </c>
      <c r="P18" s="2079">
        <f t="shared" si="4"/>
        <v>0</v>
      </c>
      <c r="Q18" s="2079">
        <f t="shared" si="28"/>
        <v>3670</v>
      </c>
      <c r="R18" s="274"/>
      <c r="S18" s="2077">
        <v>912</v>
      </c>
      <c r="T18" s="2079">
        <f t="shared" si="6"/>
        <v>0</v>
      </c>
      <c r="U18" s="2079">
        <f t="shared" si="7"/>
        <v>4582</v>
      </c>
      <c r="V18" s="274"/>
      <c r="W18" s="2077">
        <v>798</v>
      </c>
      <c r="X18" s="3980"/>
      <c r="Y18" s="2078">
        <f t="shared" si="8"/>
        <v>2565</v>
      </c>
      <c r="Z18" s="4740">
        <f t="shared" si="9"/>
        <v>0</v>
      </c>
      <c r="AA18" s="4740">
        <f t="shared" si="10"/>
        <v>5380</v>
      </c>
      <c r="AB18" s="274"/>
      <c r="AC18" s="2077">
        <v>910</v>
      </c>
      <c r="AD18" s="2079">
        <f t="shared" si="11"/>
        <v>0</v>
      </c>
      <c r="AE18" s="2079">
        <f t="shared" si="12"/>
        <v>6290</v>
      </c>
      <c r="AF18" s="274"/>
      <c r="AG18" s="2077">
        <v>125</v>
      </c>
      <c r="AH18" s="2079">
        <f t="shared" si="13"/>
        <v>0</v>
      </c>
      <c r="AI18" s="2079">
        <f t="shared" si="14"/>
        <v>6415</v>
      </c>
      <c r="AJ18" s="274"/>
      <c r="AK18" s="2077">
        <v>1420</v>
      </c>
      <c r="AL18" s="3980"/>
      <c r="AM18" s="2078">
        <f t="shared" si="15"/>
        <v>2455</v>
      </c>
      <c r="AN18" s="2079">
        <f t="shared" si="16"/>
        <v>0</v>
      </c>
      <c r="AO18" s="2079">
        <f t="shared" si="17"/>
        <v>7835</v>
      </c>
      <c r="AP18" s="274"/>
      <c r="AQ18" s="2077">
        <v>1299</v>
      </c>
      <c r="AR18" s="2079">
        <f t="shared" si="18"/>
        <v>0</v>
      </c>
      <c r="AS18" s="2079">
        <f t="shared" si="19"/>
        <v>9134</v>
      </c>
      <c r="AT18" s="274"/>
      <c r="AU18" s="2077">
        <v>969</v>
      </c>
      <c r="AV18" s="2079">
        <f t="shared" si="20"/>
        <v>0</v>
      </c>
      <c r="AW18" s="2079">
        <f t="shared" si="21"/>
        <v>10103</v>
      </c>
      <c r="AX18" s="274"/>
      <c r="AY18" s="2077">
        <v>1498</v>
      </c>
      <c r="AZ18" s="3980"/>
      <c r="BA18" s="2078">
        <f t="shared" si="22"/>
        <v>3766</v>
      </c>
      <c r="BB18" s="4740">
        <f t="shared" si="23"/>
        <v>0</v>
      </c>
      <c r="BC18" s="4740">
        <f t="shared" si="38"/>
        <v>6221</v>
      </c>
      <c r="BD18" s="2079">
        <f t="shared" si="25"/>
        <v>0</v>
      </c>
      <c r="BE18" s="2079">
        <f t="shared" si="26"/>
        <v>11601</v>
      </c>
    </row>
    <row r="19" spans="2:73" s="149" customFormat="1" ht="18.75" x14ac:dyDescent="0.25">
      <c r="B19" s="6058"/>
      <c r="C19" s="2089" t="s">
        <v>177</v>
      </c>
      <c r="D19" s="1708"/>
      <c r="E19" s="2077">
        <v>713</v>
      </c>
      <c r="F19" s="2077"/>
      <c r="G19" s="2077">
        <v>513</v>
      </c>
      <c r="H19" s="2079">
        <f t="shared" si="1"/>
        <v>0</v>
      </c>
      <c r="I19" s="2162">
        <f t="shared" si="2"/>
        <v>1226</v>
      </c>
      <c r="J19" s="2077"/>
      <c r="K19" s="2077">
        <v>390</v>
      </c>
      <c r="L19" s="2078">
        <f t="shared" si="3"/>
        <v>0</v>
      </c>
      <c r="M19" s="2078">
        <f t="shared" si="0"/>
        <v>1616</v>
      </c>
      <c r="N19" s="274"/>
      <c r="O19" s="2077">
        <v>910</v>
      </c>
      <c r="P19" s="2079">
        <f t="shared" si="4"/>
        <v>0</v>
      </c>
      <c r="Q19" s="2079">
        <f t="shared" si="28"/>
        <v>2526</v>
      </c>
      <c r="R19" s="274"/>
      <c r="S19" s="2077">
        <v>712</v>
      </c>
      <c r="T19" s="2079">
        <f t="shared" si="6"/>
        <v>0</v>
      </c>
      <c r="U19" s="2079">
        <f t="shared" si="7"/>
        <v>3238</v>
      </c>
      <c r="V19" s="274"/>
      <c r="W19" s="2077">
        <v>0</v>
      </c>
      <c r="X19" s="3980"/>
      <c r="Y19" s="2078">
        <f t="shared" si="8"/>
        <v>1622</v>
      </c>
      <c r="Z19" s="4740">
        <f t="shared" si="9"/>
        <v>0</v>
      </c>
      <c r="AA19" s="4740">
        <f t="shared" si="10"/>
        <v>3238</v>
      </c>
      <c r="AB19" s="274"/>
      <c r="AC19" s="2077">
        <v>401</v>
      </c>
      <c r="AD19" s="2079">
        <f t="shared" si="11"/>
        <v>0</v>
      </c>
      <c r="AE19" s="2079">
        <f t="shared" si="12"/>
        <v>3639</v>
      </c>
      <c r="AF19" s="274"/>
      <c r="AG19" s="2077">
        <v>0</v>
      </c>
      <c r="AH19" s="2079">
        <f t="shared" si="13"/>
        <v>0</v>
      </c>
      <c r="AI19" s="2079">
        <f t="shared" si="14"/>
        <v>3639</v>
      </c>
      <c r="AJ19" s="274"/>
      <c r="AK19" s="2077">
        <v>0</v>
      </c>
      <c r="AL19" s="3980"/>
      <c r="AM19" s="2078">
        <f t="shared" si="15"/>
        <v>401</v>
      </c>
      <c r="AN19" s="2079">
        <f t="shared" si="16"/>
        <v>0</v>
      </c>
      <c r="AO19" s="2079">
        <f t="shared" si="17"/>
        <v>3639</v>
      </c>
      <c r="AP19" s="274"/>
      <c r="AQ19" s="2077">
        <v>99</v>
      </c>
      <c r="AR19" s="2079">
        <f t="shared" si="18"/>
        <v>0</v>
      </c>
      <c r="AS19" s="2079">
        <f t="shared" si="19"/>
        <v>3738</v>
      </c>
      <c r="AT19" s="274"/>
      <c r="AU19" s="2077">
        <v>0</v>
      </c>
      <c r="AV19" s="2079">
        <f t="shared" si="20"/>
        <v>0</v>
      </c>
      <c r="AW19" s="2079">
        <f t="shared" si="21"/>
        <v>3738</v>
      </c>
      <c r="AX19" s="274"/>
      <c r="AY19" s="2077">
        <v>434</v>
      </c>
      <c r="AZ19" s="3980"/>
      <c r="BA19" s="2078">
        <f t="shared" si="22"/>
        <v>533</v>
      </c>
      <c r="BB19" s="4740">
        <f t="shared" si="23"/>
        <v>0</v>
      </c>
      <c r="BC19" s="4740">
        <f t="shared" si="38"/>
        <v>934</v>
      </c>
      <c r="BD19" s="2079">
        <f t="shared" si="25"/>
        <v>0</v>
      </c>
      <c r="BE19" s="2079">
        <f t="shared" si="26"/>
        <v>4172</v>
      </c>
      <c r="BF19"/>
      <c r="BG19"/>
      <c r="BH19"/>
      <c r="BI19"/>
      <c r="BJ19"/>
      <c r="BK19"/>
    </row>
    <row r="20" spans="2:73" s="149" customFormat="1" ht="18.75" x14ac:dyDescent="0.25">
      <c r="B20" s="6058"/>
      <c r="C20" s="5399" t="s">
        <v>1699</v>
      </c>
      <c r="D20" s="5400"/>
      <c r="E20" s="5401">
        <v>338</v>
      </c>
      <c r="F20" s="5401"/>
      <c r="G20" s="5401">
        <v>315</v>
      </c>
      <c r="H20" s="5402">
        <v>0</v>
      </c>
      <c r="I20" s="2162">
        <f t="shared" si="2"/>
        <v>653</v>
      </c>
      <c r="J20" s="5401"/>
      <c r="K20" s="5401">
        <v>140</v>
      </c>
      <c r="L20" s="5403"/>
      <c r="M20" s="2078">
        <f t="shared" si="0"/>
        <v>793</v>
      </c>
      <c r="N20" s="5404"/>
      <c r="O20" s="5401">
        <v>306</v>
      </c>
      <c r="P20" s="5402"/>
      <c r="Q20" s="2079">
        <f t="shared" si="28"/>
        <v>1099</v>
      </c>
      <c r="R20" s="5404"/>
      <c r="S20" s="5401">
        <v>80</v>
      </c>
      <c r="T20" s="5402"/>
      <c r="U20" s="2079">
        <f t="shared" si="7"/>
        <v>1179</v>
      </c>
      <c r="V20" s="5404"/>
      <c r="W20" s="5401">
        <v>0</v>
      </c>
      <c r="X20" s="5401"/>
      <c r="Y20" s="2078">
        <f t="shared" ref="Y20" si="39">O20+S20+W20</f>
        <v>386</v>
      </c>
      <c r="Z20" s="4740">
        <f t="shared" ref="Z20" si="40">+T20+V20</f>
        <v>0</v>
      </c>
      <c r="AA20" s="4740">
        <f t="shared" ref="AA20" si="41">+U20+W20</f>
        <v>1179</v>
      </c>
      <c r="AB20" s="5404"/>
      <c r="AC20" s="5401"/>
      <c r="AD20" s="5402"/>
      <c r="AE20" s="5402"/>
      <c r="AF20" s="5404"/>
      <c r="AG20" s="5401"/>
      <c r="AH20" s="5402"/>
      <c r="AI20" s="5402"/>
      <c r="AJ20" s="5404"/>
      <c r="AK20" s="5401"/>
      <c r="AL20" s="5401"/>
      <c r="AM20" s="5403"/>
      <c r="AN20" s="5402"/>
      <c r="AO20" s="5402"/>
      <c r="AP20" s="5404"/>
      <c r="AQ20" s="5401"/>
      <c r="AR20" s="5402"/>
      <c r="AS20" s="5402"/>
      <c r="AT20" s="5404"/>
      <c r="AU20" s="5401"/>
      <c r="AV20" s="5402"/>
      <c r="AW20" s="5402"/>
      <c r="AX20" s="5404"/>
      <c r="AY20" s="5401"/>
      <c r="AZ20" s="5401"/>
      <c r="BA20" s="5403"/>
      <c r="BB20" s="5405"/>
      <c r="BC20" s="5405"/>
      <c r="BD20" s="5402"/>
      <c r="BE20" s="5402"/>
      <c r="BF20"/>
      <c r="BG20"/>
      <c r="BH20"/>
      <c r="BI20"/>
      <c r="BJ20"/>
      <c r="BK20"/>
    </row>
    <row r="21" spans="2:73" s="149" customFormat="1" ht="18.75" x14ac:dyDescent="0.25">
      <c r="B21" s="6058"/>
      <c r="C21" s="2089" t="s">
        <v>2253</v>
      </c>
      <c r="D21" s="2500"/>
      <c r="E21" s="2501">
        <v>0</v>
      </c>
      <c r="F21" s="2501"/>
      <c r="G21" s="2501">
        <v>1700</v>
      </c>
      <c r="H21" s="2079">
        <f t="shared" si="1"/>
        <v>0</v>
      </c>
      <c r="I21" s="2162">
        <f t="shared" si="2"/>
        <v>1700</v>
      </c>
      <c r="J21" s="2501"/>
      <c r="K21" s="2501">
        <v>0</v>
      </c>
      <c r="L21" s="2503"/>
      <c r="M21" s="2078">
        <f t="shared" si="0"/>
        <v>1700</v>
      </c>
      <c r="N21" s="2504"/>
      <c r="O21" s="2501">
        <v>0</v>
      </c>
      <c r="P21" s="2502"/>
      <c r="Q21" s="2079">
        <f t="shared" si="28"/>
        <v>1700</v>
      </c>
      <c r="R21" s="2504"/>
      <c r="S21" s="2501">
        <v>0</v>
      </c>
      <c r="T21" s="2502"/>
      <c r="U21" s="2079">
        <f t="shared" si="7"/>
        <v>1700</v>
      </c>
      <c r="V21" s="2504"/>
      <c r="W21" s="2501">
        <v>0</v>
      </c>
      <c r="X21" s="3980"/>
      <c r="Y21" s="2078">
        <f t="shared" si="8"/>
        <v>0</v>
      </c>
      <c r="Z21" s="4742"/>
      <c r="AA21" s="4740">
        <f t="shared" si="10"/>
        <v>1700</v>
      </c>
      <c r="AB21" s="2504"/>
      <c r="AC21" s="2501">
        <v>452</v>
      </c>
      <c r="AD21" s="2502"/>
      <c r="AE21" s="2079">
        <f t="shared" si="12"/>
        <v>2152</v>
      </c>
      <c r="AF21" s="2504"/>
      <c r="AG21" s="2501">
        <v>0</v>
      </c>
      <c r="AH21" s="2502"/>
      <c r="AI21" s="2079">
        <f t="shared" si="14"/>
        <v>2152</v>
      </c>
      <c r="AJ21" s="2504"/>
      <c r="AK21" s="2501">
        <v>80</v>
      </c>
      <c r="AL21" s="3980"/>
      <c r="AM21" s="2078">
        <f t="shared" si="15"/>
        <v>532</v>
      </c>
      <c r="AN21" s="2502"/>
      <c r="AO21" s="2079">
        <f t="shared" si="17"/>
        <v>2232</v>
      </c>
      <c r="AP21" s="2504"/>
      <c r="AQ21" s="2501">
        <v>396</v>
      </c>
      <c r="AR21" s="2079">
        <f t="shared" si="18"/>
        <v>0</v>
      </c>
      <c r="AS21" s="2079">
        <f t="shared" si="19"/>
        <v>2628</v>
      </c>
      <c r="AT21" s="2504"/>
      <c r="AU21" s="2501">
        <v>351</v>
      </c>
      <c r="AV21" s="2079">
        <f t="shared" si="20"/>
        <v>0</v>
      </c>
      <c r="AW21" s="2079">
        <f t="shared" si="21"/>
        <v>2979</v>
      </c>
      <c r="AX21" s="2504"/>
      <c r="AY21" s="2501">
        <v>380</v>
      </c>
      <c r="AZ21" s="3980"/>
      <c r="BA21" s="2078">
        <f t="shared" si="22"/>
        <v>1127</v>
      </c>
      <c r="BB21" s="4742"/>
      <c r="BC21" s="4740">
        <f t="shared" si="38"/>
        <v>1659</v>
      </c>
      <c r="BD21" s="2079">
        <f t="shared" si="25"/>
        <v>0</v>
      </c>
      <c r="BE21" s="2079">
        <f t="shared" si="26"/>
        <v>3359</v>
      </c>
      <c r="BF21"/>
      <c r="BG21"/>
      <c r="BH21"/>
      <c r="BI21"/>
      <c r="BJ21"/>
      <c r="BK21"/>
    </row>
    <row r="22" spans="2:73" s="149" customFormat="1" ht="18.75" x14ac:dyDescent="0.25">
      <c r="B22" s="6054" t="s">
        <v>986</v>
      </c>
      <c r="C22" s="2091" t="s">
        <v>1583</v>
      </c>
      <c r="D22" s="2086"/>
      <c r="E22" s="270">
        <f>SUM(E8:E21)</f>
        <v>400124</v>
      </c>
      <c r="F22" s="270">
        <f>SUM(F8:F19)</f>
        <v>0</v>
      </c>
      <c r="G22" s="270">
        <f>SUM(G8:G21)</f>
        <v>426012</v>
      </c>
      <c r="H22" s="2079">
        <f t="shared" si="1"/>
        <v>0</v>
      </c>
      <c r="I22" s="2162">
        <f t="shared" si="2"/>
        <v>826136</v>
      </c>
      <c r="J22" s="270">
        <f>SUM(J8:J19)</f>
        <v>0</v>
      </c>
      <c r="K22" s="270">
        <f>SUM(K8:K21)</f>
        <v>436758</v>
      </c>
      <c r="L22" s="2078">
        <f t="shared" si="3"/>
        <v>0</v>
      </c>
      <c r="M22" s="2078">
        <f t="shared" si="0"/>
        <v>1262894</v>
      </c>
      <c r="N22" s="270">
        <f>SUM(N8:N19)</f>
        <v>0</v>
      </c>
      <c r="O22" s="270">
        <f>SUM(O8:O21)</f>
        <v>458887</v>
      </c>
      <c r="P22" s="2079">
        <f t="shared" si="4"/>
        <v>0</v>
      </c>
      <c r="Q22" s="2079">
        <f t="shared" si="28"/>
        <v>1721781</v>
      </c>
      <c r="R22" s="270">
        <f>SUM(R8:R19)</f>
        <v>0</v>
      </c>
      <c r="S22" s="270">
        <f>SUM(S8:S21)</f>
        <v>449222</v>
      </c>
      <c r="T22" s="2079">
        <f t="shared" ref="T22:T24" si="42">+P22+R22</f>
        <v>0</v>
      </c>
      <c r="U22" s="2079">
        <f t="shared" si="7"/>
        <v>2171003</v>
      </c>
      <c r="V22" s="270">
        <f>SUM(V8:V19)</f>
        <v>0</v>
      </c>
      <c r="W22" s="270">
        <f>SUM(W8:W21)</f>
        <v>444298</v>
      </c>
      <c r="X22" s="3371"/>
      <c r="Y22" s="2078">
        <f t="shared" si="8"/>
        <v>1352407</v>
      </c>
      <c r="Z22" s="4740">
        <f t="shared" ref="Z22:Z24" si="43">+T22+V22</f>
        <v>0</v>
      </c>
      <c r="AA22" s="4740">
        <f t="shared" si="10"/>
        <v>2615301</v>
      </c>
      <c r="AB22" s="270">
        <f>SUM(AB8:AB19)</f>
        <v>0</v>
      </c>
      <c r="AC22" s="270">
        <f>SUM(AC8:AC21)</f>
        <v>486001</v>
      </c>
      <c r="AD22" s="2079">
        <f t="shared" ref="AD22:AD24" si="44">+Z22+AB22</f>
        <v>0</v>
      </c>
      <c r="AE22" s="2079">
        <f t="shared" si="12"/>
        <v>3101302</v>
      </c>
      <c r="AF22" s="270">
        <f>SUM(AF8:AF19)</f>
        <v>0</v>
      </c>
      <c r="AG22" s="270">
        <f>SUM(AG8:AG21)</f>
        <v>20121</v>
      </c>
      <c r="AH22" s="2079">
        <f t="shared" ref="AH22:AH24" si="45">+AD22+AF22</f>
        <v>0</v>
      </c>
      <c r="AI22" s="2079">
        <f t="shared" si="14"/>
        <v>3121423</v>
      </c>
      <c r="AJ22" s="270">
        <f>SUM(AJ8:AJ19)</f>
        <v>0</v>
      </c>
      <c r="AK22" s="270">
        <f>SUM(AK8:AK21)</f>
        <v>462307</v>
      </c>
      <c r="AL22" s="3371"/>
      <c r="AM22" s="2078">
        <f t="shared" si="15"/>
        <v>968429</v>
      </c>
      <c r="AN22" s="2079">
        <f t="shared" ref="AN22:AN24" si="46">+AH22+AJ22</f>
        <v>0</v>
      </c>
      <c r="AO22" s="2079">
        <f t="shared" si="17"/>
        <v>3583730</v>
      </c>
      <c r="AP22" s="270">
        <f>SUM(AP8:AP19)</f>
        <v>0</v>
      </c>
      <c r="AQ22" s="270">
        <f>SUM(AQ8:AQ21)</f>
        <v>434696</v>
      </c>
      <c r="AR22" s="2079">
        <f t="shared" ref="AR22:AR24" si="47">+AN22+AP22</f>
        <v>0</v>
      </c>
      <c r="AS22" s="2079">
        <f t="shared" si="19"/>
        <v>4018426</v>
      </c>
      <c r="AT22" s="270">
        <f>SUM(AT8:AT19)</f>
        <v>0</v>
      </c>
      <c r="AU22" s="270">
        <f>SUM(AU8:AU21)</f>
        <v>414569</v>
      </c>
      <c r="AV22" s="2079">
        <f t="shared" si="20"/>
        <v>0</v>
      </c>
      <c r="AW22" s="2079">
        <f t="shared" si="21"/>
        <v>4432995</v>
      </c>
      <c r="AX22" s="270">
        <f>SUM(AX8:AX19)</f>
        <v>0</v>
      </c>
      <c r="AY22" s="270">
        <f>SUM(AY8:AY21)</f>
        <v>501847</v>
      </c>
      <c r="AZ22" s="3371"/>
      <c r="BA22" s="2078">
        <f t="shared" si="22"/>
        <v>1351112</v>
      </c>
      <c r="BB22" s="4740">
        <f t="shared" ref="BB22:BB24" si="48">+AV22+AX22</f>
        <v>0</v>
      </c>
      <c r="BC22" s="4740">
        <f t="shared" si="38"/>
        <v>2319541</v>
      </c>
      <c r="BD22" s="2079">
        <f t="shared" si="25"/>
        <v>0</v>
      </c>
      <c r="BE22" s="2079">
        <f t="shared" si="26"/>
        <v>4934842</v>
      </c>
      <c r="BF22"/>
      <c r="BG22"/>
      <c r="BH22"/>
      <c r="BI22"/>
      <c r="BJ22"/>
      <c r="BK22"/>
    </row>
    <row r="23" spans="2:73" ht="18.75" x14ac:dyDescent="0.25">
      <c r="B23" s="6055"/>
      <c r="C23" s="2091" t="s">
        <v>1584</v>
      </c>
      <c r="D23" s="2086"/>
      <c r="E23" s="270">
        <f>+E46+E47+E48</f>
        <v>8505</v>
      </c>
      <c r="F23" s="2086"/>
      <c r="G23" s="270">
        <f>+G46+G47+G48</f>
        <v>12422</v>
      </c>
      <c r="H23" s="2079">
        <f t="shared" si="1"/>
        <v>0</v>
      </c>
      <c r="I23" s="2162">
        <f t="shared" si="2"/>
        <v>20927</v>
      </c>
      <c r="J23" s="2086"/>
      <c r="K23" s="270">
        <f>+K46+K47+K48</f>
        <v>17423</v>
      </c>
      <c r="L23" s="2078">
        <f t="shared" si="3"/>
        <v>0</v>
      </c>
      <c r="M23" s="2078">
        <f t="shared" si="0"/>
        <v>38350</v>
      </c>
      <c r="N23" s="184"/>
      <c r="O23" s="270">
        <f>+O46+O47+O48</f>
        <v>26940</v>
      </c>
      <c r="P23" s="2079">
        <f t="shared" si="4"/>
        <v>0</v>
      </c>
      <c r="Q23" s="2079">
        <f t="shared" si="28"/>
        <v>65290</v>
      </c>
      <c r="R23" s="184"/>
      <c r="S23" s="270">
        <f>+S46+S47+S48</f>
        <v>20134</v>
      </c>
      <c r="T23" s="2079">
        <f t="shared" si="42"/>
        <v>0</v>
      </c>
      <c r="U23" s="2079">
        <f t="shared" si="7"/>
        <v>85424</v>
      </c>
      <c r="V23" s="184"/>
      <c r="W23" s="270">
        <f>+W46+W47+W48</f>
        <v>25770</v>
      </c>
      <c r="X23" s="3371"/>
      <c r="Y23" s="2078">
        <f t="shared" si="8"/>
        <v>72844</v>
      </c>
      <c r="Z23" s="4740">
        <f t="shared" si="43"/>
        <v>0</v>
      </c>
      <c r="AA23" s="4740">
        <f t="shared" si="10"/>
        <v>111194</v>
      </c>
      <c r="AB23" s="184"/>
      <c r="AC23" s="270">
        <f>+AC46+AC47+AC48</f>
        <v>19220</v>
      </c>
      <c r="AD23" s="2079">
        <f t="shared" si="44"/>
        <v>0</v>
      </c>
      <c r="AE23" s="2079">
        <f t="shared" si="12"/>
        <v>130414</v>
      </c>
      <c r="AF23" s="184"/>
      <c r="AG23" s="270">
        <f>+AG46+AG47+AG48</f>
        <v>2068</v>
      </c>
      <c r="AH23" s="2079">
        <f t="shared" si="45"/>
        <v>0</v>
      </c>
      <c r="AI23" s="2079">
        <f t="shared" si="14"/>
        <v>132482</v>
      </c>
      <c r="AJ23" s="184"/>
      <c r="AK23" s="270">
        <f>+AK46+AK47+AK48</f>
        <v>17515</v>
      </c>
      <c r="AL23" s="3371"/>
      <c r="AM23" s="2078">
        <f t="shared" si="15"/>
        <v>38803</v>
      </c>
      <c r="AN23" s="2079">
        <f t="shared" si="46"/>
        <v>0</v>
      </c>
      <c r="AO23" s="2079">
        <f t="shared" si="17"/>
        <v>149997</v>
      </c>
      <c r="AP23" s="184"/>
      <c r="AQ23" s="270">
        <f>+AQ46+AQ47+AQ48</f>
        <v>19081</v>
      </c>
      <c r="AR23" s="2079">
        <f t="shared" si="47"/>
        <v>0</v>
      </c>
      <c r="AS23" s="2079">
        <f t="shared" si="19"/>
        <v>169078</v>
      </c>
      <c r="AT23" s="184"/>
      <c r="AU23" s="270">
        <f>+AU46+AU47+AU48</f>
        <v>13481</v>
      </c>
      <c r="AV23" s="2079">
        <f t="shared" si="20"/>
        <v>0</v>
      </c>
      <c r="AW23" s="2079">
        <f t="shared" si="21"/>
        <v>182559</v>
      </c>
      <c r="AX23" s="184"/>
      <c r="AY23" s="270">
        <f>+AY46+AY47+AY48</f>
        <v>19371</v>
      </c>
      <c r="AZ23" s="3371"/>
      <c r="BA23" s="2078">
        <f t="shared" si="22"/>
        <v>51933</v>
      </c>
      <c r="BB23" s="4740">
        <f t="shared" si="48"/>
        <v>0</v>
      </c>
      <c r="BC23" s="4740">
        <f t="shared" si="38"/>
        <v>90736</v>
      </c>
      <c r="BD23" s="2079">
        <f t="shared" si="25"/>
        <v>0</v>
      </c>
      <c r="BE23" s="2079">
        <f t="shared" si="26"/>
        <v>201930</v>
      </c>
    </row>
    <row r="24" spans="2:73" ht="18.75" x14ac:dyDescent="0.25">
      <c r="B24" s="6056"/>
      <c r="C24" s="4951" t="s">
        <v>1585</v>
      </c>
      <c r="D24" s="2086"/>
      <c r="E24" s="270">
        <f>SUM(E22:E23)</f>
        <v>408629</v>
      </c>
      <c r="F24" s="2086"/>
      <c r="G24" s="270">
        <f>SUM(G22:G23)</f>
        <v>438434</v>
      </c>
      <c r="H24" s="2079">
        <f t="shared" si="1"/>
        <v>0</v>
      </c>
      <c r="I24" s="2162">
        <f t="shared" si="2"/>
        <v>847063</v>
      </c>
      <c r="J24" s="270">
        <f t="shared" ref="J24:N24" si="49">SUM(J22:J23)</f>
        <v>0</v>
      </c>
      <c r="K24" s="270">
        <f>SUM(K22:K23)</f>
        <v>454181</v>
      </c>
      <c r="L24" s="2078">
        <f t="shared" si="3"/>
        <v>0</v>
      </c>
      <c r="M24" s="2078">
        <f t="shared" si="0"/>
        <v>1301244</v>
      </c>
      <c r="N24" s="270">
        <f t="shared" si="49"/>
        <v>0</v>
      </c>
      <c r="O24" s="270">
        <f>SUM(O22:O23)</f>
        <v>485827</v>
      </c>
      <c r="P24" s="2079">
        <f t="shared" si="4"/>
        <v>0</v>
      </c>
      <c r="Q24" s="2079">
        <f t="shared" si="28"/>
        <v>1787071</v>
      </c>
      <c r="R24" s="270">
        <f t="shared" ref="R24" si="50">SUM(R22:R23)</f>
        <v>0</v>
      </c>
      <c r="S24" s="270">
        <f>SUM(S22:S23)</f>
        <v>469356</v>
      </c>
      <c r="T24" s="2079">
        <f t="shared" si="42"/>
        <v>0</v>
      </c>
      <c r="U24" s="2079">
        <f t="shared" si="7"/>
        <v>2256427</v>
      </c>
      <c r="V24" s="270">
        <f t="shared" ref="V24" si="51">SUM(V22:V23)</f>
        <v>0</v>
      </c>
      <c r="W24" s="270">
        <f>SUM(W22:W23)</f>
        <v>470068</v>
      </c>
      <c r="X24" s="3371"/>
      <c r="Y24" s="2078">
        <f t="shared" si="8"/>
        <v>1425251</v>
      </c>
      <c r="Z24" s="4740">
        <f t="shared" si="43"/>
        <v>0</v>
      </c>
      <c r="AA24" s="4740">
        <f t="shared" si="10"/>
        <v>2726495</v>
      </c>
      <c r="AB24" s="270">
        <f t="shared" ref="AB24" si="52">SUM(AB22:AB23)</f>
        <v>0</v>
      </c>
      <c r="AC24" s="270">
        <f>SUM(AC22:AC23)</f>
        <v>505221</v>
      </c>
      <c r="AD24" s="2079">
        <f t="shared" si="44"/>
        <v>0</v>
      </c>
      <c r="AE24" s="2079">
        <f t="shared" si="12"/>
        <v>3231716</v>
      </c>
      <c r="AF24" s="270">
        <f t="shared" ref="AF24" si="53">SUM(AF22:AF23)</f>
        <v>0</v>
      </c>
      <c r="AG24" s="270">
        <f>SUM(AG22:AG23)</f>
        <v>22189</v>
      </c>
      <c r="AH24" s="2079">
        <f t="shared" si="45"/>
        <v>0</v>
      </c>
      <c r="AI24" s="2079">
        <f t="shared" si="14"/>
        <v>3253905</v>
      </c>
      <c r="AJ24" s="270">
        <f t="shared" ref="AJ24" si="54">SUM(AJ22:AJ23)</f>
        <v>0</v>
      </c>
      <c r="AK24" s="270">
        <f>SUM(AK22:AK23)</f>
        <v>479822</v>
      </c>
      <c r="AL24" s="3371"/>
      <c r="AM24" s="2078">
        <f t="shared" si="15"/>
        <v>1007232</v>
      </c>
      <c r="AN24" s="2079">
        <f t="shared" si="46"/>
        <v>0</v>
      </c>
      <c r="AO24" s="2079">
        <f t="shared" si="17"/>
        <v>3733727</v>
      </c>
      <c r="AP24" s="270">
        <f t="shared" ref="AP24" si="55">SUM(AP22:AP23)</f>
        <v>0</v>
      </c>
      <c r="AQ24" s="270">
        <f>SUM(AQ22:AQ23)</f>
        <v>453777</v>
      </c>
      <c r="AR24" s="2079">
        <f t="shared" si="47"/>
        <v>0</v>
      </c>
      <c r="AS24" s="2079">
        <f t="shared" si="19"/>
        <v>4187504</v>
      </c>
      <c r="AT24" s="270">
        <f t="shared" ref="AT24" si="56">SUM(AT22:AT23)</f>
        <v>0</v>
      </c>
      <c r="AU24" s="270">
        <f>SUM(AU22:AU23)</f>
        <v>428050</v>
      </c>
      <c r="AV24" s="2079">
        <f t="shared" si="20"/>
        <v>0</v>
      </c>
      <c r="AW24" s="2079">
        <f t="shared" si="21"/>
        <v>4615554</v>
      </c>
      <c r="AX24" s="270">
        <f t="shared" ref="AX24" si="57">SUM(AX22:AX23)</f>
        <v>0</v>
      </c>
      <c r="AY24" s="270">
        <f>SUM(AY22:AY23)</f>
        <v>521218</v>
      </c>
      <c r="AZ24" s="3371"/>
      <c r="BA24" s="2078">
        <f t="shared" si="22"/>
        <v>1403045</v>
      </c>
      <c r="BB24" s="4740">
        <f t="shared" si="48"/>
        <v>0</v>
      </c>
      <c r="BC24" s="4740">
        <f t="shared" si="38"/>
        <v>2410277</v>
      </c>
      <c r="BD24" s="2079">
        <f t="shared" si="25"/>
        <v>0</v>
      </c>
      <c r="BE24" s="2079">
        <f t="shared" si="26"/>
        <v>5136772</v>
      </c>
    </row>
    <row r="25" spans="2:73" ht="18" x14ac:dyDescent="0.35">
      <c r="B25" s="2104"/>
      <c r="C25" s="2092"/>
      <c r="D25" s="948"/>
      <c r="E25" s="2239"/>
      <c r="F25" s="2239"/>
      <c r="G25" s="2239"/>
      <c r="H25" s="2239"/>
      <c r="I25" s="2239"/>
      <c r="J25" s="2239"/>
      <c r="K25" s="2239"/>
      <c r="L25" s="2239"/>
      <c r="M25" s="2239"/>
      <c r="N25" s="2239"/>
      <c r="O25" s="2239"/>
      <c r="P25" s="2239"/>
      <c r="Q25" s="2239"/>
      <c r="R25" s="2239"/>
      <c r="S25" s="2239"/>
      <c r="T25" s="2239"/>
      <c r="U25" s="2239"/>
      <c r="V25" s="2239"/>
      <c r="W25" s="2239"/>
      <c r="X25" s="4110"/>
      <c r="Y25" s="403"/>
      <c r="Z25" s="2239"/>
      <c r="AA25" s="2239"/>
      <c r="AB25" s="2239"/>
      <c r="AC25" s="2239"/>
      <c r="AD25" s="2239"/>
      <c r="AE25" s="2239"/>
      <c r="AF25" s="2239"/>
      <c r="AG25" s="2239"/>
      <c r="AH25" s="2239"/>
      <c r="AI25" s="2239"/>
      <c r="AJ25" s="2239"/>
      <c r="AK25" s="2239"/>
      <c r="AL25" s="4110"/>
      <c r="AM25" s="403"/>
      <c r="AN25" s="2239"/>
      <c r="AO25" s="2239"/>
      <c r="AP25" s="2239"/>
      <c r="AQ25" s="2239"/>
      <c r="AR25" s="2239"/>
      <c r="AS25" s="2239"/>
      <c r="AT25" s="2239"/>
      <c r="AU25" s="2239"/>
      <c r="AV25" s="2239"/>
      <c r="AW25" s="2239"/>
      <c r="AX25" s="2239"/>
      <c r="AY25" s="2239"/>
      <c r="AZ25" s="4110"/>
      <c r="BA25" s="403"/>
      <c r="BB25" s="2239"/>
      <c r="BC25" s="2239"/>
      <c r="BD25" s="2239"/>
      <c r="BE25" s="2239"/>
    </row>
    <row r="26" spans="2:73" ht="18" x14ac:dyDescent="0.35">
      <c r="B26" s="2448"/>
      <c r="C26" s="2092"/>
      <c r="D26" s="948"/>
      <c r="E26" s="2239"/>
      <c r="F26" s="2239"/>
      <c r="G26" s="2239"/>
      <c r="H26" s="2239"/>
      <c r="I26" s="2239"/>
      <c r="J26" s="2239"/>
      <c r="K26" s="2239"/>
      <c r="L26" s="2239"/>
      <c r="M26" s="2239"/>
      <c r="N26" s="2239"/>
      <c r="O26" s="2239"/>
      <c r="P26" s="2239"/>
      <c r="Q26" s="2239"/>
      <c r="R26" s="2239"/>
      <c r="S26" s="2239"/>
      <c r="T26" s="2239"/>
      <c r="U26" s="2239"/>
      <c r="V26" s="2239"/>
      <c r="W26" s="2239"/>
      <c r="X26" s="4110"/>
      <c r="Y26" s="403"/>
      <c r="Z26" s="2239"/>
      <c r="AA26" s="2239"/>
      <c r="AB26" s="2239"/>
      <c r="AC26" s="2239"/>
      <c r="AD26" s="2239"/>
      <c r="AE26" s="2239"/>
      <c r="AF26" s="2239"/>
      <c r="AG26" s="2239"/>
      <c r="AH26" s="2239"/>
      <c r="AI26" s="2239"/>
      <c r="AJ26" s="2239"/>
      <c r="AK26" s="2239"/>
      <c r="AL26" s="4110"/>
      <c r="AM26" s="403"/>
      <c r="AN26" s="2239"/>
      <c r="AO26" s="2239"/>
      <c r="AP26" s="2239"/>
      <c r="AQ26" s="2239"/>
      <c r="AR26" s="2239"/>
      <c r="AS26" s="2239"/>
      <c r="AT26" s="2239"/>
      <c r="AU26" s="2239"/>
      <c r="AV26" s="2239"/>
      <c r="AW26" s="2239"/>
      <c r="AX26" s="2239"/>
      <c r="AY26" s="2239"/>
      <c r="AZ26" s="4110"/>
      <c r="BA26" s="403"/>
      <c r="BB26" s="2239"/>
      <c r="BC26" s="2239"/>
      <c r="BD26" s="2239"/>
      <c r="BE26" s="2239"/>
    </row>
    <row r="27" spans="2:73" ht="18.75" x14ac:dyDescent="0.3">
      <c r="B27" s="6057" t="s">
        <v>1586</v>
      </c>
      <c r="C27" s="2093" t="s">
        <v>1587</v>
      </c>
      <c r="D27" s="2087"/>
      <c r="E27" s="2239"/>
      <c r="F27" s="2239"/>
      <c r="G27" s="2239"/>
      <c r="H27" s="2239"/>
      <c r="I27" s="2239"/>
      <c r="J27" s="2239"/>
      <c r="K27" s="2239"/>
      <c r="L27" s="2239"/>
      <c r="M27" s="2239"/>
      <c r="N27" s="2239"/>
      <c r="O27" s="2239"/>
      <c r="P27" s="2239"/>
      <c r="Q27" s="2239"/>
      <c r="R27" s="2239"/>
      <c r="S27" s="2239"/>
      <c r="T27" s="2239"/>
      <c r="U27" s="2239"/>
      <c r="V27" s="2239"/>
      <c r="W27" s="2239"/>
      <c r="X27" s="4110"/>
      <c r="Y27" s="403"/>
      <c r="Z27" s="2239"/>
      <c r="AA27" s="2239"/>
      <c r="AB27" s="2239"/>
      <c r="AC27" s="2239"/>
      <c r="AD27" s="2239"/>
      <c r="AE27" s="2239"/>
      <c r="AF27" s="2239"/>
      <c r="AG27" s="2239"/>
      <c r="AH27" s="2239"/>
      <c r="AI27" s="2239"/>
      <c r="AJ27" s="2239"/>
      <c r="AK27" s="2239"/>
      <c r="AL27" s="4110"/>
      <c r="AM27" s="403"/>
      <c r="AN27" s="2239"/>
      <c r="AO27" s="2239"/>
      <c r="AP27" s="2239"/>
      <c r="AQ27" s="2239"/>
      <c r="AR27" s="2239"/>
      <c r="AS27" s="2239"/>
      <c r="AT27" s="2239"/>
      <c r="AU27" s="2239"/>
      <c r="AV27" s="2239"/>
      <c r="AW27" s="2239"/>
      <c r="AX27" s="2239"/>
      <c r="AY27" s="2239"/>
      <c r="AZ27" s="4110"/>
      <c r="BA27" s="403"/>
      <c r="BB27" s="2239"/>
      <c r="BC27" s="2239"/>
      <c r="BD27" s="2239"/>
      <c r="BE27" s="2239"/>
    </row>
    <row r="28" spans="2:73" s="149" customFormat="1" ht="18.75" x14ac:dyDescent="0.25">
      <c r="B28" s="6058"/>
      <c r="C28" s="2089" t="s">
        <v>1008</v>
      </c>
      <c r="D28" s="1708"/>
      <c r="E28" s="2077">
        <v>60954</v>
      </c>
      <c r="F28" s="2077"/>
      <c r="G28" s="2077">
        <v>66242</v>
      </c>
      <c r="H28" s="2079">
        <f t="shared" si="1"/>
        <v>0</v>
      </c>
      <c r="I28" s="2162">
        <f t="shared" si="2"/>
        <v>127196</v>
      </c>
      <c r="J28" s="2077"/>
      <c r="K28" s="2077">
        <v>70756</v>
      </c>
      <c r="L28" s="2078">
        <f t="shared" si="3"/>
        <v>0</v>
      </c>
      <c r="M28" s="2078">
        <f>E28+G28+K28</f>
        <v>197952</v>
      </c>
      <c r="N28" s="274"/>
      <c r="O28" s="2077">
        <v>77478</v>
      </c>
      <c r="P28" s="2079">
        <f t="shared" si="4"/>
        <v>0</v>
      </c>
      <c r="Q28" s="2079">
        <f t="shared" si="28"/>
        <v>275430</v>
      </c>
      <c r="R28" s="274"/>
      <c r="S28" s="2077">
        <v>74857</v>
      </c>
      <c r="T28" s="2079">
        <f t="shared" ref="T28:T31" si="58">+P28+R28</f>
        <v>0</v>
      </c>
      <c r="U28" s="2079">
        <f t="shared" ref="U28:U31" si="59">+Q28+S28</f>
        <v>350287</v>
      </c>
      <c r="V28" s="274"/>
      <c r="W28" s="2077">
        <v>77679</v>
      </c>
      <c r="X28" s="3980"/>
      <c r="Y28" s="2078">
        <f t="shared" si="8"/>
        <v>230014</v>
      </c>
      <c r="Z28" s="4740">
        <f t="shared" ref="Z28:Z31" si="60">+T28+V28</f>
        <v>0</v>
      </c>
      <c r="AA28" s="4740">
        <f t="shared" ref="AA28:AA31" si="61">+U28+W28</f>
        <v>427966</v>
      </c>
      <c r="AB28" s="274"/>
      <c r="AC28" s="2077">
        <v>75501</v>
      </c>
      <c r="AD28" s="2079">
        <f t="shared" ref="AD28:AD31" si="62">+Z28+AB28</f>
        <v>0</v>
      </c>
      <c r="AE28" s="2079">
        <f t="shared" ref="AE28:AE31" si="63">+AA28+AC28</f>
        <v>503467</v>
      </c>
      <c r="AF28" s="274"/>
      <c r="AG28" s="2077">
        <v>3021</v>
      </c>
      <c r="AH28" s="2079">
        <f t="shared" ref="AH28:AH31" si="64">+AD28+AF28</f>
        <v>0</v>
      </c>
      <c r="AI28" s="2079">
        <f t="shared" ref="AI28:AI31" si="65">+AE28+AG28</f>
        <v>506488</v>
      </c>
      <c r="AJ28" s="274"/>
      <c r="AK28" s="2077">
        <v>73124</v>
      </c>
      <c r="AL28" s="3980"/>
      <c r="AM28" s="2078">
        <f t="shared" si="15"/>
        <v>151646</v>
      </c>
      <c r="AN28" s="2079">
        <f t="shared" ref="AN28:AN31" si="66">+AH28+AJ28</f>
        <v>0</v>
      </c>
      <c r="AO28" s="2079">
        <f t="shared" ref="AO28:AO31" si="67">+AI28+AK28</f>
        <v>579612</v>
      </c>
      <c r="AP28" s="274"/>
      <c r="AQ28" s="2077">
        <v>70214</v>
      </c>
      <c r="AR28" s="2079">
        <f t="shared" ref="AR28:AR31" si="68">+AN28+AP28</f>
        <v>0</v>
      </c>
      <c r="AS28" s="2079">
        <f t="shared" ref="AS28:AS31" si="69">+AO28+AQ28</f>
        <v>649826</v>
      </c>
      <c r="AT28" s="274"/>
      <c r="AU28" s="2077">
        <v>70069</v>
      </c>
      <c r="AV28" s="2079">
        <f t="shared" ref="AV28:AV31" si="70">+AR28+AT28</f>
        <v>0</v>
      </c>
      <c r="AW28" s="2079">
        <f t="shared" ref="AW28:AW31" si="71">+AS28+AU28</f>
        <v>719895</v>
      </c>
      <c r="AX28" s="274"/>
      <c r="AY28" s="2077">
        <v>82771</v>
      </c>
      <c r="AZ28" s="3980"/>
      <c r="BA28" s="2078">
        <f t="shared" si="22"/>
        <v>223054</v>
      </c>
      <c r="BB28" s="4740">
        <f t="shared" ref="BB28:BB31" si="72">+AV28+AX28</f>
        <v>0</v>
      </c>
      <c r="BC28" s="4740">
        <f t="shared" ref="BC28:BC31" si="73">AM28+BA28</f>
        <v>374700</v>
      </c>
      <c r="BD28" s="2079">
        <f t="shared" ref="BD28:BD31" si="74">+AV28+AX28</f>
        <v>0</v>
      </c>
      <c r="BE28" s="2079">
        <f t="shared" ref="BE28:BE31" si="75">+AW28+AY28</f>
        <v>802666</v>
      </c>
      <c r="BF28"/>
      <c r="BG28"/>
      <c r="BH28"/>
      <c r="BI28"/>
      <c r="BJ28"/>
      <c r="BK28"/>
    </row>
    <row r="29" spans="2:73" s="149" customFormat="1" ht="18.75" x14ac:dyDescent="0.25">
      <c r="B29" s="6058"/>
      <c r="C29" s="2089" t="s">
        <v>1009</v>
      </c>
      <c r="D29" s="1708"/>
      <c r="E29" s="2077">
        <v>10598</v>
      </c>
      <c r="F29" s="1708"/>
      <c r="G29" s="2077">
        <v>12006</v>
      </c>
      <c r="H29" s="2079">
        <f t="shared" si="1"/>
        <v>0</v>
      </c>
      <c r="I29" s="2162">
        <f t="shared" si="2"/>
        <v>22604</v>
      </c>
      <c r="J29" s="1708"/>
      <c r="K29" s="2077">
        <v>12596</v>
      </c>
      <c r="L29" s="2078">
        <f t="shared" si="3"/>
        <v>0</v>
      </c>
      <c r="M29" s="2637">
        <f>E29+G29+K29</f>
        <v>35200</v>
      </c>
      <c r="N29" s="184"/>
      <c r="O29" s="2077">
        <v>13988</v>
      </c>
      <c r="P29" s="2079">
        <f t="shared" si="4"/>
        <v>0</v>
      </c>
      <c r="Q29" s="2162">
        <f t="shared" si="28"/>
        <v>49188</v>
      </c>
      <c r="R29" s="184"/>
      <c r="S29" s="2077">
        <v>13411</v>
      </c>
      <c r="T29" s="2079">
        <f t="shared" si="58"/>
        <v>0</v>
      </c>
      <c r="U29" s="2162">
        <f t="shared" si="59"/>
        <v>62599</v>
      </c>
      <c r="V29" s="184"/>
      <c r="W29" s="2077">
        <v>13601</v>
      </c>
      <c r="X29" s="2812"/>
      <c r="Y29" s="2637">
        <f t="shared" si="8"/>
        <v>41000</v>
      </c>
      <c r="Z29" s="4740">
        <f t="shared" si="60"/>
        <v>0</v>
      </c>
      <c r="AA29" s="497">
        <f t="shared" si="61"/>
        <v>76200</v>
      </c>
      <c r="AB29" s="184"/>
      <c r="AC29" s="207">
        <v>8674</v>
      </c>
      <c r="AD29" s="2079">
        <f t="shared" si="62"/>
        <v>0</v>
      </c>
      <c r="AE29" s="2162">
        <f t="shared" si="63"/>
        <v>84874</v>
      </c>
      <c r="AF29" s="184"/>
      <c r="AG29" s="207">
        <v>1092</v>
      </c>
      <c r="AH29" s="2079">
        <f t="shared" si="64"/>
        <v>0</v>
      </c>
      <c r="AI29" s="2162">
        <f t="shared" si="65"/>
        <v>85966</v>
      </c>
      <c r="AJ29" s="184"/>
      <c r="AK29" s="207">
        <v>9992.1024621952165</v>
      </c>
      <c r="AL29" s="2812"/>
      <c r="AM29" s="2637">
        <f t="shared" si="15"/>
        <v>19758.102462195217</v>
      </c>
      <c r="AN29" s="2079">
        <f t="shared" si="66"/>
        <v>0</v>
      </c>
      <c r="AO29" s="2162">
        <f t="shared" si="67"/>
        <v>95958.102462195209</v>
      </c>
      <c r="AP29" s="184"/>
      <c r="AQ29" s="207">
        <v>10835</v>
      </c>
      <c r="AR29" s="2079">
        <f t="shared" si="68"/>
        <v>0</v>
      </c>
      <c r="AS29" s="2162">
        <f t="shared" si="69"/>
        <v>106793.10246219521</v>
      </c>
      <c r="AT29" s="184"/>
      <c r="AU29" s="207">
        <v>10245</v>
      </c>
      <c r="AV29" s="2079">
        <f t="shared" si="70"/>
        <v>0</v>
      </c>
      <c r="AW29" s="2162">
        <f t="shared" si="71"/>
        <v>117038.10246219521</v>
      </c>
      <c r="AX29" s="184"/>
      <c r="AY29" s="207">
        <v>10423</v>
      </c>
      <c r="AZ29" s="2812"/>
      <c r="BA29" s="2637">
        <f t="shared" si="22"/>
        <v>31503</v>
      </c>
      <c r="BB29" s="4740">
        <f t="shared" si="72"/>
        <v>0</v>
      </c>
      <c r="BC29" s="497">
        <f t="shared" si="73"/>
        <v>51261.102462195217</v>
      </c>
      <c r="BD29" s="2079">
        <f t="shared" si="74"/>
        <v>0</v>
      </c>
      <c r="BE29" s="2162">
        <f t="shared" si="75"/>
        <v>127461.10246219521</v>
      </c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</row>
    <row r="30" spans="2:73" ht="18.75" x14ac:dyDescent="0.25">
      <c r="B30" s="6058"/>
      <c r="C30" s="2089" t="s">
        <v>1010</v>
      </c>
      <c r="D30" s="1708"/>
      <c r="E30" s="2077">
        <v>3716</v>
      </c>
      <c r="F30" s="1708"/>
      <c r="G30" s="2077">
        <v>6799</v>
      </c>
      <c r="H30" s="2079">
        <f t="shared" si="1"/>
        <v>0</v>
      </c>
      <c r="I30" s="2162">
        <f t="shared" si="2"/>
        <v>10515</v>
      </c>
      <c r="J30" s="1708"/>
      <c r="K30" s="2077">
        <v>8611</v>
      </c>
      <c r="L30" s="2078">
        <f t="shared" si="3"/>
        <v>0</v>
      </c>
      <c r="M30" s="2078">
        <f>E30+G30+K30</f>
        <v>19126</v>
      </c>
      <c r="N30" s="184"/>
      <c r="O30" s="2077">
        <v>7621</v>
      </c>
      <c r="P30" s="2079">
        <f t="shared" si="4"/>
        <v>0</v>
      </c>
      <c r="Q30" s="2079">
        <f t="shared" si="28"/>
        <v>26747</v>
      </c>
      <c r="R30" s="184"/>
      <c r="S30" s="2077">
        <v>7950</v>
      </c>
      <c r="T30" s="2079">
        <f t="shared" si="58"/>
        <v>0</v>
      </c>
      <c r="U30" s="2079">
        <f t="shared" si="59"/>
        <v>34697</v>
      </c>
      <c r="V30" s="184"/>
      <c r="W30" s="2077">
        <v>5111</v>
      </c>
      <c r="X30" s="3980"/>
      <c r="Y30" s="2078">
        <f t="shared" si="8"/>
        <v>20682</v>
      </c>
      <c r="Z30" s="4740">
        <f t="shared" si="60"/>
        <v>0</v>
      </c>
      <c r="AA30" s="4740">
        <f t="shared" si="61"/>
        <v>39808</v>
      </c>
      <c r="AB30" s="184"/>
      <c r="AC30" s="2077">
        <v>10011</v>
      </c>
      <c r="AD30" s="2079">
        <f t="shared" si="62"/>
        <v>0</v>
      </c>
      <c r="AE30" s="2079">
        <f t="shared" si="63"/>
        <v>49819</v>
      </c>
      <c r="AF30" s="184"/>
      <c r="AG30" s="2077">
        <v>745</v>
      </c>
      <c r="AH30" s="2079">
        <f t="shared" si="64"/>
        <v>0</v>
      </c>
      <c r="AI30" s="2079">
        <f t="shared" si="65"/>
        <v>50564</v>
      </c>
      <c r="AJ30" s="184"/>
      <c r="AK30" s="2077">
        <v>10541</v>
      </c>
      <c r="AL30" s="3980"/>
      <c r="AM30" s="2078">
        <f t="shared" si="15"/>
        <v>21297</v>
      </c>
      <c r="AN30" s="2079">
        <f t="shared" si="66"/>
        <v>0</v>
      </c>
      <c r="AO30" s="2079">
        <f t="shared" si="67"/>
        <v>61105</v>
      </c>
      <c r="AP30" s="184"/>
      <c r="AQ30" s="2077">
        <v>11247</v>
      </c>
      <c r="AR30" s="2079">
        <f t="shared" si="68"/>
        <v>0</v>
      </c>
      <c r="AS30" s="2079">
        <f t="shared" si="69"/>
        <v>72352</v>
      </c>
      <c r="AT30" s="184"/>
      <c r="AU30" s="2077">
        <v>10641</v>
      </c>
      <c r="AV30" s="2079">
        <f t="shared" si="70"/>
        <v>0</v>
      </c>
      <c r="AW30" s="2079">
        <f t="shared" si="71"/>
        <v>82993</v>
      </c>
      <c r="AX30" s="184"/>
      <c r="AY30" s="2077">
        <v>7988</v>
      </c>
      <c r="AZ30" s="3980"/>
      <c r="BA30" s="2078">
        <f t="shared" si="22"/>
        <v>29876</v>
      </c>
      <c r="BB30" s="4740">
        <f t="shared" si="72"/>
        <v>0</v>
      </c>
      <c r="BC30" s="4740">
        <f t="shared" si="73"/>
        <v>51173</v>
      </c>
      <c r="BD30" s="2079">
        <f t="shared" si="74"/>
        <v>0</v>
      </c>
      <c r="BE30" s="2079">
        <f t="shared" si="75"/>
        <v>90981</v>
      </c>
    </row>
    <row r="31" spans="2:73" ht="18.75" x14ac:dyDescent="0.25">
      <c r="B31" s="6058"/>
      <c r="C31" s="2089" t="s">
        <v>1307</v>
      </c>
      <c r="D31" s="1708"/>
      <c r="E31" s="2077">
        <v>621</v>
      </c>
      <c r="F31" s="1708"/>
      <c r="G31" s="2077">
        <v>1293</v>
      </c>
      <c r="H31" s="2079">
        <f t="shared" si="1"/>
        <v>0</v>
      </c>
      <c r="I31" s="2162">
        <f t="shared" si="2"/>
        <v>1914</v>
      </c>
      <c r="J31" s="1708"/>
      <c r="K31" s="2077">
        <v>901</v>
      </c>
      <c r="L31" s="2078">
        <f t="shared" si="3"/>
        <v>0</v>
      </c>
      <c r="M31" s="2078">
        <f>E31+G31+K31</f>
        <v>2815</v>
      </c>
      <c r="N31" s="184"/>
      <c r="O31" s="2077">
        <v>855</v>
      </c>
      <c r="P31" s="2079">
        <f t="shared" si="4"/>
        <v>0</v>
      </c>
      <c r="Q31" s="2079">
        <f t="shared" si="28"/>
        <v>3670</v>
      </c>
      <c r="R31" s="184"/>
      <c r="S31" s="2077">
        <v>912</v>
      </c>
      <c r="T31" s="2079">
        <f t="shared" si="58"/>
        <v>0</v>
      </c>
      <c r="U31" s="2079">
        <f t="shared" si="59"/>
        <v>4582</v>
      </c>
      <c r="V31" s="184"/>
      <c r="W31" s="2077">
        <v>798</v>
      </c>
      <c r="X31" s="3980"/>
      <c r="Y31" s="2078">
        <f t="shared" si="8"/>
        <v>2565</v>
      </c>
      <c r="Z31" s="4740">
        <f t="shared" si="60"/>
        <v>0</v>
      </c>
      <c r="AA31" s="4740">
        <f t="shared" si="61"/>
        <v>5380</v>
      </c>
      <c r="AB31" s="184"/>
      <c r="AC31" s="2077">
        <v>910</v>
      </c>
      <c r="AD31" s="2079">
        <f t="shared" si="62"/>
        <v>0</v>
      </c>
      <c r="AE31" s="2079">
        <f t="shared" si="63"/>
        <v>6290</v>
      </c>
      <c r="AF31" s="184"/>
      <c r="AG31" s="2077">
        <v>125</v>
      </c>
      <c r="AH31" s="2079">
        <f t="shared" si="64"/>
        <v>0</v>
      </c>
      <c r="AI31" s="2079">
        <f t="shared" si="65"/>
        <v>6415</v>
      </c>
      <c r="AJ31" s="184"/>
      <c r="AK31" s="2077">
        <v>1420</v>
      </c>
      <c r="AL31" s="3980"/>
      <c r="AM31" s="2078">
        <f t="shared" si="15"/>
        <v>2455</v>
      </c>
      <c r="AN31" s="2079">
        <f t="shared" si="66"/>
        <v>0</v>
      </c>
      <c r="AO31" s="2079">
        <f t="shared" si="67"/>
        <v>7835</v>
      </c>
      <c r="AP31" s="184"/>
      <c r="AQ31" s="2077">
        <v>1299</v>
      </c>
      <c r="AR31" s="2079">
        <f t="shared" si="68"/>
        <v>0</v>
      </c>
      <c r="AS31" s="2079">
        <f t="shared" si="69"/>
        <v>9134</v>
      </c>
      <c r="AT31" s="184"/>
      <c r="AU31" s="2077">
        <v>969</v>
      </c>
      <c r="AV31" s="2079">
        <f t="shared" si="70"/>
        <v>0</v>
      </c>
      <c r="AW31" s="2079">
        <f t="shared" si="71"/>
        <v>10103</v>
      </c>
      <c r="AX31" s="184"/>
      <c r="AY31" s="403">
        <v>1493</v>
      </c>
      <c r="AZ31" s="3980"/>
      <c r="BA31" s="2078">
        <f t="shared" si="22"/>
        <v>3761</v>
      </c>
      <c r="BB31" s="4740">
        <f t="shared" si="72"/>
        <v>0</v>
      </c>
      <c r="BC31" s="4740">
        <f t="shared" si="73"/>
        <v>6216</v>
      </c>
      <c r="BD31" s="2079">
        <f t="shared" si="74"/>
        <v>0</v>
      </c>
      <c r="BE31" s="2079">
        <f t="shared" si="75"/>
        <v>11596</v>
      </c>
    </row>
    <row r="32" spans="2:73" ht="18.75" x14ac:dyDescent="0.25">
      <c r="B32" s="6058"/>
      <c r="C32" s="2089"/>
      <c r="D32" s="1708"/>
      <c r="E32" s="1223"/>
      <c r="F32" s="1223"/>
      <c r="G32" s="1223"/>
      <c r="H32" s="403"/>
      <c r="I32" s="3557"/>
      <c r="J32" s="1223"/>
      <c r="K32" s="1223"/>
      <c r="L32" s="403"/>
      <c r="M32" s="403"/>
      <c r="N32" s="441"/>
      <c r="O32" s="1223"/>
      <c r="P32" s="403"/>
      <c r="Q32" s="403"/>
      <c r="R32" s="441"/>
      <c r="S32" s="1223"/>
      <c r="T32" s="403"/>
      <c r="U32" s="403"/>
      <c r="V32" s="441"/>
      <c r="W32" s="1223"/>
      <c r="X32" s="2811"/>
      <c r="Y32" s="403"/>
      <c r="Z32" s="403"/>
      <c r="AA32" s="403"/>
      <c r="AB32" s="441"/>
      <c r="AC32" s="1223"/>
      <c r="AD32" s="403"/>
      <c r="AE32" s="403"/>
      <c r="AF32" s="441"/>
      <c r="AG32" s="1223"/>
      <c r="AH32" s="403"/>
      <c r="AI32" s="403"/>
      <c r="AJ32" s="441"/>
      <c r="AK32" s="1223"/>
      <c r="AL32" s="2811"/>
      <c r="AM32" s="403"/>
      <c r="AN32" s="403"/>
      <c r="AO32" s="403"/>
      <c r="AP32" s="441"/>
      <c r="AQ32" s="1223"/>
      <c r="AR32" s="403"/>
      <c r="AS32" s="403"/>
      <c r="AT32" s="441"/>
      <c r="AU32" s="1223"/>
      <c r="AV32" s="403"/>
      <c r="AW32" s="403"/>
      <c r="AX32" s="441"/>
      <c r="AY32" s="1223"/>
      <c r="AZ32" s="2811"/>
      <c r="BA32" s="403"/>
      <c r="BB32" s="403"/>
      <c r="BC32" s="403"/>
      <c r="BD32" s="403"/>
      <c r="BE32" s="403"/>
    </row>
    <row r="33" spans="2:73" ht="18.75" x14ac:dyDescent="0.3">
      <c r="B33" s="6058"/>
      <c r="C33" s="2093" t="s">
        <v>1588</v>
      </c>
      <c r="D33" s="2087"/>
      <c r="E33" s="2683"/>
      <c r="F33" s="2087"/>
      <c r="G33" s="2683"/>
      <c r="H33" s="403"/>
      <c r="I33" s="3557"/>
      <c r="J33" s="2087"/>
      <c r="K33" s="2683"/>
      <c r="L33" s="403"/>
      <c r="M33" s="3557"/>
      <c r="N33" s="441"/>
      <c r="O33" s="2683"/>
      <c r="P33" s="403"/>
      <c r="Q33" s="403"/>
      <c r="R33" s="441"/>
      <c r="S33" s="2683"/>
      <c r="T33" s="403"/>
      <c r="U33" s="403"/>
      <c r="V33" s="441"/>
      <c r="W33" s="2683"/>
      <c r="X33" s="4111"/>
      <c r="Y33" s="403"/>
      <c r="Z33" s="403"/>
      <c r="AA33" s="403"/>
      <c r="AB33" s="441"/>
      <c r="AC33" s="2683"/>
      <c r="AD33" s="403"/>
      <c r="AE33" s="403"/>
      <c r="AF33" s="441"/>
      <c r="AG33" s="2683"/>
      <c r="AH33" s="403"/>
      <c r="AI33" s="403"/>
      <c r="AJ33" s="441"/>
      <c r="AK33" s="2683"/>
      <c r="AL33" s="4111"/>
      <c r="AM33" s="403"/>
      <c r="AN33" s="403"/>
      <c r="AO33" s="403"/>
      <c r="AP33" s="441"/>
      <c r="AQ33" s="2683"/>
      <c r="AR33" s="403"/>
      <c r="AS33" s="403"/>
      <c r="AT33" s="441"/>
      <c r="AU33" s="2683"/>
      <c r="AV33" s="403"/>
      <c r="AW33" s="403"/>
      <c r="AX33" s="441"/>
      <c r="AY33" s="2683"/>
      <c r="AZ33" s="4111"/>
      <c r="BA33" s="403"/>
      <c r="BB33" s="403"/>
      <c r="BC33" s="403"/>
      <c r="BD33" s="403"/>
      <c r="BE33" s="403"/>
    </row>
    <row r="34" spans="2:73" s="149" customFormat="1" ht="18.75" x14ac:dyDescent="0.25">
      <c r="B34" s="6058"/>
      <c r="C34" s="2089" t="s">
        <v>1589</v>
      </c>
      <c r="D34" s="1708"/>
      <c r="E34" s="4087">
        <f>+'COKE OVENS'!F48+'COKE OVENS'!F51</f>
        <v>6478.2927327688158</v>
      </c>
      <c r="F34" s="2099"/>
      <c r="G34" s="4087">
        <f>+'COKE OVENS'!H48+'COKE OVENS'!H51</f>
        <v>6735.5400028709173</v>
      </c>
      <c r="H34" s="2079">
        <f t="shared" si="1"/>
        <v>0</v>
      </c>
      <c r="I34" s="2162">
        <f t="shared" si="2"/>
        <v>13213.832735639733</v>
      </c>
      <c r="J34" s="2099"/>
      <c r="K34" s="4087">
        <f>+'COKE OVENS'!L48+'COKE OVENS'!L51</f>
        <v>6513.6344050280668</v>
      </c>
      <c r="L34" s="2078">
        <f t="shared" si="3"/>
        <v>0</v>
      </c>
      <c r="M34" s="2637">
        <f>E34+G34+K34</f>
        <v>19727.467140667799</v>
      </c>
      <c r="N34" s="2100"/>
      <c r="O34" s="4087">
        <f>+'COKE OVENS'!P48+'COKE OVENS'!P51</f>
        <v>6741.9473322326739</v>
      </c>
      <c r="P34" s="2079">
        <f t="shared" si="4"/>
        <v>0</v>
      </c>
      <c r="Q34" s="2162">
        <f t="shared" si="28"/>
        <v>26469.414472900473</v>
      </c>
      <c r="R34" s="2100"/>
      <c r="S34" s="4087">
        <f>+'COKE OVENS'!T48+'COKE OVENS'!T51</f>
        <v>6788.1643964847417</v>
      </c>
      <c r="T34" s="2079">
        <f t="shared" ref="T34" si="76">+P34+R34</f>
        <v>0</v>
      </c>
      <c r="U34" s="2162">
        <f t="shared" ref="U34" si="77">+Q34+S34</f>
        <v>33257.578869385216</v>
      </c>
      <c r="V34" s="2100"/>
      <c r="W34" s="4087">
        <f>+'COKE OVENS'!X48+'COKE OVENS'!X51</f>
        <v>7070.4688473453516</v>
      </c>
      <c r="X34" s="4112"/>
      <c r="Y34" s="2637">
        <f t="shared" si="8"/>
        <v>20600.58057606277</v>
      </c>
      <c r="Z34" s="4740">
        <f t="shared" ref="Z34" si="78">+T34+V34</f>
        <v>0</v>
      </c>
      <c r="AA34" s="497">
        <f t="shared" ref="AA34" si="79">+U34+W34</f>
        <v>40328.047716730565</v>
      </c>
      <c r="AB34" s="2100"/>
      <c r="AC34" s="4087">
        <f>+'COKE OVENS'!AD48+'COKE OVENS'!AD51</f>
        <v>6054</v>
      </c>
      <c r="AD34" s="2079">
        <f t="shared" ref="AD34" si="80">+Z34+AB34</f>
        <v>0</v>
      </c>
      <c r="AE34" s="2162">
        <f t="shared" ref="AE34" si="81">+AA34+AC34</f>
        <v>46382.047716730565</v>
      </c>
      <c r="AF34" s="2100"/>
      <c r="AG34" s="4087">
        <f>+'COKE OVENS'!AH48+'COKE OVENS'!AH51</f>
        <v>5736.0686937723585</v>
      </c>
      <c r="AH34" s="2079">
        <f t="shared" ref="AH34" si="82">+AD34+AF34</f>
        <v>0</v>
      </c>
      <c r="AI34" s="2162">
        <f t="shared" ref="AI34" si="83">+AE34+AG34</f>
        <v>52118.116410502924</v>
      </c>
      <c r="AJ34" s="2100"/>
      <c r="AK34" s="4087">
        <f>+'COKE OVENS'!AL48+'COKE OVENS'!AL51</f>
        <v>6787.8975378047835</v>
      </c>
      <c r="AL34" s="4112"/>
      <c r="AM34" s="2637">
        <f t="shared" si="15"/>
        <v>18577.966231577142</v>
      </c>
      <c r="AN34" s="2079">
        <f t="shared" ref="AN34" si="84">+AH34+AJ34</f>
        <v>0</v>
      </c>
      <c r="AO34" s="2162">
        <f t="shared" ref="AO34" si="85">+AI34+AK34</f>
        <v>58906.013948307707</v>
      </c>
      <c r="AP34" s="2100"/>
      <c r="AQ34" s="4087">
        <f>+'COKE OVENS'!AR48+'COKE OVENS'!AR51</f>
        <v>5929.4082930433733</v>
      </c>
      <c r="AR34" s="2079">
        <f t="shared" ref="AR34" si="86">+AN34+AP34</f>
        <v>0</v>
      </c>
      <c r="AS34" s="2162">
        <f t="shared" ref="AS34" si="87">+AO34+AQ34</f>
        <v>64835.42224135108</v>
      </c>
      <c r="AT34" s="2100"/>
      <c r="AU34" s="4087">
        <f>+'COKE OVENS'!AV48+'COKE OVENS'!AV51</f>
        <v>5433.4656877021152</v>
      </c>
      <c r="AV34" s="2079">
        <f t="shared" ref="AV34" si="88">+AR34+AT34</f>
        <v>0</v>
      </c>
      <c r="AW34" s="2162">
        <f t="shared" ref="AW34" si="89">+AS34+AU34</f>
        <v>70268.887929053191</v>
      </c>
      <c r="AX34" s="2100"/>
      <c r="AY34" s="4087">
        <f>+'COKE OVENS'!AZ48+'COKE OVENS'!AZ51</f>
        <v>6032.2069590124374</v>
      </c>
      <c r="AZ34" s="4112"/>
      <c r="BA34" s="2637">
        <f t="shared" si="22"/>
        <v>17395.080939757925</v>
      </c>
      <c r="BB34" s="4740">
        <f t="shared" ref="BB34" si="90">+AV34+AX34</f>
        <v>0</v>
      </c>
      <c r="BC34" s="497">
        <f>AM34+BA34</f>
        <v>35973.047171335071</v>
      </c>
      <c r="BD34" s="2079">
        <f t="shared" ref="BD34" si="91">+AV34+AX34</f>
        <v>0</v>
      </c>
      <c r="BE34" s="2162">
        <f t="shared" ref="BE34" si="92">+AW34+AY34</f>
        <v>76301.094888065621</v>
      </c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</row>
    <row r="35" spans="2:73" s="149" customFormat="1" ht="18.75" x14ac:dyDescent="0.25">
      <c r="B35" s="6058"/>
      <c r="C35" s="2089"/>
      <c r="D35" s="1708"/>
      <c r="E35" s="4949"/>
      <c r="F35" s="1223"/>
      <c r="G35" s="4949"/>
      <c r="H35" s="403"/>
      <c r="I35" s="3557"/>
      <c r="J35" s="1223"/>
      <c r="K35" s="4949"/>
      <c r="L35" s="403"/>
      <c r="M35" s="4949"/>
      <c r="N35" s="441"/>
      <c r="O35" s="4949"/>
      <c r="P35" s="403"/>
      <c r="Q35" s="403"/>
      <c r="R35" s="441"/>
      <c r="S35" s="4949"/>
      <c r="T35" s="403"/>
      <c r="U35" s="403"/>
      <c r="V35" s="441"/>
      <c r="W35" s="4949"/>
      <c r="X35" s="4950"/>
      <c r="Y35" s="403"/>
      <c r="Z35" s="403"/>
      <c r="AA35" s="403"/>
      <c r="AB35" s="441"/>
      <c r="AC35" s="4949"/>
      <c r="AD35" s="403"/>
      <c r="AE35" s="403"/>
      <c r="AF35" s="441"/>
      <c r="AG35" s="4949"/>
      <c r="AH35" s="403"/>
      <c r="AI35" s="403"/>
      <c r="AJ35" s="441"/>
      <c r="AK35" s="4949"/>
      <c r="AL35" s="4950"/>
      <c r="AM35" s="403"/>
      <c r="AN35" s="403"/>
      <c r="AO35" s="403"/>
      <c r="AP35" s="441"/>
      <c r="AQ35" s="4949"/>
      <c r="AR35" s="403"/>
      <c r="AS35" s="403"/>
      <c r="AT35" s="441"/>
      <c r="AU35" s="4949"/>
      <c r="AV35" s="403"/>
      <c r="AW35" s="403"/>
      <c r="AX35" s="441"/>
      <c r="AY35" s="4949"/>
      <c r="AZ35" s="4950"/>
      <c r="BA35" s="403"/>
      <c r="BB35" s="403"/>
      <c r="BC35" s="403"/>
      <c r="BD35" s="403"/>
      <c r="BE35" s="403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</row>
    <row r="36" spans="2:73" s="149" customFormat="1" ht="18.75" x14ac:dyDescent="0.3">
      <c r="B36" s="6058"/>
      <c r="C36" s="2093" t="s">
        <v>1590</v>
      </c>
      <c r="D36" s="2087"/>
      <c r="E36" s="2087"/>
      <c r="F36" s="2087"/>
      <c r="G36" s="2087"/>
      <c r="H36" s="403"/>
      <c r="I36" s="3557"/>
      <c r="J36" s="2087"/>
      <c r="K36" s="2087"/>
      <c r="L36" s="403"/>
      <c r="M36" s="403"/>
      <c r="N36" s="441"/>
      <c r="O36" s="2087"/>
      <c r="P36" s="403"/>
      <c r="Q36" s="403"/>
      <c r="R36" s="441"/>
      <c r="S36" s="2087"/>
      <c r="T36" s="403"/>
      <c r="U36" s="403"/>
      <c r="V36" s="441"/>
      <c r="W36" s="2087"/>
      <c r="X36" s="4113"/>
      <c r="Y36" s="403"/>
      <c r="Z36" s="403"/>
      <c r="AA36" s="403"/>
      <c r="AB36" s="441"/>
      <c r="AC36" s="2087"/>
      <c r="AD36" s="403"/>
      <c r="AE36" s="403"/>
      <c r="AF36" s="441"/>
      <c r="AG36" s="2087"/>
      <c r="AH36" s="403"/>
      <c r="AI36" s="403"/>
      <c r="AJ36" s="441"/>
      <c r="AK36" s="2087"/>
      <c r="AL36" s="4113"/>
      <c r="AM36" s="403"/>
      <c r="AN36" s="403"/>
      <c r="AO36" s="403"/>
      <c r="AP36" s="441"/>
      <c r="AQ36" s="2087"/>
      <c r="AR36" s="403"/>
      <c r="AS36" s="403"/>
      <c r="AT36" s="441"/>
      <c r="AU36" s="2087"/>
      <c r="AV36" s="403"/>
      <c r="AW36" s="403"/>
      <c r="AX36" s="441"/>
      <c r="AY36" s="2087"/>
      <c r="AZ36" s="4113"/>
      <c r="BA36" s="403"/>
      <c r="BB36" s="403"/>
      <c r="BC36" s="403"/>
      <c r="BD36" s="403"/>
      <c r="BE36" s="403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</row>
    <row r="37" spans="2:73" s="149" customFormat="1" ht="18.75" x14ac:dyDescent="0.25">
      <c r="B37" s="6058"/>
      <c r="C37" s="2089" t="s">
        <v>1591</v>
      </c>
      <c r="D37" s="1708"/>
      <c r="E37" s="2077">
        <v>200</v>
      </c>
      <c r="F37" s="1708"/>
      <c r="G37" s="2077">
        <v>1101</v>
      </c>
      <c r="H37" s="2079">
        <f t="shared" si="1"/>
        <v>0</v>
      </c>
      <c r="I37" s="2162">
        <f t="shared" si="2"/>
        <v>1301</v>
      </c>
      <c r="J37" s="1708"/>
      <c r="K37" s="2077">
        <v>2411</v>
      </c>
      <c r="L37" s="2078">
        <f t="shared" si="3"/>
        <v>0</v>
      </c>
      <c r="M37" s="2078">
        <f>E37+G37+K37</f>
        <v>3712</v>
      </c>
      <c r="N37" s="184"/>
      <c r="O37" s="2077">
        <v>2024</v>
      </c>
      <c r="P37" s="2079">
        <f t="shared" si="4"/>
        <v>0</v>
      </c>
      <c r="Q37" s="2079">
        <f t="shared" si="28"/>
        <v>5736</v>
      </c>
      <c r="R37" s="184"/>
      <c r="S37" s="2077">
        <v>1124</v>
      </c>
      <c r="T37" s="2079">
        <f t="shared" ref="T37:T39" si="93">+P37+R37</f>
        <v>0</v>
      </c>
      <c r="U37" s="2079">
        <f t="shared" ref="U37:U39" si="94">+Q37+S37</f>
        <v>6860</v>
      </c>
      <c r="V37" s="184"/>
      <c r="W37" s="2077">
        <v>1147</v>
      </c>
      <c r="X37" s="3980"/>
      <c r="Y37" s="2078">
        <f t="shared" si="8"/>
        <v>4295</v>
      </c>
      <c r="Z37" s="4740">
        <f t="shared" ref="Z37:Z39" si="95">+T37+V37</f>
        <v>0</v>
      </c>
      <c r="AA37" s="4740">
        <f t="shared" ref="AA37:AA39" si="96">+U37+W37</f>
        <v>8007</v>
      </c>
      <c r="AB37" s="184"/>
      <c r="AC37" s="2077">
        <v>3773</v>
      </c>
      <c r="AD37" s="2079">
        <f t="shared" ref="AD37:AD39" si="97">+Z37+AB37</f>
        <v>0</v>
      </c>
      <c r="AE37" s="2079">
        <f t="shared" ref="AE37:AE39" si="98">+AA37+AC37</f>
        <v>11780</v>
      </c>
      <c r="AF37" s="184"/>
      <c r="AG37" s="2077">
        <v>104</v>
      </c>
      <c r="AH37" s="2079">
        <f t="shared" ref="AH37:AH39" si="99">+AD37+AF37</f>
        <v>0</v>
      </c>
      <c r="AI37" s="2079">
        <f t="shared" ref="AI37:AI39" si="100">+AE37+AG37</f>
        <v>11884</v>
      </c>
      <c r="AJ37" s="184"/>
      <c r="AK37" s="2077">
        <v>3687</v>
      </c>
      <c r="AL37" s="3980"/>
      <c r="AM37" s="2078">
        <f t="shared" si="15"/>
        <v>7564</v>
      </c>
      <c r="AN37" s="2079">
        <f t="shared" ref="AN37:AN39" si="101">+AH37+AJ37</f>
        <v>0</v>
      </c>
      <c r="AO37" s="2079">
        <f t="shared" ref="AO37:AO39" si="102">+AI37+AK37</f>
        <v>15571</v>
      </c>
      <c r="AP37" s="184"/>
      <c r="AQ37" s="2077">
        <v>1899</v>
      </c>
      <c r="AR37" s="2079">
        <f t="shared" ref="AR37:AR39" si="103">+AN37+AP37</f>
        <v>0</v>
      </c>
      <c r="AS37" s="2079">
        <f t="shared" ref="AS37:AS39" si="104">+AO37+AQ37</f>
        <v>17470</v>
      </c>
      <c r="AT37" s="184"/>
      <c r="AU37" s="2077">
        <v>1247</v>
      </c>
      <c r="AV37" s="2079">
        <f t="shared" ref="AV37:AV39" si="105">+AR37+AT37</f>
        <v>0</v>
      </c>
      <c r="AW37" s="2079">
        <f t="shared" ref="AW37:AW39" si="106">+AS37+AU37</f>
        <v>18717</v>
      </c>
      <c r="AX37" s="184"/>
      <c r="AY37" s="2077">
        <v>901</v>
      </c>
      <c r="AZ37" s="3980"/>
      <c r="BA37" s="2078">
        <f t="shared" si="22"/>
        <v>4047</v>
      </c>
      <c r="BB37" s="4740">
        <f t="shared" ref="BB37:BB39" si="107">+AV37+AX37</f>
        <v>0</v>
      </c>
      <c r="BC37" s="497">
        <f t="shared" ref="BC37:BC39" si="108">AM37+BA37</f>
        <v>11611</v>
      </c>
      <c r="BD37" s="2079">
        <f t="shared" ref="BD37:BD39" si="109">+AV37+AX37</f>
        <v>0</v>
      </c>
      <c r="BE37" s="2079">
        <f t="shared" ref="BE37:BE39" si="110">+AW37+AY37</f>
        <v>19618</v>
      </c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</row>
    <row r="38" spans="2:73" ht="18.75" x14ac:dyDescent="0.3">
      <c r="B38" s="6058"/>
      <c r="C38" s="2094" t="s">
        <v>1592</v>
      </c>
      <c r="D38" s="1635"/>
      <c r="E38" s="2077">
        <v>9856</v>
      </c>
      <c r="F38" s="1708"/>
      <c r="G38" s="2077">
        <v>8519</v>
      </c>
      <c r="H38" s="2079">
        <f t="shared" si="1"/>
        <v>0</v>
      </c>
      <c r="I38" s="2162">
        <f t="shared" si="2"/>
        <v>18375</v>
      </c>
      <c r="J38" s="1708"/>
      <c r="K38" s="2077">
        <v>8837</v>
      </c>
      <c r="L38" s="2078">
        <f t="shared" si="3"/>
        <v>0</v>
      </c>
      <c r="M38" s="2078">
        <f>E38+G38+K38</f>
        <v>27212</v>
      </c>
      <c r="N38" s="184"/>
      <c r="O38" s="2077">
        <v>6122</v>
      </c>
      <c r="P38" s="2079">
        <f t="shared" si="4"/>
        <v>0</v>
      </c>
      <c r="Q38" s="2079">
        <f t="shared" si="28"/>
        <v>33334</v>
      </c>
      <c r="R38" s="184"/>
      <c r="S38" s="2077">
        <v>6784</v>
      </c>
      <c r="T38" s="2079">
        <f t="shared" si="93"/>
        <v>0</v>
      </c>
      <c r="U38" s="2079">
        <f t="shared" si="94"/>
        <v>40118</v>
      </c>
      <c r="V38" s="184"/>
      <c r="W38" s="2077">
        <v>13019</v>
      </c>
      <c r="X38" s="3980"/>
      <c r="Y38" s="2078">
        <f t="shared" si="8"/>
        <v>25925</v>
      </c>
      <c r="Z38" s="4740">
        <f t="shared" si="95"/>
        <v>0</v>
      </c>
      <c r="AA38" s="4740">
        <f t="shared" si="96"/>
        <v>53137</v>
      </c>
      <c r="AB38" s="184"/>
      <c r="AC38" s="2077">
        <v>9099</v>
      </c>
      <c r="AD38" s="2079">
        <f t="shared" si="97"/>
        <v>0</v>
      </c>
      <c r="AE38" s="2079">
        <f t="shared" si="98"/>
        <v>62236</v>
      </c>
      <c r="AF38" s="184"/>
      <c r="AG38" s="2077">
        <v>542</v>
      </c>
      <c r="AH38" s="2079">
        <f t="shared" si="99"/>
        <v>0</v>
      </c>
      <c r="AI38" s="2079">
        <f t="shared" si="100"/>
        <v>62778</v>
      </c>
      <c r="AJ38" s="184"/>
      <c r="AK38" s="2077">
        <v>9654</v>
      </c>
      <c r="AL38" s="3980"/>
      <c r="AM38" s="2078">
        <f t="shared" si="15"/>
        <v>19295</v>
      </c>
      <c r="AN38" s="2079">
        <f t="shared" si="101"/>
        <v>0</v>
      </c>
      <c r="AO38" s="2079">
        <f t="shared" si="102"/>
        <v>72432</v>
      </c>
      <c r="AP38" s="184"/>
      <c r="AQ38" s="2077">
        <v>8554</v>
      </c>
      <c r="AR38" s="2079">
        <f t="shared" si="103"/>
        <v>0</v>
      </c>
      <c r="AS38" s="2079">
        <f t="shared" si="104"/>
        <v>80986</v>
      </c>
      <c r="AT38" s="184"/>
      <c r="AU38" s="2077">
        <v>7562</v>
      </c>
      <c r="AV38" s="2079">
        <f t="shared" si="105"/>
        <v>0</v>
      </c>
      <c r="AW38" s="2079">
        <f t="shared" si="106"/>
        <v>88548</v>
      </c>
      <c r="AX38" s="184"/>
      <c r="AY38" s="403">
        <v>10433</v>
      </c>
      <c r="AZ38" s="3980"/>
      <c r="BA38" s="2078">
        <f t="shared" si="22"/>
        <v>26549</v>
      </c>
      <c r="BB38" s="4740">
        <f t="shared" si="107"/>
        <v>0</v>
      </c>
      <c r="BC38" s="497">
        <f t="shared" si="108"/>
        <v>45844</v>
      </c>
      <c r="BD38" s="2079">
        <f t="shared" si="109"/>
        <v>0</v>
      </c>
      <c r="BE38" s="2079">
        <f t="shared" si="110"/>
        <v>98981</v>
      </c>
    </row>
    <row r="39" spans="2:73" ht="18.75" x14ac:dyDescent="0.25">
      <c r="B39" s="6058"/>
      <c r="C39" s="2095" t="s">
        <v>1593</v>
      </c>
      <c r="D39" s="1223"/>
      <c r="E39" s="2077">
        <v>9717</v>
      </c>
      <c r="F39" s="1708"/>
      <c r="G39" s="2077">
        <v>6709</v>
      </c>
      <c r="H39" s="2079">
        <f t="shared" si="1"/>
        <v>0</v>
      </c>
      <c r="I39" s="2162">
        <f t="shared" si="2"/>
        <v>16426</v>
      </c>
      <c r="J39" s="1708"/>
      <c r="K39" s="2077">
        <v>6692</v>
      </c>
      <c r="L39" s="2078">
        <f t="shared" si="3"/>
        <v>0</v>
      </c>
      <c r="M39" s="2078">
        <f>E39+G39+K39</f>
        <v>23118</v>
      </c>
      <c r="N39" s="184"/>
      <c r="O39" s="2077">
        <v>5179</v>
      </c>
      <c r="P39" s="2079">
        <f t="shared" si="4"/>
        <v>0</v>
      </c>
      <c r="Q39" s="2079">
        <f t="shared" si="28"/>
        <v>28297</v>
      </c>
      <c r="R39" s="184"/>
      <c r="S39" s="2077">
        <v>6510</v>
      </c>
      <c r="T39" s="2079">
        <f t="shared" si="93"/>
        <v>0</v>
      </c>
      <c r="U39" s="2079">
        <f t="shared" si="94"/>
        <v>34807</v>
      </c>
      <c r="V39" s="184"/>
      <c r="W39" s="2077">
        <v>34414</v>
      </c>
      <c r="X39" s="3980"/>
      <c r="Y39" s="2078">
        <f t="shared" si="8"/>
        <v>46103</v>
      </c>
      <c r="Z39" s="4740">
        <f t="shared" si="95"/>
        <v>0</v>
      </c>
      <c r="AA39" s="4740">
        <f t="shared" si="96"/>
        <v>69221</v>
      </c>
      <c r="AB39" s="184"/>
      <c r="AC39" s="2077">
        <v>7083</v>
      </c>
      <c r="AD39" s="2079">
        <f t="shared" si="97"/>
        <v>0</v>
      </c>
      <c r="AE39" s="2079">
        <f t="shared" si="98"/>
        <v>76304</v>
      </c>
      <c r="AF39" s="184"/>
      <c r="AG39" s="2077">
        <v>251</v>
      </c>
      <c r="AH39" s="2079">
        <f t="shared" si="99"/>
        <v>0</v>
      </c>
      <c r="AI39" s="2079">
        <f t="shared" si="100"/>
        <v>76555</v>
      </c>
      <c r="AJ39" s="184"/>
      <c r="AK39" s="2077">
        <v>4533</v>
      </c>
      <c r="AL39" s="3980"/>
      <c r="AM39" s="2078">
        <f t="shared" si="15"/>
        <v>11867</v>
      </c>
      <c r="AN39" s="2079">
        <f t="shared" si="101"/>
        <v>0</v>
      </c>
      <c r="AO39" s="2079">
        <f t="shared" si="102"/>
        <v>81088</v>
      </c>
      <c r="AP39" s="184"/>
      <c r="AQ39" s="2077">
        <v>6982</v>
      </c>
      <c r="AR39" s="2079">
        <f t="shared" si="103"/>
        <v>0</v>
      </c>
      <c r="AS39" s="2079">
        <f t="shared" si="104"/>
        <v>88070</v>
      </c>
      <c r="AT39" s="184"/>
      <c r="AU39" s="2077">
        <v>5965</v>
      </c>
      <c r="AV39" s="2079">
        <f t="shared" si="105"/>
        <v>0</v>
      </c>
      <c r="AW39" s="2079">
        <f t="shared" si="106"/>
        <v>94035</v>
      </c>
      <c r="AX39" s="184"/>
      <c r="AY39" s="403">
        <v>9715</v>
      </c>
      <c r="AZ39" s="3980"/>
      <c r="BA39" s="2078">
        <f t="shared" si="22"/>
        <v>22662</v>
      </c>
      <c r="BB39" s="4740">
        <f t="shared" si="107"/>
        <v>0</v>
      </c>
      <c r="BC39" s="497">
        <f t="shared" si="108"/>
        <v>34529</v>
      </c>
      <c r="BD39" s="2079">
        <f t="shared" si="109"/>
        <v>0</v>
      </c>
      <c r="BE39" s="2079">
        <f t="shared" si="110"/>
        <v>103750</v>
      </c>
    </row>
    <row r="40" spans="2:73" ht="18.75" x14ac:dyDescent="0.25">
      <c r="B40" s="6058"/>
      <c r="C40" s="2095"/>
      <c r="D40" s="1223"/>
      <c r="E40" s="1223"/>
      <c r="F40" s="1223"/>
      <c r="G40" s="1223"/>
      <c r="H40" s="403"/>
      <c r="I40" s="3557"/>
      <c r="J40" s="1223"/>
      <c r="K40" s="1223"/>
      <c r="L40" s="403"/>
      <c r="M40" s="403"/>
      <c r="N40" s="441"/>
      <c r="O40" s="1223"/>
      <c r="P40" s="403"/>
      <c r="Q40" s="403"/>
      <c r="R40" s="441"/>
      <c r="S40" s="1223"/>
      <c r="T40" s="403"/>
      <c r="U40" s="403"/>
      <c r="V40" s="441"/>
      <c r="W40" s="1223"/>
      <c r="X40" s="2811"/>
      <c r="Y40" s="403"/>
      <c r="Z40" s="403"/>
      <c r="AA40" s="403"/>
      <c r="AB40" s="441"/>
      <c r="AC40" s="1223"/>
      <c r="AD40" s="403"/>
      <c r="AE40" s="403"/>
      <c r="AF40" s="441"/>
      <c r="AG40" s="1223"/>
      <c r="AH40" s="403"/>
      <c r="AI40" s="403"/>
      <c r="AJ40" s="441"/>
      <c r="AK40" s="1223"/>
      <c r="AL40" s="2811"/>
      <c r="AM40" s="403"/>
      <c r="AN40" s="403"/>
      <c r="AO40" s="403"/>
      <c r="AP40" s="441"/>
      <c r="AQ40" s="1223"/>
      <c r="AR40" s="403"/>
      <c r="AS40" s="403"/>
      <c r="AT40" s="441"/>
      <c r="AU40" s="1223"/>
      <c r="AV40" s="403"/>
      <c r="AW40" s="403"/>
      <c r="AX40" s="441"/>
      <c r="AY40" s="1223"/>
      <c r="AZ40" s="2811"/>
      <c r="BA40" s="403"/>
      <c r="BB40" s="403"/>
      <c r="BC40" s="403"/>
      <c r="BD40" s="403"/>
      <c r="BE40" s="403"/>
    </row>
    <row r="41" spans="2:73" ht="18.75" x14ac:dyDescent="0.3">
      <c r="B41" s="6058"/>
      <c r="C41" s="2093" t="s">
        <v>1594</v>
      </c>
      <c r="D41" s="2087"/>
      <c r="E41" s="2087"/>
      <c r="F41" s="2087"/>
      <c r="G41" s="2087"/>
      <c r="H41" s="403"/>
      <c r="I41" s="3557"/>
      <c r="J41" s="2087"/>
      <c r="K41" s="2087"/>
      <c r="L41" s="403"/>
      <c r="M41" s="403"/>
      <c r="N41" s="441"/>
      <c r="O41" s="2087"/>
      <c r="P41" s="403"/>
      <c r="Q41" s="403"/>
      <c r="R41" s="441"/>
      <c r="S41" s="2087"/>
      <c r="T41" s="403"/>
      <c r="U41" s="403"/>
      <c r="V41" s="441"/>
      <c r="W41" s="2087"/>
      <c r="X41" s="4113"/>
      <c r="Y41" s="403"/>
      <c r="Z41" s="403"/>
      <c r="AA41" s="403"/>
      <c r="AB41" s="441"/>
      <c r="AC41" s="2087"/>
      <c r="AD41" s="403"/>
      <c r="AE41" s="403"/>
      <c r="AF41" s="441"/>
      <c r="AG41" s="2087"/>
      <c r="AH41" s="403"/>
      <c r="AI41" s="403"/>
      <c r="AJ41" s="441"/>
      <c r="AK41" s="2087"/>
      <c r="AL41" s="4113"/>
      <c r="AM41" s="403"/>
      <c r="AN41" s="403"/>
      <c r="AO41" s="403"/>
      <c r="AP41" s="441"/>
      <c r="AQ41" s="2087"/>
      <c r="AR41" s="403"/>
      <c r="AS41" s="403"/>
      <c r="AT41" s="441"/>
      <c r="AU41" s="2087"/>
      <c r="AV41" s="403"/>
      <c r="AW41" s="403"/>
      <c r="AX41" s="441"/>
      <c r="AY41" s="2087"/>
      <c r="AZ41" s="4113"/>
      <c r="BA41" s="403"/>
      <c r="BB41" s="403"/>
      <c r="BC41" s="403"/>
      <c r="BD41" s="403"/>
      <c r="BE41" s="403"/>
    </row>
    <row r="42" spans="2:73" ht="18.75" x14ac:dyDescent="0.3">
      <c r="B42" s="6058"/>
      <c r="C42" s="2096" t="s">
        <v>1190</v>
      </c>
      <c r="D42" s="2088"/>
      <c r="E42" s="4088">
        <f>+LDCP!F8</f>
        <v>14913</v>
      </c>
      <c r="F42" s="403"/>
      <c r="G42" s="4088">
        <f>+LDCP!H8</f>
        <v>14492</v>
      </c>
      <c r="H42" s="2079">
        <f t="shared" si="1"/>
        <v>0</v>
      </c>
      <c r="I42" s="2162">
        <f t="shared" si="2"/>
        <v>29405</v>
      </c>
      <c r="J42" s="403"/>
      <c r="K42" s="4088">
        <f>+LDCP!L8</f>
        <v>14309</v>
      </c>
      <c r="L42" s="2078">
        <f t="shared" si="3"/>
        <v>0</v>
      </c>
      <c r="M42" s="2078">
        <f>E42+G42+K42</f>
        <v>43714</v>
      </c>
      <c r="N42" s="274"/>
      <c r="O42" s="4088">
        <f>+LDCP!P8</f>
        <v>18251</v>
      </c>
      <c r="P42" s="2079">
        <f t="shared" si="4"/>
        <v>0</v>
      </c>
      <c r="Q42" s="2079">
        <f t="shared" si="28"/>
        <v>61965</v>
      </c>
      <c r="R42" s="274"/>
      <c r="S42" s="4088">
        <f>+LDCP!T8</f>
        <v>15345</v>
      </c>
      <c r="T42" s="2079">
        <f t="shared" ref="T42:T43" si="111">+P42+R42</f>
        <v>0</v>
      </c>
      <c r="U42" s="2079">
        <f t="shared" ref="U42:U43" si="112">+Q42+S42</f>
        <v>77310</v>
      </c>
      <c r="V42" s="274"/>
      <c r="W42" s="4088">
        <f>+LDCP!X8</f>
        <v>15590</v>
      </c>
      <c r="X42" s="4114"/>
      <c r="Y42" s="2078">
        <f t="shared" si="8"/>
        <v>49186</v>
      </c>
      <c r="Z42" s="4740">
        <f t="shared" ref="Z42:Z43" si="113">+T42+V42</f>
        <v>0</v>
      </c>
      <c r="AA42" s="4740">
        <f t="shared" ref="AA42:AA43" si="114">+U42+W42</f>
        <v>92900</v>
      </c>
      <c r="AB42" s="274"/>
      <c r="AC42" s="4088">
        <f>+LDCP!AD8</f>
        <v>13463</v>
      </c>
      <c r="AD42" s="2079">
        <f t="shared" ref="AD42:AD43" si="115">+Z42+AB42</f>
        <v>0</v>
      </c>
      <c r="AE42" s="2079">
        <f t="shared" ref="AE42:AE43" si="116">+AA42+AC42</f>
        <v>106363</v>
      </c>
      <c r="AF42" s="274"/>
      <c r="AG42" s="4088">
        <f>+LDCP!AH8</f>
        <v>414</v>
      </c>
      <c r="AH42" s="2079">
        <f t="shared" ref="AH42:AH43" si="117">+AD42+AF42</f>
        <v>0</v>
      </c>
      <c r="AI42" s="2079">
        <f t="shared" ref="AI42:AI43" si="118">+AE42+AG42</f>
        <v>106777</v>
      </c>
      <c r="AJ42" s="274"/>
      <c r="AK42" s="4088">
        <f>+LDCP!AL8</f>
        <v>11170</v>
      </c>
      <c r="AL42" s="4114"/>
      <c r="AM42" s="2078">
        <f t="shared" si="15"/>
        <v>25047</v>
      </c>
      <c r="AN42" s="2079">
        <f t="shared" ref="AN42:AN43" si="119">+AH42+AJ42</f>
        <v>0</v>
      </c>
      <c r="AO42" s="2079">
        <f t="shared" ref="AO42:AO43" si="120">+AI42+AK42</f>
        <v>117947</v>
      </c>
      <c r="AP42" s="274"/>
      <c r="AQ42" s="4088">
        <f>+LDCP!AR8</f>
        <v>12957</v>
      </c>
      <c r="AR42" s="2079">
        <f t="shared" ref="AR42:AR43" si="121">+AN42+AP42</f>
        <v>0</v>
      </c>
      <c r="AS42" s="2079">
        <f t="shared" ref="AS42:AS43" si="122">+AO42+AQ42</f>
        <v>130904</v>
      </c>
      <c r="AT42" s="274"/>
      <c r="AU42" s="4088">
        <f>+LDCP!AV8</f>
        <v>12125</v>
      </c>
      <c r="AV42" s="2079">
        <f t="shared" ref="AV42:AV43" si="123">+AR42+AT42</f>
        <v>0</v>
      </c>
      <c r="AW42" s="2079">
        <f t="shared" ref="AW42:AW43" si="124">+AS42+AU42</f>
        <v>143029</v>
      </c>
      <c r="AX42" s="274"/>
      <c r="AY42" s="4088">
        <f>+LDCP!AZ8</f>
        <v>18840</v>
      </c>
      <c r="AZ42" s="4114"/>
      <c r="BA42" s="2078">
        <f t="shared" si="22"/>
        <v>43922</v>
      </c>
      <c r="BB42" s="4740">
        <f t="shared" ref="BB42:BB43" si="125">+AV42+AX42</f>
        <v>0</v>
      </c>
      <c r="BC42" s="497">
        <f t="shared" ref="BC42:BC43" si="126">AM42+BA42</f>
        <v>68969</v>
      </c>
      <c r="BD42" s="2079">
        <f t="shared" ref="BD42:BD43" si="127">+AV42+AX42</f>
        <v>0</v>
      </c>
      <c r="BE42" s="2079">
        <f t="shared" ref="BE42:BE43" si="128">+AW42+AY42</f>
        <v>161869</v>
      </c>
    </row>
    <row r="43" spans="2:73" ht="18.75" x14ac:dyDescent="0.3">
      <c r="B43" s="6059"/>
      <c r="C43" s="2096" t="s">
        <v>1191</v>
      </c>
      <c r="D43" s="2088"/>
      <c r="E43" s="4088">
        <f>+LDCP!F22</f>
        <v>5378</v>
      </c>
      <c r="F43" s="403"/>
      <c r="G43" s="4088">
        <f>+LDCP!H22</f>
        <v>3120</v>
      </c>
      <c r="H43" s="2079">
        <f t="shared" si="1"/>
        <v>0</v>
      </c>
      <c r="I43" s="2162">
        <f t="shared" si="2"/>
        <v>8498</v>
      </c>
      <c r="J43" s="403"/>
      <c r="K43" s="4088">
        <f>+LDCP!L22</f>
        <v>4718</v>
      </c>
      <c r="L43" s="2078">
        <f t="shared" si="3"/>
        <v>0</v>
      </c>
      <c r="M43" s="2078">
        <f>E43+G43+K43</f>
        <v>13216</v>
      </c>
      <c r="N43" s="274"/>
      <c r="O43" s="4088">
        <f>+LDCP!P22</f>
        <v>4945</v>
      </c>
      <c r="P43" s="2079">
        <f t="shared" si="4"/>
        <v>0</v>
      </c>
      <c r="Q43" s="2079">
        <f t="shared" si="28"/>
        <v>18161</v>
      </c>
      <c r="R43" s="274"/>
      <c r="S43" s="4088">
        <f>+LDCP!T22</f>
        <v>5736</v>
      </c>
      <c r="T43" s="2079">
        <f t="shared" si="111"/>
        <v>0</v>
      </c>
      <c r="U43" s="2079">
        <f t="shared" si="112"/>
        <v>23897</v>
      </c>
      <c r="V43" s="274"/>
      <c r="W43" s="4088">
        <f>+LDCP!X22</f>
        <v>7623</v>
      </c>
      <c r="X43" s="4114"/>
      <c r="Y43" s="2078">
        <f t="shared" si="8"/>
        <v>18304</v>
      </c>
      <c r="Z43" s="4740">
        <f t="shared" si="113"/>
        <v>0</v>
      </c>
      <c r="AA43" s="4740">
        <f t="shared" si="114"/>
        <v>31520</v>
      </c>
      <c r="AB43" s="274"/>
      <c r="AC43" s="4088">
        <f>+LDCP!AD22</f>
        <v>2683</v>
      </c>
      <c r="AD43" s="2079">
        <f t="shared" si="115"/>
        <v>0</v>
      </c>
      <c r="AE43" s="2079">
        <f t="shared" si="116"/>
        <v>34203</v>
      </c>
      <c r="AF43" s="274"/>
      <c r="AG43" s="4088">
        <f>+LDCP!AH22</f>
        <v>145</v>
      </c>
      <c r="AH43" s="2079">
        <f t="shared" si="117"/>
        <v>0</v>
      </c>
      <c r="AI43" s="2079">
        <f t="shared" si="118"/>
        <v>34348</v>
      </c>
      <c r="AJ43" s="274"/>
      <c r="AK43" s="4088">
        <f>+LDCP!AL22</f>
        <v>2669</v>
      </c>
      <c r="AL43" s="4114"/>
      <c r="AM43" s="2078">
        <f t="shared" si="15"/>
        <v>5497</v>
      </c>
      <c r="AN43" s="2079">
        <f t="shared" si="119"/>
        <v>0</v>
      </c>
      <c r="AO43" s="2079">
        <f t="shared" si="120"/>
        <v>37017</v>
      </c>
      <c r="AP43" s="274"/>
      <c r="AQ43" s="4088">
        <f>+LDCP!AR22</f>
        <v>3055</v>
      </c>
      <c r="AR43" s="2079">
        <f t="shared" si="121"/>
        <v>0</v>
      </c>
      <c r="AS43" s="2079">
        <f t="shared" si="122"/>
        <v>40072</v>
      </c>
      <c r="AT43" s="274"/>
      <c r="AU43" s="4088">
        <f>+LDCP!AV22</f>
        <v>2849</v>
      </c>
      <c r="AV43" s="2079">
        <f t="shared" si="123"/>
        <v>0</v>
      </c>
      <c r="AW43" s="2079">
        <f t="shared" si="124"/>
        <v>42921</v>
      </c>
      <c r="AX43" s="274"/>
      <c r="AY43" s="4088">
        <f>+LDCP!AZ22</f>
        <v>5324</v>
      </c>
      <c r="AZ43" s="4114"/>
      <c r="BA43" s="2078">
        <f t="shared" si="22"/>
        <v>11228</v>
      </c>
      <c r="BB43" s="4740">
        <f t="shared" si="125"/>
        <v>0</v>
      </c>
      <c r="BC43" s="497">
        <f t="shared" si="126"/>
        <v>16725</v>
      </c>
      <c r="BD43" s="2079">
        <f t="shared" si="127"/>
        <v>0</v>
      </c>
      <c r="BE43" s="2079">
        <f t="shared" si="128"/>
        <v>48245</v>
      </c>
    </row>
    <row r="44" spans="2:73" x14ac:dyDescent="0.25">
      <c r="C44"/>
      <c r="D44"/>
      <c r="E44"/>
      <c r="F44"/>
      <c r="G44"/>
      <c r="H44"/>
      <c r="I44"/>
      <c r="J44"/>
      <c r="K44"/>
      <c r="L44"/>
      <c r="BB44" s="453"/>
      <c r="BC44" s="453"/>
    </row>
    <row r="45" spans="2:73" ht="18.75" x14ac:dyDescent="0.3">
      <c r="B45" s="6060" t="s">
        <v>1595</v>
      </c>
      <c r="C45" s="2097" t="s">
        <v>1596</v>
      </c>
      <c r="D45" s="2084"/>
      <c r="E45" s="1017">
        <f>+E46+E47+E48</f>
        <v>8505</v>
      </c>
      <c r="F45" s="2084"/>
      <c r="G45" s="1017">
        <f>+G46+G47+G48</f>
        <v>12422</v>
      </c>
      <c r="H45" s="2079">
        <f t="shared" si="1"/>
        <v>0</v>
      </c>
      <c r="I45" s="649">
        <f t="shared" si="2"/>
        <v>20927</v>
      </c>
      <c r="J45" s="1017">
        <f t="shared" ref="J45:N45" si="129">+J46+J47+J48</f>
        <v>0</v>
      </c>
      <c r="K45" s="1017">
        <f>+K46+K47+K48</f>
        <v>17423</v>
      </c>
      <c r="L45" s="2078">
        <f t="shared" si="3"/>
        <v>0</v>
      </c>
      <c r="M45" s="2078">
        <f t="shared" ref="M45:M51" si="130">E45+G45+K45</f>
        <v>38350</v>
      </c>
      <c r="N45" s="1017">
        <f t="shared" si="129"/>
        <v>0</v>
      </c>
      <c r="O45" s="1017">
        <f>+O46+O47+O48</f>
        <v>26940</v>
      </c>
      <c r="P45" s="2079">
        <f t="shared" si="4"/>
        <v>0</v>
      </c>
      <c r="Q45" s="2162">
        <f t="shared" si="28"/>
        <v>65290</v>
      </c>
      <c r="R45" s="1017">
        <f t="shared" ref="R45" si="131">+R46+R47+R48</f>
        <v>0</v>
      </c>
      <c r="S45" s="1017">
        <f>+S46+S47+S48</f>
        <v>20134</v>
      </c>
      <c r="T45" s="2079">
        <f t="shared" ref="T45:T51" si="132">+P45+R45</f>
        <v>0</v>
      </c>
      <c r="U45" s="2162">
        <f t="shared" ref="U45:U51" si="133">+Q45+S45</f>
        <v>85424</v>
      </c>
      <c r="V45" s="1017">
        <f t="shared" ref="V45" si="134">+V46+V47+V48</f>
        <v>0</v>
      </c>
      <c r="W45" s="1017">
        <f>+W46+W47+W48</f>
        <v>25770</v>
      </c>
      <c r="X45" s="3013"/>
      <c r="Y45" s="2078">
        <f t="shared" si="8"/>
        <v>72844</v>
      </c>
      <c r="Z45" s="2079">
        <f t="shared" ref="Z45:Z51" si="135">+T45+V45</f>
        <v>0</v>
      </c>
      <c r="AA45" s="4740">
        <f t="shared" ref="AA45:AA51" si="136">+U45+W45</f>
        <v>111194</v>
      </c>
      <c r="AB45" s="1017">
        <f t="shared" ref="AB45" si="137">+AB46+AB47+AB48</f>
        <v>0</v>
      </c>
      <c r="AC45" s="1017">
        <f>+AC46+AC47+AC48</f>
        <v>19220</v>
      </c>
      <c r="AD45" s="2079">
        <f t="shared" ref="AD45:AD51" si="138">+Z45+AB45</f>
        <v>0</v>
      </c>
      <c r="AE45" s="2162">
        <f t="shared" ref="AE45:AE51" si="139">+AA45+AC45</f>
        <v>130414</v>
      </c>
      <c r="AF45" s="1017">
        <f t="shared" ref="AF45" si="140">+AF46+AF47+AF48</f>
        <v>0</v>
      </c>
      <c r="AG45" s="1017">
        <f>+AG46+AG47+AG48</f>
        <v>2068</v>
      </c>
      <c r="AH45" s="2079">
        <f t="shared" ref="AH45:AH51" si="141">+AD45+AF45</f>
        <v>0</v>
      </c>
      <c r="AI45" s="2162">
        <f t="shared" ref="AI45:AI51" si="142">+AE45+AG45</f>
        <v>132482</v>
      </c>
      <c r="AJ45" s="1017">
        <f t="shared" ref="AJ45" si="143">+AJ46+AJ47+AJ48</f>
        <v>0</v>
      </c>
      <c r="AK45" s="1017">
        <f>+AK46+AK47+AK48</f>
        <v>17515</v>
      </c>
      <c r="AL45" s="3013"/>
      <c r="AM45" s="2078">
        <f t="shared" ref="AM45:AM51" si="144">AC45+AG45+AK45</f>
        <v>38803</v>
      </c>
      <c r="AN45" s="2079">
        <f t="shared" ref="AN45:AN51" si="145">+AH45+AJ45</f>
        <v>0</v>
      </c>
      <c r="AO45" s="2162">
        <f t="shared" ref="AO45:AO51" si="146">+AI45+AK45</f>
        <v>149997</v>
      </c>
      <c r="AP45" s="1017">
        <f t="shared" ref="AP45" si="147">+AP46+AP47+AP48</f>
        <v>0</v>
      </c>
      <c r="AQ45" s="1017">
        <f>+AQ46+AQ47+AQ48</f>
        <v>19081</v>
      </c>
      <c r="AR45" s="2079">
        <f t="shared" ref="AR45:AR51" si="148">+AN45+AP45</f>
        <v>0</v>
      </c>
      <c r="AS45" s="2162">
        <f t="shared" ref="AS45:AS51" si="149">+AO45+AQ45</f>
        <v>169078</v>
      </c>
      <c r="AT45" s="1017">
        <f t="shared" ref="AT45" si="150">+AT46+AT47+AT48</f>
        <v>0</v>
      </c>
      <c r="AU45" s="1017">
        <f>+AU46+AU47+AU48</f>
        <v>13481</v>
      </c>
      <c r="AV45" s="2079">
        <f t="shared" ref="AV45:AV51" si="151">+AR45+AT45</f>
        <v>0</v>
      </c>
      <c r="AW45" s="2162">
        <f t="shared" ref="AW45:AW51" si="152">+AS45+AU45</f>
        <v>182559</v>
      </c>
      <c r="AX45" s="1017">
        <f t="shared" ref="AX45" si="153">+AX46+AX47+AX48</f>
        <v>0</v>
      </c>
      <c r="AY45" s="1017">
        <f>+AY46+AY47+AY48</f>
        <v>19371</v>
      </c>
      <c r="AZ45" s="3013"/>
      <c r="BA45" s="2078">
        <f t="shared" ref="BA45:BA51" si="154">AQ45+AU45+AY45</f>
        <v>51933</v>
      </c>
      <c r="BB45" s="4740">
        <f t="shared" ref="BB45:BB51" si="155">+AV45+AX45</f>
        <v>0</v>
      </c>
      <c r="BC45" s="497">
        <f t="shared" ref="BC45:BC51" si="156">AM45+BA45</f>
        <v>90736</v>
      </c>
      <c r="BD45" s="2079">
        <f t="shared" ref="BD45:BD51" si="157">+AV45+AX45</f>
        <v>0</v>
      </c>
      <c r="BE45" s="2162">
        <f t="shared" ref="BE45:BE51" si="158">+AW45+AY45</f>
        <v>201930</v>
      </c>
    </row>
    <row r="46" spans="2:73" ht="18.75" x14ac:dyDescent="0.25">
      <c r="B46" s="6061"/>
      <c r="C46" s="2089" t="s">
        <v>792</v>
      </c>
      <c r="D46" s="1708"/>
      <c r="E46" s="207">
        <f>+SINTER!F40</f>
        <v>3023</v>
      </c>
      <c r="F46" s="1708"/>
      <c r="G46" s="207">
        <f>+SINTER!H40</f>
        <v>3012</v>
      </c>
      <c r="H46" s="2079">
        <f t="shared" si="1"/>
        <v>0</v>
      </c>
      <c r="I46" s="2162">
        <f t="shared" si="2"/>
        <v>6035</v>
      </c>
      <c r="J46" s="1708"/>
      <c r="K46" s="207">
        <f>+SINTER!L40</f>
        <v>6321</v>
      </c>
      <c r="L46" s="2078">
        <f t="shared" si="3"/>
        <v>0</v>
      </c>
      <c r="M46" s="2078">
        <f t="shared" si="130"/>
        <v>12356</v>
      </c>
      <c r="N46" s="184"/>
      <c r="O46" s="207">
        <f>+SINTER!P40</f>
        <v>15515</v>
      </c>
      <c r="P46" s="2079">
        <f t="shared" si="4"/>
        <v>0</v>
      </c>
      <c r="Q46" s="2162">
        <f t="shared" si="28"/>
        <v>27871</v>
      </c>
      <c r="R46" s="184"/>
      <c r="S46" s="207">
        <f>+SINTER!T40</f>
        <v>12053</v>
      </c>
      <c r="T46" s="2079">
        <f t="shared" si="132"/>
        <v>0</v>
      </c>
      <c r="U46" s="2162">
        <f t="shared" si="133"/>
        <v>39924</v>
      </c>
      <c r="V46" s="184"/>
      <c r="W46" s="207">
        <f>+SINTER!X40</f>
        <v>14458</v>
      </c>
      <c r="X46" s="2812"/>
      <c r="Y46" s="2078">
        <f t="shared" si="8"/>
        <v>42026</v>
      </c>
      <c r="Z46" s="2079">
        <f t="shared" si="135"/>
        <v>0</v>
      </c>
      <c r="AA46" s="4740">
        <f t="shared" si="136"/>
        <v>54382</v>
      </c>
      <c r="AB46" s="184"/>
      <c r="AC46" s="207">
        <f>+SINTER!AD40</f>
        <v>10655</v>
      </c>
      <c r="AD46" s="2079">
        <f t="shared" si="138"/>
        <v>0</v>
      </c>
      <c r="AE46" s="2162">
        <f t="shared" si="139"/>
        <v>65037</v>
      </c>
      <c r="AF46" s="184"/>
      <c r="AG46" s="207">
        <f>+SINTER!AH40</f>
        <v>786</v>
      </c>
      <c r="AH46" s="2079">
        <f t="shared" si="141"/>
        <v>0</v>
      </c>
      <c r="AI46" s="2162">
        <f t="shared" si="142"/>
        <v>65823</v>
      </c>
      <c r="AJ46" s="184"/>
      <c r="AK46" s="207">
        <f>+SINTER!AL40</f>
        <v>9664</v>
      </c>
      <c r="AL46" s="2812"/>
      <c r="AM46" s="2078">
        <f t="shared" si="144"/>
        <v>21105</v>
      </c>
      <c r="AN46" s="2079">
        <f t="shared" si="145"/>
        <v>0</v>
      </c>
      <c r="AO46" s="2162">
        <f t="shared" si="146"/>
        <v>75487</v>
      </c>
      <c r="AP46" s="184"/>
      <c r="AQ46" s="207">
        <f>+SINTER!AR40</f>
        <v>9564</v>
      </c>
      <c r="AR46" s="2079">
        <f t="shared" si="148"/>
        <v>0</v>
      </c>
      <c r="AS46" s="2162">
        <f t="shared" si="149"/>
        <v>85051</v>
      </c>
      <c r="AT46" s="184"/>
      <c r="AU46" s="207">
        <f>+SINTER!AV40</f>
        <v>3156</v>
      </c>
      <c r="AV46" s="2079">
        <f t="shared" si="151"/>
        <v>0</v>
      </c>
      <c r="AW46" s="2162">
        <f t="shared" si="152"/>
        <v>88207</v>
      </c>
      <c r="AX46" s="184"/>
      <c r="AY46" s="207">
        <f>+SINTER!AZ40</f>
        <v>12136</v>
      </c>
      <c r="AZ46" s="2812"/>
      <c r="BA46" s="2078">
        <f t="shared" si="154"/>
        <v>24856</v>
      </c>
      <c r="BB46" s="4740">
        <f t="shared" si="155"/>
        <v>0</v>
      </c>
      <c r="BC46" s="497">
        <f t="shared" si="156"/>
        <v>45961</v>
      </c>
      <c r="BD46" s="2079">
        <f t="shared" si="157"/>
        <v>0</v>
      </c>
      <c r="BE46" s="2162">
        <f t="shared" si="158"/>
        <v>100343</v>
      </c>
    </row>
    <row r="47" spans="2:73" ht="18.75" x14ac:dyDescent="0.25">
      <c r="B47" s="6061"/>
      <c r="C47" s="2089" t="s">
        <v>791</v>
      </c>
      <c r="D47" s="1708"/>
      <c r="E47" s="207">
        <f>+SINTER!F41</f>
        <v>599</v>
      </c>
      <c r="F47" s="1708"/>
      <c r="G47" s="207">
        <f>+SINTER!H41</f>
        <v>1342</v>
      </c>
      <c r="H47" s="2079">
        <f t="shared" si="1"/>
        <v>0</v>
      </c>
      <c r="I47" s="2162">
        <f t="shared" si="2"/>
        <v>1941</v>
      </c>
      <c r="J47" s="1708"/>
      <c r="K47" s="207">
        <f>+SINTER!L41</f>
        <v>1148</v>
      </c>
      <c r="L47" s="2078">
        <f t="shared" si="3"/>
        <v>0</v>
      </c>
      <c r="M47" s="2078">
        <f t="shared" si="130"/>
        <v>3089</v>
      </c>
      <c r="N47" s="184"/>
      <c r="O47" s="207">
        <f>+SINTER!P41</f>
        <v>872</v>
      </c>
      <c r="P47" s="2079">
        <f t="shared" si="4"/>
        <v>0</v>
      </c>
      <c r="Q47" s="2162">
        <f t="shared" si="28"/>
        <v>3961</v>
      </c>
      <c r="R47" s="184"/>
      <c r="S47" s="207">
        <f>+SINTER!T41</f>
        <v>302</v>
      </c>
      <c r="T47" s="2079">
        <f t="shared" si="132"/>
        <v>0</v>
      </c>
      <c r="U47" s="2162">
        <f t="shared" si="133"/>
        <v>4263</v>
      </c>
      <c r="V47" s="184"/>
      <c r="W47" s="207">
        <f>+SINTER!X41</f>
        <v>928</v>
      </c>
      <c r="X47" s="2812"/>
      <c r="Y47" s="2078">
        <f t="shared" si="8"/>
        <v>2102</v>
      </c>
      <c r="Z47" s="2079">
        <f t="shared" si="135"/>
        <v>0</v>
      </c>
      <c r="AA47" s="4740">
        <f t="shared" si="136"/>
        <v>5191</v>
      </c>
      <c r="AB47" s="184"/>
      <c r="AC47" s="207">
        <f>+SINTER!AD41</f>
        <v>821</v>
      </c>
      <c r="AD47" s="2079">
        <f t="shared" si="138"/>
        <v>0</v>
      </c>
      <c r="AE47" s="2162">
        <f t="shared" si="139"/>
        <v>6012</v>
      </c>
      <c r="AF47" s="184"/>
      <c r="AG47" s="207">
        <f>+SINTER!AH41</f>
        <v>586</v>
      </c>
      <c r="AH47" s="2079">
        <f t="shared" si="141"/>
        <v>0</v>
      </c>
      <c r="AI47" s="2162">
        <f t="shared" si="142"/>
        <v>6598</v>
      </c>
      <c r="AJ47" s="184"/>
      <c r="AK47" s="207">
        <f>+SINTER!AL41</f>
        <v>2031</v>
      </c>
      <c r="AL47" s="2812"/>
      <c r="AM47" s="2078">
        <f t="shared" si="144"/>
        <v>3438</v>
      </c>
      <c r="AN47" s="2079">
        <f t="shared" si="145"/>
        <v>0</v>
      </c>
      <c r="AO47" s="2162">
        <f t="shared" si="146"/>
        <v>8629</v>
      </c>
      <c r="AP47" s="184"/>
      <c r="AQ47" s="207">
        <f>+SINTER!AR41</f>
        <v>1653</v>
      </c>
      <c r="AR47" s="2079">
        <f t="shared" si="148"/>
        <v>0</v>
      </c>
      <c r="AS47" s="2162">
        <f t="shared" si="149"/>
        <v>10282</v>
      </c>
      <c r="AT47" s="184"/>
      <c r="AU47" s="207">
        <f>+SINTER!AV41</f>
        <v>1007</v>
      </c>
      <c r="AV47" s="2079">
        <f t="shared" si="151"/>
        <v>0</v>
      </c>
      <c r="AW47" s="2162">
        <f t="shared" si="152"/>
        <v>11289</v>
      </c>
      <c r="AX47" s="184"/>
      <c r="AY47" s="207">
        <f>+SINTER!AZ41</f>
        <v>96</v>
      </c>
      <c r="AZ47" s="2812"/>
      <c r="BA47" s="2078">
        <f t="shared" si="154"/>
        <v>2756</v>
      </c>
      <c r="BB47" s="4740">
        <f t="shared" si="155"/>
        <v>0</v>
      </c>
      <c r="BC47" s="497">
        <f t="shared" si="156"/>
        <v>6194</v>
      </c>
      <c r="BD47" s="2079">
        <f t="shared" si="157"/>
        <v>0</v>
      </c>
      <c r="BE47" s="2162">
        <f t="shared" si="158"/>
        <v>11385</v>
      </c>
    </row>
    <row r="48" spans="2:73" ht="18.75" x14ac:dyDescent="0.25">
      <c r="B48" s="6062"/>
      <c r="C48" s="2089" t="s">
        <v>994</v>
      </c>
      <c r="D48" s="1708"/>
      <c r="E48" s="207">
        <f>+SINTER!F43</f>
        <v>4883</v>
      </c>
      <c r="F48" s="1708"/>
      <c r="G48" s="207">
        <f>+SINTER!H43</f>
        <v>8068</v>
      </c>
      <c r="H48" s="2079">
        <f t="shared" si="1"/>
        <v>0</v>
      </c>
      <c r="I48" s="2162">
        <f t="shared" si="2"/>
        <v>12951</v>
      </c>
      <c r="J48" s="1708"/>
      <c r="K48" s="207">
        <f>+SINTER!L43</f>
        <v>9954</v>
      </c>
      <c r="L48" s="2078">
        <f t="shared" si="3"/>
        <v>0</v>
      </c>
      <c r="M48" s="2078">
        <f t="shared" si="130"/>
        <v>22905</v>
      </c>
      <c r="N48" s="184"/>
      <c r="O48" s="207">
        <f>+SINTER!P43</f>
        <v>10553</v>
      </c>
      <c r="P48" s="2079">
        <f t="shared" si="4"/>
        <v>0</v>
      </c>
      <c r="Q48" s="2162">
        <f t="shared" si="28"/>
        <v>33458</v>
      </c>
      <c r="R48" s="184"/>
      <c r="S48" s="207">
        <f>+SINTER!T43</f>
        <v>7779</v>
      </c>
      <c r="T48" s="2079">
        <f t="shared" si="132"/>
        <v>0</v>
      </c>
      <c r="U48" s="2162">
        <f t="shared" si="133"/>
        <v>41237</v>
      </c>
      <c r="V48" s="184"/>
      <c r="W48" s="207">
        <f>+SINTER!X43</f>
        <v>10384</v>
      </c>
      <c r="X48" s="2812"/>
      <c r="Y48" s="2078">
        <f t="shared" si="8"/>
        <v>28716</v>
      </c>
      <c r="Z48" s="2079">
        <f t="shared" si="135"/>
        <v>0</v>
      </c>
      <c r="AA48" s="4740">
        <f t="shared" si="136"/>
        <v>51621</v>
      </c>
      <c r="AB48" s="184"/>
      <c r="AC48" s="207">
        <f>+SINTER!AD43</f>
        <v>7744</v>
      </c>
      <c r="AD48" s="2079">
        <f t="shared" si="138"/>
        <v>0</v>
      </c>
      <c r="AE48" s="2162">
        <f t="shared" si="139"/>
        <v>59365</v>
      </c>
      <c r="AF48" s="184"/>
      <c r="AG48" s="207">
        <f>+SINTER!AH43</f>
        <v>696</v>
      </c>
      <c r="AH48" s="2079">
        <f t="shared" si="141"/>
        <v>0</v>
      </c>
      <c r="AI48" s="2162">
        <f t="shared" si="142"/>
        <v>60061</v>
      </c>
      <c r="AJ48" s="184"/>
      <c r="AK48" s="207">
        <f>+SINTER!AL43</f>
        <v>5820</v>
      </c>
      <c r="AL48" s="2812"/>
      <c r="AM48" s="2078">
        <f t="shared" si="144"/>
        <v>14260</v>
      </c>
      <c r="AN48" s="2079">
        <f t="shared" si="145"/>
        <v>0</v>
      </c>
      <c r="AO48" s="2162">
        <f t="shared" si="146"/>
        <v>65881</v>
      </c>
      <c r="AP48" s="184"/>
      <c r="AQ48" s="207">
        <f>+SINTER!AR43</f>
        <v>7864</v>
      </c>
      <c r="AR48" s="2079">
        <f t="shared" si="148"/>
        <v>0</v>
      </c>
      <c r="AS48" s="2162">
        <f t="shared" si="149"/>
        <v>73745</v>
      </c>
      <c r="AT48" s="184"/>
      <c r="AU48" s="207">
        <f>+SINTER!AV43</f>
        <v>9318</v>
      </c>
      <c r="AV48" s="2079">
        <f t="shared" si="151"/>
        <v>0</v>
      </c>
      <c r="AW48" s="2162">
        <f t="shared" si="152"/>
        <v>83063</v>
      </c>
      <c r="AX48" s="184"/>
      <c r="AY48" s="207">
        <f>+SINTER!AZ43</f>
        <v>7139</v>
      </c>
      <c r="AZ48" s="2812"/>
      <c r="BA48" s="2078">
        <f t="shared" si="154"/>
        <v>24321</v>
      </c>
      <c r="BB48" s="4740">
        <f t="shared" si="155"/>
        <v>0</v>
      </c>
      <c r="BC48" s="497">
        <f t="shared" si="156"/>
        <v>38581</v>
      </c>
      <c r="BD48" s="2079">
        <f t="shared" si="157"/>
        <v>0</v>
      </c>
      <c r="BE48" s="2162">
        <f t="shared" si="158"/>
        <v>90202</v>
      </c>
    </row>
    <row r="49" spans="2:67" ht="18.75" x14ac:dyDescent="0.25">
      <c r="B49" s="6060" t="s">
        <v>987</v>
      </c>
      <c r="C49" s="2091" t="s">
        <v>1597</v>
      </c>
      <c r="D49" s="2086"/>
      <c r="E49" s="621">
        <f>+SINTER!F20</f>
        <v>394521</v>
      </c>
      <c r="F49" s="2086"/>
      <c r="G49" s="621">
        <f>+SINTER!H20</f>
        <v>431004</v>
      </c>
      <c r="H49" s="2079">
        <f t="shared" si="1"/>
        <v>0</v>
      </c>
      <c r="I49" s="649">
        <f t="shared" si="2"/>
        <v>825525</v>
      </c>
      <c r="J49" s="2086"/>
      <c r="K49" s="621">
        <f>+SINTER!L20</f>
        <v>441470</v>
      </c>
      <c r="L49" s="2078">
        <f t="shared" si="3"/>
        <v>0</v>
      </c>
      <c r="M49" s="2637">
        <f t="shared" si="130"/>
        <v>1266995</v>
      </c>
      <c r="N49" s="184"/>
      <c r="O49" s="621">
        <f>+SINTER!P20</f>
        <v>470214</v>
      </c>
      <c r="P49" s="2079">
        <f t="shared" si="4"/>
        <v>0</v>
      </c>
      <c r="Q49" s="2162">
        <f t="shared" si="28"/>
        <v>1737209</v>
      </c>
      <c r="R49" s="184"/>
      <c r="S49" s="621">
        <f>+SINTER!T20</f>
        <v>459402</v>
      </c>
      <c r="T49" s="2079">
        <f t="shared" si="132"/>
        <v>0</v>
      </c>
      <c r="U49" s="2162">
        <f t="shared" si="133"/>
        <v>2196611</v>
      </c>
      <c r="V49" s="184"/>
      <c r="W49" s="621">
        <f>+SINTER!X20</f>
        <v>440293</v>
      </c>
      <c r="X49" s="2658"/>
      <c r="Y49" s="2078">
        <f t="shared" si="8"/>
        <v>1369909</v>
      </c>
      <c r="Z49" s="2079">
        <f t="shared" si="135"/>
        <v>0</v>
      </c>
      <c r="AA49" s="4740">
        <f t="shared" si="136"/>
        <v>2636904</v>
      </c>
      <c r="AB49" s="184"/>
      <c r="AC49" s="621">
        <f>+SINTER!AD20</f>
        <v>446586</v>
      </c>
      <c r="AD49" s="2079">
        <f t="shared" si="138"/>
        <v>0</v>
      </c>
      <c r="AE49" s="2162">
        <f t="shared" si="139"/>
        <v>3083490</v>
      </c>
      <c r="AF49" s="184"/>
      <c r="AG49" s="621">
        <f>+SINTER!AH20</f>
        <v>27818</v>
      </c>
      <c r="AH49" s="2079">
        <f t="shared" si="141"/>
        <v>0</v>
      </c>
      <c r="AI49" s="2162">
        <f t="shared" si="142"/>
        <v>3111308</v>
      </c>
      <c r="AJ49" s="184"/>
      <c r="AK49" s="621">
        <f>+SINTER!AL20</f>
        <v>433115.14</v>
      </c>
      <c r="AL49" s="2658"/>
      <c r="AM49" s="2637">
        <f t="shared" si="144"/>
        <v>907519.14</v>
      </c>
      <c r="AN49" s="2079">
        <f t="shared" si="145"/>
        <v>0</v>
      </c>
      <c r="AO49" s="2162">
        <f t="shared" si="146"/>
        <v>3544423.14</v>
      </c>
      <c r="AP49" s="184"/>
      <c r="AQ49" s="621">
        <f>+SINTER!AR20</f>
        <v>441913</v>
      </c>
      <c r="AR49" s="2079">
        <f t="shared" si="148"/>
        <v>0</v>
      </c>
      <c r="AS49" s="2162">
        <f t="shared" si="149"/>
        <v>3986336.14</v>
      </c>
      <c r="AT49" s="184"/>
      <c r="AU49" s="621">
        <f>+SINTER!AV20</f>
        <v>418078</v>
      </c>
      <c r="AV49" s="2079">
        <f t="shared" si="151"/>
        <v>0</v>
      </c>
      <c r="AW49" s="2162">
        <f t="shared" si="152"/>
        <v>4404414.1400000006</v>
      </c>
      <c r="AX49" s="184"/>
      <c r="AY49" s="621">
        <f>+SINTER!AZ20</f>
        <v>504215</v>
      </c>
      <c r="AZ49" s="2658"/>
      <c r="BA49" s="2078">
        <f t="shared" si="154"/>
        <v>1364206</v>
      </c>
      <c r="BB49" s="4740">
        <f t="shared" si="155"/>
        <v>0</v>
      </c>
      <c r="BC49" s="497">
        <f t="shared" si="156"/>
        <v>2271725.14</v>
      </c>
      <c r="BD49" s="2079">
        <f t="shared" si="157"/>
        <v>0</v>
      </c>
      <c r="BE49" s="2162">
        <f t="shared" si="158"/>
        <v>4908629.1400000006</v>
      </c>
    </row>
    <row r="50" spans="2:67" ht="18.75" x14ac:dyDescent="0.25">
      <c r="B50" s="6061"/>
      <c r="C50" s="2091" t="s">
        <v>1598</v>
      </c>
      <c r="D50" s="2086"/>
      <c r="E50" s="270">
        <f t="shared" ref="E50:N50" si="159">SUM(E46:E48)</f>
        <v>8505</v>
      </c>
      <c r="F50" s="270">
        <f t="shared" si="159"/>
        <v>0</v>
      </c>
      <c r="G50" s="270">
        <f t="shared" ref="G50" si="160">SUM(G46:G48)</f>
        <v>12422</v>
      </c>
      <c r="H50" s="2079">
        <f t="shared" si="1"/>
        <v>0</v>
      </c>
      <c r="I50" s="649">
        <f t="shared" si="2"/>
        <v>20927</v>
      </c>
      <c r="J50" s="270">
        <f t="shared" si="159"/>
        <v>0</v>
      </c>
      <c r="K50" s="270">
        <f t="shared" si="159"/>
        <v>17423</v>
      </c>
      <c r="L50" s="2078">
        <f t="shared" si="3"/>
        <v>0</v>
      </c>
      <c r="M50" s="2637">
        <f t="shared" si="130"/>
        <v>38350</v>
      </c>
      <c r="N50" s="270">
        <f t="shared" si="159"/>
        <v>0</v>
      </c>
      <c r="O50" s="270">
        <f t="shared" ref="O50" si="161">SUM(O46:O48)</f>
        <v>26940</v>
      </c>
      <c r="P50" s="2079">
        <f t="shared" si="4"/>
        <v>0</v>
      </c>
      <c r="Q50" s="2162">
        <f t="shared" si="28"/>
        <v>65290</v>
      </c>
      <c r="R50" s="270">
        <f t="shared" ref="R50:S50" si="162">SUM(R46:R48)</f>
        <v>0</v>
      </c>
      <c r="S50" s="270">
        <f t="shared" si="162"/>
        <v>20134</v>
      </c>
      <c r="T50" s="2079">
        <f t="shared" si="132"/>
        <v>0</v>
      </c>
      <c r="U50" s="2162">
        <f t="shared" si="133"/>
        <v>85424</v>
      </c>
      <c r="V50" s="270">
        <f t="shared" ref="V50:W50" si="163">SUM(V46:V48)</f>
        <v>0</v>
      </c>
      <c r="W50" s="270">
        <f t="shared" si="163"/>
        <v>25770</v>
      </c>
      <c r="X50" s="3371"/>
      <c r="Y50" s="2078">
        <f t="shared" si="8"/>
        <v>72844</v>
      </c>
      <c r="Z50" s="2079">
        <f t="shared" si="135"/>
        <v>0</v>
      </c>
      <c r="AA50" s="4740">
        <f t="shared" si="136"/>
        <v>111194</v>
      </c>
      <c r="AB50" s="270">
        <f t="shared" ref="AB50:AC50" si="164">SUM(AB46:AB48)</f>
        <v>0</v>
      </c>
      <c r="AC50" s="270">
        <f t="shared" si="164"/>
        <v>19220</v>
      </c>
      <c r="AD50" s="2079">
        <f t="shared" si="138"/>
        <v>0</v>
      </c>
      <c r="AE50" s="2162">
        <f t="shared" si="139"/>
        <v>130414</v>
      </c>
      <c r="AF50" s="270">
        <f t="shared" ref="AF50:AG50" si="165">SUM(AF46:AF48)</f>
        <v>0</v>
      </c>
      <c r="AG50" s="270">
        <f t="shared" si="165"/>
        <v>2068</v>
      </c>
      <c r="AH50" s="2079">
        <f t="shared" si="141"/>
        <v>0</v>
      </c>
      <c r="AI50" s="2162">
        <f t="shared" si="142"/>
        <v>132482</v>
      </c>
      <c r="AJ50" s="270">
        <f t="shared" ref="AJ50:AK50" si="166">SUM(AJ46:AJ48)</f>
        <v>0</v>
      </c>
      <c r="AK50" s="270">
        <f t="shared" si="166"/>
        <v>17515</v>
      </c>
      <c r="AL50" s="3371"/>
      <c r="AM50" s="2637">
        <f t="shared" si="144"/>
        <v>38803</v>
      </c>
      <c r="AN50" s="2079">
        <f t="shared" si="145"/>
        <v>0</v>
      </c>
      <c r="AO50" s="2162">
        <f t="shared" si="146"/>
        <v>149997</v>
      </c>
      <c r="AP50" s="270">
        <f t="shared" ref="AP50:AQ50" si="167">SUM(AP46:AP48)</f>
        <v>0</v>
      </c>
      <c r="AQ50" s="270">
        <f t="shared" si="167"/>
        <v>19081</v>
      </c>
      <c r="AR50" s="2079">
        <f t="shared" si="148"/>
        <v>0</v>
      </c>
      <c r="AS50" s="2162">
        <f t="shared" si="149"/>
        <v>169078</v>
      </c>
      <c r="AT50" s="270">
        <f t="shared" ref="AT50:AU50" si="168">SUM(AT46:AT48)</f>
        <v>0</v>
      </c>
      <c r="AU50" s="270">
        <f t="shared" si="168"/>
        <v>13481</v>
      </c>
      <c r="AV50" s="2079">
        <f t="shared" si="151"/>
        <v>0</v>
      </c>
      <c r="AW50" s="2162">
        <f t="shared" si="152"/>
        <v>182559</v>
      </c>
      <c r="AX50" s="270">
        <f t="shared" ref="AX50:AY50" si="169">SUM(AX46:AX48)</f>
        <v>0</v>
      </c>
      <c r="AY50" s="270">
        <f t="shared" si="169"/>
        <v>19371</v>
      </c>
      <c r="AZ50" s="3371"/>
      <c r="BA50" s="2078">
        <f t="shared" si="154"/>
        <v>51933</v>
      </c>
      <c r="BB50" s="4740">
        <f t="shared" si="155"/>
        <v>0</v>
      </c>
      <c r="BC50" s="497">
        <f t="shared" si="156"/>
        <v>90736</v>
      </c>
      <c r="BD50" s="2079">
        <f t="shared" si="157"/>
        <v>0</v>
      </c>
      <c r="BE50" s="2162">
        <f t="shared" si="158"/>
        <v>201930</v>
      </c>
    </row>
    <row r="51" spans="2:67" ht="18.75" x14ac:dyDescent="0.25">
      <c r="B51" s="6062"/>
      <c r="C51" s="2091" t="s">
        <v>1599</v>
      </c>
      <c r="D51" s="2086"/>
      <c r="E51" s="270">
        <f t="shared" ref="E51:N51" si="170">SUM(E49:E50)</f>
        <v>403026</v>
      </c>
      <c r="F51" s="270">
        <f t="shared" si="170"/>
        <v>0</v>
      </c>
      <c r="G51" s="621">
        <f t="shared" ref="G51" si="171">SUM(G49:G50)</f>
        <v>443426</v>
      </c>
      <c r="H51" s="2079">
        <f t="shared" si="1"/>
        <v>0</v>
      </c>
      <c r="I51" s="649">
        <f t="shared" si="2"/>
        <v>846452</v>
      </c>
      <c r="J51" s="270">
        <f t="shared" si="170"/>
        <v>0</v>
      </c>
      <c r="K51" s="621">
        <f t="shared" si="170"/>
        <v>458893</v>
      </c>
      <c r="L51" s="2078">
        <f t="shared" si="3"/>
        <v>0</v>
      </c>
      <c r="M51" s="2637">
        <f t="shared" si="130"/>
        <v>1305345</v>
      </c>
      <c r="N51" s="270">
        <f t="shared" si="170"/>
        <v>0</v>
      </c>
      <c r="O51" s="621">
        <f t="shared" ref="O51" si="172">SUM(O49:O50)</f>
        <v>497154</v>
      </c>
      <c r="P51" s="2079">
        <f t="shared" si="4"/>
        <v>0</v>
      </c>
      <c r="Q51" s="2162">
        <f t="shared" si="28"/>
        <v>1802499</v>
      </c>
      <c r="R51" s="270">
        <f t="shared" ref="R51:S51" si="173">SUM(R49:R50)</f>
        <v>0</v>
      </c>
      <c r="S51" s="621">
        <f t="shared" si="173"/>
        <v>479536</v>
      </c>
      <c r="T51" s="2079">
        <f t="shared" si="132"/>
        <v>0</v>
      </c>
      <c r="U51" s="2162">
        <f t="shared" si="133"/>
        <v>2282035</v>
      </c>
      <c r="V51" s="270">
        <f t="shared" ref="V51:W51" si="174">SUM(V49:V50)</f>
        <v>0</v>
      </c>
      <c r="W51" s="621">
        <f t="shared" si="174"/>
        <v>466063</v>
      </c>
      <c r="X51" s="2658"/>
      <c r="Y51" s="2078">
        <f t="shared" si="8"/>
        <v>1442753</v>
      </c>
      <c r="Z51" s="2079">
        <f t="shared" si="135"/>
        <v>0</v>
      </c>
      <c r="AA51" s="4740">
        <f t="shared" si="136"/>
        <v>2748098</v>
      </c>
      <c r="AB51" s="270">
        <f t="shared" ref="AB51:AC51" si="175">SUM(AB49:AB50)</f>
        <v>0</v>
      </c>
      <c r="AC51" s="621">
        <f t="shared" si="175"/>
        <v>465806</v>
      </c>
      <c r="AD51" s="2079">
        <f t="shared" si="138"/>
        <v>0</v>
      </c>
      <c r="AE51" s="2162">
        <f t="shared" si="139"/>
        <v>3213904</v>
      </c>
      <c r="AF51" s="270">
        <f t="shared" ref="AF51:AG51" si="176">SUM(AF49:AF50)</f>
        <v>0</v>
      </c>
      <c r="AG51" s="621">
        <f t="shared" si="176"/>
        <v>29886</v>
      </c>
      <c r="AH51" s="2079">
        <f t="shared" si="141"/>
        <v>0</v>
      </c>
      <c r="AI51" s="2162">
        <f t="shared" si="142"/>
        <v>3243790</v>
      </c>
      <c r="AJ51" s="270">
        <f t="shared" ref="AJ51:AK51" si="177">SUM(AJ49:AJ50)</f>
        <v>0</v>
      </c>
      <c r="AK51" s="621">
        <f t="shared" si="177"/>
        <v>450630.14</v>
      </c>
      <c r="AL51" s="2658"/>
      <c r="AM51" s="2637">
        <f t="shared" si="144"/>
        <v>946322.14</v>
      </c>
      <c r="AN51" s="2079">
        <f t="shared" si="145"/>
        <v>0</v>
      </c>
      <c r="AO51" s="2162">
        <f t="shared" si="146"/>
        <v>3694420.14</v>
      </c>
      <c r="AP51" s="270">
        <f t="shared" ref="AP51:AQ51" si="178">SUM(AP49:AP50)</f>
        <v>0</v>
      </c>
      <c r="AQ51" s="621">
        <f t="shared" si="178"/>
        <v>460994</v>
      </c>
      <c r="AR51" s="2079">
        <f t="shared" si="148"/>
        <v>0</v>
      </c>
      <c r="AS51" s="2162">
        <f t="shared" si="149"/>
        <v>4155414.14</v>
      </c>
      <c r="AT51" s="270">
        <f t="shared" ref="AT51:AU51" si="179">SUM(AT49:AT50)</f>
        <v>0</v>
      </c>
      <c r="AU51" s="621">
        <f t="shared" si="179"/>
        <v>431559</v>
      </c>
      <c r="AV51" s="2079">
        <f t="shared" si="151"/>
        <v>0</v>
      </c>
      <c r="AW51" s="2162">
        <f t="shared" si="152"/>
        <v>4586973.1400000006</v>
      </c>
      <c r="AX51" s="270">
        <f t="shared" ref="AX51:AY51" si="180">SUM(AX49:AX50)</f>
        <v>0</v>
      </c>
      <c r="AY51" s="621">
        <f t="shared" si="180"/>
        <v>523586</v>
      </c>
      <c r="AZ51" s="2658"/>
      <c r="BA51" s="2078">
        <f t="shared" si="154"/>
        <v>1416139</v>
      </c>
      <c r="BB51" s="4740">
        <f t="shared" si="155"/>
        <v>0</v>
      </c>
      <c r="BC51" s="497">
        <f t="shared" si="156"/>
        <v>2362461.14</v>
      </c>
      <c r="BD51" s="2079">
        <f t="shared" si="157"/>
        <v>0</v>
      </c>
      <c r="BE51" s="2162">
        <f t="shared" si="158"/>
        <v>5110559.1400000006</v>
      </c>
    </row>
    <row r="52" spans="2:67" ht="18.75" x14ac:dyDescent="0.3">
      <c r="B52" s="2104"/>
      <c r="C52" s="2096"/>
      <c r="D52" s="2088"/>
      <c r="E52" s="2682"/>
      <c r="F52" s="2682"/>
      <c r="G52" s="2682"/>
      <c r="H52" s="2682"/>
      <c r="I52" s="2682"/>
      <c r="J52" s="2682"/>
      <c r="K52" s="2682"/>
      <c r="L52" s="2682"/>
      <c r="M52" s="2682"/>
      <c r="N52" s="2682"/>
      <c r="O52" s="2682"/>
      <c r="P52" s="2682"/>
      <c r="Q52" s="2682"/>
      <c r="R52" s="2682"/>
      <c r="S52" s="2682"/>
      <c r="T52" s="2682"/>
      <c r="U52" s="2682"/>
      <c r="V52" s="2682"/>
      <c r="W52" s="2682"/>
      <c r="X52" s="4115"/>
      <c r="Y52" s="2078"/>
      <c r="Z52" s="2682"/>
      <c r="AA52" s="2682"/>
      <c r="AB52" s="2682"/>
      <c r="AC52" s="2682"/>
      <c r="AD52" s="2682"/>
      <c r="AE52" s="2682"/>
      <c r="AF52" s="2682"/>
      <c r="AG52" s="2682"/>
      <c r="AH52" s="2682"/>
      <c r="AI52" s="2682"/>
      <c r="AJ52" s="2682"/>
      <c r="AK52" s="2682"/>
      <c r="AL52" s="4115"/>
      <c r="AM52" s="2078"/>
      <c r="AN52" s="2682"/>
      <c r="AO52" s="2682"/>
      <c r="AP52" s="2682"/>
      <c r="AQ52" s="2682"/>
      <c r="AR52" s="2682"/>
      <c r="AS52" s="2682"/>
      <c r="AT52" s="2682"/>
      <c r="AU52" s="2682"/>
      <c r="AV52" s="2682"/>
      <c r="AW52" s="2682"/>
      <c r="AX52" s="2682"/>
      <c r="AY52" s="2682"/>
      <c r="AZ52" s="4115"/>
      <c r="BA52" s="2078"/>
      <c r="BB52" s="4802"/>
      <c r="BC52" s="4802"/>
      <c r="BD52" s="2682"/>
      <c r="BE52" s="2682"/>
    </row>
    <row r="53" spans="2:67" ht="18.75" x14ac:dyDescent="0.3">
      <c r="B53" s="6051" t="s">
        <v>1600</v>
      </c>
      <c r="C53" s="2093" t="s">
        <v>1457</v>
      </c>
      <c r="D53" s="2087"/>
      <c r="E53" s="2683"/>
      <c r="F53" s="2683"/>
      <c r="G53" s="2683"/>
      <c r="H53" s="2683"/>
      <c r="I53" s="2683"/>
      <c r="J53" s="2683"/>
      <c r="K53" s="2683"/>
      <c r="L53" s="2683"/>
      <c r="M53" s="2683"/>
      <c r="N53" s="2683"/>
      <c r="O53" s="2683"/>
      <c r="P53" s="2683">
        <f t="shared" ref="P53" si="181">+P50-P52</f>
        <v>0</v>
      </c>
      <c r="Q53" s="2683"/>
      <c r="R53" s="2683"/>
      <c r="S53" s="2683"/>
      <c r="T53" s="2683">
        <f t="shared" ref="T53" si="182">+T50-T52</f>
        <v>0</v>
      </c>
      <c r="U53" s="2683"/>
      <c r="V53" s="2683"/>
      <c r="W53" s="2683"/>
      <c r="X53" s="4111"/>
      <c r="Y53" s="2078"/>
      <c r="Z53" s="2683"/>
      <c r="AA53" s="2683"/>
      <c r="AB53" s="2683"/>
      <c r="AC53" s="2683"/>
      <c r="AD53" s="2683">
        <f t="shared" ref="AD53" si="183">+AD50-AD52</f>
        <v>0</v>
      </c>
      <c r="AE53" s="2683"/>
      <c r="AF53" s="2683"/>
      <c r="AG53" s="2683"/>
      <c r="AH53" s="2683">
        <f t="shared" ref="AH53" si="184">+AH50-AH52</f>
        <v>0</v>
      </c>
      <c r="AI53" s="2683"/>
      <c r="AJ53" s="2683"/>
      <c r="AK53" s="2683"/>
      <c r="AL53" s="4111"/>
      <c r="AM53" s="2078"/>
      <c r="AN53" s="2683">
        <f t="shared" ref="AN53" si="185">+AN50-AN52</f>
        <v>0</v>
      </c>
      <c r="AO53" s="2683"/>
      <c r="AP53" s="2683"/>
      <c r="AQ53" s="2683"/>
      <c r="AR53" s="2683"/>
      <c r="AS53" s="2683"/>
      <c r="AT53" s="2683"/>
      <c r="AU53" s="2683"/>
      <c r="AV53" s="2683"/>
      <c r="AW53" s="2683"/>
      <c r="AX53" s="2683"/>
      <c r="AY53" s="2683"/>
      <c r="AZ53" s="4111"/>
      <c r="BA53" s="2078"/>
      <c r="BB53" s="4803"/>
      <c r="BC53" s="4803"/>
      <c r="BD53" s="2683"/>
      <c r="BE53" s="2683"/>
    </row>
    <row r="54" spans="2:67" ht="18.75" x14ac:dyDescent="0.25">
      <c r="B54" s="6051"/>
      <c r="C54" s="2089" t="s">
        <v>1601</v>
      </c>
      <c r="D54" s="1708"/>
      <c r="E54" s="2077">
        <v>66237</v>
      </c>
      <c r="F54" s="1708"/>
      <c r="G54" s="2077">
        <v>66237</v>
      </c>
      <c r="H54" s="2079">
        <f t="shared" si="1"/>
        <v>0</v>
      </c>
      <c r="I54" s="2162">
        <f t="shared" si="2"/>
        <v>132474</v>
      </c>
      <c r="J54" s="1708"/>
      <c r="K54" s="2077">
        <v>75651</v>
      </c>
      <c r="L54" s="2078">
        <f t="shared" si="3"/>
        <v>0</v>
      </c>
      <c r="M54" s="2078">
        <f t="shared" ref="M54:M62" si="186">E54+G54+K54</f>
        <v>208125</v>
      </c>
      <c r="N54" s="184"/>
      <c r="O54" s="2077">
        <v>80235</v>
      </c>
      <c r="P54" s="2079">
        <f t="shared" si="4"/>
        <v>0</v>
      </c>
      <c r="Q54" s="2079">
        <f t="shared" si="28"/>
        <v>288360</v>
      </c>
      <c r="R54" s="184"/>
      <c r="S54" s="2077">
        <v>57375</v>
      </c>
      <c r="T54" s="2079">
        <f t="shared" ref="T54:T61" si="187">+P54+R54</f>
        <v>0</v>
      </c>
      <c r="U54" s="2079">
        <f t="shared" ref="U54:U62" si="188">+Q54+S54</f>
        <v>345735</v>
      </c>
      <c r="V54" s="184"/>
      <c r="W54" s="2077">
        <v>51110</v>
      </c>
      <c r="X54" s="3980"/>
      <c r="Y54" s="2078">
        <f t="shared" si="8"/>
        <v>188720</v>
      </c>
      <c r="Z54" s="2079">
        <f t="shared" ref="Z54:Z61" si="189">+T54+V54</f>
        <v>0</v>
      </c>
      <c r="AA54" s="4740">
        <f t="shared" ref="AA54:AA61" si="190">+U54+W54</f>
        <v>396845</v>
      </c>
      <c r="AB54" s="184"/>
      <c r="AC54" s="2077">
        <v>52308</v>
      </c>
      <c r="AD54" s="2079">
        <f t="shared" ref="AD54:AD61" si="191">+Z54+AB54</f>
        <v>0</v>
      </c>
      <c r="AE54" s="2079">
        <f t="shared" ref="AE54:AE62" si="192">+AA54+AC54</f>
        <v>449153</v>
      </c>
      <c r="AF54" s="184"/>
      <c r="AG54" s="2077">
        <v>1318</v>
      </c>
      <c r="AH54" s="2079">
        <f t="shared" ref="AH54:AH61" si="193">+AD54+AF54</f>
        <v>0</v>
      </c>
      <c r="AI54" s="2079">
        <f t="shared" ref="AI54:AI62" si="194">+AE54+AG54</f>
        <v>450471</v>
      </c>
      <c r="AJ54" s="184"/>
      <c r="AK54" s="2077">
        <v>53936</v>
      </c>
      <c r="AL54" s="3980"/>
      <c r="AM54" s="2078">
        <f t="shared" ref="AM54:AM62" si="195">AC54+AG54+AK54</f>
        <v>107562</v>
      </c>
      <c r="AN54" s="2079">
        <f t="shared" ref="AN54:AN61" si="196">+AH54+AJ54</f>
        <v>0</v>
      </c>
      <c r="AO54" s="2079">
        <f t="shared" ref="AO54:AO62" si="197">+AI54+AK54</f>
        <v>504407</v>
      </c>
      <c r="AP54" s="184"/>
      <c r="AQ54" s="2077">
        <v>74141</v>
      </c>
      <c r="AR54" s="2079">
        <f t="shared" ref="AR54:AR61" si="198">+AN54+AP54</f>
        <v>0</v>
      </c>
      <c r="AS54" s="2079">
        <f t="shared" ref="AS54:AS62" si="199">+AO54+AQ54</f>
        <v>578548</v>
      </c>
      <c r="AT54" s="184"/>
      <c r="AU54" s="2077">
        <v>81244</v>
      </c>
      <c r="AV54" s="2079">
        <f t="shared" ref="AV54:AV61" si="200">+AR54+AT54</f>
        <v>0</v>
      </c>
      <c r="AW54" s="2079">
        <f t="shared" ref="AW54:AW62" si="201">+AS54+AU54</f>
        <v>659792</v>
      </c>
      <c r="AX54" s="184"/>
      <c r="AY54" s="2077">
        <v>101277</v>
      </c>
      <c r="AZ54" s="3980"/>
      <c r="BA54" s="2078">
        <f t="shared" ref="BA54:BA62" si="202">AQ54+AU54+AY54</f>
        <v>256662</v>
      </c>
      <c r="BB54" s="4740">
        <f t="shared" ref="BB54:BB62" si="203">+AV54+AX54</f>
        <v>0</v>
      </c>
      <c r="BC54" s="497">
        <f t="shared" ref="BC54:BC62" si="204">AM54+BA54</f>
        <v>364224</v>
      </c>
      <c r="BD54" s="2079">
        <f t="shared" ref="BD54:BD61" si="205">+AV54+AX54</f>
        <v>0</v>
      </c>
      <c r="BE54" s="2079">
        <f t="shared" ref="BE54:BE62" si="206">+AW54+AY54</f>
        <v>761069</v>
      </c>
    </row>
    <row r="55" spans="2:67" ht="18.75" x14ac:dyDescent="0.25">
      <c r="B55" s="6051"/>
      <c r="C55" s="2089" t="s">
        <v>1602</v>
      </c>
      <c r="D55" s="1708"/>
      <c r="E55" s="2077">
        <v>241</v>
      </c>
      <c r="F55" s="1708"/>
      <c r="G55" s="2077">
        <v>241</v>
      </c>
      <c r="H55" s="2079">
        <f t="shared" si="1"/>
        <v>0</v>
      </c>
      <c r="I55" s="2162">
        <f t="shared" si="2"/>
        <v>482</v>
      </c>
      <c r="J55" s="1708"/>
      <c r="K55" s="2077">
        <v>1325</v>
      </c>
      <c r="L55" s="2078">
        <f t="shared" si="3"/>
        <v>0</v>
      </c>
      <c r="M55" s="2078">
        <f t="shared" si="186"/>
        <v>1807</v>
      </c>
      <c r="N55" s="184"/>
      <c r="O55" s="2077">
        <v>406</v>
      </c>
      <c r="P55" s="2079">
        <f t="shared" si="4"/>
        <v>0</v>
      </c>
      <c r="Q55" s="2079">
        <f t="shared" si="28"/>
        <v>2213</v>
      </c>
      <c r="R55" s="184"/>
      <c r="S55" s="2077">
        <v>1422</v>
      </c>
      <c r="T55" s="2079">
        <f t="shared" si="187"/>
        <v>0</v>
      </c>
      <c r="U55" s="2079">
        <f t="shared" si="188"/>
        <v>3635</v>
      </c>
      <c r="V55" s="184"/>
      <c r="W55" s="2077">
        <v>706</v>
      </c>
      <c r="X55" s="3980"/>
      <c r="Y55" s="2078">
        <f t="shared" si="8"/>
        <v>2534</v>
      </c>
      <c r="Z55" s="2079">
        <f t="shared" si="189"/>
        <v>0</v>
      </c>
      <c r="AA55" s="4740">
        <f t="shared" si="190"/>
        <v>4341</v>
      </c>
      <c r="AB55" s="184"/>
      <c r="AC55" s="2077">
        <v>2011</v>
      </c>
      <c r="AD55" s="2079">
        <f t="shared" si="191"/>
        <v>0</v>
      </c>
      <c r="AE55" s="2079">
        <f t="shared" si="192"/>
        <v>6352</v>
      </c>
      <c r="AF55" s="184"/>
      <c r="AG55" s="2077">
        <v>304</v>
      </c>
      <c r="AH55" s="2079">
        <f t="shared" si="193"/>
        <v>0</v>
      </c>
      <c r="AI55" s="2079">
        <f t="shared" si="194"/>
        <v>6656</v>
      </c>
      <c r="AJ55" s="184"/>
      <c r="AK55" s="2077">
        <v>1698</v>
      </c>
      <c r="AL55" s="3980"/>
      <c r="AM55" s="2078">
        <f t="shared" si="195"/>
        <v>4013</v>
      </c>
      <c r="AN55" s="2079">
        <f t="shared" si="196"/>
        <v>0</v>
      </c>
      <c r="AO55" s="2079">
        <f t="shared" si="197"/>
        <v>8354</v>
      </c>
      <c r="AP55" s="184"/>
      <c r="AQ55" s="2077">
        <v>384</v>
      </c>
      <c r="AR55" s="2079">
        <f t="shared" si="198"/>
        <v>0</v>
      </c>
      <c r="AS55" s="2079">
        <f t="shared" si="199"/>
        <v>8738</v>
      </c>
      <c r="AT55" s="184"/>
      <c r="AU55" s="2077">
        <v>322</v>
      </c>
      <c r="AV55" s="2079">
        <f t="shared" si="200"/>
        <v>0</v>
      </c>
      <c r="AW55" s="2079">
        <f t="shared" si="201"/>
        <v>9060</v>
      </c>
      <c r="AX55" s="184"/>
      <c r="AY55" s="2077">
        <v>1299</v>
      </c>
      <c r="AZ55" s="3980"/>
      <c r="BA55" s="2078">
        <f t="shared" si="202"/>
        <v>2005</v>
      </c>
      <c r="BB55" s="4740">
        <f t="shared" si="203"/>
        <v>0</v>
      </c>
      <c r="BC55" s="497">
        <f t="shared" si="204"/>
        <v>6018</v>
      </c>
      <c r="BD55" s="2079">
        <f t="shared" si="205"/>
        <v>0</v>
      </c>
      <c r="BE55" s="2079">
        <f t="shared" si="206"/>
        <v>10359</v>
      </c>
    </row>
    <row r="56" spans="2:67" ht="18.75" x14ac:dyDescent="0.25">
      <c r="B56" s="6051"/>
      <c r="C56" s="2089" t="s">
        <v>1603</v>
      </c>
      <c r="D56" s="1708"/>
      <c r="E56" s="2077">
        <v>0</v>
      </c>
      <c r="F56" s="1708"/>
      <c r="G56" s="2077">
        <v>0</v>
      </c>
      <c r="H56" s="2079">
        <f t="shared" si="1"/>
        <v>0</v>
      </c>
      <c r="I56" s="2162">
        <f t="shared" si="2"/>
        <v>0</v>
      </c>
      <c r="J56" s="1708"/>
      <c r="K56" s="2077">
        <v>0</v>
      </c>
      <c r="L56" s="2078">
        <f t="shared" si="3"/>
        <v>0</v>
      </c>
      <c r="M56" s="2078">
        <f t="shared" si="186"/>
        <v>0</v>
      </c>
      <c r="N56" s="184"/>
      <c r="O56" s="2077">
        <v>0</v>
      </c>
      <c r="P56" s="2079">
        <f t="shared" si="4"/>
        <v>0</v>
      </c>
      <c r="Q56" s="2079">
        <f t="shared" si="28"/>
        <v>0</v>
      </c>
      <c r="R56" s="184"/>
      <c r="S56" s="2077">
        <v>0</v>
      </c>
      <c r="T56" s="2079">
        <f t="shared" si="187"/>
        <v>0</v>
      </c>
      <c r="U56" s="2079">
        <f t="shared" si="188"/>
        <v>0</v>
      </c>
      <c r="V56" s="184"/>
      <c r="W56" s="2077">
        <v>0</v>
      </c>
      <c r="X56" s="3980"/>
      <c r="Y56" s="2078">
        <f t="shared" si="8"/>
        <v>0</v>
      </c>
      <c r="Z56" s="2079">
        <f t="shared" si="189"/>
        <v>0</v>
      </c>
      <c r="AA56" s="4740">
        <f t="shared" si="190"/>
        <v>0</v>
      </c>
      <c r="AB56" s="184"/>
      <c r="AC56" s="2077">
        <v>0</v>
      </c>
      <c r="AD56" s="2079">
        <f t="shared" si="191"/>
        <v>0</v>
      </c>
      <c r="AE56" s="2079">
        <f t="shared" si="192"/>
        <v>0</v>
      </c>
      <c r="AF56" s="184"/>
      <c r="AG56" s="2077">
        <v>258</v>
      </c>
      <c r="AH56" s="2079">
        <f t="shared" si="193"/>
        <v>0</v>
      </c>
      <c r="AI56" s="2079">
        <f t="shared" si="194"/>
        <v>258</v>
      </c>
      <c r="AJ56" s="184"/>
      <c r="AK56" s="2077">
        <v>59</v>
      </c>
      <c r="AL56" s="3980"/>
      <c r="AM56" s="2078">
        <f t="shared" si="195"/>
        <v>317</v>
      </c>
      <c r="AN56" s="2079">
        <f t="shared" si="196"/>
        <v>0</v>
      </c>
      <c r="AO56" s="2079">
        <f t="shared" si="197"/>
        <v>317</v>
      </c>
      <c r="AP56" s="184"/>
      <c r="AQ56" s="2077">
        <v>0</v>
      </c>
      <c r="AR56" s="2079">
        <f t="shared" si="198"/>
        <v>0</v>
      </c>
      <c r="AS56" s="2079">
        <f t="shared" si="199"/>
        <v>317</v>
      </c>
      <c r="AT56" s="184"/>
      <c r="AU56" s="2077">
        <v>0</v>
      </c>
      <c r="AV56" s="2079">
        <f t="shared" si="200"/>
        <v>0</v>
      </c>
      <c r="AW56" s="2079">
        <f t="shared" si="201"/>
        <v>317</v>
      </c>
      <c r="AX56" s="184"/>
      <c r="AY56" s="2077">
        <v>0</v>
      </c>
      <c r="AZ56" s="3980"/>
      <c r="BA56" s="2078">
        <f t="shared" si="202"/>
        <v>0</v>
      </c>
      <c r="BB56" s="4740">
        <f t="shared" si="203"/>
        <v>0</v>
      </c>
      <c r="BC56" s="497">
        <f t="shared" si="204"/>
        <v>317</v>
      </c>
      <c r="BD56" s="2079">
        <f t="shared" si="205"/>
        <v>0</v>
      </c>
      <c r="BE56" s="2079">
        <f t="shared" si="206"/>
        <v>317</v>
      </c>
    </row>
    <row r="57" spans="2:67" ht="18.75" x14ac:dyDescent="0.25">
      <c r="B57" s="6051"/>
      <c r="C57" s="2089" t="s">
        <v>1604</v>
      </c>
      <c r="D57" s="1708"/>
      <c r="E57" s="2077">
        <v>71697</v>
      </c>
      <c r="F57" s="1708"/>
      <c r="G57" s="2077">
        <v>72348</v>
      </c>
      <c r="H57" s="2079">
        <f t="shared" si="1"/>
        <v>0</v>
      </c>
      <c r="I57" s="2162">
        <f t="shared" si="2"/>
        <v>144045</v>
      </c>
      <c r="J57" s="1708"/>
      <c r="K57" s="2077">
        <v>66338</v>
      </c>
      <c r="L57" s="2078">
        <f t="shared" si="3"/>
        <v>0</v>
      </c>
      <c r="M57" s="2078">
        <f t="shared" si="186"/>
        <v>210383</v>
      </c>
      <c r="N57" s="184"/>
      <c r="O57" s="2077">
        <v>55130</v>
      </c>
      <c r="P57" s="2079">
        <f t="shared" si="4"/>
        <v>0</v>
      </c>
      <c r="Q57" s="2079">
        <f t="shared" si="28"/>
        <v>265513</v>
      </c>
      <c r="R57" s="184"/>
      <c r="S57" s="2077">
        <v>68594</v>
      </c>
      <c r="T57" s="2079">
        <f t="shared" si="187"/>
        <v>0</v>
      </c>
      <c r="U57" s="2079">
        <f t="shared" si="188"/>
        <v>334107</v>
      </c>
      <c r="V57" s="184"/>
      <c r="W57" s="2077">
        <v>71031</v>
      </c>
      <c r="X57" s="3980"/>
      <c r="Y57" s="2078">
        <f t="shared" si="8"/>
        <v>194755</v>
      </c>
      <c r="Z57" s="2079">
        <f t="shared" si="189"/>
        <v>0</v>
      </c>
      <c r="AA57" s="4740">
        <f t="shared" si="190"/>
        <v>405138</v>
      </c>
      <c r="AB57" s="184"/>
      <c r="AC57" s="2077">
        <v>59650</v>
      </c>
      <c r="AD57" s="2079">
        <f t="shared" si="191"/>
        <v>0</v>
      </c>
      <c r="AE57" s="2079">
        <f t="shared" si="192"/>
        <v>464788</v>
      </c>
      <c r="AF57" s="184"/>
      <c r="AG57" s="2077">
        <v>3352</v>
      </c>
      <c r="AH57" s="2079">
        <f t="shared" si="193"/>
        <v>0</v>
      </c>
      <c r="AI57" s="2079">
        <f t="shared" si="194"/>
        <v>468140</v>
      </c>
      <c r="AJ57" s="184"/>
      <c r="AK57" s="2077">
        <v>82839</v>
      </c>
      <c r="AL57" s="3980"/>
      <c r="AM57" s="2078">
        <f t="shared" si="195"/>
        <v>145841</v>
      </c>
      <c r="AN57" s="2079">
        <f t="shared" si="196"/>
        <v>0</v>
      </c>
      <c r="AO57" s="2079">
        <f t="shared" si="197"/>
        <v>550979</v>
      </c>
      <c r="AP57" s="184"/>
      <c r="AQ57" s="2077">
        <v>74632</v>
      </c>
      <c r="AR57" s="2079">
        <f t="shared" si="198"/>
        <v>0</v>
      </c>
      <c r="AS57" s="2079">
        <f t="shared" si="199"/>
        <v>625611</v>
      </c>
      <c r="AT57" s="184"/>
      <c r="AU57" s="2077">
        <v>55335</v>
      </c>
      <c r="AV57" s="2079">
        <f t="shared" si="200"/>
        <v>0</v>
      </c>
      <c r="AW57" s="2079">
        <f t="shared" si="201"/>
        <v>680946</v>
      </c>
      <c r="AX57" s="184"/>
      <c r="AY57" s="2077">
        <v>39389</v>
      </c>
      <c r="AZ57" s="3980"/>
      <c r="BA57" s="2078">
        <f t="shared" si="202"/>
        <v>169356</v>
      </c>
      <c r="BB57" s="4740">
        <f t="shared" si="203"/>
        <v>0</v>
      </c>
      <c r="BC57" s="497">
        <f t="shared" si="204"/>
        <v>315197</v>
      </c>
      <c r="BD57" s="2079">
        <f t="shared" si="205"/>
        <v>0</v>
      </c>
      <c r="BE57" s="2079">
        <f t="shared" si="206"/>
        <v>720335</v>
      </c>
    </row>
    <row r="58" spans="2:67" ht="18.75" x14ac:dyDescent="0.25">
      <c r="B58" s="6051"/>
      <c r="C58" s="2089" t="s">
        <v>1605</v>
      </c>
      <c r="D58" s="1708"/>
      <c r="E58" s="2077">
        <v>15002</v>
      </c>
      <c r="F58" s="1708"/>
      <c r="G58" s="2077">
        <v>7844</v>
      </c>
      <c r="H58" s="2079">
        <f t="shared" si="1"/>
        <v>0</v>
      </c>
      <c r="I58" s="2162">
        <f t="shared" si="2"/>
        <v>22846</v>
      </c>
      <c r="J58" s="1708"/>
      <c r="K58" s="2077">
        <v>8636</v>
      </c>
      <c r="L58" s="2078">
        <f t="shared" si="3"/>
        <v>0</v>
      </c>
      <c r="M58" s="2078">
        <f t="shared" si="186"/>
        <v>31482</v>
      </c>
      <c r="N58" s="184"/>
      <c r="O58" s="2077">
        <v>7057</v>
      </c>
      <c r="P58" s="2079">
        <f t="shared" si="4"/>
        <v>0</v>
      </c>
      <c r="Q58" s="2079">
        <f t="shared" si="28"/>
        <v>38539</v>
      </c>
      <c r="R58" s="184"/>
      <c r="S58" s="2077">
        <v>11629</v>
      </c>
      <c r="T58" s="2079">
        <f t="shared" si="187"/>
        <v>0</v>
      </c>
      <c r="U58" s="2079">
        <f t="shared" si="188"/>
        <v>50168</v>
      </c>
      <c r="V58" s="184"/>
      <c r="W58" s="2077">
        <v>2789</v>
      </c>
      <c r="X58" s="3980"/>
      <c r="Y58" s="2078">
        <f t="shared" si="8"/>
        <v>21475</v>
      </c>
      <c r="Z58" s="2079">
        <f t="shared" si="189"/>
        <v>0</v>
      </c>
      <c r="AA58" s="4740">
        <f t="shared" si="190"/>
        <v>52957</v>
      </c>
      <c r="AB58" s="184"/>
      <c r="AC58" s="2077">
        <v>4955</v>
      </c>
      <c r="AD58" s="2079">
        <f t="shared" si="191"/>
        <v>0</v>
      </c>
      <c r="AE58" s="2079">
        <f t="shared" si="192"/>
        <v>57912</v>
      </c>
      <c r="AF58" s="184"/>
      <c r="AG58" s="2077">
        <v>7763</v>
      </c>
      <c r="AH58" s="2079">
        <f t="shared" si="193"/>
        <v>0</v>
      </c>
      <c r="AI58" s="2079">
        <f t="shared" si="194"/>
        <v>65675</v>
      </c>
      <c r="AJ58" s="184"/>
      <c r="AK58" s="2077">
        <v>14430</v>
      </c>
      <c r="AL58" s="3980"/>
      <c r="AM58" s="2078">
        <f t="shared" si="195"/>
        <v>27148</v>
      </c>
      <c r="AN58" s="2079">
        <f t="shared" si="196"/>
        <v>0</v>
      </c>
      <c r="AO58" s="2079">
        <f t="shared" si="197"/>
        <v>80105</v>
      </c>
      <c r="AP58" s="184"/>
      <c r="AQ58" s="2077">
        <v>11075</v>
      </c>
      <c r="AR58" s="2079">
        <f t="shared" si="198"/>
        <v>0</v>
      </c>
      <c r="AS58" s="2079">
        <f t="shared" si="199"/>
        <v>91180</v>
      </c>
      <c r="AT58" s="184"/>
      <c r="AU58" s="2077">
        <v>0</v>
      </c>
      <c r="AV58" s="2079">
        <f t="shared" si="200"/>
        <v>0</v>
      </c>
      <c r="AW58" s="2079">
        <f t="shared" si="201"/>
        <v>91180</v>
      </c>
      <c r="AX58" s="184"/>
      <c r="AY58" s="2077">
        <v>9000</v>
      </c>
      <c r="AZ58" s="3980"/>
      <c r="BA58" s="2078">
        <f t="shared" si="202"/>
        <v>20075</v>
      </c>
      <c r="BB58" s="4740">
        <f t="shared" si="203"/>
        <v>0</v>
      </c>
      <c r="BC58" s="497">
        <f t="shared" si="204"/>
        <v>47223</v>
      </c>
      <c r="BD58" s="2079">
        <f t="shared" si="205"/>
        <v>0</v>
      </c>
      <c r="BE58" s="2079">
        <f t="shared" si="206"/>
        <v>100180</v>
      </c>
    </row>
    <row r="59" spans="2:67" ht="18.75" x14ac:dyDescent="0.25">
      <c r="B59" s="6051"/>
      <c r="C59" s="2089" t="s">
        <v>1606</v>
      </c>
      <c r="D59" s="1708"/>
      <c r="E59" s="2077">
        <v>0</v>
      </c>
      <c r="F59" s="1708"/>
      <c r="G59" s="2077">
        <v>0</v>
      </c>
      <c r="H59" s="2079">
        <f t="shared" si="1"/>
        <v>0</v>
      </c>
      <c r="I59" s="2162">
        <f t="shared" si="2"/>
        <v>0</v>
      </c>
      <c r="J59" s="1708"/>
      <c r="K59" s="2077">
        <v>0</v>
      </c>
      <c r="L59" s="2078">
        <f t="shared" si="3"/>
        <v>0</v>
      </c>
      <c r="M59" s="2078">
        <f t="shared" si="186"/>
        <v>0</v>
      </c>
      <c r="N59" s="184"/>
      <c r="O59" s="2077">
        <v>0</v>
      </c>
      <c r="P59" s="2079">
        <f t="shared" si="4"/>
        <v>0</v>
      </c>
      <c r="Q59" s="2079">
        <f t="shared" si="28"/>
        <v>0</v>
      </c>
      <c r="R59" s="184"/>
      <c r="S59" s="2077">
        <v>0</v>
      </c>
      <c r="T59" s="2079">
        <f t="shared" si="187"/>
        <v>0</v>
      </c>
      <c r="U59" s="2079">
        <f t="shared" si="188"/>
        <v>0</v>
      </c>
      <c r="V59" s="184"/>
      <c r="W59" s="2077">
        <v>0</v>
      </c>
      <c r="X59" s="3980"/>
      <c r="Y59" s="2078">
        <f t="shared" si="8"/>
        <v>0</v>
      </c>
      <c r="Z59" s="2079">
        <f t="shared" si="189"/>
        <v>0</v>
      </c>
      <c r="AA59" s="4740">
        <f t="shared" si="190"/>
        <v>0</v>
      </c>
      <c r="AB59" s="184"/>
      <c r="AC59" s="2077">
        <v>0</v>
      </c>
      <c r="AD59" s="2079">
        <f t="shared" si="191"/>
        <v>0</v>
      </c>
      <c r="AE59" s="2079">
        <f t="shared" si="192"/>
        <v>0</v>
      </c>
      <c r="AF59" s="184"/>
      <c r="AG59" s="2077">
        <v>0</v>
      </c>
      <c r="AH59" s="2079">
        <f t="shared" si="193"/>
        <v>0</v>
      </c>
      <c r="AI59" s="2079">
        <f t="shared" si="194"/>
        <v>0</v>
      </c>
      <c r="AJ59" s="184"/>
      <c r="AK59" s="2077">
        <v>0</v>
      </c>
      <c r="AL59" s="3980"/>
      <c r="AM59" s="2078">
        <f t="shared" si="195"/>
        <v>0</v>
      </c>
      <c r="AN59" s="2079">
        <f t="shared" si="196"/>
        <v>0</v>
      </c>
      <c r="AO59" s="2079">
        <f t="shared" si="197"/>
        <v>0</v>
      </c>
      <c r="AP59" s="184"/>
      <c r="AQ59" s="2077">
        <v>0</v>
      </c>
      <c r="AR59" s="2079">
        <f t="shared" si="198"/>
        <v>0</v>
      </c>
      <c r="AS59" s="2079">
        <f t="shared" si="199"/>
        <v>0</v>
      </c>
      <c r="AT59" s="184"/>
      <c r="AU59" s="2077">
        <v>0</v>
      </c>
      <c r="AV59" s="2079">
        <f t="shared" si="200"/>
        <v>0</v>
      </c>
      <c r="AW59" s="2079">
        <f t="shared" si="201"/>
        <v>0</v>
      </c>
      <c r="AX59" s="184"/>
      <c r="AY59" s="2077">
        <v>0</v>
      </c>
      <c r="AZ59" s="3980"/>
      <c r="BA59" s="2078">
        <f t="shared" si="202"/>
        <v>0</v>
      </c>
      <c r="BB59" s="4740">
        <f t="shared" si="203"/>
        <v>0</v>
      </c>
      <c r="BC59" s="497">
        <f t="shared" si="204"/>
        <v>0</v>
      </c>
      <c r="BD59" s="2079">
        <f t="shared" si="205"/>
        <v>0</v>
      </c>
      <c r="BE59" s="2079">
        <f t="shared" si="206"/>
        <v>0</v>
      </c>
    </row>
    <row r="60" spans="2:67" ht="18.75" x14ac:dyDescent="0.25">
      <c r="B60" s="6051"/>
      <c r="C60" s="2089" t="s">
        <v>1607</v>
      </c>
      <c r="D60" s="1708"/>
      <c r="E60" s="4088">
        <f>+LDCP!F7</f>
        <v>53260</v>
      </c>
      <c r="F60" s="1708"/>
      <c r="G60" s="4088">
        <f>+LDCP!H7</f>
        <v>57968</v>
      </c>
      <c r="H60" s="2079">
        <f t="shared" si="1"/>
        <v>0</v>
      </c>
      <c r="I60" s="2162">
        <f t="shared" si="2"/>
        <v>111228</v>
      </c>
      <c r="J60" s="1708"/>
      <c r="K60" s="4088">
        <f>+LDCP!L7</f>
        <v>59622</v>
      </c>
      <c r="L60" s="2078">
        <f t="shared" si="3"/>
        <v>0</v>
      </c>
      <c r="M60" s="2078">
        <f t="shared" si="186"/>
        <v>170850</v>
      </c>
      <c r="N60" s="184"/>
      <c r="O60" s="4088">
        <f>+LDCP!P7</f>
        <v>66125</v>
      </c>
      <c r="P60" s="2079">
        <f t="shared" si="4"/>
        <v>0</v>
      </c>
      <c r="Q60" s="2079">
        <f t="shared" si="28"/>
        <v>236975</v>
      </c>
      <c r="R60" s="184"/>
      <c r="S60" s="4088">
        <f>+LDCP!T7</f>
        <v>59020</v>
      </c>
      <c r="T60" s="2079">
        <f t="shared" si="187"/>
        <v>0</v>
      </c>
      <c r="U60" s="2079">
        <f t="shared" si="188"/>
        <v>295995</v>
      </c>
      <c r="V60" s="184"/>
      <c r="W60" s="4088">
        <f>+LDCP!X7</f>
        <v>57997</v>
      </c>
      <c r="X60" s="4114"/>
      <c r="Y60" s="2078">
        <f t="shared" si="8"/>
        <v>183142</v>
      </c>
      <c r="Z60" s="2079">
        <f t="shared" si="189"/>
        <v>0</v>
      </c>
      <c r="AA60" s="4740">
        <f t="shared" si="190"/>
        <v>353992</v>
      </c>
      <c r="AB60" s="184"/>
      <c r="AC60" s="4088">
        <f>+LDCP!AD7</f>
        <v>54950</v>
      </c>
      <c r="AD60" s="2079">
        <f t="shared" si="191"/>
        <v>0</v>
      </c>
      <c r="AE60" s="2079">
        <f t="shared" si="192"/>
        <v>408942</v>
      </c>
      <c r="AF60" s="184"/>
      <c r="AG60" s="4088">
        <f>+LDCP!AH7</f>
        <v>1194</v>
      </c>
      <c r="AH60" s="2079">
        <f t="shared" si="193"/>
        <v>0</v>
      </c>
      <c r="AI60" s="2079">
        <f t="shared" si="194"/>
        <v>410136</v>
      </c>
      <c r="AJ60" s="184"/>
      <c r="AK60" s="4088">
        <f>+LDCP!AL7</f>
        <v>51238</v>
      </c>
      <c r="AL60" s="4114"/>
      <c r="AM60" s="2078">
        <f t="shared" si="195"/>
        <v>107382</v>
      </c>
      <c r="AN60" s="2079">
        <f t="shared" si="196"/>
        <v>0</v>
      </c>
      <c r="AO60" s="2079">
        <f t="shared" si="197"/>
        <v>461374</v>
      </c>
      <c r="AP60" s="184"/>
      <c r="AQ60" s="4088">
        <f>+LDCP!AR7</f>
        <v>55134</v>
      </c>
      <c r="AR60" s="2079">
        <f t="shared" si="198"/>
        <v>0</v>
      </c>
      <c r="AS60" s="2079">
        <f t="shared" si="199"/>
        <v>516508</v>
      </c>
      <c r="AT60" s="184"/>
      <c r="AU60" s="4088">
        <f>+LDCP!AV7</f>
        <v>51595</v>
      </c>
      <c r="AV60" s="2079">
        <f t="shared" si="200"/>
        <v>0</v>
      </c>
      <c r="AW60" s="2079">
        <f t="shared" si="201"/>
        <v>568103</v>
      </c>
      <c r="AX60" s="184"/>
      <c r="AY60" s="4088">
        <f>+LDCP!AZ7</f>
        <v>63599</v>
      </c>
      <c r="AZ60" s="4114"/>
      <c r="BA60" s="2078">
        <f t="shared" si="202"/>
        <v>170328</v>
      </c>
      <c r="BB60" s="4740">
        <f t="shared" si="203"/>
        <v>0</v>
      </c>
      <c r="BC60" s="497">
        <f t="shared" si="204"/>
        <v>277710</v>
      </c>
      <c r="BD60" s="2079">
        <f t="shared" si="205"/>
        <v>0</v>
      </c>
      <c r="BE60" s="2079">
        <f t="shared" si="206"/>
        <v>631702</v>
      </c>
    </row>
    <row r="61" spans="2:67" ht="18.75" x14ac:dyDescent="0.25">
      <c r="B61" s="6051"/>
      <c r="C61" s="2089" t="s">
        <v>1608</v>
      </c>
      <c r="D61" s="1708"/>
      <c r="E61" s="4088">
        <f>+LDCP!F21</f>
        <v>15819</v>
      </c>
      <c r="F61" s="1708"/>
      <c r="G61" s="4088">
        <f>+LDCP!H21</f>
        <v>14184</v>
      </c>
      <c r="H61" s="2079">
        <f t="shared" si="1"/>
        <v>0</v>
      </c>
      <c r="I61" s="2162">
        <f t="shared" si="2"/>
        <v>30003</v>
      </c>
      <c r="J61" s="1708"/>
      <c r="K61" s="4088">
        <f>+LDCP!L21</f>
        <v>15520</v>
      </c>
      <c r="L61" s="2078">
        <f t="shared" si="3"/>
        <v>0</v>
      </c>
      <c r="M61" s="2078">
        <f t="shared" si="186"/>
        <v>45523</v>
      </c>
      <c r="N61" s="184"/>
      <c r="O61" s="4088">
        <f>+LDCP!P21</f>
        <v>16160</v>
      </c>
      <c r="P61" s="2079">
        <f t="shared" si="4"/>
        <v>0</v>
      </c>
      <c r="Q61" s="2079">
        <f t="shared" si="28"/>
        <v>61683</v>
      </c>
      <c r="R61" s="184"/>
      <c r="S61" s="4088">
        <f>+LDCP!T21</f>
        <v>15934</v>
      </c>
      <c r="T61" s="2079">
        <f t="shared" si="187"/>
        <v>0</v>
      </c>
      <c r="U61" s="2079">
        <f t="shared" si="188"/>
        <v>77617</v>
      </c>
      <c r="V61" s="184"/>
      <c r="W61" s="4088">
        <f>+LDCP!X21</f>
        <v>17396</v>
      </c>
      <c r="X61" s="4114"/>
      <c r="Y61" s="2078">
        <f t="shared" si="8"/>
        <v>49490</v>
      </c>
      <c r="Z61" s="2079">
        <f t="shared" si="189"/>
        <v>0</v>
      </c>
      <c r="AA61" s="4740">
        <f t="shared" si="190"/>
        <v>95013</v>
      </c>
      <c r="AB61" s="184"/>
      <c r="AC61" s="4088">
        <f>+LDCP!AD21</f>
        <v>13416</v>
      </c>
      <c r="AD61" s="2079">
        <f t="shared" si="191"/>
        <v>0</v>
      </c>
      <c r="AE61" s="2079">
        <f t="shared" si="192"/>
        <v>108429</v>
      </c>
      <c r="AF61" s="184"/>
      <c r="AG61" s="4088">
        <f>+LDCP!AH21</f>
        <v>155</v>
      </c>
      <c r="AH61" s="2079">
        <f t="shared" si="193"/>
        <v>0</v>
      </c>
      <c r="AI61" s="2079">
        <f t="shared" si="194"/>
        <v>108584</v>
      </c>
      <c r="AJ61" s="184"/>
      <c r="AK61" s="4088">
        <f>+LDCP!AL21</f>
        <v>10507</v>
      </c>
      <c r="AL61" s="4114"/>
      <c r="AM61" s="2078">
        <f t="shared" si="195"/>
        <v>24078</v>
      </c>
      <c r="AN61" s="2079">
        <f t="shared" si="196"/>
        <v>0</v>
      </c>
      <c r="AO61" s="2079">
        <f t="shared" si="197"/>
        <v>119091</v>
      </c>
      <c r="AP61" s="184"/>
      <c r="AQ61" s="4088">
        <f>+LDCP!AR21</f>
        <v>15276</v>
      </c>
      <c r="AR61" s="2079">
        <f t="shared" si="198"/>
        <v>0</v>
      </c>
      <c r="AS61" s="2079">
        <f t="shared" si="199"/>
        <v>134367</v>
      </c>
      <c r="AT61" s="184"/>
      <c r="AU61" s="4088">
        <f>+LDCP!AV21</f>
        <v>14243</v>
      </c>
      <c r="AV61" s="2079">
        <f t="shared" si="200"/>
        <v>0</v>
      </c>
      <c r="AW61" s="2079">
        <f t="shared" si="201"/>
        <v>148610</v>
      </c>
      <c r="AX61" s="184"/>
      <c r="AY61" s="4088">
        <f>+LDCP!AZ21</f>
        <v>18399</v>
      </c>
      <c r="AZ61" s="4114"/>
      <c r="BA61" s="2078">
        <f t="shared" si="202"/>
        <v>47918</v>
      </c>
      <c r="BB61" s="4740">
        <f t="shared" si="203"/>
        <v>0</v>
      </c>
      <c r="BC61" s="497">
        <f t="shared" si="204"/>
        <v>71996</v>
      </c>
      <c r="BD61" s="2079">
        <f t="shared" si="205"/>
        <v>0</v>
      </c>
      <c r="BE61" s="2079">
        <f t="shared" si="206"/>
        <v>167009</v>
      </c>
    </row>
    <row r="62" spans="2:67" ht="18.75" x14ac:dyDescent="0.25">
      <c r="B62" s="4124"/>
      <c r="C62" s="2089" t="s">
        <v>1927</v>
      </c>
      <c r="D62" s="1708"/>
      <c r="E62" s="2077">
        <v>541</v>
      </c>
      <c r="F62" s="1708"/>
      <c r="G62" s="2077">
        <v>640</v>
      </c>
      <c r="H62" s="2079"/>
      <c r="I62" s="2162">
        <f t="shared" si="2"/>
        <v>1181</v>
      </c>
      <c r="J62" s="1708"/>
      <c r="K62" s="2077">
        <v>703</v>
      </c>
      <c r="L62" s="2078"/>
      <c r="M62" s="2078">
        <f t="shared" si="186"/>
        <v>1884</v>
      </c>
      <c r="N62" s="184"/>
      <c r="O62" s="2077">
        <v>341</v>
      </c>
      <c r="P62" s="2079"/>
      <c r="Q62" s="2079">
        <f t="shared" si="28"/>
        <v>2225</v>
      </c>
      <c r="R62" s="184"/>
      <c r="S62" s="2077">
        <v>766</v>
      </c>
      <c r="T62" s="2079"/>
      <c r="U62" s="2079">
        <f t="shared" si="188"/>
        <v>2991</v>
      </c>
      <c r="V62" s="184"/>
      <c r="W62" s="2077">
        <v>423</v>
      </c>
      <c r="X62" s="3980"/>
      <c r="Y62" s="2078">
        <f t="shared" ref="Y62" si="207">O62+S62+W62</f>
        <v>1530</v>
      </c>
      <c r="Z62" s="2079">
        <f t="shared" ref="Z62" si="208">+T62+V62</f>
        <v>0</v>
      </c>
      <c r="AA62" s="4740">
        <f t="shared" ref="AA62" si="209">+U62+W62</f>
        <v>3414</v>
      </c>
      <c r="AB62" s="184"/>
      <c r="AC62" s="2077">
        <v>458</v>
      </c>
      <c r="AD62" s="2079"/>
      <c r="AE62" s="2079">
        <f t="shared" si="192"/>
        <v>3872</v>
      </c>
      <c r="AF62" s="184"/>
      <c r="AG62" s="2077">
        <v>0</v>
      </c>
      <c r="AH62" s="2079"/>
      <c r="AI62" s="2079">
        <f t="shared" si="194"/>
        <v>3872</v>
      </c>
      <c r="AJ62" s="184"/>
      <c r="AK62" s="2077">
        <v>728</v>
      </c>
      <c r="AL62" s="3980"/>
      <c r="AM62" s="2078">
        <f t="shared" si="195"/>
        <v>1186</v>
      </c>
      <c r="AN62" s="2079"/>
      <c r="AO62" s="2079">
        <f t="shared" si="197"/>
        <v>4600</v>
      </c>
      <c r="AP62" s="184"/>
      <c r="AQ62" s="2077">
        <v>661</v>
      </c>
      <c r="AR62" s="2079"/>
      <c r="AS62" s="2079">
        <f t="shared" si="199"/>
        <v>5261</v>
      </c>
      <c r="AT62" s="184"/>
      <c r="AU62" s="2077">
        <v>530</v>
      </c>
      <c r="AV62" s="2079"/>
      <c r="AW62" s="2079">
        <f t="shared" si="201"/>
        <v>5791</v>
      </c>
      <c r="AX62" s="184"/>
      <c r="AY62" s="403">
        <v>730</v>
      </c>
      <c r="AZ62" s="3980"/>
      <c r="BA62" s="2078">
        <f t="shared" si="202"/>
        <v>1921</v>
      </c>
      <c r="BB62" s="4740">
        <f t="shared" si="203"/>
        <v>0</v>
      </c>
      <c r="BC62" s="497">
        <f t="shared" si="204"/>
        <v>3107</v>
      </c>
      <c r="BD62" s="2079"/>
      <c r="BE62" s="2079">
        <f t="shared" si="206"/>
        <v>6521</v>
      </c>
    </row>
    <row r="63" spans="2:67" s="149" customFormat="1" ht="18.75" x14ac:dyDescent="0.25">
      <c r="B63" s="441"/>
      <c r="C63" s="4670"/>
      <c r="D63" s="441"/>
      <c r="E63" s="403"/>
      <c r="F63" s="1223"/>
      <c r="G63" s="403"/>
      <c r="H63" s="403"/>
      <c r="I63" s="3557"/>
      <c r="J63" s="1223"/>
      <c r="K63" s="403"/>
      <c r="L63" s="403"/>
      <c r="M63" s="403"/>
      <c r="N63" s="441"/>
      <c r="O63" s="403"/>
      <c r="P63" s="403"/>
      <c r="Q63" s="403"/>
      <c r="R63" s="441"/>
      <c r="S63" s="403"/>
      <c r="T63" s="403"/>
      <c r="U63" s="403"/>
      <c r="V63" s="441"/>
      <c r="W63" s="403"/>
      <c r="X63" s="2813"/>
      <c r="Y63" s="403"/>
      <c r="Z63" s="403"/>
      <c r="AA63" s="403"/>
      <c r="AB63" s="441"/>
      <c r="AC63" s="403"/>
      <c r="AD63" s="403"/>
      <c r="AE63" s="403"/>
      <c r="AF63" s="441"/>
      <c r="AG63" s="403"/>
      <c r="AH63" s="403"/>
      <c r="AI63" s="403"/>
      <c r="AJ63" s="441"/>
      <c r="AK63" s="403"/>
      <c r="AL63" s="2813"/>
      <c r="AM63" s="403"/>
      <c r="AN63" s="403"/>
      <c r="AO63" s="403"/>
      <c r="AP63" s="441"/>
      <c r="AQ63" s="403"/>
      <c r="AR63" s="403"/>
      <c r="AS63" s="403"/>
      <c r="AT63" s="441"/>
      <c r="AU63" s="403"/>
      <c r="AV63" s="403"/>
      <c r="AW63" s="403"/>
      <c r="AX63" s="441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</row>
    <row r="64" spans="2:67" ht="18.75" x14ac:dyDescent="0.3">
      <c r="B64" s="1047" t="s">
        <v>1575</v>
      </c>
      <c r="C64" s="2083"/>
      <c r="D64" s="184"/>
      <c r="E64" s="2077">
        <v>10029</v>
      </c>
      <c r="F64" s="1708"/>
      <c r="G64" s="2077">
        <v>10177</v>
      </c>
      <c r="H64" s="2079">
        <f t="shared" si="1"/>
        <v>0</v>
      </c>
      <c r="I64" s="2162">
        <f t="shared" si="2"/>
        <v>20206</v>
      </c>
      <c r="J64" s="1708"/>
      <c r="K64" s="2077">
        <v>9397</v>
      </c>
      <c r="L64" s="2078">
        <f t="shared" si="3"/>
        <v>0</v>
      </c>
      <c r="M64" s="2078">
        <f>E64+G64+K64</f>
        <v>29603</v>
      </c>
      <c r="N64" s="184"/>
      <c r="O64" s="2077">
        <v>10586</v>
      </c>
      <c r="P64" s="2079">
        <f t="shared" si="4"/>
        <v>0</v>
      </c>
      <c r="Q64" s="2079">
        <f t="shared" si="28"/>
        <v>40189</v>
      </c>
      <c r="R64" s="184"/>
      <c r="S64" s="2077">
        <v>10058</v>
      </c>
      <c r="T64" s="2079">
        <f t="shared" ref="T64" si="210">+P64+R64</f>
        <v>0</v>
      </c>
      <c r="U64" s="2079">
        <f t="shared" ref="U64" si="211">+Q64+S64</f>
        <v>50247</v>
      </c>
      <c r="V64" s="184"/>
      <c r="W64" s="2077">
        <v>10349</v>
      </c>
      <c r="X64" s="3980"/>
      <c r="Y64" s="2078">
        <f t="shared" si="8"/>
        <v>30993</v>
      </c>
      <c r="Z64" s="2079">
        <f t="shared" ref="Z64" si="212">+T64+V64</f>
        <v>0</v>
      </c>
      <c r="AA64" s="4740">
        <f t="shared" ref="AA64" si="213">+U64+W64</f>
        <v>60596</v>
      </c>
      <c r="AB64" s="184"/>
      <c r="AC64" s="2077">
        <v>10254</v>
      </c>
      <c r="AD64" s="2079">
        <f t="shared" ref="AD64" si="214">+Z64+AB64</f>
        <v>0</v>
      </c>
      <c r="AE64" s="2079">
        <f t="shared" ref="AE64" si="215">+AA64+AC64</f>
        <v>70850</v>
      </c>
      <c r="AF64" s="184"/>
      <c r="AG64" s="2077">
        <v>3760</v>
      </c>
      <c r="AH64" s="2079">
        <f t="shared" ref="AH64" si="216">+AD64+AF64</f>
        <v>0</v>
      </c>
      <c r="AI64" s="2079">
        <f t="shared" ref="AI64" si="217">+AE64+AG64</f>
        <v>74610</v>
      </c>
      <c r="AJ64" s="184"/>
      <c r="AK64" s="2077">
        <v>10158</v>
      </c>
      <c r="AL64" s="3980"/>
      <c r="AM64" s="2078">
        <f t="shared" ref="AM64" si="218">AC64+AG64+AK64</f>
        <v>24172</v>
      </c>
      <c r="AN64" s="2079">
        <f t="shared" ref="AN64" si="219">+AH64+AJ64</f>
        <v>0</v>
      </c>
      <c r="AO64" s="2079">
        <f t="shared" ref="AO64" si="220">+AI64+AK64</f>
        <v>84768</v>
      </c>
      <c r="AP64" s="184"/>
      <c r="AQ64" s="2077">
        <v>9812</v>
      </c>
      <c r="AR64" s="2079">
        <f t="shared" ref="AR64" si="221">+AN64+AP64</f>
        <v>0</v>
      </c>
      <c r="AS64" s="2079">
        <f t="shared" ref="AS64" si="222">+AO64+AQ64</f>
        <v>94580</v>
      </c>
      <c r="AT64" s="184"/>
      <c r="AU64" s="2077">
        <v>8514</v>
      </c>
      <c r="AV64" s="2079">
        <f t="shared" ref="AV64" si="223">+AR64+AT64</f>
        <v>0</v>
      </c>
      <c r="AW64" s="2079">
        <f t="shared" ref="AW64" si="224">+AS64+AU64</f>
        <v>103094</v>
      </c>
      <c r="AX64" s="184"/>
      <c r="AY64" s="2077">
        <v>11439</v>
      </c>
      <c r="AZ64" s="3980"/>
      <c r="BA64" s="2078">
        <f t="shared" ref="BA64" si="225">AQ64+AU64+AY64</f>
        <v>29765</v>
      </c>
      <c r="BB64" s="4740">
        <f t="shared" ref="BB64" si="226">+AV64+AX64</f>
        <v>0</v>
      </c>
      <c r="BC64" s="497">
        <f>AM64+BA64</f>
        <v>53937</v>
      </c>
      <c r="BD64" s="2079">
        <f t="shared" ref="BD64" si="227">+AV64+AX64</f>
        <v>0</v>
      </c>
      <c r="BE64" s="2079">
        <f t="shared" ref="BE64" si="228">+AW64+AY64</f>
        <v>114533</v>
      </c>
    </row>
    <row r="65" spans="3:57" x14ac:dyDescent="0.25">
      <c r="C65"/>
      <c r="D65"/>
      <c r="E65"/>
      <c r="F65"/>
      <c r="G65"/>
      <c r="H65"/>
      <c r="I65"/>
      <c r="J65"/>
      <c r="K65"/>
      <c r="L65"/>
    </row>
    <row r="66" spans="3:57" ht="18.75" x14ac:dyDescent="0.3">
      <c r="C66" s="1047" t="s">
        <v>1609</v>
      </c>
      <c r="D66"/>
      <c r="E66" s="2077">
        <v>83.21</v>
      </c>
      <c r="F66" s="1708"/>
      <c r="G66" s="2572">
        <v>83.46</v>
      </c>
      <c r="H66" s="2573"/>
      <c r="I66" s="2573">
        <v>83.334999999999994</v>
      </c>
      <c r="J66" s="5531"/>
      <c r="K66" s="2572">
        <v>83.46</v>
      </c>
      <c r="L66" s="2078"/>
      <c r="M66" s="404">
        <v>83.376666666666665</v>
      </c>
      <c r="N66" s="184"/>
      <c r="O66" s="2572">
        <v>83.55</v>
      </c>
      <c r="P66" s="2079"/>
      <c r="Q66" s="2573">
        <v>83.42</v>
      </c>
      <c r="R66" s="184"/>
      <c r="S66" s="2572">
        <v>84.05</v>
      </c>
      <c r="T66" s="2079"/>
      <c r="U66" s="2573">
        <v>83.546000000000006</v>
      </c>
      <c r="V66" s="184"/>
      <c r="W66" s="2572">
        <v>84</v>
      </c>
      <c r="X66" s="3980"/>
      <c r="Y66" s="404">
        <f>+AVERAGE(O66,S66,W66)</f>
        <v>83.86666666666666</v>
      </c>
      <c r="Z66" s="2079"/>
      <c r="AA66" s="4921">
        <f>+AVERAGE(M66,Y66)</f>
        <v>83.62166666666667</v>
      </c>
      <c r="AB66" s="184"/>
      <c r="AC66" s="2077">
        <v>83.06</v>
      </c>
      <c r="AD66" s="2079"/>
      <c r="AE66" s="2573">
        <v>83.057142857142864</v>
      </c>
      <c r="AF66" s="184"/>
      <c r="AG66" s="2077">
        <v>83.45</v>
      </c>
      <c r="AH66" s="2079"/>
      <c r="AI66" s="2573">
        <v>83.106250000000017</v>
      </c>
      <c r="AJ66" s="184"/>
      <c r="AK66" s="2077">
        <v>83.25</v>
      </c>
      <c r="AL66" s="3980"/>
      <c r="AM66" s="404">
        <f>+AVERAGE(AC66,AG66,AK66)</f>
        <v>83.25333333333333</v>
      </c>
      <c r="AN66" s="2079"/>
      <c r="AO66" s="2573">
        <v>83.12</v>
      </c>
      <c r="AP66" s="184"/>
      <c r="AQ66" s="2077">
        <v>83.21</v>
      </c>
      <c r="AR66" s="2079"/>
      <c r="AS66" s="2573">
        <v>83.129562500000006</v>
      </c>
      <c r="AT66" s="184"/>
      <c r="AU66" s="2077">
        <v>83.27</v>
      </c>
      <c r="AV66" s="2079"/>
      <c r="AW66" s="2573">
        <v>83.142329545454558</v>
      </c>
      <c r="AX66" s="184"/>
      <c r="AY66" s="2077">
        <v>83.44</v>
      </c>
      <c r="AZ66" s="3980"/>
      <c r="BA66" s="404">
        <f>+AVERAGE(AQ66,AU66,AY66)</f>
        <v>83.306666666666658</v>
      </c>
      <c r="BB66" s="4740"/>
      <c r="BC66" s="497">
        <f>+AVERAGE(AM66,BA66)</f>
        <v>83.28</v>
      </c>
      <c r="BD66" s="2079"/>
      <c r="BE66" s="2573">
        <f>+AVERAGE(AA66,BC66)</f>
        <v>83.450833333333335</v>
      </c>
    </row>
    <row r="67" spans="3:57" ht="18.75" x14ac:dyDescent="0.3">
      <c r="C67" s="1047" t="s">
        <v>1610</v>
      </c>
      <c r="D67"/>
      <c r="E67" s="2077">
        <v>89.53</v>
      </c>
      <c r="F67" s="1708"/>
      <c r="G67" s="2077">
        <v>89.73</v>
      </c>
      <c r="H67" s="2079"/>
      <c r="I67" s="349">
        <v>89.63</v>
      </c>
      <c r="J67" s="1708"/>
      <c r="K67" s="2077">
        <v>89.39</v>
      </c>
      <c r="L67" s="2078"/>
      <c r="M67" s="404">
        <v>89.55</v>
      </c>
      <c r="N67" s="184"/>
      <c r="O67" s="2077">
        <v>89.7</v>
      </c>
      <c r="P67" s="2079"/>
      <c r="Q67" s="2573">
        <v>89.587499999999991</v>
      </c>
      <c r="R67" s="184"/>
      <c r="S67" s="2077">
        <v>89.49</v>
      </c>
      <c r="T67" s="2079"/>
      <c r="U67" s="2573">
        <v>89.567999999999998</v>
      </c>
      <c r="V67" s="184"/>
      <c r="W67" s="2077">
        <v>89.5</v>
      </c>
      <c r="X67" s="3980"/>
      <c r="Y67" s="404">
        <f>+AVERAGE(O67,S67,W67)</f>
        <v>89.563333333333333</v>
      </c>
      <c r="Z67" s="2079"/>
      <c r="AA67" s="4921">
        <f>+AVERAGE(M67,Y67)</f>
        <v>89.556666666666672</v>
      </c>
      <c r="AB67" s="184"/>
      <c r="AC67" s="2572">
        <v>86.69</v>
      </c>
      <c r="AD67" s="2079"/>
      <c r="AE67" s="2573">
        <v>86.677142857142854</v>
      </c>
      <c r="AF67" s="184"/>
      <c r="AG67" s="2572">
        <v>89.71</v>
      </c>
      <c r="AH67" s="2079"/>
      <c r="AI67" s="2573">
        <v>87.056250000000006</v>
      </c>
      <c r="AJ67" s="184"/>
      <c r="AK67" s="2572">
        <v>88.11</v>
      </c>
      <c r="AL67" s="3980"/>
      <c r="AM67" s="404">
        <f>+AVERAGE(AC67,AG67,AK67)</f>
        <v>88.17</v>
      </c>
      <c r="AN67" s="2079"/>
      <c r="AO67" s="2573">
        <v>87.16</v>
      </c>
      <c r="AP67" s="184"/>
      <c r="AQ67" s="2572">
        <v>88.66</v>
      </c>
      <c r="AR67" s="2079"/>
      <c r="AS67" s="2573">
        <v>87.31146249999999</v>
      </c>
      <c r="AT67" s="184"/>
      <c r="AU67" s="2572">
        <v>89.2</v>
      </c>
      <c r="AV67" s="2079"/>
      <c r="AW67" s="2573">
        <v>87.483147727272723</v>
      </c>
      <c r="AX67" s="184"/>
      <c r="AY67" s="2572">
        <v>89.45</v>
      </c>
      <c r="AZ67" s="3980"/>
      <c r="BA67" s="404">
        <f>+AVERAGE(AQ67,AU67,AY67)</f>
        <v>89.103333333333339</v>
      </c>
      <c r="BB67" s="4740"/>
      <c r="BC67" s="497">
        <f>+AVERAGE(AM67,BA67)</f>
        <v>88.63666666666667</v>
      </c>
      <c r="BD67" s="2079"/>
      <c r="BE67" s="2573">
        <f>+AVERAGE(AA67,BC67)</f>
        <v>89.096666666666664</v>
      </c>
    </row>
  </sheetData>
  <mergeCells count="30">
    <mergeCell ref="B53:B61"/>
    <mergeCell ref="D3:E3"/>
    <mergeCell ref="F3:G3"/>
    <mergeCell ref="H3:I3"/>
    <mergeCell ref="B22:B24"/>
    <mergeCell ref="B27:B43"/>
    <mergeCell ref="B45:B48"/>
    <mergeCell ref="B49:B51"/>
    <mergeCell ref="B4:B21"/>
    <mergeCell ref="J3:K3"/>
    <mergeCell ref="L3:M3"/>
    <mergeCell ref="V3:W3"/>
    <mergeCell ref="Z3:AA3"/>
    <mergeCell ref="R3:S3"/>
    <mergeCell ref="T3:U3"/>
    <mergeCell ref="N3:O3"/>
    <mergeCell ref="P3:Q3"/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</mergeCells>
  <printOptions horizontalCentered="1" verticalCentered="1"/>
  <pageMargins left="0" right="0" top="0" bottom="0" header="0" footer="0"/>
  <pageSetup paperSize="9" scale="4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9" tint="-0.499984740745262"/>
    <pageSetUpPr fitToPage="1"/>
  </sheetPr>
  <dimension ref="A1:BN161"/>
  <sheetViews>
    <sheetView zoomScale="85" zoomScaleNormal="85" workbookViewId="0">
      <pane xSplit="3" ySplit="4" topLeftCell="D89" activePane="bottomRight" state="frozen"/>
      <selection pane="topRight" activeCell="D1" sqref="D1"/>
      <selection pane="bottomLeft" activeCell="A5" sqref="A5"/>
      <selection pane="bottomRight" activeCell="B113" sqref="B113"/>
    </sheetView>
  </sheetViews>
  <sheetFormatPr defaultColWidth="8.85546875" defaultRowHeight="15" x14ac:dyDescent="0.25"/>
  <cols>
    <col min="1" max="1" width="2.140625" customWidth="1"/>
    <col min="2" max="2" width="45.42578125" customWidth="1"/>
    <col min="3" max="3" width="23" customWidth="1"/>
    <col min="4" max="4" width="13.7109375" style="93" bestFit="1" customWidth="1"/>
    <col min="5" max="5" width="9.85546875" style="87" customWidth="1"/>
    <col min="6" max="6" width="9.85546875" style="93" bestFit="1" customWidth="1"/>
    <col min="7" max="7" width="9.28515625" style="87" customWidth="1"/>
    <col min="8" max="8" width="9.85546875" style="93" customWidth="1"/>
    <col min="9" max="9" width="10" style="87" hidden="1" customWidth="1"/>
    <col min="10" max="10" width="10" style="93" hidden="1" customWidth="1"/>
    <col min="11" max="11" width="9.28515625" style="203" bestFit="1" customWidth="1"/>
    <col min="12" max="12" width="9.85546875" style="93" customWidth="1"/>
    <col min="13" max="13" width="10.5703125" style="87" customWidth="1"/>
    <col min="14" max="14" width="10" customWidth="1"/>
    <col min="15" max="15" width="9.85546875" style="203" customWidth="1"/>
    <col min="16" max="16" width="9.85546875" customWidth="1"/>
    <col min="17" max="17" width="10" style="87" hidden="1" customWidth="1"/>
    <col min="18" max="18" width="10" hidden="1" customWidth="1"/>
    <col min="19" max="19" width="9.85546875" style="87" customWidth="1"/>
    <col min="20" max="20" width="9.85546875" customWidth="1"/>
    <col min="21" max="21" width="10" style="87" hidden="1" customWidth="1"/>
    <col min="22" max="22" width="13" hidden="1" customWidth="1"/>
    <col min="23" max="23" width="9.85546875" style="87" customWidth="1"/>
    <col min="24" max="24" width="9.85546875" customWidth="1"/>
    <col min="25" max="25" width="13" style="87" customWidth="1"/>
    <col min="26" max="26" width="15.140625" customWidth="1"/>
    <col min="27" max="27" width="13" style="87" customWidth="1"/>
    <col min="28" max="28" width="15.140625" customWidth="1"/>
    <col min="29" max="29" width="8.85546875" hidden="1" customWidth="1"/>
    <col min="30" max="30" width="10" hidden="1" customWidth="1"/>
    <col min="31" max="31" width="9.42578125" hidden="1" customWidth="1"/>
    <col min="32" max="32" width="12.28515625" hidden="1" customWidth="1"/>
    <col min="33" max="34" width="8.85546875" hidden="1" customWidth="1"/>
    <col min="35" max="35" width="9.42578125" hidden="1" customWidth="1"/>
    <col min="36" max="36" width="12.28515625" hidden="1" customWidth="1"/>
    <col min="37" max="38" width="8.85546875" hidden="1" customWidth="1"/>
    <col min="39" max="39" width="9.42578125" hidden="1" customWidth="1"/>
    <col min="40" max="40" width="9.28515625" hidden="1" customWidth="1"/>
    <col min="41" max="42" width="9.42578125" hidden="1" customWidth="1"/>
    <col min="43" max="44" width="8.85546875" hidden="1" customWidth="1"/>
    <col min="45" max="45" width="10" hidden="1" customWidth="1"/>
    <col min="46" max="46" width="12" hidden="1" customWidth="1"/>
    <col min="47" max="48" width="9" hidden="1" customWidth="1"/>
    <col min="49" max="49" width="10" hidden="1" customWidth="1"/>
    <col min="50" max="50" width="12" hidden="1" customWidth="1"/>
    <col min="51" max="52" width="8.85546875" hidden="1" customWidth="1"/>
    <col min="53" max="54" width="9.42578125" hidden="1" customWidth="1"/>
    <col min="55" max="56" width="10" hidden="1" customWidth="1"/>
    <col min="57" max="57" width="10.7109375" hidden="1" customWidth="1"/>
    <col min="58" max="58" width="12" hidden="1" customWidth="1"/>
    <col min="59" max="59" width="11.140625" customWidth="1"/>
    <col min="60" max="60" width="15" bestFit="1" customWidth="1"/>
  </cols>
  <sheetData>
    <row r="1" spans="1:66" ht="22.9" x14ac:dyDescent="0.4">
      <c r="A1" s="149"/>
      <c r="B1" s="1273" t="s">
        <v>111</v>
      </c>
      <c r="C1" s="1274"/>
      <c r="D1" s="1441">
        <f>+D72/24</f>
        <v>330.75000000000006</v>
      </c>
      <c r="E1" s="1275">
        <f>+E72/24</f>
        <v>28.174999999999997</v>
      </c>
      <c r="F1" s="1275">
        <f t="shared" ref="F1:R1" si="0">+F72/24</f>
        <v>24.311666666666667</v>
      </c>
      <c r="G1" s="1275">
        <f t="shared" si="0"/>
        <v>29.155000000000001</v>
      </c>
      <c r="H1" s="1275">
        <f t="shared" si="0"/>
        <v>26.942916666666665</v>
      </c>
      <c r="I1" s="1275">
        <f t="shared" si="0"/>
        <v>57.330000000000005</v>
      </c>
      <c r="J1" s="1275">
        <f t="shared" si="0"/>
        <v>51.254583333333336</v>
      </c>
      <c r="K1" s="1276">
        <f t="shared" si="0"/>
        <v>28.174999999999997</v>
      </c>
      <c r="L1" s="1275">
        <f t="shared" si="0"/>
        <v>28.435416666666669</v>
      </c>
      <c r="M1" s="1275">
        <f t="shared" si="0"/>
        <v>85.504999999999995</v>
      </c>
      <c r="N1" s="1275">
        <f t="shared" si="0"/>
        <v>79.69</v>
      </c>
      <c r="O1" s="1276">
        <f t="shared" si="0"/>
        <v>29.155000000000001</v>
      </c>
      <c r="P1" s="1275">
        <f t="shared" si="0"/>
        <v>29.734166666666667</v>
      </c>
      <c r="Q1" s="1275">
        <f t="shared" si="0"/>
        <v>114.66000000000001</v>
      </c>
      <c r="R1" s="1275">
        <f t="shared" si="0"/>
        <v>109.42416666666666</v>
      </c>
      <c r="S1" s="1275">
        <f>+S72/24</f>
        <v>29.155000000000001</v>
      </c>
      <c r="T1" s="1275">
        <f>+T72/24</f>
        <v>28.982083333333335</v>
      </c>
      <c r="U1" s="1275">
        <f>+U72/24</f>
        <v>143.81500000000003</v>
      </c>
      <c r="V1" s="1275">
        <f>+V72/24</f>
        <v>138.40625</v>
      </c>
      <c r="W1" s="1275">
        <f t="shared" ref="W1:AF1" si="1">+W72/24</f>
        <v>15.924999999999999</v>
      </c>
      <c r="X1" s="1275">
        <f t="shared" si="1"/>
        <v>28.558333333333334</v>
      </c>
      <c r="Y1" s="1275">
        <f>+O1+S1+W1</f>
        <v>74.234999999999999</v>
      </c>
      <c r="Z1" s="1275">
        <f>+P1+T1+X1</f>
        <v>87.274583333333339</v>
      </c>
      <c r="AA1" s="1275">
        <f t="shared" si="1"/>
        <v>159.74</v>
      </c>
      <c r="AB1" s="1275">
        <f t="shared" si="1"/>
        <v>166.96458333333334</v>
      </c>
      <c r="AC1" s="1275">
        <f t="shared" si="1"/>
        <v>29.375</v>
      </c>
      <c r="AD1" s="1275">
        <f t="shared" si="1"/>
        <v>27.776666666666667</v>
      </c>
      <c r="AE1" s="1275">
        <f t="shared" si="1"/>
        <v>189.11500000000001</v>
      </c>
      <c r="AF1" s="1275">
        <f t="shared" si="1"/>
        <v>194.74125000000001</v>
      </c>
      <c r="AG1" s="1275">
        <f t="shared" ref="AG1:AL1" si="2">+AG72/24</f>
        <v>28.541666666666668</v>
      </c>
      <c r="AH1" s="1275">
        <f t="shared" si="2"/>
        <v>2.3958333333333335</v>
      </c>
      <c r="AI1" s="1275">
        <f t="shared" si="2"/>
        <v>217.65666666666667</v>
      </c>
      <c r="AJ1" s="1275">
        <f t="shared" si="2"/>
        <v>197.13708333333332</v>
      </c>
      <c r="AK1" s="1275">
        <f t="shared" si="2"/>
        <v>29.375</v>
      </c>
      <c r="AL1" s="1275">
        <f t="shared" si="2"/>
        <v>29.517499999999998</v>
      </c>
      <c r="AM1" s="1275">
        <f>+AC1+AG1+AK1</f>
        <v>87.291666666666671</v>
      </c>
      <c r="AN1" s="1275">
        <f>+AD1+AH1+AL1</f>
        <v>59.69</v>
      </c>
      <c r="AO1" s="1275">
        <f>AI1+AK1</f>
        <v>247.03166666666667</v>
      </c>
      <c r="AP1" s="1275">
        <f>AJ1+AL1</f>
        <v>226.65458333333333</v>
      </c>
      <c r="AQ1" s="1275">
        <f t="shared" ref="AQ1:AT1" si="3">+AQ72/24</f>
        <v>29.375</v>
      </c>
      <c r="AR1" s="1275">
        <f t="shared" si="3"/>
        <v>27.78833333333333</v>
      </c>
      <c r="AS1" s="1275">
        <f t="shared" si="3"/>
        <v>276.40666666666669</v>
      </c>
      <c r="AT1" s="1275">
        <f t="shared" si="3"/>
        <v>254.44291666666666</v>
      </c>
      <c r="AU1" s="1275">
        <f t="shared" ref="AU1:AX1" si="4">+AU72/24</f>
        <v>26.666666666666668</v>
      </c>
      <c r="AV1" s="1275">
        <f t="shared" si="4"/>
        <v>26.446250000000003</v>
      </c>
      <c r="AW1" s="1275">
        <f t="shared" si="4"/>
        <v>303.07333333333332</v>
      </c>
      <c r="AX1" s="1275">
        <f t="shared" si="4"/>
        <v>280.88916666666665</v>
      </c>
      <c r="AY1" s="1275">
        <f t="shared" ref="AY1:BF1" si="5">+AY72/24</f>
        <v>29.375</v>
      </c>
      <c r="AZ1" s="1275">
        <f t="shared" si="5"/>
        <v>29.5625</v>
      </c>
      <c r="BA1" s="1275">
        <f>+AQ1+AU1+AY1</f>
        <v>85.416666666666671</v>
      </c>
      <c r="BB1" s="1275">
        <f>+AR1+AV1+AZ1</f>
        <v>83.797083333333333</v>
      </c>
      <c r="BC1" s="1275">
        <f t="shared" ref="BC1:BD1" si="6">+BC72/24</f>
        <v>172.70833333333334</v>
      </c>
      <c r="BD1" s="1275">
        <f t="shared" si="6"/>
        <v>143.48708333333335</v>
      </c>
      <c r="BE1" s="1275">
        <f t="shared" si="5"/>
        <v>332.44833333333332</v>
      </c>
      <c r="BF1" s="1275">
        <f t="shared" si="5"/>
        <v>310.45166666666665</v>
      </c>
    </row>
    <row r="2" spans="1:66" ht="14.45" x14ac:dyDescent="0.3">
      <c r="B2" s="4"/>
      <c r="C2" s="4"/>
      <c r="D2" s="97">
        <v>365</v>
      </c>
      <c r="E2" s="34">
        <v>30</v>
      </c>
      <c r="F2" s="34">
        <v>30</v>
      </c>
      <c r="G2" s="34">
        <v>31</v>
      </c>
      <c r="H2" s="34">
        <v>31</v>
      </c>
      <c r="I2" s="34">
        <f>+E2+G2</f>
        <v>61</v>
      </c>
      <c r="J2" s="34">
        <f>+F2+H2</f>
        <v>61</v>
      </c>
      <c r="K2" s="447">
        <v>30</v>
      </c>
      <c r="L2" s="34">
        <v>30</v>
      </c>
      <c r="M2" s="34">
        <f>+I2+K2</f>
        <v>91</v>
      </c>
      <c r="N2" s="34">
        <f>+J2+L2</f>
        <v>91</v>
      </c>
      <c r="O2" s="447">
        <v>31</v>
      </c>
      <c r="P2" s="34">
        <v>31</v>
      </c>
      <c r="Q2" s="34">
        <f>+M2+O2</f>
        <v>122</v>
      </c>
      <c r="R2" s="34">
        <f>+N2+P2</f>
        <v>122</v>
      </c>
      <c r="S2" s="34">
        <v>31</v>
      </c>
      <c r="T2" s="34">
        <v>31</v>
      </c>
      <c r="U2" s="34">
        <f>+Q2+S2</f>
        <v>153</v>
      </c>
      <c r="V2" s="34">
        <f>+R2+T2</f>
        <v>153</v>
      </c>
      <c r="W2" s="34">
        <v>30</v>
      </c>
      <c r="X2" s="34">
        <v>30</v>
      </c>
      <c r="Y2" s="34">
        <f>+O2+S2+W2</f>
        <v>92</v>
      </c>
      <c r="Z2" s="34">
        <f>+P2+T2+X2</f>
        <v>92</v>
      </c>
      <c r="AA2" s="34">
        <f>+U2+W2</f>
        <v>183</v>
      </c>
      <c r="AB2" s="34">
        <f>+V2+X2</f>
        <v>183</v>
      </c>
      <c r="AC2" s="34">
        <v>31</v>
      </c>
      <c r="AD2" s="34">
        <v>31</v>
      </c>
      <c r="AE2" s="34">
        <f>+AA2+AC2</f>
        <v>214</v>
      </c>
      <c r="AF2" s="34">
        <f>+AB2+AD2</f>
        <v>214</v>
      </c>
      <c r="AG2" s="34">
        <v>30</v>
      </c>
      <c r="AH2" s="34">
        <v>30</v>
      </c>
      <c r="AI2" s="34">
        <f>+AE2+AG2</f>
        <v>244</v>
      </c>
      <c r="AJ2" s="34">
        <f>+AF2+AH2</f>
        <v>244</v>
      </c>
      <c r="AK2" s="34">
        <v>31</v>
      </c>
      <c r="AL2" s="34">
        <v>31</v>
      </c>
      <c r="AM2" s="34">
        <f>+AC2+AG2+AK2</f>
        <v>92</v>
      </c>
      <c r="AN2" s="34">
        <f>+AD2+AH2+AL2</f>
        <v>92</v>
      </c>
      <c r="AO2" s="1275">
        <f>AI2+AK2</f>
        <v>275</v>
      </c>
      <c r="AP2" s="1275">
        <f>AJ2+AL2</f>
        <v>275</v>
      </c>
      <c r="AQ2" s="34">
        <v>31</v>
      </c>
      <c r="AR2" s="34">
        <v>31</v>
      </c>
      <c r="AS2" s="34">
        <f>+AO2+AQ2</f>
        <v>306</v>
      </c>
      <c r="AT2" s="34">
        <f>+AP2+AR2</f>
        <v>306</v>
      </c>
      <c r="AU2" s="34">
        <v>28</v>
      </c>
      <c r="AV2" s="34">
        <v>28</v>
      </c>
      <c r="AW2" s="34">
        <f>+AS2+AU2</f>
        <v>334</v>
      </c>
      <c r="AX2" s="34">
        <f>+AT2+AV2</f>
        <v>334</v>
      </c>
      <c r="AY2" s="34">
        <v>31</v>
      </c>
      <c r="AZ2" s="34">
        <v>31</v>
      </c>
      <c r="BA2" s="34">
        <f>+AQ2+AU2+AY2</f>
        <v>90</v>
      </c>
      <c r="BB2" s="34">
        <f>+AR2+AV2+AZ2</f>
        <v>90</v>
      </c>
      <c r="BC2" s="34">
        <f>+AM2+BA2</f>
        <v>182</v>
      </c>
      <c r="BD2" s="34">
        <f>+AN2+BB2</f>
        <v>182</v>
      </c>
      <c r="BE2" s="34">
        <f>+AW2+AY2</f>
        <v>365</v>
      </c>
      <c r="BF2" s="34">
        <f>+AX2+AZ2</f>
        <v>365</v>
      </c>
    </row>
    <row r="3" spans="1:66" x14ac:dyDescent="0.25">
      <c r="B3" s="6070" t="s">
        <v>171</v>
      </c>
      <c r="C3" s="6065" t="s">
        <v>172</v>
      </c>
      <c r="D3" s="5954" t="s">
        <v>2191</v>
      </c>
      <c r="E3" s="6065" t="s">
        <v>2190</v>
      </c>
      <c r="F3" s="6065"/>
      <c r="G3" s="6065" t="s">
        <v>2242</v>
      </c>
      <c r="H3" s="6065"/>
      <c r="I3" s="6064" t="s">
        <v>14</v>
      </c>
      <c r="J3" s="6064"/>
      <c r="K3" s="6065" t="s">
        <v>2273</v>
      </c>
      <c r="L3" s="6065"/>
      <c r="M3" s="6066" t="s">
        <v>637</v>
      </c>
      <c r="N3" s="6066"/>
      <c r="O3" s="6065" t="s">
        <v>2296</v>
      </c>
      <c r="P3" s="6065"/>
      <c r="Q3" s="6064" t="s">
        <v>17</v>
      </c>
      <c r="R3" s="6064"/>
      <c r="S3" s="6065" t="s">
        <v>2299</v>
      </c>
      <c r="T3" s="6065"/>
      <c r="U3" s="6064" t="s">
        <v>18</v>
      </c>
      <c r="V3" s="6064"/>
      <c r="W3" s="6065" t="s">
        <v>2344</v>
      </c>
      <c r="X3" s="6065"/>
      <c r="Y3" s="6066" t="s">
        <v>660</v>
      </c>
      <c r="Z3" s="6066"/>
      <c r="AA3" s="6067" t="s">
        <v>657</v>
      </c>
      <c r="AB3" s="6067"/>
      <c r="AC3" s="6065" t="s">
        <v>1954</v>
      </c>
      <c r="AD3" s="6065"/>
      <c r="AE3" s="6064" t="s">
        <v>24</v>
      </c>
      <c r="AF3" s="6064"/>
      <c r="AG3" s="6065" t="s">
        <v>1970</v>
      </c>
      <c r="AH3" s="6065"/>
      <c r="AI3" s="6064" t="s">
        <v>27</v>
      </c>
      <c r="AJ3" s="6064"/>
      <c r="AK3" s="6065" t="s">
        <v>1985</v>
      </c>
      <c r="AL3" s="6065"/>
      <c r="AM3" s="6066" t="s">
        <v>662</v>
      </c>
      <c r="AN3" s="6066"/>
      <c r="AO3" s="6064" t="s">
        <v>1666</v>
      </c>
      <c r="AP3" s="6064"/>
      <c r="AQ3" s="6065" t="s">
        <v>2085</v>
      </c>
      <c r="AR3" s="6065"/>
      <c r="AS3" s="6064" t="s">
        <v>28</v>
      </c>
      <c r="AT3" s="6064"/>
      <c r="AU3" s="6065" t="s">
        <v>2099</v>
      </c>
      <c r="AV3" s="6065"/>
      <c r="AW3" s="6064" t="s">
        <v>30</v>
      </c>
      <c r="AX3" s="6064"/>
      <c r="AY3" s="6065" t="s">
        <v>2111</v>
      </c>
      <c r="AZ3" s="6065"/>
      <c r="BA3" s="6066" t="s">
        <v>663</v>
      </c>
      <c r="BB3" s="6066"/>
      <c r="BC3" s="6067" t="s">
        <v>671</v>
      </c>
      <c r="BD3" s="6067"/>
      <c r="BE3" s="6064" t="s">
        <v>1745</v>
      </c>
      <c r="BF3" s="6064"/>
    </row>
    <row r="4" spans="1:66" x14ac:dyDescent="0.25">
      <c r="B4" s="6070"/>
      <c r="C4" s="6065"/>
      <c r="D4" s="5954"/>
      <c r="E4" s="548" t="s">
        <v>173</v>
      </c>
      <c r="F4" s="548" t="s">
        <v>174</v>
      </c>
      <c r="G4" s="548" t="s">
        <v>173</v>
      </c>
      <c r="H4" s="548" t="s">
        <v>174</v>
      </c>
      <c r="I4" s="189" t="s">
        <v>173</v>
      </c>
      <c r="J4" s="189" t="s">
        <v>174</v>
      </c>
      <c r="K4" s="1552" t="s">
        <v>173</v>
      </c>
      <c r="L4" s="548" t="s">
        <v>174</v>
      </c>
      <c r="M4" s="190" t="s">
        <v>173</v>
      </c>
      <c r="N4" s="190" t="s">
        <v>174</v>
      </c>
      <c r="O4" s="1552" t="s">
        <v>173</v>
      </c>
      <c r="P4" s="548" t="s">
        <v>174</v>
      </c>
      <c r="Q4" s="189" t="s">
        <v>173</v>
      </c>
      <c r="R4" s="189" t="s">
        <v>174</v>
      </c>
      <c r="S4" s="548" t="s">
        <v>173</v>
      </c>
      <c r="T4" s="548" t="s">
        <v>174</v>
      </c>
      <c r="U4" s="189" t="s">
        <v>173</v>
      </c>
      <c r="V4" s="189" t="s">
        <v>174</v>
      </c>
      <c r="W4" s="548" t="s">
        <v>173</v>
      </c>
      <c r="X4" s="548" t="s">
        <v>174</v>
      </c>
      <c r="Y4" s="190" t="s">
        <v>173</v>
      </c>
      <c r="Z4" s="190" t="s">
        <v>174</v>
      </c>
      <c r="AA4" s="1277" t="s">
        <v>173</v>
      </c>
      <c r="AB4" s="1277" t="s">
        <v>174</v>
      </c>
      <c r="AC4" s="548" t="s">
        <v>173</v>
      </c>
      <c r="AD4" s="548" t="s">
        <v>174</v>
      </c>
      <c r="AE4" s="189" t="s">
        <v>173</v>
      </c>
      <c r="AF4" s="189" t="s">
        <v>174</v>
      </c>
      <c r="AG4" s="548" t="s">
        <v>173</v>
      </c>
      <c r="AH4" s="548" t="s">
        <v>174</v>
      </c>
      <c r="AI4" s="189" t="s">
        <v>173</v>
      </c>
      <c r="AJ4" s="189" t="s">
        <v>174</v>
      </c>
      <c r="AK4" s="548" t="s">
        <v>173</v>
      </c>
      <c r="AL4" s="548" t="s">
        <v>174</v>
      </c>
      <c r="AM4" s="190" t="s">
        <v>173</v>
      </c>
      <c r="AN4" s="190" t="s">
        <v>174</v>
      </c>
      <c r="AO4" s="189" t="s">
        <v>173</v>
      </c>
      <c r="AP4" s="189" t="s">
        <v>174</v>
      </c>
      <c r="AQ4" s="548" t="s">
        <v>173</v>
      </c>
      <c r="AR4" s="548" t="s">
        <v>174</v>
      </c>
      <c r="AS4" s="189" t="s">
        <v>173</v>
      </c>
      <c r="AT4" s="189" t="s">
        <v>174</v>
      </c>
      <c r="AU4" s="548" t="s">
        <v>173</v>
      </c>
      <c r="AV4" s="548" t="s">
        <v>174</v>
      </c>
      <c r="AW4" s="189" t="s">
        <v>173</v>
      </c>
      <c r="AX4" s="189" t="s">
        <v>174</v>
      </c>
      <c r="AY4" s="548" t="s">
        <v>173</v>
      </c>
      <c r="AZ4" s="548" t="s">
        <v>174</v>
      </c>
      <c r="BA4" s="190" t="s">
        <v>173</v>
      </c>
      <c r="BB4" s="190" t="s">
        <v>174</v>
      </c>
      <c r="BC4" s="1277" t="s">
        <v>173</v>
      </c>
      <c r="BD4" s="1277" t="s">
        <v>174</v>
      </c>
      <c r="BE4" s="189" t="s">
        <v>173</v>
      </c>
      <c r="BF4" s="189" t="s">
        <v>174</v>
      </c>
    </row>
    <row r="5" spans="1:66" ht="17.45" x14ac:dyDescent="0.3">
      <c r="A5" s="149"/>
      <c r="B5" s="1278" t="s">
        <v>935</v>
      </c>
      <c r="C5" s="1278"/>
      <c r="D5" s="251"/>
      <c r="E5" s="1278"/>
      <c r="F5" s="1278"/>
      <c r="G5" s="1278"/>
      <c r="H5" s="1278"/>
      <c r="I5" s="1278"/>
      <c r="J5" s="1278"/>
      <c r="K5" s="1278"/>
      <c r="L5" s="1278"/>
      <c r="M5" s="1278"/>
      <c r="N5" s="1278"/>
      <c r="O5" s="1278"/>
      <c r="P5" s="1278"/>
      <c r="Q5" s="1278"/>
      <c r="R5" s="1278"/>
      <c r="S5" s="1278"/>
      <c r="T5" s="1773"/>
      <c r="U5" s="1278"/>
      <c r="V5" s="1278"/>
      <c r="W5" s="1278"/>
      <c r="X5" s="1278"/>
      <c r="Y5" s="1278"/>
      <c r="Z5" s="1278"/>
      <c r="AA5" s="1278"/>
      <c r="AB5" s="1278"/>
      <c r="AC5" s="1278"/>
      <c r="AD5" s="1278"/>
      <c r="AE5" s="1278"/>
      <c r="AF5" s="1278"/>
      <c r="AG5" s="1278"/>
      <c r="AH5" s="1278"/>
      <c r="AI5" s="1278"/>
      <c r="AJ5" s="1278"/>
      <c r="AK5" s="1278"/>
      <c r="AL5" s="1278"/>
      <c r="AM5" s="1278"/>
      <c r="AN5" s="1278"/>
      <c r="AO5" s="1278"/>
      <c r="AP5" s="1278"/>
      <c r="AQ5" s="1278"/>
      <c r="AR5" s="1278"/>
      <c r="AS5" s="1278"/>
      <c r="AT5" s="1278"/>
      <c r="AU5" s="1278"/>
      <c r="AV5" s="1278"/>
      <c r="AW5" s="1278"/>
      <c r="AX5" s="1278"/>
      <c r="AY5" s="1278"/>
      <c r="AZ5" s="1278"/>
      <c r="BA5" s="1278"/>
      <c r="BB5" s="1278"/>
      <c r="BC5" s="1278"/>
      <c r="BD5" s="1278"/>
      <c r="BE5" s="1278"/>
      <c r="BF5" s="1278"/>
    </row>
    <row r="6" spans="1:66" ht="14.45" x14ac:dyDescent="0.3">
      <c r="B6" s="1279" t="s">
        <v>37</v>
      </c>
      <c r="C6" s="64" t="s">
        <v>50</v>
      </c>
      <c r="D6" s="1201">
        <v>3420111.9433620959</v>
      </c>
      <c r="E6" s="1280">
        <v>291765.43036840716</v>
      </c>
      <c r="F6" s="1280">
        <v>252779</v>
      </c>
      <c r="G6" s="1280">
        <v>300530.10291530337</v>
      </c>
      <c r="H6" s="1280">
        <v>279294</v>
      </c>
      <c r="I6" s="1281">
        <f>+E6+G6</f>
        <v>592295.53328371048</v>
      </c>
      <c r="J6" s="1281">
        <f>+F6+H6</f>
        <v>532073</v>
      </c>
      <c r="K6" s="1280">
        <v>291765.43036840716</v>
      </c>
      <c r="L6" s="1280">
        <v>294702</v>
      </c>
      <c r="M6" s="1283">
        <f>+K6+G6+E6</f>
        <v>884060.96365211764</v>
      </c>
      <c r="N6" s="1283">
        <f>+L6+H6+F6</f>
        <v>826775</v>
      </c>
      <c r="O6" s="1280">
        <v>295052.18257349316</v>
      </c>
      <c r="P6" s="1280">
        <v>311810</v>
      </c>
      <c r="Q6" s="1281">
        <f>+M6+O6</f>
        <v>1179113.1462256107</v>
      </c>
      <c r="R6" s="1281">
        <f>+N6+P6</f>
        <v>1138585</v>
      </c>
      <c r="S6" s="1280">
        <v>295052.18257349316</v>
      </c>
      <c r="T6" s="1280">
        <v>299997</v>
      </c>
      <c r="U6" s="1281">
        <f>+Q6+S6</f>
        <v>1474165.3287991039</v>
      </c>
      <c r="V6" s="1281">
        <f>+R6+T6</f>
        <v>1438582</v>
      </c>
      <c r="W6" s="1280">
        <v>162788.71665538964</v>
      </c>
      <c r="X6" s="1280">
        <v>293194</v>
      </c>
      <c r="Y6" s="1283">
        <f>+O6+S6+W6</f>
        <v>752893.08180237596</v>
      </c>
      <c r="Z6" s="1283">
        <f>+P6+T6+X6</f>
        <v>905001</v>
      </c>
      <c r="AA6" s="1222">
        <f>M6+Y6</f>
        <v>1636954.0454544937</v>
      </c>
      <c r="AB6" s="1222">
        <f>N6+Z6</f>
        <v>1731776</v>
      </c>
      <c r="AC6" s="1280">
        <v>314138.81526352116</v>
      </c>
      <c r="AD6" s="1280">
        <v>293197</v>
      </c>
      <c r="AE6" s="1281">
        <f>+AA6+AC6</f>
        <v>1951092.8607180149</v>
      </c>
      <c r="AF6" s="1281">
        <f>+AB6+AD6</f>
        <v>2024973</v>
      </c>
      <c r="AG6" s="1280">
        <v>305844.70283606299</v>
      </c>
      <c r="AH6" s="1280">
        <v>19184</v>
      </c>
      <c r="AI6" s="1281">
        <f>+AE6+AG6</f>
        <v>2256937.5635540779</v>
      </c>
      <c r="AJ6" s="1281">
        <f>+AF6+AH6</f>
        <v>2044157</v>
      </c>
      <c r="AK6" s="1280">
        <v>314138.81526352116</v>
      </c>
      <c r="AL6" s="1280">
        <v>283859.14</v>
      </c>
      <c r="AM6" s="1283">
        <f>+AC6+AG6+AK6</f>
        <v>934122.33336310531</v>
      </c>
      <c r="AN6" s="1283">
        <f>+AD6+AH6+AL6</f>
        <v>596240.14</v>
      </c>
      <c r="AO6" s="1281">
        <f>AI6+AK6</f>
        <v>2571076.3788175993</v>
      </c>
      <c r="AP6" s="1281">
        <f>AJ6+AL6</f>
        <v>2328016.14</v>
      </c>
      <c r="AQ6" s="1280">
        <v>314138.81526352116</v>
      </c>
      <c r="AR6" s="1280">
        <v>290918</v>
      </c>
      <c r="AS6" s="1281">
        <f>+AO6+AQ6</f>
        <v>2885215.1940811202</v>
      </c>
      <c r="AT6" s="1281">
        <f>+AP6+AR6</f>
        <v>2618934.14</v>
      </c>
      <c r="AU6" s="1280">
        <v>284907.25778447784</v>
      </c>
      <c r="AV6" s="1280">
        <v>270421</v>
      </c>
      <c r="AW6" s="1281">
        <f>+AS6+AU6</f>
        <v>3170122.4518655981</v>
      </c>
      <c r="AX6" s="1281">
        <f>+AT6+AV6</f>
        <v>2889355.14</v>
      </c>
      <c r="AY6" s="1280">
        <v>314138.81526352116</v>
      </c>
      <c r="AZ6" s="1280">
        <v>322428</v>
      </c>
      <c r="BA6" s="1283">
        <f>+AQ6+AU6+AY6</f>
        <v>913184.88831152022</v>
      </c>
      <c r="BB6" s="1283">
        <f>+AR6+AV6+AZ6</f>
        <v>883767</v>
      </c>
      <c r="BC6" s="1222">
        <f>AM6+BA6</f>
        <v>1847307.2216746255</v>
      </c>
      <c r="BD6" s="1222">
        <f t="shared" ref="BD6:BD19" si="7">AN6+BB6</f>
        <v>1480007.1400000001</v>
      </c>
      <c r="BE6" s="1281">
        <f>+AW6+AY6</f>
        <v>3484261.2671291195</v>
      </c>
      <c r="BF6" s="1281">
        <f>+AX6+AZ6</f>
        <v>3211783.14</v>
      </c>
      <c r="BG6" s="26"/>
      <c r="BH6" s="26"/>
      <c r="BI6" s="26"/>
      <c r="BJ6" s="26"/>
      <c r="BK6" s="26"/>
      <c r="BL6" s="26"/>
      <c r="BM6" s="26"/>
      <c r="BN6" s="26"/>
    </row>
    <row r="7" spans="1:66" ht="14.45" x14ac:dyDescent="0.3">
      <c r="B7" s="1279" t="s">
        <v>38</v>
      </c>
      <c r="C7" s="64" t="s">
        <v>50</v>
      </c>
      <c r="D7" s="1201">
        <v>198321.58971355701</v>
      </c>
      <c r="E7" s="1280">
        <v>16918.564343025799</v>
      </c>
      <c r="F7" s="1280">
        <v>17706</v>
      </c>
      <c r="G7" s="1280">
        <v>17426.800278458504</v>
      </c>
      <c r="H7" s="1280">
        <v>18108</v>
      </c>
      <c r="I7" s="1281">
        <f t="shared" ref="I7:I19" si="8">+E7+G7</f>
        <v>34345.364621484303</v>
      </c>
      <c r="J7" s="1281">
        <f t="shared" ref="J7:J19" si="9">+F7+H7</f>
        <v>35814</v>
      </c>
      <c r="K7" s="1280">
        <v>16918.564343025799</v>
      </c>
      <c r="L7" s="1280">
        <v>13246</v>
      </c>
      <c r="M7" s="1283">
        <f t="shared" ref="M7:M19" si="10">+K7+G7+E7</f>
        <v>51263.928964510102</v>
      </c>
      <c r="N7" s="1283">
        <f t="shared" ref="N7:N19" si="11">+L7+H7+F7</f>
        <v>49060</v>
      </c>
      <c r="O7" s="1280">
        <v>17109.152818813061</v>
      </c>
      <c r="P7" s="1280">
        <v>14610</v>
      </c>
      <c r="Q7" s="1281">
        <f t="shared" ref="Q7:Q19" si="12">+M7+O7</f>
        <v>68373.08178332317</v>
      </c>
      <c r="R7" s="1281">
        <f t="shared" ref="R7:R19" si="13">+N7+P7</f>
        <v>63670</v>
      </c>
      <c r="S7" s="1280">
        <v>17109.152818813061</v>
      </c>
      <c r="T7" s="1280">
        <v>11983</v>
      </c>
      <c r="U7" s="1281">
        <f t="shared" ref="U7:U19" si="14">+Q7+S7</f>
        <v>85482.234602136232</v>
      </c>
      <c r="V7" s="1281">
        <f t="shared" ref="V7:V19" si="15">+R7+T7</f>
        <v>75653</v>
      </c>
      <c r="W7" s="1280">
        <v>9439.6082962096843</v>
      </c>
      <c r="X7" s="1280">
        <v>12979</v>
      </c>
      <c r="Y7" s="1283">
        <f t="shared" ref="Y7:Y19" si="16">+O7+S7+W7</f>
        <v>43657.913933835807</v>
      </c>
      <c r="Z7" s="1283">
        <f t="shared" ref="Z7:Z19" si="17">+P7+T7+X7</f>
        <v>39572</v>
      </c>
      <c r="AA7" s="1222">
        <f t="shared" ref="AA7:AA19" si="18">M7+Y7</f>
        <v>94921.842898345902</v>
      </c>
      <c r="AB7" s="1222">
        <f t="shared" ref="AB7:AB19" si="19">N7+Z7</f>
        <v>88632</v>
      </c>
      <c r="AC7" s="1280">
        <v>26198.338623663851</v>
      </c>
      <c r="AD7" s="1280">
        <v>14717</v>
      </c>
      <c r="AE7" s="1281">
        <f t="shared" ref="AE7:AE19" si="20">+AA7+AC7</f>
        <v>121120.18152200975</v>
      </c>
      <c r="AF7" s="1281">
        <f t="shared" ref="AF7:AF13" si="21">+AB7+AD7</f>
        <v>103349</v>
      </c>
      <c r="AG7" s="1280">
        <v>25506.631787706607</v>
      </c>
      <c r="AH7" s="1280">
        <v>978</v>
      </c>
      <c r="AI7" s="1281">
        <f t="shared" ref="AI7:AI19" si="22">+AE7+AG7</f>
        <v>146626.81330971635</v>
      </c>
      <c r="AJ7" s="1281">
        <f t="shared" ref="AJ7:AJ19" si="23">+AF7+AH7</f>
        <v>104327</v>
      </c>
      <c r="AK7" s="1280">
        <v>26198.338623663851</v>
      </c>
      <c r="AL7" s="1280">
        <v>20338</v>
      </c>
      <c r="AM7" s="1283">
        <f t="shared" ref="AM7:AM19" si="24">+AC7+AG7+AK7</f>
        <v>77903.309035034312</v>
      </c>
      <c r="AN7" s="1283">
        <f t="shared" ref="AN7:AN19" si="25">+AD7+AH7+AL7</f>
        <v>36033</v>
      </c>
      <c r="AO7" s="1281">
        <f t="shared" ref="AO7:AO19" si="26">AI7+AK7</f>
        <v>172825.1519333802</v>
      </c>
      <c r="AP7" s="1281">
        <f t="shared" ref="AP7:AP19" si="27">AJ7+AL7</f>
        <v>124665</v>
      </c>
      <c r="AQ7" s="1280">
        <v>26198.338623663851</v>
      </c>
      <c r="AR7" s="1280">
        <v>19312</v>
      </c>
      <c r="AS7" s="1281">
        <f t="shared" ref="AS7:AS19" si="28">+AO7+AQ7</f>
        <v>199023.49055704405</v>
      </c>
      <c r="AT7" s="1281">
        <f t="shared" ref="AT7:AT19" si="29">+AP7+AR7</f>
        <v>143977</v>
      </c>
      <c r="AU7" s="1280">
        <v>23760.504761297463</v>
      </c>
      <c r="AV7" s="1280">
        <v>16266</v>
      </c>
      <c r="AW7" s="1281">
        <f t="shared" ref="AW7:AW19" si="30">+AS7+AU7</f>
        <v>222783.99531834151</v>
      </c>
      <c r="AX7" s="1281">
        <f t="shared" ref="AX7:AX19" si="31">+AT7+AV7</f>
        <v>160243</v>
      </c>
      <c r="AY7" s="1280">
        <v>26198.338623663851</v>
      </c>
      <c r="AZ7" s="1280">
        <v>16519</v>
      </c>
      <c r="BA7" s="1283">
        <f t="shared" ref="BA7:BA19" si="32">+AQ7+AU7+AY7</f>
        <v>76157.182008625168</v>
      </c>
      <c r="BB7" s="1283">
        <f t="shared" ref="BB7:BB19" si="33">+AR7+AV7+AZ7</f>
        <v>52097</v>
      </c>
      <c r="BC7" s="1222">
        <f t="shared" ref="BC7:BC19" si="34">AM7+BA7</f>
        <v>154060.49104365948</v>
      </c>
      <c r="BD7" s="1222">
        <f t="shared" si="7"/>
        <v>88130</v>
      </c>
      <c r="BE7" s="1281">
        <f t="shared" ref="BE7:BE19" si="35">+AW7+AY7</f>
        <v>248982.33394200535</v>
      </c>
      <c r="BF7" s="1281">
        <f t="shared" ref="BF7:BF19" si="36">+AX7+AZ7</f>
        <v>176762</v>
      </c>
      <c r="BG7" s="26"/>
      <c r="BH7" s="26"/>
      <c r="BI7" s="26"/>
      <c r="BJ7" s="26"/>
      <c r="BK7" s="26"/>
      <c r="BL7" s="26"/>
      <c r="BM7" s="26"/>
      <c r="BN7" s="26"/>
    </row>
    <row r="8" spans="1:66" ht="14.45" x14ac:dyDescent="0.3">
      <c r="B8" s="1279" t="s">
        <v>39</v>
      </c>
      <c r="C8" s="64" t="s">
        <v>50</v>
      </c>
      <c r="D8" s="1201">
        <v>413882.72462458618</v>
      </c>
      <c r="E8" s="1280">
        <v>35307.812513713536</v>
      </c>
      <c r="F8" s="1280">
        <v>31408</v>
      </c>
      <c r="G8" s="1280">
        <v>36368.463923440693</v>
      </c>
      <c r="H8" s="1280">
        <v>33097</v>
      </c>
      <c r="I8" s="1281">
        <f t="shared" si="8"/>
        <v>71676.276437154229</v>
      </c>
      <c r="J8" s="1281">
        <f t="shared" si="9"/>
        <v>64505</v>
      </c>
      <c r="K8" s="1280">
        <v>35307.812513713536</v>
      </c>
      <c r="L8" s="1280">
        <v>32851</v>
      </c>
      <c r="M8" s="1283">
        <f t="shared" si="10"/>
        <v>106984.08895086776</v>
      </c>
      <c r="N8" s="1283">
        <f t="shared" si="11"/>
        <v>97356</v>
      </c>
      <c r="O8" s="1280">
        <v>35705.556792361218</v>
      </c>
      <c r="P8" s="1280">
        <v>36699</v>
      </c>
      <c r="Q8" s="1281">
        <f t="shared" si="12"/>
        <v>142689.64574322899</v>
      </c>
      <c r="R8" s="1281">
        <f t="shared" si="13"/>
        <v>134055</v>
      </c>
      <c r="S8" s="1280">
        <v>35705.556792361218</v>
      </c>
      <c r="T8" s="1280">
        <v>37500</v>
      </c>
      <c r="U8" s="1281">
        <f t="shared" si="14"/>
        <v>178395.20253559022</v>
      </c>
      <c r="V8" s="1281">
        <f t="shared" si="15"/>
        <v>171555</v>
      </c>
      <c r="W8" s="1280">
        <v>19699.7755346101</v>
      </c>
      <c r="X8" s="1280">
        <v>35093</v>
      </c>
      <c r="Y8" s="1283">
        <f t="shared" si="16"/>
        <v>91110.88911933254</v>
      </c>
      <c r="Z8" s="1283">
        <f t="shared" si="17"/>
        <v>109292</v>
      </c>
      <c r="AA8" s="1222">
        <f t="shared" si="18"/>
        <v>198094.9780702003</v>
      </c>
      <c r="AB8" s="1222">
        <f t="shared" si="19"/>
        <v>206648</v>
      </c>
      <c r="AC8" s="1280">
        <v>36192.457328627635</v>
      </c>
      <c r="AD8" s="1280">
        <v>37201</v>
      </c>
      <c r="AE8" s="1281">
        <f t="shared" si="20"/>
        <v>234287.43539882795</v>
      </c>
      <c r="AF8" s="1281">
        <f t="shared" si="21"/>
        <v>243849</v>
      </c>
      <c r="AG8" s="1280">
        <v>35236.878789701135</v>
      </c>
      <c r="AH8" s="1280">
        <v>1829</v>
      </c>
      <c r="AI8" s="1281">
        <f t="shared" si="22"/>
        <v>269524.3141885291</v>
      </c>
      <c r="AJ8" s="1281">
        <f t="shared" si="23"/>
        <v>245678</v>
      </c>
      <c r="AK8" s="1280">
        <v>36192.457328627635</v>
      </c>
      <c r="AL8" s="1280">
        <v>34671</v>
      </c>
      <c r="AM8" s="1283">
        <f t="shared" si="24"/>
        <v>107621.79344695641</v>
      </c>
      <c r="AN8" s="1283">
        <f t="shared" si="25"/>
        <v>73701</v>
      </c>
      <c r="AO8" s="1281">
        <f t="shared" si="26"/>
        <v>305716.77151715674</v>
      </c>
      <c r="AP8" s="1281">
        <f t="shared" si="27"/>
        <v>280349</v>
      </c>
      <c r="AQ8" s="1280">
        <v>36192.457328627635</v>
      </c>
      <c r="AR8" s="1280">
        <v>35121</v>
      </c>
      <c r="AS8" s="1281">
        <f t="shared" si="28"/>
        <v>341909.22884578438</v>
      </c>
      <c r="AT8" s="1281">
        <f t="shared" si="29"/>
        <v>315470</v>
      </c>
      <c r="AU8" s="1280">
        <v>32824.640792418606</v>
      </c>
      <c r="AV8" s="1280">
        <v>31203</v>
      </c>
      <c r="AW8" s="1281">
        <f t="shared" si="30"/>
        <v>374733.869638203</v>
      </c>
      <c r="AX8" s="1281">
        <f t="shared" si="31"/>
        <v>346673</v>
      </c>
      <c r="AY8" s="1280">
        <v>36192.457328627635</v>
      </c>
      <c r="AZ8" s="1280">
        <v>40247</v>
      </c>
      <c r="BA8" s="1283">
        <f t="shared" si="32"/>
        <v>105209.55544967388</v>
      </c>
      <c r="BB8" s="1283">
        <f t="shared" si="33"/>
        <v>106571</v>
      </c>
      <c r="BC8" s="1222">
        <f t="shared" si="34"/>
        <v>212831.34889663028</v>
      </c>
      <c r="BD8" s="1222">
        <f t="shared" si="7"/>
        <v>180272</v>
      </c>
      <c r="BE8" s="1281">
        <f t="shared" si="35"/>
        <v>410926.32696683065</v>
      </c>
      <c r="BF8" s="1281">
        <f t="shared" si="36"/>
        <v>386920</v>
      </c>
      <c r="BG8" s="26"/>
      <c r="BH8" s="26"/>
      <c r="BI8" s="26"/>
      <c r="BJ8" s="26"/>
      <c r="BK8" s="26"/>
      <c r="BL8" s="26"/>
      <c r="BM8" s="26"/>
      <c r="BN8" s="26"/>
    </row>
    <row r="9" spans="1:66" ht="14.45" x14ac:dyDescent="0.3">
      <c r="B9" s="1279" t="s">
        <v>40</v>
      </c>
      <c r="C9" s="64" t="s">
        <v>50</v>
      </c>
      <c r="D9" s="1201">
        <v>193929.83655187924</v>
      </c>
      <c r="E9" s="1280">
        <v>16543.909427482569</v>
      </c>
      <c r="F9" s="1280">
        <v>14798</v>
      </c>
      <c r="G9" s="1280">
        <v>17040.890679148677</v>
      </c>
      <c r="H9" s="1280">
        <v>14664</v>
      </c>
      <c r="I9" s="1281">
        <f t="shared" si="8"/>
        <v>33584.800106631243</v>
      </c>
      <c r="J9" s="1281">
        <f t="shared" si="9"/>
        <v>29462</v>
      </c>
      <c r="K9" s="1280">
        <v>16543.909427482569</v>
      </c>
      <c r="L9" s="1280">
        <v>14007</v>
      </c>
      <c r="M9" s="1283">
        <f t="shared" si="10"/>
        <v>50128.709534113812</v>
      </c>
      <c r="N9" s="1283">
        <f t="shared" si="11"/>
        <v>43469</v>
      </c>
      <c r="O9" s="1280">
        <v>16730.277396857357</v>
      </c>
      <c r="P9" s="1280">
        <v>15152</v>
      </c>
      <c r="Q9" s="1281">
        <f t="shared" si="12"/>
        <v>66858.986930971165</v>
      </c>
      <c r="R9" s="1281">
        <f t="shared" si="13"/>
        <v>58621</v>
      </c>
      <c r="S9" s="1280">
        <v>16730.277396857357</v>
      </c>
      <c r="T9" s="1280">
        <v>16445</v>
      </c>
      <c r="U9" s="1281">
        <f t="shared" si="14"/>
        <v>83589.264327828525</v>
      </c>
      <c r="V9" s="1281">
        <f t="shared" si="15"/>
        <v>75066</v>
      </c>
      <c r="W9" s="1280">
        <v>9230.571904156981</v>
      </c>
      <c r="X9" s="1280">
        <v>13697</v>
      </c>
      <c r="Y9" s="1283">
        <f t="shared" si="16"/>
        <v>42691.126697871696</v>
      </c>
      <c r="Z9" s="1283">
        <f t="shared" si="17"/>
        <v>45294</v>
      </c>
      <c r="AA9" s="1222">
        <f t="shared" si="18"/>
        <v>92819.836231985508</v>
      </c>
      <c r="AB9" s="1222">
        <f t="shared" si="19"/>
        <v>88763</v>
      </c>
      <c r="AC9" s="1280">
        <v>20152.568172049116</v>
      </c>
      <c r="AD9" s="1280">
        <v>15587</v>
      </c>
      <c r="AE9" s="1281">
        <f t="shared" si="20"/>
        <v>112972.40440403462</v>
      </c>
      <c r="AF9" s="1281">
        <f t="shared" si="21"/>
        <v>104350</v>
      </c>
      <c r="AG9" s="1280">
        <v>19620.485990543544</v>
      </c>
      <c r="AH9" s="1280">
        <v>1108</v>
      </c>
      <c r="AI9" s="1281">
        <f t="shared" si="22"/>
        <v>132592.89039457816</v>
      </c>
      <c r="AJ9" s="1281">
        <f t="shared" si="23"/>
        <v>105458</v>
      </c>
      <c r="AK9" s="1280">
        <v>20152.568172049116</v>
      </c>
      <c r="AL9" s="1280">
        <v>17214</v>
      </c>
      <c r="AM9" s="1283">
        <f t="shared" si="24"/>
        <v>59925.622334641768</v>
      </c>
      <c r="AN9" s="1283">
        <f t="shared" si="25"/>
        <v>33909</v>
      </c>
      <c r="AO9" s="1281">
        <f t="shared" si="26"/>
        <v>152745.45856662729</v>
      </c>
      <c r="AP9" s="1281">
        <f t="shared" si="27"/>
        <v>122672</v>
      </c>
      <c r="AQ9" s="1280">
        <v>20152.568172049116</v>
      </c>
      <c r="AR9" s="1280">
        <v>16153</v>
      </c>
      <c r="AS9" s="1281">
        <f t="shared" si="28"/>
        <v>172898.02673867642</v>
      </c>
      <c r="AT9" s="1281">
        <f t="shared" si="29"/>
        <v>138825</v>
      </c>
      <c r="AU9" s="1280">
        <v>18277.311354844202</v>
      </c>
      <c r="AV9" s="1280">
        <v>13214</v>
      </c>
      <c r="AW9" s="1281">
        <f t="shared" si="30"/>
        <v>191175.33809352061</v>
      </c>
      <c r="AX9" s="1281">
        <f t="shared" si="31"/>
        <v>152039</v>
      </c>
      <c r="AY9" s="1280">
        <v>20152.568172049116</v>
      </c>
      <c r="AZ9" s="1280">
        <v>18608</v>
      </c>
      <c r="BA9" s="1283">
        <f t="shared" si="32"/>
        <v>58582.447698942429</v>
      </c>
      <c r="BB9" s="1283">
        <f t="shared" si="33"/>
        <v>47975</v>
      </c>
      <c r="BC9" s="1222">
        <f t="shared" si="34"/>
        <v>118508.0700335842</v>
      </c>
      <c r="BD9" s="1222">
        <f t="shared" si="7"/>
        <v>81884</v>
      </c>
      <c r="BE9" s="1281">
        <f t="shared" si="35"/>
        <v>211327.90626556973</v>
      </c>
      <c r="BF9" s="1281">
        <f t="shared" si="36"/>
        <v>170647</v>
      </c>
      <c r="BG9" s="26"/>
      <c r="BH9" s="26"/>
      <c r="BI9" s="26"/>
      <c r="BJ9" s="26"/>
      <c r="BK9" s="26"/>
      <c r="BL9" s="26"/>
      <c r="BM9" s="26"/>
      <c r="BN9" s="26"/>
    </row>
    <row r="10" spans="1:66" ht="15" customHeight="1" x14ac:dyDescent="0.3">
      <c r="B10" s="1279" t="s">
        <v>1463</v>
      </c>
      <c r="C10" s="64" t="s">
        <v>50</v>
      </c>
      <c r="D10" s="1201">
        <v>1745.1503851687673</v>
      </c>
      <c r="E10" s="1280">
        <v>148.87657527543368</v>
      </c>
      <c r="F10" s="1280">
        <v>703</v>
      </c>
      <c r="G10" s="1280">
        <v>153.34884750639981</v>
      </c>
      <c r="H10" s="1280">
        <v>519</v>
      </c>
      <c r="I10" s="1281">
        <f t="shared" si="8"/>
        <v>302.22542278183346</v>
      </c>
      <c r="J10" s="1281">
        <f t="shared" si="9"/>
        <v>1222</v>
      </c>
      <c r="K10" s="1280">
        <v>148.87657527543368</v>
      </c>
      <c r="L10" s="1280">
        <v>394</v>
      </c>
      <c r="M10" s="1283">
        <f t="shared" si="10"/>
        <v>451.10199805726711</v>
      </c>
      <c r="N10" s="1283">
        <f t="shared" si="11"/>
        <v>1616</v>
      </c>
      <c r="O10" s="1280">
        <v>150.55367736204596</v>
      </c>
      <c r="P10" s="1280">
        <v>932</v>
      </c>
      <c r="Q10" s="1281">
        <f t="shared" si="12"/>
        <v>601.65567541931307</v>
      </c>
      <c r="R10" s="1281">
        <f t="shared" si="13"/>
        <v>2548</v>
      </c>
      <c r="S10" s="1280">
        <v>150.55367736204596</v>
      </c>
      <c r="T10" s="1280">
        <v>728</v>
      </c>
      <c r="U10" s="1281">
        <f t="shared" si="14"/>
        <v>752.20935278135903</v>
      </c>
      <c r="V10" s="1281">
        <f t="shared" si="15"/>
        <v>3276</v>
      </c>
      <c r="W10" s="1280">
        <v>83.064764041907608</v>
      </c>
      <c r="X10" s="1280"/>
      <c r="Y10" s="1283">
        <f t="shared" si="16"/>
        <v>384.17211876599953</v>
      </c>
      <c r="Z10" s="1283">
        <f t="shared" si="17"/>
        <v>1660</v>
      </c>
      <c r="AA10" s="1222">
        <f t="shared" si="18"/>
        <v>835.2741168232667</v>
      </c>
      <c r="AB10" s="1222">
        <f t="shared" si="19"/>
        <v>3276</v>
      </c>
      <c r="AC10" s="1280">
        <v>0</v>
      </c>
      <c r="AD10" s="1280">
        <v>369</v>
      </c>
      <c r="AE10" s="1281">
        <f t="shared" si="20"/>
        <v>835.2741168232667</v>
      </c>
      <c r="AF10" s="1281">
        <f t="shared" si="21"/>
        <v>3645</v>
      </c>
      <c r="AG10" s="1280">
        <v>0</v>
      </c>
      <c r="AH10" s="1280"/>
      <c r="AI10" s="1281">
        <f t="shared" si="22"/>
        <v>835.2741168232667</v>
      </c>
      <c r="AJ10" s="1281">
        <f t="shared" si="23"/>
        <v>3645</v>
      </c>
      <c r="AK10" s="1280">
        <v>0</v>
      </c>
      <c r="AL10" s="1280"/>
      <c r="AM10" s="1283">
        <f t="shared" si="24"/>
        <v>0</v>
      </c>
      <c r="AN10" s="1283">
        <f t="shared" si="25"/>
        <v>369</v>
      </c>
      <c r="AO10" s="1281">
        <f t="shared" si="26"/>
        <v>835.2741168232667</v>
      </c>
      <c r="AP10" s="1281">
        <f t="shared" si="27"/>
        <v>3645</v>
      </c>
      <c r="AQ10" s="1280">
        <v>0</v>
      </c>
      <c r="AR10" s="1280">
        <v>101</v>
      </c>
      <c r="AS10" s="1281">
        <f t="shared" si="28"/>
        <v>835.2741168232667</v>
      </c>
      <c r="AT10" s="1281">
        <f t="shared" si="29"/>
        <v>3746</v>
      </c>
      <c r="AU10" s="1280">
        <v>0</v>
      </c>
      <c r="AV10" s="1280">
        <v>100</v>
      </c>
      <c r="AW10" s="1281">
        <f t="shared" si="30"/>
        <v>835.2741168232667</v>
      </c>
      <c r="AX10" s="1281">
        <f t="shared" si="31"/>
        <v>3846</v>
      </c>
      <c r="AY10" s="1280">
        <v>0</v>
      </c>
      <c r="AZ10" s="1280">
        <v>436</v>
      </c>
      <c r="BA10" s="1283">
        <f t="shared" si="32"/>
        <v>0</v>
      </c>
      <c r="BB10" s="1283">
        <f t="shared" si="33"/>
        <v>637</v>
      </c>
      <c r="BC10" s="1222">
        <f t="shared" si="34"/>
        <v>0</v>
      </c>
      <c r="BD10" s="1222">
        <f t="shared" si="7"/>
        <v>1006</v>
      </c>
      <c r="BE10" s="1281">
        <f t="shared" si="35"/>
        <v>835.2741168232667</v>
      </c>
      <c r="BF10" s="1281">
        <f t="shared" si="36"/>
        <v>4282</v>
      </c>
      <c r="BG10" s="26"/>
      <c r="BH10" s="26"/>
      <c r="BI10" s="26"/>
      <c r="BJ10" s="26"/>
      <c r="BK10" s="26"/>
      <c r="BL10" s="26"/>
      <c r="BM10" s="26"/>
      <c r="BN10" s="26"/>
    </row>
    <row r="11" spans="1:66" ht="14.45" x14ac:dyDescent="0.3">
      <c r="B11" s="1279" t="s">
        <v>556</v>
      </c>
      <c r="C11" s="64" t="s">
        <v>50</v>
      </c>
      <c r="D11" s="1201">
        <v>63523.474020143127</v>
      </c>
      <c r="E11" s="1280">
        <v>5419.1073400257865</v>
      </c>
      <c r="F11" s="1280">
        <v>5571</v>
      </c>
      <c r="G11" s="1280">
        <v>5581.8980492329538</v>
      </c>
      <c r="H11" s="1280">
        <v>5527</v>
      </c>
      <c r="I11" s="1281">
        <f t="shared" si="8"/>
        <v>11001.00538925874</v>
      </c>
      <c r="J11" s="1281">
        <f t="shared" si="9"/>
        <v>11098</v>
      </c>
      <c r="K11" s="1280">
        <v>5419.1073400257865</v>
      </c>
      <c r="L11" s="1280">
        <v>6762</v>
      </c>
      <c r="M11" s="1283">
        <f t="shared" si="10"/>
        <v>16420.112729284527</v>
      </c>
      <c r="N11" s="1283">
        <f t="shared" si="11"/>
        <v>17860</v>
      </c>
      <c r="O11" s="1280">
        <v>5480.153855978474</v>
      </c>
      <c r="P11" s="1280">
        <v>5637</v>
      </c>
      <c r="Q11" s="1281">
        <f t="shared" si="12"/>
        <v>21900.266585263002</v>
      </c>
      <c r="R11" s="1281">
        <f t="shared" si="13"/>
        <v>23497</v>
      </c>
      <c r="S11" s="1280">
        <v>5480.153855978474</v>
      </c>
      <c r="T11" s="1280">
        <v>6443</v>
      </c>
      <c r="U11" s="1281">
        <f t="shared" si="14"/>
        <v>27380.420441241477</v>
      </c>
      <c r="V11" s="1281">
        <f t="shared" si="15"/>
        <v>29940</v>
      </c>
      <c r="W11" s="1280">
        <v>3023.5574111254364</v>
      </c>
      <c r="X11" s="1280">
        <v>5359</v>
      </c>
      <c r="Y11" s="1283">
        <f t="shared" si="16"/>
        <v>13983.865123082385</v>
      </c>
      <c r="Z11" s="1283">
        <f t="shared" si="17"/>
        <v>17439</v>
      </c>
      <c r="AA11" s="1222">
        <f t="shared" si="18"/>
        <v>30403.977852366912</v>
      </c>
      <c r="AB11" s="1222">
        <f t="shared" si="19"/>
        <v>35299</v>
      </c>
      <c r="AC11" s="1280">
        <v>3627.4622709688406</v>
      </c>
      <c r="AD11" s="1280">
        <v>4690</v>
      </c>
      <c r="AE11" s="1281">
        <f t="shared" si="20"/>
        <v>34031.440123335749</v>
      </c>
      <c r="AF11" s="1281">
        <f t="shared" si="21"/>
        <v>39989</v>
      </c>
      <c r="AG11" s="1280">
        <v>3531.687478297838</v>
      </c>
      <c r="AH11" s="1280">
        <v>139</v>
      </c>
      <c r="AI11" s="1281">
        <f t="shared" si="22"/>
        <v>37563.127601633591</v>
      </c>
      <c r="AJ11" s="1281">
        <f t="shared" si="23"/>
        <v>40128</v>
      </c>
      <c r="AK11" s="1280">
        <v>3627.4622709688406</v>
      </c>
      <c r="AL11" s="1280">
        <v>4313</v>
      </c>
      <c r="AM11" s="1283">
        <f t="shared" si="24"/>
        <v>10786.61202023552</v>
      </c>
      <c r="AN11" s="1283">
        <f t="shared" si="25"/>
        <v>9142</v>
      </c>
      <c r="AO11" s="1281">
        <f t="shared" si="26"/>
        <v>41190.589872602432</v>
      </c>
      <c r="AP11" s="1281">
        <f t="shared" si="27"/>
        <v>44441</v>
      </c>
      <c r="AQ11" s="1280">
        <v>3627.4622709688406</v>
      </c>
      <c r="AR11" s="1280">
        <v>5352</v>
      </c>
      <c r="AS11" s="1281">
        <f t="shared" si="28"/>
        <v>44818.052143571273</v>
      </c>
      <c r="AT11" s="1281">
        <f t="shared" si="29"/>
        <v>49793</v>
      </c>
      <c r="AU11" s="1280">
        <v>3289.9160438719564</v>
      </c>
      <c r="AV11" s="1280">
        <v>3972</v>
      </c>
      <c r="AW11" s="1281">
        <f t="shared" si="30"/>
        <v>48107.968187443228</v>
      </c>
      <c r="AX11" s="1281">
        <f t="shared" si="31"/>
        <v>53765</v>
      </c>
      <c r="AY11" s="1280">
        <v>3627.4622709688406</v>
      </c>
      <c r="AZ11" s="1280">
        <v>6442</v>
      </c>
      <c r="BA11" s="1283">
        <f t="shared" si="32"/>
        <v>10544.840585809638</v>
      </c>
      <c r="BB11" s="1283">
        <f t="shared" si="33"/>
        <v>15766</v>
      </c>
      <c r="BC11" s="1222">
        <f t="shared" si="34"/>
        <v>21331.452606045157</v>
      </c>
      <c r="BD11" s="1222">
        <f t="shared" si="7"/>
        <v>24908</v>
      </c>
      <c r="BE11" s="1281">
        <f t="shared" si="35"/>
        <v>51735.430458412069</v>
      </c>
      <c r="BF11" s="1281">
        <f t="shared" si="36"/>
        <v>60207</v>
      </c>
      <c r="BG11" s="26"/>
      <c r="BH11" s="26"/>
      <c r="BI11" s="26"/>
      <c r="BJ11" s="26"/>
      <c r="BK11" s="26"/>
      <c r="BL11" s="26"/>
      <c r="BM11" s="26"/>
      <c r="BN11" s="26"/>
    </row>
    <row r="12" spans="1:66" ht="14.45" x14ac:dyDescent="0.3">
      <c r="B12" s="1279" t="s">
        <v>41</v>
      </c>
      <c r="C12" s="64" t="s">
        <v>50</v>
      </c>
      <c r="D12" s="1201">
        <v>45437.560985585827</v>
      </c>
      <c r="E12" s="1280">
        <v>3876.220941124509</v>
      </c>
      <c r="F12" s="1280">
        <v>0</v>
      </c>
      <c r="G12" s="1280">
        <v>3992.6631365740518</v>
      </c>
      <c r="H12" s="1280">
        <v>0</v>
      </c>
      <c r="I12" s="1281">
        <f t="shared" si="8"/>
        <v>7868.8840776985608</v>
      </c>
      <c r="J12" s="1281">
        <f t="shared" si="9"/>
        <v>0</v>
      </c>
      <c r="K12" s="1280">
        <v>3876.220941124509</v>
      </c>
      <c r="L12" s="1280">
        <v>1756</v>
      </c>
      <c r="M12" s="1283">
        <f t="shared" si="10"/>
        <v>11745.105018823069</v>
      </c>
      <c r="N12" s="1283">
        <f t="shared" si="11"/>
        <v>1756</v>
      </c>
      <c r="O12" s="1280">
        <v>3919.8867644180868</v>
      </c>
      <c r="P12" s="1280">
        <v>2357</v>
      </c>
      <c r="Q12" s="1281">
        <f t="shared" si="12"/>
        <v>15664.991783241156</v>
      </c>
      <c r="R12" s="1281">
        <f t="shared" si="13"/>
        <v>4113</v>
      </c>
      <c r="S12" s="1280">
        <v>3919.8867644180868</v>
      </c>
      <c r="T12" s="1280">
        <v>3801</v>
      </c>
      <c r="U12" s="1281">
        <f t="shared" si="14"/>
        <v>19584.878547659242</v>
      </c>
      <c r="V12" s="1281">
        <f t="shared" si="15"/>
        <v>7914</v>
      </c>
      <c r="W12" s="1280">
        <v>2162.7134910453456</v>
      </c>
      <c r="X12" s="1280">
        <v>3261</v>
      </c>
      <c r="Y12" s="1283">
        <f t="shared" si="16"/>
        <v>10002.487019881519</v>
      </c>
      <c r="Z12" s="1283">
        <f t="shared" si="17"/>
        <v>9419</v>
      </c>
      <c r="AA12" s="1222">
        <f t="shared" si="18"/>
        <v>21747.592038704588</v>
      </c>
      <c r="AB12" s="1222">
        <f t="shared" si="19"/>
        <v>11175</v>
      </c>
      <c r="AC12" s="1280">
        <v>2942.2749531191707</v>
      </c>
      <c r="AD12" s="1280">
        <v>2709</v>
      </c>
      <c r="AE12" s="1281">
        <f t="shared" si="20"/>
        <v>24689.866991823757</v>
      </c>
      <c r="AF12" s="1281">
        <f t="shared" si="21"/>
        <v>13884</v>
      </c>
      <c r="AG12" s="1280">
        <v>2864.5909546193575</v>
      </c>
      <c r="AH12" s="1280">
        <v>154</v>
      </c>
      <c r="AI12" s="1281">
        <f t="shared" si="22"/>
        <v>27554.457946443115</v>
      </c>
      <c r="AJ12" s="1281">
        <f t="shared" si="23"/>
        <v>14038</v>
      </c>
      <c r="AK12" s="1280">
        <v>2942.2749531191707</v>
      </c>
      <c r="AL12" s="1280">
        <v>1719</v>
      </c>
      <c r="AM12" s="1283">
        <f t="shared" si="24"/>
        <v>8749.1408608576985</v>
      </c>
      <c r="AN12" s="1283">
        <f t="shared" si="25"/>
        <v>4582</v>
      </c>
      <c r="AO12" s="1281">
        <f t="shared" si="26"/>
        <v>30496.732899562285</v>
      </c>
      <c r="AP12" s="1281">
        <f t="shared" si="27"/>
        <v>15757</v>
      </c>
      <c r="AQ12" s="1280">
        <v>2942.2749531191707</v>
      </c>
      <c r="AR12" s="1280">
        <v>132</v>
      </c>
      <c r="AS12" s="1281">
        <f t="shared" si="28"/>
        <v>33439.007852681454</v>
      </c>
      <c r="AT12" s="1281">
        <f t="shared" si="29"/>
        <v>15889</v>
      </c>
      <c r="AU12" s="1280">
        <v>2668.4874578072536</v>
      </c>
      <c r="AV12" s="1280">
        <v>5</v>
      </c>
      <c r="AW12" s="1281">
        <f t="shared" si="30"/>
        <v>36107.49531048871</v>
      </c>
      <c r="AX12" s="1281">
        <f t="shared" si="31"/>
        <v>15894</v>
      </c>
      <c r="AY12" s="1280">
        <v>2942.2749531191707</v>
      </c>
      <c r="AZ12" s="1280">
        <v>0</v>
      </c>
      <c r="BA12" s="1283">
        <f t="shared" si="32"/>
        <v>8553.0373640455946</v>
      </c>
      <c r="BB12" s="1283">
        <f t="shared" si="33"/>
        <v>137</v>
      </c>
      <c r="BC12" s="1222">
        <f t="shared" si="34"/>
        <v>17302.178224903291</v>
      </c>
      <c r="BD12" s="1222">
        <f t="shared" si="7"/>
        <v>4719</v>
      </c>
      <c r="BE12" s="1281">
        <f t="shared" si="35"/>
        <v>39049.770263607883</v>
      </c>
      <c r="BF12" s="1281">
        <f t="shared" si="36"/>
        <v>15894</v>
      </c>
      <c r="BG12" s="26"/>
      <c r="BH12" s="26"/>
      <c r="BI12" s="26"/>
      <c r="BJ12" s="26"/>
      <c r="BK12" s="26"/>
      <c r="BL12" s="26"/>
      <c r="BM12" s="26"/>
      <c r="BN12" s="26"/>
    </row>
    <row r="13" spans="1:66" ht="14.45" x14ac:dyDescent="0.3">
      <c r="B13" s="1279" t="s">
        <v>1537</v>
      </c>
      <c r="C13" s="64" t="s">
        <v>50</v>
      </c>
      <c r="D13" s="1201">
        <v>0</v>
      </c>
      <c r="E13" s="1280">
        <v>0</v>
      </c>
      <c r="F13" s="1280">
        <v>667</v>
      </c>
      <c r="G13" s="1280">
        <v>0</v>
      </c>
      <c r="H13" s="1280">
        <v>698</v>
      </c>
      <c r="I13" s="1281">
        <f t="shared" si="8"/>
        <v>0</v>
      </c>
      <c r="J13" s="1281">
        <f t="shared" si="9"/>
        <v>1365</v>
      </c>
      <c r="K13" s="1280">
        <v>0</v>
      </c>
      <c r="L13" s="1280">
        <v>0</v>
      </c>
      <c r="M13" s="1283">
        <f t="shared" ref="M13" si="37">+K13+G13+E13</f>
        <v>0</v>
      </c>
      <c r="N13" s="1283">
        <f t="shared" si="11"/>
        <v>1365</v>
      </c>
      <c r="O13" s="1280">
        <v>0</v>
      </c>
      <c r="P13" s="1280">
        <v>1045</v>
      </c>
      <c r="Q13" s="1281">
        <f t="shared" ref="Q13" si="38">+M13+O13</f>
        <v>0</v>
      </c>
      <c r="R13" s="1281">
        <f t="shared" ref="R13" si="39">+N13+P13</f>
        <v>2410</v>
      </c>
      <c r="S13" s="1280">
        <v>0</v>
      </c>
      <c r="T13" s="1280">
        <v>614</v>
      </c>
      <c r="U13" s="1281">
        <f t="shared" si="14"/>
        <v>0</v>
      </c>
      <c r="V13" s="1281">
        <f t="shared" si="15"/>
        <v>3024</v>
      </c>
      <c r="W13" s="1280">
        <v>0</v>
      </c>
      <c r="X13" s="1280">
        <v>562</v>
      </c>
      <c r="Y13" s="1283">
        <f t="shared" si="16"/>
        <v>0</v>
      </c>
      <c r="Z13" s="1283">
        <f t="shared" si="17"/>
        <v>2221</v>
      </c>
      <c r="AA13" s="1222">
        <f t="shared" si="18"/>
        <v>0</v>
      </c>
      <c r="AB13" s="1222">
        <f t="shared" si="19"/>
        <v>3586</v>
      </c>
      <c r="AC13" s="1280">
        <v>0</v>
      </c>
      <c r="AD13" s="1280">
        <v>1389</v>
      </c>
      <c r="AE13" s="1281">
        <f t="shared" si="20"/>
        <v>0</v>
      </c>
      <c r="AF13" s="1281">
        <f t="shared" si="21"/>
        <v>4975</v>
      </c>
      <c r="AG13" s="1280">
        <v>0</v>
      </c>
      <c r="AH13" s="1280">
        <v>27</v>
      </c>
      <c r="AI13" s="1281">
        <f t="shared" si="22"/>
        <v>0</v>
      </c>
      <c r="AJ13" s="1281">
        <f t="shared" si="23"/>
        <v>5002</v>
      </c>
      <c r="AK13" s="1280">
        <v>0</v>
      </c>
      <c r="AL13" s="1280">
        <v>1418</v>
      </c>
      <c r="AM13" s="1283">
        <f t="shared" si="24"/>
        <v>0</v>
      </c>
      <c r="AN13" s="1283">
        <f t="shared" si="25"/>
        <v>2834</v>
      </c>
      <c r="AO13" s="1281">
        <f t="shared" si="26"/>
        <v>0</v>
      </c>
      <c r="AP13" s="1281">
        <f t="shared" si="27"/>
        <v>6420</v>
      </c>
      <c r="AQ13" s="1280">
        <v>0</v>
      </c>
      <c r="AR13" s="1280">
        <v>1881</v>
      </c>
      <c r="AS13" s="1281">
        <f t="shared" si="28"/>
        <v>0</v>
      </c>
      <c r="AT13" s="1281">
        <f t="shared" si="29"/>
        <v>8301</v>
      </c>
      <c r="AU13" s="1280">
        <v>0</v>
      </c>
      <c r="AV13" s="1280">
        <v>0</v>
      </c>
      <c r="AW13" s="1281">
        <f t="shared" si="30"/>
        <v>0</v>
      </c>
      <c r="AX13" s="1281">
        <f t="shared" si="31"/>
        <v>8301</v>
      </c>
      <c r="AY13" s="1280">
        <v>0</v>
      </c>
      <c r="AZ13" s="1280">
        <v>0</v>
      </c>
      <c r="BA13" s="1283">
        <f t="shared" si="32"/>
        <v>0</v>
      </c>
      <c r="BB13" s="1283">
        <f t="shared" si="33"/>
        <v>1881</v>
      </c>
      <c r="BC13" s="1222">
        <f t="shared" si="34"/>
        <v>0</v>
      </c>
      <c r="BD13" s="1222">
        <f t="shared" si="7"/>
        <v>4715</v>
      </c>
      <c r="BE13" s="1281">
        <f t="shared" si="35"/>
        <v>0</v>
      </c>
      <c r="BF13" s="1281">
        <f t="shared" si="36"/>
        <v>8301</v>
      </c>
      <c r="BG13" s="26"/>
      <c r="BH13" s="26"/>
      <c r="BI13" s="26"/>
      <c r="BJ13" s="26"/>
      <c r="BK13" s="26"/>
      <c r="BL13" s="26"/>
      <c r="BM13" s="26"/>
      <c r="BN13" s="26"/>
    </row>
    <row r="14" spans="1:66" ht="14.45" x14ac:dyDescent="0.3">
      <c r="B14" s="1279" t="s">
        <v>42</v>
      </c>
      <c r="C14" s="64" t="s">
        <v>50</v>
      </c>
      <c r="D14" s="1201">
        <v>0</v>
      </c>
      <c r="E14" s="1280">
        <v>0</v>
      </c>
      <c r="F14" s="1280">
        <v>0</v>
      </c>
      <c r="G14" s="1280">
        <v>0</v>
      </c>
      <c r="H14" s="1280">
        <v>0</v>
      </c>
      <c r="I14" s="1281">
        <f t="shared" si="8"/>
        <v>0</v>
      </c>
      <c r="J14" s="1281">
        <f t="shared" si="9"/>
        <v>0</v>
      </c>
      <c r="K14" s="1280">
        <v>0</v>
      </c>
      <c r="L14" s="1280">
        <v>0</v>
      </c>
      <c r="M14" s="1283">
        <f t="shared" si="10"/>
        <v>0</v>
      </c>
      <c r="N14" s="1283">
        <f t="shared" si="11"/>
        <v>0</v>
      </c>
      <c r="O14" s="1280">
        <v>0</v>
      </c>
      <c r="P14" s="1280"/>
      <c r="Q14" s="1281">
        <f t="shared" si="12"/>
        <v>0</v>
      </c>
      <c r="R14" s="1281">
        <f t="shared" si="13"/>
        <v>0</v>
      </c>
      <c r="S14" s="1280">
        <v>0</v>
      </c>
      <c r="T14" s="1280">
        <v>0</v>
      </c>
      <c r="U14" s="1281">
        <f t="shared" si="14"/>
        <v>0</v>
      </c>
      <c r="V14" s="1281">
        <f t="shared" si="15"/>
        <v>0</v>
      </c>
      <c r="W14" s="1280">
        <v>0</v>
      </c>
      <c r="X14" s="1280">
        <v>0</v>
      </c>
      <c r="Y14" s="1283">
        <f t="shared" si="16"/>
        <v>0</v>
      </c>
      <c r="Z14" s="1283">
        <f t="shared" si="17"/>
        <v>0</v>
      </c>
      <c r="AA14" s="1222">
        <f t="shared" si="18"/>
        <v>0</v>
      </c>
      <c r="AB14" s="1222">
        <f t="shared" si="19"/>
        <v>0</v>
      </c>
      <c r="AC14" s="1280">
        <v>8810.1666187691026</v>
      </c>
      <c r="AD14" s="1280">
        <v>159</v>
      </c>
      <c r="AE14" s="1281">
        <f t="shared" si="20"/>
        <v>8810.1666187691026</v>
      </c>
      <c r="AF14" s="1281">
        <f t="shared" ref="AF14:AF19" si="40">+AB14+AD14</f>
        <v>159</v>
      </c>
      <c r="AG14" s="1280">
        <v>8577.554445773505</v>
      </c>
      <c r="AH14" s="1280"/>
      <c r="AI14" s="1281">
        <f t="shared" si="22"/>
        <v>17387.721064542609</v>
      </c>
      <c r="AJ14" s="1281">
        <f t="shared" si="23"/>
        <v>159</v>
      </c>
      <c r="AK14" s="1280">
        <v>8810.1666187691026</v>
      </c>
      <c r="AL14" s="1280">
        <v>469</v>
      </c>
      <c r="AM14" s="1283">
        <f t="shared" si="24"/>
        <v>26197.88768331171</v>
      </c>
      <c r="AN14" s="1283">
        <f t="shared" si="25"/>
        <v>628</v>
      </c>
      <c r="AO14" s="1281">
        <f t="shared" si="26"/>
        <v>26197.88768331171</v>
      </c>
      <c r="AP14" s="1281">
        <f t="shared" si="27"/>
        <v>628</v>
      </c>
      <c r="AQ14" s="1280">
        <v>8810.1666187691026</v>
      </c>
      <c r="AR14" s="1280">
        <v>1474</v>
      </c>
      <c r="AS14" s="1281">
        <f t="shared" si="28"/>
        <v>35008.054302080811</v>
      </c>
      <c r="AT14" s="1281">
        <f t="shared" si="29"/>
        <v>2102</v>
      </c>
      <c r="AU14" s="1280">
        <v>7990.3542320047982</v>
      </c>
      <c r="AV14" s="1280">
        <v>919</v>
      </c>
      <c r="AW14" s="1281">
        <f t="shared" si="30"/>
        <v>42998.408534085611</v>
      </c>
      <c r="AX14" s="1281">
        <f t="shared" si="31"/>
        <v>3021</v>
      </c>
      <c r="AY14" s="1280">
        <v>8810.1666187691026</v>
      </c>
      <c r="AZ14" s="1280">
        <v>0</v>
      </c>
      <c r="BA14" s="1283">
        <f t="shared" si="32"/>
        <v>25610.687469543001</v>
      </c>
      <c r="BB14" s="1283">
        <f t="shared" si="33"/>
        <v>2393</v>
      </c>
      <c r="BC14" s="1222">
        <f t="shared" si="34"/>
        <v>51808.575152854712</v>
      </c>
      <c r="BD14" s="1222">
        <f t="shared" si="7"/>
        <v>3021</v>
      </c>
      <c r="BE14" s="1281">
        <f t="shared" si="35"/>
        <v>51808.575152854712</v>
      </c>
      <c r="BF14" s="1281">
        <f t="shared" si="36"/>
        <v>3021</v>
      </c>
      <c r="BG14" s="26"/>
      <c r="BH14" s="26"/>
      <c r="BI14" s="26"/>
      <c r="BJ14" s="26"/>
      <c r="BK14" s="26"/>
      <c r="BL14" s="26"/>
      <c r="BM14" s="26"/>
      <c r="BN14" s="26"/>
    </row>
    <row r="15" spans="1:66" ht="15" customHeight="1" x14ac:dyDescent="0.3">
      <c r="B15" s="1279" t="s">
        <v>600</v>
      </c>
      <c r="C15" s="64" t="s">
        <v>50</v>
      </c>
      <c r="D15" s="1201">
        <v>43628.759629219181</v>
      </c>
      <c r="E15" s="1280">
        <v>3721.9143818858424</v>
      </c>
      <c r="F15" s="1280">
        <v>9844</v>
      </c>
      <c r="G15" s="1280">
        <v>3833.7211876599958</v>
      </c>
      <c r="H15" s="1280">
        <v>10116</v>
      </c>
      <c r="I15" s="1281">
        <f t="shared" si="8"/>
        <v>7555.6355695458387</v>
      </c>
      <c r="J15" s="1281">
        <f t="shared" si="9"/>
        <v>19960</v>
      </c>
      <c r="K15" s="1280">
        <v>3721.9143818858424</v>
      </c>
      <c r="L15" s="1280">
        <v>3220</v>
      </c>
      <c r="M15" s="1283">
        <f t="shared" si="10"/>
        <v>11277.549951431682</v>
      </c>
      <c r="N15" s="1283">
        <f t="shared" si="11"/>
        <v>23180</v>
      </c>
      <c r="O15" s="1280">
        <v>3763.8419340511496</v>
      </c>
      <c r="P15" s="1280">
        <v>1289</v>
      </c>
      <c r="Q15" s="1281">
        <f t="shared" si="12"/>
        <v>15041.391885482832</v>
      </c>
      <c r="R15" s="1281">
        <f t="shared" si="13"/>
        <v>24469</v>
      </c>
      <c r="S15" s="1280">
        <v>3763.8419340511496</v>
      </c>
      <c r="T15" s="1280">
        <v>4298</v>
      </c>
      <c r="U15" s="1281">
        <f t="shared" si="14"/>
        <v>18805.23381953398</v>
      </c>
      <c r="V15" s="1281">
        <f t="shared" si="15"/>
        <v>28767</v>
      </c>
      <c r="W15" s="1280">
        <v>2076.61910104769</v>
      </c>
      <c r="X15" s="1280">
        <v>187</v>
      </c>
      <c r="Y15" s="1283">
        <f t="shared" si="16"/>
        <v>9604.3029691499887</v>
      </c>
      <c r="Z15" s="1283">
        <f t="shared" si="17"/>
        <v>5774</v>
      </c>
      <c r="AA15" s="1222">
        <f t="shared" si="18"/>
        <v>20881.85292058167</v>
      </c>
      <c r="AB15" s="1222">
        <f t="shared" si="19"/>
        <v>28954</v>
      </c>
      <c r="AC15" s="1280">
        <v>6045.7704516147351</v>
      </c>
      <c r="AD15" s="1280">
        <v>4046</v>
      </c>
      <c r="AE15" s="1281">
        <f t="shared" si="20"/>
        <v>26927.623372196405</v>
      </c>
      <c r="AF15" s="1281">
        <f t="shared" si="40"/>
        <v>33000</v>
      </c>
      <c r="AG15" s="1280">
        <v>5886.1457971630634</v>
      </c>
      <c r="AH15" s="1280">
        <v>124</v>
      </c>
      <c r="AI15" s="1281">
        <f t="shared" si="22"/>
        <v>32813.769169359468</v>
      </c>
      <c r="AJ15" s="1281">
        <f t="shared" si="23"/>
        <v>33124</v>
      </c>
      <c r="AK15" s="1280">
        <v>6045.7704516147351</v>
      </c>
      <c r="AL15" s="1280">
        <v>806</v>
      </c>
      <c r="AM15" s="1283">
        <f t="shared" si="24"/>
        <v>17977.686700392533</v>
      </c>
      <c r="AN15" s="1283">
        <f t="shared" si="25"/>
        <v>4976</v>
      </c>
      <c r="AO15" s="1281">
        <f t="shared" si="26"/>
        <v>38859.539620974203</v>
      </c>
      <c r="AP15" s="1281">
        <f t="shared" si="27"/>
        <v>33930</v>
      </c>
      <c r="AQ15" s="1280">
        <v>6045.7704516147351</v>
      </c>
      <c r="AR15" s="1280">
        <v>1406</v>
      </c>
      <c r="AS15" s="1281">
        <f t="shared" si="28"/>
        <v>44905.310072588938</v>
      </c>
      <c r="AT15" s="1281">
        <f t="shared" si="29"/>
        <v>35336</v>
      </c>
      <c r="AU15" s="1280">
        <v>5483.1934064532616</v>
      </c>
      <c r="AV15" s="1280">
        <v>10616</v>
      </c>
      <c r="AW15" s="1281">
        <f t="shared" si="30"/>
        <v>50388.5034790422</v>
      </c>
      <c r="AX15" s="1281">
        <f t="shared" si="31"/>
        <v>45952</v>
      </c>
      <c r="AY15" s="1280">
        <v>6045.7704516147351</v>
      </c>
      <c r="AZ15" s="1280">
        <v>14888</v>
      </c>
      <c r="BA15" s="1283">
        <f t="shared" si="32"/>
        <v>17574.734309682732</v>
      </c>
      <c r="BB15" s="1283">
        <f t="shared" si="33"/>
        <v>26910</v>
      </c>
      <c r="BC15" s="1222">
        <f t="shared" si="34"/>
        <v>35552.421010075268</v>
      </c>
      <c r="BD15" s="1222">
        <f t="shared" si="7"/>
        <v>31886</v>
      </c>
      <c r="BE15" s="1281">
        <f t="shared" si="35"/>
        <v>56434.273930656935</v>
      </c>
      <c r="BF15" s="1281">
        <f t="shared" si="36"/>
        <v>60840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3">
      <c r="B16" s="2770" t="s">
        <v>1699</v>
      </c>
      <c r="C16" s="64" t="s">
        <v>50</v>
      </c>
      <c r="D16" s="2647">
        <v>3054.013174045343</v>
      </c>
      <c r="E16" s="2771">
        <v>260.53400673200895</v>
      </c>
      <c r="F16" s="2771">
        <v>333</v>
      </c>
      <c r="G16" s="2771">
        <v>268.36048313619972</v>
      </c>
      <c r="H16" s="2771">
        <v>319</v>
      </c>
      <c r="I16" s="1281">
        <f t="shared" ref="I16" si="41">+E16+G16</f>
        <v>528.89448986820867</v>
      </c>
      <c r="J16" s="1281">
        <f t="shared" ref="J16" si="42">+F16+H16</f>
        <v>652</v>
      </c>
      <c r="K16" s="2771">
        <v>260.53400673200895</v>
      </c>
      <c r="L16" s="2771">
        <v>141</v>
      </c>
      <c r="M16" s="1283">
        <f t="shared" ref="M16" si="43">+K16+G16+E16</f>
        <v>789.42849660021761</v>
      </c>
      <c r="N16" s="1283">
        <f t="shared" ref="N16" si="44">+L16+H16+F16</f>
        <v>793</v>
      </c>
      <c r="O16" s="2771">
        <v>263.46893538358046</v>
      </c>
      <c r="P16" s="2771">
        <v>314</v>
      </c>
      <c r="Q16" s="1281">
        <f t="shared" ref="Q16:Q17" si="45">+M16+O16</f>
        <v>1052.897431983798</v>
      </c>
      <c r="R16" s="1281">
        <f t="shared" ref="R16:R17" si="46">+N16+P16</f>
        <v>1107</v>
      </c>
      <c r="S16" s="2771">
        <v>263.46893538358046</v>
      </c>
      <c r="T16" s="2771">
        <v>82</v>
      </c>
      <c r="U16" s="1281">
        <f t="shared" si="14"/>
        <v>1316.3663673673784</v>
      </c>
      <c r="V16" s="1281">
        <f t="shared" si="15"/>
        <v>1189</v>
      </c>
      <c r="W16" s="2771">
        <v>145.36333707333827</v>
      </c>
      <c r="X16" s="2771">
        <v>0</v>
      </c>
      <c r="Y16" s="1283">
        <f t="shared" ref="Y16:Y17" si="47">+O16+S16+W16</f>
        <v>672.30120784049916</v>
      </c>
      <c r="Z16" s="1283">
        <f t="shared" ref="Z16:Z17" si="48">+P16+T16+X16</f>
        <v>396</v>
      </c>
      <c r="AA16" s="1222">
        <f t="shared" ref="AA16:AA17" si="49">M16+Y16</f>
        <v>1461.7297044407169</v>
      </c>
      <c r="AB16" s="1222">
        <f t="shared" ref="AB16:AB17" si="50">N16+Z16</f>
        <v>1189</v>
      </c>
      <c r="AC16" s="2771">
        <v>0</v>
      </c>
      <c r="AD16" s="2771">
        <v>416</v>
      </c>
      <c r="AE16" s="1281">
        <f t="shared" ref="AE16" si="51">+AA16+AC16</f>
        <v>1461.7297044407169</v>
      </c>
      <c r="AF16" s="1281">
        <f t="shared" ref="AF16" si="52">+AB16+AD16</f>
        <v>1605</v>
      </c>
      <c r="AG16" s="2771">
        <v>0</v>
      </c>
      <c r="AH16" s="2771"/>
      <c r="AI16" s="1281">
        <f t="shared" si="22"/>
        <v>1461.7297044407169</v>
      </c>
      <c r="AJ16" s="1281">
        <f t="shared" si="23"/>
        <v>1605</v>
      </c>
      <c r="AK16" s="2771">
        <v>0</v>
      </c>
      <c r="AL16" s="2771">
        <v>75</v>
      </c>
      <c r="AM16" s="1283">
        <f t="shared" ref="AM16" si="53">+AC16+AG16+AK16</f>
        <v>0</v>
      </c>
      <c r="AN16" s="1283">
        <f t="shared" ref="AN16" si="54">+AD16+AH16+AL16</f>
        <v>491</v>
      </c>
      <c r="AO16" s="1281">
        <f t="shared" ref="AO16" si="55">AI16+AK16</f>
        <v>1461.7297044407169</v>
      </c>
      <c r="AP16" s="1281">
        <f t="shared" ref="AP16" si="56">AJ16+AL16</f>
        <v>1680</v>
      </c>
      <c r="AQ16" s="2771">
        <v>0</v>
      </c>
      <c r="AR16" s="2771">
        <v>504</v>
      </c>
      <c r="AS16" s="1281">
        <f t="shared" ref="AS16" si="57">+AO16+AQ16</f>
        <v>1461.7297044407169</v>
      </c>
      <c r="AT16" s="1281">
        <f t="shared" ref="AT16" si="58">+AP16+AR16</f>
        <v>2184</v>
      </c>
      <c r="AU16" s="2771">
        <v>0</v>
      </c>
      <c r="AV16" s="2771">
        <v>360</v>
      </c>
      <c r="AW16" s="1281">
        <f t="shared" si="30"/>
        <v>1461.7297044407169</v>
      </c>
      <c r="AX16" s="1281">
        <f t="shared" si="31"/>
        <v>2544</v>
      </c>
      <c r="AY16" s="2771">
        <v>0</v>
      </c>
      <c r="AZ16" s="2771">
        <v>382</v>
      </c>
      <c r="BA16" s="1283">
        <f t="shared" ref="BA16" si="59">+AQ16+AU16+AY16</f>
        <v>0</v>
      </c>
      <c r="BB16" s="1283">
        <f t="shared" ref="BB16" si="60">+AR16+AV16+AZ16</f>
        <v>1246</v>
      </c>
      <c r="BC16" s="1222">
        <f t="shared" ref="BC16" si="61">AM16+BA16</f>
        <v>0</v>
      </c>
      <c r="BD16" s="1222">
        <f t="shared" ref="BD16" si="62">AN16+BB16</f>
        <v>1737</v>
      </c>
      <c r="BE16" s="1281">
        <f t="shared" ref="BE16" si="63">+AW16+AY16</f>
        <v>1461.7297044407169</v>
      </c>
      <c r="BF16" s="1281">
        <f t="shared" ref="BF16" si="64">+AX16+AZ16</f>
        <v>2926</v>
      </c>
      <c r="BG16" s="26"/>
      <c r="BH16" s="26"/>
      <c r="BI16" s="26"/>
      <c r="BJ16" s="26"/>
      <c r="BK16" s="26"/>
      <c r="BL16" s="26"/>
      <c r="BM16" s="26"/>
      <c r="BN16" s="26"/>
    </row>
    <row r="17" spans="2:66" ht="15" customHeight="1" x14ac:dyDescent="0.3">
      <c r="B17" s="5383" t="s">
        <v>2246</v>
      </c>
      <c r="C17" s="5384" t="s">
        <v>50</v>
      </c>
      <c r="D17" s="5385"/>
      <c r="E17" s="5386">
        <v>0</v>
      </c>
      <c r="F17" s="5386"/>
      <c r="G17" s="5386">
        <v>0</v>
      </c>
      <c r="H17" s="5386">
        <v>1720</v>
      </c>
      <c r="I17" s="1281">
        <f t="shared" ref="I17" si="65">+E17+G17</f>
        <v>0</v>
      </c>
      <c r="J17" s="1281">
        <f t="shared" ref="J17" si="66">+F17+H17</f>
        <v>1720</v>
      </c>
      <c r="K17" s="5386">
        <v>0</v>
      </c>
      <c r="L17" s="5386">
        <v>0</v>
      </c>
      <c r="M17" s="1283">
        <f t="shared" ref="M17:M18" si="67">+K17+G17+E17</f>
        <v>0</v>
      </c>
      <c r="N17" s="1283">
        <f t="shared" ref="N17:N18" si="68">+L17+H17+F17</f>
        <v>1720</v>
      </c>
      <c r="O17" s="5386">
        <v>0</v>
      </c>
      <c r="P17" s="5386"/>
      <c r="Q17" s="1281">
        <f t="shared" si="45"/>
        <v>0</v>
      </c>
      <c r="R17" s="1281">
        <f t="shared" si="46"/>
        <v>1720</v>
      </c>
      <c r="S17" s="5386">
        <v>0</v>
      </c>
      <c r="T17" s="5386">
        <v>0</v>
      </c>
      <c r="U17" s="1281">
        <f t="shared" ref="U17" si="69">+Q17+S17</f>
        <v>0</v>
      </c>
      <c r="V17" s="1281">
        <f t="shared" ref="V17" si="70">+R17+T17</f>
        <v>1720</v>
      </c>
      <c r="W17" s="5386">
        <v>0</v>
      </c>
      <c r="X17" s="5386">
        <v>0</v>
      </c>
      <c r="Y17" s="5388">
        <f t="shared" si="47"/>
        <v>0</v>
      </c>
      <c r="Z17" s="1283">
        <f t="shared" si="48"/>
        <v>0</v>
      </c>
      <c r="AA17" s="5389">
        <f t="shared" si="49"/>
        <v>0</v>
      </c>
      <c r="AB17" s="1222">
        <f t="shared" si="50"/>
        <v>1720</v>
      </c>
      <c r="AC17" s="5386"/>
      <c r="AD17" s="5386"/>
      <c r="AE17" s="5387"/>
      <c r="AF17" s="5387"/>
      <c r="AG17" s="5386"/>
      <c r="AH17" s="5386"/>
      <c r="AI17" s="5387"/>
      <c r="AJ17" s="5387"/>
      <c r="AK17" s="5386"/>
      <c r="AL17" s="5386"/>
      <c r="AM17" s="5388"/>
      <c r="AN17" s="5388"/>
      <c r="AO17" s="5387"/>
      <c r="AP17" s="5387"/>
      <c r="AQ17" s="5386"/>
      <c r="AR17" s="5386"/>
      <c r="AS17" s="5387"/>
      <c r="AT17" s="5387"/>
      <c r="AU17" s="5386"/>
      <c r="AV17" s="5386"/>
      <c r="AW17" s="5387"/>
      <c r="AX17" s="5387"/>
      <c r="AY17" s="5386"/>
      <c r="AZ17" s="5386"/>
      <c r="BA17" s="5388"/>
      <c r="BB17" s="5388"/>
      <c r="BC17" s="5389"/>
      <c r="BD17" s="5389"/>
      <c r="BE17" s="5387"/>
      <c r="BF17" s="5387"/>
      <c r="BG17" s="26"/>
      <c r="BH17" s="26"/>
      <c r="BI17" s="26"/>
      <c r="BJ17" s="26"/>
      <c r="BK17" s="26"/>
      <c r="BL17" s="26"/>
      <c r="BM17" s="26"/>
      <c r="BN17" s="26"/>
    </row>
    <row r="18" spans="2:66" ht="15.95" customHeight="1" x14ac:dyDescent="0.3">
      <c r="B18" s="1279" t="s">
        <v>98</v>
      </c>
      <c r="C18" s="64" t="s">
        <v>50</v>
      </c>
      <c r="D18" s="1201">
        <v>742117.67332594562</v>
      </c>
      <c r="E18" s="1280">
        <v>63394.45887394523</v>
      </c>
      <c r="F18" s="1280">
        <v>60100</v>
      </c>
      <c r="G18" s="1280">
        <v>65406.981377879973</v>
      </c>
      <c r="H18" s="1280">
        <v>65634</v>
      </c>
      <c r="I18" s="1281">
        <f t="shared" si="8"/>
        <v>128801.4402518252</v>
      </c>
      <c r="J18" s="1281">
        <f t="shared" si="9"/>
        <v>125734</v>
      </c>
      <c r="K18" s="1280">
        <v>63394.45887394523</v>
      </c>
      <c r="L18" s="1280">
        <v>73482</v>
      </c>
      <c r="M18" s="1283">
        <f t="shared" si="67"/>
        <v>192195.89912577043</v>
      </c>
      <c r="N18" s="1283">
        <f t="shared" si="68"/>
        <v>199216</v>
      </c>
      <c r="O18" s="1280">
        <v>64149.154812920722</v>
      </c>
      <c r="P18" s="1280">
        <v>79493</v>
      </c>
      <c r="Q18" s="1281">
        <f t="shared" ref="Q18" si="71">+M18+O18</f>
        <v>256345.05393869116</v>
      </c>
      <c r="R18" s="1281">
        <f t="shared" ref="R18" si="72">+N18+P18</f>
        <v>278709</v>
      </c>
      <c r="S18" s="1280">
        <v>64149.154812920722</v>
      </c>
      <c r="T18" s="1280">
        <v>76578</v>
      </c>
      <c r="U18" s="1281">
        <f t="shared" si="14"/>
        <v>320494.20875161188</v>
      </c>
      <c r="V18" s="1281">
        <f t="shared" si="15"/>
        <v>355287</v>
      </c>
      <c r="W18" s="1280">
        <v>35219.143818858458</v>
      </c>
      <c r="X18" s="1280">
        <v>75174</v>
      </c>
      <c r="Y18" s="1283">
        <f t="shared" si="16"/>
        <v>163517.4534446999</v>
      </c>
      <c r="Z18" s="1283">
        <f t="shared" si="17"/>
        <v>231245</v>
      </c>
      <c r="AA18" s="1222">
        <f t="shared" si="18"/>
        <v>355713.35257047031</v>
      </c>
      <c r="AB18" s="1222">
        <f t="shared" si="19"/>
        <v>430461</v>
      </c>
      <c r="AC18" s="1280">
        <v>67158.731784967007</v>
      </c>
      <c r="AD18" s="1280">
        <v>71269</v>
      </c>
      <c r="AE18" s="1281">
        <f t="shared" si="20"/>
        <v>422872.08435543731</v>
      </c>
      <c r="AF18" s="1281">
        <f t="shared" si="40"/>
        <v>501730</v>
      </c>
      <c r="AG18" s="1280">
        <v>65009.652367848088</v>
      </c>
      <c r="AH18" s="1280">
        <v>4102</v>
      </c>
      <c r="AI18" s="1281">
        <f t="shared" si="22"/>
        <v>487881.7367232854</v>
      </c>
      <c r="AJ18" s="1281">
        <f t="shared" si="23"/>
        <v>505832</v>
      </c>
      <c r="AK18" s="1280">
        <v>67158.731784967007</v>
      </c>
      <c r="AL18" s="1280">
        <v>67183</v>
      </c>
      <c r="AM18" s="1283">
        <f t="shared" si="24"/>
        <v>199327.1159377821</v>
      </c>
      <c r="AN18" s="1283">
        <f t="shared" si="25"/>
        <v>142554</v>
      </c>
      <c r="AO18" s="1281">
        <f t="shared" si="26"/>
        <v>555040.46850825241</v>
      </c>
      <c r="AP18" s="1281">
        <f t="shared" si="27"/>
        <v>573015</v>
      </c>
      <c r="AQ18" s="1280">
        <v>67158.731784967007</v>
      </c>
      <c r="AR18" s="1280">
        <v>68238</v>
      </c>
      <c r="AS18" s="1281">
        <f t="shared" si="28"/>
        <v>622199.20029321942</v>
      </c>
      <c r="AT18" s="1281">
        <f t="shared" si="29"/>
        <v>641253</v>
      </c>
      <c r="AU18" s="1280">
        <v>60442.858606470341</v>
      </c>
      <c r="AV18" s="1280">
        <v>70009</v>
      </c>
      <c r="AW18" s="1281">
        <f t="shared" si="30"/>
        <v>682642.0588996897</v>
      </c>
      <c r="AX18" s="1281">
        <f t="shared" si="31"/>
        <v>711262</v>
      </c>
      <c r="AY18" s="1280">
        <v>67158.731784967007</v>
      </c>
      <c r="AZ18" s="1280">
        <v>82760</v>
      </c>
      <c r="BA18" s="1283">
        <f t="shared" si="32"/>
        <v>194760.32217640436</v>
      </c>
      <c r="BB18" s="1283">
        <f t="shared" si="33"/>
        <v>221007</v>
      </c>
      <c r="BC18" s="1222">
        <f t="shared" si="34"/>
        <v>394087.43811418646</v>
      </c>
      <c r="BD18" s="1222">
        <f t="shared" si="7"/>
        <v>363561</v>
      </c>
      <c r="BE18" s="1281">
        <f t="shared" si="35"/>
        <v>749800.79068465671</v>
      </c>
      <c r="BF18" s="1281">
        <f t="shared" si="36"/>
        <v>794022</v>
      </c>
      <c r="BG18" s="26"/>
      <c r="BH18" s="26"/>
      <c r="BI18" s="26"/>
      <c r="BJ18" s="26"/>
      <c r="BK18" s="26"/>
      <c r="BL18" s="26"/>
      <c r="BM18" s="26"/>
      <c r="BN18" s="26"/>
    </row>
    <row r="19" spans="2:66" ht="15.95" customHeight="1" x14ac:dyDescent="0.3">
      <c r="B19" s="1279" t="s">
        <v>1323</v>
      </c>
      <c r="C19" s="64" t="s">
        <v>50</v>
      </c>
      <c r="D19" s="1201">
        <v>12373.714108690103</v>
      </c>
      <c r="E19" s="1280">
        <v>1057.0236844555791</v>
      </c>
      <c r="F19" s="1280">
        <v>612</v>
      </c>
      <c r="G19" s="1280">
        <v>1090.5988309179249</v>
      </c>
      <c r="H19" s="1280">
        <v>1308</v>
      </c>
      <c r="I19" s="1281">
        <f t="shared" si="8"/>
        <v>2147.622515373504</v>
      </c>
      <c r="J19" s="1281">
        <f t="shared" si="9"/>
        <v>1920</v>
      </c>
      <c r="K19" s="1280">
        <v>1057.0236844555791</v>
      </c>
      <c r="L19" s="1280">
        <v>909</v>
      </c>
      <c r="M19" s="1283">
        <f t="shared" si="10"/>
        <v>3204.6461998290833</v>
      </c>
      <c r="N19" s="1283">
        <f t="shared" si="11"/>
        <v>2829</v>
      </c>
      <c r="O19" s="1280">
        <v>1069.6143643789533</v>
      </c>
      <c r="P19" s="1280">
        <v>876</v>
      </c>
      <c r="Q19" s="1281">
        <f t="shared" si="12"/>
        <v>4274.2605642080362</v>
      </c>
      <c r="R19" s="1281">
        <f t="shared" si="13"/>
        <v>3705</v>
      </c>
      <c r="S19" s="1280">
        <v>1069.6143643789533</v>
      </c>
      <c r="T19" s="1280">
        <v>933</v>
      </c>
      <c r="U19" s="1281">
        <f t="shared" si="14"/>
        <v>5343.874928586989</v>
      </c>
      <c r="V19" s="1281">
        <f t="shared" si="15"/>
        <v>4638</v>
      </c>
      <c r="W19" s="1280">
        <v>587.20900562605334</v>
      </c>
      <c r="X19" s="1280">
        <v>787</v>
      </c>
      <c r="Y19" s="1283">
        <f t="shared" si="16"/>
        <v>2726.4377343839597</v>
      </c>
      <c r="Z19" s="1283">
        <f t="shared" si="17"/>
        <v>2596</v>
      </c>
      <c r="AA19" s="1222">
        <f t="shared" si="18"/>
        <v>5931.083934213043</v>
      </c>
      <c r="AB19" s="1222">
        <f t="shared" si="19"/>
        <v>5425</v>
      </c>
      <c r="AC19" s="1280">
        <v>987.47584043040672</v>
      </c>
      <c r="AD19" s="1280">
        <v>837</v>
      </c>
      <c r="AE19" s="1281">
        <f t="shared" si="20"/>
        <v>6918.5597746434496</v>
      </c>
      <c r="AF19" s="1281">
        <f t="shared" si="40"/>
        <v>6262</v>
      </c>
      <c r="AG19" s="1280">
        <v>961.40381353663372</v>
      </c>
      <c r="AH19" s="1280">
        <v>173</v>
      </c>
      <c r="AI19" s="1281">
        <f t="shared" si="22"/>
        <v>7879.9635881800832</v>
      </c>
      <c r="AJ19" s="1281">
        <f t="shared" si="23"/>
        <v>6435</v>
      </c>
      <c r="AK19" s="1280">
        <v>987.47584043040672</v>
      </c>
      <c r="AL19" s="1280">
        <v>1050</v>
      </c>
      <c r="AM19" s="1283">
        <f t="shared" si="24"/>
        <v>2936.3554943974473</v>
      </c>
      <c r="AN19" s="1283">
        <f t="shared" si="25"/>
        <v>2060</v>
      </c>
      <c r="AO19" s="1281">
        <f t="shared" si="26"/>
        <v>8867.4394286104907</v>
      </c>
      <c r="AP19" s="1281">
        <f t="shared" si="27"/>
        <v>7485</v>
      </c>
      <c r="AQ19" s="1280">
        <v>987.47584043040672</v>
      </c>
      <c r="AR19" s="1280">
        <v>1321</v>
      </c>
      <c r="AS19" s="1281">
        <f t="shared" si="28"/>
        <v>9854.9152690408973</v>
      </c>
      <c r="AT19" s="1281">
        <f t="shared" si="29"/>
        <v>8806</v>
      </c>
      <c r="AU19" s="1280">
        <v>895.58825638736596</v>
      </c>
      <c r="AV19" s="1280">
        <v>993</v>
      </c>
      <c r="AW19" s="1281">
        <f t="shared" si="30"/>
        <v>10750.503525428263</v>
      </c>
      <c r="AX19" s="1281">
        <f t="shared" si="31"/>
        <v>9799</v>
      </c>
      <c r="AY19" s="1280">
        <v>987.47584043040672</v>
      </c>
      <c r="AZ19" s="1280">
        <v>1505</v>
      </c>
      <c r="BA19" s="1283">
        <f t="shared" si="32"/>
        <v>2870.5399372481793</v>
      </c>
      <c r="BB19" s="1283">
        <f t="shared" si="33"/>
        <v>3819</v>
      </c>
      <c r="BC19" s="1222">
        <f t="shared" si="34"/>
        <v>5806.8954316456266</v>
      </c>
      <c r="BD19" s="1222">
        <f t="shared" si="7"/>
        <v>5879</v>
      </c>
      <c r="BE19" s="1281">
        <f t="shared" si="35"/>
        <v>11737.97936585867</v>
      </c>
      <c r="BF19" s="1281">
        <f t="shared" si="36"/>
        <v>11304</v>
      </c>
      <c r="BG19" s="26"/>
      <c r="BH19" s="26"/>
      <c r="BI19" s="26"/>
      <c r="BJ19" s="26"/>
      <c r="BK19" s="26"/>
      <c r="BL19" s="26"/>
      <c r="BM19" s="26"/>
      <c r="BN19" s="26"/>
    </row>
    <row r="20" spans="2:66" ht="15.6" x14ac:dyDescent="0.3">
      <c r="B20" s="1285" t="s">
        <v>21</v>
      </c>
      <c r="C20" s="1286" t="s">
        <v>50</v>
      </c>
      <c r="D20" s="200">
        <f>SUM(D6:D19)</f>
        <v>5138126.439880915</v>
      </c>
      <c r="E20" s="200">
        <f t="shared" ref="E20:AD20" si="73">SUM(E6:E19)</f>
        <v>438413.85245607345</v>
      </c>
      <c r="F20" s="200">
        <f t="shared" si="73"/>
        <v>394521</v>
      </c>
      <c r="G20" s="200">
        <f t="shared" ref="G20:H20" si="74">SUM(G6:G19)</f>
        <v>451693.82970925875</v>
      </c>
      <c r="H20" s="200">
        <f t="shared" si="74"/>
        <v>431004</v>
      </c>
      <c r="I20" s="200">
        <f t="shared" si="73"/>
        <v>890107.68216533202</v>
      </c>
      <c r="J20" s="200">
        <f t="shared" si="73"/>
        <v>825525</v>
      </c>
      <c r="K20" s="200">
        <f t="shared" si="73"/>
        <v>438413.85245607345</v>
      </c>
      <c r="L20" s="200">
        <f t="shared" si="73"/>
        <v>441470</v>
      </c>
      <c r="M20" s="1502">
        <f t="shared" si="73"/>
        <v>1328521.5346214054</v>
      </c>
      <c r="N20" s="1502">
        <f t="shared" si="73"/>
        <v>1266995</v>
      </c>
      <c r="O20" s="200">
        <f t="shared" ref="O20:P20" si="75">SUM(O6:O19)</f>
        <v>443393.84392601775</v>
      </c>
      <c r="P20" s="200">
        <f t="shared" si="75"/>
        <v>470214</v>
      </c>
      <c r="Q20" s="200">
        <f t="shared" si="73"/>
        <v>1771915.3785474235</v>
      </c>
      <c r="R20" s="200">
        <f t="shared" si="73"/>
        <v>1737209</v>
      </c>
      <c r="S20" s="200">
        <f t="shared" si="73"/>
        <v>443393.84392601775</v>
      </c>
      <c r="T20" s="200">
        <f t="shared" si="73"/>
        <v>459402</v>
      </c>
      <c r="U20" s="200">
        <f t="shared" ref="U20:X20" si="76">SUM(U6:U19)</f>
        <v>2215309.2224734412</v>
      </c>
      <c r="V20" s="200">
        <f t="shared" si="76"/>
        <v>2196611</v>
      </c>
      <c r="W20" s="200">
        <f t="shared" si="76"/>
        <v>244456.34331918461</v>
      </c>
      <c r="X20" s="200">
        <f t="shared" si="76"/>
        <v>440293</v>
      </c>
      <c r="Y20" s="200">
        <f t="shared" si="73"/>
        <v>1131244.0311712201</v>
      </c>
      <c r="Z20" s="200">
        <f t="shared" si="73"/>
        <v>1369909</v>
      </c>
      <c r="AA20" s="200">
        <f t="shared" si="73"/>
        <v>2459765.5657926262</v>
      </c>
      <c r="AB20" s="200">
        <f t="shared" si="73"/>
        <v>2636904</v>
      </c>
      <c r="AC20" s="200">
        <f t="shared" si="73"/>
        <v>486254.06130773108</v>
      </c>
      <c r="AD20" s="200">
        <f t="shared" si="73"/>
        <v>446586</v>
      </c>
      <c r="AE20" s="200">
        <f t="shared" ref="AE20:AH20" si="77">SUM(AE6:AE19)</f>
        <v>2946019.6271003564</v>
      </c>
      <c r="AF20" s="200">
        <f t="shared" si="77"/>
        <v>3081770</v>
      </c>
      <c r="AG20" s="200">
        <f t="shared" si="77"/>
        <v>473039.7342612528</v>
      </c>
      <c r="AH20" s="200">
        <f t="shared" si="77"/>
        <v>27818</v>
      </c>
      <c r="AI20" s="200">
        <f t="shared" ref="AI20:AL20" si="78">SUM(AI6:AI19)</f>
        <v>3419059.3613616098</v>
      </c>
      <c r="AJ20" s="200">
        <f t="shared" si="78"/>
        <v>3109588</v>
      </c>
      <c r="AK20" s="200">
        <f t="shared" si="78"/>
        <v>486254.06130773108</v>
      </c>
      <c r="AL20" s="200">
        <f t="shared" si="78"/>
        <v>433115.14</v>
      </c>
      <c r="AM20" s="200">
        <f t="shared" ref="AM20:AN20" si="79">SUM(AM6:AM19)</f>
        <v>1445547.8568767149</v>
      </c>
      <c r="AN20" s="200">
        <f t="shared" si="79"/>
        <v>907519.14</v>
      </c>
      <c r="AO20" s="200">
        <f t="shared" ref="AO20:AT20" si="80">SUM(AO6:AO19)</f>
        <v>3905313.4226693409</v>
      </c>
      <c r="AP20" s="200">
        <f t="shared" si="80"/>
        <v>3542703.14</v>
      </c>
      <c r="AQ20" s="200">
        <f t="shared" si="80"/>
        <v>486254.06130773108</v>
      </c>
      <c r="AR20" s="200">
        <f t="shared" si="80"/>
        <v>441913</v>
      </c>
      <c r="AS20" s="200">
        <f t="shared" si="80"/>
        <v>4391567.483977071</v>
      </c>
      <c r="AT20" s="200">
        <f t="shared" si="80"/>
        <v>3984616.14</v>
      </c>
      <c r="AU20" s="200">
        <f t="shared" ref="AU20:AX20" si="81">SUM(AU6:AU19)</f>
        <v>440540.11269603309</v>
      </c>
      <c r="AV20" s="200">
        <f t="shared" si="81"/>
        <v>418078</v>
      </c>
      <c r="AW20" s="200">
        <f t="shared" si="81"/>
        <v>4832107.5966731049</v>
      </c>
      <c r="AX20" s="200">
        <f t="shared" si="81"/>
        <v>4402694.1400000006</v>
      </c>
      <c r="AY20" s="200">
        <f t="shared" ref="AY20:AZ20" si="82">SUM(AY6:AY19)</f>
        <v>486254.06130773108</v>
      </c>
      <c r="AZ20" s="200">
        <f t="shared" si="82"/>
        <v>504215</v>
      </c>
      <c r="BA20" s="200">
        <f t="shared" ref="BA20:BF20" si="83">SUM(BA6:BA19)</f>
        <v>1413048.2353114949</v>
      </c>
      <c r="BB20" s="200">
        <f t="shared" si="83"/>
        <v>1364206</v>
      </c>
      <c r="BC20" s="200">
        <f t="shared" si="83"/>
        <v>2858596.0921882098</v>
      </c>
      <c r="BD20" s="200">
        <f t="shared" si="83"/>
        <v>2271725.14</v>
      </c>
      <c r="BE20" s="200">
        <f t="shared" si="83"/>
        <v>5318361.657980836</v>
      </c>
      <c r="BF20" s="200">
        <f t="shared" si="83"/>
        <v>4906909.1400000006</v>
      </c>
      <c r="BG20" s="26"/>
      <c r="BH20" s="26"/>
      <c r="BI20" s="26"/>
      <c r="BJ20" s="26"/>
      <c r="BK20" s="26"/>
      <c r="BL20" s="26"/>
      <c r="BM20" s="26"/>
      <c r="BN20" s="26"/>
    </row>
    <row r="21" spans="2:66" ht="17.45" x14ac:dyDescent="0.3">
      <c r="B21" s="1278" t="s">
        <v>936</v>
      </c>
      <c r="C21" s="1278"/>
      <c r="D21" s="4686"/>
      <c r="E21" s="1278"/>
      <c r="F21" s="1278"/>
      <c r="G21" s="1278"/>
      <c r="H21" s="1278"/>
      <c r="I21" s="1278"/>
      <c r="J21" s="1278"/>
      <c r="K21" s="1278"/>
      <c r="L21" s="1278"/>
      <c r="M21" s="2452"/>
      <c r="N21" s="1278"/>
      <c r="O21" s="1278"/>
      <c r="P21" s="1278"/>
      <c r="Q21" s="1278"/>
      <c r="R21" s="1278"/>
      <c r="S21" s="1278"/>
      <c r="T21" s="1278"/>
      <c r="U21" s="1278"/>
      <c r="V21" s="1278"/>
      <c r="W21" s="1278"/>
      <c r="X21" s="1278"/>
      <c r="Y21" s="1278"/>
      <c r="Z21" s="1278"/>
      <c r="AA21" s="1278"/>
      <c r="AB21" s="1278"/>
      <c r="AC21" s="1278"/>
      <c r="AD21" s="1278"/>
      <c r="AE21" s="1278"/>
      <c r="AF21" s="1278"/>
      <c r="AG21" s="1278"/>
      <c r="AH21" s="1278"/>
      <c r="AI21" s="1278"/>
      <c r="AJ21" s="1278"/>
      <c r="AK21" s="1278"/>
      <c r="AL21" s="1278"/>
      <c r="AM21" s="1278"/>
      <c r="AN21" s="1278"/>
      <c r="AO21" s="1278"/>
      <c r="AP21" s="1278"/>
      <c r="AQ21" s="1278"/>
      <c r="AR21" s="1278"/>
      <c r="AS21" s="1278"/>
      <c r="AT21" s="1278"/>
      <c r="AU21" s="1278"/>
      <c r="AV21" s="1278"/>
      <c r="AW21" s="1278"/>
      <c r="AX21" s="1278"/>
      <c r="AY21" s="1278"/>
      <c r="AZ21" s="1278"/>
      <c r="BA21" s="1278"/>
      <c r="BB21" s="1278"/>
      <c r="BC21" s="1278"/>
      <c r="BD21" s="1278"/>
      <c r="BE21" s="1278"/>
      <c r="BF21" s="1278"/>
      <c r="BG21" s="26"/>
      <c r="BH21" s="26"/>
      <c r="BI21" s="26"/>
      <c r="BJ21" s="26"/>
      <c r="BK21" s="26"/>
      <c r="BL21" s="26"/>
      <c r="BM21" s="26"/>
      <c r="BN21" s="26"/>
    </row>
    <row r="22" spans="2:66" ht="14.45" x14ac:dyDescent="0.3">
      <c r="B22" s="1279" t="s">
        <v>37</v>
      </c>
      <c r="C22" s="64" t="s">
        <v>219</v>
      </c>
      <c r="D22" s="1134">
        <f t="shared" ref="D22:F28" si="84">+D6/D$65*1000</f>
        <v>783.91225705888928</v>
      </c>
      <c r="E22" s="1134">
        <f t="shared" si="84"/>
        <v>783.9122570588894</v>
      </c>
      <c r="F22" s="1280">
        <f t="shared" si="84"/>
        <v>785.44262498834792</v>
      </c>
      <c r="G22" s="1134">
        <f t="shared" ref="G22:H22" si="85">+G6/G$65*1000</f>
        <v>783.91225705888951</v>
      </c>
      <c r="H22" s="1280">
        <f t="shared" si="85"/>
        <v>786.06609514052673</v>
      </c>
      <c r="I22" s="1281">
        <f>+I6/I$65*1000</f>
        <v>783.9122570588894</v>
      </c>
      <c r="J22" s="1281">
        <f>+J6/J$65*1000</f>
        <v>785.76977150823473</v>
      </c>
      <c r="K22" s="1134">
        <f t="shared" ref="K22:L22" si="86">+K6/K$65*1000</f>
        <v>783.9122570588894</v>
      </c>
      <c r="L22" s="1280">
        <f t="shared" si="86"/>
        <v>783.21117058313894</v>
      </c>
      <c r="M22" s="1283">
        <f>+$D$22</f>
        <v>783.91225705888928</v>
      </c>
      <c r="N22" s="1283">
        <f t="shared" ref="N22:P31" si="87">+N6/N$65*1000</f>
        <v>784.85584909959084</v>
      </c>
      <c r="O22" s="1134">
        <f t="shared" si="87"/>
        <v>783.9122570588894</v>
      </c>
      <c r="P22" s="1280">
        <f t="shared" si="87"/>
        <v>783.52095688008853</v>
      </c>
      <c r="Q22" s="1281">
        <f>+$D$22</f>
        <v>783.91225705888928</v>
      </c>
      <c r="R22" s="1281">
        <f t="shared" ref="R22:T29" si="88">+R6/R$65*1000</f>
        <v>784.48982685324893</v>
      </c>
      <c r="S22" s="1134">
        <f t="shared" si="88"/>
        <v>783.9122570588894</v>
      </c>
      <c r="T22" s="1280">
        <f t="shared" si="88"/>
        <v>782.91607838634161</v>
      </c>
      <c r="U22" s="1281">
        <f>+$D$22</f>
        <v>783.91225705888928</v>
      </c>
      <c r="V22" s="1281">
        <f t="shared" ref="V22:X22" si="89">+V6/V$65*1000</f>
        <v>784.16112079862671</v>
      </c>
      <c r="W22" s="1134">
        <f t="shared" si="89"/>
        <v>783.9122570588894</v>
      </c>
      <c r="X22" s="1280">
        <f t="shared" si="89"/>
        <v>782.30127219945359</v>
      </c>
      <c r="Y22" s="1283">
        <f>+$D$22</f>
        <v>783.91225705888928</v>
      </c>
      <c r="Z22" s="1283">
        <f t="shared" ref="Z22:AA35" si="90">+Z6/Z$65*1000</f>
        <v>782.92498721800678</v>
      </c>
      <c r="AA22" s="1222">
        <f>+$D$22</f>
        <v>783.91225705888928</v>
      </c>
      <c r="AB22" s="1222">
        <f t="shared" ref="AB22:AD35" si="91">+AB6/AB$65*1000</f>
        <v>783.84562218551935</v>
      </c>
      <c r="AC22" s="1134">
        <f t="shared" si="91"/>
        <v>779.40144546743261</v>
      </c>
      <c r="AD22" s="1280">
        <f t="shared" si="91"/>
        <v>786.35240856414123</v>
      </c>
      <c r="AE22" s="1281">
        <f>+$D$22</f>
        <v>783.91225705888928</v>
      </c>
      <c r="AF22" s="1281">
        <f>+AF6/AF$65*1000</f>
        <v>784.20759123069945</v>
      </c>
      <c r="AG22" s="1134">
        <f t="shared" ref="AG22:AH22" si="92">+AG6/AG$65*1000</f>
        <v>779.40144546743261</v>
      </c>
      <c r="AH22" s="1280">
        <f t="shared" si="92"/>
        <v>786.00401524152903</v>
      </c>
      <c r="AI22" s="1281">
        <f>+$D$22</f>
        <v>783.91225705888928</v>
      </c>
      <c r="AJ22" s="1281">
        <f>+AJ6/AJ$65*1000</f>
        <v>784.22441213582306</v>
      </c>
      <c r="AK22" s="1134">
        <f t="shared" ref="AK22:AL22" si="93">+AK6/AK$65*1000</f>
        <v>779.40144546743261</v>
      </c>
      <c r="AL22" s="1280">
        <f t="shared" si="93"/>
        <v>785</v>
      </c>
      <c r="AM22" s="1283">
        <f>+$D$22</f>
        <v>783.91225705888928</v>
      </c>
      <c r="AN22" s="1283">
        <f t="shared" ref="AN22:AN35" si="94">+AN6/AN$65*1000</f>
        <v>785.69677466963947</v>
      </c>
      <c r="AO22" s="1281">
        <f>+$D$22</f>
        <v>783.91225705888928</v>
      </c>
      <c r="AP22" s="1281">
        <f t="shared" ref="AP22:AR35" si="95">+AP6/AP$65*1000</f>
        <v>784.31889888858609</v>
      </c>
      <c r="AQ22" s="1134">
        <f t="shared" si="95"/>
        <v>779.40144546743261</v>
      </c>
      <c r="AR22" s="1280">
        <f t="shared" si="95"/>
        <v>787.86188219363578</v>
      </c>
      <c r="AS22" s="1281">
        <f>+$D$22</f>
        <v>783.91225705888928</v>
      </c>
      <c r="AT22" s="1281">
        <f t="shared" ref="AT22:AV35" si="96">+AT6/AT$65*1000</f>
        <v>784.710888639264</v>
      </c>
      <c r="AU22" s="1134">
        <f t="shared" si="96"/>
        <v>779.40144546743272</v>
      </c>
      <c r="AV22" s="1280">
        <f t="shared" si="96"/>
        <v>789.55267022677435</v>
      </c>
      <c r="AW22" s="1281">
        <f>+$D$22</f>
        <v>783.91225705888928</v>
      </c>
      <c r="AX22" s="1281">
        <f t="shared" ref="AX22:AZ22" si="97">+AX6/AX$65*1000</f>
        <v>785.16152121632092</v>
      </c>
      <c r="AY22" s="1134">
        <f t="shared" si="97"/>
        <v>779.40144546743261</v>
      </c>
      <c r="AZ22" s="1280">
        <f t="shared" si="97"/>
        <v>786.37139651724306</v>
      </c>
      <c r="BA22" s="1283">
        <f>+$D$22</f>
        <v>783.91225705888928</v>
      </c>
      <c r="BB22" s="1283">
        <f t="shared" ref="BB22:BB35" si="98">+BB6/BB$65*1000</f>
        <v>787.83332397311744</v>
      </c>
      <c r="BC22" s="1222">
        <f>+$D$22</f>
        <v>783.91225705888928</v>
      </c>
      <c r="BD22" s="1222">
        <f t="shared" ref="BD22" si="99">+BD6/BD$65*1000</f>
        <v>786.97119114427733</v>
      </c>
      <c r="BE22" s="1281">
        <f>+$D$22</f>
        <v>783.91225705888928</v>
      </c>
      <c r="BF22" s="1281">
        <f t="shared" ref="BF22:BF35" si="100">+BF6/BF$65*1000</f>
        <v>785.28281136536464</v>
      </c>
      <c r="BG22" s="26"/>
      <c r="BH22" s="26"/>
      <c r="BI22" s="26"/>
      <c r="BJ22" s="26"/>
      <c r="BK22" s="26"/>
      <c r="BL22" s="26"/>
      <c r="BM22" s="26"/>
      <c r="BN22" s="26"/>
    </row>
    <row r="23" spans="2:66" ht="14.45" x14ac:dyDescent="0.3">
      <c r="B23" s="1279" t="s">
        <v>38</v>
      </c>
      <c r="C23" s="64" t="s">
        <v>219</v>
      </c>
      <c r="D23" s="1134">
        <f t="shared" si="84"/>
        <v>45.456618844771484</v>
      </c>
      <c r="E23" s="1134">
        <f t="shared" si="84"/>
        <v>45.456618844771484</v>
      </c>
      <c r="F23" s="1280">
        <f t="shared" si="84"/>
        <v>55.016623683311067</v>
      </c>
      <c r="G23" s="1134">
        <f t="shared" ref="G23:H23" si="101">+G7/G$65*1000</f>
        <v>45.456618844771477</v>
      </c>
      <c r="H23" s="1280">
        <f t="shared" si="101"/>
        <v>50.964520722982442</v>
      </c>
      <c r="I23" s="1281">
        <f t="shared" ref="I23" si="102">+I7/I$65*1000</f>
        <v>45.456618844771477</v>
      </c>
      <c r="J23" s="1281">
        <f t="shared" ref="J23:M35" si="103">+J7/J$65*1000</f>
        <v>52.89040901680017</v>
      </c>
      <c r="K23" s="1134">
        <f t="shared" si="103"/>
        <v>45.456618844771484</v>
      </c>
      <c r="L23" s="1280">
        <f t="shared" si="103"/>
        <v>35.203070103169495</v>
      </c>
      <c r="M23" s="1283">
        <f>+$D$23</f>
        <v>45.456618844771484</v>
      </c>
      <c r="N23" s="1283">
        <f t="shared" si="87"/>
        <v>46.572559592181584</v>
      </c>
      <c r="O23" s="1134">
        <f t="shared" si="87"/>
        <v>45.456618844771477</v>
      </c>
      <c r="P23" s="1280">
        <f t="shared" si="87"/>
        <v>36.712232385164334</v>
      </c>
      <c r="Q23" s="1281">
        <f>+$D$23</f>
        <v>45.456618844771484</v>
      </c>
      <c r="R23" s="1281">
        <f t="shared" si="88"/>
        <v>43.868896284200446</v>
      </c>
      <c r="S23" s="1134">
        <f t="shared" si="88"/>
        <v>45.456618844771477</v>
      </c>
      <c r="T23" s="1280">
        <f t="shared" si="88"/>
        <v>31.272590616917942</v>
      </c>
      <c r="U23" s="1281">
        <f>+$D$23</f>
        <v>45.456618844771484</v>
      </c>
      <c r="V23" s="1281">
        <f t="shared" ref="V23:X23" si="104">+V7/V$65*1000</f>
        <v>41.237928231952374</v>
      </c>
      <c r="W23" s="1134">
        <f t="shared" si="104"/>
        <v>45.456618844771484</v>
      </c>
      <c r="X23" s="1280">
        <f t="shared" si="104"/>
        <v>34.630613900273218</v>
      </c>
      <c r="Y23" s="1283">
        <f>+$D$23</f>
        <v>45.456618844771484</v>
      </c>
      <c r="Z23" s="1283">
        <f t="shared" si="90"/>
        <v>34.23411421002956</v>
      </c>
      <c r="AA23" s="1222">
        <f>+$D$23</f>
        <v>45.456618844771484</v>
      </c>
      <c r="AB23" s="1222">
        <f t="shared" si="91"/>
        <v>40.117085111207771</v>
      </c>
      <c r="AC23" s="1134">
        <f t="shared" si="91"/>
        <v>64.999999999999986</v>
      </c>
      <c r="AD23" s="1280">
        <f t="shared" si="91"/>
        <v>39.47089634900243</v>
      </c>
      <c r="AE23" s="1281">
        <f>+$D$23</f>
        <v>45.456618844771484</v>
      </c>
      <c r="AF23" s="1281">
        <f>+AF7/AF$65*1000</f>
        <v>40.023778265735672</v>
      </c>
      <c r="AG23" s="1134">
        <f t="shared" ref="AG23:AH23" si="105">+AG7/AG$65*1000</f>
        <v>65</v>
      </c>
      <c r="AH23" s="1280">
        <f t="shared" si="105"/>
        <v>40.070471586020403</v>
      </c>
      <c r="AI23" s="1281">
        <f>+$D$23</f>
        <v>45.456618844771484</v>
      </c>
      <c r="AJ23" s="1281">
        <f>+AJ7/AJ$65*1000</f>
        <v>40.024215480950836</v>
      </c>
      <c r="AK23" s="1134">
        <f t="shared" ref="AK23:AL23" si="106">+AK7/AK$65*1000</f>
        <v>64.999999999999986</v>
      </c>
      <c r="AL23" s="1280">
        <f t="shared" si="106"/>
        <v>56.243846860101108</v>
      </c>
      <c r="AM23" s="1283">
        <f>+$D$23</f>
        <v>45.456618844771484</v>
      </c>
      <c r="AN23" s="1283">
        <f t="shared" si="94"/>
        <v>47.482566137984477</v>
      </c>
      <c r="AO23" s="1281">
        <f>+$D$23</f>
        <v>45.456618844771484</v>
      </c>
      <c r="AP23" s="1281">
        <f t="shared" si="95"/>
        <v>42.000187992659527</v>
      </c>
      <c r="AQ23" s="1134">
        <f t="shared" si="95"/>
        <v>64.999999999999986</v>
      </c>
      <c r="AR23" s="1280">
        <f t="shared" si="95"/>
        <v>52.300609343263375</v>
      </c>
      <c r="AS23" s="1281">
        <f>+$D$23</f>
        <v>45.456618844771484</v>
      </c>
      <c r="AT23" s="1281">
        <f t="shared" si="96"/>
        <v>43.139809393456261</v>
      </c>
      <c r="AU23" s="1134">
        <f t="shared" si="96"/>
        <v>65</v>
      </c>
      <c r="AV23" s="1280">
        <f t="shared" si="96"/>
        <v>47.492109466013041</v>
      </c>
      <c r="AW23" s="1281">
        <f>+$D$23</f>
        <v>45.456618844771484</v>
      </c>
      <c r="AX23" s="1281">
        <f t="shared" ref="AX23:AZ23" si="107">+AX7/AX$65*1000</f>
        <v>43.544885120721752</v>
      </c>
      <c r="AY23" s="1134">
        <f t="shared" si="107"/>
        <v>64.999999999999986</v>
      </c>
      <c r="AZ23" s="1280">
        <f t="shared" si="107"/>
        <v>40.288278620555097</v>
      </c>
      <c r="BA23" s="1283">
        <f>+$D$23</f>
        <v>45.456618844771484</v>
      </c>
      <c r="BB23" s="1283">
        <f t="shared" si="98"/>
        <v>46.441825366898179</v>
      </c>
      <c r="BC23" s="1222">
        <f>+$D$23</f>
        <v>45.456618844771484</v>
      </c>
      <c r="BD23" s="1222">
        <f t="shared" ref="BD23" si="108">+BD7/BD$65*1000</f>
        <v>46.861781407044525</v>
      </c>
      <c r="BE23" s="1281">
        <f>+$D$23</f>
        <v>45.456618844771484</v>
      </c>
      <c r="BF23" s="1281">
        <f t="shared" si="100"/>
        <v>43.218409914987156</v>
      </c>
      <c r="BG23" s="26"/>
      <c r="BH23" s="26"/>
      <c r="BI23" s="26"/>
      <c r="BJ23" s="26"/>
      <c r="BK23" s="26"/>
      <c r="BL23" s="26"/>
      <c r="BM23" s="26"/>
      <c r="BN23" s="26"/>
    </row>
    <row r="24" spans="2:66" ht="14.45" x14ac:dyDescent="0.3">
      <c r="B24" s="1279" t="s">
        <v>39</v>
      </c>
      <c r="C24" s="64" t="s">
        <v>219</v>
      </c>
      <c r="D24" s="1134">
        <f t="shared" si="84"/>
        <v>94.864655365402456</v>
      </c>
      <c r="E24" s="1134">
        <f t="shared" si="84"/>
        <v>94.86465536540247</v>
      </c>
      <c r="F24" s="1280">
        <f t="shared" si="84"/>
        <v>97.591896342789667</v>
      </c>
      <c r="G24" s="1134">
        <f t="shared" ref="G24:H24" si="109">+G8/G$65*1000</f>
        <v>94.86465536540247</v>
      </c>
      <c r="H24" s="1280">
        <f t="shared" si="109"/>
        <v>93.150692642398383</v>
      </c>
      <c r="I24" s="1281">
        <f t="shared" ref="I24" si="110">+I8/I$65*1000</f>
        <v>94.86465536540247</v>
      </c>
      <c r="J24" s="1281">
        <f t="shared" si="103"/>
        <v>95.261513196758116</v>
      </c>
      <c r="K24" s="1134">
        <f t="shared" si="103"/>
        <v>94.86465536540247</v>
      </c>
      <c r="L24" s="1280">
        <f t="shared" si="103"/>
        <v>87.306058882622779</v>
      </c>
      <c r="M24" s="1283">
        <f>+$D$24</f>
        <v>94.864655365402456</v>
      </c>
      <c r="N24" s="1283">
        <f t="shared" si="87"/>
        <v>92.419855516845303</v>
      </c>
      <c r="O24" s="1134">
        <f t="shared" si="87"/>
        <v>94.864655365402484</v>
      </c>
      <c r="P24" s="1280">
        <f t="shared" si="87"/>
        <v>92.217810835259826</v>
      </c>
      <c r="Q24" s="1281">
        <f>+$D$24</f>
        <v>94.864655365402456</v>
      </c>
      <c r="R24" s="1281">
        <f t="shared" si="88"/>
        <v>92.364455652245809</v>
      </c>
      <c r="S24" s="1134">
        <f t="shared" si="88"/>
        <v>94.864655365402484</v>
      </c>
      <c r="T24" s="1280">
        <f t="shared" si="88"/>
        <v>97.865488453177235</v>
      </c>
      <c r="U24" s="1281">
        <f>+$D$24</f>
        <v>94.864655365402456</v>
      </c>
      <c r="V24" s="1281">
        <f t="shared" ref="V24:X24" si="111">+V8/V$65*1000</f>
        <v>93.513446629117027</v>
      </c>
      <c r="W24" s="1134">
        <f t="shared" si="111"/>
        <v>94.864655365402484</v>
      </c>
      <c r="X24" s="1280">
        <f t="shared" si="111"/>
        <v>93.635267247267763</v>
      </c>
      <c r="Y24" s="1283">
        <f>+$D$24</f>
        <v>94.864655365402456</v>
      </c>
      <c r="Z24" s="1283">
        <f t="shared" si="90"/>
        <v>94.5495504458342</v>
      </c>
      <c r="AA24" s="1222">
        <f>+$D$24</f>
        <v>94.864655365402456</v>
      </c>
      <c r="AB24" s="1222">
        <f t="shared" si="91"/>
        <v>93.534111879015072</v>
      </c>
      <c r="AC24" s="1134">
        <f t="shared" si="91"/>
        <v>89.796141662046978</v>
      </c>
      <c r="AD24" s="1280">
        <f t="shared" si="91"/>
        <v>99.772835162005819</v>
      </c>
      <c r="AE24" s="1281">
        <f>+$D$24</f>
        <v>94.864655365402456</v>
      </c>
      <c r="AF24" s="1281">
        <f>+AF8/AF$65*1000</f>
        <v>94.434956374240471</v>
      </c>
      <c r="AG24" s="1134">
        <f t="shared" ref="AG24:AH24" si="112">+AG8/AG$65*1000</f>
        <v>89.796141662047006</v>
      </c>
      <c r="AH24" s="1280">
        <f t="shared" si="112"/>
        <v>74.937517925185389</v>
      </c>
      <c r="AI24" s="1281">
        <f>+$D$24</f>
        <v>94.864655365402456</v>
      </c>
      <c r="AJ24" s="1281">
        <f>+AJ8/AJ$65*1000</f>
        <v>94.2523911444692</v>
      </c>
      <c r="AK24" s="1134">
        <f t="shared" ref="AK24:AL24" si="113">+AK8/AK$65*1000</f>
        <v>89.796141662046978</v>
      </c>
      <c r="AL24" s="1280">
        <f t="shared" si="113"/>
        <v>95.881129633521752</v>
      </c>
      <c r="AM24" s="1283">
        <f>+$D$24</f>
        <v>94.864655365402456</v>
      </c>
      <c r="AN24" s="1283">
        <f t="shared" si="94"/>
        <v>97.119657173579597</v>
      </c>
      <c r="AO24" s="1281">
        <f>+$D$24</f>
        <v>94.864655365402456</v>
      </c>
      <c r="AP24" s="1281">
        <f t="shared" si="95"/>
        <v>94.450813809442153</v>
      </c>
      <c r="AQ24" s="1134">
        <f t="shared" si="95"/>
        <v>89.796141662046978</v>
      </c>
      <c r="AR24" s="1280">
        <f t="shared" si="95"/>
        <v>95.114421123899803</v>
      </c>
      <c r="AS24" s="1281">
        <f>+$D$24</f>
        <v>94.864655365402456</v>
      </c>
      <c r="AT24" s="1281">
        <f t="shared" si="96"/>
        <v>94.524234213476092</v>
      </c>
      <c r="AU24" s="1134">
        <f t="shared" si="96"/>
        <v>89.796141662047006</v>
      </c>
      <c r="AV24" s="1280">
        <f t="shared" si="96"/>
        <v>91.10391563187045</v>
      </c>
      <c r="AW24" s="1281">
        <f>+$D$24</f>
        <v>94.864655365402456</v>
      </c>
      <c r="AX24" s="1281">
        <f t="shared" ref="AX24:AZ24" si="114">+AX8/AX$65*1000</f>
        <v>94.205899536678487</v>
      </c>
      <c r="AY24" s="1134">
        <f t="shared" si="114"/>
        <v>89.796141662046978</v>
      </c>
      <c r="AZ24" s="1280">
        <f t="shared" si="114"/>
        <v>98.158626408467882</v>
      </c>
      <c r="BA24" s="1283">
        <f>+$D$24</f>
        <v>94.864655365402456</v>
      </c>
      <c r="BB24" s="1283">
        <f t="shared" si="98"/>
        <v>95.002625317690189</v>
      </c>
      <c r="BC24" s="1222">
        <f>+$D$24</f>
        <v>94.864655365402456</v>
      </c>
      <c r="BD24" s="1222">
        <f t="shared" ref="BD24" si="115">+BD8/BD$65*1000</f>
        <v>95.856882535013398</v>
      </c>
      <c r="BE24" s="1281">
        <f>+$D$24</f>
        <v>94.864655365402456</v>
      </c>
      <c r="BF24" s="1281">
        <f t="shared" si="100"/>
        <v>94.602160896045689</v>
      </c>
      <c r="BG24" s="26"/>
      <c r="BH24" s="26"/>
      <c r="BI24" s="26"/>
      <c r="BJ24" s="26"/>
      <c r="BK24" s="26"/>
      <c r="BL24" s="26"/>
      <c r="BM24" s="26"/>
      <c r="BN24" s="26"/>
    </row>
    <row r="25" spans="2:66" ht="14.45" x14ac:dyDescent="0.3">
      <c r="B25" s="1279" t="s">
        <v>40</v>
      </c>
      <c r="C25" s="64" t="s">
        <v>219</v>
      </c>
      <c r="D25" s="1134">
        <f t="shared" si="84"/>
        <v>44.449999999999996</v>
      </c>
      <c r="E25" s="1134">
        <f t="shared" si="84"/>
        <v>44.45</v>
      </c>
      <c r="F25" s="1280">
        <f t="shared" si="84"/>
        <v>45.980797315352824</v>
      </c>
      <c r="G25" s="1134">
        <f t="shared" ref="G25:H25" si="116">+G9/G$65*1000</f>
        <v>44.449999999999989</v>
      </c>
      <c r="H25" s="1280">
        <f t="shared" si="116"/>
        <v>41.271467411189228</v>
      </c>
      <c r="I25" s="1281">
        <f t="shared" ref="I25" si="117">+I9/I$65*1000</f>
        <v>44.449999999999989</v>
      </c>
      <c r="J25" s="1281">
        <f t="shared" si="103"/>
        <v>43.509723305214905</v>
      </c>
      <c r="K25" s="1134">
        <f t="shared" si="103"/>
        <v>44.45</v>
      </c>
      <c r="L25" s="1280">
        <f t="shared" si="103"/>
        <v>37.225532457730267</v>
      </c>
      <c r="M25" s="1283">
        <f>+$D$25</f>
        <v>44.449999999999996</v>
      </c>
      <c r="N25" s="1283">
        <f t="shared" si="87"/>
        <v>41.26503450698209</v>
      </c>
      <c r="O25" s="1134">
        <f t="shared" si="87"/>
        <v>44.449999999999996</v>
      </c>
      <c r="P25" s="1280">
        <f t="shared" si="87"/>
        <v>38.074178309377828</v>
      </c>
      <c r="Q25" s="1281">
        <f>+$D$25</f>
        <v>44.449999999999996</v>
      </c>
      <c r="R25" s="1281">
        <f t="shared" si="88"/>
        <v>40.390114167992998</v>
      </c>
      <c r="S25" s="1134">
        <f t="shared" si="88"/>
        <v>44.449999999999996</v>
      </c>
      <c r="T25" s="1280">
        <f t="shared" si="88"/>
        <v>42.917278869666653</v>
      </c>
      <c r="U25" s="1281">
        <f>+$D$25</f>
        <v>44.449999999999996</v>
      </c>
      <c r="V25" s="1281">
        <f t="shared" ref="V25:X25" si="118">+V9/V$65*1000</f>
        <v>40.917958582736141</v>
      </c>
      <c r="W25" s="1134">
        <f t="shared" si="118"/>
        <v>44.449999999999996</v>
      </c>
      <c r="X25" s="1280">
        <f t="shared" si="118"/>
        <v>36.54638405054645</v>
      </c>
      <c r="Y25" s="1283">
        <f>+$D$25</f>
        <v>44.449999999999996</v>
      </c>
      <c r="Z25" s="1283">
        <f t="shared" si="90"/>
        <v>39.184270924620407</v>
      </c>
      <c r="AA25" s="1222">
        <f>+$D$25</f>
        <v>44.449999999999996</v>
      </c>
      <c r="AB25" s="1222">
        <f t="shared" si="91"/>
        <v>40.176379024800696</v>
      </c>
      <c r="AC25" s="1134">
        <f t="shared" si="91"/>
        <v>49.999999999999993</v>
      </c>
      <c r="AD25" s="1280">
        <f t="shared" si="91"/>
        <v>41.804230576333552</v>
      </c>
      <c r="AE25" s="1281">
        <f>+$D$25</f>
        <v>44.449999999999996</v>
      </c>
      <c r="AF25" s="1281">
        <f>+AF9/AF$65*1000</f>
        <v>40.411433705498048</v>
      </c>
      <c r="AG25" s="1134">
        <f t="shared" ref="AG25:AH25" si="119">+AG9/AG$65*1000</f>
        <v>50</v>
      </c>
      <c r="AH25" s="1280">
        <f t="shared" si="119"/>
        <v>45.396812389888147</v>
      </c>
      <c r="AI25" s="1281">
        <f>+$D$25</f>
        <v>44.449999999999996</v>
      </c>
      <c r="AJ25" s="1281">
        <f>+AJ9/AJ$65*1000</f>
        <v>40.458114545516629</v>
      </c>
      <c r="AK25" s="1134">
        <f t="shared" ref="AK25:AL25" si="120">+AK9/AK$65*1000</f>
        <v>49.999999999999993</v>
      </c>
      <c r="AL25" s="1280">
        <f t="shared" si="120"/>
        <v>47.604561896439201</v>
      </c>
      <c r="AM25" s="1283">
        <f>+$D$25</f>
        <v>44.449999999999996</v>
      </c>
      <c r="AN25" s="1283">
        <f t="shared" si="94"/>
        <v>44.683660399437052</v>
      </c>
      <c r="AO25" s="1281">
        <f>+$D$25</f>
        <v>44.449999999999996</v>
      </c>
      <c r="AP25" s="1281">
        <f t="shared" si="95"/>
        <v>41.328737508005688</v>
      </c>
      <c r="AQ25" s="1134">
        <f t="shared" si="95"/>
        <v>49.999999999999993</v>
      </c>
      <c r="AR25" s="1280">
        <f t="shared" si="95"/>
        <v>43.745429925524718</v>
      </c>
      <c r="AS25" s="1281">
        <f>+$D$25</f>
        <v>44.449999999999996</v>
      </c>
      <c r="AT25" s="1281">
        <f t="shared" si="96"/>
        <v>41.59611631751298</v>
      </c>
      <c r="AU25" s="1134">
        <f t="shared" si="96"/>
        <v>49.999999999999993</v>
      </c>
      <c r="AV25" s="1280">
        <f t="shared" si="96"/>
        <v>38.581134543458525</v>
      </c>
      <c r="AW25" s="1281">
        <f>+$D$25</f>
        <v>44.449999999999996</v>
      </c>
      <c r="AX25" s="1281">
        <f t="shared" ref="AX25:AZ25" si="121">+AX9/AX$65*1000</f>
        <v>41.315507004171252</v>
      </c>
      <c r="AY25" s="1134">
        <f t="shared" si="121"/>
        <v>49.999999999999993</v>
      </c>
      <c r="AZ25" s="1280">
        <f t="shared" si="121"/>
        <v>45.383152041363836</v>
      </c>
      <c r="BA25" s="1283">
        <f>+$D$25</f>
        <v>44.449999999999996</v>
      </c>
      <c r="BB25" s="1283">
        <f t="shared" si="98"/>
        <v>42.767272049771393</v>
      </c>
      <c r="BC25" s="1222">
        <f>+$D$25</f>
        <v>44.449999999999996</v>
      </c>
      <c r="BD25" s="1222">
        <f t="shared" ref="BD25:BD35" si="122">+BD9/BD$65*1000</f>
        <v>43.540566308117945</v>
      </c>
      <c r="BE25" s="1281">
        <f>+$D$25</f>
        <v>44.449999999999996</v>
      </c>
      <c r="BF25" s="1281">
        <f t="shared" si="100"/>
        <v>41.723288923879636</v>
      </c>
      <c r="BG25" s="26"/>
      <c r="BH25" s="26"/>
      <c r="BI25" s="26"/>
      <c r="BJ25" s="26"/>
      <c r="BK25" s="26"/>
      <c r="BL25" s="26"/>
      <c r="BM25" s="26"/>
      <c r="BN25" s="26"/>
    </row>
    <row r="26" spans="2:66" ht="14.45" x14ac:dyDescent="0.3">
      <c r="B26" s="1279" t="s">
        <v>1463</v>
      </c>
      <c r="C26" s="64" t="s">
        <v>219</v>
      </c>
      <c r="D26" s="1134">
        <f t="shared" si="84"/>
        <v>0.4</v>
      </c>
      <c r="E26" s="1134">
        <f t="shared" si="84"/>
        <v>0.39999999999999997</v>
      </c>
      <c r="F26" s="1280">
        <f t="shared" si="84"/>
        <v>2.1843830593791753</v>
      </c>
      <c r="G26" s="1134">
        <f t="shared" ref="G26:H26" si="123">+G10/G$65*1000</f>
        <v>0.39999999999999997</v>
      </c>
      <c r="H26" s="1280">
        <f t="shared" si="123"/>
        <v>1.4607127377528104</v>
      </c>
      <c r="I26" s="1281">
        <f t="shared" ref="I26" si="124">+I10/I$65*1000</f>
        <v>0.39999999999999991</v>
      </c>
      <c r="J26" s="1281">
        <f t="shared" si="103"/>
        <v>1.8046596252451503</v>
      </c>
      <c r="K26" s="1134">
        <f t="shared" si="103"/>
        <v>0.39999999999999997</v>
      </c>
      <c r="L26" s="1280">
        <f t="shared" si="103"/>
        <v>1.0471092873810042</v>
      </c>
      <c r="M26" s="1283">
        <f t="shared" si="103"/>
        <v>0.39999999999999986</v>
      </c>
      <c r="N26" s="1295">
        <f t="shared" si="87"/>
        <v>1.5340655585194749</v>
      </c>
      <c r="O26" s="1134">
        <f t="shared" si="87"/>
        <v>0.39999999999999997</v>
      </c>
      <c r="P26" s="1280">
        <f t="shared" si="87"/>
        <v>2.3419439139612024</v>
      </c>
      <c r="Q26" s="1281">
        <f>+$D$26</f>
        <v>0.4</v>
      </c>
      <c r="R26" s="1297">
        <f t="shared" si="88"/>
        <v>1.7555826563867241</v>
      </c>
      <c r="S26" s="1134">
        <f t="shared" si="88"/>
        <v>0.39999999999999997</v>
      </c>
      <c r="T26" s="1280">
        <f t="shared" si="88"/>
        <v>1.8998953491710142</v>
      </c>
      <c r="U26" s="1281">
        <f>+$D$26</f>
        <v>0.4</v>
      </c>
      <c r="V26" s="1297">
        <f t="shared" ref="V26:X26" si="125">+V10/V$65*1000</f>
        <v>1.7857249929001624</v>
      </c>
      <c r="W26" s="1134">
        <f t="shared" si="125"/>
        <v>0.40000000000000008</v>
      </c>
      <c r="X26" s="1280">
        <f t="shared" si="125"/>
        <v>0</v>
      </c>
      <c r="Y26" s="1283">
        <f>+$D$26</f>
        <v>0.4</v>
      </c>
      <c r="Z26" s="1283">
        <f t="shared" si="90"/>
        <v>1.4360818151382055</v>
      </c>
      <c r="AA26" s="1222">
        <f>+$D$26</f>
        <v>0.4</v>
      </c>
      <c r="AB26" s="1222">
        <f t="shared" si="91"/>
        <v>1.4828004651177527</v>
      </c>
      <c r="AC26" s="1134">
        <f t="shared" si="91"/>
        <v>0</v>
      </c>
      <c r="AD26" s="1280">
        <f t="shared" si="91"/>
        <v>0.98965555159216523</v>
      </c>
      <c r="AE26" s="1281"/>
      <c r="AF26" s="1281">
        <f>+AF10/AF$65*1000</f>
        <v>1.4115924854483983</v>
      </c>
      <c r="AG26" s="1134">
        <f t="shared" ref="AG26:AH26" si="126">+AG10/AG$65*1000</f>
        <v>0</v>
      </c>
      <c r="AH26" s="1280">
        <f t="shared" si="126"/>
        <v>0</v>
      </c>
      <c r="AI26" s="1281"/>
      <c r="AJ26" s="1281">
        <f>+AJ10/AJ$65*1000</f>
        <v>1.3983749693565981</v>
      </c>
      <c r="AK26" s="1134">
        <f t="shared" ref="AK26:AL26" si="127">+AK10/AK$65*1000</f>
        <v>0</v>
      </c>
      <c r="AL26" s="1280">
        <f t="shared" si="127"/>
        <v>0</v>
      </c>
      <c r="AM26" s="1283"/>
      <c r="AN26" s="1283">
        <f t="shared" si="94"/>
        <v>0.48625057322222048</v>
      </c>
      <c r="AO26" s="1281"/>
      <c r="AP26" s="1281">
        <f t="shared" si="95"/>
        <v>1.2280165662635383</v>
      </c>
      <c r="AQ26" s="1134">
        <f t="shared" si="95"/>
        <v>0</v>
      </c>
      <c r="AR26" s="1280">
        <f t="shared" si="95"/>
        <v>0.27352742044685174</v>
      </c>
      <c r="AS26" s="1281"/>
      <c r="AT26" s="1281">
        <f t="shared" si="96"/>
        <v>1.1224134826249135</v>
      </c>
      <c r="AU26" s="1134">
        <f t="shared" si="96"/>
        <v>0</v>
      </c>
      <c r="AV26" s="1280">
        <f t="shared" si="96"/>
        <v>0.29197165539169456</v>
      </c>
      <c r="AW26" s="1281"/>
      <c r="AX26" s="1281">
        <f t="shared" ref="AX26:AZ26" si="128">+AX10/AX$65*1000</f>
        <v>1.0451228956915175</v>
      </c>
      <c r="AY26" s="1134">
        <f t="shared" si="128"/>
        <v>0</v>
      </c>
      <c r="AZ26" s="1280">
        <f t="shared" si="128"/>
        <v>1.063362762792059</v>
      </c>
      <c r="BA26" s="1283"/>
      <c r="BB26" s="1283">
        <f t="shared" si="98"/>
        <v>0.56785309631483849</v>
      </c>
      <c r="BC26" s="1222"/>
      <c r="BD26" s="1222">
        <f t="shared" si="122"/>
        <v>0.53492513440924538</v>
      </c>
      <c r="BE26" s="1281"/>
      <c r="BF26" s="1297">
        <f t="shared" si="100"/>
        <v>1.046951444631623</v>
      </c>
      <c r="BG26" s="26"/>
      <c r="BH26" s="26"/>
      <c r="BI26" s="26"/>
      <c r="BJ26" s="26"/>
      <c r="BK26" s="26"/>
      <c r="BL26" s="26"/>
      <c r="BM26" s="26"/>
      <c r="BN26" s="26"/>
    </row>
    <row r="27" spans="2:66" ht="14.45" x14ac:dyDescent="0.3">
      <c r="B27" s="1279" t="s">
        <v>556</v>
      </c>
      <c r="C27" s="64" t="s">
        <v>219</v>
      </c>
      <c r="D27" s="1134">
        <f t="shared" si="84"/>
        <v>14.559999999999999</v>
      </c>
      <c r="E27" s="1134">
        <f t="shared" si="84"/>
        <v>14.56</v>
      </c>
      <c r="F27" s="1280">
        <f t="shared" si="84"/>
        <v>17.310381257185469</v>
      </c>
      <c r="G27" s="1134">
        <f t="shared" ref="G27:H27" si="129">+G11/G$65*1000</f>
        <v>14.56</v>
      </c>
      <c r="H27" s="1280">
        <f t="shared" si="129"/>
        <v>15.555605590673954</v>
      </c>
      <c r="I27" s="1281">
        <f t="shared" ref="I27" si="130">+I11/I$65*1000</f>
        <v>14.56</v>
      </c>
      <c r="J27" s="1281">
        <f t="shared" si="103"/>
        <v>16.389617447602845</v>
      </c>
      <c r="K27" s="1134">
        <f t="shared" si="103"/>
        <v>14.56</v>
      </c>
      <c r="L27" s="1280">
        <f t="shared" si="103"/>
        <v>17.970946703731855</v>
      </c>
      <c r="M27" s="1283">
        <f>+$D$27</f>
        <v>14.559999999999999</v>
      </c>
      <c r="N27" s="1283">
        <f t="shared" si="87"/>
        <v>16.954462175221423</v>
      </c>
      <c r="O27" s="1134">
        <f t="shared" si="87"/>
        <v>14.560000000000002</v>
      </c>
      <c r="P27" s="1280">
        <f t="shared" si="87"/>
        <v>14.164740174891948</v>
      </c>
      <c r="Q27" s="1281">
        <f>+$D$27</f>
        <v>14.559999999999999</v>
      </c>
      <c r="R27" s="1281">
        <f t="shared" si="88"/>
        <v>16.189531270454811</v>
      </c>
      <c r="S27" s="1134">
        <f t="shared" si="88"/>
        <v>14.560000000000002</v>
      </c>
      <c r="T27" s="1280">
        <f t="shared" si="88"/>
        <v>16.814595789435224</v>
      </c>
      <c r="U27" s="1281">
        <f>+$D$27</f>
        <v>14.559999999999999</v>
      </c>
      <c r="V27" s="1281">
        <f t="shared" ref="V27:X27" si="131">+V11/V$65*1000</f>
        <v>16.320087389325661</v>
      </c>
      <c r="W27" s="1134">
        <f t="shared" si="131"/>
        <v>14.56</v>
      </c>
      <c r="X27" s="1280">
        <f t="shared" si="131"/>
        <v>14.298902834699454</v>
      </c>
      <c r="Y27" s="1283">
        <f>+$D$27</f>
        <v>14.559999999999999</v>
      </c>
      <c r="Z27" s="1283">
        <f t="shared" si="90"/>
        <v>15.086645044695883</v>
      </c>
      <c r="AA27" s="1222">
        <f>+$D$27</f>
        <v>14.559999999999999</v>
      </c>
      <c r="AB27" s="1222">
        <f t="shared" si="91"/>
        <v>15.977220274173247</v>
      </c>
      <c r="AC27" s="1134">
        <f t="shared" si="91"/>
        <v>8.9999999999999982</v>
      </c>
      <c r="AD27" s="1280">
        <f t="shared" si="91"/>
        <v>12.57854888067007</v>
      </c>
      <c r="AE27" s="1281">
        <f>+$D$27</f>
        <v>14.559999999999999</v>
      </c>
      <c r="AF27" s="1281">
        <f t="shared" ref="AF27:AH27" si="132">+AF11/AF$65*1000</f>
        <v>15.48646691374376</v>
      </c>
      <c r="AG27" s="1134">
        <f t="shared" si="132"/>
        <v>9</v>
      </c>
      <c r="AH27" s="1280">
        <f t="shared" si="132"/>
        <v>5.6950874749047404</v>
      </c>
      <c r="AI27" s="1281">
        <f>+$D$27</f>
        <v>14.559999999999999</v>
      </c>
      <c r="AJ27" s="1281">
        <f t="shared" ref="AJ27:AL27" si="133">+AJ11/AJ$65*1000</f>
        <v>15.394784847830332</v>
      </c>
      <c r="AK27" s="1134">
        <f t="shared" si="133"/>
        <v>8.9999999999999982</v>
      </c>
      <c r="AL27" s="1280">
        <f t="shared" si="133"/>
        <v>11.92741230738598</v>
      </c>
      <c r="AM27" s="1283">
        <f>+$D$27</f>
        <v>14.559999999999999</v>
      </c>
      <c r="AN27" s="1283">
        <f t="shared" si="94"/>
        <v>12.046890895386285</v>
      </c>
      <c r="AO27" s="1281">
        <f>+$D$27</f>
        <v>14.559999999999999</v>
      </c>
      <c r="AP27" s="1281">
        <f t="shared" si="95"/>
        <v>14.97236878499805</v>
      </c>
      <c r="AQ27" s="1134">
        <f t="shared" si="95"/>
        <v>8.9999999999999982</v>
      </c>
      <c r="AR27" s="1280">
        <f t="shared" si="95"/>
        <v>14.49424509140149</v>
      </c>
      <c r="AS27" s="1281">
        <f>+$D$27</f>
        <v>14.559999999999999</v>
      </c>
      <c r="AT27" s="1281">
        <f t="shared" si="96"/>
        <v>14.919469978735268</v>
      </c>
      <c r="AU27" s="1134">
        <f t="shared" si="96"/>
        <v>9</v>
      </c>
      <c r="AV27" s="1280">
        <f t="shared" si="96"/>
        <v>11.597114152158108</v>
      </c>
      <c r="AW27" s="1281">
        <f>+$D$27</f>
        <v>14.559999999999999</v>
      </c>
      <c r="AX27" s="1281">
        <f t="shared" ref="AX27:AZ27" si="134">+AX11/AX$65*1000</f>
        <v>14.610252856696423</v>
      </c>
      <c r="AY27" s="1134">
        <f t="shared" si="134"/>
        <v>8.9999999999999982</v>
      </c>
      <c r="AZ27" s="1280">
        <f t="shared" si="134"/>
        <v>15.711428710794596</v>
      </c>
      <c r="BA27" s="1283">
        <f>+$D$27</f>
        <v>14.559999999999999</v>
      </c>
      <c r="BB27" s="1283">
        <f t="shared" si="98"/>
        <v>14.054586996074949</v>
      </c>
      <c r="BC27" s="1222">
        <f>+$D$27</f>
        <v>14.559999999999999</v>
      </c>
      <c r="BD27" s="1222">
        <f t="shared" si="122"/>
        <v>13.244448556526326</v>
      </c>
      <c r="BE27" s="1281">
        <f>+$D$27</f>
        <v>14.559999999999999</v>
      </c>
      <c r="BF27" s="1281">
        <f t="shared" si="100"/>
        <v>14.720645872708113</v>
      </c>
      <c r="BG27" s="26"/>
      <c r="BH27" s="26"/>
      <c r="BI27" s="26"/>
      <c r="BJ27" s="26"/>
      <c r="BK27" s="26"/>
      <c r="BL27" s="26"/>
      <c r="BM27" s="26"/>
      <c r="BN27" s="26"/>
    </row>
    <row r="28" spans="2:66" ht="14.45" x14ac:dyDescent="0.3">
      <c r="B28" s="1279" t="s">
        <v>41</v>
      </c>
      <c r="C28" s="64" t="s">
        <v>219</v>
      </c>
      <c r="D28" s="1134">
        <f t="shared" si="84"/>
        <v>10.41458922319562</v>
      </c>
      <c r="E28" s="1134">
        <f t="shared" si="84"/>
        <v>10.414589223195621</v>
      </c>
      <c r="F28" s="1280">
        <f t="shared" si="84"/>
        <v>0</v>
      </c>
      <c r="G28" s="1134">
        <f t="shared" ref="G28:H28" si="135">+G12/G$65*1000</f>
        <v>10.414589223195623</v>
      </c>
      <c r="H28" s="1280">
        <f t="shared" si="135"/>
        <v>0</v>
      </c>
      <c r="I28" s="1281">
        <f t="shared" ref="I28" si="136">+I12/I$65*1000</f>
        <v>10.414589223195621</v>
      </c>
      <c r="J28" s="1297">
        <f t="shared" si="103"/>
        <v>0</v>
      </c>
      <c r="K28" s="1134">
        <f t="shared" si="103"/>
        <v>10.414589223195621</v>
      </c>
      <c r="L28" s="1280">
        <f t="shared" si="103"/>
        <v>4.6668119508655925</v>
      </c>
      <c r="M28" s="1295">
        <f>+$D$28</f>
        <v>10.41458922319562</v>
      </c>
      <c r="N28" s="1295">
        <f t="shared" si="87"/>
        <v>1.6669672776981421</v>
      </c>
      <c r="O28" s="1134">
        <f t="shared" si="87"/>
        <v>10.414589223195621</v>
      </c>
      <c r="P28" s="1280">
        <f t="shared" si="87"/>
        <v>5.9227057995778472</v>
      </c>
      <c r="Q28" s="1297">
        <f>+$D$28</f>
        <v>10.41458922319562</v>
      </c>
      <c r="R28" s="1297">
        <f t="shared" si="88"/>
        <v>2.8338742016164038</v>
      </c>
      <c r="S28" s="1134">
        <f t="shared" si="88"/>
        <v>10.414589223195621</v>
      </c>
      <c r="T28" s="1280">
        <f t="shared" si="88"/>
        <v>9.9196459096140455</v>
      </c>
      <c r="U28" s="1297">
        <f>+$D$28</f>
        <v>10.41458922319562</v>
      </c>
      <c r="V28" s="1297">
        <f t="shared" ref="V28:X28" si="137">+V12/V$65*1000</f>
        <v>4.3138667868778642</v>
      </c>
      <c r="W28" s="1134">
        <f t="shared" si="137"/>
        <v>10.414589223195623</v>
      </c>
      <c r="X28" s="1280">
        <f t="shared" si="137"/>
        <v>8.7010117827868854</v>
      </c>
      <c r="Y28" s="1295">
        <f>+$D$28</f>
        <v>10.41458922319562</v>
      </c>
      <c r="Z28" s="1295">
        <f t="shared" si="90"/>
        <v>8.1484666366185294</v>
      </c>
      <c r="AA28" s="1222">
        <f>+$D$28</f>
        <v>10.41458922319562</v>
      </c>
      <c r="AB28" s="1222">
        <f t="shared" si="91"/>
        <v>5.0580876671828099</v>
      </c>
      <c r="AC28" s="191">
        <f t="shared" si="91"/>
        <v>7.2999999999999989</v>
      </c>
      <c r="AD28" s="1280">
        <f t="shared" si="91"/>
        <v>7.2655200251034575</v>
      </c>
      <c r="AE28" s="1281">
        <f>+$D$28</f>
        <v>10.41458922319562</v>
      </c>
      <c r="AF28" s="1297">
        <f t="shared" ref="AF28:AH28" si="138">+AF12/AF$65*1000</f>
        <v>5.3768312943664096</v>
      </c>
      <c r="AG28" s="191">
        <f t="shared" si="138"/>
        <v>7.3</v>
      </c>
      <c r="AH28" s="1280">
        <f t="shared" si="138"/>
        <v>6.3096652599664029</v>
      </c>
      <c r="AI28" s="1281">
        <f>+$D$28</f>
        <v>10.41458922319562</v>
      </c>
      <c r="AJ28" s="1297">
        <f t="shared" ref="AJ28:AL28" si="139">+AJ12/AJ$65*1000</f>
        <v>5.3855659313656856</v>
      </c>
      <c r="AK28" s="191">
        <f t="shared" si="139"/>
        <v>7.2999999999999989</v>
      </c>
      <c r="AL28" s="1280">
        <f t="shared" si="139"/>
        <v>4.753819094921516</v>
      </c>
      <c r="AM28" s="1295">
        <f>+$D$28</f>
        <v>10.41458922319562</v>
      </c>
      <c r="AN28" s="1295">
        <f t="shared" si="94"/>
        <v>6.0379407222336434</v>
      </c>
      <c r="AO28" s="1281">
        <f>+$D$28</f>
        <v>10.41458922319562</v>
      </c>
      <c r="AP28" s="1297">
        <f t="shared" si="95"/>
        <v>5.3086027529806774</v>
      </c>
      <c r="AQ28" s="191">
        <f t="shared" si="95"/>
        <v>7.2999999999999989</v>
      </c>
      <c r="AR28" s="1280">
        <f t="shared" si="95"/>
        <v>0.35748138117806366</v>
      </c>
      <c r="AS28" s="1281">
        <f>+$D$28</f>
        <v>10.41458922319562</v>
      </c>
      <c r="AT28" s="1297">
        <f t="shared" si="96"/>
        <v>4.7608189603382938</v>
      </c>
      <c r="AU28" s="191">
        <f t="shared" si="96"/>
        <v>7.3</v>
      </c>
      <c r="AV28" s="1280">
        <f t="shared" si="96"/>
        <v>1.4598582769584728E-2</v>
      </c>
      <c r="AW28" s="1281">
        <f>+$D$28</f>
        <v>10.41458922319562</v>
      </c>
      <c r="AX28" s="1297">
        <f t="shared" ref="AX28:AZ28" si="140">+AX12/AX$65*1000</f>
        <v>4.3190804222883461</v>
      </c>
      <c r="AY28" s="191">
        <f t="shared" si="140"/>
        <v>7.2999999999999989</v>
      </c>
      <c r="AZ28" s="1280">
        <f t="shared" si="140"/>
        <v>0</v>
      </c>
      <c r="BA28" s="1295">
        <f>+$D$28</f>
        <v>10.41458922319562</v>
      </c>
      <c r="BB28" s="1295">
        <f t="shared" si="98"/>
        <v>0.12212853091857591</v>
      </c>
      <c r="BC28" s="1222">
        <f>+$D$28</f>
        <v>10.41458922319562</v>
      </c>
      <c r="BD28" s="1222">
        <f t="shared" si="122"/>
        <v>2.5092561722437661</v>
      </c>
      <c r="BE28" s="1281">
        <f>+$D$28</f>
        <v>10.41458922319562</v>
      </c>
      <c r="BF28" s="1297">
        <f t="shared" si="100"/>
        <v>3.8860920740249929</v>
      </c>
      <c r="BG28" s="26"/>
      <c r="BH28" s="26"/>
      <c r="BI28" s="26"/>
      <c r="BJ28" s="26"/>
      <c r="BK28" s="26"/>
      <c r="BL28" s="26"/>
      <c r="BM28" s="26"/>
      <c r="BN28" s="26"/>
    </row>
    <row r="29" spans="2:66" ht="14.45" x14ac:dyDescent="0.3">
      <c r="B29" s="1279" t="s">
        <v>1537</v>
      </c>
      <c r="C29" s="64" t="s">
        <v>219</v>
      </c>
      <c r="D29" s="1134">
        <f t="shared" ref="D29" si="141">+D13/D$65*1000</f>
        <v>0</v>
      </c>
      <c r="E29" s="1134">
        <f t="shared" ref="E29:F35" si="142">+E13/E$65*1000</f>
        <v>0</v>
      </c>
      <c r="F29" s="1280">
        <f t="shared" si="142"/>
        <v>2.0725227604635985</v>
      </c>
      <c r="G29" s="1134">
        <f t="shared" ref="G29:H29" si="143">+G13/G$65*1000</f>
        <v>0</v>
      </c>
      <c r="H29" s="1280">
        <f t="shared" si="143"/>
        <v>1.9645038361299836</v>
      </c>
      <c r="I29" s="1281">
        <f t="shared" ref="I29" si="144">+I13/I$65*1000</f>
        <v>0</v>
      </c>
      <c r="J29" s="1297">
        <f t="shared" si="103"/>
        <v>2.0158431984121359</v>
      </c>
      <c r="K29" s="1134">
        <f t="shared" si="103"/>
        <v>0</v>
      </c>
      <c r="L29" s="1280">
        <f t="shared" si="103"/>
        <v>0</v>
      </c>
      <c r="M29" s="1295">
        <f>+$D$29</f>
        <v>0</v>
      </c>
      <c r="N29" s="1295">
        <f t="shared" si="87"/>
        <v>1.295791761992007</v>
      </c>
      <c r="O29" s="1134">
        <f t="shared" si="87"/>
        <v>0</v>
      </c>
      <c r="P29" s="1280">
        <f t="shared" si="87"/>
        <v>2.6258920494522062</v>
      </c>
      <c r="Q29" s="1297">
        <f>+$D$29</f>
        <v>0</v>
      </c>
      <c r="R29" s="1297">
        <f t="shared" si="88"/>
        <v>1.6605000792354809</v>
      </c>
      <c r="S29" s="1134">
        <f t="shared" si="88"/>
        <v>0</v>
      </c>
      <c r="T29" s="1280">
        <f t="shared" si="88"/>
        <v>1.6023842642733552</v>
      </c>
      <c r="U29" s="1297">
        <f>+$D$29</f>
        <v>0</v>
      </c>
      <c r="V29" s="1297">
        <f t="shared" ref="V29:X29" si="145">+V13/V$65*1000</f>
        <v>1.6483615319078424</v>
      </c>
      <c r="W29" s="1134">
        <f t="shared" si="145"/>
        <v>0</v>
      </c>
      <c r="X29" s="1280">
        <f t="shared" si="145"/>
        <v>1.4995303961748634</v>
      </c>
      <c r="Y29" s="1295">
        <f>+$D$29</f>
        <v>0</v>
      </c>
      <c r="Z29" s="1295">
        <f t="shared" si="90"/>
        <v>1.9214082598927438</v>
      </c>
      <c r="AA29" s="1222">
        <f>+$D$29</f>
        <v>0</v>
      </c>
      <c r="AB29" s="1222">
        <f t="shared" si="91"/>
        <v>1.6231143064445241</v>
      </c>
      <c r="AC29" s="1134">
        <f t="shared" si="91"/>
        <v>0</v>
      </c>
      <c r="AD29" s="1280">
        <f t="shared" si="91"/>
        <v>3.7252887836355493</v>
      </c>
      <c r="AE29" s="1281">
        <f>+$D$29</f>
        <v>0</v>
      </c>
      <c r="AF29" s="1297">
        <f t="shared" ref="AF29:AH29" si="146">+AF13/AF$65*1000</f>
        <v>1.926659153664138</v>
      </c>
      <c r="AG29" s="1134">
        <f t="shared" si="146"/>
        <v>0</v>
      </c>
      <c r="AH29" s="1280">
        <f t="shared" si="146"/>
        <v>1.1062400131109928</v>
      </c>
      <c r="AI29" s="1281">
        <f>+$D$29</f>
        <v>0</v>
      </c>
      <c r="AJ29" s="1297">
        <f t="shared" ref="AJ29:AL29" si="147">+AJ13/AJ$65*1000</f>
        <v>1.918977118442168</v>
      </c>
      <c r="AK29" s="1134">
        <f t="shared" si="147"/>
        <v>0</v>
      </c>
      <c r="AL29" s="1280">
        <f t="shared" si="147"/>
        <v>3.9214167984867423</v>
      </c>
      <c r="AM29" s="1295"/>
      <c r="AN29" s="1295">
        <f t="shared" si="94"/>
        <v>3.7345098225251294</v>
      </c>
      <c r="AO29" s="1281">
        <f>+$D$29</f>
        <v>0</v>
      </c>
      <c r="AP29" s="1297">
        <f t="shared" si="95"/>
        <v>2.1629262977810466</v>
      </c>
      <c r="AQ29" s="1134">
        <f t="shared" si="95"/>
        <v>0</v>
      </c>
      <c r="AR29" s="1280">
        <f t="shared" si="95"/>
        <v>5.0941096817874074</v>
      </c>
      <c r="AS29" s="1281">
        <f>+$D$29</f>
        <v>0</v>
      </c>
      <c r="AT29" s="1297">
        <f t="shared" si="96"/>
        <v>2.4872275278348654</v>
      </c>
      <c r="AU29" s="1134">
        <f t="shared" si="96"/>
        <v>0</v>
      </c>
      <c r="AV29" s="1280">
        <f t="shared" si="96"/>
        <v>0</v>
      </c>
      <c r="AW29" s="1281">
        <f>+$D$29</f>
        <v>0</v>
      </c>
      <c r="AX29" s="1297">
        <f t="shared" ref="AX29:AZ29" si="148">+AX13/AX$65*1000</f>
        <v>2.2557371703419884</v>
      </c>
      <c r="AY29" s="1134">
        <f t="shared" si="148"/>
        <v>0</v>
      </c>
      <c r="AZ29" s="1280">
        <f t="shared" si="148"/>
        <v>0</v>
      </c>
      <c r="BA29" s="1295"/>
      <c r="BB29" s="1295">
        <f t="shared" si="98"/>
        <v>1.6768158150207395</v>
      </c>
      <c r="BC29" s="1222"/>
      <c r="BD29" s="1222">
        <f t="shared" si="122"/>
        <v>2.5071292333395547</v>
      </c>
      <c r="BE29" s="1281">
        <f>+$D$29</f>
        <v>0</v>
      </c>
      <c r="BF29" s="1297">
        <f t="shared" si="100"/>
        <v>2.0295992391142232</v>
      </c>
      <c r="BG29" s="26"/>
      <c r="BH29" s="26"/>
      <c r="BI29" s="26"/>
      <c r="BJ29" s="26"/>
      <c r="BK29" s="26"/>
      <c r="BL29" s="26"/>
      <c r="BM29" s="26"/>
      <c r="BN29" s="26"/>
    </row>
    <row r="30" spans="2:66" ht="14.45" x14ac:dyDescent="0.3">
      <c r="B30" s="1279" t="s">
        <v>42</v>
      </c>
      <c r="C30" s="64" t="s">
        <v>219</v>
      </c>
      <c r="D30" s="1134">
        <f t="shared" ref="D30" si="149">+D14/D$65*1000</f>
        <v>0</v>
      </c>
      <c r="E30" s="1134">
        <f t="shared" si="142"/>
        <v>0</v>
      </c>
      <c r="F30" s="1280">
        <f t="shared" si="142"/>
        <v>0</v>
      </c>
      <c r="G30" s="1134">
        <f t="shared" ref="G30:H30" si="150">+G14/G$65*1000</f>
        <v>0</v>
      </c>
      <c r="H30" s="1280">
        <f t="shared" si="150"/>
        <v>0</v>
      </c>
      <c r="I30" s="1281">
        <f t="shared" ref="I30" si="151">+I14/I$65*1000</f>
        <v>0</v>
      </c>
      <c r="J30" s="1297">
        <f t="shared" si="103"/>
        <v>0</v>
      </c>
      <c r="K30" s="1134">
        <f t="shared" si="103"/>
        <v>0</v>
      </c>
      <c r="L30" s="1280">
        <f t="shared" si="103"/>
        <v>0</v>
      </c>
      <c r="M30" s="1295">
        <f>+$D$30</f>
        <v>0</v>
      </c>
      <c r="N30" s="1295">
        <f t="shared" si="87"/>
        <v>0</v>
      </c>
      <c r="O30" s="1134">
        <f t="shared" si="87"/>
        <v>0</v>
      </c>
      <c r="P30" s="1280">
        <f t="shared" si="87"/>
        <v>0</v>
      </c>
      <c r="Q30" s="1297">
        <f>+$D$30</f>
        <v>0</v>
      </c>
      <c r="R30" s="1297">
        <f t="shared" ref="R30:U35" si="152">+R14/R$65*1000</f>
        <v>0</v>
      </c>
      <c r="S30" s="1134">
        <f t="shared" si="152"/>
        <v>0</v>
      </c>
      <c r="T30" s="1280">
        <f t="shared" si="152"/>
        <v>0</v>
      </c>
      <c r="U30" s="1297">
        <f>+$D$30</f>
        <v>0</v>
      </c>
      <c r="V30" s="1297">
        <f t="shared" ref="V30:Y35" si="153">+V14/V$65*1000</f>
        <v>0</v>
      </c>
      <c r="W30" s="1134">
        <f t="shared" si="153"/>
        <v>0</v>
      </c>
      <c r="X30" s="1280">
        <f t="shared" si="153"/>
        <v>0</v>
      </c>
      <c r="Y30" s="1295">
        <f>+$D$30</f>
        <v>0</v>
      </c>
      <c r="Z30" s="1295">
        <f t="shared" si="90"/>
        <v>0</v>
      </c>
      <c r="AA30" s="1222">
        <f>+$D$30</f>
        <v>0</v>
      </c>
      <c r="AB30" s="1222">
        <f t="shared" si="91"/>
        <v>0</v>
      </c>
      <c r="AC30" s="191">
        <f t="shared" si="91"/>
        <v>21.858669683074151</v>
      </c>
      <c r="AD30" s="1280">
        <f t="shared" si="91"/>
        <v>0.42643694499499807</v>
      </c>
      <c r="AE30" s="1281">
        <f>+$D$30</f>
        <v>0</v>
      </c>
      <c r="AF30" s="1297">
        <f t="shared" ref="AF30:AH30" si="154">+AF14/AF$65*1000</f>
        <v>6.1575639282934254E-2</v>
      </c>
      <c r="AG30" s="191">
        <f t="shared" si="154"/>
        <v>21.858669683074151</v>
      </c>
      <c r="AH30" s="1280">
        <f t="shared" si="154"/>
        <v>0</v>
      </c>
      <c r="AI30" s="1281">
        <f>+$D$30</f>
        <v>0</v>
      </c>
      <c r="AJ30" s="1297">
        <f t="shared" ref="AJ30:AL30" si="155">+AJ14/AJ$65*1000</f>
        <v>6.0999072737365996E-2</v>
      </c>
      <c r="AK30" s="191">
        <f t="shared" si="155"/>
        <v>21.858669683074151</v>
      </c>
      <c r="AL30" s="1280">
        <f t="shared" si="155"/>
        <v>1.2969989270030198</v>
      </c>
      <c r="AM30" s="1295">
        <f>+$D$30</f>
        <v>0</v>
      </c>
      <c r="AN30" s="1295">
        <f t="shared" si="94"/>
        <v>0.82754840103944294</v>
      </c>
      <c r="AO30" s="1281">
        <f>+$D$30</f>
        <v>0</v>
      </c>
      <c r="AP30" s="1297">
        <f t="shared" si="95"/>
        <v>0.21157596806954784</v>
      </c>
      <c r="AQ30" s="191">
        <f t="shared" si="95"/>
        <v>21.858669683074151</v>
      </c>
      <c r="AR30" s="1280">
        <f t="shared" si="95"/>
        <v>3.9918754231550437</v>
      </c>
      <c r="AS30" s="1281">
        <f>+$D$30</f>
        <v>0</v>
      </c>
      <c r="AT30" s="1297">
        <f t="shared" si="96"/>
        <v>0.6298219809069856</v>
      </c>
      <c r="AU30" s="191">
        <f t="shared" si="96"/>
        <v>21.858669683074151</v>
      </c>
      <c r="AV30" s="1280">
        <f t="shared" si="96"/>
        <v>2.6832195130496732</v>
      </c>
      <c r="AW30" s="1281">
        <f>+$D$30</f>
        <v>0</v>
      </c>
      <c r="AX30" s="1297">
        <f t="shared" ref="AX30:AZ30" si="156">+AX14/AX$65*1000</f>
        <v>0.82093506705254138</v>
      </c>
      <c r="AY30" s="191">
        <f t="shared" si="156"/>
        <v>21.858669683074151</v>
      </c>
      <c r="AZ30" s="1280">
        <f t="shared" si="156"/>
        <v>0</v>
      </c>
      <c r="BA30" s="1295">
        <f>+$D$30</f>
        <v>0</v>
      </c>
      <c r="BB30" s="1295">
        <f t="shared" si="98"/>
        <v>2.1332377699865126</v>
      </c>
      <c r="BC30" s="1222">
        <f>+$D$30</f>
        <v>0</v>
      </c>
      <c r="BD30" s="1222">
        <f t="shared" si="122"/>
        <v>1.6063706074058948</v>
      </c>
      <c r="BE30" s="1281">
        <f>+$D$30</f>
        <v>0</v>
      </c>
      <c r="BF30" s="1297">
        <f t="shared" si="100"/>
        <v>0.73863622471558465</v>
      </c>
      <c r="BG30" s="26"/>
      <c r="BH30" s="26"/>
      <c r="BI30" s="26"/>
      <c r="BJ30" s="26"/>
      <c r="BK30" s="26"/>
      <c r="BL30" s="26"/>
      <c r="BM30" s="26"/>
      <c r="BN30" s="26"/>
    </row>
    <row r="31" spans="2:66" ht="15" customHeight="1" x14ac:dyDescent="0.3">
      <c r="B31" s="1279" t="s">
        <v>600</v>
      </c>
      <c r="C31" s="64" t="s">
        <v>219</v>
      </c>
      <c r="D31" s="1134">
        <f t="shared" ref="D31" si="157">+D15/D$65*1000</f>
        <v>10</v>
      </c>
      <c r="E31" s="1134">
        <f t="shared" si="142"/>
        <v>10</v>
      </c>
      <c r="F31" s="1280">
        <f t="shared" si="142"/>
        <v>30.587577292359317</v>
      </c>
      <c r="G31" s="1134">
        <f t="shared" ref="G31:H31" si="158">+G15/G$65*1000</f>
        <v>10</v>
      </c>
      <c r="H31" s="1280">
        <f t="shared" si="158"/>
        <v>28.471233246835123</v>
      </c>
      <c r="I31" s="1281">
        <f t="shared" ref="I31" si="159">+I15/I$65*1000</f>
        <v>10</v>
      </c>
      <c r="J31" s="1281">
        <f t="shared" si="103"/>
        <v>29.477091751140094</v>
      </c>
      <c r="K31" s="1134">
        <f t="shared" si="103"/>
        <v>10</v>
      </c>
      <c r="L31" s="1280">
        <f t="shared" si="103"/>
        <v>8.5575936684437401</v>
      </c>
      <c r="M31" s="1283">
        <f>+$D$31</f>
        <v>10</v>
      </c>
      <c r="N31" s="1283">
        <f t="shared" si="87"/>
        <v>22.004727504010784</v>
      </c>
      <c r="O31" s="1134">
        <f t="shared" si="87"/>
        <v>10</v>
      </c>
      <c r="P31" s="1280">
        <f t="shared" si="87"/>
        <v>3.2390189968841088</v>
      </c>
      <c r="Q31" s="1281">
        <f>+$D$31</f>
        <v>10</v>
      </c>
      <c r="R31" s="1281">
        <f t="shared" si="152"/>
        <v>16.859243335607047</v>
      </c>
      <c r="S31" s="1134">
        <f t="shared" si="152"/>
        <v>10</v>
      </c>
      <c r="T31" s="1280">
        <f t="shared" si="152"/>
        <v>11.216689849913488</v>
      </c>
      <c r="U31" s="1281">
        <f>+$D$31</f>
        <v>10</v>
      </c>
      <c r="V31" s="1281">
        <f t="shared" si="153"/>
        <v>15.680693183992359</v>
      </c>
      <c r="W31" s="1134">
        <f t="shared" si="153"/>
        <v>10</v>
      </c>
      <c r="X31" s="1280">
        <f t="shared" si="153"/>
        <v>0.49895406420765026</v>
      </c>
      <c r="Y31" s="1283">
        <f>+$D$31</f>
        <v>10</v>
      </c>
      <c r="Z31" s="1283">
        <f t="shared" si="90"/>
        <v>4.9951424100048181</v>
      </c>
      <c r="AA31" s="1222">
        <f>+$D$31</f>
        <v>10</v>
      </c>
      <c r="AB31" s="1222">
        <f t="shared" si="91"/>
        <v>13.105312779920455</v>
      </c>
      <c r="AC31" s="1134">
        <f t="shared" si="91"/>
        <v>15</v>
      </c>
      <c r="AD31" s="1280">
        <f t="shared" si="91"/>
        <v>10.851345153772089</v>
      </c>
      <c r="AE31" s="1281">
        <f>+$D$31</f>
        <v>10</v>
      </c>
      <c r="AF31" s="1281">
        <f>+AF15/AF$65*1000</f>
        <v>12.779849662495788</v>
      </c>
      <c r="AG31" s="1134">
        <f t="shared" ref="AG31:AH31" si="160">+AG15/AG$65*1000</f>
        <v>15.000000000000002</v>
      </c>
      <c r="AH31" s="1280">
        <f t="shared" si="160"/>
        <v>5.0805096898430779</v>
      </c>
      <c r="AI31" s="1281">
        <f>+$D$31</f>
        <v>10</v>
      </c>
      <c r="AJ31" s="1281">
        <f>+AJ15/AJ$65*1000</f>
        <v>12.707756511651015</v>
      </c>
      <c r="AK31" s="1134">
        <f t="shared" ref="AK31:AL31" si="161">+AK15/AK$65*1000</f>
        <v>15</v>
      </c>
      <c r="AL31" s="1280">
        <f t="shared" si="161"/>
        <v>2.2289576442738466</v>
      </c>
      <c r="AM31" s="1283">
        <f>+$D$31</f>
        <v>10</v>
      </c>
      <c r="AN31" s="1283">
        <f t="shared" si="94"/>
        <v>6.5571351012297265</v>
      </c>
      <c r="AO31" s="1281">
        <f>+$D$31</f>
        <v>10</v>
      </c>
      <c r="AP31" s="1281">
        <f t="shared" si="95"/>
        <v>11.431166555095157</v>
      </c>
      <c r="AQ31" s="1134">
        <f t="shared" si="95"/>
        <v>15</v>
      </c>
      <c r="AR31" s="1280">
        <f t="shared" si="95"/>
        <v>3.8077183480027079</v>
      </c>
      <c r="AS31" s="1281">
        <f>+$D$31</f>
        <v>10</v>
      </c>
      <c r="AT31" s="1281">
        <f t="shared" si="96"/>
        <v>10.587720988263198</v>
      </c>
      <c r="AU31" s="1134">
        <f t="shared" si="96"/>
        <v>15.000000000000004</v>
      </c>
      <c r="AV31" s="1280">
        <f t="shared" si="96"/>
        <v>30.995710936382299</v>
      </c>
      <c r="AW31" s="1281">
        <f>+$D$31</f>
        <v>10</v>
      </c>
      <c r="AX31" s="1281">
        <f t="shared" ref="AX31:AZ31" si="162">+AX15/AX$65*1000</f>
        <v>12.487126183779672</v>
      </c>
      <c r="AY31" s="1134">
        <f t="shared" si="162"/>
        <v>15</v>
      </c>
      <c r="AZ31" s="1280">
        <f t="shared" si="162"/>
        <v>36.310423881761864</v>
      </c>
      <c r="BA31" s="1283">
        <f>+$D$31</f>
        <v>10</v>
      </c>
      <c r="BB31" s="1283">
        <f t="shared" si="98"/>
        <v>23.988896109626847</v>
      </c>
      <c r="BC31" s="1222">
        <f>+$D$31</f>
        <v>10</v>
      </c>
      <c r="BD31" s="1222">
        <f t="shared" si="122"/>
        <v>16.954893474923654</v>
      </c>
      <c r="BE31" s="1281">
        <f>+$D$31</f>
        <v>10</v>
      </c>
      <c r="BF31" s="1281">
        <f t="shared" si="100"/>
        <v>14.875414734093404</v>
      </c>
      <c r="BG31" s="26"/>
      <c r="BH31" s="26"/>
      <c r="BI31" s="26"/>
      <c r="BJ31" s="26"/>
      <c r="BK31" s="26"/>
      <c r="BL31" s="26"/>
      <c r="BM31" s="26"/>
      <c r="BN31" s="26"/>
    </row>
    <row r="32" spans="2:66" ht="15" customHeight="1" x14ac:dyDescent="0.3">
      <c r="B32" s="2770" t="s">
        <v>1699</v>
      </c>
      <c r="C32" s="64" t="s">
        <v>219</v>
      </c>
      <c r="D32" s="1134">
        <f t="shared" ref="D32:D33" si="163">+D16/D$65*1000</f>
        <v>0.7</v>
      </c>
      <c r="E32" s="1134">
        <f t="shared" si="142"/>
        <v>0.7</v>
      </c>
      <c r="F32" s="1280">
        <f t="shared" si="142"/>
        <v>1.034707764969083</v>
      </c>
      <c r="G32" s="1134">
        <f t="shared" ref="G32:H33" si="164">+G16/G$65*1000</f>
        <v>0.70000000000000007</v>
      </c>
      <c r="H32" s="1280">
        <f t="shared" si="164"/>
        <v>0.89781765576714156</v>
      </c>
      <c r="I32" s="1281">
        <f>+I16/I$65*1000</f>
        <v>0.7</v>
      </c>
      <c r="J32" s="1281">
        <f t="shared" si="103"/>
        <v>0.96287894898513748</v>
      </c>
      <c r="K32" s="1134">
        <f t="shared" si="103"/>
        <v>0.7</v>
      </c>
      <c r="L32" s="1280">
        <f t="shared" si="103"/>
        <v>0.37472692771756749</v>
      </c>
      <c r="M32" s="2773">
        <f t="shared" ref="M32" si="165">+M16/M$65*1000</f>
        <v>0.69999999999999984</v>
      </c>
      <c r="N32" s="1283">
        <f>+N16/N$65*1000</f>
        <v>0.75279330934773736</v>
      </c>
      <c r="O32" s="1134">
        <f t="shared" ref="O32:Q33" si="166">+O16/O$65*1000</f>
        <v>0.7</v>
      </c>
      <c r="P32" s="1280">
        <f t="shared" si="166"/>
        <v>0.78902402251482562</v>
      </c>
      <c r="Q32" s="2772">
        <f t="shared" si="166"/>
        <v>0.69999999999999984</v>
      </c>
      <c r="R32" s="1281">
        <f t="shared" si="152"/>
        <v>0.7627276297567126</v>
      </c>
      <c r="S32" s="1134">
        <f t="shared" si="152"/>
        <v>0.7</v>
      </c>
      <c r="T32" s="1280">
        <f t="shared" si="152"/>
        <v>0.21399920141761422</v>
      </c>
      <c r="U32" s="2772">
        <f t="shared" si="152"/>
        <v>0.69999999999999973</v>
      </c>
      <c r="V32" s="1281">
        <f t="shared" si="153"/>
        <v>0.64811569492011389</v>
      </c>
      <c r="W32" s="1134">
        <f t="shared" si="153"/>
        <v>0.69999999999999984</v>
      </c>
      <c r="X32" s="1280">
        <f t="shared" si="153"/>
        <v>0</v>
      </c>
      <c r="Y32" s="2773">
        <f t="shared" si="153"/>
        <v>0.69999999999999984</v>
      </c>
      <c r="Z32" s="1283">
        <f t="shared" si="90"/>
        <v>0.34258337276790929</v>
      </c>
      <c r="AA32" s="2775">
        <f t="shared" si="90"/>
        <v>0.69999999999999984</v>
      </c>
      <c r="AB32" s="1222">
        <f t="shared" si="91"/>
        <v>0.53817147528235898</v>
      </c>
      <c r="AC32" s="1134">
        <f t="shared" si="91"/>
        <v>0</v>
      </c>
      <c r="AD32" s="1280">
        <f t="shared" si="91"/>
        <v>1.1157092397353408</v>
      </c>
      <c r="AE32" s="2772"/>
      <c r="AF32" s="1281">
        <f>+AF16/AF$65*1000</f>
        <v>0.62156541540320431</v>
      </c>
      <c r="AG32" s="1134">
        <f t="shared" ref="AG32:AH33" si="167">+AG16/AG$65*1000</f>
        <v>0</v>
      </c>
      <c r="AH32" s="1280">
        <f t="shared" si="167"/>
        <v>0</v>
      </c>
      <c r="AI32" s="2772"/>
      <c r="AJ32" s="1281">
        <f>+AJ16/AJ$65*1000</f>
        <v>0.61574535687718501</v>
      </c>
      <c r="AK32" s="1134">
        <f t="shared" ref="AK32:AL33" si="168">+AK16/AK$65*1000</f>
        <v>0</v>
      </c>
      <c r="AL32" s="1280">
        <f t="shared" si="168"/>
        <v>0.20740921007510979</v>
      </c>
      <c r="AM32" s="2773"/>
      <c r="AN32" s="1283">
        <f t="shared" si="94"/>
        <v>0.64701634539867281</v>
      </c>
      <c r="AO32" s="2772"/>
      <c r="AP32" s="1281">
        <f t="shared" si="95"/>
        <v>0.56599940502681589</v>
      </c>
      <c r="AQ32" s="1134">
        <f t="shared" si="95"/>
        <v>0</v>
      </c>
      <c r="AR32" s="1280">
        <f t="shared" si="95"/>
        <v>1.3649289099526065</v>
      </c>
      <c r="AS32" s="2772"/>
      <c r="AT32" s="1281">
        <f t="shared" si="96"/>
        <v>0.6543916300194369</v>
      </c>
      <c r="AU32" s="1134">
        <f t="shared" si="96"/>
        <v>0</v>
      </c>
      <c r="AV32" s="1280">
        <f t="shared" si="96"/>
        <v>1.0510979594101004</v>
      </c>
      <c r="AW32" s="2772"/>
      <c r="AX32" s="1281">
        <f t="shared" ref="AX32:AZ33" si="169">+AX16/AX$65*1000</f>
        <v>0.69131374067582441</v>
      </c>
      <c r="AY32" s="1134">
        <f t="shared" si="169"/>
        <v>0</v>
      </c>
      <c r="AZ32" s="1280">
        <f t="shared" si="169"/>
        <v>0.93166187015267543</v>
      </c>
      <c r="BA32" s="2773"/>
      <c r="BB32" s="1283">
        <f t="shared" si="98"/>
        <v>1.1107456169674863</v>
      </c>
      <c r="BC32" s="2775"/>
      <c r="BD32" s="1222">
        <f t="shared" si="122"/>
        <v>0.92362321915393564</v>
      </c>
      <c r="BE32" s="2772"/>
      <c r="BF32" s="1281">
        <f t="shared" si="100"/>
        <v>0.7154086704792455</v>
      </c>
      <c r="BG32" s="26"/>
      <c r="BH32" s="26"/>
      <c r="BI32" s="26"/>
      <c r="BJ32" s="26"/>
      <c r="BK32" s="26"/>
      <c r="BL32" s="26"/>
      <c r="BM32" s="26"/>
      <c r="BN32" s="26"/>
    </row>
    <row r="33" spans="2:66" ht="15" customHeight="1" x14ac:dyDescent="0.3">
      <c r="B33" s="5383" t="s">
        <v>2246</v>
      </c>
      <c r="C33" s="5384" t="s">
        <v>219</v>
      </c>
      <c r="D33" s="1134">
        <f t="shared" si="163"/>
        <v>0</v>
      </c>
      <c r="E33" s="1134">
        <f t="shared" si="142"/>
        <v>0</v>
      </c>
      <c r="F33" s="1280">
        <f t="shared" si="142"/>
        <v>0</v>
      </c>
      <c r="G33" s="1134">
        <f t="shared" si="164"/>
        <v>0</v>
      </c>
      <c r="H33" s="1280">
        <f t="shared" si="164"/>
        <v>4.8408977050767508</v>
      </c>
      <c r="I33" s="1281">
        <f>+I17/I$65*1000</f>
        <v>0</v>
      </c>
      <c r="J33" s="1281">
        <f t="shared" si="103"/>
        <v>2.5401101108196875</v>
      </c>
      <c r="K33" s="1134">
        <f t="shared" si="103"/>
        <v>0</v>
      </c>
      <c r="L33" s="1280">
        <f t="shared" si="103"/>
        <v>0</v>
      </c>
      <c r="M33" s="2773">
        <f t="shared" ref="M33" si="170">+M17/M$65*1000</f>
        <v>0</v>
      </c>
      <c r="N33" s="1283">
        <f>+N17/N$65*1000</f>
        <v>1.6327925499093421</v>
      </c>
      <c r="O33" s="1134">
        <f t="shared" ref="O33:P33" si="171">+O17/O$65*1000</f>
        <v>0</v>
      </c>
      <c r="P33" s="1280">
        <f t="shared" si="171"/>
        <v>0</v>
      </c>
      <c r="Q33" s="2772">
        <f t="shared" si="166"/>
        <v>0</v>
      </c>
      <c r="R33" s="1281">
        <f t="shared" si="152"/>
        <v>1.1850871934792644</v>
      </c>
      <c r="S33" s="1134">
        <f t="shared" si="152"/>
        <v>0</v>
      </c>
      <c r="T33" s="1280">
        <f t="shared" si="152"/>
        <v>0</v>
      </c>
      <c r="U33" s="2772">
        <f t="shared" si="152"/>
        <v>0</v>
      </c>
      <c r="V33" s="1281">
        <f t="shared" si="153"/>
        <v>0.93756013058250287</v>
      </c>
      <c r="W33" s="1134">
        <f t="shared" si="153"/>
        <v>0</v>
      </c>
      <c r="X33" s="1280">
        <f t="shared" si="153"/>
        <v>0</v>
      </c>
      <c r="Y33" s="2773">
        <f t="shared" si="153"/>
        <v>0</v>
      </c>
      <c r="Z33" s="1283">
        <f t="shared" si="90"/>
        <v>0</v>
      </c>
      <c r="AA33" s="2775">
        <f t="shared" si="90"/>
        <v>0</v>
      </c>
      <c r="AB33" s="1222">
        <f t="shared" si="91"/>
        <v>0.77851550671628045</v>
      </c>
      <c r="AC33" s="1134">
        <f t="shared" si="91"/>
        <v>0</v>
      </c>
      <c r="AD33" s="1280">
        <f t="shared" si="91"/>
        <v>0</v>
      </c>
      <c r="AE33" s="2772"/>
      <c r="AF33" s="1281">
        <f>+AF17/AF$65*1000</f>
        <v>0</v>
      </c>
      <c r="AG33" s="1134">
        <f t="shared" si="167"/>
        <v>0</v>
      </c>
      <c r="AH33" s="1280">
        <f t="shared" si="167"/>
        <v>0</v>
      </c>
      <c r="AI33" s="2772"/>
      <c r="AJ33" s="1281">
        <f>+AJ17/AJ$65*1000</f>
        <v>0</v>
      </c>
      <c r="AK33" s="1134">
        <f t="shared" si="168"/>
        <v>0</v>
      </c>
      <c r="AL33" s="1280">
        <f t="shared" si="168"/>
        <v>0</v>
      </c>
      <c r="AM33" s="2773"/>
      <c r="AN33" s="1283">
        <f t="shared" si="94"/>
        <v>0</v>
      </c>
      <c r="AO33" s="2772"/>
      <c r="AP33" s="1281">
        <f t="shared" si="95"/>
        <v>0</v>
      </c>
      <c r="AQ33" s="1134">
        <f t="shared" si="95"/>
        <v>0</v>
      </c>
      <c r="AR33" s="1280">
        <f t="shared" si="95"/>
        <v>0</v>
      </c>
      <c r="AS33" s="2772"/>
      <c r="AT33" s="1281">
        <f t="shared" si="96"/>
        <v>0</v>
      </c>
      <c r="AU33" s="1134">
        <f t="shared" si="96"/>
        <v>0</v>
      </c>
      <c r="AV33" s="1280">
        <f t="shared" si="96"/>
        <v>0</v>
      </c>
      <c r="AW33" s="2772"/>
      <c r="AX33" s="1281">
        <f t="shared" si="169"/>
        <v>0</v>
      </c>
      <c r="AY33" s="1134">
        <f t="shared" si="169"/>
        <v>0</v>
      </c>
      <c r="AZ33" s="1280">
        <f t="shared" si="169"/>
        <v>0</v>
      </c>
      <c r="BA33" s="2773"/>
      <c r="BB33" s="1283">
        <f t="shared" si="98"/>
        <v>0</v>
      </c>
      <c r="BC33" s="2775"/>
      <c r="BD33" s="1222">
        <f t="shared" si="122"/>
        <v>0</v>
      </c>
      <c r="BE33" s="2772"/>
      <c r="BF33" s="1281">
        <f t="shared" si="100"/>
        <v>0</v>
      </c>
      <c r="BG33" s="26"/>
      <c r="BH33" s="26"/>
      <c r="BI33" s="26"/>
      <c r="BJ33" s="26"/>
      <c r="BK33" s="26"/>
      <c r="BL33" s="26"/>
      <c r="BM33" s="26"/>
      <c r="BN33" s="26"/>
    </row>
    <row r="34" spans="2:66" ht="14.45" x14ac:dyDescent="0.3">
      <c r="B34" s="1279" t="s">
        <v>98</v>
      </c>
      <c r="C34" s="64" t="s">
        <v>219</v>
      </c>
      <c r="D34" s="1134">
        <f t="shared" ref="D34" si="172">+D18/D$65*1000</f>
        <v>170.09827454020316</v>
      </c>
      <c r="E34" s="1134">
        <f t="shared" si="142"/>
        <v>170.3275582653896</v>
      </c>
      <c r="F34" s="1280">
        <f t="shared" si="142"/>
        <v>186.74455457850416</v>
      </c>
      <c r="G34" s="1134">
        <f t="shared" ref="G34:H34" si="173">+G18/G$65*1000</f>
        <v>170.60964576248358</v>
      </c>
      <c r="H34" s="1280">
        <f t="shared" si="173"/>
        <v>184.72527905523688</v>
      </c>
      <c r="I34" s="1281">
        <f>+I18/I$65*1000</f>
        <v>170.47068915152471</v>
      </c>
      <c r="J34" s="1281">
        <f t="shared" si="103"/>
        <v>185.68500271732711</v>
      </c>
      <c r="K34" s="1134">
        <f t="shared" si="103"/>
        <v>170.3275582653896</v>
      </c>
      <c r="L34" s="1280">
        <f t="shared" si="103"/>
        <v>195.28853973434252</v>
      </c>
      <c r="M34" s="1283">
        <f>+$D$34</f>
        <v>170.09827454020316</v>
      </c>
      <c r="N34" s="1283">
        <f>+N18/N$65*1000</f>
        <v>189.11534919926714</v>
      </c>
      <c r="O34" s="1134">
        <f t="shared" ref="O34:P34" si="174">+O18/O$65*1000</f>
        <v>170.43530503385097</v>
      </c>
      <c r="P34" s="1280">
        <f t="shared" si="174"/>
        <v>199.75123127952557</v>
      </c>
      <c r="Q34" s="1281">
        <f>+Q18/Q$65*1000</f>
        <v>170.42641790757546</v>
      </c>
      <c r="R34" s="1281">
        <f t="shared" si="152"/>
        <v>192.03166663221646</v>
      </c>
      <c r="S34" s="1134">
        <f t="shared" si="152"/>
        <v>170.43530503385097</v>
      </c>
      <c r="T34" s="1280">
        <f t="shared" si="152"/>
        <v>199.84915666046416</v>
      </c>
      <c r="U34" s="1281">
        <f>+U18/U$65*1000</f>
        <v>170.4281966537942</v>
      </c>
      <c r="V34" s="1281">
        <f t="shared" si="153"/>
        <v>193.66449192689868</v>
      </c>
      <c r="W34" s="1134">
        <f t="shared" si="153"/>
        <v>169.59847764614028</v>
      </c>
      <c r="X34" s="1280">
        <f t="shared" si="153"/>
        <v>200.57953381147541</v>
      </c>
      <c r="Y34" s="1283">
        <f>+Y18/Y$65*1000</f>
        <v>170.25436824508225</v>
      </c>
      <c r="Z34" s="1283">
        <f t="shared" si="90"/>
        <v>200.05225261544237</v>
      </c>
      <c r="AA34" s="1222">
        <f>+AA18/AA$65*1000</f>
        <v>170.34568432376534</v>
      </c>
      <c r="AB34" s="1222">
        <f t="shared" si="91"/>
        <v>194.83753693988186</v>
      </c>
      <c r="AC34" s="1134">
        <f t="shared" si="91"/>
        <v>166.62574023223934</v>
      </c>
      <c r="AD34" s="1280">
        <f t="shared" si="91"/>
        <v>191.14298511225482</v>
      </c>
      <c r="AE34" s="1281">
        <f t="shared" ref="AE34:AH34" si="175">+AE18/AE$65*1000</f>
        <v>169.74384325230224</v>
      </c>
      <c r="AF34" s="1281">
        <f t="shared" si="175"/>
        <v>194.30405973224279</v>
      </c>
      <c r="AG34" s="1134">
        <f t="shared" si="175"/>
        <v>165.66779334411157</v>
      </c>
      <c r="AH34" s="1280">
        <f t="shared" si="175"/>
        <v>168.066538288196</v>
      </c>
      <c r="AI34" s="1281">
        <f t="shared" ref="AI34:AL34" si="176">+AI18/AI$65*1000</f>
        <v>169.18916996916215</v>
      </c>
      <c r="AJ34" s="1281">
        <f t="shared" si="176"/>
        <v>194.05838340180702</v>
      </c>
      <c r="AK34" s="1134">
        <f t="shared" si="176"/>
        <v>166.62574023223934</v>
      </c>
      <c r="AL34" s="1280">
        <f t="shared" si="176"/>
        <v>185.7916394730147</v>
      </c>
      <c r="AM34" s="1283">
        <f>+AM18/AM$65*1000</f>
        <v>166.31209503731358</v>
      </c>
      <c r="AN34" s="1283">
        <f t="shared" si="94"/>
        <v>187.85085153149163</v>
      </c>
      <c r="AO34" s="1281">
        <f>+AO18/AO$65*1000</f>
        <v>168.87481375734188</v>
      </c>
      <c r="AP34" s="1281">
        <f t="shared" si="95"/>
        <v>193.05127920919102</v>
      </c>
      <c r="AQ34" s="1134">
        <f t="shared" si="95"/>
        <v>166.62574023223934</v>
      </c>
      <c r="AR34" s="1280">
        <f t="shared" si="95"/>
        <v>184.80162491536899</v>
      </c>
      <c r="AS34" s="1281">
        <f>+AS18/AS$65*1000</f>
        <v>168.6291352232017</v>
      </c>
      <c r="AT34" s="1281">
        <f t="shared" si="96"/>
        <v>192.13855124764379</v>
      </c>
      <c r="AU34" s="1134">
        <f t="shared" si="96"/>
        <v>165.34942539688862</v>
      </c>
      <c r="AV34" s="1280">
        <f t="shared" si="96"/>
        <v>204.40643622317145</v>
      </c>
      <c r="AW34" s="1281">
        <f>+AW18/AW$65*1000</f>
        <v>168.33350063789231</v>
      </c>
      <c r="AX34" s="1281">
        <f t="shared" ref="AX34:AZ34" si="177">+AX18/AX$65*1000</f>
        <v>193.28034348292775</v>
      </c>
      <c r="AY34" s="1134">
        <f t="shared" si="177"/>
        <v>166.62574023223934</v>
      </c>
      <c r="AZ34" s="1280">
        <f t="shared" si="177"/>
        <v>201.84381249695139</v>
      </c>
      <c r="BA34" s="1283">
        <f>+BA18/BA$65*1000</f>
        <v>166.22753898683573</v>
      </c>
      <c r="BB34" s="1283">
        <f t="shared" si="98"/>
        <v>197.01649804906356</v>
      </c>
      <c r="BC34" s="1222">
        <f>+BC18/BC$65*1000</f>
        <v>166.27029619270033</v>
      </c>
      <c r="BD34" s="1222">
        <f t="shared" si="122"/>
        <v>193.3180087385285</v>
      </c>
      <c r="BE34" s="1281">
        <f>+BE18/BE$65*1000</f>
        <v>168.17911265342906</v>
      </c>
      <c r="BF34" s="1281">
        <f t="shared" si="100"/>
        <v>194.13883231417344</v>
      </c>
      <c r="BG34" s="26"/>
      <c r="BH34" s="26"/>
      <c r="BI34" s="26"/>
      <c r="BJ34" s="26"/>
      <c r="BK34" s="26"/>
      <c r="BL34" s="26"/>
      <c r="BM34" s="26"/>
      <c r="BN34" s="26"/>
    </row>
    <row r="35" spans="2:66" ht="14.45" x14ac:dyDescent="0.3">
      <c r="B35" s="1279" t="s">
        <v>1323</v>
      </c>
      <c r="C35" s="64" t="s">
        <v>219</v>
      </c>
      <c r="D35" s="1136">
        <f t="shared" ref="D35" si="178">+D19/D$65*1000</f>
        <v>2.8361370375524362</v>
      </c>
      <c r="E35" s="1136">
        <f t="shared" si="142"/>
        <v>2.84</v>
      </c>
      <c r="F35" s="1280">
        <f t="shared" si="142"/>
        <v>1.9016250815648013</v>
      </c>
      <c r="G35" s="1136">
        <f t="shared" ref="G35:H35" si="179">+G19/G$65*1000</f>
        <v>2.8447525981502015</v>
      </c>
      <c r="H35" s="1280">
        <f t="shared" si="179"/>
        <v>3.6813338361862731</v>
      </c>
      <c r="I35" s="1281">
        <f>+I19/I$65*1000</f>
        <v>2.8424114630803921</v>
      </c>
      <c r="J35" s="1297">
        <f t="shared" si="103"/>
        <v>2.8354717516126744</v>
      </c>
      <c r="K35" s="1136">
        <f t="shared" si="103"/>
        <v>2.84</v>
      </c>
      <c r="L35" s="1280">
        <f t="shared" si="103"/>
        <v>2.4157927467749567</v>
      </c>
      <c r="M35" s="1301">
        <f>D35</f>
        <v>2.8361370375524362</v>
      </c>
      <c r="N35" s="1283">
        <f>+N19/N$65*1000</f>
        <v>2.6855640254032145</v>
      </c>
      <c r="O35" s="1134">
        <f t="shared" ref="O35:P35" si="180">+O19/O$65*1000</f>
        <v>2.8418153129711574</v>
      </c>
      <c r="P35" s="1280">
        <f t="shared" si="180"/>
        <v>2.2012262538948635</v>
      </c>
      <c r="Q35" s="1293">
        <f>+$D$35</f>
        <v>2.8361370375524362</v>
      </c>
      <c r="R35" s="1281">
        <f t="shared" si="152"/>
        <v>2.552760495256206</v>
      </c>
      <c r="S35" s="1134">
        <f t="shared" si="152"/>
        <v>2.8418153129711574</v>
      </c>
      <c r="T35" s="1280">
        <f t="shared" si="152"/>
        <v>2.4348933527150494</v>
      </c>
      <c r="U35" s="1293">
        <f>+$D$35</f>
        <v>2.8361370375524362</v>
      </c>
      <c r="V35" s="1293">
        <f t="shared" si="153"/>
        <v>2.5281417939777024</v>
      </c>
      <c r="W35" s="1134">
        <f t="shared" si="153"/>
        <v>2.8277164807440918</v>
      </c>
      <c r="X35" s="1280">
        <f t="shared" si="153"/>
        <v>2.0998761953551912</v>
      </c>
      <c r="Y35" s="1301">
        <f>+Y19/Y$65*1000</f>
        <v>2.8387668976515616</v>
      </c>
      <c r="Z35" s="1301">
        <f t="shared" si="90"/>
        <v>2.2458243325896277</v>
      </c>
      <c r="AA35" s="1302">
        <f>+AA19/AA$65*1000</f>
        <v>2.8403053870603694</v>
      </c>
      <c r="AB35" s="1302">
        <f t="shared" si="91"/>
        <v>2.4554922232185006</v>
      </c>
      <c r="AC35" s="1136">
        <f t="shared" si="91"/>
        <v>2.4499999999999997</v>
      </c>
      <c r="AD35" s="1292">
        <f t="shared" si="91"/>
        <v>2.2448284462944237</v>
      </c>
      <c r="AE35" s="1293">
        <f>+AE19/AE$65*1000</f>
        <v>2.777158789539901</v>
      </c>
      <c r="AF35" s="1293">
        <f>+AF19/AF$65*1000</f>
        <v>2.4250732905014734</v>
      </c>
      <c r="AG35" s="1136">
        <f t="shared" ref="AG35:AI35" si="181">+AG19/AG$65*1000</f>
        <v>2.4500000000000002</v>
      </c>
      <c r="AH35" s="1292">
        <f t="shared" si="181"/>
        <v>7.0881304543778425</v>
      </c>
      <c r="AI35" s="1293">
        <f t="shared" si="181"/>
        <v>2.7326386673653458</v>
      </c>
      <c r="AJ35" s="1293">
        <f>+AJ19/AJ$65*1000</f>
        <v>2.4687360570122654</v>
      </c>
      <c r="AK35" s="1136">
        <f t="shared" ref="AK35:AM35" si="182">+AK19/AK$65*1000</f>
        <v>2.4499999999999997</v>
      </c>
      <c r="AL35" s="1292">
        <f t="shared" si="182"/>
        <v>2.9037289410515368</v>
      </c>
      <c r="AM35" s="1283">
        <f t="shared" si="182"/>
        <v>2.4500000000000002</v>
      </c>
      <c r="AN35" s="1283">
        <f t="shared" si="94"/>
        <v>2.7145695957663256</v>
      </c>
      <c r="AO35" s="1293">
        <f>+AO19/AO$65*1000</f>
        <v>2.6979783763079652</v>
      </c>
      <c r="AP35" s="1281">
        <f t="shared" si="95"/>
        <v>2.5217294920391171</v>
      </c>
      <c r="AQ35" s="1136">
        <f t="shared" si="95"/>
        <v>2.4499999999999997</v>
      </c>
      <c r="AR35" s="1292">
        <f t="shared" si="95"/>
        <v>3.5775220040622884</v>
      </c>
      <c r="AS35" s="1293">
        <f>+AS19/AS$65*1000</f>
        <v>2.6708903494783272</v>
      </c>
      <c r="AT35" s="1281">
        <f t="shared" si="96"/>
        <v>2.6385406107834992</v>
      </c>
      <c r="AU35" s="1136">
        <f t="shared" si="96"/>
        <v>2.4499999999999997</v>
      </c>
      <c r="AV35" s="1280">
        <f t="shared" si="96"/>
        <v>2.899278538039527</v>
      </c>
      <c r="AW35" s="1293">
        <f>+AW19/AW$65*1000</f>
        <v>2.6509791895510246</v>
      </c>
      <c r="AX35" s="1281">
        <f t="shared" ref="AX35:AZ35" si="183">+AX19/AX$65*1000</f>
        <v>2.6628079185858504</v>
      </c>
      <c r="AY35" s="1136">
        <f t="shared" si="183"/>
        <v>2.4499999999999997</v>
      </c>
      <c r="AZ35" s="1280">
        <f t="shared" si="183"/>
        <v>3.6705526559680015</v>
      </c>
      <c r="BA35" s="1283">
        <f>+BA19/BA$65*1000</f>
        <v>2.4499999999999997</v>
      </c>
      <c r="BB35" s="1283">
        <f t="shared" si="98"/>
        <v>3.4044442304966531</v>
      </c>
      <c r="BC35" s="1222">
        <f>+BC19/BC$65*1000</f>
        <v>2.4499999999999997</v>
      </c>
      <c r="BD35" s="1222">
        <f t="shared" si="122"/>
        <v>3.1260684544651625</v>
      </c>
      <c r="BE35" s="1281">
        <f>+BE19/BE$65*1000</f>
        <v>2.6328099124726183</v>
      </c>
      <c r="BF35" s="1281">
        <f t="shared" si="100"/>
        <v>2.7638344535534487</v>
      </c>
      <c r="BG35" s="26"/>
      <c r="BH35" s="26"/>
      <c r="BI35" s="26"/>
      <c r="BJ35" s="26"/>
      <c r="BK35" s="26"/>
      <c r="BL35" s="26"/>
      <c r="BM35" s="26"/>
      <c r="BN35" s="26"/>
    </row>
    <row r="36" spans="2:66" ht="15.6" x14ac:dyDescent="0.3">
      <c r="B36" s="1285" t="s">
        <v>21</v>
      </c>
      <c r="C36" s="1286" t="s">
        <v>219</v>
      </c>
      <c r="D36" s="200">
        <f t="shared" ref="D36:AB36" si="184">SUM(D22:D35)</f>
        <v>1177.6925320700143</v>
      </c>
      <c r="E36" s="200">
        <f t="shared" si="184"/>
        <v>1177.9256787576485</v>
      </c>
      <c r="F36" s="200">
        <f t="shared" si="184"/>
        <v>1225.867694124227</v>
      </c>
      <c r="G36" s="200">
        <f t="shared" ref="G36:H36" si="185">SUM(G22:G35)</f>
        <v>1178.212518852893</v>
      </c>
      <c r="H36" s="200">
        <f t="shared" si="185"/>
        <v>1213.0501595807555</v>
      </c>
      <c r="I36" s="200">
        <f t="shared" si="184"/>
        <v>1178.071221106864</v>
      </c>
      <c r="J36" s="200">
        <f t="shared" si="184"/>
        <v>1219.1420925781529</v>
      </c>
      <c r="K36" s="200">
        <f t="shared" ref="K36:L36" si="186">SUM(K22:K35)</f>
        <v>1177.9256787576485</v>
      </c>
      <c r="L36" s="200">
        <f t="shared" si="186"/>
        <v>1173.2673530459188</v>
      </c>
      <c r="M36" s="200">
        <f t="shared" si="184"/>
        <v>1177.6925320700143</v>
      </c>
      <c r="N36" s="200">
        <f t="shared" si="184"/>
        <v>1202.7558120769695</v>
      </c>
      <c r="O36" s="200">
        <f t="shared" ref="O36:P36" si="187">SUM(O22:O35)</f>
        <v>1178.0352408390813</v>
      </c>
      <c r="P36" s="200">
        <f t="shared" si="187"/>
        <v>1181.560960900593</v>
      </c>
      <c r="Q36" s="200">
        <f t="shared" si="184"/>
        <v>1178.0206754373867</v>
      </c>
      <c r="R36" s="200">
        <f t="shared" si="184"/>
        <v>1196.9442664516973</v>
      </c>
      <c r="S36" s="200">
        <f t="shared" ref="S36:T36" si="188">SUM(S22:S35)</f>
        <v>1178.0352408390813</v>
      </c>
      <c r="T36" s="200">
        <f t="shared" si="188"/>
        <v>1198.9226967031075</v>
      </c>
      <c r="U36" s="200">
        <f t="shared" ref="U36:X36" si="189">SUM(U22:U35)</f>
        <v>1178.0224541836055</v>
      </c>
      <c r="V36" s="200">
        <f t="shared" si="189"/>
        <v>1197.357497673815</v>
      </c>
      <c r="W36" s="200">
        <f t="shared" si="189"/>
        <v>1177.1843146191436</v>
      </c>
      <c r="X36" s="200">
        <f t="shared" si="189"/>
        <v>1174.7913464822404</v>
      </c>
      <c r="Y36" s="200">
        <f t="shared" si="184"/>
        <v>1177.8512556349926</v>
      </c>
      <c r="Z36" s="200">
        <f t="shared" si="184"/>
        <v>1185.121327285641</v>
      </c>
      <c r="AA36" s="200">
        <f t="shared" si="184"/>
        <v>1177.9441102030846</v>
      </c>
      <c r="AB36" s="200">
        <f t="shared" si="184"/>
        <v>1193.5294498384808</v>
      </c>
      <c r="AC36" s="200">
        <f t="shared" ref="AC36:AD36" si="190">SUM(AC22:AC35)</f>
        <v>1206.4319970447932</v>
      </c>
      <c r="AD36" s="200">
        <f t="shared" si="190"/>
        <v>1197.7406887895356</v>
      </c>
      <c r="AE36" s="200">
        <f t="shared" ref="AE36:AH36" si="191">SUM(AE22:AE35)</f>
        <v>1176.179122534101</v>
      </c>
      <c r="AF36" s="200">
        <f t="shared" si="191"/>
        <v>1193.4714331633227</v>
      </c>
      <c r="AG36" s="200">
        <f t="shared" si="191"/>
        <v>1205.4740501566653</v>
      </c>
      <c r="AH36" s="200">
        <f t="shared" si="191"/>
        <v>1139.754988323022</v>
      </c>
      <c r="AI36" s="200">
        <f t="shared" ref="AI36:AL36" si="192">SUM(AI22:AI35)</f>
        <v>1175.5799291287863</v>
      </c>
      <c r="AJ36" s="200">
        <f t="shared" si="192"/>
        <v>1192.9684565738394</v>
      </c>
      <c r="AK36" s="200">
        <f t="shared" si="192"/>
        <v>1206.4319970447932</v>
      </c>
      <c r="AL36" s="200">
        <f t="shared" si="192"/>
        <v>1197.7609207862745</v>
      </c>
      <c r="AM36" s="801">
        <f t="shared" ref="AM36:AN36" si="193">SUM(AM22:AM35)</f>
        <v>1172.4202155295725</v>
      </c>
      <c r="AN36" s="801">
        <f t="shared" si="193"/>
        <v>1195.8853713689336</v>
      </c>
      <c r="AO36" s="256">
        <f t="shared" ref="AO36:AT36" si="194">SUM(AO22:AO35)</f>
        <v>1175.2309126259086</v>
      </c>
      <c r="AP36" s="256">
        <f t="shared" si="194"/>
        <v>1193.5523032301385</v>
      </c>
      <c r="AQ36" s="200">
        <f t="shared" si="194"/>
        <v>1206.4319970447932</v>
      </c>
      <c r="AR36" s="200">
        <f t="shared" si="194"/>
        <v>1196.785375761679</v>
      </c>
      <c r="AS36" s="200">
        <f t="shared" si="194"/>
        <v>1174.9581460649388</v>
      </c>
      <c r="AT36" s="200">
        <f t="shared" si="194"/>
        <v>1193.9100049708595</v>
      </c>
      <c r="AU36" s="200">
        <f t="shared" ref="AU36:AX36" si="195">SUM(AU22:AU35)</f>
        <v>1205.1556822094426</v>
      </c>
      <c r="AV36" s="200">
        <f t="shared" si="195"/>
        <v>1220.6692574284889</v>
      </c>
      <c r="AW36" s="200">
        <f t="shared" si="195"/>
        <v>1174.6426003197021</v>
      </c>
      <c r="AX36" s="200">
        <f t="shared" si="195"/>
        <v>1196.4005326159324</v>
      </c>
      <c r="AY36" s="200">
        <f t="shared" ref="AY36:AZ36" si="196">SUM(AY22:AY35)</f>
        <v>1206.4319970447932</v>
      </c>
      <c r="AZ36" s="200">
        <f t="shared" si="196"/>
        <v>1229.7326959660504</v>
      </c>
      <c r="BA36" s="200">
        <f t="shared" ref="BA36:BD36" si="197">SUM(BA22:BA35)</f>
        <v>1172.3356594790946</v>
      </c>
      <c r="BB36" s="200">
        <f t="shared" si="197"/>
        <v>1216.1202529219472</v>
      </c>
      <c r="BC36" s="200">
        <f t="shared" si="197"/>
        <v>1172.3784166849591</v>
      </c>
      <c r="BD36" s="200">
        <f t="shared" si="197"/>
        <v>1207.9551449854494</v>
      </c>
      <c r="BE36" s="200">
        <f t="shared" ref="BE36:BF36" si="198">SUM(BE22:BE35)</f>
        <v>1174.4700430581604</v>
      </c>
      <c r="BF36" s="200">
        <f t="shared" si="198"/>
        <v>1199.7420861277715</v>
      </c>
      <c r="BG36" s="26"/>
      <c r="BH36" s="26"/>
      <c r="BI36" s="26"/>
      <c r="BJ36" s="26"/>
      <c r="BK36" s="26"/>
      <c r="BL36" s="26"/>
      <c r="BM36" s="26"/>
      <c r="BN36" s="26"/>
    </row>
    <row r="37" spans="2:66" ht="15.6" x14ac:dyDescent="0.3">
      <c r="B37" s="1285"/>
      <c r="C37" s="1286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6"/>
      <c r="BH37" s="26"/>
      <c r="BI37" s="26"/>
      <c r="BJ37" s="26"/>
      <c r="BK37" s="26"/>
      <c r="BL37" s="26"/>
      <c r="BM37" s="26"/>
      <c r="BN37" s="26"/>
    </row>
    <row r="38" spans="2:66" ht="17.45" x14ac:dyDescent="0.3">
      <c r="B38" s="1278" t="s">
        <v>937</v>
      </c>
      <c r="C38" s="1278"/>
      <c r="D38" s="251"/>
      <c r="E38" s="1278"/>
      <c r="F38" s="1278"/>
      <c r="G38" s="1278"/>
      <c r="H38" s="1278"/>
      <c r="I38" s="1278"/>
      <c r="J38" s="1278"/>
      <c r="K38" s="1278"/>
      <c r="L38" s="1278"/>
      <c r="M38" s="1278"/>
      <c r="N38" s="1278"/>
      <c r="O38" s="1278"/>
      <c r="P38" s="1278"/>
      <c r="Q38" s="1278"/>
      <c r="R38" s="1278"/>
      <c r="S38" s="1278"/>
      <c r="T38" s="1278"/>
      <c r="U38" s="1278"/>
      <c r="V38" s="1278"/>
      <c r="W38" s="1278"/>
      <c r="X38" s="1278"/>
      <c r="Y38" s="1278"/>
      <c r="Z38" s="1278"/>
      <c r="AA38" s="1278"/>
      <c r="AB38" s="1278"/>
      <c r="AC38" s="1278"/>
      <c r="AD38" s="1278"/>
      <c r="AE38" s="1278"/>
      <c r="AF38" s="1278"/>
      <c r="AG38" s="1278"/>
      <c r="AH38" s="1278"/>
      <c r="AI38" s="1278"/>
      <c r="AJ38" s="1278"/>
      <c r="AK38" s="1278"/>
      <c r="AL38" s="1278"/>
      <c r="AM38" s="1278"/>
      <c r="AN38" s="1278"/>
      <c r="AO38" s="1278"/>
      <c r="AP38" s="1278"/>
      <c r="AQ38" s="1278"/>
      <c r="AR38" s="1278"/>
      <c r="AS38" s="1278"/>
      <c r="AT38" s="1278"/>
      <c r="AU38" s="1278"/>
      <c r="AV38" s="1278"/>
      <c r="AW38" s="1278"/>
      <c r="AX38" s="1278"/>
      <c r="AY38" s="1278"/>
      <c r="AZ38" s="1278"/>
      <c r="BA38" s="1278"/>
      <c r="BB38" s="1278"/>
      <c r="BC38" s="1278"/>
      <c r="BD38" s="1278"/>
      <c r="BE38" s="1278"/>
      <c r="BF38" s="1278"/>
      <c r="BG38" s="26"/>
      <c r="BH38" s="26"/>
      <c r="BI38" s="26"/>
      <c r="BJ38" s="26"/>
      <c r="BK38" s="26"/>
      <c r="BL38" s="26"/>
      <c r="BM38" s="26"/>
      <c r="BN38" s="26"/>
    </row>
    <row r="39" spans="2:66" ht="14.45" x14ac:dyDescent="0.3">
      <c r="B39" s="1279" t="s">
        <v>43</v>
      </c>
      <c r="C39" s="64" t="s">
        <v>50</v>
      </c>
      <c r="D39" s="1134">
        <v>5138143.293506925</v>
      </c>
      <c r="E39" s="1280">
        <f>+E20</f>
        <v>438413.85245607345</v>
      </c>
      <c r="F39" s="1280">
        <f>+F20</f>
        <v>394521</v>
      </c>
      <c r="G39" s="1280">
        <f>+G20</f>
        <v>451693.82970925875</v>
      </c>
      <c r="H39" s="1280">
        <f>+H20</f>
        <v>431004</v>
      </c>
      <c r="I39" s="1281">
        <f>+E39+G39</f>
        <v>890107.68216533214</v>
      </c>
      <c r="J39" s="1281">
        <f>+F39+H39</f>
        <v>825525</v>
      </c>
      <c r="K39" s="1280">
        <f>+K20</f>
        <v>438413.85245607345</v>
      </c>
      <c r="L39" s="1280">
        <f>+L20</f>
        <v>441470</v>
      </c>
      <c r="M39" s="1283">
        <f t="shared" ref="M39:M48" si="199">+K39+G39+E39</f>
        <v>1328521.5346214056</v>
      </c>
      <c r="N39" s="1283">
        <f t="shared" ref="N39:N48" si="200">+L39+H39+F39</f>
        <v>1266995</v>
      </c>
      <c r="O39" s="1280">
        <f>+O20</f>
        <v>443393.84392601775</v>
      </c>
      <c r="P39" s="1280">
        <f>+P20</f>
        <v>470214</v>
      </c>
      <c r="Q39" s="1281">
        <f>+M39+O39</f>
        <v>1771915.3785474235</v>
      </c>
      <c r="R39" s="1282">
        <f>+N39+P39</f>
        <v>1737209</v>
      </c>
      <c r="S39" s="1280">
        <f>+S20</f>
        <v>443393.84392601775</v>
      </c>
      <c r="T39" s="1280">
        <f>+T20</f>
        <v>459402</v>
      </c>
      <c r="U39" s="1281">
        <f>+Q39+S39</f>
        <v>2215309.2224734412</v>
      </c>
      <c r="V39" s="1282">
        <f>+R39+T39</f>
        <v>2196611</v>
      </c>
      <c r="W39" s="1280">
        <f>+W20</f>
        <v>244456.34331918461</v>
      </c>
      <c r="X39" s="1280">
        <f>+X20</f>
        <v>440293</v>
      </c>
      <c r="Y39" s="1283">
        <f t="shared" ref="Y39:Y48" si="201">+O39+S39+W39</f>
        <v>1131244.0311712201</v>
      </c>
      <c r="Z39" s="1283">
        <f t="shared" ref="Z39:Z48" si="202">+P39+T39+X39</f>
        <v>1369909</v>
      </c>
      <c r="AA39" s="1222">
        <f>M39+Y39</f>
        <v>2459765.5657926258</v>
      </c>
      <c r="AB39" s="1222">
        <f>N39+Z39</f>
        <v>2636904</v>
      </c>
      <c r="AC39" s="1280">
        <f>+AC20</f>
        <v>486254.06130773108</v>
      </c>
      <c r="AD39" s="1280">
        <f>+AD20</f>
        <v>446586</v>
      </c>
      <c r="AE39" s="1281">
        <f>+AA39+AC39</f>
        <v>2946019.6271003569</v>
      </c>
      <c r="AF39" s="1281">
        <f>+AB39+AD39</f>
        <v>3083490</v>
      </c>
      <c r="AG39" s="1280">
        <f>+AG20</f>
        <v>473039.7342612528</v>
      </c>
      <c r="AH39" s="1280">
        <f>+AH20</f>
        <v>27818</v>
      </c>
      <c r="AI39" s="1281">
        <f>+AE39+AG39</f>
        <v>3419059.3613616098</v>
      </c>
      <c r="AJ39" s="1281">
        <f>+AF39+AH39</f>
        <v>3111308</v>
      </c>
      <c r="AK39" s="1280">
        <f>+AK20</f>
        <v>486254.06130773108</v>
      </c>
      <c r="AL39" s="1280">
        <f>+AL20</f>
        <v>433115.14</v>
      </c>
      <c r="AM39" s="1283">
        <f t="shared" ref="AM39:AM48" si="203">+AC39+AG39+AK39</f>
        <v>1445547.8568767151</v>
      </c>
      <c r="AN39" s="1283">
        <f t="shared" ref="AN39:AN48" si="204">+AD39+AH39+AL39</f>
        <v>907519.14</v>
      </c>
      <c r="AO39" s="1281">
        <f t="shared" ref="AO39:AP39" si="205">AI39+AK39</f>
        <v>3905313.4226693409</v>
      </c>
      <c r="AP39" s="1281">
        <f t="shared" si="205"/>
        <v>3544423.14</v>
      </c>
      <c r="AQ39" s="1280">
        <f>+AQ20</f>
        <v>486254.06130773108</v>
      </c>
      <c r="AR39" s="1280">
        <f>+AR20</f>
        <v>441913</v>
      </c>
      <c r="AS39" s="1281">
        <f>+AO39+AQ39</f>
        <v>4391567.4839770719</v>
      </c>
      <c r="AT39" s="1281">
        <f>+AP39+AR39</f>
        <v>3986336.14</v>
      </c>
      <c r="AU39" s="1280">
        <f>+AU20</f>
        <v>440540.11269603309</v>
      </c>
      <c r="AV39" s="1280">
        <f>+AV20</f>
        <v>418078</v>
      </c>
      <c r="AW39" s="1281">
        <f>+AS39+AU39</f>
        <v>4832107.5966731049</v>
      </c>
      <c r="AX39" s="1281">
        <f>+AT39+AV39</f>
        <v>4404414.1400000006</v>
      </c>
      <c r="AY39" s="1280">
        <f>+AY20</f>
        <v>486254.06130773108</v>
      </c>
      <c r="AZ39" s="1280">
        <f>+AZ20</f>
        <v>504215</v>
      </c>
      <c r="BA39" s="1283">
        <f t="shared" ref="BA39:BA48" si="206">+AQ39+AU39+AY39</f>
        <v>1413048.2353114951</v>
      </c>
      <c r="BB39" s="1283">
        <f t="shared" ref="BB39:BB48" si="207">+AR39+AV39+AZ39</f>
        <v>1364206</v>
      </c>
      <c r="BC39" s="1222">
        <f t="shared" ref="BC39:BC48" si="208">AM39+BA39</f>
        <v>2858596.0921882102</v>
      </c>
      <c r="BD39" s="1222">
        <f t="shared" ref="BD39:BD48" si="209">AN39+BB39</f>
        <v>2271725.14</v>
      </c>
      <c r="BE39" s="1281">
        <f>+AW39+AY39</f>
        <v>5318361.657980836</v>
      </c>
      <c r="BF39" s="1281">
        <f>+AX39+AZ39</f>
        <v>4908629.1400000006</v>
      </c>
      <c r="BG39" s="26"/>
      <c r="BH39" s="26"/>
      <c r="BI39" s="26"/>
      <c r="BJ39" s="26"/>
      <c r="BK39" s="26"/>
      <c r="BL39" s="26"/>
      <c r="BM39" s="26"/>
      <c r="BN39" s="26"/>
    </row>
    <row r="40" spans="2:66" ht="14.45" x14ac:dyDescent="0.3">
      <c r="B40" s="1279" t="s">
        <v>70</v>
      </c>
      <c r="C40" s="64" t="s">
        <v>50</v>
      </c>
      <c r="D40" s="1201">
        <v>84994.967020095864</v>
      </c>
      <c r="E40" s="1280">
        <v>7250.8132898682006</v>
      </c>
      <c r="F40" s="151">
        <v>3023</v>
      </c>
      <c r="G40" s="1280">
        <v>7468.6286907679323</v>
      </c>
      <c r="H40" s="151">
        <v>3012</v>
      </c>
      <c r="I40" s="1281">
        <f t="shared" ref="I40:I48" si="210">+E40+G40</f>
        <v>14719.441980636133</v>
      </c>
      <c r="J40" s="1281">
        <f t="shared" ref="J40:J48" si="211">+F40+H40</f>
        <v>6035</v>
      </c>
      <c r="K40" s="1280">
        <v>7250.8132898682006</v>
      </c>
      <c r="L40" s="151">
        <v>6321</v>
      </c>
      <c r="M40" s="1283">
        <f t="shared" si="199"/>
        <v>21970.255270504334</v>
      </c>
      <c r="N40" s="1283">
        <f>+L40+H40+F40</f>
        <v>12356</v>
      </c>
      <c r="O40" s="1280">
        <v>7332.4940652055993</v>
      </c>
      <c r="P40" s="151">
        <v>15515</v>
      </c>
      <c r="Q40" s="1281">
        <f t="shared" ref="Q40:Q48" si="212">+M40+O40</f>
        <v>29302.749335709934</v>
      </c>
      <c r="R40" s="1282">
        <f t="shared" ref="R40:R48" si="213">+N40+P40</f>
        <v>27871</v>
      </c>
      <c r="S40" s="1280">
        <v>7332.4940652055993</v>
      </c>
      <c r="T40" s="151">
        <v>12053</v>
      </c>
      <c r="U40" s="1281">
        <f t="shared" ref="U40:U48" si="214">+Q40+S40</f>
        <v>36635.243400915533</v>
      </c>
      <c r="V40" s="1282">
        <f t="shared" ref="V40:V48" si="215">+R40+T40</f>
        <v>39924</v>
      </c>
      <c r="W40" s="1280">
        <v>4045.5464126612937</v>
      </c>
      <c r="X40" s="151">
        <v>14458</v>
      </c>
      <c r="Y40" s="1283">
        <f t="shared" si="201"/>
        <v>18710.534543072492</v>
      </c>
      <c r="Z40" s="1283">
        <f t="shared" si="202"/>
        <v>42026</v>
      </c>
      <c r="AA40" s="1222">
        <f t="shared" ref="AA40:AA48" si="216">M40+Y40</f>
        <v>40680.789813576826</v>
      </c>
      <c r="AB40" s="1222">
        <f t="shared" ref="AB40:AB48" si="217">N40+Z40</f>
        <v>54382</v>
      </c>
      <c r="AC40" s="1280">
        <v>8036.8462317635631</v>
      </c>
      <c r="AD40" s="151">
        <v>10655</v>
      </c>
      <c r="AE40" s="1281">
        <f t="shared" ref="AE40:AE46" si="218">+AA40+AC40</f>
        <v>48717.63604534039</v>
      </c>
      <c r="AF40" s="1282">
        <f t="shared" ref="AF40:AF46" si="219">+AB40+AD40</f>
        <v>65037</v>
      </c>
      <c r="AG40" s="1280">
        <v>7824.6518037922142</v>
      </c>
      <c r="AH40" s="151">
        <v>786</v>
      </c>
      <c r="AI40" s="1281">
        <f t="shared" ref="AI40:AI48" si="220">+AE40+AG40</f>
        <v>56542.287849132605</v>
      </c>
      <c r="AJ40" s="1282">
        <f t="shared" ref="AJ40:AJ48" si="221">+AF40+AH40</f>
        <v>65823</v>
      </c>
      <c r="AK40" s="1280">
        <v>8036.8462317635631</v>
      </c>
      <c r="AL40" s="151">
        <v>9664</v>
      </c>
      <c r="AM40" s="1283">
        <f t="shared" si="203"/>
        <v>23898.344267319342</v>
      </c>
      <c r="AN40" s="1283">
        <f t="shared" si="204"/>
        <v>21105</v>
      </c>
      <c r="AO40" s="1281">
        <f t="shared" ref="AO40:AO48" si="222">AI40+AK40</f>
        <v>64579.134080896169</v>
      </c>
      <c r="AP40" s="1281">
        <f t="shared" ref="AP40:AP48" si="223">AJ40+AL40</f>
        <v>75487</v>
      </c>
      <c r="AQ40" s="1280">
        <v>8036.8462317635631</v>
      </c>
      <c r="AR40" s="151">
        <v>9564</v>
      </c>
      <c r="AS40" s="1281">
        <f t="shared" ref="AS40:AS48" si="224">+AO40+AQ40</f>
        <v>72615.980312659725</v>
      </c>
      <c r="AT40" s="1282">
        <f t="shared" ref="AT40:AT48" si="225">+AP40+AR40</f>
        <v>85051</v>
      </c>
      <c r="AU40" s="1280">
        <v>7288.9936227920989</v>
      </c>
      <c r="AV40" s="151">
        <v>3156</v>
      </c>
      <c r="AW40" s="1281">
        <f t="shared" ref="AW40:AW48" si="226">+AS40+AU40</f>
        <v>79904.973935451824</v>
      </c>
      <c r="AX40" s="1282">
        <f t="shared" ref="AX40:AX48" si="227">+AT40+AV40</f>
        <v>88207</v>
      </c>
      <c r="AY40" s="1280">
        <v>8036.8462317635631</v>
      </c>
      <c r="AZ40" s="151">
        <v>12136</v>
      </c>
      <c r="BA40" s="1283">
        <f t="shared" si="206"/>
        <v>23362.686086319227</v>
      </c>
      <c r="BB40" s="1283">
        <f t="shared" si="207"/>
        <v>24856</v>
      </c>
      <c r="BC40" s="1222">
        <f t="shared" si="208"/>
        <v>47261.030353638569</v>
      </c>
      <c r="BD40" s="1222">
        <f t="shared" si="209"/>
        <v>45961</v>
      </c>
      <c r="BE40" s="1281">
        <f t="shared" ref="BE40:BE48" si="228">+AW40+AY40</f>
        <v>87941.820167215381</v>
      </c>
      <c r="BF40" s="1281">
        <f t="shared" ref="BF40:BF48" si="229">+AX40+AZ40</f>
        <v>100343</v>
      </c>
      <c r="BG40" s="26"/>
      <c r="BH40" s="26"/>
      <c r="BI40" s="26"/>
      <c r="BJ40" s="26"/>
      <c r="BK40" s="26"/>
      <c r="BL40" s="26"/>
      <c r="BM40" s="26"/>
      <c r="BN40" s="26"/>
    </row>
    <row r="41" spans="2:66" ht="14.45" x14ac:dyDescent="0.3">
      <c r="B41" s="1279" t="s">
        <v>674</v>
      </c>
      <c r="C41" s="64" t="s">
        <v>50</v>
      </c>
      <c r="D41" s="1201">
        <v>21783.301296030866</v>
      </c>
      <c r="E41" s="1280">
        <v>1858.3059217743978</v>
      </c>
      <c r="F41" s="151">
        <v>599</v>
      </c>
      <c r="G41" s="1280">
        <v>1914.1296801810902</v>
      </c>
      <c r="H41" s="151">
        <v>1342</v>
      </c>
      <c r="I41" s="1281">
        <f t="shared" si="210"/>
        <v>3772.435601955488</v>
      </c>
      <c r="J41" s="1281">
        <f t="shared" si="211"/>
        <v>1941</v>
      </c>
      <c r="K41" s="1280">
        <v>1858.3059217743978</v>
      </c>
      <c r="L41" s="151">
        <v>1148</v>
      </c>
      <c r="M41" s="1283">
        <f t="shared" si="199"/>
        <v>5630.7415237298856</v>
      </c>
      <c r="N41" s="1283">
        <f t="shared" si="200"/>
        <v>3089</v>
      </c>
      <c r="O41" s="1280">
        <v>1879.2398311769073</v>
      </c>
      <c r="P41" s="151">
        <v>872</v>
      </c>
      <c r="Q41" s="1281">
        <f t="shared" si="212"/>
        <v>7509.9813549067931</v>
      </c>
      <c r="R41" s="1282">
        <f t="shared" si="213"/>
        <v>3961</v>
      </c>
      <c r="S41" s="1280">
        <v>1879.2398311769073</v>
      </c>
      <c r="T41" s="151">
        <v>302</v>
      </c>
      <c r="U41" s="1281">
        <f t="shared" si="214"/>
        <v>9389.2211860836996</v>
      </c>
      <c r="V41" s="1282">
        <f t="shared" si="215"/>
        <v>4263</v>
      </c>
      <c r="W41" s="1280">
        <v>1036.830291295269</v>
      </c>
      <c r="X41" s="151">
        <v>928</v>
      </c>
      <c r="Y41" s="1283">
        <f t="shared" si="201"/>
        <v>4795.3099536490836</v>
      </c>
      <c r="Z41" s="1283">
        <f t="shared" si="202"/>
        <v>2102</v>
      </c>
      <c r="AA41" s="1222">
        <f t="shared" si="216"/>
        <v>10426.051477378969</v>
      </c>
      <c r="AB41" s="1222">
        <f t="shared" si="217"/>
        <v>5191</v>
      </c>
      <c r="AC41" s="1280">
        <v>0</v>
      </c>
      <c r="AD41" s="151">
        <v>821</v>
      </c>
      <c r="AE41" s="1281">
        <f t="shared" si="218"/>
        <v>10426.051477378969</v>
      </c>
      <c r="AF41" s="1282">
        <f t="shared" si="219"/>
        <v>6012</v>
      </c>
      <c r="AG41" s="1280">
        <v>0</v>
      </c>
      <c r="AH41" s="151">
        <v>586</v>
      </c>
      <c r="AI41" s="1281">
        <f t="shared" si="220"/>
        <v>10426.051477378969</v>
      </c>
      <c r="AJ41" s="1282">
        <f t="shared" si="221"/>
        <v>6598</v>
      </c>
      <c r="AK41" s="1280">
        <v>0</v>
      </c>
      <c r="AL41" s="151">
        <v>2031</v>
      </c>
      <c r="AM41" s="1283">
        <f t="shared" si="203"/>
        <v>0</v>
      </c>
      <c r="AN41" s="1283">
        <f t="shared" si="204"/>
        <v>3438</v>
      </c>
      <c r="AO41" s="1281">
        <f t="shared" si="222"/>
        <v>10426.051477378969</v>
      </c>
      <c r="AP41" s="1281">
        <f t="shared" si="223"/>
        <v>8629</v>
      </c>
      <c r="AQ41" s="1280">
        <v>0</v>
      </c>
      <c r="AR41" s="151">
        <v>1653</v>
      </c>
      <c r="AS41" s="1281">
        <f t="shared" si="224"/>
        <v>10426.051477378969</v>
      </c>
      <c r="AT41" s="1282">
        <f t="shared" si="225"/>
        <v>10282</v>
      </c>
      <c r="AU41" s="1280">
        <v>0</v>
      </c>
      <c r="AV41" s="151">
        <v>1007</v>
      </c>
      <c r="AW41" s="1281">
        <f t="shared" si="226"/>
        <v>10426.051477378969</v>
      </c>
      <c r="AX41" s="1282">
        <f t="shared" si="227"/>
        <v>11289</v>
      </c>
      <c r="AY41" s="1280">
        <v>0</v>
      </c>
      <c r="AZ41" s="151">
        <v>96</v>
      </c>
      <c r="BA41" s="1283">
        <f t="shared" si="206"/>
        <v>0</v>
      </c>
      <c r="BB41" s="1283">
        <f t="shared" si="207"/>
        <v>2756</v>
      </c>
      <c r="BC41" s="1222">
        <f t="shared" si="208"/>
        <v>0</v>
      </c>
      <c r="BD41" s="1222">
        <f t="shared" si="209"/>
        <v>6194</v>
      </c>
      <c r="BE41" s="1281">
        <f t="shared" si="228"/>
        <v>10426.051477378969</v>
      </c>
      <c r="BF41" s="1281">
        <f t="shared" si="229"/>
        <v>11385</v>
      </c>
      <c r="BG41" s="26"/>
      <c r="BH41" s="26"/>
      <c r="BI41" s="26"/>
      <c r="BJ41" s="26"/>
      <c r="BK41" s="26"/>
      <c r="BL41" s="26"/>
      <c r="BM41" s="26"/>
      <c r="BN41" s="26"/>
    </row>
    <row r="42" spans="2:66" ht="14.45" x14ac:dyDescent="0.3">
      <c r="B42" s="1279" t="s">
        <v>44</v>
      </c>
      <c r="C42" s="64" t="s">
        <v>50</v>
      </c>
      <c r="D42" s="1201">
        <v>97984.437251772499</v>
      </c>
      <c r="E42" s="1280">
        <v>8358.9285899414353</v>
      </c>
      <c r="F42" s="151">
        <v>6869</v>
      </c>
      <c r="G42" s="1280">
        <v>8610.0319226468109</v>
      </c>
      <c r="H42" s="151">
        <v>7400</v>
      </c>
      <c r="I42" s="1281">
        <f t="shared" si="210"/>
        <v>16968.960512588244</v>
      </c>
      <c r="J42" s="1281">
        <f t="shared" si="211"/>
        <v>14269</v>
      </c>
      <c r="K42" s="1280">
        <v>8358.9285899414353</v>
      </c>
      <c r="L42" s="151">
        <v>8277</v>
      </c>
      <c r="M42" s="1283">
        <f t="shared" si="199"/>
        <v>25327.88910252968</v>
      </c>
      <c r="N42" s="1283">
        <f t="shared" si="200"/>
        <v>22546</v>
      </c>
      <c r="O42" s="1280">
        <v>8453.0923397059505</v>
      </c>
      <c r="P42" s="151">
        <v>7984</v>
      </c>
      <c r="Q42" s="1281">
        <f t="shared" si="212"/>
        <v>33780.981442235628</v>
      </c>
      <c r="R42" s="1282">
        <f t="shared" si="213"/>
        <v>30530</v>
      </c>
      <c r="S42" s="1280">
        <v>8453.0923397059505</v>
      </c>
      <c r="T42" s="151">
        <v>7337</v>
      </c>
      <c r="U42" s="1281">
        <f t="shared" si="214"/>
        <v>42234.073781941581</v>
      </c>
      <c r="V42" s="1282">
        <f t="shared" si="215"/>
        <v>37867</v>
      </c>
      <c r="W42" s="1280">
        <v>4663.8124881773347</v>
      </c>
      <c r="X42" s="151">
        <v>7087</v>
      </c>
      <c r="Y42" s="1283">
        <f t="shared" si="201"/>
        <v>21569.997167589238</v>
      </c>
      <c r="Z42" s="1283">
        <f t="shared" si="202"/>
        <v>22408</v>
      </c>
      <c r="AA42" s="1222">
        <f t="shared" si="216"/>
        <v>46897.886270118921</v>
      </c>
      <c r="AB42" s="1222">
        <f t="shared" si="217"/>
        <v>44954</v>
      </c>
      <c r="AC42" s="1280">
        <v>8845.593718555383</v>
      </c>
      <c r="AD42" s="151">
        <v>6933</v>
      </c>
      <c r="AE42" s="1281">
        <f t="shared" si="218"/>
        <v>55743.479988674306</v>
      </c>
      <c r="AF42" s="1282">
        <f t="shared" si="219"/>
        <v>51887</v>
      </c>
      <c r="AG42" s="1280">
        <v>8612.0461745252978</v>
      </c>
      <c r="AH42" s="151">
        <v>294</v>
      </c>
      <c r="AI42" s="1281">
        <f t="shared" si="220"/>
        <v>64355.526163199604</v>
      </c>
      <c r="AJ42" s="1282">
        <f t="shared" si="221"/>
        <v>52181</v>
      </c>
      <c r="AK42" s="1280">
        <v>8845.593718555383</v>
      </c>
      <c r="AL42" s="151">
        <v>4947</v>
      </c>
      <c r="AM42" s="1283">
        <f t="shared" si="203"/>
        <v>26303.233611636068</v>
      </c>
      <c r="AN42" s="1283">
        <f t="shared" si="204"/>
        <v>12174</v>
      </c>
      <c r="AO42" s="1281">
        <f t="shared" si="222"/>
        <v>73201.119881754988</v>
      </c>
      <c r="AP42" s="1281">
        <f t="shared" si="223"/>
        <v>57128</v>
      </c>
      <c r="AQ42" s="1280">
        <v>8845.593718555383</v>
      </c>
      <c r="AR42" s="151">
        <v>6931</v>
      </c>
      <c r="AS42" s="1281">
        <f t="shared" si="224"/>
        <v>82046.713600310366</v>
      </c>
      <c r="AT42" s="1282">
        <f t="shared" si="225"/>
        <v>64059</v>
      </c>
      <c r="AU42" s="1280">
        <v>8022.4847340661236</v>
      </c>
      <c r="AV42" s="151">
        <v>6379</v>
      </c>
      <c r="AW42" s="1281">
        <f t="shared" si="226"/>
        <v>90069.198334376488</v>
      </c>
      <c r="AX42" s="1282">
        <f t="shared" si="227"/>
        <v>70438</v>
      </c>
      <c r="AY42" s="1280">
        <v>8845.593718555383</v>
      </c>
      <c r="AZ42" s="151">
        <v>7458</v>
      </c>
      <c r="BA42" s="1283">
        <f t="shared" si="206"/>
        <v>25713.672171176891</v>
      </c>
      <c r="BB42" s="1283">
        <f t="shared" si="207"/>
        <v>20768</v>
      </c>
      <c r="BC42" s="1222">
        <f t="shared" si="208"/>
        <v>52016.905782812959</v>
      </c>
      <c r="BD42" s="1222">
        <f t="shared" si="209"/>
        <v>32942</v>
      </c>
      <c r="BE42" s="1281">
        <f t="shared" si="228"/>
        <v>98914.792052931865</v>
      </c>
      <c r="BF42" s="1281">
        <f t="shared" si="229"/>
        <v>77896</v>
      </c>
      <c r="BG42" s="26"/>
      <c r="BH42" s="26"/>
      <c r="BI42" s="26"/>
      <c r="BJ42" s="26"/>
      <c r="BK42" s="26"/>
      <c r="BL42" s="26"/>
      <c r="BM42" s="26"/>
      <c r="BN42" s="26"/>
    </row>
    <row r="43" spans="2:66" ht="14.45" x14ac:dyDescent="0.3">
      <c r="B43" s="1279" t="s">
        <v>71</v>
      </c>
      <c r="C43" s="64" t="s">
        <v>50</v>
      </c>
      <c r="D43" s="1201">
        <v>83112.787093662555</v>
      </c>
      <c r="E43" s="1280">
        <v>7090.2468974925305</v>
      </c>
      <c r="F43" s="151">
        <v>4883</v>
      </c>
      <c r="G43" s="1280">
        <v>7303.2388624922933</v>
      </c>
      <c r="H43" s="151">
        <v>8068</v>
      </c>
      <c r="I43" s="1281">
        <f t="shared" si="210"/>
        <v>14393.485759984824</v>
      </c>
      <c r="J43" s="1281">
        <f t="shared" si="211"/>
        <v>12951</v>
      </c>
      <c r="K43" s="1280">
        <v>7090.2468974925305</v>
      </c>
      <c r="L43" s="151">
        <v>9954</v>
      </c>
      <c r="M43" s="1283">
        <f t="shared" si="199"/>
        <v>21483.732657477354</v>
      </c>
      <c r="N43" s="1283">
        <f t="shared" si="200"/>
        <v>22905</v>
      </c>
      <c r="O43" s="1280">
        <v>7170.1188843674408</v>
      </c>
      <c r="P43" s="151">
        <v>10553</v>
      </c>
      <c r="Q43" s="1281">
        <f t="shared" si="212"/>
        <v>28653.851541844793</v>
      </c>
      <c r="R43" s="1282">
        <f t="shared" si="213"/>
        <v>33458</v>
      </c>
      <c r="S43" s="1280">
        <v>7170.1188843674408</v>
      </c>
      <c r="T43" s="151">
        <v>7779</v>
      </c>
      <c r="U43" s="1281">
        <f t="shared" si="214"/>
        <v>35823.970426212232</v>
      </c>
      <c r="V43" s="1282">
        <f t="shared" si="215"/>
        <v>41237</v>
      </c>
      <c r="W43" s="1280">
        <v>3955.95938749585</v>
      </c>
      <c r="X43" s="151">
        <v>10384</v>
      </c>
      <c r="Y43" s="1283">
        <f t="shared" si="201"/>
        <v>18296.19715623073</v>
      </c>
      <c r="Z43" s="1283">
        <f t="shared" si="202"/>
        <v>28716</v>
      </c>
      <c r="AA43" s="1222">
        <f t="shared" si="216"/>
        <v>39779.929813708084</v>
      </c>
      <c r="AB43" s="1222">
        <f t="shared" si="217"/>
        <v>51621</v>
      </c>
      <c r="AC43" s="1280">
        <v>7180.9127504478201</v>
      </c>
      <c r="AD43" s="151">
        <f>7477+267</f>
        <v>7744</v>
      </c>
      <c r="AE43" s="1281">
        <f t="shared" si="218"/>
        <v>46960.842564155901</v>
      </c>
      <c r="AF43" s="1282">
        <f t="shared" si="219"/>
        <v>59365</v>
      </c>
      <c r="AG43" s="1280">
        <v>6991.3172761221795</v>
      </c>
      <c r="AH43" s="151">
        <f>429+267</f>
        <v>696</v>
      </c>
      <c r="AI43" s="1281">
        <f t="shared" si="220"/>
        <v>53952.15984027808</v>
      </c>
      <c r="AJ43" s="1282">
        <f t="shared" si="221"/>
        <v>60061</v>
      </c>
      <c r="AK43" s="1280">
        <v>7180.9127504478201</v>
      </c>
      <c r="AL43" s="151">
        <f>5553+267</f>
        <v>5820</v>
      </c>
      <c r="AM43" s="1283">
        <f t="shared" si="203"/>
        <v>21353.14277701782</v>
      </c>
      <c r="AN43" s="1283">
        <f t="shared" si="204"/>
        <v>14260</v>
      </c>
      <c r="AO43" s="1281">
        <f t="shared" si="222"/>
        <v>61133.072590725904</v>
      </c>
      <c r="AP43" s="1281">
        <f t="shared" si="223"/>
        <v>65881</v>
      </c>
      <c r="AQ43" s="1280">
        <v>7180.9127504478201</v>
      </c>
      <c r="AR43" s="151">
        <f>7597+267</f>
        <v>7864</v>
      </c>
      <c r="AS43" s="1281">
        <f t="shared" si="224"/>
        <v>68313.985341173728</v>
      </c>
      <c r="AT43" s="1282">
        <f t="shared" si="225"/>
        <v>73745</v>
      </c>
      <c r="AU43" s="1280">
        <v>6512.7073150875822</v>
      </c>
      <c r="AV43" s="151">
        <f>9051+267</f>
        <v>9318</v>
      </c>
      <c r="AW43" s="1281">
        <f t="shared" si="226"/>
        <v>74826.692656261308</v>
      </c>
      <c r="AX43" s="1282">
        <f t="shared" si="227"/>
        <v>83063</v>
      </c>
      <c r="AY43" s="1280">
        <v>7180.9127504478201</v>
      </c>
      <c r="AZ43" s="151">
        <f>6872+267</f>
        <v>7139</v>
      </c>
      <c r="BA43" s="1283">
        <f t="shared" si="206"/>
        <v>20874.532815983221</v>
      </c>
      <c r="BB43" s="1283">
        <f t="shared" si="207"/>
        <v>24321</v>
      </c>
      <c r="BC43" s="1222">
        <f t="shared" si="208"/>
        <v>42227.67559300104</v>
      </c>
      <c r="BD43" s="1222">
        <f t="shared" si="209"/>
        <v>38581</v>
      </c>
      <c r="BE43" s="1281">
        <f t="shared" si="228"/>
        <v>82007.605406709132</v>
      </c>
      <c r="BF43" s="1281">
        <f t="shared" si="229"/>
        <v>90202</v>
      </c>
      <c r="BG43" s="26"/>
      <c r="BH43" s="26"/>
      <c r="BI43" s="26"/>
      <c r="BJ43" s="26"/>
      <c r="BK43" s="26"/>
      <c r="BL43" s="26"/>
      <c r="BM43" s="26"/>
      <c r="BN43" s="26"/>
    </row>
    <row r="44" spans="2:66" ht="14.45" x14ac:dyDescent="0.3">
      <c r="B44" s="1279" t="s">
        <v>67</v>
      </c>
      <c r="C44" s="64" t="s">
        <v>50</v>
      </c>
      <c r="D44" s="1201">
        <v>392658.83666297258</v>
      </c>
      <c r="E44" s="1280">
        <v>33497.229436972579</v>
      </c>
      <c r="F44" s="151">
        <v>25746.400000000001</v>
      </c>
      <c r="G44" s="1280">
        <v>34503.490688939957</v>
      </c>
      <c r="H44" s="151">
        <v>28424.48</v>
      </c>
      <c r="I44" s="1281">
        <f t="shared" si="210"/>
        <v>68000.720125912543</v>
      </c>
      <c r="J44" s="1281">
        <f t="shared" si="211"/>
        <v>54170.880000000005</v>
      </c>
      <c r="K44" s="1280">
        <v>33497.229436972579</v>
      </c>
      <c r="L44" s="151">
        <v>30101.920000000002</v>
      </c>
      <c r="M44" s="1283">
        <f t="shared" si="199"/>
        <v>101497.94956288513</v>
      </c>
      <c r="N44" s="1283">
        <f t="shared" si="200"/>
        <v>84272.8</v>
      </c>
      <c r="O44" s="1280">
        <v>33874.577406460347</v>
      </c>
      <c r="P44" s="151">
        <v>31836.799999999999</v>
      </c>
      <c r="Q44" s="1281">
        <f t="shared" si="212"/>
        <v>135372.52696934546</v>
      </c>
      <c r="R44" s="1281">
        <f t="shared" si="213"/>
        <v>116109.6</v>
      </c>
      <c r="S44" s="1280">
        <v>33874.577406460347</v>
      </c>
      <c r="T44" s="151">
        <v>30654.32</v>
      </c>
      <c r="U44" s="1281">
        <f t="shared" si="214"/>
        <v>169247.10437580582</v>
      </c>
      <c r="V44" s="1281">
        <f t="shared" si="215"/>
        <v>146763.92000000001</v>
      </c>
      <c r="W44" s="1280">
        <v>18689.571909429207</v>
      </c>
      <c r="X44" s="151">
        <v>29982.720000000001</v>
      </c>
      <c r="Y44" s="1283">
        <f t="shared" si="201"/>
        <v>86438.726722349908</v>
      </c>
      <c r="Z44" s="1283">
        <f t="shared" si="202"/>
        <v>92473.84</v>
      </c>
      <c r="AA44" s="1222">
        <f t="shared" si="216"/>
        <v>187936.67628523504</v>
      </c>
      <c r="AB44" s="1222">
        <f t="shared" si="217"/>
        <v>176746.64</v>
      </c>
      <c r="AC44" s="1280">
        <v>34259.365892483496</v>
      </c>
      <c r="AD44" s="151">
        <v>29828.560000000001</v>
      </c>
      <c r="AE44" s="1281">
        <f t="shared" si="218"/>
        <v>222196.04217771854</v>
      </c>
      <c r="AF44" s="1281">
        <f t="shared" si="219"/>
        <v>206575.2</v>
      </c>
      <c r="AG44" s="1280">
        <v>33354.826183924029</v>
      </c>
      <c r="AH44" s="151">
        <v>1952.56</v>
      </c>
      <c r="AI44" s="1281">
        <f t="shared" si="220"/>
        <v>255550.86836164258</v>
      </c>
      <c r="AJ44" s="1281">
        <f t="shared" si="221"/>
        <v>208527.76</v>
      </c>
      <c r="AK44" s="1280">
        <v>34259.365892483496</v>
      </c>
      <c r="AL44" s="151">
        <v>28928.32</v>
      </c>
      <c r="AM44" s="1283">
        <f t="shared" si="203"/>
        <v>101873.55796889102</v>
      </c>
      <c r="AN44" s="1283">
        <f t="shared" si="204"/>
        <v>60709.440000000002</v>
      </c>
      <c r="AO44" s="1281">
        <f t="shared" si="222"/>
        <v>289810.23425412609</v>
      </c>
      <c r="AP44" s="1281">
        <f t="shared" si="223"/>
        <v>237456.08000000002</v>
      </c>
      <c r="AQ44" s="1280">
        <v>34259.365892483496</v>
      </c>
      <c r="AR44" s="151">
        <v>29540</v>
      </c>
      <c r="AS44" s="1281">
        <f t="shared" si="224"/>
        <v>324069.60014660959</v>
      </c>
      <c r="AT44" s="1281">
        <f t="shared" si="225"/>
        <v>266996.08</v>
      </c>
      <c r="AU44" s="1280">
        <v>31071.429303235145</v>
      </c>
      <c r="AV44" s="151">
        <v>27399.920000000002</v>
      </c>
      <c r="AW44" s="1281">
        <f t="shared" si="226"/>
        <v>355141.02944984473</v>
      </c>
      <c r="AX44" s="1281">
        <f t="shared" si="227"/>
        <v>294396</v>
      </c>
      <c r="AY44" s="1280">
        <v>34259.365892483496</v>
      </c>
      <c r="AZ44" s="151">
        <v>32801.599999999999</v>
      </c>
      <c r="BA44" s="1283">
        <f t="shared" si="206"/>
        <v>99590.161088202149</v>
      </c>
      <c r="BB44" s="1283">
        <f t="shared" si="207"/>
        <v>89741.51999999999</v>
      </c>
      <c r="BC44" s="1222">
        <f t="shared" si="208"/>
        <v>201463.71905709317</v>
      </c>
      <c r="BD44" s="1222">
        <f t="shared" si="209"/>
        <v>150450.96</v>
      </c>
      <c r="BE44" s="1281">
        <f t="shared" si="228"/>
        <v>389400.39534232824</v>
      </c>
      <c r="BF44" s="1281">
        <f t="shared" si="229"/>
        <v>327197.59999999998</v>
      </c>
      <c r="BG44" s="26"/>
      <c r="BH44" s="26"/>
      <c r="BI44" s="26"/>
      <c r="BJ44" s="26"/>
      <c r="BK44" s="26"/>
      <c r="BL44" s="26"/>
      <c r="BM44" s="26"/>
      <c r="BN44" s="26"/>
    </row>
    <row r="45" spans="2:66" ht="14.45" x14ac:dyDescent="0.3">
      <c r="B45" s="1279" t="s">
        <v>97</v>
      </c>
      <c r="C45" s="64" t="s">
        <v>50</v>
      </c>
      <c r="D45" s="1201">
        <v>654431.39443828771</v>
      </c>
      <c r="E45" s="1280">
        <v>55828.715728287636</v>
      </c>
      <c r="F45" s="1280">
        <v>52915</v>
      </c>
      <c r="G45" s="1280">
        <v>57505.817814899936</v>
      </c>
      <c r="H45" s="1280">
        <v>60214</v>
      </c>
      <c r="I45" s="1281">
        <f t="shared" si="210"/>
        <v>113334.53354318757</v>
      </c>
      <c r="J45" s="1281">
        <f t="shared" si="211"/>
        <v>113129</v>
      </c>
      <c r="K45" s="1280">
        <v>55828.715728287636</v>
      </c>
      <c r="L45" s="1280">
        <v>80586</v>
      </c>
      <c r="M45" s="1283">
        <f t="shared" si="199"/>
        <v>169163.24927147522</v>
      </c>
      <c r="N45" s="1283">
        <f t="shared" si="200"/>
        <v>193715</v>
      </c>
      <c r="O45" s="1280">
        <v>56457.629010767239</v>
      </c>
      <c r="P45" s="1280">
        <v>75199</v>
      </c>
      <c r="Q45" s="1281">
        <f t="shared" si="212"/>
        <v>225620.87828224245</v>
      </c>
      <c r="R45" s="1281">
        <f t="shared" si="213"/>
        <v>268914</v>
      </c>
      <c r="S45" s="1280">
        <v>56457.629010767239</v>
      </c>
      <c r="T45" s="1280">
        <v>57997</v>
      </c>
      <c r="U45" s="1281">
        <f t="shared" si="214"/>
        <v>282078.50729300966</v>
      </c>
      <c r="V45" s="1281">
        <f t="shared" si="215"/>
        <v>326911</v>
      </c>
      <c r="W45" s="1280">
        <v>31149.28651571535</v>
      </c>
      <c r="X45" s="1280">
        <v>61535</v>
      </c>
      <c r="Y45" s="1283">
        <f t="shared" si="201"/>
        <v>144064.54453724984</v>
      </c>
      <c r="Z45" s="1283">
        <f t="shared" si="202"/>
        <v>194731</v>
      </c>
      <c r="AA45" s="1222">
        <f t="shared" si="216"/>
        <v>313227.79380872508</v>
      </c>
      <c r="AB45" s="1222">
        <f t="shared" si="217"/>
        <v>388446</v>
      </c>
      <c r="AC45" s="1280">
        <v>60457.704516147343</v>
      </c>
      <c r="AD45" s="1280">
        <v>71577</v>
      </c>
      <c r="AE45" s="1281">
        <f t="shared" si="218"/>
        <v>373685.4983248724</v>
      </c>
      <c r="AF45" s="1282">
        <f t="shared" si="219"/>
        <v>460023</v>
      </c>
      <c r="AG45" s="1280">
        <v>58861.457971630633</v>
      </c>
      <c r="AH45" s="1280">
        <v>996</v>
      </c>
      <c r="AI45" s="1281">
        <f t="shared" si="220"/>
        <v>432546.95629650302</v>
      </c>
      <c r="AJ45" s="1282">
        <f t="shared" si="221"/>
        <v>461019</v>
      </c>
      <c r="AK45" s="1280">
        <v>60457.704516147343</v>
      </c>
      <c r="AL45" s="1280">
        <v>45277</v>
      </c>
      <c r="AM45" s="1283">
        <f t="shared" si="203"/>
        <v>179776.86700392532</v>
      </c>
      <c r="AN45" s="1283">
        <f t="shared" si="204"/>
        <v>117850</v>
      </c>
      <c r="AO45" s="1281">
        <f t="shared" si="222"/>
        <v>493004.66081265034</v>
      </c>
      <c r="AP45" s="1281">
        <f t="shared" si="223"/>
        <v>506296</v>
      </c>
      <c r="AQ45" s="1280">
        <v>60457.704516147343</v>
      </c>
      <c r="AR45" s="1280">
        <v>65466</v>
      </c>
      <c r="AS45" s="1281">
        <f t="shared" si="224"/>
        <v>553462.36532879772</v>
      </c>
      <c r="AT45" s="1282">
        <f t="shared" si="225"/>
        <v>571762</v>
      </c>
      <c r="AU45" s="1280">
        <v>54831.934064532608</v>
      </c>
      <c r="AV45" s="1280">
        <v>59354</v>
      </c>
      <c r="AW45" s="1281">
        <f t="shared" si="226"/>
        <v>608294.29939333035</v>
      </c>
      <c r="AX45" s="1282">
        <f t="shared" si="227"/>
        <v>631116</v>
      </c>
      <c r="AY45" s="1280">
        <v>60457.704516147343</v>
      </c>
      <c r="AZ45" s="1280">
        <v>67738</v>
      </c>
      <c r="BA45" s="1283">
        <f t="shared" si="206"/>
        <v>175747.3430968273</v>
      </c>
      <c r="BB45" s="1283">
        <f t="shared" si="207"/>
        <v>192558</v>
      </c>
      <c r="BC45" s="1222">
        <f t="shared" si="208"/>
        <v>355524.21010075265</v>
      </c>
      <c r="BD45" s="1222">
        <f t="shared" si="209"/>
        <v>310408</v>
      </c>
      <c r="BE45" s="1281">
        <f t="shared" si="228"/>
        <v>668752.00390947773</v>
      </c>
      <c r="BF45" s="1281">
        <f t="shared" si="229"/>
        <v>698854</v>
      </c>
      <c r="BG45" s="26"/>
      <c r="BH45" s="26"/>
      <c r="BI45" s="26"/>
      <c r="BJ45" s="26"/>
      <c r="BK45" s="26"/>
      <c r="BL45" s="26"/>
      <c r="BM45" s="26"/>
      <c r="BN45" s="26"/>
    </row>
    <row r="46" spans="2:66" ht="14.45" x14ac:dyDescent="0.3">
      <c r="B46" s="1279" t="s">
        <v>689</v>
      </c>
      <c r="C46" s="64" t="s">
        <v>50</v>
      </c>
      <c r="D46" s="1201">
        <v>30540.131740453427</v>
      </c>
      <c r="E46" s="1280">
        <v>2605.3400673200899</v>
      </c>
      <c r="F46" s="1280">
        <v>800</v>
      </c>
      <c r="G46" s="1280">
        <v>2683.6048313619967</v>
      </c>
      <c r="H46" s="1280">
        <v>1000</v>
      </c>
      <c r="I46" s="1281">
        <f t="shared" si="210"/>
        <v>5288.9448986820862</v>
      </c>
      <c r="J46" s="1281">
        <f t="shared" si="211"/>
        <v>1800</v>
      </c>
      <c r="K46" s="1280">
        <v>2605.3400673200899</v>
      </c>
      <c r="L46" s="1280">
        <v>800</v>
      </c>
      <c r="M46" s="1283">
        <f t="shared" si="199"/>
        <v>7894.2849660021766</v>
      </c>
      <c r="N46" s="1283">
        <f t="shared" si="200"/>
        <v>2600</v>
      </c>
      <c r="O46" s="1280">
        <v>2634.6893538358045</v>
      </c>
      <c r="P46" s="1280">
        <v>0</v>
      </c>
      <c r="Q46" s="1281">
        <f t="shared" si="212"/>
        <v>10528.97431983798</v>
      </c>
      <c r="R46" s="1281">
        <f t="shared" si="213"/>
        <v>2600</v>
      </c>
      <c r="S46" s="1280">
        <v>2634.6893538358045</v>
      </c>
      <c r="T46" s="1280">
        <v>750</v>
      </c>
      <c r="U46" s="1281">
        <f t="shared" si="214"/>
        <v>13163.663673673786</v>
      </c>
      <c r="V46" s="1281">
        <f t="shared" si="215"/>
        <v>3350</v>
      </c>
      <c r="W46" s="1280">
        <v>1453.6333707333829</v>
      </c>
      <c r="X46" s="1280">
        <v>0</v>
      </c>
      <c r="Y46" s="1283">
        <f t="shared" si="201"/>
        <v>6723.0120784049923</v>
      </c>
      <c r="Z46" s="1283">
        <f t="shared" si="202"/>
        <v>750</v>
      </c>
      <c r="AA46" s="1222">
        <f t="shared" si="216"/>
        <v>14617.297044407169</v>
      </c>
      <c r="AB46" s="1222">
        <f t="shared" si="217"/>
        <v>3350</v>
      </c>
      <c r="AC46" s="1280">
        <v>3224.4109075278584</v>
      </c>
      <c r="AD46" s="1280">
        <v>3000</v>
      </c>
      <c r="AE46" s="1281">
        <f t="shared" si="218"/>
        <v>17841.707951935026</v>
      </c>
      <c r="AF46" s="1282">
        <f t="shared" si="219"/>
        <v>6350</v>
      </c>
      <c r="AG46" s="1280">
        <v>3139.2777584869673</v>
      </c>
      <c r="AH46" s="1280">
        <v>1000</v>
      </c>
      <c r="AI46" s="1281">
        <f t="shared" si="220"/>
        <v>20980.985710421992</v>
      </c>
      <c r="AJ46" s="1282">
        <f t="shared" si="221"/>
        <v>7350</v>
      </c>
      <c r="AK46" s="1280">
        <v>3224.4109075278584</v>
      </c>
      <c r="AL46" s="1280">
        <v>2000</v>
      </c>
      <c r="AM46" s="1283">
        <f t="shared" si="203"/>
        <v>9588.0995735426841</v>
      </c>
      <c r="AN46" s="1283">
        <f t="shared" si="204"/>
        <v>6000</v>
      </c>
      <c r="AO46" s="1281">
        <f t="shared" si="222"/>
        <v>24205.396617949849</v>
      </c>
      <c r="AP46" s="1281">
        <f t="shared" si="223"/>
        <v>9350</v>
      </c>
      <c r="AQ46" s="1280">
        <v>3224.4109075278584</v>
      </c>
      <c r="AR46" s="1280">
        <v>1800</v>
      </c>
      <c r="AS46" s="1281">
        <f t="shared" si="224"/>
        <v>27429.807525477707</v>
      </c>
      <c r="AT46" s="1282">
        <f t="shared" si="225"/>
        <v>11150</v>
      </c>
      <c r="AU46" s="1280">
        <v>2924.3698167750722</v>
      </c>
      <c r="AV46" s="1280">
        <v>2100</v>
      </c>
      <c r="AW46" s="1281">
        <f t="shared" si="226"/>
        <v>30354.17734225278</v>
      </c>
      <c r="AX46" s="1282">
        <f t="shared" si="227"/>
        <v>13250</v>
      </c>
      <c r="AY46" s="1280">
        <v>3224.4109075278584</v>
      </c>
      <c r="AZ46" s="1280">
        <v>1500</v>
      </c>
      <c r="BA46" s="1283">
        <f t="shared" si="206"/>
        <v>9373.1916318307885</v>
      </c>
      <c r="BB46" s="1283">
        <f t="shared" si="207"/>
        <v>5400</v>
      </c>
      <c r="BC46" s="1222">
        <f t="shared" si="208"/>
        <v>18961.291205373473</v>
      </c>
      <c r="BD46" s="1222">
        <f t="shared" si="209"/>
        <v>11400</v>
      </c>
      <c r="BE46" s="1281">
        <f t="shared" si="228"/>
        <v>33578.588249780638</v>
      </c>
      <c r="BF46" s="1281">
        <f t="shared" si="229"/>
        <v>14750</v>
      </c>
      <c r="BG46" s="26"/>
      <c r="BH46" s="26"/>
      <c r="BI46" s="26"/>
      <c r="BJ46" s="26"/>
      <c r="BK46" s="26"/>
      <c r="BL46" s="26"/>
      <c r="BM46" s="26"/>
      <c r="BN46" s="26"/>
    </row>
    <row r="47" spans="2:66" ht="14.45" x14ac:dyDescent="0.3">
      <c r="B47" s="2770" t="s">
        <v>1928</v>
      </c>
      <c r="C47" s="3288" t="s">
        <v>50</v>
      </c>
      <c r="D47" s="2647">
        <v>26177.255777531504</v>
      </c>
      <c r="E47" s="2771">
        <v>2233.1486291315055</v>
      </c>
      <c r="F47" s="2771">
        <v>540.59</v>
      </c>
      <c r="G47" s="2771">
        <v>2300.2327125959973</v>
      </c>
      <c r="H47" s="2771">
        <v>696</v>
      </c>
      <c r="I47" s="1281">
        <f t="shared" ref="I47" si="230">+E47+G47</f>
        <v>4533.3813417275032</v>
      </c>
      <c r="J47" s="1281">
        <f t="shared" ref="J47" si="231">+F47+H47</f>
        <v>1236.5900000000001</v>
      </c>
      <c r="K47" s="2771">
        <v>2233.1486291315055</v>
      </c>
      <c r="L47" s="2771">
        <v>687</v>
      </c>
      <c r="M47" s="1283">
        <f t="shared" ref="M47" si="232">+K47+G47+E47</f>
        <v>6766.5299708590082</v>
      </c>
      <c r="N47" s="1283">
        <f t="shared" ref="N47" si="233">+L47+H47+F47</f>
        <v>1923.5900000000001</v>
      </c>
      <c r="O47" s="2771">
        <v>2258.3051604306893</v>
      </c>
      <c r="P47" s="2771">
        <v>341</v>
      </c>
      <c r="Q47" s="1281">
        <f t="shared" ref="Q47" si="234">+M47+O47</f>
        <v>9024.8351312896975</v>
      </c>
      <c r="R47" s="1281">
        <f t="shared" ref="R47" si="235">+N47+P47</f>
        <v>2264.59</v>
      </c>
      <c r="S47" s="2771">
        <v>2258.3051604306893</v>
      </c>
      <c r="T47" s="2771">
        <v>766</v>
      </c>
      <c r="U47" s="1281">
        <f t="shared" ref="U47" si="236">+Q47+S47</f>
        <v>11283.140291720387</v>
      </c>
      <c r="V47" s="1281">
        <f t="shared" ref="V47" si="237">+R47+T47</f>
        <v>3030.59</v>
      </c>
      <c r="W47" s="2771">
        <v>1245.9714606286138</v>
      </c>
      <c r="X47" s="2771">
        <v>423</v>
      </c>
      <c r="Y47" s="1283">
        <f t="shared" ref="Y47" si="238">+O47+S47+W47</f>
        <v>5762.5817814899929</v>
      </c>
      <c r="Z47" s="1283">
        <f t="shared" ref="Z47" si="239">+P47+T47+X47</f>
        <v>1530</v>
      </c>
      <c r="AA47" s="1222">
        <f t="shared" ref="AA47" si="240">M47+Y47</f>
        <v>12529.111752349001</v>
      </c>
      <c r="AB47" s="1222">
        <f t="shared" ref="AB47" si="241">N47+Z47</f>
        <v>3453.59</v>
      </c>
      <c r="AC47" s="2771">
        <v>0</v>
      </c>
      <c r="AD47" s="2771">
        <v>458</v>
      </c>
      <c r="AE47" s="1281">
        <f t="shared" ref="AE47:AE48" si="242">+AA47+AC47</f>
        <v>12529.111752349001</v>
      </c>
      <c r="AF47" s="1282">
        <f t="shared" ref="AF47:AF48" si="243">+AB47+AD47</f>
        <v>3911.59</v>
      </c>
      <c r="AG47" s="2771">
        <v>0</v>
      </c>
      <c r="AH47" s="2771">
        <v>0</v>
      </c>
      <c r="AI47" s="1281">
        <f t="shared" si="220"/>
        <v>12529.111752349001</v>
      </c>
      <c r="AJ47" s="1282">
        <f t="shared" si="221"/>
        <v>3911.59</v>
      </c>
      <c r="AK47" s="2771">
        <v>0</v>
      </c>
      <c r="AL47" s="2771">
        <v>728</v>
      </c>
      <c r="AM47" s="2773">
        <f t="shared" si="203"/>
        <v>0</v>
      </c>
      <c r="AN47" s="1283">
        <f t="shared" si="204"/>
        <v>1186</v>
      </c>
      <c r="AO47" s="2772">
        <f t="shared" si="222"/>
        <v>12529.111752349001</v>
      </c>
      <c r="AP47" s="1281">
        <f t="shared" si="223"/>
        <v>4639.59</v>
      </c>
      <c r="AQ47" s="2771">
        <v>0</v>
      </c>
      <c r="AR47" s="2771">
        <v>658.47</v>
      </c>
      <c r="AS47" s="1281">
        <f t="shared" ref="AS47" si="244">+AO47+AQ47</f>
        <v>12529.111752349001</v>
      </c>
      <c r="AT47" s="1281">
        <f t="shared" ref="AT47" si="245">+AP47+AR47</f>
        <v>5298.06</v>
      </c>
      <c r="AU47" s="2771">
        <v>0</v>
      </c>
      <c r="AV47" s="2771">
        <v>529.5</v>
      </c>
      <c r="AW47" s="1281">
        <f t="shared" si="226"/>
        <v>12529.111752349001</v>
      </c>
      <c r="AX47" s="1281">
        <f t="shared" si="227"/>
        <v>5827.56</v>
      </c>
      <c r="AY47" s="2771">
        <v>0</v>
      </c>
      <c r="AZ47" s="2771">
        <v>253</v>
      </c>
      <c r="BA47" s="1283">
        <f t="shared" ref="BA47" si="246">+AQ47+AU47+AY47</f>
        <v>0</v>
      </c>
      <c r="BB47" s="1283">
        <f t="shared" ref="BB47" si="247">+AR47+AV47+AZ47</f>
        <v>1440.97</v>
      </c>
      <c r="BC47" s="1222">
        <f t="shared" ref="BC47" si="248">AM47+BA47</f>
        <v>0</v>
      </c>
      <c r="BD47" s="1222">
        <f t="shared" ref="BD47" si="249">AN47+BB47</f>
        <v>2626.9700000000003</v>
      </c>
      <c r="BE47" s="1281">
        <f t="shared" ref="BE47" si="250">+AW47+AY47</f>
        <v>12529.111752349001</v>
      </c>
      <c r="BF47" s="1281">
        <f t="shared" ref="BF47" si="251">+AX47+AZ47</f>
        <v>6080.56</v>
      </c>
      <c r="BG47" s="26"/>
      <c r="BH47" s="26"/>
      <c r="BI47" s="26"/>
      <c r="BJ47" s="26"/>
      <c r="BK47" s="26"/>
      <c r="BL47" s="26"/>
      <c r="BM47" s="26"/>
      <c r="BN47" s="26"/>
    </row>
    <row r="48" spans="2:66" ht="14.45" x14ac:dyDescent="0.3">
      <c r="B48" s="1279" t="s">
        <v>68</v>
      </c>
      <c r="C48" s="64" t="s">
        <v>50</v>
      </c>
      <c r="D48" s="1201">
        <v>174515.03851687672</v>
      </c>
      <c r="E48" s="1280">
        <v>14887.65752754337</v>
      </c>
      <c r="F48" s="1280">
        <v>12873.2</v>
      </c>
      <c r="G48" s="1280">
        <v>15334.884750639983</v>
      </c>
      <c r="H48" s="1280">
        <v>14212.24</v>
      </c>
      <c r="I48" s="1281">
        <f t="shared" si="210"/>
        <v>30222.542278183355</v>
      </c>
      <c r="J48" s="1281">
        <f t="shared" si="211"/>
        <v>27085.440000000002</v>
      </c>
      <c r="K48" s="1280">
        <v>14887.65752754337</v>
      </c>
      <c r="L48" s="1280">
        <v>15050.960000000001</v>
      </c>
      <c r="M48" s="1283">
        <f t="shared" si="199"/>
        <v>45110.199805726726</v>
      </c>
      <c r="N48" s="1283">
        <f t="shared" si="200"/>
        <v>42136.4</v>
      </c>
      <c r="O48" s="1280">
        <v>15055.367736204598</v>
      </c>
      <c r="P48" s="1280">
        <v>15918.4</v>
      </c>
      <c r="Q48" s="1281">
        <f t="shared" si="212"/>
        <v>60165.567541931327</v>
      </c>
      <c r="R48" s="1281">
        <f t="shared" si="213"/>
        <v>58054.8</v>
      </c>
      <c r="S48" s="1280">
        <v>15055.367736204598</v>
      </c>
      <c r="T48" s="1280">
        <v>15327.16</v>
      </c>
      <c r="U48" s="1281">
        <f t="shared" si="214"/>
        <v>75220.935278135919</v>
      </c>
      <c r="V48" s="1281">
        <f t="shared" si="215"/>
        <v>73381.960000000006</v>
      </c>
      <c r="W48" s="1280">
        <v>8306.4764041907601</v>
      </c>
      <c r="X48" s="1280">
        <v>14991.36</v>
      </c>
      <c r="Y48" s="1283">
        <f t="shared" si="201"/>
        <v>38417.211876599955</v>
      </c>
      <c r="Z48" s="1283">
        <f t="shared" si="202"/>
        <v>46236.92</v>
      </c>
      <c r="AA48" s="1222">
        <f t="shared" si="216"/>
        <v>83527.411682326681</v>
      </c>
      <c r="AB48" s="1222">
        <f t="shared" si="217"/>
        <v>88373.32</v>
      </c>
      <c r="AC48" s="1280">
        <v>18137.311354844205</v>
      </c>
      <c r="AD48" s="1280">
        <v>14914.28</v>
      </c>
      <c r="AE48" s="1281">
        <f t="shared" si="242"/>
        <v>101664.72303717089</v>
      </c>
      <c r="AF48" s="1281">
        <f t="shared" si="243"/>
        <v>103287.6</v>
      </c>
      <c r="AG48" s="1280">
        <v>17658.437391489188</v>
      </c>
      <c r="AH48" s="1280">
        <v>976.28</v>
      </c>
      <c r="AI48" s="1281">
        <f t="shared" si="220"/>
        <v>119323.16042866008</v>
      </c>
      <c r="AJ48" s="1281">
        <f t="shared" si="221"/>
        <v>104263.88</v>
      </c>
      <c r="AK48" s="1280">
        <v>18137.311354844205</v>
      </c>
      <c r="AL48" s="1280">
        <v>14464.16</v>
      </c>
      <c r="AM48" s="1283">
        <f t="shared" si="203"/>
        <v>53933.060101177602</v>
      </c>
      <c r="AN48" s="1283">
        <f t="shared" si="204"/>
        <v>30354.720000000001</v>
      </c>
      <c r="AO48" s="1281">
        <f t="shared" si="222"/>
        <v>137460.4717835043</v>
      </c>
      <c r="AP48" s="1281">
        <f t="shared" si="223"/>
        <v>118728.04000000001</v>
      </c>
      <c r="AQ48" s="1280">
        <v>18137.311354844205</v>
      </c>
      <c r="AR48" s="1280">
        <v>14770</v>
      </c>
      <c r="AS48" s="1281">
        <f t="shared" si="224"/>
        <v>155597.78313834849</v>
      </c>
      <c r="AT48" s="1281">
        <f t="shared" si="225"/>
        <v>133498.04</v>
      </c>
      <c r="AU48" s="1280">
        <v>16449.580219359781</v>
      </c>
      <c r="AV48" s="1280">
        <v>13699.960000000001</v>
      </c>
      <c r="AW48" s="1281">
        <f t="shared" si="226"/>
        <v>172047.36335770827</v>
      </c>
      <c r="AX48" s="1281">
        <f t="shared" si="227"/>
        <v>147198</v>
      </c>
      <c r="AY48" s="1280">
        <v>18137.311354844205</v>
      </c>
      <c r="AZ48" s="1280">
        <v>16400.8</v>
      </c>
      <c r="BA48" s="1283">
        <f t="shared" si="206"/>
        <v>52724.202929048188</v>
      </c>
      <c r="BB48" s="1283">
        <f t="shared" si="207"/>
        <v>44870.759999999995</v>
      </c>
      <c r="BC48" s="1222">
        <f t="shared" si="208"/>
        <v>106657.26303022579</v>
      </c>
      <c r="BD48" s="1222">
        <f t="shared" si="209"/>
        <v>75225.48</v>
      </c>
      <c r="BE48" s="1281">
        <f t="shared" si="228"/>
        <v>190184.67471255246</v>
      </c>
      <c r="BF48" s="1281">
        <f t="shared" si="229"/>
        <v>163598.79999999999</v>
      </c>
      <c r="BG48" s="26"/>
      <c r="BH48" s="26"/>
      <c r="BI48" s="26"/>
      <c r="BJ48" s="26"/>
      <c r="BK48" s="26"/>
      <c r="BL48" s="26"/>
      <c r="BM48" s="26"/>
      <c r="BN48" s="26"/>
    </row>
    <row r="49" spans="2:66" ht="15.6" x14ac:dyDescent="0.3">
      <c r="B49" s="1285" t="s">
        <v>21</v>
      </c>
      <c r="C49" s="1286" t="s">
        <v>50</v>
      </c>
      <c r="D49" s="200">
        <f t="shared" ref="D49:R49" si="252">SUM(D39:D48)</f>
        <v>6704341.4433046086</v>
      </c>
      <c r="E49" s="1287">
        <f t="shared" si="252"/>
        <v>572024.23854440509</v>
      </c>
      <c r="F49" s="1287">
        <f t="shared" si="252"/>
        <v>502770.19000000006</v>
      </c>
      <c r="G49" s="1287">
        <f t="shared" ref="G49:H49" si="253">SUM(G39:G48)</f>
        <v>589317.88966378476</v>
      </c>
      <c r="H49" s="1287">
        <f t="shared" si="253"/>
        <v>555372.72</v>
      </c>
      <c r="I49" s="1288">
        <f t="shared" si="252"/>
        <v>1161342.12820819</v>
      </c>
      <c r="J49" s="1288">
        <f t="shared" si="252"/>
        <v>1058142.9099999999</v>
      </c>
      <c r="K49" s="1287">
        <f t="shared" ref="K49:L49" si="254">SUM(K39:K48)</f>
        <v>572024.23854440509</v>
      </c>
      <c r="L49" s="1287">
        <f t="shared" si="254"/>
        <v>594395.87999999989</v>
      </c>
      <c r="M49" s="1290">
        <f t="shared" si="252"/>
        <v>1733366.3667525952</v>
      </c>
      <c r="N49" s="1290">
        <f t="shared" si="252"/>
        <v>1652538.79</v>
      </c>
      <c r="O49" s="1287">
        <f t="shared" ref="O49:P49" si="255">SUM(O39:O48)</f>
        <v>578509.35771417245</v>
      </c>
      <c r="P49" s="1287">
        <f t="shared" si="255"/>
        <v>628433.20000000007</v>
      </c>
      <c r="Q49" s="1288">
        <f t="shared" si="252"/>
        <v>2311875.7244667681</v>
      </c>
      <c r="R49" s="1288">
        <f t="shared" si="252"/>
        <v>2280971.9899999998</v>
      </c>
      <c r="S49" s="1287">
        <f t="shared" ref="S49:T49" si="256">SUM(S39:S48)</f>
        <v>578509.35771417245</v>
      </c>
      <c r="T49" s="1287">
        <f t="shared" si="256"/>
        <v>592367.4800000001</v>
      </c>
      <c r="U49" s="1288">
        <f t="shared" ref="U49:X49" si="257">SUM(U39:U48)</f>
        <v>2890385.0821809391</v>
      </c>
      <c r="V49" s="1288">
        <f t="shared" si="257"/>
        <v>2873339.4699999997</v>
      </c>
      <c r="W49" s="1287">
        <f t="shared" si="257"/>
        <v>319003.43155951163</v>
      </c>
      <c r="X49" s="1287">
        <f t="shared" si="257"/>
        <v>580082.07999999996</v>
      </c>
      <c r="Y49" s="1290">
        <f t="shared" ref="Y49:AD49" si="258">SUM(Y39:Y48)</f>
        <v>1476022.1469878561</v>
      </c>
      <c r="Z49" s="1290">
        <f t="shared" si="258"/>
        <v>1800882.76</v>
      </c>
      <c r="AA49" s="1291">
        <f t="shared" si="258"/>
        <v>3209388.513740452</v>
      </c>
      <c r="AB49" s="1291">
        <f t="shared" si="258"/>
        <v>3453421.55</v>
      </c>
      <c r="AC49" s="1287">
        <f t="shared" si="258"/>
        <v>626396.20667950087</v>
      </c>
      <c r="AD49" s="1287">
        <f t="shared" si="258"/>
        <v>592516.84000000008</v>
      </c>
      <c r="AE49" s="1288">
        <f t="shared" ref="AE49:AH49" si="259">SUM(AE39:AE48)</f>
        <v>3835784.7204199522</v>
      </c>
      <c r="AF49" s="1288">
        <f t="shared" si="259"/>
        <v>4045938.39</v>
      </c>
      <c r="AG49" s="1287">
        <f t="shared" si="259"/>
        <v>609481.74882122315</v>
      </c>
      <c r="AH49" s="1287">
        <f t="shared" si="259"/>
        <v>35104.839999999997</v>
      </c>
      <c r="AI49" s="1288">
        <f t="shared" ref="AI49:AL49" si="260">SUM(AI39:AI48)</f>
        <v>4445266.4692411749</v>
      </c>
      <c r="AJ49" s="1288">
        <f t="shared" si="260"/>
        <v>4081043.2299999995</v>
      </c>
      <c r="AK49" s="1287">
        <f t="shared" si="260"/>
        <v>626396.20667950087</v>
      </c>
      <c r="AL49" s="1287">
        <f t="shared" si="260"/>
        <v>546974.62</v>
      </c>
      <c r="AM49" s="1290">
        <f t="shared" ref="AM49:AN49" si="261">SUM(AM39:AM48)</f>
        <v>1862274.1621802249</v>
      </c>
      <c r="AN49" s="1290">
        <f t="shared" si="261"/>
        <v>1174596.3</v>
      </c>
      <c r="AO49" s="1288">
        <f t="shared" ref="AO49:AT49" si="262">SUM(AO39:AO48)</f>
        <v>5071662.6759206764</v>
      </c>
      <c r="AP49" s="1288">
        <f t="shared" si="262"/>
        <v>4628017.8500000006</v>
      </c>
      <c r="AQ49" s="1287">
        <f t="shared" si="262"/>
        <v>626396.20667950087</v>
      </c>
      <c r="AR49" s="1287">
        <f t="shared" si="262"/>
        <v>580159.47</v>
      </c>
      <c r="AS49" s="1288">
        <f t="shared" si="262"/>
        <v>5698058.8826001771</v>
      </c>
      <c r="AT49" s="1288">
        <f t="shared" si="262"/>
        <v>5208177.32</v>
      </c>
      <c r="AU49" s="1287">
        <f t="shared" ref="AU49:AX49" si="263">SUM(AU39:AU48)</f>
        <v>567641.61177188158</v>
      </c>
      <c r="AV49" s="1287">
        <f t="shared" si="263"/>
        <v>541021.37999999989</v>
      </c>
      <c r="AW49" s="1288">
        <f t="shared" si="263"/>
        <v>6265700.4943720577</v>
      </c>
      <c r="AX49" s="1288">
        <f t="shared" si="263"/>
        <v>5749198.7000000002</v>
      </c>
      <c r="AY49" s="1287">
        <f t="shared" ref="AY49:AZ49" si="264">SUM(AY39:AY48)</f>
        <v>626396.20667950087</v>
      </c>
      <c r="AZ49" s="1287">
        <f t="shared" si="264"/>
        <v>649737.4</v>
      </c>
      <c r="BA49" s="1290">
        <f t="shared" ref="BA49:BF49" si="265">SUM(BA39:BA48)</f>
        <v>1820434.0251308829</v>
      </c>
      <c r="BB49" s="1290">
        <f t="shared" si="265"/>
        <v>1770918.25</v>
      </c>
      <c r="BC49" s="1291">
        <f t="shared" si="265"/>
        <v>3682708.1873111078</v>
      </c>
      <c r="BD49" s="1291">
        <f t="shared" si="265"/>
        <v>2945514.5500000003</v>
      </c>
      <c r="BE49" s="1288">
        <f t="shared" si="265"/>
        <v>6892096.7010515602</v>
      </c>
      <c r="BF49" s="1288">
        <f t="shared" si="265"/>
        <v>6398936.0999999996</v>
      </c>
      <c r="BG49" s="26"/>
      <c r="BH49" s="26"/>
      <c r="BI49" s="26"/>
      <c r="BJ49" s="26"/>
      <c r="BK49" s="26"/>
      <c r="BL49" s="26"/>
      <c r="BM49" s="26"/>
      <c r="BN49" s="26"/>
    </row>
    <row r="50" spans="2:66" ht="17.45" x14ac:dyDescent="0.3">
      <c r="B50" s="1278" t="s">
        <v>938</v>
      </c>
      <c r="C50" s="1278"/>
      <c r="D50" s="251"/>
      <c r="E50" s="1278"/>
      <c r="F50" s="1278"/>
      <c r="G50" s="1278"/>
      <c r="H50" s="1278"/>
      <c r="I50" s="1278"/>
      <c r="J50" s="1278"/>
      <c r="K50" s="1278"/>
      <c r="L50" s="1278"/>
      <c r="M50" s="1278"/>
      <c r="N50" s="2452"/>
      <c r="O50" s="1278"/>
      <c r="P50" s="1278"/>
      <c r="Q50" s="1278"/>
      <c r="R50" s="1278"/>
      <c r="S50" s="1278"/>
      <c r="T50" s="1278"/>
      <c r="U50" s="1278"/>
      <c r="V50" s="1278"/>
      <c r="W50" s="1278"/>
      <c r="X50" s="1278"/>
      <c r="Y50" s="1278"/>
      <c r="Z50" s="1278"/>
      <c r="AA50" s="1278"/>
      <c r="AB50" s="1278"/>
      <c r="AC50" s="1278"/>
      <c r="AD50" s="1278"/>
      <c r="AE50" s="1278"/>
      <c r="AF50" s="1278"/>
      <c r="AG50" s="1278"/>
      <c r="AH50" s="1278"/>
      <c r="AI50" s="1278"/>
      <c r="AJ50" s="1278"/>
      <c r="AK50" s="1278"/>
      <c r="AL50" s="1278"/>
      <c r="AM50" s="1278"/>
      <c r="AN50" s="1278"/>
      <c r="AO50" s="1278"/>
      <c r="AP50" s="1278"/>
      <c r="AQ50" s="1278"/>
      <c r="AR50" s="1278"/>
      <c r="AS50" s="1278"/>
      <c r="AT50" s="1278"/>
      <c r="AU50" s="1278"/>
      <c r="AV50" s="1278"/>
      <c r="AW50" s="1278"/>
      <c r="AX50" s="1278"/>
      <c r="AY50" s="1278"/>
      <c r="AZ50" s="1278"/>
      <c r="BA50" s="1278"/>
      <c r="BB50" s="1278"/>
      <c r="BC50" s="1278"/>
      <c r="BD50" s="1278"/>
      <c r="BE50" s="1278"/>
      <c r="BF50" s="1278"/>
      <c r="BG50" s="26"/>
      <c r="BH50" s="26"/>
      <c r="BI50" s="26"/>
      <c r="BJ50" s="26"/>
      <c r="BK50" s="26"/>
      <c r="BL50" s="26"/>
      <c r="BM50" s="26"/>
      <c r="BN50" s="26"/>
    </row>
    <row r="51" spans="2:66" ht="14.45" x14ac:dyDescent="0.3">
      <c r="B51" s="1279" t="s">
        <v>43</v>
      </c>
      <c r="C51" s="64" t="s">
        <v>219</v>
      </c>
      <c r="D51" s="1201">
        <f>+D36</f>
        <v>1177.6925320700143</v>
      </c>
      <c r="E51" s="1280">
        <f t="shared" ref="E51:AD51" si="266">+E36</f>
        <v>1177.9256787576485</v>
      </c>
      <c r="F51" s="1280">
        <f t="shared" si="266"/>
        <v>1225.867694124227</v>
      </c>
      <c r="G51" s="1280">
        <f t="shared" ref="G51:H51" si="267">+G36</f>
        <v>1178.212518852893</v>
      </c>
      <c r="H51" s="1280">
        <f t="shared" si="267"/>
        <v>1213.0501595807555</v>
      </c>
      <c r="I51" s="1281">
        <f t="shared" si="266"/>
        <v>1178.071221106864</v>
      </c>
      <c r="J51" s="1281">
        <f t="shared" si="266"/>
        <v>1219.1420925781529</v>
      </c>
      <c r="K51" s="1280">
        <f t="shared" si="266"/>
        <v>1177.9256787576485</v>
      </c>
      <c r="L51" s="1280">
        <f t="shared" si="266"/>
        <v>1173.2673530459188</v>
      </c>
      <c r="M51" s="1283">
        <f t="shared" si="266"/>
        <v>1177.6925320700143</v>
      </c>
      <c r="N51" s="1283">
        <f t="shared" si="266"/>
        <v>1202.7558120769695</v>
      </c>
      <c r="O51" s="1280">
        <f t="shared" ref="O51:P51" si="268">+O36</f>
        <v>1178.0352408390813</v>
      </c>
      <c r="P51" s="1280">
        <f t="shared" si="268"/>
        <v>1181.560960900593</v>
      </c>
      <c r="Q51" s="1281">
        <f t="shared" si="266"/>
        <v>1178.0206754373867</v>
      </c>
      <c r="R51" s="1281">
        <f t="shared" si="266"/>
        <v>1196.9442664516973</v>
      </c>
      <c r="S51" s="1280">
        <f t="shared" si="266"/>
        <v>1178.0352408390813</v>
      </c>
      <c r="T51" s="1280">
        <f t="shared" si="266"/>
        <v>1198.9226967031075</v>
      </c>
      <c r="U51" s="1281">
        <f t="shared" ref="U51:X51" si="269">+U36</f>
        <v>1178.0224541836055</v>
      </c>
      <c r="V51" s="1281">
        <f t="shared" si="269"/>
        <v>1197.357497673815</v>
      </c>
      <c r="W51" s="1280">
        <f t="shared" si="269"/>
        <v>1177.1843146191436</v>
      </c>
      <c r="X51" s="1280">
        <f t="shared" si="269"/>
        <v>1174.7913464822404</v>
      </c>
      <c r="Y51" s="1283">
        <f t="shared" si="266"/>
        <v>1177.8512556349926</v>
      </c>
      <c r="Z51" s="1283">
        <f t="shared" ref="Z51" si="270">+Z36</f>
        <v>1185.121327285641</v>
      </c>
      <c r="AA51" s="1222">
        <f t="shared" si="266"/>
        <v>1177.9441102030846</v>
      </c>
      <c r="AB51" s="1222">
        <f t="shared" si="266"/>
        <v>1193.5294498384808</v>
      </c>
      <c r="AC51" s="1280">
        <f t="shared" si="266"/>
        <v>1206.4319970447932</v>
      </c>
      <c r="AD51" s="1280">
        <f t="shared" si="266"/>
        <v>1197.7406887895356</v>
      </c>
      <c r="AE51" s="1281">
        <f t="shared" ref="AE51:AH51" si="271">+AE36</f>
        <v>1176.179122534101</v>
      </c>
      <c r="AF51" s="1281">
        <f t="shared" si="271"/>
        <v>1193.4714331633227</v>
      </c>
      <c r="AG51" s="1280">
        <f t="shared" si="271"/>
        <v>1205.4740501566653</v>
      </c>
      <c r="AH51" s="1280">
        <f t="shared" si="271"/>
        <v>1139.754988323022</v>
      </c>
      <c r="AI51" s="1281">
        <f t="shared" ref="AI51:AL51" si="272">+AI36</f>
        <v>1175.5799291287863</v>
      </c>
      <c r="AJ51" s="1281">
        <f t="shared" si="272"/>
        <v>1192.9684565738394</v>
      </c>
      <c r="AK51" s="1280">
        <f t="shared" si="272"/>
        <v>1206.4319970447932</v>
      </c>
      <c r="AL51" s="1280">
        <f t="shared" si="272"/>
        <v>1197.7609207862745</v>
      </c>
      <c r="AM51" s="1283">
        <f t="shared" ref="AM51:AN51" si="273">+AM36</f>
        <v>1172.4202155295725</v>
      </c>
      <c r="AN51" s="1283">
        <f t="shared" si="273"/>
        <v>1195.8853713689336</v>
      </c>
      <c r="AO51" s="1281">
        <f t="shared" ref="AO51:AT51" si="274">+AO36</f>
        <v>1175.2309126259086</v>
      </c>
      <c r="AP51" s="1281">
        <f t="shared" si="274"/>
        <v>1193.5523032301385</v>
      </c>
      <c r="AQ51" s="1280">
        <f t="shared" si="274"/>
        <v>1206.4319970447932</v>
      </c>
      <c r="AR51" s="1280">
        <f t="shared" si="274"/>
        <v>1196.785375761679</v>
      </c>
      <c r="AS51" s="1281">
        <f t="shared" si="274"/>
        <v>1174.9581460649388</v>
      </c>
      <c r="AT51" s="1281">
        <f t="shared" si="274"/>
        <v>1193.9100049708595</v>
      </c>
      <c r="AU51" s="1280">
        <f t="shared" ref="AU51:AX51" si="275">+AU36</f>
        <v>1205.1556822094426</v>
      </c>
      <c r="AV51" s="1280">
        <f t="shared" si="275"/>
        <v>1220.6692574284889</v>
      </c>
      <c r="AW51" s="1281">
        <f t="shared" si="275"/>
        <v>1174.6426003197021</v>
      </c>
      <c r="AX51" s="1281">
        <f t="shared" si="275"/>
        <v>1196.4005326159324</v>
      </c>
      <c r="AY51" s="1280">
        <f t="shared" ref="AY51:AZ51" si="276">+AY36</f>
        <v>1206.4319970447932</v>
      </c>
      <c r="AZ51" s="1280">
        <f t="shared" si="276"/>
        <v>1229.7326959660504</v>
      </c>
      <c r="BA51" s="1283">
        <f t="shared" ref="BA51:BF51" si="277">+BA36</f>
        <v>1172.3356594790946</v>
      </c>
      <c r="BB51" s="1283">
        <f t="shared" si="277"/>
        <v>1216.1202529219472</v>
      </c>
      <c r="BC51" s="1222">
        <f t="shared" si="277"/>
        <v>1172.3784166849591</v>
      </c>
      <c r="BD51" s="1222">
        <f t="shared" si="277"/>
        <v>1207.9551449854494</v>
      </c>
      <c r="BE51" s="1281">
        <f t="shared" si="277"/>
        <v>1174.4700430581604</v>
      </c>
      <c r="BF51" s="1281">
        <f t="shared" si="277"/>
        <v>1199.7420861277715</v>
      </c>
      <c r="BG51" s="26"/>
      <c r="BH51" s="26"/>
      <c r="BI51" s="26"/>
      <c r="BJ51" s="26"/>
      <c r="BK51" s="26"/>
      <c r="BL51" s="26"/>
      <c r="BM51" s="26"/>
      <c r="BN51" s="26"/>
    </row>
    <row r="52" spans="2:66" ht="14.45" x14ac:dyDescent="0.3">
      <c r="B52" s="1279" t="s">
        <v>70</v>
      </c>
      <c r="C52" s="64" t="s">
        <v>219</v>
      </c>
      <c r="D52" s="1201">
        <f t="shared" ref="D52:D59" si="278">D40/$D$65*1000</f>
        <v>19.481408076330638</v>
      </c>
      <c r="E52" s="1294">
        <f t="shared" ref="E52" si="279">+E40/E$65*1000</f>
        <v>19.481408076330638</v>
      </c>
      <c r="F52" s="1294">
        <f t="shared" ref="F52:G52" si="280">+F40/F$65*1000</f>
        <v>9.393157878382997</v>
      </c>
      <c r="G52" s="1294">
        <f t="shared" si="280"/>
        <v>19.481408076330638</v>
      </c>
      <c r="H52" s="1294">
        <f t="shared" ref="H52" si="281">+H40/H$65*1000</f>
        <v>8.4771999347041707</v>
      </c>
      <c r="I52" s="1297">
        <f>+I40/I$65*1000</f>
        <v>19.481408076330638</v>
      </c>
      <c r="J52" s="1297">
        <f>+J40/J$65*1000</f>
        <v>8.9125375109283809</v>
      </c>
      <c r="K52" s="1294">
        <f t="shared" ref="K52:M60" si="282">+K40/K$65*1000</f>
        <v>19.481408076330638</v>
      </c>
      <c r="L52" s="1294">
        <f>+L40/L$65*1000</f>
        <v>16.798928440444993</v>
      </c>
      <c r="M52" s="1295">
        <f>+$D$52</f>
        <v>19.481408076330638</v>
      </c>
      <c r="N52" s="1295">
        <f t="shared" ref="N52:Q60" si="283">+N40/N$65*1000</f>
        <v>11.729526015511528</v>
      </c>
      <c r="O52" s="1294">
        <f t="shared" si="283"/>
        <v>19.481408076330638</v>
      </c>
      <c r="P52" s="1294">
        <f>+P40/P$65*1000</f>
        <v>38.986330284450702</v>
      </c>
      <c r="Q52" s="1297">
        <f>+$D$52</f>
        <v>19.481408076330638</v>
      </c>
      <c r="R52" s="1297">
        <f t="shared" ref="R52:U60" si="284">+R40/R$65*1000</f>
        <v>19.203235563639868</v>
      </c>
      <c r="S52" s="1294">
        <f t="shared" si="284"/>
        <v>19.481408076330638</v>
      </c>
      <c r="T52" s="1294">
        <f>+T40/T$65*1000</f>
        <v>31.455272862030537</v>
      </c>
      <c r="U52" s="1297">
        <f>+$D$52</f>
        <v>19.481408076330638</v>
      </c>
      <c r="V52" s="1297">
        <f t="shared" ref="V52:W52" si="285">+V40/V$65*1000</f>
        <v>21.762296891497584</v>
      </c>
      <c r="W52" s="1294">
        <f t="shared" si="285"/>
        <v>19.481408076330638</v>
      </c>
      <c r="X52" s="1294">
        <f>+X40/X$65*1000</f>
        <v>38.576886953551913</v>
      </c>
      <c r="Y52" s="1295">
        <f>+$D$52</f>
        <v>19.481408076330638</v>
      </c>
      <c r="Z52" s="1295">
        <f t="shared" ref="Z52:AA59" si="286">+Z40/Z$65*1000</f>
        <v>36.357092989757973</v>
      </c>
      <c r="AA52" s="1222">
        <f>+$D$52</f>
        <v>19.481408076330638</v>
      </c>
      <c r="AB52" s="1298">
        <f t="shared" ref="AB52:AF59" si="287">+AB40/AB$65*1000</f>
        <v>24.614668771072534</v>
      </c>
      <c r="AC52" s="1294">
        <f t="shared" si="287"/>
        <v>19.94000507317568</v>
      </c>
      <c r="AD52" s="1294">
        <f t="shared" si="287"/>
        <v>28.576639301394369</v>
      </c>
      <c r="AE52" s="1281">
        <f>+$D$52</f>
        <v>19.481408076330638</v>
      </c>
      <c r="AF52" s="1297">
        <f t="shared" ref="AF52:AH58" si="288">+AF40/AF$65*1000</f>
        <v>25.186760075749657</v>
      </c>
      <c r="AG52" s="1294">
        <f t="shared" si="288"/>
        <v>19.940005073175683</v>
      </c>
      <c r="AH52" s="1294">
        <f t="shared" si="288"/>
        <v>32.203875937231118</v>
      </c>
      <c r="AI52" s="1281">
        <f>+$D$52</f>
        <v>19.481408076330638</v>
      </c>
      <c r="AJ52" s="1297">
        <f t="shared" ref="AJ52:AL52" si="289">+AJ40/AJ$65*1000</f>
        <v>25.25246518736882</v>
      </c>
      <c r="AK52" s="1294">
        <f t="shared" si="289"/>
        <v>19.94000507317568</v>
      </c>
      <c r="AL52" s="1294">
        <f t="shared" si="289"/>
        <v>26.725368082211482</v>
      </c>
      <c r="AM52" s="1295">
        <f>+$D$52</f>
        <v>19.481408076330638</v>
      </c>
      <c r="AN52" s="1295">
        <f t="shared" ref="AN52:AN58" si="290">+AN40/AN$65*1000</f>
        <v>27.811160834295293</v>
      </c>
      <c r="AO52" s="1281">
        <f>+$D$52</f>
        <v>19.481408076330638</v>
      </c>
      <c r="AP52" s="1297">
        <f t="shared" ref="AP52:AT59" si="291">+AP40/AP$65*1000</f>
        <v>25.431903028130506</v>
      </c>
      <c r="AQ52" s="1294">
        <f t="shared" si="291"/>
        <v>19.94000507317568</v>
      </c>
      <c r="AR52" s="1294">
        <f t="shared" si="291"/>
        <v>25.901150981719702</v>
      </c>
      <c r="AS52" s="1281">
        <f>+$D$52</f>
        <v>19.481408076330638</v>
      </c>
      <c r="AT52" s="1297">
        <f t="shared" ref="AT52:AV58" si="292">+AT40/AT$65*1000</f>
        <v>25.483819837354915</v>
      </c>
      <c r="AU52" s="1294">
        <f t="shared" si="292"/>
        <v>19.940005073175683</v>
      </c>
      <c r="AV52" s="1294">
        <f t="shared" si="292"/>
        <v>9.2146254441618822</v>
      </c>
      <c r="AW52" s="1281">
        <f>+$D$52</f>
        <v>19.481408076330638</v>
      </c>
      <c r="AX52" s="1297">
        <f t="shared" ref="AX52:AZ52" si="293">+AX40/AX$65*1000</f>
        <v>23.969619152434134</v>
      </c>
      <c r="AY52" s="1294">
        <f t="shared" si="293"/>
        <v>19.94000507317568</v>
      </c>
      <c r="AZ52" s="1294">
        <f t="shared" si="293"/>
        <v>29.598556167991806</v>
      </c>
      <c r="BA52" s="1295">
        <f>+$D$52</f>
        <v>19.481408076330638</v>
      </c>
      <c r="BB52" s="1295">
        <f t="shared" ref="BB52:BC59" si="294">+BB40/BB$65*1000</f>
        <v>22.157859594979001</v>
      </c>
      <c r="BC52" s="1222">
        <f>+$D$52</f>
        <v>19.481408076330638</v>
      </c>
      <c r="BD52" s="1298">
        <f t="shared" ref="BD52:BE59" si="295">+BD40/BD$65*1000</f>
        <v>24.439059744118616</v>
      </c>
      <c r="BE52" s="1281">
        <f>+$D$52</f>
        <v>19.481408076330638</v>
      </c>
      <c r="BF52" s="1297">
        <f t="shared" ref="BF52:BF59" si="296">+BF40/BF$65*1000</f>
        <v>24.533920786705039</v>
      </c>
      <c r="BG52" s="26"/>
      <c r="BH52" s="26"/>
      <c r="BI52" s="26"/>
      <c r="BJ52" s="26"/>
      <c r="BK52" s="26"/>
      <c r="BL52" s="26"/>
      <c r="BM52" s="26"/>
      <c r="BN52" s="26"/>
    </row>
    <row r="53" spans="2:66" ht="14.45" x14ac:dyDescent="0.3">
      <c r="B53" s="1279" t="s">
        <v>674</v>
      </c>
      <c r="C53" s="64" t="s">
        <v>219</v>
      </c>
      <c r="D53" s="1201">
        <f t="shared" si="278"/>
        <v>4.9928765981790804</v>
      </c>
      <c r="E53" s="1294">
        <f t="shared" ref="E53" si="297">+E41/E$65*1000</f>
        <v>4.9928765981790804</v>
      </c>
      <c r="F53" s="1294">
        <f t="shared" ref="F53:G53" si="298">+F41/F$65*1000</f>
        <v>1.8612310847341764</v>
      </c>
      <c r="G53" s="1294">
        <f t="shared" si="298"/>
        <v>4.9928765981790804</v>
      </c>
      <c r="H53" s="1294">
        <f t="shared" ref="H53" si="299">+H41/H$65*1000</f>
        <v>3.7770260001238367</v>
      </c>
      <c r="I53" s="1297">
        <f t="shared" ref="I53" si="300">+I41/I$65*1000</f>
        <v>4.9928765981790795</v>
      </c>
      <c r="J53" s="1297">
        <f t="shared" ref="J53:K59" si="301">+J41/J$65*1000</f>
        <v>2.8664847238959381</v>
      </c>
      <c r="K53" s="1294">
        <f t="shared" si="301"/>
        <v>4.9928765981790804</v>
      </c>
      <c r="L53" s="1294">
        <f t="shared" si="282"/>
        <v>3.0509681774451596</v>
      </c>
      <c r="M53" s="1295">
        <f>+$D$53</f>
        <v>4.9928765981790804</v>
      </c>
      <c r="N53" s="1295">
        <f t="shared" si="283"/>
        <v>2.932381503877882</v>
      </c>
      <c r="O53" s="1294">
        <f t="shared" si="283"/>
        <v>4.9928765981790804</v>
      </c>
      <c r="P53" s="1294">
        <f t="shared" si="283"/>
        <v>2.191174992461554</v>
      </c>
      <c r="Q53" s="1281">
        <f>+$D$53</f>
        <v>4.9928765981790804</v>
      </c>
      <c r="R53" s="1297">
        <f t="shared" si="284"/>
        <v>2.7291455659135853</v>
      </c>
      <c r="S53" s="1294">
        <f t="shared" si="284"/>
        <v>4.9928765981790804</v>
      </c>
      <c r="T53" s="1294">
        <f t="shared" si="284"/>
        <v>0.78814340034292063</v>
      </c>
      <c r="U53" s="1281">
        <f>+$D$53</f>
        <v>4.9928765981790804</v>
      </c>
      <c r="V53" s="1297">
        <f t="shared" ref="V53:X53" si="302">+V41/V$65*1000</f>
        <v>2.3237318817867498</v>
      </c>
      <c r="W53" s="1294">
        <f t="shared" si="302"/>
        <v>4.9928765981790804</v>
      </c>
      <c r="X53" s="1294">
        <f t="shared" si="302"/>
        <v>2.4760928961748636</v>
      </c>
      <c r="Y53" s="1295">
        <f>+$D$53</f>
        <v>4.9928765981790804</v>
      </c>
      <c r="Z53" s="1295">
        <f t="shared" si="286"/>
        <v>1.8184602261569327</v>
      </c>
      <c r="AA53" s="1222">
        <f>+$D$53</f>
        <v>4.9928765981790804</v>
      </c>
      <c r="AB53" s="1298">
        <f t="shared" si="287"/>
        <v>2.3495779042815186</v>
      </c>
      <c r="AC53" s="1294">
        <f t="shared" si="287"/>
        <v>0</v>
      </c>
      <c r="AD53" s="1294">
        <f t="shared" si="287"/>
        <v>2.201916552458449</v>
      </c>
      <c r="AE53" s="1281">
        <f>+$D$53</f>
        <v>4.9928765981790804</v>
      </c>
      <c r="AF53" s="1297">
        <f t="shared" si="288"/>
        <v>2.328256247603778</v>
      </c>
      <c r="AG53" s="1294">
        <f t="shared" si="288"/>
        <v>0</v>
      </c>
      <c r="AH53" s="1294">
        <f t="shared" si="288"/>
        <v>24.009505469742287</v>
      </c>
      <c r="AI53" s="1281">
        <f>+$D$53</f>
        <v>4.9928765981790804</v>
      </c>
      <c r="AJ53" s="1297">
        <f t="shared" ref="AJ53:AL53" si="303">+AJ41/AJ$65*1000</f>
        <v>2.5312696976172377</v>
      </c>
      <c r="AK53" s="1294">
        <f t="shared" si="303"/>
        <v>0</v>
      </c>
      <c r="AL53" s="1294">
        <f t="shared" si="303"/>
        <v>5.6166414088339733</v>
      </c>
      <c r="AM53" s="1295">
        <f>+$D$53</f>
        <v>4.9928765981790804</v>
      </c>
      <c r="AN53" s="1295">
        <f t="shared" si="290"/>
        <v>4.5304321700216637</v>
      </c>
      <c r="AO53" s="1281">
        <f>+$D$53</f>
        <v>4.9928765981790804</v>
      </c>
      <c r="AP53" s="1297">
        <f t="shared" si="291"/>
        <v>2.9071481345097583</v>
      </c>
      <c r="AQ53" s="1294">
        <f t="shared" si="291"/>
        <v>0</v>
      </c>
      <c r="AR53" s="1294">
        <f t="shared" si="291"/>
        <v>4.4766418415707516</v>
      </c>
      <c r="AS53" s="1281">
        <f>+$D$53</f>
        <v>4.9928765981790804</v>
      </c>
      <c r="AT53" s="1297">
        <f t="shared" si="292"/>
        <v>3.0807942948076241</v>
      </c>
      <c r="AU53" s="1294">
        <f t="shared" si="292"/>
        <v>0</v>
      </c>
      <c r="AV53" s="1294">
        <f t="shared" si="292"/>
        <v>2.9401545697943643</v>
      </c>
      <c r="AW53" s="1281">
        <f>+$D$53</f>
        <v>4.9928765981790804</v>
      </c>
      <c r="AX53" s="1297">
        <f t="shared" ref="AX53:AZ53" si="304">+AX41/AX$65*1000</f>
        <v>3.067704724248971</v>
      </c>
      <c r="AY53" s="1294">
        <f t="shared" si="304"/>
        <v>0</v>
      </c>
      <c r="AZ53" s="1294">
        <f t="shared" si="304"/>
        <v>0.23413492024779278</v>
      </c>
      <c r="BA53" s="1295">
        <f>+$D$53</f>
        <v>4.9928765981790804</v>
      </c>
      <c r="BB53" s="1295">
        <f t="shared" si="294"/>
        <v>2.4568338044641993</v>
      </c>
      <c r="BC53" s="1222">
        <f>+$D$53</f>
        <v>4.9928765981790804</v>
      </c>
      <c r="BD53" s="1298">
        <f t="shared" si="295"/>
        <v>3.2935648931718347</v>
      </c>
      <c r="BE53" s="1281">
        <f>+$D$53</f>
        <v>4.9928765981790804</v>
      </c>
      <c r="BF53" s="1297">
        <f t="shared" si="296"/>
        <v>2.7836389997970645</v>
      </c>
      <c r="BG53" s="26"/>
      <c r="BH53" s="26"/>
      <c r="BI53" s="26"/>
      <c r="BJ53" s="26"/>
      <c r="BK53" s="26"/>
      <c r="BL53" s="26"/>
      <c r="BM53" s="26"/>
      <c r="BN53" s="26"/>
    </row>
    <row r="54" spans="2:66" ht="14.45" x14ac:dyDescent="0.3">
      <c r="B54" s="1279" t="s">
        <v>44</v>
      </c>
      <c r="C54" s="64" t="s">
        <v>219</v>
      </c>
      <c r="D54" s="1201">
        <f t="shared" si="278"/>
        <v>22.45868048610533</v>
      </c>
      <c r="E54" s="1294">
        <f t="shared" ref="E54" si="305">+E42/E$65*1000</f>
        <v>22.45868048610533</v>
      </c>
      <c r="F54" s="1294">
        <f t="shared" ref="F54:G54" si="306">+F42/F$65*1000</f>
        <v>21.343566479197094</v>
      </c>
      <c r="G54" s="1294">
        <f t="shared" si="306"/>
        <v>22.458680486105333</v>
      </c>
      <c r="H54" s="1294">
        <f t="shared" ref="H54" si="307">+H42/H$65*1000</f>
        <v>20.827118033469741</v>
      </c>
      <c r="I54" s="1297">
        <f t="shared" ref="I54" si="308">+I42/I$65*1000</f>
        <v>22.45868048610533</v>
      </c>
      <c r="J54" s="1297">
        <f t="shared" si="301"/>
        <v>21.072576262375652</v>
      </c>
      <c r="K54" s="1294">
        <f t="shared" si="301"/>
        <v>22.45868048610533</v>
      </c>
      <c r="L54" s="1294">
        <f t="shared" si="282"/>
        <v>21.997267948356782</v>
      </c>
      <c r="M54" s="1295">
        <f>+$D$54</f>
        <v>22.45868048610533</v>
      </c>
      <c r="N54" s="1295">
        <f t="shared" si="283"/>
        <v>21.40287257573025</v>
      </c>
      <c r="O54" s="1294">
        <f t="shared" si="283"/>
        <v>22.458680486105333</v>
      </c>
      <c r="P54" s="1294">
        <f t="shared" si="283"/>
        <v>20.06231782088652</v>
      </c>
      <c r="Q54" s="1297">
        <f>+$D$54</f>
        <v>22.45868048610533</v>
      </c>
      <c r="R54" s="1297">
        <f t="shared" si="284"/>
        <v>21.035297684256943</v>
      </c>
      <c r="S54" s="1294">
        <f t="shared" si="284"/>
        <v>22.458680486105333</v>
      </c>
      <c r="T54" s="1294">
        <f t="shared" si="284"/>
        <v>19.147709034158968</v>
      </c>
      <c r="U54" s="1297">
        <f>+$D$54</f>
        <v>22.45868048610533</v>
      </c>
      <c r="V54" s="1297">
        <f t="shared" ref="V54:X54" si="309">+V42/V$65*1000</f>
        <v>20.641040386492808</v>
      </c>
      <c r="W54" s="1294">
        <f t="shared" si="309"/>
        <v>22.45868048610533</v>
      </c>
      <c r="X54" s="1294">
        <f t="shared" si="309"/>
        <v>18.909558572404372</v>
      </c>
      <c r="Y54" s="1295">
        <f>+$D$54</f>
        <v>22.45868048610533</v>
      </c>
      <c r="Z54" s="1295">
        <f t="shared" si="286"/>
        <v>19.385374285311393</v>
      </c>
      <c r="AA54" s="1222">
        <f>+$D$54</f>
        <v>22.45868048610533</v>
      </c>
      <c r="AB54" s="1298">
        <f t="shared" si="287"/>
        <v>20.347317493560272</v>
      </c>
      <c r="AC54" s="1294">
        <f t="shared" si="287"/>
        <v>21.946566916528042</v>
      </c>
      <c r="AD54" s="1294">
        <f t="shared" si="287"/>
        <v>18.594259997800766</v>
      </c>
      <c r="AE54" s="1281">
        <f>+$D$54</f>
        <v>22.45868048610533</v>
      </c>
      <c r="AF54" s="1297">
        <f t="shared" si="288"/>
        <v>20.094183619330877</v>
      </c>
      <c r="AG54" s="1294">
        <f t="shared" si="288"/>
        <v>21.946566916528042</v>
      </c>
      <c r="AH54" s="1294">
        <f t="shared" si="288"/>
        <v>12.045724587208587</v>
      </c>
      <c r="AI54" s="1281">
        <f>+$D$54</f>
        <v>22.45868048610533</v>
      </c>
      <c r="AJ54" s="1297">
        <f t="shared" ref="AJ54:AL54" si="310">+AJ42/AJ$65*1000</f>
        <v>20.018821474896196</v>
      </c>
      <c r="AK54" s="1294">
        <f t="shared" si="310"/>
        <v>21.946566916528042</v>
      </c>
      <c r="AL54" s="1294">
        <f t="shared" si="310"/>
        <v>13.680711496554242</v>
      </c>
      <c r="AM54" s="1295">
        <f>+$D$54</f>
        <v>22.45868048610533</v>
      </c>
      <c r="AN54" s="1295">
        <f t="shared" si="290"/>
        <v>16.042315659640412</v>
      </c>
      <c r="AO54" s="1281">
        <f>+$D$54</f>
        <v>22.45868048610533</v>
      </c>
      <c r="AP54" s="1297">
        <f t="shared" si="291"/>
        <v>19.246675006173774</v>
      </c>
      <c r="AQ54" s="1294">
        <f t="shared" si="291"/>
        <v>21.946566916528042</v>
      </c>
      <c r="AR54" s="1294">
        <f t="shared" si="291"/>
        <v>18.770480704129994</v>
      </c>
      <c r="AS54" s="1281">
        <f>+$D$54</f>
        <v>22.45868048610533</v>
      </c>
      <c r="AT54" s="1297">
        <f t="shared" si="292"/>
        <v>19.193989664567361</v>
      </c>
      <c r="AU54" s="1294">
        <f t="shared" si="292"/>
        <v>21.946566916528045</v>
      </c>
      <c r="AV54" s="1294">
        <f t="shared" si="292"/>
        <v>18.624871897436197</v>
      </c>
      <c r="AW54" s="1281">
        <f>+$D$54</f>
        <v>22.45868048610533</v>
      </c>
      <c r="AX54" s="1297">
        <f t="shared" ref="AX54:AZ54" si="311">+AX42/AX$65*1000</f>
        <v>19.141020937784479</v>
      </c>
      <c r="AY54" s="1294">
        <f t="shared" si="311"/>
        <v>21.946566916528042</v>
      </c>
      <c r="AZ54" s="1294">
        <f t="shared" si="311"/>
        <v>18.189356616750402</v>
      </c>
      <c r="BA54" s="1295">
        <f>+$D$54</f>
        <v>22.45868048610533</v>
      </c>
      <c r="BB54" s="1295">
        <f t="shared" si="294"/>
        <v>18.51361554829916</v>
      </c>
      <c r="BC54" s="1222">
        <f>+$D$54</f>
        <v>22.45868048610533</v>
      </c>
      <c r="BD54" s="1298">
        <f t="shared" si="295"/>
        <v>17.516405345635548</v>
      </c>
      <c r="BE54" s="1281">
        <f>+$D$54</f>
        <v>22.45868048610533</v>
      </c>
      <c r="BF54" s="1297">
        <f t="shared" si="296"/>
        <v>19.04561647151446</v>
      </c>
      <c r="BG54" s="26"/>
      <c r="BH54" s="26"/>
      <c r="BI54" s="26"/>
      <c r="BJ54" s="26"/>
      <c r="BK54" s="26"/>
      <c r="BL54" s="26"/>
      <c r="BM54" s="26"/>
      <c r="BN54" s="26"/>
    </row>
    <row r="55" spans="2:66" ht="14.45" x14ac:dyDescent="0.3">
      <c r="B55" s="1279" t="s">
        <v>71</v>
      </c>
      <c r="C55" s="64" t="s">
        <v>219</v>
      </c>
      <c r="D55" s="1201">
        <f t="shared" si="278"/>
        <v>19.05</v>
      </c>
      <c r="E55" s="1294">
        <f t="shared" ref="E55" si="312">+E43/E$65*1000</f>
        <v>19.05</v>
      </c>
      <c r="F55" s="1294">
        <f t="shared" ref="F55:G55" si="313">+F43/F$65*1000</f>
        <v>15.172606655687785</v>
      </c>
      <c r="G55" s="1294">
        <f t="shared" si="313"/>
        <v>19.050000000000004</v>
      </c>
      <c r="H55" s="1294">
        <f t="shared" ref="H55" si="314">+H43/H$65*1000</f>
        <v>22.707187607301876</v>
      </c>
      <c r="I55" s="1297">
        <f t="shared" ref="I55" si="315">+I43/I$65*1000</f>
        <v>19.05</v>
      </c>
      <c r="J55" s="1297">
        <f t="shared" si="301"/>
        <v>19.126143049549871</v>
      </c>
      <c r="K55" s="1294">
        <f t="shared" si="301"/>
        <v>19.05</v>
      </c>
      <c r="L55" s="1294">
        <f t="shared" si="282"/>
        <v>26.454126514189127</v>
      </c>
      <c r="M55" s="1295">
        <f>+$D$55</f>
        <v>19.05</v>
      </c>
      <c r="N55" s="1295">
        <f t="shared" si="283"/>
        <v>21.743670555624117</v>
      </c>
      <c r="O55" s="1294">
        <f t="shared" si="283"/>
        <v>19.050000000000004</v>
      </c>
      <c r="P55" s="1294">
        <f t="shared" si="283"/>
        <v>26.517740476429793</v>
      </c>
      <c r="Q55" s="1297">
        <f>+$D$55</f>
        <v>19.05</v>
      </c>
      <c r="R55" s="1297">
        <f t="shared" si="284"/>
        <v>23.052701929900714</v>
      </c>
      <c r="S55" s="1294">
        <f t="shared" si="284"/>
        <v>19.050000000000004</v>
      </c>
      <c r="T55" s="1294">
        <f t="shared" si="284"/>
        <v>20.301216924727086</v>
      </c>
      <c r="U55" s="1297">
        <f>+$D$55</f>
        <v>19.05</v>
      </c>
      <c r="V55" s="1297">
        <f t="shared" ref="V55:X55" si="316">+V43/V$65*1000</f>
        <v>22.478004130715508</v>
      </c>
      <c r="W55" s="1294">
        <f t="shared" si="316"/>
        <v>19.050000000000004</v>
      </c>
      <c r="X55" s="1294">
        <f t="shared" si="316"/>
        <v>27.706625683060111</v>
      </c>
      <c r="Y55" s="1295">
        <f>+$D$55</f>
        <v>19.05</v>
      </c>
      <c r="Z55" s="1295">
        <f t="shared" si="286"/>
        <v>24.842485182836572</v>
      </c>
      <c r="AA55" s="1222">
        <f>+$D$55</f>
        <v>19.05</v>
      </c>
      <c r="AB55" s="1298">
        <f t="shared" si="287"/>
        <v>23.364970332675068</v>
      </c>
      <c r="AC55" s="1294">
        <f t="shared" si="287"/>
        <v>17.816371315908725</v>
      </c>
      <c r="AD55" s="1294">
        <f t="shared" si="287"/>
        <v>20.769356616611731</v>
      </c>
      <c r="AE55" s="1281">
        <f>+$D$55</f>
        <v>19.05</v>
      </c>
      <c r="AF55" s="1297">
        <f t="shared" si="288"/>
        <v>22.990175006486744</v>
      </c>
      <c r="AG55" s="1294">
        <f t="shared" si="288"/>
        <v>17.816371315908725</v>
      </c>
      <c r="AH55" s="1294">
        <f t="shared" si="288"/>
        <v>28.516409226861146</v>
      </c>
      <c r="AI55" s="1281">
        <f>+$D$55</f>
        <v>19.05</v>
      </c>
      <c r="AJ55" s="1297">
        <f t="shared" ref="AJ55:AL55" si="317">+AJ43/AJ$65*1000</f>
        <v>23.04192017408138</v>
      </c>
      <c r="AK55" s="1294">
        <f t="shared" si="317"/>
        <v>17.816371315908725</v>
      </c>
      <c r="AL55" s="1294">
        <f t="shared" si="317"/>
        <v>16.09495470182852</v>
      </c>
      <c r="AM55" s="1295">
        <f>+$D$55</f>
        <v>19.05</v>
      </c>
      <c r="AN55" s="1295">
        <f t="shared" si="290"/>
        <v>18.791146813411554</v>
      </c>
      <c r="AO55" s="1281">
        <f>+$D$55</f>
        <v>19.05</v>
      </c>
      <c r="AP55" s="1297">
        <f t="shared" si="291"/>
        <v>22.195599287245038</v>
      </c>
      <c r="AQ55" s="1294">
        <f t="shared" si="291"/>
        <v>17.816371315908725</v>
      </c>
      <c r="AR55" s="1294">
        <f t="shared" si="291"/>
        <v>21.297224102911308</v>
      </c>
      <c r="AS55" s="1281">
        <f>+$D$55</f>
        <v>19.05</v>
      </c>
      <c r="AT55" s="1297">
        <f t="shared" si="292"/>
        <v>22.096204558508873</v>
      </c>
      <c r="AU55" s="1294">
        <f t="shared" si="292"/>
        <v>17.816371315908729</v>
      </c>
      <c r="AV55" s="1294">
        <f t="shared" si="292"/>
        <v>27.205918849398099</v>
      </c>
      <c r="AW55" s="1281">
        <f>+$D$55</f>
        <v>19.05</v>
      </c>
      <c r="AX55" s="1297">
        <f t="shared" ref="AX55:AZ55" si="318">+AX43/AX$65*1000</f>
        <v>22.571774073017295</v>
      </c>
      <c r="AY55" s="1294">
        <f t="shared" si="318"/>
        <v>17.816371315908725</v>
      </c>
      <c r="AZ55" s="1294">
        <f t="shared" si="318"/>
        <v>17.411345788010344</v>
      </c>
      <c r="BA55" s="1295">
        <f>+$D$55</f>
        <v>19.05</v>
      </c>
      <c r="BB55" s="1295">
        <f t="shared" si="294"/>
        <v>21.680934310005</v>
      </c>
      <c r="BC55" s="1222">
        <f>+$D$55</f>
        <v>19.05</v>
      </c>
      <c r="BD55" s="1298">
        <f t="shared" si="295"/>
        <v>20.514857465848007</v>
      </c>
      <c r="BE55" s="1281">
        <f>+$D$55</f>
        <v>19.05</v>
      </c>
      <c r="BF55" s="1297">
        <f t="shared" si="296"/>
        <v>22.054440497118559</v>
      </c>
      <c r="BG55" s="26"/>
      <c r="BH55" s="26"/>
      <c r="BI55" s="26"/>
      <c r="BJ55" s="26"/>
      <c r="BK55" s="26"/>
      <c r="BL55" s="26"/>
      <c r="BM55" s="26"/>
      <c r="BN55" s="26"/>
    </row>
    <row r="56" spans="2:66" ht="14.45" x14ac:dyDescent="0.3">
      <c r="B56" s="1279" t="s">
        <v>67</v>
      </c>
      <c r="C56" s="64" t="s">
        <v>219</v>
      </c>
      <c r="D56" s="1201">
        <f t="shared" si="278"/>
        <v>89.999999999999986</v>
      </c>
      <c r="E56" s="1294">
        <f t="shared" ref="E56" si="319">+E44/E$65*1000</f>
        <v>90</v>
      </c>
      <c r="F56" s="1294">
        <f t="shared" ref="F56:G56" si="320">+F44/F$65*1000</f>
        <v>80</v>
      </c>
      <c r="G56" s="1294">
        <f t="shared" si="320"/>
        <v>90</v>
      </c>
      <c r="H56" s="1294">
        <f t="shared" ref="H56" si="321">+H44/H$65*1000</f>
        <v>80</v>
      </c>
      <c r="I56" s="1297">
        <f t="shared" ref="I56" si="322">+I44/I$65*1000</f>
        <v>90</v>
      </c>
      <c r="J56" s="1297">
        <f t="shared" si="301"/>
        <v>80</v>
      </c>
      <c r="K56" s="1294">
        <f t="shared" si="301"/>
        <v>90</v>
      </c>
      <c r="L56" s="1294">
        <f t="shared" si="282"/>
        <v>80</v>
      </c>
      <c r="M56" s="1295">
        <f>+$D$56</f>
        <v>89.999999999999986</v>
      </c>
      <c r="N56" s="1295">
        <f t="shared" si="283"/>
        <v>80</v>
      </c>
      <c r="O56" s="1294">
        <f t="shared" si="283"/>
        <v>90.000000000000014</v>
      </c>
      <c r="P56" s="1294">
        <f t="shared" si="283"/>
        <v>80</v>
      </c>
      <c r="Q56" s="1281">
        <f>+$D$56</f>
        <v>89.999999999999986</v>
      </c>
      <c r="R56" s="1297">
        <f t="shared" si="284"/>
        <v>80</v>
      </c>
      <c r="S56" s="1294">
        <f t="shared" si="284"/>
        <v>90.000000000000014</v>
      </c>
      <c r="T56" s="1294">
        <f t="shared" si="284"/>
        <v>80</v>
      </c>
      <c r="U56" s="1281">
        <f>+$D$56</f>
        <v>89.999999999999986</v>
      </c>
      <c r="V56" s="1297">
        <f t="shared" ref="V56:X56" si="323">+V44/V$65*1000</f>
        <v>80</v>
      </c>
      <c r="W56" s="1294">
        <f t="shared" si="323"/>
        <v>90</v>
      </c>
      <c r="X56" s="1294">
        <f t="shared" si="323"/>
        <v>80</v>
      </c>
      <c r="Y56" s="1295">
        <f>+$D$56</f>
        <v>89.999999999999986</v>
      </c>
      <c r="Z56" s="1295">
        <f t="shared" si="286"/>
        <v>80</v>
      </c>
      <c r="AA56" s="1222">
        <f>+$D$56</f>
        <v>89.999999999999986</v>
      </c>
      <c r="AB56" s="1298">
        <f t="shared" si="287"/>
        <v>80</v>
      </c>
      <c r="AC56" s="1294">
        <f t="shared" si="287"/>
        <v>84.999999999999986</v>
      </c>
      <c r="AD56" s="1294">
        <f t="shared" si="287"/>
        <v>80</v>
      </c>
      <c r="AE56" s="1281">
        <f>+$D$56</f>
        <v>89.999999999999986</v>
      </c>
      <c r="AF56" s="1297">
        <f t="shared" si="288"/>
        <v>80</v>
      </c>
      <c r="AG56" s="1294">
        <f t="shared" si="288"/>
        <v>85</v>
      </c>
      <c r="AH56" s="1294">
        <f t="shared" si="288"/>
        <v>80</v>
      </c>
      <c r="AI56" s="1281">
        <f>+$D$56</f>
        <v>89.999999999999986</v>
      </c>
      <c r="AJ56" s="1297">
        <f t="shared" ref="AJ56:AL56" si="324">+AJ44/AJ$65*1000</f>
        <v>80</v>
      </c>
      <c r="AK56" s="1294">
        <f t="shared" si="324"/>
        <v>84.999999999999986</v>
      </c>
      <c r="AL56" s="1294">
        <f t="shared" si="324"/>
        <v>80</v>
      </c>
      <c r="AM56" s="1295">
        <f>+$D$56</f>
        <v>89.999999999999986</v>
      </c>
      <c r="AN56" s="1295">
        <f t="shared" si="290"/>
        <v>80</v>
      </c>
      <c r="AO56" s="1281">
        <f>+$D$56</f>
        <v>89.999999999999986</v>
      </c>
      <c r="AP56" s="1297">
        <f t="shared" si="291"/>
        <v>80</v>
      </c>
      <c r="AQ56" s="1294">
        <f t="shared" si="291"/>
        <v>84.999999999999986</v>
      </c>
      <c r="AR56" s="1294">
        <f t="shared" si="291"/>
        <v>80</v>
      </c>
      <c r="AS56" s="1281">
        <f>+$D$56</f>
        <v>89.999999999999986</v>
      </c>
      <c r="AT56" s="1297">
        <f t="shared" si="292"/>
        <v>80</v>
      </c>
      <c r="AU56" s="1294">
        <f t="shared" si="292"/>
        <v>85</v>
      </c>
      <c r="AV56" s="1294">
        <f t="shared" si="292"/>
        <v>80</v>
      </c>
      <c r="AW56" s="1281">
        <f>+$D$56</f>
        <v>89.999999999999986</v>
      </c>
      <c r="AX56" s="1297">
        <f t="shared" ref="AX56:AZ56" si="325">+AX44/AX$65*1000</f>
        <v>80</v>
      </c>
      <c r="AY56" s="1294">
        <f t="shared" si="325"/>
        <v>84.999999999999986</v>
      </c>
      <c r="AZ56" s="1294">
        <f t="shared" si="325"/>
        <v>80</v>
      </c>
      <c r="BA56" s="1295">
        <f>+$D$56</f>
        <v>89.999999999999986</v>
      </c>
      <c r="BB56" s="1295">
        <f t="shared" si="294"/>
        <v>79.999999999999986</v>
      </c>
      <c r="BC56" s="1222">
        <f>+$D$56</f>
        <v>89.999999999999986</v>
      </c>
      <c r="BD56" s="1298">
        <f t="shared" si="295"/>
        <v>80</v>
      </c>
      <c r="BE56" s="1281">
        <f>+$D$56</f>
        <v>89.999999999999986</v>
      </c>
      <c r="BF56" s="1297">
        <f t="shared" si="296"/>
        <v>79.999999999999986</v>
      </c>
      <c r="BG56" s="26"/>
      <c r="BH56" s="26"/>
      <c r="BI56" s="26"/>
      <c r="BJ56" s="26"/>
      <c r="BK56" s="26"/>
      <c r="BL56" s="26"/>
      <c r="BM56" s="26"/>
      <c r="BN56" s="26"/>
    </row>
    <row r="57" spans="2:66" ht="14.45" x14ac:dyDescent="0.3">
      <c r="B57" s="1279" t="s">
        <v>97</v>
      </c>
      <c r="C57" s="64" t="s">
        <v>219</v>
      </c>
      <c r="D57" s="1201">
        <f t="shared" si="278"/>
        <v>150</v>
      </c>
      <c r="E57" s="1294">
        <f t="shared" ref="E57" si="326">+E45/E$65*1000</f>
        <v>150</v>
      </c>
      <c r="F57" s="1294">
        <f t="shared" ref="F57:G57" si="327">+F45/F$65*1000</f>
        <v>164.41910325327035</v>
      </c>
      <c r="G57" s="1294">
        <f t="shared" si="327"/>
        <v>150</v>
      </c>
      <c r="H57" s="1294">
        <f t="shared" ref="H57" si="328">+H45/H$65*1000</f>
        <v>169.47082233342528</v>
      </c>
      <c r="I57" s="1297">
        <f t="shared" ref="I57" si="329">+I45/I$65*1000</f>
        <v>150</v>
      </c>
      <c r="J57" s="1297">
        <f t="shared" si="301"/>
        <v>167.06983530634909</v>
      </c>
      <c r="K57" s="1294">
        <f t="shared" si="301"/>
        <v>150</v>
      </c>
      <c r="L57" s="1294">
        <f t="shared" si="282"/>
        <v>214.16839856062336</v>
      </c>
      <c r="M57" s="1295">
        <f>+$D$57</f>
        <v>150</v>
      </c>
      <c r="N57" s="1295">
        <f t="shared" si="283"/>
        <v>183.89326093353964</v>
      </c>
      <c r="O57" s="1294">
        <f t="shared" si="283"/>
        <v>150</v>
      </c>
      <c r="P57" s="1294">
        <f t="shared" si="283"/>
        <v>188.96120213086743</v>
      </c>
      <c r="Q57" s="1281">
        <f>+$D$57</f>
        <v>150</v>
      </c>
      <c r="R57" s="1297">
        <f t="shared" si="284"/>
        <v>185.28287066702495</v>
      </c>
      <c r="S57" s="1294">
        <f t="shared" si="284"/>
        <v>150</v>
      </c>
      <c r="T57" s="1294">
        <f t="shared" si="284"/>
        <v>151.35745956850454</v>
      </c>
      <c r="U57" s="1281">
        <f>+$D$57</f>
        <v>150</v>
      </c>
      <c r="V57" s="1297">
        <f t="shared" ref="V57:X57" si="330">+V45/V$65*1000</f>
        <v>178.19693014468407</v>
      </c>
      <c r="W57" s="1294">
        <f t="shared" si="330"/>
        <v>150</v>
      </c>
      <c r="X57" s="1294">
        <f t="shared" si="330"/>
        <v>164.18790556693989</v>
      </c>
      <c r="Y57" s="1295">
        <f>+$D$57</f>
        <v>150</v>
      </c>
      <c r="Z57" s="1295">
        <f t="shared" si="286"/>
        <v>168.46364333956501</v>
      </c>
      <c r="AA57" s="1222">
        <f>+$D$57</f>
        <v>150</v>
      </c>
      <c r="AB57" s="1298">
        <f t="shared" si="287"/>
        <v>175.82048518715828</v>
      </c>
      <c r="AC57" s="1294">
        <f t="shared" si="287"/>
        <v>149.99999999999997</v>
      </c>
      <c r="AD57" s="1294">
        <f t="shared" si="287"/>
        <v>191.96903906859737</v>
      </c>
      <c r="AE57" s="1281">
        <f>+$D$57</f>
        <v>150</v>
      </c>
      <c r="AF57" s="1297">
        <f t="shared" si="288"/>
        <v>178.15226609970605</v>
      </c>
      <c r="AG57" s="1294">
        <f t="shared" si="288"/>
        <v>150</v>
      </c>
      <c r="AH57" s="1294">
        <f t="shared" si="288"/>
        <v>40.8079649280944</v>
      </c>
      <c r="AI57" s="1281">
        <f>+$D$57</f>
        <v>150</v>
      </c>
      <c r="AJ57" s="1297">
        <f t="shared" ref="AJ57:AL57" si="331">+AJ45/AJ$65*1000</f>
        <v>176.86623593904235</v>
      </c>
      <c r="AK57" s="1294">
        <f t="shared" si="331"/>
        <v>149.99999999999997</v>
      </c>
      <c r="AL57" s="1294">
        <f t="shared" si="331"/>
        <v>125.21155739427661</v>
      </c>
      <c r="AM57" s="1295">
        <f>+$D$57</f>
        <v>150</v>
      </c>
      <c r="AN57" s="1295">
        <f t="shared" si="290"/>
        <v>155.297100417991</v>
      </c>
      <c r="AO57" s="1281">
        <f>+$D$57</f>
        <v>150</v>
      </c>
      <c r="AP57" s="1297">
        <f t="shared" si="291"/>
        <v>170.57335402824808</v>
      </c>
      <c r="AQ57" s="1294">
        <f t="shared" si="291"/>
        <v>149.99999999999997</v>
      </c>
      <c r="AR57" s="1294">
        <f t="shared" si="291"/>
        <v>177.29451591062963</v>
      </c>
      <c r="AS57" s="1281">
        <f>+$D$57</f>
        <v>150</v>
      </c>
      <c r="AT57" s="1297">
        <f t="shared" si="292"/>
        <v>171.31697214431014</v>
      </c>
      <c r="AU57" s="1294">
        <f t="shared" si="292"/>
        <v>150</v>
      </c>
      <c r="AV57" s="1294">
        <f t="shared" si="292"/>
        <v>173.29685634118638</v>
      </c>
      <c r="AW57" s="1281">
        <f>+$D$57</f>
        <v>150</v>
      </c>
      <c r="AX57" s="1297">
        <f t="shared" ref="AX57:AZ57" si="332">+AX45/AX$65*1000</f>
        <v>171.50124322341338</v>
      </c>
      <c r="AY57" s="1294">
        <f t="shared" si="332"/>
        <v>149.99999999999997</v>
      </c>
      <c r="AZ57" s="1294">
        <f t="shared" si="332"/>
        <v>165.20657528901029</v>
      </c>
      <c r="BA57" s="1295">
        <f>+$D$57</f>
        <v>150</v>
      </c>
      <c r="BB57" s="1295">
        <f t="shared" si="294"/>
        <v>171.65566172714702</v>
      </c>
      <c r="BC57" s="1222">
        <f>+$D$57</f>
        <v>150</v>
      </c>
      <c r="BD57" s="1298">
        <f t="shared" si="295"/>
        <v>165.05471284463721</v>
      </c>
      <c r="BE57" s="1281">
        <f>+$D$57</f>
        <v>150</v>
      </c>
      <c r="BF57" s="1297">
        <f t="shared" si="296"/>
        <v>170.87020198192164</v>
      </c>
      <c r="BG57" s="26"/>
      <c r="BH57" s="26"/>
      <c r="BI57" s="26"/>
      <c r="BJ57" s="26"/>
      <c r="BK57" s="26"/>
      <c r="BL57" s="26"/>
      <c r="BM57" s="26"/>
      <c r="BN57" s="26"/>
    </row>
    <row r="58" spans="2:66" ht="14.45" x14ac:dyDescent="0.3">
      <c r="B58" s="1279" t="s">
        <v>689</v>
      </c>
      <c r="C58" s="64" t="s">
        <v>219</v>
      </c>
      <c r="D58" s="1201">
        <f t="shared" si="278"/>
        <v>7</v>
      </c>
      <c r="E58" s="1294">
        <f t="shared" ref="E58:I59" si="333">+E46/E$65*1000</f>
        <v>7.0000000000000009</v>
      </c>
      <c r="F58" s="1294">
        <f t="shared" ref="F58:G59" si="334">+F46/F$65*1000</f>
        <v>2.4857844203461457</v>
      </c>
      <c r="G58" s="1294">
        <f t="shared" si="334"/>
        <v>6.9999999999999991</v>
      </c>
      <c r="H58" s="1294">
        <f t="shared" ref="H58" si="335">+H46/H$65*1000</f>
        <v>2.8144754099283431</v>
      </c>
      <c r="I58" s="1297">
        <f t="shared" ref="I58" si="336">+I46/I$65*1000</f>
        <v>6.9999999999999991</v>
      </c>
      <c r="J58" s="1297">
        <f t="shared" si="301"/>
        <v>2.6582547671368824</v>
      </c>
      <c r="K58" s="1294">
        <f t="shared" si="301"/>
        <v>7.0000000000000009</v>
      </c>
      <c r="L58" s="1294">
        <f t="shared" si="282"/>
        <v>2.1261102281847801</v>
      </c>
      <c r="M58" s="1295">
        <f>+$D$58</f>
        <v>7</v>
      </c>
      <c r="N58" s="1295">
        <f t="shared" si="283"/>
        <v>2.46817478474668</v>
      </c>
      <c r="O58" s="1294">
        <f t="shared" si="283"/>
        <v>7</v>
      </c>
      <c r="P58" s="1294">
        <f t="shared" si="283"/>
        <v>0</v>
      </c>
      <c r="Q58" s="1297">
        <f>+$D$58</f>
        <v>7</v>
      </c>
      <c r="R58" s="1297">
        <f t="shared" si="284"/>
        <v>1.7914108738640044</v>
      </c>
      <c r="S58" s="1294">
        <f t="shared" si="284"/>
        <v>7</v>
      </c>
      <c r="T58" s="1294">
        <f t="shared" si="284"/>
        <v>1.9573097690635446</v>
      </c>
      <c r="U58" s="1297">
        <f>+$D$58</f>
        <v>7</v>
      </c>
      <c r="V58" s="1297">
        <f t="shared" ref="V58:Y59" si="337">+V46/V$65*1000</f>
        <v>1.826061882239177</v>
      </c>
      <c r="W58" s="1294">
        <f t="shared" si="337"/>
        <v>7</v>
      </c>
      <c r="X58" s="1294">
        <f t="shared" si="337"/>
        <v>0</v>
      </c>
      <c r="Y58" s="1295">
        <f>+$D$58</f>
        <v>7</v>
      </c>
      <c r="Z58" s="1295">
        <f t="shared" si="286"/>
        <v>0.64883214539376755</v>
      </c>
      <c r="AA58" s="1222">
        <f>+$D$58</f>
        <v>7</v>
      </c>
      <c r="AB58" s="1298">
        <f t="shared" si="287"/>
        <v>1.516294736918337</v>
      </c>
      <c r="AC58" s="1294">
        <f t="shared" si="287"/>
        <v>7.9999999999999982</v>
      </c>
      <c r="AD58" s="1294">
        <f t="shared" si="287"/>
        <v>8.0459800942452464</v>
      </c>
      <c r="AE58" s="1281">
        <f>+$D$58</f>
        <v>7</v>
      </c>
      <c r="AF58" s="1297">
        <f t="shared" si="288"/>
        <v>2.4591528896014623</v>
      </c>
      <c r="AG58" s="1294">
        <f t="shared" si="288"/>
        <v>8</v>
      </c>
      <c r="AH58" s="1294">
        <f t="shared" si="288"/>
        <v>40.971852337444176</v>
      </c>
      <c r="AI58" s="1281">
        <f>+$D$58</f>
        <v>7</v>
      </c>
      <c r="AJ58" s="1297">
        <f t="shared" ref="AJ58:AL58" si="338">+AJ46/AJ$65*1000</f>
        <v>2.8197684567272958</v>
      </c>
      <c r="AK58" s="1294">
        <f t="shared" si="338"/>
        <v>7.9999999999999982</v>
      </c>
      <c r="AL58" s="1294">
        <f t="shared" si="338"/>
        <v>5.530912268669594</v>
      </c>
      <c r="AM58" s="1295">
        <f>+$D$58</f>
        <v>7</v>
      </c>
      <c r="AN58" s="1295">
        <f t="shared" si="290"/>
        <v>7.9065133857271626</v>
      </c>
      <c r="AO58" s="1281">
        <f>+$D$58</f>
        <v>7</v>
      </c>
      <c r="AP58" s="1297">
        <f t="shared" si="291"/>
        <v>3.1500562125004339</v>
      </c>
      <c r="AQ58" s="1294">
        <f t="shared" si="291"/>
        <v>7.9999999999999982</v>
      </c>
      <c r="AR58" s="1294">
        <f t="shared" si="291"/>
        <v>4.8747461069735953</v>
      </c>
      <c r="AS58" s="1281">
        <f>+$D$58</f>
        <v>7</v>
      </c>
      <c r="AT58" s="1297">
        <f t="shared" si="292"/>
        <v>3.3408730195589391</v>
      </c>
      <c r="AU58" s="1294">
        <f t="shared" si="292"/>
        <v>8</v>
      </c>
      <c r="AV58" s="1294">
        <f t="shared" si="292"/>
        <v>6.1314047632255857</v>
      </c>
      <c r="AW58" s="1281">
        <f>+$D$58</f>
        <v>7</v>
      </c>
      <c r="AX58" s="1297">
        <f t="shared" ref="AX58:AZ58" si="339">+AX46/AX$65*1000</f>
        <v>3.600592399353252</v>
      </c>
      <c r="AY58" s="1294">
        <f t="shared" si="339"/>
        <v>7.9999999999999982</v>
      </c>
      <c r="AZ58" s="1294">
        <f t="shared" si="339"/>
        <v>3.6583581288717624</v>
      </c>
      <c r="BA58" s="1295">
        <f>+$D$58</f>
        <v>7</v>
      </c>
      <c r="BB58" s="1295">
        <f t="shared" si="294"/>
        <v>4.813825306279635</v>
      </c>
      <c r="BC58" s="1222">
        <f>+$D$58</f>
        <v>7</v>
      </c>
      <c r="BD58" s="1298">
        <f t="shared" si="295"/>
        <v>6.0617758770033774</v>
      </c>
      <c r="BE58" s="1281">
        <f>+$D$58</f>
        <v>7</v>
      </c>
      <c r="BF58" s="1297">
        <f t="shared" si="296"/>
        <v>3.6063834209052881</v>
      </c>
      <c r="BG58" s="26"/>
      <c r="BH58" s="26"/>
      <c r="BI58" s="26"/>
      <c r="BJ58" s="26"/>
      <c r="BK58" s="26"/>
      <c r="BL58" s="26"/>
      <c r="BM58" s="26"/>
      <c r="BN58" s="26"/>
    </row>
    <row r="59" spans="2:66" ht="14.45" x14ac:dyDescent="0.3">
      <c r="B59" s="2770" t="s">
        <v>1928</v>
      </c>
      <c r="C59" s="3288" t="s">
        <v>219</v>
      </c>
      <c r="D59" s="1201">
        <f t="shared" si="278"/>
        <v>5.9999999999999982</v>
      </c>
      <c r="E59" s="1294">
        <f t="shared" si="333"/>
        <v>6</v>
      </c>
      <c r="F59" s="1294">
        <f t="shared" si="334"/>
        <v>1.6797377497436536</v>
      </c>
      <c r="G59" s="1294">
        <f t="shared" si="334"/>
        <v>6</v>
      </c>
      <c r="H59" s="1294">
        <f t="shared" ref="H59" si="340">+H47/H$65*1000</f>
        <v>1.958874885310127</v>
      </c>
      <c r="I59" s="1297">
        <f t="shared" si="333"/>
        <v>6</v>
      </c>
      <c r="J59" s="1297">
        <f t="shared" si="301"/>
        <v>1.8262062569409987</v>
      </c>
      <c r="K59" s="1294">
        <f t="shared" si="301"/>
        <v>6</v>
      </c>
      <c r="L59" s="1294">
        <f t="shared" si="282"/>
        <v>1.8257971584536801</v>
      </c>
      <c r="M59" s="1295">
        <f t="shared" si="282"/>
        <v>5.9999999999999991</v>
      </c>
      <c r="N59" s="1295">
        <f t="shared" si="283"/>
        <v>1.8260601285349485</v>
      </c>
      <c r="O59" s="1294">
        <f t="shared" si="283"/>
        <v>5.9999999999999991</v>
      </c>
      <c r="P59" s="1294">
        <f t="shared" si="283"/>
        <v>0.85687003718966726</v>
      </c>
      <c r="Q59" s="1297">
        <f t="shared" si="283"/>
        <v>5.9999999999999991</v>
      </c>
      <c r="R59" s="1297">
        <f t="shared" si="284"/>
        <v>1.5603119810937254</v>
      </c>
      <c r="S59" s="1294">
        <f t="shared" si="284"/>
        <v>5.9999999999999991</v>
      </c>
      <c r="T59" s="1294">
        <f t="shared" si="284"/>
        <v>1.999065710803567</v>
      </c>
      <c r="U59" s="1297">
        <f t="shared" si="284"/>
        <v>5.9999999999999982</v>
      </c>
      <c r="V59" s="1297">
        <f t="shared" si="337"/>
        <v>1.6519536954314114</v>
      </c>
      <c r="W59" s="1294">
        <f t="shared" si="337"/>
        <v>5.9999999999999991</v>
      </c>
      <c r="X59" s="1294">
        <f t="shared" si="337"/>
        <v>1.1286501024590165</v>
      </c>
      <c r="Y59" s="4092">
        <f t="shared" si="337"/>
        <v>5.9999999999999991</v>
      </c>
      <c r="Z59" s="1295">
        <f t="shared" si="286"/>
        <v>1.3236175766032858</v>
      </c>
      <c r="AA59" s="2775">
        <f t="shared" si="286"/>
        <v>5.9999999999999982</v>
      </c>
      <c r="AB59" s="1298">
        <f t="shared" si="287"/>
        <v>1.5631821911862087</v>
      </c>
      <c r="AC59" s="1294">
        <f t="shared" si="287"/>
        <v>0</v>
      </c>
      <c r="AD59" s="1294">
        <f t="shared" si="287"/>
        <v>1.2283529610547745</v>
      </c>
      <c r="AE59" s="2772">
        <f t="shared" si="287"/>
        <v>5.0292740052183609</v>
      </c>
      <c r="AF59" s="3290">
        <f t="shared" si="287"/>
        <v>1.5148343073127848</v>
      </c>
      <c r="AG59" s="1294">
        <f t="shared" ref="AG59:AI59" si="341">+AG47/AG$65*1000</f>
        <v>0</v>
      </c>
      <c r="AH59" s="1294">
        <f t="shared" si="341"/>
        <v>0</v>
      </c>
      <c r="AI59" s="2772">
        <f t="shared" si="341"/>
        <v>4.3448849552511444</v>
      </c>
      <c r="AJ59" s="3290">
        <f t="shared" ref="AJ59:AO59" si="342">+AJ47/AJ$65*1000</f>
        <v>1.5006500813129151</v>
      </c>
      <c r="AK59" s="1294">
        <f t="shared" si="342"/>
        <v>0</v>
      </c>
      <c r="AL59" s="1294">
        <f t="shared" si="342"/>
        <v>2.0132520657957325</v>
      </c>
      <c r="AM59" s="4092">
        <f t="shared" si="342"/>
        <v>0</v>
      </c>
      <c r="AN59" s="4092">
        <f t="shared" si="342"/>
        <v>1.5628541459120691</v>
      </c>
      <c r="AO59" s="2772">
        <f t="shared" si="342"/>
        <v>3.8120669280377029</v>
      </c>
      <c r="AP59" s="3290">
        <f t="shared" si="291"/>
        <v>1.5630983211716456</v>
      </c>
      <c r="AQ59" s="1294">
        <f t="shared" si="291"/>
        <v>0</v>
      </c>
      <c r="AR59" s="1294">
        <f t="shared" si="291"/>
        <v>1.7832633716993906</v>
      </c>
      <c r="AS59" s="2772">
        <f t="shared" si="291"/>
        <v>3.3956541231775832</v>
      </c>
      <c r="AT59" s="3290">
        <f t="shared" si="291"/>
        <v>1.5874570143501734</v>
      </c>
      <c r="AU59" s="1294">
        <f t="shared" ref="AU59:AW59" si="343">+AU47/AU$65*1000</f>
        <v>0</v>
      </c>
      <c r="AV59" s="1294">
        <f t="shared" si="343"/>
        <v>1.5459899152990229</v>
      </c>
      <c r="AW59" s="2772">
        <f t="shared" si="343"/>
        <v>3.0895682644514295</v>
      </c>
      <c r="AX59" s="3290">
        <f t="shared" ref="AX59:BA59" si="344">+AX47/AX$65*1000</f>
        <v>1.583597603228305</v>
      </c>
      <c r="AY59" s="1294">
        <f t="shared" si="344"/>
        <v>0</v>
      </c>
      <c r="AZ59" s="1294">
        <f t="shared" si="344"/>
        <v>0.61704307106970391</v>
      </c>
      <c r="BA59" s="4092">
        <f t="shared" si="344"/>
        <v>0</v>
      </c>
      <c r="BB59" s="1295">
        <f t="shared" si="294"/>
        <v>1.2845514539981049</v>
      </c>
      <c r="BC59" s="2775">
        <f t="shared" si="294"/>
        <v>0</v>
      </c>
      <c r="BD59" s="1298">
        <f t="shared" si="295"/>
        <v>1.3968511732992599</v>
      </c>
      <c r="BE59" s="2772">
        <f t="shared" si="295"/>
        <v>2.8102596356582148</v>
      </c>
      <c r="BF59" s="1297">
        <f t="shared" si="296"/>
        <v>1.4867003914454142</v>
      </c>
      <c r="BG59" s="26"/>
      <c r="BH59" s="26"/>
      <c r="BI59" s="26"/>
      <c r="BJ59" s="26"/>
      <c r="BK59" s="26"/>
      <c r="BL59" s="26"/>
      <c r="BM59" s="26"/>
      <c r="BN59" s="26"/>
    </row>
    <row r="60" spans="2:66" ht="14.45" x14ac:dyDescent="0.3">
      <c r="B60" s="1279" t="s">
        <v>68</v>
      </c>
      <c r="C60" s="64" t="s">
        <v>219</v>
      </c>
      <c r="D60" s="1201">
        <f>D48/$D$65*1000</f>
        <v>40</v>
      </c>
      <c r="E60" s="1280">
        <f t="shared" ref="E60" si="345">+E48/E$65*1000</f>
        <v>40</v>
      </c>
      <c r="F60" s="1280">
        <f t="shared" ref="F60:G60" si="346">+F48/F$65*1000</f>
        <v>40</v>
      </c>
      <c r="G60" s="1280">
        <f t="shared" si="346"/>
        <v>40</v>
      </c>
      <c r="H60" s="1280">
        <f t="shared" ref="H60" si="347">+H48/H$65*1000</f>
        <v>40</v>
      </c>
      <c r="I60" s="1281">
        <f t="shared" ref="I60" si="348">+I48/I$65*1000</f>
        <v>40</v>
      </c>
      <c r="J60" s="1281">
        <f>+J48/J$65*1000</f>
        <v>40</v>
      </c>
      <c r="K60" s="1280">
        <f t="shared" ref="K60" si="349">+K48/K$65*1000</f>
        <v>40</v>
      </c>
      <c r="L60" s="1280">
        <f t="shared" si="282"/>
        <v>40</v>
      </c>
      <c r="M60" s="1283">
        <f>+$D$60</f>
        <v>40</v>
      </c>
      <c r="N60" s="1283">
        <f t="shared" si="283"/>
        <v>40</v>
      </c>
      <c r="O60" s="1280">
        <f t="shared" si="283"/>
        <v>40</v>
      </c>
      <c r="P60" s="1280">
        <f t="shared" si="283"/>
        <v>40</v>
      </c>
      <c r="Q60" s="1281">
        <f>+$D$60</f>
        <v>40</v>
      </c>
      <c r="R60" s="1281">
        <f t="shared" si="284"/>
        <v>40</v>
      </c>
      <c r="S60" s="1280">
        <f t="shared" si="284"/>
        <v>40</v>
      </c>
      <c r="T60" s="1280">
        <f t="shared" si="284"/>
        <v>40</v>
      </c>
      <c r="U60" s="1281">
        <f>+$D$60</f>
        <v>40</v>
      </c>
      <c r="V60" s="1281">
        <f t="shared" ref="V60:X60" si="350">+V48/V$65*1000</f>
        <v>40</v>
      </c>
      <c r="W60" s="1280">
        <f t="shared" si="350"/>
        <v>40</v>
      </c>
      <c r="X60" s="1280">
        <f t="shared" si="350"/>
        <v>40</v>
      </c>
      <c r="Y60" s="1283">
        <f>+$D$60</f>
        <v>40</v>
      </c>
      <c r="Z60" s="1295">
        <f>+Z48/Z$65*1000</f>
        <v>40</v>
      </c>
      <c r="AA60" s="1222">
        <f>+$D$60</f>
        <v>40</v>
      </c>
      <c r="AB60" s="1298">
        <f>+AB48/AB$65*1000</f>
        <v>40</v>
      </c>
      <c r="AC60" s="1294">
        <f t="shared" ref="AC60:AD60" si="351">+AC48/AC$65*1000</f>
        <v>45</v>
      </c>
      <c r="AD60" s="1294">
        <f t="shared" si="351"/>
        <v>40</v>
      </c>
      <c r="AE60" s="1281">
        <f>+$D$60</f>
        <v>40</v>
      </c>
      <c r="AF60" s="1281">
        <f>+AF48/AF$65*1000</f>
        <v>40</v>
      </c>
      <c r="AG60" s="1294">
        <f t="shared" ref="AG60:AH60" si="352">+AG48/AG$65*1000</f>
        <v>44.999999999999993</v>
      </c>
      <c r="AH60" s="1294">
        <f t="shared" si="352"/>
        <v>40</v>
      </c>
      <c r="AI60" s="1281">
        <f>+$D$60</f>
        <v>40</v>
      </c>
      <c r="AJ60" s="1281">
        <f>+AJ48/AJ$65*1000</f>
        <v>40</v>
      </c>
      <c r="AK60" s="1294">
        <f t="shared" ref="AK60:AL60" si="353">+AK48/AK$65*1000</f>
        <v>45</v>
      </c>
      <c r="AL60" s="1294">
        <f t="shared" si="353"/>
        <v>40</v>
      </c>
      <c r="AM60" s="1283">
        <f>+$D$60</f>
        <v>40</v>
      </c>
      <c r="AN60" s="1295">
        <f>+AN48/AN$65*1000</f>
        <v>40</v>
      </c>
      <c r="AO60" s="1281">
        <f>+$D$60</f>
        <v>40</v>
      </c>
      <c r="AP60" s="1281">
        <f>+AP48/AP$65*1000</f>
        <v>40</v>
      </c>
      <c r="AQ60" s="1294">
        <f t="shared" ref="AQ60:AR60" si="354">+AQ48/AQ$65*1000</f>
        <v>45</v>
      </c>
      <c r="AR60" s="1294">
        <f t="shared" si="354"/>
        <v>40</v>
      </c>
      <c r="AS60" s="1281">
        <f>+$D$60</f>
        <v>40</v>
      </c>
      <c r="AT60" s="1281">
        <f>+AT48/AT$65*1000</f>
        <v>40</v>
      </c>
      <c r="AU60" s="1280">
        <f t="shared" ref="AU60:AV60" si="355">+AU48/AU$65*1000</f>
        <v>45</v>
      </c>
      <c r="AV60" s="1280">
        <f t="shared" si="355"/>
        <v>40</v>
      </c>
      <c r="AW60" s="1281">
        <f>+$D$60</f>
        <v>40</v>
      </c>
      <c r="AX60" s="1281">
        <f>+AX48/AX$65*1000</f>
        <v>40</v>
      </c>
      <c r="AY60" s="1280">
        <f t="shared" ref="AY60:AZ60" si="356">+AY48/AY$65*1000</f>
        <v>45</v>
      </c>
      <c r="AZ60" s="1280">
        <f t="shared" si="356"/>
        <v>40</v>
      </c>
      <c r="BA60" s="1283">
        <f>+$D$60</f>
        <v>40</v>
      </c>
      <c r="BB60" s="1295">
        <f>+BB48/BB$65*1000</f>
        <v>39.999999999999993</v>
      </c>
      <c r="BC60" s="1222">
        <f>+$D$60</f>
        <v>40</v>
      </c>
      <c r="BD60" s="1298">
        <f>+BD48/BD$65*1000</f>
        <v>40</v>
      </c>
      <c r="BE60" s="1281">
        <f>+$D$60</f>
        <v>40</v>
      </c>
      <c r="BF60" s="1281">
        <f>+BF48/BF$65*1000</f>
        <v>39.999999999999993</v>
      </c>
      <c r="BG60" s="26"/>
      <c r="BH60" s="26"/>
      <c r="BI60" s="26"/>
      <c r="BJ60" s="26"/>
      <c r="BK60" s="26"/>
      <c r="BL60" s="26"/>
      <c r="BM60" s="26"/>
      <c r="BN60" s="26"/>
    </row>
    <row r="61" spans="2:66" ht="15.6" x14ac:dyDescent="0.3">
      <c r="B61" s="1285" t="s">
        <v>21</v>
      </c>
      <c r="C61" s="1286" t="s">
        <v>219</v>
      </c>
      <c r="D61" s="200">
        <f t="shared" ref="D61:AB61" si="357">SUM(D51:D60)</f>
        <v>1536.6754972306292</v>
      </c>
      <c r="E61" s="1287">
        <f t="shared" si="357"/>
        <v>1536.9086439182634</v>
      </c>
      <c r="F61" s="1287">
        <f t="shared" si="357"/>
        <v>1562.222881645589</v>
      </c>
      <c r="G61" s="1287">
        <f t="shared" ref="G61:H61" si="358">SUM(G51:G60)</f>
        <v>1537.1954840135079</v>
      </c>
      <c r="H61" s="1287">
        <f t="shared" si="358"/>
        <v>1563.0828637850188</v>
      </c>
      <c r="I61" s="1288">
        <f t="shared" si="357"/>
        <v>1537.0541862674788</v>
      </c>
      <c r="J61" s="1288">
        <f t="shared" si="357"/>
        <v>1562.6741304553298</v>
      </c>
      <c r="K61" s="1287">
        <f t="shared" ref="K61:L61" si="359">SUM(K51:K60)</f>
        <v>1536.9086439182634</v>
      </c>
      <c r="L61" s="1287">
        <f t="shared" si="359"/>
        <v>1579.6889500736165</v>
      </c>
      <c r="M61" s="1290">
        <f t="shared" si="357"/>
        <v>1536.6754972306292</v>
      </c>
      <c r="N61" s="1290">
        <f t="shared" si="357"/>
        <v>1568.7517585745343</v>
      </c>
      <c r="O61" s="1287">
        <f t="shared" ref="O61:P61" si="360">SUM(O51:O60)</f>
        <v>1537.0182059996962</v>
      </c>
      <c r="P61" s="1287">
        <f t="shared" si="360"/>
        <v>1579.1365966428789</v>
      </c>
      <c r="Q61" s="1288">
        <f t="shared" si="357"/>
        <v>1537.0036405980015</v>
      </c>
      <c r="R61" s="1288">
        <f t="shared" si="357"/>
        <v>1571.599240717391</v>
      </c>
      <c r="S61" s="1287">
        <f t="shared" ref="S61:T61" si="361">SUM(S51:S60)</f>
        <v>1537.0182059996962</v>
      </c>
      <c r="T61" s="1287">
        <f t="shared" si="361"/>
        <v>1545.9288739727385</v>
      </c>
      <c r="U61" s="1288">
        <f t="shared" ref="U61:X61" si="362">SUM(U51:U60)</f>
        <v>1537.0054193442204</v>
      </c>
      <c r="V61" s="1288">
        <f t="shared" si="362"/>
        <v>1566.237516686662</v>
      </c>
      <c r="W61" s="1287">
        <f t="shared" si="362"/>
        <v>1536.1672797797585</v>
      </c>
      <c r="X61" s="1287">
        <f t="shared" si="362"/>
        <v>1547.7770662568305</v>
      </c>
      <c r="Y61" s="1290">
        <f t="shared" si="357"/>
        <v>1536.8342207956075</v>
      </c>
      <c r="Z61" s="1290">
        <f t="shared" si="357"/>
        <v>1557.960833031266</v>
      </c>
      <c r="AA61" s="1291">
        <f t="shared" si="357"/>
        <v>1536.9270753636995</v>
      </c>
      <c r="AB61" s="1291">
        <f t="shared" si="357"/>
        <v>1563.1059464553327</v>
      </c>
      <c r="AC61" s="1287">
        <f t="shared" ref="AC61:AD61" si="363">SUM(AC51:AC60)</f>
        <v>1554.1349403504057</v>
      </c>
      <c r="AD61" s="1287">
        <f t="shared" si="363"/>
        <v>1589.1262333816983</v>
      </c>
      <c r="AE61" s="1288">
        <f t="shared" ref="AE61:AH61" si="364">SUM(AE51:AE60)</f>
        <v>1534.1913616999343</v>
      </c>
      <c r="AF61" s="1288">
        <f t="shared" si="364"/>
        <v>1566.197061409114</v>
      </c>
      <c r="AG61" s="1287">
        <f t="shared" si="364"/>
        <v>1553.1769934622778</v>
      </c>
      <c r="AH61" s="1287">
        <f t="shared" si="364"/>
        <v>1438.3103208096036</v>
      </c>
      <c r="AI61" s="1288">
        <f t="shared" ref="AI61:AL61" si="365">SUM(AI51:AI60)</f>
        <v>1532.9077792446524</v>
      </c>
      <c r="AJ61" s="1288">
        <f t="shared" si="365"/>
        <v>1564.9995875848856</v>
      </c>
      <c r="AK61" s="1287">
        <f t="shared" si="365"/>
        <v>1554.1349403504057</v>
      </c>
      <c r="AL61" s="1287">
        <f t="shared" si="365"/>
        <v>1512.634318204445</v>
      </c>
      <c r="AM61" s="1290">
        <f t="shared" ref="AM61:AN61" si="366">SUM(AM51:AM60)</f>
        <v>1525.4031806901874</v>
      </c>
      <c r="AN61" s="1290">
        <f t="shared" si="366"/>
        <v>1547.826894795933</v>
      </c>
      <c r="AO61" s="1288">
        <f t="shared" ref="AO61:AT61" si="367">SUM(AO51:AO60)</f>
        <v>1532.0259447145611</v>
      </c>
      <c r="AP61" s="1288">
        <f t="shared" si="367"/>
        <v>1558.6201372481175</v>
      </c>
      <c r="AQ61" s="1287">
        <f t="shared" si="367"/>
        <v>1554.1349403504057</v>
      </c>
      <c r="AR61" s="1287">
        <f t="shared" si="367"/>
        <v>1571.1833987813131</v>
      </c>
      <c r="AS61" s="1288">
        <f t="shared" si="367"/>
        <v>1531.3367653487312</v>
      </c>
      <c r="AT61" s="1288">
        <f t="shared" si="367"/>
        <v>1560.0101155043176</v>
      </c>
      <c r="AU61" s="1287">
        <f t="shared" ref="AU61:AX61" si="368">SUM(AU51:AU60)</f>
        <v>1552.8586255150551</v>
      </c>
      <c r="AV61" s="1287">
        <f t="shared" si="368"/>
        <v>1579.6290792089906</v>
      </c>
      <c r="AW61" s="1288">
        <f t="shared" si="368"/>
        <v>1530.7151337447683</v>
      </c>
      <c r="AX61" s="1288">
        <f t="shared" si="368"/>
        <v>1561.8360847294123</v>
      </c>
      <c r="AY61" s="1287">
        <f t="shared" ref="AY61:AZ61" si="369">SUM(AY51:AY60)</f>
        <v>1554.1349403504057</v>
      </c>
      <c r="AZ61" s="1287">
        <f t="shared" si="369"/>
        <v>1584.6480659480023</v>
      </c>
      <c r="BA61" s="1290">
        <f t="shared" ref="BA61:BD61" si="370">SUM(BA51:BA60)</f>
        <v>1525.3186246397095</v>
      </c>
      <c r="BB61" s="1290">
        <f t="shared" si="370"/>
        <v>1578.6835346671191</v>
      </c>
      <c r="BC61" s="1291">
        <f t="shared" si="370"/>
        <v>1525.361381845574</v>
      </c>
      <c r="BD61" s="1291">
        <f t="shared" si="370"/>
        <v>1566.2323723291631</v>
      </c>
      <c r="BE61" s="1288">
        <f t="shared" ref="BE61:BF61" si="371">SUM(BE51:BE60)</f>
        <v>1530.2632678544335</v>
      </c>
      <c r="BF61" s="1288">
        <f t="shared" si="371"/>
        <v>1564.1229886771789</v>
      </c>
      <c r="BG61" s="26"/>
      <c r="BH61" s="26"/>
      <c r="BI61" s="26"/>
      <c r="BJ61" s="26"/>
      <c r="BK61" s="26"/>
      <c r="BL61" s="26"/>
      <c r="BM61" s="26"/>
      <c r="BN61" s="26"/>
    </row>
    <row r="62" spans="2:66" ht="17.45" x14ac:dyDescent="0.3">
      <c r="B62" s="1278" t="s">
        <v>220</v>
      </c>
      <c r="C62" s="1278"/>
      <c r="D62" s="251"/>
      <c r="E62" s="1278"/>
      <c r="F62" s="1278"/>
      <c r="G62" s="1278"/>
      <c r="H62" s="1278"/>
      <c r="I62" s="1278"/>
      <c r="J62" s="1278"/>
      <c r="K62" s="1278"/>
      <c r="L62" s="1278"/>
      <c r="M62" s="1278"/>
      <c r="N62" s="1278"/>
      <c r="O62" s="1278"/>
      <c r="P62" s="1278"/>
      <c r="Q62" s="1278"/>
      <c r="R62" s="1278"/>
      <c r="S62" s="1278"/>
      <c r="T62" s="1278"/>
      <c r="U62" s="1278"/>
      <c r="V62" s="1278"/>
      <c r="W62" s="1278"/>
      <c r="X62" s="1278"/>
      <c r="Y62" s="1278"/>
      <c r="Z62" s="1278"/>
      <c r="AA62" s="1278"/>
      <c r="AB62" s="1278"/>
      <c r="AC62" s="1278"/>
      <c r="AD62" s="1278"/>
      <c r="AE62" s="1278"/>
      <c r="AF62" s="1278"/>
      <c r="AG62" s="1278"/>
      <c r="AH62" s="1278"/>
      <c r="AI62" s="1278"/>
      <c r="AJ62" s="1278"/>
      <c r="AK62" s="1278"/>
      <c r="AL62" s="1278"/>
      <c r="AM62" s="1278"/>
      <c r="AN62" s="1278"/>
      <c r="AO62" s="1278"/>
      <c r="AP62" s="1278"/>
      <c r="AQ62" s="1278"/>
      <c r="AR62" s="1278"/>
      <c r="AS62" s="1278"/>
      <c r="AT62" s="1278"/>
      <c r="AU62" s="1278"/>
      <c r="AV62" s="1278"/>
      <c r="AW62" s="1278"/>
      <c r="AX62" s="1278"/>
      <c r="AY62" s="1278"/>
      <c r="AZ62" s="1278"/>
      <c r="BA62" s="1278"/>
      <c r="BB62" s="1278"/>
      <c r="BC62" s="1278"/>
      <c r="BD62" s="1278"/>
      <c r="BE62" s="1278"/>
      <c r="BF62" s="1278"/>
      <c r="BG62" s="26"/>
      <c r="BH62" s="26"/>
      <c r="BI62" s="26"/>
      <c r="BJ62" s="26"/>
      <c r="BK62" s="26"/>
      <c r="BL62" s="26"/>
      <c r="BM62" s="26"/>
      <c r="BN62" s="26"/>
    </row>
    <row r="63" spans="2:66" ht="14.45" x14ac:dyDescent="0.3">
      <c r="B63" s="1279" t="s">
        <v>45</v>
      </c>
      <c r="C63" s="64" t="s">
        <v>50</v>
      </c>
      <c r="D63" s="1201">
        <v>2181437.9814609592</v>
      </c>
      <c r="E63" s="1280">
        <v>186095.71909429212</v>
      </c>
      <c r="F63" s="1280">
        <v>164970</v>
      </c>
      <c r="G63" s="1280">
        <v>191686.05938299978</v>
      </c>
      <c r="H63" s="1280">
        <v>184098</v>
      </c>
      <c r="I63" s="1281">
        <f>+E63+G63</f>
        <v>377781.77847729193</v>
      </c>
      <c r="J63" s="1281">
        <f>+F63+H63</f>
        <v>349068</v>
      </c>
      <c r="K63" s="1280">
        <v>186095.71909429212</v>
      </c>
      <c r="L63" s="1280">
        <v>197042</v>
      </c>
      <c r="M63" s="1283">
        <f>+K63+G63+E63</f>
        <v>563877.49757158407</v>
      </c>
      <c r="N63" s="1283">
        <f>+L63+H63+F63</f>
        <v>546110</v>
      </c>
      <c r="O63" s="1280">
        <v>188192.09670255746</v>
      </c>
      <c r="P63" s="1280">
        <v>207709</v>
      </c>
      <c r="Q63" s="1281">
        <f>+M63+O63</f>
        <v>752069.59427414159</v>
      </c>
      <c r="R63" s="1281">
        <f>+N63+P63</f>
        <v>753819</v>
      </c>
      <c r="S63" s="1280">
        <v>188192.09670255746</v>
      </c>
      <c r="T63" s="1280">
        <v>192174</v>
      </c>
      <c r="U63" s="1281">
        <f>+Q63+S63</f>
        <v>940261.69097669912</v>
      </c>
      <c r="V63" s="1281">
        <f>+R63+T63</f>
        <v>945993</v>
      </c>
      <c r="W63" s="1280">
        <v>103830.9550523845</v>
      </c>
      <c r="X63" s="1280">
        <v>186581</v>
      </c>
      <c r="Y63" s="1283">
        <f>+O63+S63+W63</f>
        <v>480215.14845749945</v>
      </c>
      <c r="Z63" s="1283">
        <f>+P63+T63+X63</f>
        <v>586464</v>
      </c>
      <c r="AA63" s="1222">
        <f>+U63+W63</f>
        <v>1044092.6460290836</v>
      </c>
      <c r="AB63" s="1222">
        <f>+N63+Z63</f>
        <v>1132574</v>
      </c>
      <c r="AC63" s="1280">
        <v>201525.68172049118</v>
      </c>
      <c r="AD63" s="1280">
        <v>192066</v>
      </c>
      <c r="AE63" s="1281">
        <f>+AA63+AC63</f>
        <v>1245618.3277495748</v>
      </c>
      <c r="AF63" s="1281">
        <f>+AB63+AD63</f>
        <v>1324640</v>
      </c>
      <c r="AG63" s="1280">
        <v>196204.85990543544</v>
      </c>
      <c r="AH63" s="1280">
        <v>13027</v>
      </c>
      <c r="AI63" s="1281">
        <f>+AE63+AG63</f>
        <v>1441823.1876550103</v>
      </c>
      <c r="AJ63" s="1281">
        <f>+AF63+AH63</f>
        <v>1337667</v>
      </c>
      <c r="AK63" s="1280">
        <v>201525.68172049118</v>
      </c>
      <c r="AL63" s="1280">
        <v>190975</v>
      </c>
      <c r="AM63" s="1283">
        <f>+AC63+AG63+AK63</f>
        <v>599256.22334641777</v>
      </c>
      <c r="AN63" s="1283">
        <f>+AD63+AH63+AL63</f>
        <v>396068</v>
      </c>
      <c r="AO63" s="1281">
        <f>AI63+AK63</f>
        <v>1643348.8693755015</v>
      </c>
      <c r="AP63" s="1281">
        <f>AJ63+AL63</f>
        <v>1528642</v>
      </c>
      <c r="AQ63" s="1280">
        <v>201525.68172049118</v>
      </c>
      <c r="AR63" s="1280">
        <v>193559</v>
      </c>
      <c r="AS63" s="1281">
        <f>+AO63+AQ63</f>
        <v>1844874.5510959928</v>
      </c>
      <c r="AT63" s="1281">
        <f>+AP63+AR63</f>
        <v>1722201</v>
      </c>
      <c r="AU63" s="1280">
        <v>182773.11354844202</v>
      </c>
      <c r="AV63" s="1280">
        <v>172126</v>
      </c>
      <c r="AW63" s="1281">
        <f>+AS63+AU63</f>
        <v>2027647.6646444348</v>
      </c>
      <c r="AX63" s="1281">
        <f>+AT63+AV63</f>
        <v>1894327</v>
      </c>
      <c r="AY63" s="1280">
        <v>201525.68172049118</v>
      </c>
      <c r="AZ63" s="1280">
        <v>201701</v>
      </c>
      <c r="BA63" s="1283">
        <f>+AQ63+AU63+AY63</f>
        <v>585824.47698942432</v>
      </c>
      <c r="BB63" s="1283">
        <f>+AR63+AV63+AZ63</f>
        <v>567386</v>
      </c>
      <c r="BC63" s="1222">
        <f t="shared" ref="BC63:BC64" si="372">AM63+BA63</f>
        <v>1185080.7003358421</v>
      </c>
      <c r="BD63" s="1222">
        <f t="shared" ref="BD63:BD64" si="373">AN63+BB63</f>
        <v>963454</v>
      </c>
      <c r="BE63" s="1281">
        <f>+AW63+AY63</f>
        <v>2229173.3463649261</v>
      </c>
      <c r="BF63" s="1281">
        <f>+AX63+AZ63</f>
        <v>2096028</v>
      </c>
      <c r="BG63" s="26"/>
      <c r="BH63" s="26"/>
      <c r="BI63" s="26"/>
      <c r="BJ63" s="26"/>
      <c r="BK63" s="26"/>
      <c r="BL63" s="26"/>
      <c r="BM63" s="26"/>
      <c r="BN63" s="26"/>
    </row>
    <row r="64" spans="2:66" ht="14.45" x14ac:dyDescent="0.3">
      <c r="B64" s="1279" t="s">
        <v>94</v>
      </c>
      <c r="C64" s="64" t="s">
        <v>50</v>
      </c>
      <c r="D64" s="1201">
        <v>2181437.9814609592</v>
      </c>
      <c r="E64" s="1280">
        <v>186095.71909429212</v>
      </c>
      <c r="F64" s="1280">
        <v>156860</v>
      </c>
      <c r="G64" s="1280">
        <v>191686.05938299978</v>
      </c>
      <c r="H64" s="1280">
        <v>171208</v>
      </c>
      <c r="I64" s="1281">
        <f>+E64+G64</f>
        <v>377781.77847729193</v>
      </c>
      <c r="J64" s="1281">
        <f>+F64+H64</f>
        <v>328068</v>
      </c>
      <c r="K64" s="1280">
        <v>186095.71909429212</v>
      </c>
      <c r="L64" s="1280">
        <v>179232</v>
      </c>
      <c r="M64" s="1283">
        <f>+K64+G64+E64</f>
        <v>563877.49757158407</v>
      </c>
      <c r="N64" s="1283">
        <f>+L64+H64+F64</f>
        <v>507300</v>
      </c>
      <c r="O64" s="1280">
        <v>188192.09670255746</v>
      </c>
      <c r="P64" s="1280">
        <v>190251</v>
      </c>
      <c r="Q64" s="1281">
        <f>+M64+O64</f>
        <v>752069.59427414159</v>
      </c>
      <c r="R64" s="1281">
        <f>+N64+P64</f>
        <v>697551</v>
      </c>
      <c r="S64" s="1280">
        <v>188192.09670255746</v>
      </c>
      <c r="T64" s="1280">
        <v>191005</v>
      </c>
      <c r="U64" s="1281">
        <f>+Q64+S64</f>
        <v>940261.69097669912</v>
      </c>
      <c r="V64" s="1281">
        <f>+R64+T64</f>
        <v>888556</v>
      </c>
      <c r="W64" s="1280">
        <v>103830.9550523845</v>
      </c>
      <c r="X64" s="1280">
        <v>188203</v>
      </c>
      <c r="Y64" s="1283">
        <f>+O64+S64+W64</f>
        <v>480215.14845749945</v>
      </c>
      <c r="Z64" s="1283">
        <f>+P64+T64+X64</f>
        <v>569459</v>
      </c>
      <c r="AA64" s="1222">
        <f>+U64+W64</f>
        <v>1044092.6460290836</v>
      </c>
      <c r="AB64" s="1222">
        <f>+N64+Z64</f>
        <v>1076759</v>
      </c>
      <c r="AC64" s="1280">
        <v>201525.68172049118</v>
      </c>
      <c r="AD64" s="1280">
        <v>180791</v>
      </c>
      <c r="AE64" s="1281">
        <f>+AA64+AC64</f>
        <v>1245618.3277495748</v>
      </c>
      <c r="AF64" s="1281">
        <f>+AB64+AD64</f>
        <v>1257550</v>
      </c>
      <c r="AG64" s="1280">
        <v>196204.85990543544</v>
      </c>
      <c r="AH64" s="1280">
        <v>11380</v>
      </c>
      <c r="AI64" s="1281">
        <f>+AE64+AG64</f>
        <v>1441823.1876550103</v>
      </c>
      <c r="AJ64" s="1281">
        <f>+AF64+AH64</f>
        <v>1268930</v>
      </c>
      <c r="AK64" s="1280">
        <v>201525.68172049118</v>
      </c>
      <c r="AL64" s="1280">
        <v>170629</v>
      </c>
      <c r="AM64" s="1283">
        <f>+AC64+AG64+AK64</f>
        <v>599256.22334641777</v>
      </c>
      <c r="AN64" s="1283">
        <f>+AD64+AH64+AL64</f>
        <v>362800</v>
      </c>
      <c r="AO64" s="1281">
        <f>AI64+AK64</f>
        <v>1643348.8693755015</v>
      </c>
      <c r="AP64" s="1281">
        <f>AJ64+AL64</f>
        <v>1439559</v>
      </c>
      <c r="AQ64" s="1280">
        <v>201525.68172049118</v>
      </c>
      <c r="AR64" s="1280">
        <v>175691</v>
      </c>
      <c r="AS64" s="1281">
        <f>+AO64+AQ64</f>
        <v>1844874.5510959928</v>
      </c>
      <c r="AT64" s="1281">
        <f>+AP64+AR64</f>
        <v>1615250</v>
      </c>
      <c r="AU64" s="1280">
        <v>182773.11354844202</v>
      </c>
      <c r="AV64" s="1280">
        <v>170373</v>
      </c>
      <c r="AW64" s="1281">
        <f>+AS64+AU64</f>
        <v>2027647.6646444348</v>
      </c>
      <c r="AX64" s="1281">
        <f>+AT64+AV64</f>
        <v>1785623</v>
      </c>
      <c r="AY64" s="1280">
        <v>201525.68172049118</v>
      </c>
      <c r="AZ64" s="1280">
        <v>208319</v>
      </c>
      <c r="BA64" s="1283">
        <f>+AQ64+AU64+AY64</f>
        <v>585824.47698942432</v>
      </c>
      <c r="BB64" s="1283">
        <f>+AR64+AV64+AZ64</f>
        <v>554383</v>
      </c>
      <c r="BC64" s="1222">
        <f t="shared" si="372"/>
        <v>1185080.7003358421</v>
      </c>
      <c r="BD64" s="1222">
        <f t="shared" si="373"/>
        <v>917183</v>
      </c>
      <c r="BE64" s="1281">
        <f>+AW64+AY64</f>
        <v>2229173.3463649261</v>
      </c>
      <c r="BF64" s="1281">
        <f>+AX64+AZ64</f>
        <v>1993942</v>
      </c>
      <c r="BG64" s="26"/>
      <c r="BH64" s="26"/>
      <c r="BI64" s="26"/>
      <c r="BJ64" s="26"/>
      <c r="BK64" s="26"/>
      <c r="BL64" s="26"/>
      <c r="BM64" s="26"/>
      <c r="BN64" s="26"/>
    </row>
    <row r="65" spans="2:66" ht="15.6" x14ac:dyDescent="0.3">
      <c r="B65" s="1285" t="s">
        <v>21</v>
      </c>
      <c r="C65" s="1286" t="s">
        <v>50</v>
      </c>
      <c r="D65" s="200">
        <f t="shared" ref="D65:R65" si="374">SUM(D63:D64)</f>
        <v>4362875.9629219184</v>
      </c>
      <c r="E65" s="1287">
        <f t="shared" si="374"/>
        <v>372191.43818858423</v>
      </c>
      <c r="F65" s="1287">
        <f t="shared" si="374"/>
        <v>321830</v>
      </c>
      <c r="G65" s="1287">
        <f t="shared" ref="G65:H65" si="375">SUM(G63:G64)</f>
        <v>383372.11876599956</v>
      </c>
      <c r="H65" s="1287">
        <f t="shared" si="375"/>
        <v>355306</v>
      </c>
      <c r="I65" s="1288">
        <f t="shared" si="374"/>
        <v>755563.55695458385</v>
      </c>
      <c r="J65" s="1288">
        <f t="shared" si="374"/>
        <v>677136</v>
      </c>
      <c r="K65" s="1287">
        <f t="shared" ref="K65" si="376">SUM(K63:K64)</f>
        <v>372191.43818858423</v>
      </c>
      <c r="L65" s="1287">
        <f>SUM(L63:L64)</f>
        <v>376274</v>
      </c>
      <c r="M65" s="1290">
        <f t="shared" si="374"/>
        <v>1127754.9951431681</v>
      </c>
      <c r="N65" s="1290">
        <f t="shared" si="374"/>
        <v>1053410</v>
      </c>
      <c r="O65" s="1287">
        <f t="shared" ref="O65" si="377">SUM(O63:O64)</f>
        <v>376384.19340511493</v>
      </c>
      <c r="P65" s="1287">
        <f>SUM(P63:P64)</f>
        <v>397960</v>
      </c>
      <c r="Q65" s="1288">
        <f t="shared" si="374"/>
        <v>1504139.1885482832</v>
      </c>
      <c r="R65" s="1288">
        <f t="shared" si="374"/>
        <v>1451370</v>
      </c>
      <c r="S65" s="1287">
        <f t="shared" ref="S65" si="378">SUM(S63:S64)</f>
        <v>376384.19340511493</v>
      </c>
      <c r="T65" s="1287">
        <f>SUM(T63:T64)</f>
        <v>383179</v>
      </c>
      <c r="U65" s="1288">
        <f t="shared" ref="U65:W65" si="379">SUM(U63:U64)</f>
        <v>1880523.3819533982</v>
      </c>
      <c r="V65" s="1288">
        <f t="shared" si="379"/>
        <v>1834549</v>
      </c>
      <c r="W65" s="1287">
        <f t="shared" si="379"/>
        <v>207661.91010476899</v>
      </c>
      <c r="X65" s="1287">
        <f>SUM(X63:X64)</f>
        <v>374784</v>
      </c>
      <c r="Y65" s="1290">
        <f t="shared" ref="Y65:AD65" si="380">SUM(Y63:Y64)</f>
        <v>960430.29691499891</v>
      </c>
      <c r="Z65" s="1290">
        <f t="shared" si="380"/>
        <v>1155923</v>
      </c>
      <c r="AA65" s="1291">
        <f t="shared" si="380"/>
        <v>2088185.2920581673</v>
      </c>
      <c r="AB65" s="1291">
        <f t="shared" si="380"/>
        <v>2209333</v>
      </c>
      <c r="AC65" s="1287">
        <f t="shared" si="380"/>
        <v>403051.36344098236</v>
      </c>
      <c r="AD65" s="1287">
        <f t="shared" si="380"/>
        <v>372857</v>
      </c>
      <c r="AE65" s="1288">
        <f t="shared" ref="AE65:AH65" si="381">SUM(AE63:AE64)</f>
        <v>2491236.6554991496</v>
      </c>
      <c r="AF65" s="1288">
        <f t="shared" si="381"/>
        <v>2582190</v>
      </c>
      <c r="AG65" s="1287">
        <f t="shared" si="381"/>
        <v>392409.71981087088</v>
      </c>
      <c r="AH65" s="1287">
        <f t="shared" si="381"/>
        <v>24407</v>
      </c>
      <c r="AI65" s="1288">
        <f t="shared" ref="AI65:AL65" si="382">SUM(AI63:AI64)</f>
        <v>2883646.3753100205</v>
      </c>
      <c r="AJ65" s="1288">
        <f t="shared" si="382"/>
        <v>2606597</v>
      </c>
      <c r="AK65" s="1287">
        <f t="shared" si="382"/>
        <v>403051.36344098236</v>
      </c>
      <c r="AL65" s="1287">
        <f t="shared" si="382"/>
        <v>361604</v>
      </c>
      <c r="AM65" s="1290">
        <f t="shared" ref="AM65:AN65" si="383">SUM(AM63:AM64)</f>
        <v>1198512.4466928355</v>
      </c>
      <c r="AN65" s="1290">
        <f t="shared" si="383"/>
        <v>758868</v>
      </c>
      <c r="AO65" s="1288">
        <f t="shared" ref="AO65:AT65" si="384">SUM(AO63:AO64)</f>
        <v>3286697.7387510031</v>
      </c>
      <c r="AP65" s="1288">
        <f t="shared" si="384"/>
        <v>2968201</v>
      </c>
      <c r="AQ65" s="1287">
        <f t="shared" si="384"/>
        <v>403051.36344098236</v>
      </c>
      <c r="AR65" s="1287">
        <f t="shared" si="384"/>
        <v>369250</v>
      </c>
      <c r="AS65" s="1288">
        <f t="shared" si="384"/>
        <v>3689749.1021919856</v>
      </c>
      <c r="AT65" s="1288">
        <f t="shared" si="384"/>
        <v>3337451</v>
      </c>
      <c r="AU65" s="1287">
        <f t="shared" ref="AU65:AX65" si="385">SUM(AU63:AU64)</f>
        <v>365546.22709688405</v>
      </c>
      <c r="AV65" s="1287">
        <f t="shared" si="385"/>
        <v>342499</v>
      </c>
      <c r="AW65" s="1288">
        <f t="shared" si="385"/>
        <v>4055295.3292888696</v>
      </c>
      <c r="AX65" s="1288">
        <f t="shared" si="385"/>
        <v>3679950</v>
      </c>
      <c r="AY65" s="1287">
        <f t="shared" ref="AY65:AZ65" si="386">SUM(AY63:AY64)</f>
        <v>403051.36344098236</v>
      </c>
      <c r="AZ65" s="1287">
        <f t="shared" si="386"/>
        <v>410020</v>
      </c>
      <c r="BA65" s="1290">
        <f t="shared" ref="BA65:BF65" si="387">SUM(BA63:BA64)</f>
        <v>1171648.9539788486</v>
      </c>
      <c r="BB65" s="1290">
        <f t="shared" si="387"/>
        <v>1121769</v>
      </c>
      <c r="BC65" s="1291">
        <f t="shared" si="387"/>
        <v>2370161.4006716842</v>
      </c>
      <c r="BD65" s="1291">
        <f t="shared" si="387"/>
        <v>1880637</v>
      </c>
      <c r="BE65" s="1288">
        <f t="shared" si="387"/>
        <v>4458346.6927298522</v>
      </c>
      <c r="BF65" s="1288">
        <f t="shared" si="387"/>
        <v>4089970</v>
      </c>
      <c r="BG65" s="26"/>
      <c r="BH65" s="26"/>
      <c r="BI65" s="26"/>
      <c r="BJ65" s="26"/>
      <c r="BK65" s="26"/>
      <c r="BL65" s="26"/>
      <c r="BM65" s="26"/>
      <c r="BN65" s="26"/>
    </row>
    <row r="66" spans="2:66" ht="15.75" x14ac:dyDescent="0.25">
      <c r="B66" s="6068" t="s">
        <v>89</v>
      </c>
      <c r="C66" s="1286" t="s">
        <v>50</v>
      </c>
      <c r="D66" s="200">
        <f>+D65*D67/1000</f>
        <v>654431.39443828771</v>
      </c>
      <c r="E66" s="1287">
        <f>+E67*E65/1000</f>
        <v>55828.715728287636</v>
      </c>
      <c r="F66" s="1287">
        <v>48274.5</v>
      </c>
      <c r="G66" s="1287">
        <f>+G67*G65/1000</f>
        <v>57505.817814899936</v>
      </c>
      <c r="H66" s="1287">
        <v>53295.9</v>
      </c>
      <c r="I66" s="1288">
        <f>+E66+G66</f>
        <v>113334.53354318757</v>
      </c>
      <c r="J66" s="1288">
        <f>+F66+H66</f>
        <v>101570.4</v>
      </c>
      <c r="K66" s="1287">
        <f>+K67*K65/1000</f>
        <v>55828.715728287636</v>
      </c>
      <c r="L66" s="1287">
        <v>56441.1</v>
      </c>
      <c r="M66" s="1502">
        <f>+K66+G66+E66</f>
        <v>169163.24927147522</v>
      </c>
      <c r="N66" s="1502">
        <f>+L66+H66+F66</f>
        <v>158011.5</v>
      </c>
      <c r="O66" s="1287">
        <f>+O67*O65/1000</f>
        <v>56457.629010767239</v>
      </c>
      <c r="P66" s="1287">
        <v>59694</v>
      </c>
      <c r="Q66" s="1288">
        <f>+M66+O66</f>
        <v>225620.87828224245</v>
      </c>
      <c r="R66" s="1288">
        <f>+N66+P66</f>
        <v>217705.5</v>
      </c>
      <c r="S66" s="1287">
        <f>+S67*S65/1000</f>
        <v>56457.629010767239</v>
      </c>
      <c r="T66" s="1287">
        <v>57476.85</v>
      </c>
      <c r="U66" s="1288">
        <f>+Q66+S66</f>
        <v>282078.50729300966</v>
      </c>
      <c r="V66" s="1288">
        <f>+R66+T66</f>
        <v>275182.34999999998</v>
      </c>
      <c r="W66" s="1287">
        <f>+W67*W65/1000</f>
        <v>31149.28651571535</v>
      </c>
      <c r="X66" s="1287">
        <v>56217.599999999999</v>
      </c>
      <c r="Y66" s="1502">
        <f>+O66+S66+W66</f>
        <v>144064.54453724984</v>
      </c>
      <c r="Z66" s="1502">
        <f>+P66+T66+X66</f>
        <v>173388.45</v>
      </c>
      <c r="AA66" s="1291">
        <f>+U66+W66</f>
        <v>313227.79380872502</v>
      </c>
      <c r="AB66" s="1291">
        <f>+N66+Z66</f>
        <v>331399.95</v>
      </c>
      <c r="AC66" s="1287">
        <f>+AC67*AC65/1000</f>
        <v>60457.704516147351</v>
      </c>
      <c r="AD66" s="1287">
        <v>55928.549999999996</v>
      </c>
      <c r="AE66" s="1288">
        <f>+AA66+AC66</f>
        <v>373685.49832487234</v>
      </c>
      <c r="AF66" s="1288">
        <f>+AB66+AD66</f>
        <v>387328.5</v>
      </c>
      <c r="AG66" s="1287">
        <f>+AG67*AG65/1000</f>
        <v>58861.457971630633</v>
      </c>
      <c r="AH66" s="1287">
        <v>3661.0499999999997</v>
      </c>
      <c r="AI66" s="1288">
        <f>+AE66+AG66</f>
        <v>432546.95629650296</v>
      </c>
      <c r="AJ66" s="1288">
        <f>+AF66+AH66</f>
        <v>390989.55</v>
      </c>
      <c r="AK66" s="1287">
        <f>+AK67*AK65/1000</f>
        <v>60457.704516147351</v>
      </c>
      <c r="AL66" s="1287">
        <v>54240.6</v>
      </c>
      <c r="AM66" s="1502">
        <f>+AC66+AG66+AK66</f>
        <v>179776.86700392532</v>
      </c>
      <c r="AN66" s="1502">
        <f>+AD66+AH66+AL66</f>
        <v>113830.2</v>
      </c>
      <c r="AO66" s="1288">
        <f>AI66+AK66</f>
        <v>493004.66081265034</v>
      </c>
      <c r="AP66" s="1288">
        <f>AJ66+AL66</f>
        <v>445230.14999999997</v>
      </c>
      <c r="AQ66" s="1287">
        <f>+AQ67*AQ65/1000</f>
        <v>60457.704516147351</v>
      </c>
      <c r="AR66" s="1287">
        <v>55387.5</v>
      </c>
      <c r="AS66" s="1288">
        <f>+AO66+AQ66</f>
        <v>553462.36532879772</v>
      </c>
      <c r="AT66" s="1288">
        <f>+AP66+AR66</f>
        <v>500617.64999999997</v>
      </c>
      <c r="AU66" s="1287">
        <f>+AU67*AU65/1000</f>
        <v>54831.934064532608</v>
      </c>
      <c r="AV66" s="1287">
        <v>51374.85</v>
      </c>
      <c r="AW66" s="1288">
        <f>+AS66+AU66</f>
        <v>608294.29939333035</v>
      </c>
      <c r="AX66" s="1288">
        <f>+AT66+AV66</f>
        <v>551992.5</v>
      </c>
      <c r="AY66" s="1287">
        <f>+AY67*AY65/1000</f>
        <v>60457.704516147351</v>
      </c>
      <c r="AZ66" s="1287">
        <v>61503</v>
      </c>
      <c r="BA66" s="1502">
        <f>+AQ66+AU66+AY66</f>
        <v>175747.3430968273</v>
      </c>
      <c r="BB66" s="1502">
        <f>+AR66+AV66+AZ66</f>
        <v>168265.35</v>
      </c>
      <c r="BC66" s="1291">
        <f t="shared" ref="BC66:BD66" si="388">AM66+BA66</f>
        <v>355524.21010075265</v>
      </c>
      <c r="BD66" s="1291">
        <f t="shared" si="388"/>
        <v>282095.55</v>
      </c>
      <c r="BE66" s="1288">
        <f>+AW66+AY66</f>
        <v>668752.00390947773</v>
      </c>
      <c r="BF66" s="1288">
        <f>+AX66+AZ66</f>
        <v>613495.5</v>
      </c>
      <c r="BG66" s="26"/>
      <c r="BH66" s="26"/>
      <c r="BI66" s="26"/>
      <c r="BJ66" s="26"/>
      <c r="BK66" s="26"/>
      <c r="BL66" s="26"/>
      <c r="BM66" s="26"/>
      <c r="BN66" s="26"/>
    </row>
    <row r="67" spans="2:66" ht="16.5" thickBot="1" x14ac:dyDescent="0.3">
      <c r="B67" s="6069"/>
      <c r="C67" s="3301" t="s">
        <v>219</v>
      </c>
      <c r="D67" s="3302">
        <v>150</v>
      </c>
      <c r="E67" s="3301">
        <v>150</v>
      </c>
      <c r="F67" s="2879">
        <f>+F66/F65*1000</f>
        <v>150</v>
      </c>
      <c r="G67" s="3301">
        <v>150</v>
      </c>
      <c r="H67" s="2879">
        <f>+H66/H65*1000</f>
        <v>150</v>
      </c>
      <c r="I67" s="3303">
        <f>+I66/I65*1000</f>
        <v>150</v>
      </c>
      <c r="J67" s="3303">
        <f>+J66/J65*1000</f>
        <v>150</v>
      </c>
      <c r="K67" s="3301">
        <v>150</v>
      </c>
      <c r="L67" s="2879">
        <f>+L66/L65*1000</f>
        <v>150</v>
      </c>
      <c r="M67" s="1501">
        <f>+M66/M65*1000</f>
        <v>150</v>
      </c>
      <c r="N67" s="1501">
        <f>+N66/N65*1000</f>
        <v>150</v>
      </c>
      <c r="O67" s="3301">
        <v>150</v>
      </c>
      <c r="P67" s="2879">
        <f>+P66/P65*1000</f>
        <v>150</v>
      </c>
      <c r="Q67" s="1289">
        <f>+Q66/Q65*1000</f>
        <v>150</v>
      </c>
      <c r="R67" s="1289">
        <f>+R66/R65*1000</f>
        <v>150</v>
      </c>
      <c r="S67" s="3301">
        <v>150</v>
      </c>
      <c r="T67" s="2879">
        <f>+T66/T65*1000</f>
        <v>150</v>
      </c>
      <c r="U67" s="1289">
        <f>+U66/U65*1000</f>
        <v>149.99999999999997</v>
      </c>
      <c r="V67" s="1289">
        <f>+V66/V65*1000</f>
        <v>150</v>
      </c>
      <c r="W67" s="3301">
        <v>150</v>
      </c>
      <c r="X67" s="2879">
        <f>+X66/X65*1000</f>
        <v>150</v>
      </c>
      <c r="Y67" s="1501">
        <f>+Y66/Y65*1000</f>
        <v>150</v>
      </c>
      <c r="Z67" s="1501">
        <f>+Z66/Z65*1000</f>
        <v>150.00000000000003</v>
      </c>
      <c r="AA67" s="1291">
        <f>+AA66/AA65*1000</f>
        <v>149.99999999999997</v>
      </c>
      <c r="AB67" s="1291">
        <f>+AB66/AB65*1000</f>
        <v>150</v>
      </c>
      <c r="AC67" s="3301">
        <v>150</v>
      </c>
      <c r="AD67" s="2879">
        <f>+AD66/AD65*1000</f>
        <v>150</v>
      </c>
      <c r="AE67" s="1289">
        <f>+AE66/AE65*1000</f>
        <v>149.99999999999997</v>
      </c>
      <c r="AF67" s="1289">
        <f>+AF66/AF65*1000</f>
        <v>150</v>
      </c>
      <c r="AG67" s="3301">
        <v>150</v>
      </c>
      <c r="AH67" s="2879">
        <f>+AH66/AH65*1000</f>
        <v>150</v>
      </c>
      <c r="AI67" s="1289">
        <f>+AI66/AI65*1000</f>
        <v>149.99999999999997</v>
      </c>
      <c r="AJ67" s="1289">
        <f>+AJ66/AJ65*1000</f>
        <v>150</v>
      </c>
      <c r="AK67" s="3301">
        <v>150</v>
      </c>
      <c r="AL67" s="2879">
        <f>+AL66/AL65*1000</f>
        <v>150</v>
      </c>
      <c r="AM67" s="1501">
        <f>+AM66/AM65*1000</f>
        <v>150</v>
      </c>
      <c r="AN67" s="1501">
        <f>+AN66/AN65*1000</f>
        <v>150</v>
      </c>
      <c r="AO67" s="1289">
        <f>+AO66/AO65*1000</f>
        <v>149.99999999999997</v>
      </c>
      <c r="AP67" s="1289">
        <f>+AP66/AP65*1000</f>
        <v>150</v>
      </c>
      <c r="AQ67" s="3301">
        <v>150</v>
      </c>
      <c r="AR67" s="2879">
        <f>+AR66/AR65*1000</f>
        <v>150</v>
      </c>
      <c r="AS67" s="1289">
        <f>+AS66/AS65*1000</f>
        <v>149.99999999999997</v>
      </c>
      <c r="AT67" s="1289">
        <f>+AT66/AT65*1000</f>
        <v>150</v>
      </c>
      <c r="AU67" s="3301">
        <v>150</v>
      </c>
      <c r="AV67" s="2879">
        <f>+AV66/AV65*1000</f>
        <v>150</v>
      </c>
      <c r="AW67" s="1289">
        <f>+AW66/AW65*1000</f>
        <v>149.99999999999997</v>
      </c>
      <c r="AX67" s="1289">
        <f>+AX66/AX65*1000</f>
        <v>150</v>
      </c>
      <c r="AY67" s="3301">
        <v>150</v>
      </c>
      <c r="AZ67" s="2879">
        <f>+AZ66/AZ65*1000</f>
        <v>150</v>
      </c>
      <c r="BA67" s="1501">
        <f t="shared" ref="BA67:BF67" si="389">+BA66/BA65*1000</f>
        <v>150</v>
      </c>
      <c r="BB67" s="1501">
        <f t="shared" si="389"/>
        <v>150</v>
      </c>
      <c r="BC67" s="1291">
        <f t="shared" si="389"/>
        <v>150.00000000000003</v>
      </c>
      <c r="BD67" s="1291">
        <f t="shared" si="389"/>
        <v>150</v>
      </c>
      <c r="BE67" s="1289">
        <f t="shared" si="389"/>
        <v>149.99999999999997</v>
      </c>
      <c r="BF67" s="1289">
        <f t="shared" si="389"/>
        <v>150</v>
      </c>
      <c r="BG67" s="26"/>
      <c r="BH67" s="26"/>
      <c r="BI67" s="26"/>
      <c r="BJ67" s="26"/>
      <c r="BK67" s="26"/>
      <c r="BL67" s="26"/>
      <c r="BM67" s="26"/>
      <c r="BN67" s="26"/>
    </row>
    <row r="68" spans="2:66" ht="17.45" x14ac:dyDescent="0.3">
      <c r="B68" s="3283" t="s">
        <v>46</v>
      </c>
      <c r="C68" s="3284"/>
      <c r="D68" s="2489"/>
      <c r="E68" s="3285"/>
      <c r="F68" s="3285"/>
      <c r="G68" s="3285"/>
      <c r="H68" s="3285"/>
      <c r="I68" s="3284"/>
      <c r="J68" s="3286"/>
      <c r="K68" s="3285"/>
      <c r="L68" s="3285"/>
      <c r="M68" s="1278"/>
      <c r="N68" s="1278"/>
      <c r="O68" s="3285"/>
      <c r="P68" s="3285"/>
      <c r="Q68" s="1278"/>
      <c r="R68" s="1278"/>
      <c r="S68" s="3285"/>
      <c r="T68" s="3285"/>
      <c r="U68" s="1278"/>
      <c r="V68" s="1278"/>
      <c r="W68" s="3285"/>
      <c r="X68" s="3285"/>
      <c r="Y68" s="1278"/>
      <c r="Z68" s="1278"/>
      <c r="AA68" s="1278"/>
      <c r="AB68" s="1278"/>
      <c r="AC68" s="3285"/>
      <c r="AD68" s="3285"/>
      <c r="AE68" s="1278"/>
      <c r="AF68" s="1278"/>
      <c r="AG68" s="3285"/>
      <c r="AH68" s="3285"/>
      <c r="AI68" s="1278"/>
      <c r="AJ68" s="1278"/>
      <c r="AK68" s="3285"/>
      <c r="AL68" s="3285"/>
      <c r="AM68" s="1278"/>
      <c r="AN68" s="1278"/>
      <c r="AO68" s="1278"/>
      <c r="AP68" s="1278"/>
      <c r="AQ68" s="3285"/>
      <c r="AR68" s="3285"/>
      <c r="AS68" s="1278"/>
      <c r="AT68" s="1278"/>
      <c r="AU68" s="3285"/>
      <c r="AV68" s="3285"/>
      <c r="AW68" s="1278"/>
      <c r="AX68" s="1278"/>
      <c r="AY68" s="3285"/>
      <c r="AZ68" s="3285"/>
      <c r="BA68" s="1278"/>
      <c r="BB68" s="1278"/>
      <c r="BC68" s="1278"/>
      <c r="BD68" s="1278"/>
      <c r="BE68" s="1278"/>
      <c r="BF68" s="1278"/>
      <c r="BG68" s="26"/>
      <c r="BH68" s="26"/>
      <c r="BI68" s="26"/>
      <c r="BJ68" s="26"/>
      <c r="BK68" s="26"/>
      <c r="BL68" s="26"/>
      <c r="BM68" s="26"/>
      <c r="BN68" s="26"/>
    </row>
    <row r="69" spans="2:66" ht="14.45" x14ac:dyDescent="0.3">
      <c r="B69" s="3287" t="s">
        <v>88</v>
      </c>
      <c r="C69" s="3288" t="s">
        <v>221</v>
      </c>
      <c r="D69" s="2656">
        <f>+D2*24</f>
        <v>8760</v>
      </c>
      <c r="E69" s="3288">
        <f>+E2*24</f>
        <v>720</v>
      </c>
      <c r="F69" s="3288">
        <f>+F2*24</f>
        <v>720</v>
      </c>
      <c r="G69" s="3288">
        <f>+G2*24</f>
        <v>744</v>
      </c>
      <c r="H69" s="3288">
        <f>+H2*24</f>
        <v>744</v>
      </c>
      <c r="I69" s="3304">
        <f>+E69+G69</f>
        <v>1464</v>
      </c>
      <c r="J69" s="3293">
        <f>+F69+H69</f>
        <v>1464</v>
      </c>
      <c r="K69" s="3288">
        <f>+K2*24</f>
        <v>720</v>
      </c>
      <c r="L69" s="3288">
        <f>+L2*24</f>
        <v>720</v>
      </c>
      <c r="M69" s="1283">
        <f>+K69+G69+E69</f>
        <v>2184</v>
      </c>
      <c r="N69" s="1283">
        <f>+L69+H69+F69</f>
        <v>2184</v>
      </c>
      <c r="O69" s="3288">
        <f>+O2*24</f>
        <v>744</v>
      </c>
      <c r="P69" s="3288">
        <f>+P2*24</f>
        <v>744</v>
      </c>
      <c r="Q69" s="1282">
        <f>+M69+O69</f>
        <v>2928</v>
      </c>
      <c r="R69" s="1282">
        <f>+N69+P69</f>
        <v>2928</v>
      </c>
      <c r="S69" s="3288">
        <f>+S2*24</f>
        <v>744</v>
      </c>
      <c r="T69" s="3288">
        <f>+T2*24</f>
        <v>744</v>
      </c>
      <c r="U69" s="1282">
        <f>+Q69+S69</f>
        <v>3672</v>
      </c>
      <c r="V69" s="1282">
        <f>+R69+T69</f>
        <v>3672</v>
      </c>
      <c r="W69" s="3288">
        <f>+W2*24</f>
        <v>720</v>
      </c>
      <c r="X69" s="3288">
        <f>+X2*24</f>
        <v>720</v>
      </c>
      <c r="Y69" s="1283">
        <f>+O69+S69+W69</f>
        <v>2208</v>
      </c>
      <c r="Z69" s="1283">
        <f>+P69+T69+X69</f>
        <v>2208</v>
      </c>
      <c r="AA69" s="1222">
        <f>M69+Y69</f>
        <v>4392</v>
      </c>
      <c r="AB69" s="1222">
        <f>N69+Z69</f>
        <v>4392</v>
      </c>
      <c r="AC69" s="3288">
        <f>+AC2*24</f>
        <v>744</v>
      </c>
      <c r="AD69" s="3288">
        <f>+AD2*24</f>
        <v>744</v>
      </c>
      <c r="AE69" s="1282">
        <f>+AA69+AC69</f>
        <v>5136</v>
      </c>
      <c r="AF69" s="1282">
        <f>+AB69+AD69</f>
        <v>5136</v>
      </c>
      <c r="AG69" s="3288">
        <f>+AG2*24</f>
        <v>720</v>
      </c>
      <c r="AH69" s="3288">
        <f>+AH2*24</f>
        <v>720</v>
      </c>
      <c r="AI69" s="1282">
        <f>+AE69+AG69</f>
        <v>5856</v>
      </c>
      <c r="AJ69" s="1282">
        <f>+AF69+AH69</f>
        <v>5856</v>
      </c>
      <c r="AK69" s="3288">
        <f>+AK2*24</f>
        <v>744</v>
      </c>
      <c r="AL69" s="3288">
        <f>+AL2*24</f>
        <v>744</v>
      </c>
      <c r="AM69" s="1283">
        <f>+AC69+AG69+AK69</f>
        <v>2208</v>
      </c>
      <c r="AN69" s="1283">
        <f>+AD69+AH69+AL69</f>
        <v>2208</v>
      </c>
      <c r="AO69" s="1281">
        <f>AI69+AK69</f>
        <v>6600</v>
      </c>
      <c r="AP69" s="1281">
        <f>AJ69+AL69</f>
        <v>6600</v>
      </c>
      <c r="AQ69" s="3288">
        <f>+AQ2*24</f>
        <v>744</v>
      </c>
      <c r="AR69" s="3288">
        <f>+AR2*24</f>
        <v>744</v>
      </c>
      <c r="AS69" s="1282">
        <f>+AO69+AQ69</f>
        <v>7344</v>
      </c>
      <c r="AT69" s="1282">
        <f>+AP69+AR69</f>
        <v>7344</v>
      </c>
      <c r="AU69" s="3288">
        <f>+AU2*24</f>
        <v>672</v>
      </c>
      <c r="AV69" s="3288">
        <f>+AV2*24</f>
        <v>672</v>
      </c>
      <c r="AW69" s="1282">
        <f>+AS69+AU69</f>
        <v>8016</v>
      </c>
      <c r="AX69" s="1282">
        <f>+AT69+AV69</f>
        <v>8016</v>
      </c>
      <c r="AY69" s="3288">
        <f>+AY2*24</f>
        <v>744</v>
      </c>
      <c r="AZ69" s="3288">
        <f>+AZ2*24</f>
        <v>744</v>
      </c>
      <c r="BA69" s="1283">
        <f>+AQ69+AU69+AY69</f>
        <v>2160</v>
      </c>
      <c r="BB69" s="1283">
        <f>+AR69+AV69+AZ69</f>
        <v>2160</v>
      </c>
      <c r="BC69" s="1222">
        <f t="shared" ref="BC69:BC70" si="390">AM69+BA69</f>
        <v>4368</v>
      </c>
      <c r="BD69" s="1222">
        <f t="shared" ref="BD69:BD70" si="391">AN69+BB69</f>
        <v>4368</v>
      </c>
      <c r="BE69" s="1282">
        <f>+AW69+AY69</f>
        <v>8760</v>
      </c>
      <c r="BF69" s="1282">
        <f>+AX69+AZ69</f>
        <v>8760</v>
      </c>
      <c r="BG69" s="26"/>
      <c r="BH69" s="26"/>
      <c r="BI69" s="26"/>
      <c r="BJ69" s="26"/>
      <c r="BK69" s="26"/>
      <c r="BL69" s="26"/>
      <c r="BM69" s="26"/>
      <c r="BN69" s="26"/>
    </row>
    <row r="70" spans="2:66" ht="14.45" x14ac:dyDescent="0.3">
      <c r="B70" s="3287" t="s">
        <v>222</v>
      </c>
      <c r="C70" s="3288" t="s">
        <v>221</v>
      </c>
      <c r="D70" s="2656">
        <v>8100</v>
      </c>
      <c r="E70" s="2771">
        <v>690</v>
      </c>
      <c r="F70" s="2771">
        <v>702.5</v>
      </c>
      <c r="G70" s="2771">
        <v>714</v>
      </c>
      <c r="H70" s="2771">
        <v>727</v>
      </c>
      <c r="I70" s="2772">
        <f>+E70+G70</f>
        <v>1404</v>
      </c>
      <c r="J70" s="3305">
        <f>+F70+H70</f>
        <v>1429.5</v>
      </c>
      <c r="K70" s="2771">
        <v>690</v>
      </c>
      <c r="L70" s="2771">
        <v>704</v>
      </c>
      <c r="M70" s="1283">
        <f>+K70+G70+E70</f>
        <v>2094</v>
      </c>
      <c r="N70" s="1283">
        <f>+L70+H70+F70</f>
        <v>2133.5</v>
      </c>
      <c r="O70" s="2771">
        <v>714</v>
      </c>
      <c r="P70" s="2771">
        <v>726.75</v>
      </c>
      <c r="Q70" s="1281">
        <f>+M70+O70</f>
        <v>2808</v>
      </c>
      <c r="R70" s="1281">
        <f>+N70+P70</f>
        <v>2860.25</v>
      </c>
      <c r="S70" s="2771">
        <v>714</v>
      </c>
      <c r="T70" s="2771">
        <v>728.91499999999996</v>
      </c>
      <c r="U70" s="1281">
        <f>+Q70+S70</f>
        <v>3522</v>
      </c>
      <c r="V70" s="1281">
        <f>+R70+T70</f>
        <v>3589.165</v>
      </c>
      <c r="W70" s="2771">
        <v>390</v>
      </c>
      <c r="X70" s="2771">
        <v>706.6</v>
      </c>
      <c r="Y70" s="1283">
        <f>+O70+S70+W70</f>
        <v>1818</v>
      </c>
      <c r="Z70" s="1283">
        <f>+P70+T70+X70</f>
        <v>2162.2649999999999</v>
      </c>
      <c r="AA70" s="1222">
        <f>M70+Y70</f>
        <v>3912</v>
      </c>
      <c r="AB70" s="1222">
        <f>N70+Z70</f>
        <v>4295.7649999999994</v>
      </c>
      <c r="AC70" s="2771">
        <v>720</v>
      </c>
      <c r="AD70" s="2771">
        <v>725.04</v>
      </c>
      <c r="AE70" s="1281">
        <f>+AA70+AC70</f>
        <v>4632</v>
      </c>
      <c r="AF70" s="1281">
        <f>+AB70+AD70</f>
        <v>5020.8049999999994</v>
      </c>
      <c r="AG70" s="2771">
        <v>696</v>
      </c>
      <c r="AH70" s="2771">
        <v>76.75</v>
      </c>
      <c r="AI70" s="1281">
        <f>+AE70+AG70</f>
        <v>5328</v>
      </c>
      <c r="AJ70" s="1281">
        <f>+AF70+AH70</f>
        <v>5097.5549999999994</v>
      </c>
      <c r="AK70" s="2771">
        <v>720</v>
      </c>
      <c r="AL70" s="2771">
        <v>716</v>
      </c>
      <c r="AM70" s="1283">
        <f>+AC70+AG70+AK70</f>
        <v>2136</v>
      </c>
      <c r="AN70" s="1283">
        <f>+AD70+AH70+AL70</f>
        <v>1517.79</v>
      </c>
      <c r="AO70" s="1281">
        <f>AI70+AK70</f>
        <v>6048</v>
      </c>
      <c r="AP70" s="1281">
        <f>AJ70+AL70</f>
        <v>5813.5549999999994</v>
      </c>
      <c r="AQ70" s="2771">
        <v>720</v>
      </c>
      <c r="AR70" s="2771">
        <v>695.71</v>
      </c>
      <c r="AS70" s="1281">
        <f>+AO70+AQ70</f>
        <v>6768</v>
      </c>
      <c r="AT70" s="1281">
        <f>+AP70+AR70</f>
        <v>6509.2649999999994</v>
      </c>
      <c r="AU70" s="2771">
        <v>656</v>
      </c>
      <c r="AV70" s="2771">
        <v>636</v>
      </c>
      <c r="AW70" s="1281">
        <f>+AS70+AU70</f>
        <v>7424</v>
      </c>
      <c r="AX70" s="1281">
        <f>+AT70+AV70</f>
        <v>7145.2649999999994</v>
      </c>
      <c r="AY70" s="2771">
        <v>720</v>
      </c>
      <c r="AZ70" s="2771">
        <v>744</v>
      </c>
      <c r="BA70" s="1283">
        <f>+AQ70+AU70+AY70</f>
        <v>2096</v>
      </c>
      <c r="BB70" s="1283">
        <f>+AR70+AV70+AZ70</f>
        <v>2075.71</v>
      </c>
      <c r="BC70" s="1222">
        <f t="shared" si="390"/>
        <v>4232</v>
      </c>
      <c r="BD70" s="1222">
        <f t="shared" si="391"/>
        <v>3593.5</v>
      </c>
      <c r="BE70" s="1281">
        <f>+AW70+AY70</f>
        <v>8144</v>
      </c>
      <c r="BF70" s="1281">
        <f>+AX70+AZ70</f>
        <v>7889.2649999999994</v>
      </c>
      <c r="BG70" s="26"/>
      <c r="BH70" s="26"/>
      <c r="BI70" s="26"/>
      <c r="BJ70" s="26"/>
      <c r="BK70" s="26"/>
      <c r="BL70" s="26"/>
      <c r="BM70" s="26"/>
      <c r="BN70" s="26"/>
    </row>
    <row r="71" spans="2:66" ht="14.45" x14ac:dyDescent="0.3">
      <c r="B71" s="3287" t="s">
        <v>223</v>
      </c>
      <c r="C71" s="3288" t="s">
        <v>49</v>
      </c>
      <c r="D71" s="2933">
        <f t="shared" ref="D71:T71" si="392">+D70/D69*100</f>
        <v>92.465753424657535</v>
      </c>
      <c r="E71" s="3289">
        <f t="shared" si="392"/>
        <v>95.833333333333343</v>
      </c>
      <c r="F71" s="2771">
        <f t="shared" si="392"/>
        <v>97.569444444444443</v>
      </c>
      <c r="G71" s="3289">
        <f t="shared" ref="G71:H71" si="393">+G70/G69*100</f>
        <v>95.967741935483872</v>
      </c>
      <c r="H71" s="2771">
        <f t="shared" si="393"/>
        <v>97.715053763440864</v>
      </c>
      <c r="I71" s="3290">
        <f t="shared" si="392"/>
        <v>95.901639344262293</v>
      </c>
      <c r="J71" s="3291">
        <f t="shared" si="392"/>
        <v>97.643442622950815</v>
      </c>
      <c r="K71" s="3289">
        <f t="shared" si="392"/>
        <v>95.833333333333343</v>
      </c>
      <c r="L71" s="2771">
        <f t="shared" si="392"/>
        <v>97.777777777777771</v>
      </c>
      <c r="M71" s="1295">
        <f t="shared" si="392"/>
        <v>95.879120879120876</v>
      </c>
      <c r="N71" s="1295">
        <f t="shared" si="392"/>
        <v>97.687728937728934</v>
      </c>
      <c r="O71" s="3289">
        <f t="shared" ref="O71:P71" si="394">+O70/O69*100</f>
        <v>95.967741935483872</v>
      </c>
      <c r="P71" s="2771">
        <f t="shared" si="394"/>
        <v>97.681451612903231</v>
      </c>
      <c r="Q71" s="1297">
        <f t="shared" si="392"/>
        <v>95.901639344262293</v>
      </c>
      <c r="R71" s="1297">
        <f t="shared" si="392"/>
        <v>97.686133879781423</v>
      </c>
      <c r="S71" s="3289">
        <f t="shared" si="392"/>
        <v>95.967741935483872</v>
      </c>
      <c r="T71" s="2771">
        <f t="shared" si="392"/>
        <v>97.972446236559136</v>
      </c>
      <c r="U71" s="1297">
        <f t="shared" ref="U71:X71" si="395">+U70/U69*100</f>
        <v>95.915032679738559</v>
      </c>
      <c r="V71" s="1297">
        <f t="shared" si="395"/>
        <v>97.744144880174289</v>
      </c>
      <c r="W71" s="3289">
        <f t="shared" si="395"/>
        <v>54.166666666666664</v>
      </c>
      <c r="X71" s="2771">
        <f t="shared" si="395"/>
        <v>98.138888888888886</v>
      </c>
      <c r="Y71" s="1295">
        <f t="shared" ref="Y71:AF71" si="396">+Y70/Y69*100</f>
        <v>82.33695652173914</v>
      </c>
      <c r="Z71" s="1295">
        <f t="shared" si="396"/>
        <v>97.92866847826086</v>
      </c>
      <c r="AA71" s="1222">
        <f t="shared" si="396"/>
        <v>89.071038251366119</v>
      </c>
      <c r="AB71" s="1298">
        <f t="shared" si="396"/>
        <v>97.808857012750437</v>
      </c>
      <c r="AC71" s="3289">
        <f t="shared" si="396"/>
        <v>96.774193548387103</v>
      </c>
      <c r="AD71" s="2993">
        <f t="shared" si="396"/>
        <v>97.451612903225808</v>
      </c>
      <c r="AE71" s="1297">
        <f t="shared" si="396"/>
        <v>90.186915887850475</v>
      </c>
      <c r="AF71" s="1297">
        <f t="shared" si="396"/>
        <v>97.75710669781931</v>
      </c>
      <c r="AG71" s="3289">
        <f t="shared" ref="AG71:AJ71" si="397">+AG70/AG69*100</f>
        <v>96.666666666666671</v>
      </c>
      <c r="AH71" s="2993">
        <f t="shared" si="397"/>
        <v>10.659722222222221</v>
      </c>
      <c r="AI71" s="1297">
        <f t="shared" si="397"/>
        <v>90.983606557377044</v>
      </c>
      <c r="AJ71" s="1297">
        <f t="shared" si="397"/>
        <v>87.048411885245898</v>
      </c>
      <c r="AK71" s="3289">
        <f t="shared" ref="AK71:AL71" si="398">+AK70/AK69*100</f>
        <v>96.774193548387103</v>
      </c>
      <c r="AL71" s="2993">
        <f t="shared" si="398"/>
        <v>96.236559139784944</v>
      </c>
      <c r="AM71" s="1295">
        <f t="shared" ref="AM71:AN71" si="399">+AM70/AM69*100</f>
        <v>96.739130434782609</v>
      </c>
      <c r="AN71" s="1295">
        <f t="shared" si="399"/>
        <v>68.740489130434781</v>
      </c>
      <c r="AO71" s="1297">
        <f t="shared" ref="AO71:AT71" si="400">+AO70/AO69*100</f>
        <v>91.63636363636364</v>
      </c>
      <c r="AP71" s="1297">
        <f t="shared" si="400"/>
        <v>88.084166666666647</v>
      </c>
      <c r="AQ71" s="3289">
        <f t="shared" si="400"/>
        <v>96.774193548387103</v>
      </c>
      <c r="AR71" s="2993">
        <f t="shared" si="400"/>
        <v>93.509408602150543</v>
      </c>
      <c r="AS71" s="1297">
        <f t="shared" si="400"/>
        <v>92.156862745098039</v>
      </c>
      <c r="AT71" s="1297">
        <f t="shared" si="400"/>
        <v>88.633782679738545</v>
      </c>
      <c r="AU71" s="3289">
        <f t="shared" ref="AU71:AX71" si="401">+AU70/AU69*100</f>
        <v>97.61904761904762</v>
      </c>
      <c r="AV71" s="2993">
        <f t="shared" si="401"/>
        <v>94.642857142857139</v>
      </c>
      <c r="AW71" s="1297">
        <f t="shared" si="401"/>
        <v>92.614770459081839</v>
      </c>
      <c r="AX71" s="1297">
        <f t="shared" si="401"/>
        <v>89.137537425149688</v>
      </c>
      <c r="AY71" s="3289">
        <f t="shared" ref="AY71:AZ71" si="402">+AY70/AY69*100</f>
        <v>96.774193548387103</v>
      </c>
      <c r="AZ71" s="2993">
        <f t="shared" si="402"/>
        <v>100</v>
      </c>
      <c r="BA71" s="1295">
        <f t="shared" ref="BA71:BF71" si="403">+BA70/BA69*100</f>
        <v>97.037037037037038</v>
      </c>
      <c r="BB71" s="1295">
        <f t="shared" si="403"/>
        <v>96.097685185185185</v>
      </c>
      <c r="BC71" s="1222">
        <f t="shared" si="403"/>
        <v>96.88644688644689</v>
      </c>
      <c r="BD71" s="1298">
        <f t="shared" si="403"/>
        <v>82.268772893772891</v>
      </c>
      <c r="BE71" s="1297">
        <f t="shared" si="403"/>
        <v>92.968036529680361</v>
      </c>
      <c r="BF71" s="1297">
        <f t="shared" si="403"/>
        <v>90.06010273972602</v>
      </c>
      <c r="BG71" s="26"/>
      <c r="BH71" s="26"/>
      <c r="BI71" s="26"/>
      <c r="BJ71" s="26"/>
      <c r="BK71" s="26"/>
      <c r="BL71" s="26"/>
      <c r="BM71" s="26"/>
      <c r="BN71" s="26"/>
    </row>
    <row r="72" spans="2:66" ht="14.45" x14ac:dyDescent="0.3">
      <c r="B72" s="3287" t="s">
        <v>224</v>
      </c>
      <c r="C72" s="3288" t="s">
        <v>221</v>
      </c>
      <c r="D72" s="2647">
        <v>7938.0000000000009</v>
      </c>
      <c r="E72" s="2774">
        <v>676.19999999999993</v>
      </c>
      <c r="F72" s="2771">
        <v>583.48</v>
      </c>
      <c r="G72" s="2774">
        <v>699.72</v>
      </c>
      <c r="H72" s="2771">
        <v>646.63</v>
      </c>
      <c r="I72" s="2772">
        <f>+E72+G72</f>
        <v>1375.92</v>
      </c>
      <c r="J72" s="3305">
        <f>+F72+H72</f>
        <v>1230.1100000000001</v>
      </c>
      <c r="K72" s="2774">
        <v>676.19999999999993</v>
      </c>
      <c r="L72" s="2771">
        <v>682.45</v>
      </c>
      <c r="M72" s="1283">
        <f>+K72+G72+E72</f>
        <v>2052.12</v>
      </c>
      <c r="N72" s="1283">
        <f>+L72+H72+F72</f>
        <v>1912.56</v>
      </c>
      <c r="O72" s="2774">
        <v>699.72</v>
      </c>
      <c r="P72" s="2771">
        <v>713.62</v>
      </c>
      <c r="Q72" s="1281">
        <f>+M72+O72</f>
        <v>2751.84</v>
      </c>
      <c r="R72" s="1281">
        <f>+N72+P72</f>
        <v>2626.18</v>
      </c>
      <c r="S72" s="2774">
        <v>699.72</v>
      </c>
      <c r="T72" s="2771">
        <v>695.57</v>
      </c>
      <c r="U72" s="1281">
        <f>+Q72+S72</f>
        <v>3451.5600000000004</v>
      </c>
      <c r="V72" s="1281">
        <f>+R72+T72</f>
        <v>3321.75</v>
      </c>
      <c r="W72" s="2774">
        <v>382.2</v>
      </c>
      <c r="X72" s="2771">
        <v>685.4</v>
      </c>
      <c r="Y72" s="1283">
        <f>+O72+S72+W72</f>
        <v>1781.64</v>
      </c>
      <c r="Z72" s="1283">
        <f>+P72+T72+X72</f>
        <v>2094.59</v>
      </c>
      <c r="AA72" s="1222">
        <f>M72+Y72</f>
        <v>3833.76</v>
      </c>
      <c r="AB72" s="1222">
        <f>N72+Z72</f>
        <v>4007.15</v>
      </c>
      <c r="AC72" s="2774">
        <v>705</v>
      </c>
      <c r="AD72" s="2771">
        <v>666.64</v>
      </c>
      <c r="AE72" s="1281">
        <f>+AA72+AC72</f>
        <v>4538.76</v>
      </c>
      <c r="AF72" s="1281">
        <f>+AB72+AD72</f>
        <v>4673.79</v>
      </c>
      <c r="AG72" s="2774">
        <v>685</v>
      </c>
      <c r="AH72" s="2771">
        <v>57.5</v>
      </c>
      <c r="AI72" s="1281">
        <f>+AE72+AG72</f>
        <v>5223.76</v>
      </c>
      <c r="AJ72" s="1281">
        <f>+AF72+AH72</f>
        <v>4731.29</v>
      </c>
      <c r="AK72" s="2774">
        <v>705</v>
      </c>
      <c r="AL72" s="2771">
        <v>708.42</v>
      </c>
      <c r="AM72" s="1283">
        <f>+AC72+AG72+AK72</f>
        <v>2095</v>
      </c>
      <c r="AN72" s="1283">
        <f>+AD72+AH72+AL72</f>
        <v>1432.56</v>
      </c>
      <c r="AO72" s="1281">
        <f>AI72+AK72</f>
        <v>5928.76</v>
      </c>
      <c r="AP72" s="1281">
        <f>AJ72+AL72</f>
        <v>5439.71</v>
      </c>
      <c r="AQ72" s="2774">
        <v>705</v>
      </c>
      <c r="AR72" s="2771">
        <v>666.92</v>
      </c>
      <c r="AS72" s="1281">
        <f>+AO72+AQ72</f>
        <v>6633.76</v>
      </c>
      <c r="AT72" s="1281">
        <f>+AP72+AR72</f>
        <v>6106.63</v>
      </c>
      <c r="AU72" s="2774">
        <v>640</v>
      </c>
      <c r="AV72" s="2771">
        <v>634.71</v>
      </c>
      <c r="AW72" s="1281">
        <f>+AS72+AU72</f>
        <v>7273.76</v>
      </c>
      <c r="AX72" s="1281">
        <f>+AT72+AV72</f>
        <v>6741.34</v>
      </c>
      <c r="AY72" s="2774">
        <v>705</v>
      </c>
      <c r="AZ72" s="2771">
        <v>709.5</v>
      </c>
      <c r="BA72" s="1283">
        <f>+AQ72+AU72+AY72</f>
        <v>2050</v>
      </c>
      <c r="BB72" s="1283">
        <f>+AR72+AV72+AZ72</f>
        <v>2011.13</v>
      </c>
      <c r="BC72" s="1222">
        <f t="shared" ref="BC72" si="404">AM72+BA72</f>
        <v>4145</v>
      </c>
      <c r="BD72" s="1222">
        <f t="shared" ref="BD72" si="405">AN72+BB72</f>
        <v>3443.69</v>
      </c>
      <c r="BE72" s="1281">
        <f>+AW72+AY72</f>
        <v>7978.76</v>
      </c>
      <c r="BF72" s="1281">
        <f>+AX72+AZ72</f>
        <v>7450.84</v>
      </c>
      <c r="BG72" s="26"/>
      <c r="BH72" s="26"/>
      <c r="BI72" s="26"/>
      <c r="BJ72" s="26"/>
      <c r="BK72" s="26"/>
      <c r="BL72" s="26"/>
      <c r="BM72" s="26"/>
      <c r="BN72" s="26"/>
    </row>
    <row r="73" spans="2:66" ht="14.45" x14ac:dyDescent="0.3">
      <c r="B73" s="3287" t="s">
        <v>225</v>
      </c>
      <c r="C73" s="3288" t="s">
        <v>49</v>
      </c>
      <c r="D73" s="2647">
        <f t="shared" ref="D73:T73" si="406">+D72/D70*100</f>
        <v>98.000000000000014</v>
      </c>
      <c r="E73" s="3289">
        <f t="shared" si="406"/>
        <v>97.999999999999986</v>
      </c>
      <c r="F73" s="3289">
        <f t="shared" si="406"/>
        <v>83.057651245551597</v>
      </c>
      <c r="G73" s="3289">
        <f t="shared" ref="G73:H73" si="407">+G72/G70*100</f>
        <v>98.000000000000014</v>
      </c>
      <c r="H73" s="3289">
        <f t="shared" si="407"/>
        <v>88.944979367262718</v>
      </c>
      <c r="I73" s="3290">
        <f t="shared" si="406"/>
        <v>98.000000000000014</v>
      </c>
      <c r="J73" s="3291">
        <f t="shared" si="406"/>
        <v>86.051766351871294</v>
      </c>
      <c r="K73" s="3289">
        <f t="shared" si="406"/>
        <v>97.999999999999986</v>
      </c>
      <c r="L73" s="3289">
        <f t="shared" si="406"/>
        <v>96.938920454545467</v>
      </c>
      <c r="M73" s="1295">
        <f t="shared" si="406"/>
        <v>98</v>
      </c>
      <c r="N73" s="1295">
        <f t="shared" si="406"/>
        <v>89.644246543238808</v>
      </c>
      <c r="O73" s="3289">
        <f t="shared" ref="O73:P73" si="408">+O72/O70*100</f>
        <v>98.000000000000014</v>
      </c>
      <c r="P73" s="3289">
        <f t="shared" si="408"/>
        <v>98.19332645338838</v>
      </c>
      <c r="Q73" s="1297">
        <f t="shared" si="406"/>
        <v>98.000000000000014</v>
      </c>
      <c r="R73" s="1297">
        <f t="shared" si="406"/>
        <v>91.816449611047972</v>
      </c>
      <c r="S73" s="3289">
        <f t="shared" si="406"/>
        <v>98.000000000000014</v>
      </c>
      <c r="T73" s="3289">
        <f t="shared" si="406"/>
        <v>95.425392535480825</v>
      </c>
      <c r="U73" s="1297">
        <f t="shared" ref="U73:X73" si="409">+U72/U70*100</f>
        <v>98.000000000000014</v>
      </c>
      <c r="V73" s="1297">
        <f t="shared" si="409"/>
        <v>92.549381262772826</v>
      </c>
      <c r="W73" s="3289">
        <f t="shared" si="409"/>
        <v>98</v>
      </c>
      <c r="X73" s="3289">
        <f t="shared" si="409"/>
        <v>96.999716954429658</v>
      </c>
      <c r="Y73" s="1295">
        <f t="shared" ref="Y73:AF73" si="410">+Y72/Y70*100</f>
        <v>98.000000000000014</v>
      </c>
      <c r="Z73" s="1295">
        <f t="shared" si="410"/>
        <v>96.870180112058435</v>
      </c>
      <c r="AA73" s="1298">
        <f t="shared" si="410"/>
        <v>98.000000000000014</v>
      </c>
      <c r="AB73" s="1298">
        <f t="shared" si="410"/>
        <v>93.281406222174638</v>
      </c>
      <c r="AC73" s="2993">
        <f t="shared" si="410"/>
        <v>97.916666666666657</v>
      </c>
      <c r="AD73" s="2993">
        <f t="shared" si="410"/>
        <v>91.945271984993937</v>
      </c>
      <c r="AE73" s="1297">
        <f t="shared" si="410"/>
        <v>97.987046632124347</v>
      </c>
      <c r="AF73" s="1297">
        <f t="shared" si="410"/>
        <v>93.088458922423797</v>
      </c>
      <c r="AG73" s="2993">
        <f t="shared" ref="AG73:AJ73" si="411">+AG72/AG70*100</f>
        <v>98.419540229885058</v>
      </c>
      <c r="AH73" s="2993">
        <f t="shared" si="411"/>
        <v>74.918566775244301</v>
      </c>
      <c r="AI73" s="1297">
        <f t="shared" si="411"/>
        <v>98.043543543543549</v>
      </c>
      <c r="AJ73" s="1297">
        <f t="shared" si="411"/>
        <v>92.8148887064485</v>
      </c>
      <c r="AK73" s="2993">
        <f t="shared" ref="AK73:AL73" si="412">+AK72/AK70*100</f>
        <v>97.916666666666657</v>
      </c>
      <c r="AL73" s="2993">
        <f t="shared" si="412"/>
        <v>98.941340782122893</v>
      </c>
      <c r="AM73" s="1295">
        <f t="shared" ref="AM73:AN73" si="413">+AM72/AM70*100</f>
        <v>98.080524344569284</v>
      </c>
      <c r="AN73" s="1295">
        <f t="shared" si="413"/>
        <v>94.384598659893655</v>
      </c>
      <c r="AO73" s="1297">
        <f t="shared" ref="AO73:AT73" si="414">+AO72/AO70*100</f>
        <v>98.028439153439166</v>
      </c>
      <c r="AP73" s="1297">
        <f t="shared" si="414"/>
        <v>93.569425248406532</v>
      </c>
      <c r="AQ73" s="2993">
        <f t="shared" si="414"/>
        <v>97.916666666666657</v>
      </c>
      <c r="AR73" s="2993">
        <f t="shared" si="414"/>
        <v>95.861781489413673</v>
      </c>
      <c r="AS73" s="1297">
        <f t="shared" si="414"/>
        <v>98.016548463356983</v>
      </c>
      <c r="AT73" s="1297">
        <f t="shared" si="414"/>
        <v>93.81443219779807</v>
      </c>
      <c r="AU73" s="3289">
        <f t="shared" ref="AU73:AX73" si="415">+AU72/AU70*100</f>
        <v>97.560975609756099</v>
      </c>
      <c r="AV73" s="3289">
        <f t="shared" si="415"/>
        <v>99.797169811320757</v>
      </c>
      <c r="AW73" s="1297">
        <f t="shared" si="415"/>
        <v>97.97629310344827</v>
      </c>
      <c r="AX73" s="1297">
        <f t="shared" si="415"/>
        <v>94.346955641253345</v>
      </c>
      <c r="AY73" s="3289">
        <f t="shared" ref="AY73:AZ73" si="416">+AY72/AY70*100</f>
        <v>97.916666666666657</v>
      </c>
      <c r="AZ73" s="3289">
        <f t="shared" si="416"/>
        <v>95.362903225806448</v>
      </c>
      <c r="BA73" s="1295">
        <f t="shared" ref="BA73:BF73" si="417">+BA72/BA70*100</f>
        <v>97.805343511450388</v>
      </c>
      <c r="BB73" s="1295">
        <f t="shared" si="417"/>
        <v>96.888775406969188</v>
      </c>
      <c r="BC73" s="1298">
        <f t="shared" si="417"/>
        <v>97.944234404536871</v>
      </c>
      <c r="BD73" s="1298">
        <f t="shared" si="417"/>
        <v>95.831083901488796</v>
      </c>
      <c r="BE73" s="1297">
        <f t="shared" si="417"/>
        <v>97.971021611001959</v>
      </c>
      <c r="BF73" s="1297">
        <f t="shared" si="417"/>
        <v>94.442764947051472</v>
      </c>
      <c r="BG73" s="26"/>
      <c r="BH73" s="26"/>
      <c r="BI73" s="26"/>
      <c r="BJ73" s="26"/>
      <c r="BK73" s="26"/>
      <c r="BL73" s="26"/>
      <c r="BM73" s="26"/>
      <c r="BN73" s="26"/>
    </row>
    <row r="74" spans="2:66" ht="14.45" x14ac:dyDescent="0.3">
      <c r="B74" s="3287" t="s">
        <v>226</v>
      </c>
      <c r="C74" s="3288" t="s">
        <v>1505</v>
      </c>
      <c r="D74" s="2647">
        <f t="shared" ref="D74:J74" si="418">+D65/D72</f>
        <v>549.61904294808744</v>
      </c>
      <c r="E74" s="2771">
        <f>+E65/E72</f>
        <v>550.41620554360293</v>
      </c>
      <c r="F74" s="2771">
        <f>+F65/F72</f>
        <v>551.56989099883458</v>
      </c>
      <c r="G74" s="2771">
        <f>+G65/G72</f>
        <v>547.89361282512937</v>
      </c>
      <c r="H74" s="2771">
        <f>+H65/H72</f>
        <v>549.47342375083122</v>
      </c>
      <c r="I74" s="2772">
        <f t="shared" si="418"/>
        <v>549.13334856284075</v>
      </c>
      <c r="J74" s="3305">
        <f t="shared" si="418"/>
        <v>550.4678443391241</v>
      </c>
      <c r="K74" s="2771">
        <f>+K65/K72</f>
        <v>550.41620554360293</v>
      </c>
      <c r="L74" s="2771">
        <f>+L65/L72</f>
        <v>551.3576086160158</v>
      </c>
      <c r="M74" s="1283">
        <f t="shared" ref="M74:R74" si="419">+M65/M72</f>
        <v>549.55606647913783</v>
      </c>
      <c r="N74" s="1283">
        <f t="shared" si="419"/>
        <v>550.78533483916851</v>
      </c>
      <c r="O74" s="2771">
        <f>+O65/O72</f>
        <v>537.90686761149448</v>
      </c>
      <c r="P74" s="2771">
        <f>+P65/P72</f>
        <v>557.66374260811074</v>
      </c>
      <c r="Q74" s="1281">
        <f t="shared" si="419"/>
        <v>546.59398386108319</v>
      </c>
      <c r="R74" s="1281">
        <f t="shared" si="419"/>
        <v>552.65442582001242</v>
      </c>
      <c r="S74" s="2771">
        <f>+S65/S72</f>
        <v>537.90686761149448</v>
      </c>
      <c r="T74" s="2771">
        <f>+T65/T72</f>
        <v>550.88488577713235</v>
      </c>
      <c r="U74" s="1281">
        <f t="shared" ref="U74:V74" si="420">+U65/U72</f>
        <v>544.83288192973555</v>
      </c>
      <c r="V74" s="1281">
        <f t="shared" si="420"/>
        <v>552.28388650560703</v>
      </c>
      <c r="W74" s="2771">
        <f>+W65/W72</f>
        <v>543.33309812864729</v>
      </c>
      <c r="X74" s="2771">
        <f>+X65/X72</f>
        <v>546.81062153487017</v>
      </c>
      <c r="Y74" s="1283">
        <f t="shared" ref="Y74:AB74" si="421">+Y65/Y72</f>
        <v>539.07091046170876</v>
      </c>
      <c r="Z74" s="1283">
        <f t="shared" si="421"/>
        <v>551.86122343752231</v>
      </c>
      <c r="AA74" s="1222">
        <f t="shared" si="421"/>
        <v>544.68336360600745</v>
      </c>
      <c r="AB74" s="1222">
        <f t="shared" si="421"/>
        <v>551.34771595772554</v>
      </c>
      <c r="AC74" s="2771">
        <f>+AC65/AC72</f>
        <v>571.7040616184147</v>
      </c>
      <c r="AD74" s="2771">
        <f>+AD65/AD72</f>
        <v>559.30787231489262</v>
      </c>
      <c r="AE74" s="1281">
        <f t="shared" ref="AE74:AF74" si="422">+AE65/AE72</f>
        <v>548.88045534444416</v>
      </c>
      <c r="AF74" s="1281">
        <f t="shared" si="422"/>
        <v>552.48310257842138</v>
      </c>
      <c r="AG74" s="2771">
        <f>+AG65/AG72</f>
        <v>572.86090483338819</v>
      </c>
      <c r="AH74" s="2771">
        <f>+AH65/AH72</f>
        <v>424.46956521739128</v>
      </c>
      <c r="AI74" s="1281">
        <f t="shared" ref="AI74:AJ74" si="423">+AI65/AI72</f>
        <v>552.02505002335874</v>
      </c>
      <c r="AJ74" s="1281">
        <f t="shared" si="423"/>
        <v>550.92733694193339</v>
      </c>
      <c r="AK74" s="2771">
        <f>+AK65/AK72</f>
        <v>571.7040616184147</v>
      </c>
      <c r="AL74" s="2771">
        <f>+AL65/AL72</f>
        <v>510.4373111995709</v>
      </c>
      <c r="AM74" s="1283">
        <f t="shared" ref="AM74:AP74" si="424">+AM65/AM72</f>
        <v>572.08231345720071</v>
      </c>
      <c r="AN74" s="1283">
        <f t="shared" si="424"/>
        <v>529.72859775506788</v>
      </c>
      <c r="AO74" s="1281">
        <f t="shared" si="424"/>
        <v>554.36511829640654</v>
      </c>
      <c r="AP74" s="1281">
        <f t="shared" si="424"/>
        <v>545.65427201082412</v>
      </c>
      <c r="AQ74" s="2771">
        <f>+AQ65/AQ72</f>
        <v>571.7040616184147</v>
      </c>
      <c r="AR74" s="2771">
        <f>+AR65/AR72</f>
        <v>553.66460744916935</v>
      </c>
      <c r="AS74" s="1281">
        <f t="shared" ref="AS74:AT74" si="425">+AS65/AS72</f>
        <v>556.20780706446806</v>
      </c>
      <c r="AT74" s="1281">
        <f t="shared" si="425"/>
        <v>546.52910033848457</v>
      </c>
      <c r="AU74" s="2771">
        <f>+AU65/AU72</f>
        <v>571.1659798388813</v>
      </c>
      <c r="AV74" s="2771">
        <f>+AV65/AV72</f>
        <v>539.61494225709373</v>
      </c>
      <c r="AW74" s="1281">
        <f t="shared" ref="AW74:AX74" si="426">+AW65/AW72</f>
        <v>557.5239393778279</v>
      </c>
      <c r="AX74" s="1281">
        <f t="shared" si="426"/>
        <v>545.87811918698651</v>
      </c>
      <c r="AY74" s="2771">
        <f>+AY65/AY72</f>
        <v>571.7040616184147</v>
      </c>
      <c r="AZ74" s="2771">
        <f>+AZ65/AZ72</f>
        <v>577.89992952783655</v>
      </c>
      <c r="BA74" s="1283">
        <f t="shared" ref="BA74:BD74" si="427">+BA65/BA72</f>
        <v>571.53607511163352</v>
      </c>
      <c r="BB74" s="1283">
        <f t="shared" si="427"/>
        <v>557.78045178581192</v>
      </c>
      <c r="BC74" s="1222">
        <f t="shared" si="427"/>
        <v>571.81215939003232</v>
      </c>
      <c r="BD74" s="1222">
        <f t="shared" si="427"/>
        <v>546.11100302292016</v>
      </c>
      <c r="BE74" s="1281">
        <f t="shared" ref="BE74:BF74" si="428">+BE65/BE72</f>
        <v>558.77688923214282</v>
      </c>
      <c r="BF74" s="1281">
        <f t="shared" si="428"/>
        <v>548.92736926306293</v>
      </c>
      <c r="BG74" s="26"/>
      <c r="BH74" s="26"/>
      <c r="BI74" s="26"/>
      <c r="BJ74" s="26"/>
      <c r="BK74" s="26"/>
      <c r="BL74" s="26"/>
      <c r="BM74" s="26"/>
      <c r="BN74" s="26"/>
    </row>
    <row r="75" spans="2:66" thickBot="1" x14ac:dyDescent="0.35">
      <c r="B75" s="3287" t="s">
        <v>227</v>
      </c>
      <c r="C75" s="3288" t="s">
        <v>49</v>
      </c>
      <c r="D75" s="2647">
        <f t="shared" ref="D75:AD75" si="429">+(1000/(D51+D52+D53+D54+D55))*100</f>
        <v>80.406826557792868</v>
      </c>
      <c r="E75" s="2771">
        <f t="shared" si="429"/>
        <v>80.391755848728508</v>
      </c>
      <c r="F75" s="2771">
        <f t="shared" si="429"/>
        <v>78.515229509996473</v>
      </c>
      <c r="G75" s="2771">
        <f t="shared" ref="G75:H75" si="430">+(1000/(G51+G52+G53+G54+G55))*100</f>
        <v>80.373222122155141</v>
      </c>
      <c r="H75" s="2771">
        <f t="shared" si="430"/>
        <v>78.812224672046426</v>
      </c>
      <c r="I75" s="2772">
        <f t="shared" si="429"/>
        <v>80.382350788134744</v>
      </c>
      <c r="J75" s="3305">
        <f t="shared" si="429"/>
        <v>78.670788792187011</v>
      </c>
      <c r="K75" s="2771">
        <f t="shared" si="429"/>
        <v>80.391755848728508</v>
      </c>
      <c r="L75" s="2771">
        <f t="shared" si="429"/>
        <v>80.543271186077874</v>
      </c>
      <c r="M75" s="1283">
        <f t="shared" si="429"/>
        <v>80.406826557792868</v>
      </c>
      <c r="N75" s="1283">
        <f t="shared" si="429"/>
        <v>79.329553404609243</v>
      </c>
      <c r="O75" s="2771">
        <f t="shared" ref="O75:P75" si="431">+(1000/(O51+O52+O53+O54+O55))*100</f>
        <v>80.384675656446476</v>
      </c>
      <c r="P75" s="2771">
        <f t="shared" si="431"/>
        <v>78.782431731526827</v>
      </c>
      <c r="Q75" s="1281">
        <f t="shared" si="429"/>
        <v>80.385616839456574</v>
      </c>
      <c r="R75" s="1281">
        <f t="shared" si="429"/>
        <v>79.178780041123204</v>
      </c>
      <c r="S75" s="2771">
        <f t="shared" si="429"/>
        <v>80.384675656446476</v>
      </c>
      <c r="T75" s="2771">
        <f t="shared" si="429"/>
        <v>78.702043448702227</v>
      </c>
      <c r="U75" s="1281">
        <f t="shared" ref="U75:X75" si="432">+(1000/(U51+U52+U53+U54+U55))*100</f>
        <v>80.385501899754715</v>
      </c>
      <c r="V75" s="1281">
        <f t="shared" si="432"/>
        <v>79.07872832559309</v>
      </c>
      <c r="W75" s="2771">
        <f t="shared" si="432"/>
        <v>80.439697558413997</v>
      </c>
      <c r="X75" s="2771">
        <f t="shared" si="432"/>
        <v>79.210398393744057</v>
      </c>
      <c r="Y75" s="1283">
        <f t="shared" si="429"/>
        <v>80.396565979697755</v>
      </c>
      <c r="Z75" s="1283">
        <f t="shared" si="429"/>
        <v>78.893923602935104</v>
      </c>
      <c r="AA75" s="1222">
        <f t="shared" si="429"/>
        <v>80.390564672580979</v>
      </c>
      <c r="AB75" s="1222">
        <f t="shared" si="429"/>
        <v>79.101033564717028</v>
      </c>
      <c r="AC75" s="2771">
        <f t="shared" si="429"/>
        <v>78.980523175772063</v>
      </c>
      <c r="AD75" s="3289">
        <f t="shared" si="429"/>
        <v>78.871639530480891</v>
      </c>
      <c r="AE75" s="1281">
        <f t="shared" ref="AE75:AH75" si="433">+(1000/(AE51+AE52+AE53+AE54+AE55))*100</f>
        <v>80.504791597356203</v>
      </c>
      <c r="AF75" s="1281">
        <f t="shared" si="433"/>
        <v>79.109492409938397</v>
      </c>
      <c r="AG75" s="2771">
        <f t="shared" si="433"/>
        <v>79.040324410532037</v>
      </c>
      <c r="AH75" s="3289">
        <f t="shared" si="433"/>
        <v>80.871438038436068</v>
      </c>
      <c r="AI75" s="1281">
        <f t="shared" ref="AI75:AL75" si="434">+(1000/(AI51+AI52+AI53+AI54+AI55))*100</f>
        <v>80.543644192293797</v>
      </c>
      <c r="AJ75" s="1281">
        <f t="shared" si="434"/>
        <v>79.125634324767603</v>
      </c>
      <c r="AK75" s="2771">
        <f t="shared" si="434"/>
        <v>78.980523175772063</v>
      </c>
      <c r="AL75" s="3289">
        <f t="shared" si="434"/>
        <v>79.372727086350295</v>
      </c>
      <c r="AM75" s="1283">
        <f t="shared" ref="AM75:AN75" si="435">+(1000/(AM51+AM52+AM53+AM54+AM55))*100</f>
        <v>80.749146610127383</v>
      </c>
      <c r="AN75" s="1283">
        <f t="shared" si="435"/>
        <v>79.172775802727784</v>
      </c>
      <c r="AO75" s="1281">
        <f t="shared" ref="AO75:AT75" si="436">+(1000/(AO51+AO52+AO53+AO54+AO55))*100</f>
        <v>80.566292231868701</v>
      </c>
      <c r="AP75" s="1281">
        <f t="shared" si="436"/>
        <v>79.155654317533603</v>
      </c>
      <c r="AQ75" s="2771">
        <f t="shared" si="436"/>
        <v>78.980523175772063</v>
      </c>
      <c r="AR75" s="3289">
        <f t="shared" si="436"/>
        <v>78.912218838489096</v>
      </c>
      <c r="AS75" s="1281">
        <f t="shared" si="436"/>
        <v>80.584001203119129</v>
      </c>
      <c r="AT75" s="1281">
        <f t="shared" si="436"/>
        <v>79.128647154536864</v>
      </c>
      <c r="AU75" s="2771">
        <f t="shared" ref="AU75:AX75" si="437">+(1000/(AU51+AU52+AU53+AU54+AU55))*100</f>
        <v>79.060219049602978</v>
      </c>
      <c r="AV75" s="2771">
        <f t="shared" si="437"/>
        <v>78.207189145495477</v>
      </c>
      <c r="AW75" s="1281">
        <f t="shared" si="437"/>
        <v>80.604497265284309</v>
      </c>
      <c r="AX75" s="1281">
        <f t="shared" si="437"/>
        <v>79.041970125191767</v>
      </c>
      <c r="AY75" s="2771">
        <f t="shared" ref="AY75:AZ75" si="438">+(1000/(AY51+AY52+AY53+AY54+AY55))*100</f>
        <v>78.980523175772063</v>
      </c>
      <c r="AZ75" s="2771">
        <f t="shared" si="438"/>
        <v>77.210174674791546</v>
      </c>
      <c r="BA75" s="1283">
        <f t="shared" ref="BA75:BF75" si="439">+(1000/(BA51+BA52+BA53+BA54+BA55))*100</f>
        <v>80.754660400181848</v>
      </c>
      <c r="BB75" s="1283">
        <f t="shared" si="439"/>
        <v>78.068309222517556</v>
      </c>
      <c r="BC75" s="1222">
        <f t="shared" si="439"/>
        <v>80.751872164300252</v>
      </c>
      <c r="BD75" s="1222">
        <f t="shared" si="439"/>
        <v>78.51025026209156</v>
      </c>
      <c r="BE75" s="1281">
        <f t="shared" si="439"/>
        <v>80.615710016774187</v>
      </c>
      <c r="BF75" s="1281">
        <f t="shared" si="439"/>
        <v>78.854421704671779</v>
      </c>
      <c r="BG75" s="26"/>
      <c r="BH75" s="26"/>
      <c r="BI75" s="26"/>
      <c r="BJ75" s="26"/>
      <c r="BK75" s="26"/>
      <c r="BL75" s="26"/>
      <c r="BM75" s="26"/>
      <c r="BN75" s="26"/>
    </row>
    <row r="76" spans="2:66" hidden="1" thickBot="1" x14ac:dyDescent="0.35">
      <c r="B76" s="3295" t="s">
        <v>437</v>
      </c>
      <c r="C76" s="3296" t="s">
        <v>49</v>
      </c>
      <c r="D76" s="1451">
        <f t="shared" ref="D76:Z76" si="440">+D45/D65*100</f>
        <v>15</v>
      </c>
      <c r="E76" s="3306">
        <f t="shared" si="440"/>
        <v>15</v>
      </c>
      <c r="F76" s="3306">
        <f t="shared" si="440"/>
        <v>16.441910325327036</v>
      </c>
      <c r="G76" s="3306">
        <f t="shared" ref="G76:H76" si="441">+G45/G65*100</f>
        <v>15</v>
      </c>
      <c r="H76" s="3306">
        <f t="shared" si="441"/>
        <v>16.947082233342528</v>
      </c>
      <c r="I76" s="3307">
        <f t="shared" si="440"/>
        <v>15</v>
      </c>
      <c r="J76" s="3308">
        <f t="shared" si="440"/>
        <v>16.706983530634908</v>
      </c>
      <c r="K76" s="3306">
        <f t="shared" si="440"/>
        <v>15</v>
      </c>
      <c r="L76" s="3306">
        <f t="shared" si="440"/>
        <v>21.416839856062335</v>
      </c>
      <c r="M76" s="1295">
        <f t="shared" si="440"/>
        <v>15</v>
      </c>
      <c r="N76" s="1295">
        <f t="shared" si="440"/>
        <v>18.389326093353965</v>
      </c>
      <c r="O76" s="3306">
        <f t="shared" ref="O76:P76" si="442">+O45/O65*100</f>
        <v>15</v>
      </c>
      <c r="P76" s="3306">
        <f t="shared" si="442"/>
        <v>18.896120213086743</v>
      </c>
      <c r="Q76" s="1297">
        <f t="shared" si="440"/>
        <v>15</v>
      </c>
      <c r="R76" s="1297">
        <f t="shared" si="440"/>
        <v>18.528287066702497</v>
      </c>
      <c r="S76" s="3306">
        <f t="shared" si="440"/>
        <v>15</v>
      </c>
      <c r="T76" s="3306">
        <f t="shared" si="440"/>
        <v>15.135745956850455</v>
      </c>
      <c r="U76" s="1297">
        <f t="shared" ref="U76:X76" si="443">+U45/U65*100</f>
        <v>14.999999999999996</v>
      </c>
      <c r="V76" s="1297">
        <f t="shared" si="443"/>
        <v>17.819693014468406</v>
      </c>
      <c r="W76" s="3306">
        <f t="shared" si="443"/>
        <v>15</v>
      </c>
      <c r="X76" s="3306">
        <f t="shared" si="443"/>
        <v>16.418790556693988</v>
      </c>
      <c r="Y76" s="1295">
        <f t="shared" si="440"/>
        <v>15</v>
      </c>
      <c r="Z76" s="1295">
        <f t="shared" si="440"/>
        <v>16.846364333956501</v>
      </c>
      <c r="AA76" s="1298">
        <f t="shared" ref="AA76:AF76" si="444">+AA45/AA65*100</f>
        <v>15</v>
      </c>
      <c r="AB76" s="1298">
        <f t="shared" si="444"/>
        <v>17.58204851871583</v>
      </c>
      <c r="AC76" s="3306">
        <f t="shared" si="444"/>
        <v>14.999999999999996</v>
      </c>
      <c r="AD76" s="3306">
        <f t="shared" si="444"/>
        <v>19.196903906859735</v>
      </c>
      <c r="AE76" s="1297">
        <f t="shared" si="444"/>
        <v>15</v>
      </c>
      <c r="AF76" s="1297">
        <f t="shared" si="444"/>
        <v>17.815226609970605</v>
      </c>
      <c r="AG76" s="3306">
        <f t="shared" ref="AG76:AJ76" si="445">+AG45/AG65*100</f>
        <v>15</v>
      </c>
      <c r="AH76" s="3306">
        <f t="shared" si="445"/>
        <v>4.0807964928094398</v>
      </c>
      <c r="AI76" s="1297">
        <f t="shared" si="445"/>
        <v>14.999999999999996</v>
      </c>
      <c r="AJ76" s="1297">
        <f t="shared" si="445"/>
        <v>17.686623593904237</v>
      </c>
      <c r="AK76" s="3306">
        <f t="shared" ref="AK76:AL76" si="446">+AK45/AK65*100</f>
        <v>14.999999999999996</v>
      </c>
      <c r="AL76" s="3306">
        <f t="shared" si="446"/>
        <v>12.521155739427661</v>
      </c>
      <c r="AM76" s="1295">
        <f t="shared" ref="AM76:AN76" si="447">+AM45/AM65*100</f>
        <v>15</v>
      </c>
      <c r="AN76" s="1295">
        <f t="shared" si="447"/>
        <v>15.529710041799099</v>
      </c>
      <c r="AO76" s="1297">
        <f t="shared" ref="AO76:AT76" si="448">+AO45/AO65*100</f>
        <v>14.999999999999996</v>
      </c>
      <c r="AP76" s="1297">
        <f t="shared" si="448"/>
        <v>17.057335402824808</v>
      </c>
      <c r="AQ76" s="3306">
        <f t="shared" si="448"/>
        <v>14.999999999999996</v>
      </c>
      <c r="AR76" s="3306">
        <f t="shared" si="448"/>
        <v>17.729451591062965</v>
      </c>
      <c r="AS76" s="1297">
        <f t="shared" si="448"/>
        <v>14.999999999999996</v>
      </c>
      <c r="AT76" s="1297">
        <f t="shared" si="448"/>
        <v>17.131697214431014</v>
      </c>
      <c r="AU76" s="3306">
        <f t="shared" ref="AU76:AX76" si="449">+AU45/AU65*100</f>
        <v>15</v>
      </c>
      <c r="AV76" s="3306">
        <f t="shared" si="449"/>
        <v>17.32968563411864</v>
      </c>
      <c r="AW76" s="1297">
        <f t="shared" si="449"/>
        <v>14.999999999999996</v>
      </c>
      <c r="AX76" s="1297">
        <f t="shared" si="449"/>
        <v>17.150124322341338</v>
      </c>
      <c r="AY76" s="3306">
        <f t="shared" ref="AY76:AZ76" si="450">+AY45/AY65*100</f>
        <v>14.999999999999996</v>
      </c>
      <c r="AZ76" s="3306">
        <f t="shared" si="450"/>
        <v>16.52065752890103</v>
      </c>
      <c r="BA76" s="1295">
        <f t="shared" ref="BA76:BF76" si="451">+BA45/BA65*100</f>
        <v>15</v>
      </c>
      <c r="BB76" s="1295">
        <f t="shared" si="451"/>
        <v>17.165566172714701</v>
      </c>
      <c r="BC76" s="1298">
        <f t="shared" si="451"/>
        <v>15.000000000000002</v>
      </c>
      <c r="BD76" s="1298">
        <f t="shared" si="451"/>
        <v>16.50547128446372</v>
      </c>
      <c r="BE76" s="1297">
        <f t="shared" si="451"/>
        <v>14.999999999999996</v>
      </c>
      <c r="BF76" s="1297">
        <f t="shared" si="451"/>
        <v>17.087020198192164</v>
      </c>
      <c r="BG76" s="26"/>
      <c r="BH76" s="26"/>
      <c r="BI76" s="26"/>
      <c r="BJ76" s="26"/>
      <c r="BK76" s="26"/>
      <c r="BL76" s="26"/>
      <c r="BM76" s="26"/>
      <c r="BN76" s="26"/>
    </row>
    <row r="77" spans="2:66" ht="17.45" x14ac:dyDescent="0.3">
      <c r="B77" s="3283" t="s">
        <v>47</v>
      </c>
      <c r="C77" s="3284"/>
      <c r="D77" s="2489"/>
      <c r="E77" s="3285"/>
      <c r="F77" s="3285"/>
      <c r="G77" s="3285"/>
      <c r="H77" s="3285"/>
      <c r="I77" s="3284"/>
      <c r="J77" s="3286"/>
      <c r="K77" s="3285"/>
      <c r="L77" s="3285"/>
      <c r="M77" s="1278"/>
      <c r="N77" s="1278"/>
      <c r="O77" s="3285"/>
      <c r="P77" s="3285"/>
      <c r="Q77" s="1278"/>
      <c r="R77" s="1278"/>
      <c r="S77" s="3285"/>
      <c r="T77" s="3285"/>
      <c r="U77" s="1278"/>
      <c r="V77" s="1278"/>
      <c r="W77" s="3285"/>
      <c r="X77" s="3285"/>
      <c r="Y77" s="1278"/>
      <c r="Z77" s="1278"/>
      <c r="AA77" s="1278"/>
      <c r="AB77" s="1278"/>
      <c r="AC77" s="3285"/>
      <c r="AD77" s="3285"/>
      <c r="AE77" s="1278"/>
      <c r="AF77" s="1278"/>
      <c r="AG77" s="3285"/>
      <c r="AH77" s="3285"/>
      <c r="AI77" s="1278"/>
      <c r="AJ77" s="1278"/>
      <c r="AK77" s="3285"/>
      <c r="AL77" s="3285"/>
      <c r="AM77" s="1278"/>
      <c r="AN77" s="1278"/>
      <c r="AO77" s="1278"/>
      <c r="AP77" s="1278"/>
      <c r="AQ77" s="3285"/>
      <c r="AR77" s="3285"/>
      <c r="AS77" s="1278"/>
      <c r="AT77" s="1278"/>
      <c r="AU77" s="3285"/>
      <c r="AV77" s="3285"/>
      <c r="AW77" s="1278"/>
      <c r="AX77" s="1278"/>
      <c r="AY77" s="3285"/>
      <c r="AZ77" s="3285"/>
      <c r="BA77" s="1278"/>
      <c r="BB77" s="1278"/>
      <c r="BC77" s="1278"/>
      <c r="BD77" s="1278"/>
      <c r="BE77" s="1278"/>
      <c r="BF77" s="1278"/>
      <c r="BG77" s="26"/>
      <c r="BH77" s="26"/>
      <c r="BI77" s="26"/>
      <c r="BJ77" s="26"/>
      <c r="BK77" s="26"/>
      <c r="BL77" s="26"/>
      <c r="BM77" s="26"/>
      <c r="BN77" s="26"/>
    </row>
    <row r="78" spans="2:66" ht="14.45" x14ac:dyDescent="0.3">
      <c r="B78" s="3287" t="s">
        <v>438</v>
      </c>
      <c r="C78" s="3288" t="s">
        <v>49</v>
      </c>
      <c r="D78" s="2933">
        <f t="shared" ref="D78:AD78" si="452">+(D65/(3880000/330*D1))*100</f>
        <v>112.19027886981576</v>
      </c>
      <c r="E78" s="3289">
        <f t="shared" si="452"/>
        <v>112.35299865735398</v>
      </c>
      <c r="F78" s="3289">
        <f t="shared" si="452"/>
        <v>112.58849321419508</v>
      </c>
      <c r="G78" s="3289">
        <f t="shared" ref="G78:H78" si="453">+(G65/(3880000/330*G1))*100</f>
        <v>111.83807766945941</v>
      </c>
      <c r="H78" s="3289">
        <f t="shared" si="453"/>
        <v>112.16055453882947</v>
      </c>
      <c r="I78" s="3290">
        <f t="shared" si="452"/>
        <v>112.09113712932212</v>
      </c>
      <c r="J78" s="3291">
        <f t="shared" si="452"/>
        <v>112.36353935994492</v>
      </c>
      <c r="K78" s="3289">
        <f t="shared" si="452"/>
        <v>112.35299865735398</v>
      </c>
      <c r="L78" s="3289">
        <f t="shared" si="452"/>
        <v>112.54516134636197</v>
      </c>
      <c r="M78" s="1295">
        <f t="shared" si="452"/>
        <v>112.17742387924667</v>
      </c>
      <c r="N78" s="1295">
        <f t="shared" si="452"/>
        <v>112.42834669912922</v>
      </c>
      <c r="O78" s="3289">
        <f t="shared" ref="O78:P78" si="454">+(O65/(3880000/330*O1))*100</f>
        <v>109.79954617224321</v>
      </c>
      <c r="P78" s="3289">
        <f t="shared" si="454"/>
        <v>113.83239282103703</v>
      </c>
      <c r="Q78" s="1297">
        <f t="shared" si="452"/>
        <v>111.57279258195305</v>
      </c>
      <c r="R78" s="1297">
        <f t="shared" si="452"/>
        <v>112.80987248697159</v>
      </c>
      <c r="S78" s="3289">
        <f t="shared" si="452"/>
        <v>109.79954617224321</v>
      </c>
      <c r="T78" s="3289">
        <f t="shared" si="452"/>
        <v>112.44866740605384</v>
      </c>
      <c r="U78" s="1297">
        <f t="shared" ref="U78:X78" si="455">+(U65/(3880000/330*U1))*100</f>
        <v>111.21330991967795</v>
      </c>
      <c r="V78" s="1297">
        <f t="shared" si="455"/>
        <v>112.73423662691771</v>
      </c>
      <c r="W78" s="3289">
        <f t="shared" si="455"/>
        <v>110.90716848399194</v>
      </c>
      <c r="X78" s="3289">
        <f t="shared" si="455"/>
        <v>111.61701346794256</v>
      </c>
      <c r="Y78" s="1295">
        <f t="shared" si="452"/>
        <v>110.03715491898798</v>
      </c>
      <c r="Z78" s="1295">
        <f t="shared" si="452"/>
        <v>112.64796107281383</v>
      </c>
      <c r="AA78" s="1298">
        <f t="shared" si="452"/>
        <v>111.18278968452525</v>
      </c>
      <c r="AB78" s="1298">
        <f t="shared" si="452"/>
        <v>112.54314202023676</v>
      </c>
      <c r="AC78" s="3289">
        <f t="shared" si="452"/>
        <v>116.69835484582072</v>
      </c>
      <c r="AD78" s="3289">
        <f t="shared" si="452"/>
        <v>114.16799867871002</v>
      </c>
      <c r="AE78" s="1297">
        <f t="shared" ref="AE78:AH78" si="456">+(AE65/(3880000/330*AE1))*100</f>
        <v>112.03951562701026</v>
      </c>
      <c r="AF78" s="1297">
        <f t="shared" si="456"/>
        <v>112.77490135105921</v>
      </c>
      <c r="AG78" s="3289">
        <f t="shared" si="456"/>
        <v>116.93449397629985</v>
      </c>
      <c r="AH78" s="3289">
        <f t="shared" si="456"/>
        <v>86.644303003137608</v>
      </c>
      <c r="AI78" s="1297">
        <f t="shared" ref="AI78:AL78" si="457">+(AI65/(3880000/330*AI1))*100</f>
        <v>112.68140196353096</v>
      </c>
      <c r="AJ78" s="1297">
        <f t="shared" si="457"/>
        <v>112.45733269536373</v>
      </c>
      <c r="AK78" s="3289">
        <f t="shared" si="457"/>
        <v>116.69835484582072</v>
      </c>
      <c r="AL78" s="3289">
        <f t="shared" si="457"/>
        <v>104.19235836857219</v>
      </c>
      <c r="AM78" s="1295">
        <f t="shared" ref="AM78:AN78" si="458">+(AM65/(3880000/330*AM1))*100</f>
        <v>116.77556501497499</v>
      </c>
      <c r="AN78" s="1295">
        <f t="shared" si="458"/>
        <v>108.13016737680765</v>
      </c>
      <c r="AO78" s="1297">
        <f t="shared" ref="AO78:AT78" si="459">+(AO65/(3880000/330*AO1))*100</f>
        <v>113.15906538421494</v>
      </c>
      <c r="AP78" s="1297">
        <f t="shared" si="459"/>
        <v>111.38097511148781</v>
      </c>
      <c r="AQ78" s="3289">
        <f t="shared" si="459"/>
        <v>116.69835484582072</v>
      </c>
      <c r="AR78" s="3289">
        <f t="shared" si="459"/>
        <v>113.0160745102428</v>
      </c>
      <c r="AS78" s="1297">
        <f t="shared" si="459"/>
        <v>113.53520185439653</v>
      </c>
      <c r="AT78" s="1297">
        <f t="shared" si="459"/>
        <v>111.5595483165154</v>
      </c>
      <c r="AU78" s="3289">
        <f t="shared" ref="AU78:AX78" si="460">+(AU65/(3880000/330*AU1))*100</f>
        <v>116.58851959597783</v>
      </c>
      <c r="AV78" s="3289">
        <f t="shared" si="460"/>
        <v>110.14820470814904</v>
      </c>
      <c r="AW78" s="1297">
        <f t="shared" si="460"/>
        <v>113.80385566681437</v>
      </c>
      <c r="AX78" s="1297">
        <f t="shared" si="460"/>
        <v>111.4266676278591</v>
      </c>
      <c r="AY78" s="3289">
        <f t="shared" ref="AY78:AZ78" si="461">+(AY65/(3880000/330*AY1))*100</f>
        <v>116.69835484582072</v>
      </c>
      <c r="AZ78" s="3289">
        <f t="shared" si="461"/>
        <v>117.96307839846558</v>
      </c>
      <c r="BA78" s="1295">
        <f t="shared" ref="BA78:BF78" si="462">+(BA65/(3880000/330*BA1))*100</f>
        <v>116.66406481660148</v>
      </c>
      <c r="BB78" s="1295">
        <f t="shared" si="462"/>
        <v>113.85621593153688</v>
      </c>
      <c r="BC78" s="1298">
        <f t="shared" si="462"/>
        <v>116.72042016415092</v>
      </c>
      <c r="BD78" s="1298">
        <f t="shared" si="462"/>
        <v>111.47420474076102</v>
      </c>
      <c r="BE78" s="1297">
        <f t="shared" si="462"/>
        <v>114.05961244120029</v>
      </c>
      <c r="BF78" s="1297">
        <f t="shared" si="462"/>
        <v>112.04909187019223</v>
      </c>
      <c r="BG78" s="26"/>
      <c r="BH78" s="26"/>
      <c r="BI78" s="26"/>
      <c r="BJ78" s="26"/>
      <c r="BK78" s="26"/>
      <c r="BL78" s="26"/>
      <c r="BM78" s="26"/>
      <c r="BN78" s="26"/>
    </row>
    <row r="79" spans="2:66" ht="14.45" x14ac:dyDescent="0.3">
      <c r="B79" s="5660"/>
      <c r="C79" s="5661"/>
      <c r="D79" s="5662"/>
      <c r="E79" s="5663"/>
      <c r="F79" s="5663"/>
      <c r="G79" s="5663"/>
      <c r="H79" s="5663"/>
      <c r="I79" s="5664"/>
      <c r="J79" s="5665"/>
      <c r="K79" s="5663"/>
      <c r="L79" s="5663"/>
      <c r="M79" s="5666"/>
      <c r="N79" s="5666"/>
      <c r="O79" s="5663"/>
      <c r="P79" s="5663"/>
      <c r="Q79" s="5664"/>
      <c r="R79" s="5664"/>
      <c r="S79" s="5663"/>
      <c r="T79" s="5663"/>
      <c r="U79" s="5664"/>
      <c r="V79" s="5664"/>
      <c r="W79" s="5663"/>
      <c r="X79" s="5663"/>
      <c r="Y79" s="5666"/>
      <c r="Z79" s="5666"/>
      <c r="AA79" s="5667"/>
      <c r="AB79" s="5667"/>
      <c r="AC79" s="5663"/>
      <c r="AD79" s="5663"/>
      <c r="AE79" s="5664"/>
      <c r="AF79" s="5664"/>
      <c r="AG79" s="5663"/>
      <c r="AH79" s="5663"/>
      <c r="AI79" s="5664"/>
      <c r="AJ79" s="5664"/>
      <c r="AK79" s="5663"/>
      <c r="AL79" s="5663"/>
      <c r="AM79" s="5666"/>
      <c r="AN79" s="5666"/>
      <c r="AO79" s="5664"/>
      <c r="AP79" s="5664"/>
      <c r="AQ79" s="5663"/>
      <c r="AR79" s="5663"/>
      <c r="AS79" s="5664"/>
      <c r="AT79" s="5664"/>
      <c r="AU79" s="5663"/>
      <c r="AV79" s="5663"/>
      <c r="AW79" s="5664"/>
      <c r="AX79" s="5664"/>
      <c r="AY79" s="5663"/>
      <c r="AZ79" s="5663"/>
      <c r="BA79" s="5666"/>
      <c r="BB79" s="5666"/>
      <c r="BC79" s="5667"/>
      <c r="BD79" s="5667"/>
      <c r="BE79" s="5664"/>
      <c r="BF79" s="5664"/>
      <c r="BG79" s="26"/>
      <c r="BH79" s="26"/>
      <c r="BI79" s="26"/>
      <c r="BJ79" s="26"/>
      <c r="BK79" s="26"/>
      <c r="BL79" s="26"/>
      <c r="BM79" s="26"/>
      <c r="BN79" s="26"/>
    </row>
    <row r="80" spans="2:66" ht="14.45" x14ac:dyDescent="0.3">
      <c r="B80" s="5660"/>
      <c r="C80" s="5661"/>
      <c r="D80" s="5662"/>
      <c r="E80" s="5663"/>
      <c r="F80" s="5663"/>
      <c r="G80" s="5663"/>
      <c r="H80" s="5663"/>
      <c r="I80" s="5664"/>
      <c r="J80" s="5665"/>
      <c r="K80" s="5663"/>
      <c r="L80" s="5663"/>
      <c r="M80" s="5666"/>
      <c r="N80" s="5666"/>
      <c r="O80" s="5663"/>
      <c r="P80" s="5663"/>
      <c r="Q80" s="5664"/>
      <c r="R80" s="5664"/>
      <c r="S80" s="5663"/>
      <c r="T80" s="5663"/>
      <c r="U80" s="5664"/>
      <c r="V80" s="5664"/>
      <c r="W80" s="5663"/>
      <c r="X80" s="5663"/>
      <c r="Y80" s="5666"/>
      <c r="Z80" s="5666"/>
      <c r="AA80" s="5667"/>
      <c r="AB80" s="5667"/>
      <c r="AC80" s="5663"/>
      <c r="AD80" s="5663"/>
      <c r="AE80" s="5664"/>
      <c r="AF80" s="5664"/>
      <c r="AG80" s="5663"/>
      <c r="AH80" s="5663"/>
      <c r="AI80" s="5664"/>
      <c r="AJ80" s="5664"/>
      <c r="AK80" s="5663"/>
      <c r="AL80" s="5663"/>
      <c r="AM80" s="5666"/>
      <c r="AN80" s="5666"/>
      <c r="AO80" s="5664"/>
      <c r="AP80" s="5664"/>
      <c r="AQ80" s="5663"/>
      <c r="AR80" s="5663"/>
      <c r="AS80" s="5664"/>
      <c r="AT80" s="5664"/>
      <c r="AU80" s="5663"/>
      <c r="AV80" s="5663"/>
      <c r="AW80" s="5664"/>
      <c r="AX80" s="5664"/>
      <c r="AY80" s="5663"/>
      <c r="AZ80" s="5663"/>
      <c r="BA80" s="5666"/>
      <c r="BB80" s="5666"/>
      <c r="BC80" s="5667"/>
      <c r="BD80" s="5667"/>
      <c r="BE80" s="5664"/>
      <c r="BF80" s="5664"/>
      <c r="BG80" s="26"/>
      <c r="BH80" s="26"/>
      <c r="BI80" s="26"/>
      <c r="BJ80" s="26"/>
      <c r="BK80" s="26"/>
      <c r="BL80" s="26"/>
      <c r="BM80" s="26"/>
      <c r="BN80" s="26"/>
    </row>
    <row r="81" spans="2:66" x14ac:dyDescent="0.25">
      <c r="B81" s="3287" t="s">
        <v>230</v>
      </c>
      <c r="C81" s="3288" t="s">
        <v>228</v>
      </c>
      <c r="D81" s="2934">
        <f t="shared" ref="D81:AD81" si="463">+(D65/408)/D72</f>
        <v>1.3471054974217829</v>
      </c>
      <c r="E81" s="2993">
        <f t="shared" si="463"/>
        <v>1.3490593273127522</v>
      </c>
      <c r="F81" s="2993">
        <f t="shared" si="463"/>
        <v>1.3518869877422415</v>
      </c>
      <c r="G81" s="2993">
        <f t="shared" ref="G81:H81" si="464">+(G65/408)/G72</f>
        <v>1.3428765020223761</v>
      </c>
      <c r="H81" s="2993">
        <f t="shared" si="464"/>
        <v>1.3467485876245864</v>
      </c>
      <c r="I81" s="3290">
        <f t="shared" si="463"/>
        <v>1.3459150700069626</v>
      </c>
      <c r="J81" s="3292">
        <f t="shared" si="463"/>
        <v>1.3491858929880494</v>
      </c>
      <c r="K81" s="2993">
        <f t="shared" si="463"/>
        <v>1.3490593273127522</v>
      </c>
      <c r="L81" s="2993">
        <f t="shared" si="463"/>
        <v>1.3513666877843524</v>
      </c>
      <c r="M81" s="1301">
        <f t="shared" si="463"/>
        <v>1.34695114333122</v>
      </c>
      <c r="N81" s="1301">
        <f t="shared" si="463"/>
        <v>1.3499640559783539</v>
      </c>
      <c r="O81" s="2993">
        <f t="shared" ref="O81:P81" si="465">+(O65/408)/O72</f>
        <v>1.3183991853222903</v>
      </c>
      <c r="P81" s="2993">
        <f t="shared" si="465"/>
        <v>1.366822898549291</v>
      </c>
      <c r="Q81" s="1297">
        <f t="shared" si="463"/>
        <v>1.3396911369144195</v>
      </c>
      <c r="R81" s="1293">
        <f t="shared" si="463"/>
        <v>1.3545451613235597</v>
      </c>
      <c r="S81" s="2993">
        <f t="shared" si="463"/>
        <v>1.3183991853222903</v>
      </c>
      <c r="T81" s="2993">
        <f t="shared" si="463"/>
        <v>1.3502080533753245</v>
      </c>
      <c r="U81" s="1297">
        <f t="shared" ref="U81:X81" si="466">+(U65/408)/U72</f>
        <v>1.335374710612097</v>
      </c>
      <c r="V81" s="1293">
        <f t="shared" si="466"/>
        <v>1.353636976729429</v>
      </c>
      <c r="W81" s="2993">
        <f t="shared" si="466"/>
        <v>1.3316987699231551</v>
      </c>
      <c r="X81" s="2993">
        <f t="shared" si="466"/>
        <v>1.3402221116050741</v>
      </c>
      <c r="Y81" s="1301">
        <f t="shared" si="463"/>
        <v>1.321252231523796</v>
      </c>
      <c r="Z81" s="1301">
        <f t="shared" si="463"/>
        <v>1.3526010378370645</v>
      </c>
      <c r="AA81" s="1302">
        <f t="shared" si="463"/>
        <v>1.3350082441323712</v>
      </c>
      <c r="AB81" s="1302">
        <f t="shared" si="463"/>
        <v>1.3513424410728567</v>
      </c>
      <c r="AC81" s="2993">
        <f t="shared" si="463"/>
        <v>1.4012354451431732</v>
      </c>
      <c r="AD81" s="2993">
        <f t="shared" si="463"/>
        <v>1.370852628222776</v>
      </c>
      <c r="AE81" s="1297">
        <f t="shared" ref="AE81:AH81" si="467">+(AE65/408)/AE72</f>
        <v>1.3452952336873631</v>
      </c>
      <c r="AF81" s="1293">
        <f t="shared" si="467"/>
        <v>1.3541252514176996</v>
      </c>
      <c r="AG81" s="2993">
        <f t="shared" si="467"/>
        <v>1.4040708451798729</v>
      </c>
      <c r="AH81" s="2993">
        <f t="shared" si="467"/>
        <v>1.0403665814151748</v>
      </c>
      <c r="AI81" s="1297">
        <f t="shared" ref="AI81:AL81" si="468">+(AI65/408)/AI72</f>
        <v>1.3530025735866635</v>
      </c>
      <c r="AJ81" s="1293">
        <f t="shared" si="468"/>
        <v>1.350312100347876</v>
      </c>
      <c r="AK81" s="2993">
        <f t="shared" si="468"/>
        <v>1.4012354451431732</v>
      </c>
      <c r="AL81" s="2993">
        <f t="shared" si="468"/>
        <v>1.2510718411754189</v>
      </c>
      <c r="AM81" s="1301">
        <f t="shared" ref="AM81:AN81" si="469">+(AM65/408)/AM72</f>
        <v>1.4021625329833352</v>
      </c>
      <c r="AN81" s="1301">
        <f t="shared" si="469"/>
        <v>1.2983544062624213</v>
      </c>
      <c r="AO81" s="1297">
        <f t="shared" ref="AO81:AT81" si="470">+(AO65/408)/AO72</f>
        <v>1.3587380350402121</v>
      </c>
      <c r="AP81" s="1293">
        <f t="shared" si="470"/>
        <v>1.3373879215951572</v>
      </c>
      <c r="AQ81" s="2993">
        <f t="shared" si="470"/>
        <v>1.4012354451431732</v>
      </c>
      <c r="AR81" s="2993">
        <f t="shared" si="470"/>
        <v>1.3570210966891405</v>
      </c>
      <c r="AS81" s="1297">
        <f t="shared" si="470"/>
        <v>1.3632544290795785</v>
      </c>
      <c r="AT81" s="1293">
        <f t="shared" si="470"/>
        <v>1.3395321086727563</v>
      </c>
      <c r="AU81" s="2993">
        <f t="shared" ref="AU81:AX81" si="471">+(AU65/408)/AU72</f>
        <v>1.3999166172521602</v>
      </c>
      <c r="AV81" s="2993">
        <f t="shared" si="471"/>
        <v>1.3225856427869946</v>
      </c>
      <c r="AW81" s="1297">
        <f t="shared" si="471"/>
        <v>1.3664802435731076</v>
      </c>
      <c r="AX81" s="1293">
        <f t="shared" si="471"/>
        <v>1.3379365666347709</v>
      </c>
      <c r="AY81" s="2993">
        <f t="shared" ref="AY81:AZ81" si="472">+(AY65/408)/AY72</f>
        <v>1.4012354451431732</v>
      </c>
      <c r="AZ81" s="2993">
        <f t="shared" si="472"/>
        <v>1.4164213959015601</v>
      </c>
      <c r="BA81" s="1301">
        <f t="shared" ref="BA81:BF81" si="473">+(BA65/408)/BA72</f>
        <v>1.4008237135089054</v>
      </c>
      <c r="BB81" s="1301">
        <f t="shared" si="473"/>
        <v>1.3671089504554215</v>
      </c>
      <c r="BC81" s="1302">
        <f t="shared" si="473"/>
        <v>1.401500390661844</v>
      </c>
      <c r="BD81" s="1302">
        <f t="shared" si="473"/>
        <v>1.3385073603502946</v>
      </c>
      <c r="BE81" s="1297">
        <f t="shared" si="473"/>
        <v>1.3695511990983893</v>
      </c>
      <c r="BF81" s="1293">
        <f t="shared" si="473"/>
        <v>1.3454102187820172</v>
      </c>
      <c r="BG81" s="26"/>
      <c r="BH81" s="26"/>
      <c r="BI81" s="26"/>
      <c r="BJ81" s="26"/>
      <c r="BK81" s="26"/>
      <c r="BL81" s="26"/>
      <c r="BM81" s="26"/>
      <c r="BN81" s="26"/>
    </row>
    <row r="82" spans="2:66" ht="14.45" x14ac:dyDescent="0.3">
      <c r="B82" s="3287" t="s">
        <v>231</v>
      </c>
      <c r="C82" s="3288" t="s">
        <v>213</v>
      </c>
      <c r="D82" s="2716">
        <f>15.4016963501787*365*24*1000</f>
        <v>134918860.02756542</v>
      </c>
      <c r="E82" s="2774">
        <f>+'POWER DISTRIBUTION'!I22</f>
        <v>11514717.277581625</v>
      </c>
      <c r="F82" s="2774">
        <f>+'POWER DISTRIBUTION'!J22</f>
        <v>9683949.9999999814</v>
      </c>
      <c r="G82" s="2774">
        <f>+'POWER DISTRIBUTION'!K22</f>
        <v>11860620.924496397</v>
      </c>
      <c r="H82" s="2774">
        <f>+'POWER DISTRIBUTION'!L22</f>
        <v>11134429.999999991</v>
      </c>
      <c r="I82" s="2772">
        <f>+E82+G82</f>
        <v>23375338.202078022</v>
      </c>
      <c r="J82" s="3293">
        <f>+F82+H82</f>
        <v>20818379.99999997</v>
      </c>
      <c r="K82" s="2774">
        <f>+'POWER DISTRIBUTION'!O22</f>
        <v>11514717.277581625</v>
      </c>
      <c r="L82" s="2774">
        <f>+'POWER DISTRIBUTION'!P22</f>
        <v>11736979.999999998</v>
      </c>
      <c r="M82" s="1283">
        <f>+K82+G82+E82</f>
        <v>34890055.479659647</v>
      </c>
      <c r="N82" s="1283">
        <f>+L82+H82+F82</f>
        <v>32555359.99999997</v>
      </c>
      <c r="O82" s="2774">
        <f>+'POWER DISTRIBUTION'!S22</f>
        <v>11644431.145174664</v>
      </c>
      <c r="P82" s="2774">
        <f>+'POWER DISTRIBUTION'!T22</f>
        <v>12452919.999999998</v>
      </c>
      <c r="Q82" s="1281">
        <f>+M82+O82</f>
        <v>46534486.624834314</v>
      </c>
      <c r="R82" s="1282">
        <f>+N82+P82</f>
        <v>45008279.99999997</v>
      </c>
      <c r="S82" s="2774">
        <f>+'POWER DISTRIBUTION'!W22</f>
        <v>11644431.145174664</v>
      </c>
      <c r="T82" s="2774">
        <f>+'POWER DISTRIBUTION'!X22</f>
        <v>12425240.000000002</v>
      </c>
      <c r="U82" s="1281">
        <f>+Q82+S82</f>
        <v>58178917.770008981</v>
      </c>
      <c r="V82" s="1282">
        <f>+R82+T82</f>
        <v>57433519.99999997</v>
      </c>
      <c r="W82" s="2774">
        <f>+'POWER DISTRIBUTION'!AA22</f>
        <v>6424565.2608682904</v>
      </c>
      <c r="X82" s="2774">
        <f>+'POWER DISTRIBUTION'!AB22</f>
        <v>12303829.999999996</v>
      </c>
      <c r="Y82" s="1283">
        <f>+O82+S82+W82</f>
        <v>29713427.551217616</v>
      </c>
      <c r="Z82" s="1283">
        <f>+P82+T82+X82</f>
        <v>37181990</v>
      </c>
      <c r="AA82" s="1222">
        <f>M82+Y82</f>
        <v>64603483.030877262</v>
      </c>
      <c r="AB82" s="1222">
        <f>N82+Z82</f>
        <v>69737349.99999997</v>
      </c>
      <c r="AC82" s="2774">
        <f>+'POWER DISTRIBUTION'!AG22</f>
        <v>12426073.534885483</v>
      </c>
      <c r="AD82" s="2774">
        <f>+'POWER DISTRIBUTION'!AH22</f>
        <v>11532626.999999965</v>
      </c>
      <c r="AE82" s="1281">
        <f>+AA82+AC82</f>
        <v>77029556.565762743</v>
      </c>
      <c r="AF82" s="1282">
        <f>+AB82+AD82</f>
        <v>81269976.99999994</v>
      </c>
      <c r="AG82" s="2774">
        <f>+'POWER DISTRIBUTION'!AK22</f>
        <v>12097991.661769148</v>
      </c>
      <c r="AH82" s="2774">
        <f>+'POWER DISTRIBUTION'!AL22</f>
        <v>1573730.0000000368</v>
      </c>
      <c r="AI82" s="1281">
        <f>+AE82+AG82</f>
        <v>89127548.227531895</v>
      </c>
      <c r="AJ82" s="1282">
        <f>+AF82+AH82</f>
        <v>82843706.99999997</v>
      </c>
      <c r="AK82" s="2774">
        <f>+'POWER DISTRIBUTION'!AO22</f>
        <v>12426073.534885483</v>
      </c>
      <c r="AL82" s="2774">
        <f>+'POWER DISTRIBUTION'!AP22</f>
        <v>11462629.999999959</v>
      </c>
      <c r="AM82" s="1283">
        <f>+AC82+AG82+AK82</f>
        <v>36950138.731540114</v>
      </c>
      <c r="AN82" s="1283">
        <f>+AD82+AH82+AL82</f>
        <v>24568986.999999963</v>
      </c>
      <c r="AO82" s="1281">
        <f>AI82+AK82</f>
        <v>101553621.76241738</v>
      </c>
      <c r="AP82" s="1281">
        <f>AJ82+AL82</f>
        <v>94306336.999999925</v>
      </c>
      <c r="AQ82" s="2774">
        <f>+'POWER DISTRIBUTION'!AU22</f>
        <v>12426073.534885483</v>
      </c>
      <c r="AR82" s="2774">
        <f>+'POWER DISTRIBUTION'!AV22</f>
        <v>11305090.000000039</v>
      </c>
      <c r="AS82" s="1281">
        <f>+AO82+AQ82</f>
        <v>113979695.29730286</v>
      </c>
      <c r="AT82" s="1282">
        <f>+AP82+AR82</f>
        <v>105611426.99999997</v>
      </c>
      <c r="AU82" s="2774">
        <f>+'POWER DISTRIBUTION'!AY22</f>
        <v>11269790.181396937</v>
      </c>
      <c r="AV82" s="2774">
        <f>+'POWER DISTRIBUTION'!AZ22</f>
        <v>10543509.99999997</v>
      </c>
      <c r="AW82" s="1281">
        <f>+AS82+AU82</f>
        <v>125249485.47869979</v>
      </c>
      <c r="AX82" s="1282">
        <f>+AT82+AV82</f>
        <v>116154936.99999994</v>
      </c>
      <c r="AY82" s="2774">
        <f>+'POWER DISTRIBUTION'!BC22</f>
        <v>12426073.534885483</v>
      </c>
      <c r="AZ82" s="2774">
        <f>+'POWER DISTRIBUTION'!BD22</f>
        <v>11992050.000000013</v>
      </c>
      <c r="BA82" s="1283">
        <f>+AQ82+AU82+AY82</f>
        <v>36121937.251167901</v>
      </c>
      <c r="BB82" s="1283">
        <f>+AR82+AV82+AZ82</f>
        <v>33840650.000000022</v>
      </c>
      <c r="BC82" s="1222">
        <f t="shared" ref="BC82:BD82" si="474">AM82+BA82</f>
        <v>73072075.982708007</v>
      </c>
      <c r="BD82" s="1222">
        <f t="shared" si="474"/>
        <v>58409636.999999985</v>
      </c>
      <c r="BE82" s="1281">
        <f>+AW82+AY82</f>
        <v>137675559.01358527</v>
      </c>
      <c r="BF82" s="1282">
        <f>+AX82+AZ82</f>
        <v>128146986.99999996</v>
      </c>
      <c r="BG82" s="26"/>
      <c r="BH82" s="26"/>
      <c r="BI82" s="26"/>
      <c r="BJ82" s="26"/>
      <c r="BK82" s="26"/>
      <c r="BL82" s="26"/>
      <c r="BM82" s="26"/>
      <c r="BN82" s="26"/>
    </row>
    <row r="83" spans="2:66" ht="14.45" x14ac:dyDescent="0.3">
      <c r="B83" s="3287" t="s">
        <v>232</v>
      </c>
      <c r="C83" s="3288" t="s">
        <v>229</v>
      </c>
      <c r="D83" s="2936">
        <f t="shared" ref="D83:AD83" si="475">+D82/D65</f>
        <v>30.924294244021358</v>
      </c>
      <c r="E83" s="3294">
        <f t="shared" si="475"/>
        <v>30.937619988311706</v>
      </c>
      <c r="F83" s="3294">
        <f t="shared" si="475"/>
        <v>30.090265046763761</v>
      </c>
      <c r="G83" s="3294">
        <f t="shared" ref="G83:H83" si="476">+G82/G65</f>
        <v>30.937619988311706</v>
      </c>
      <c r="H83" s="3294">
        <f t="shared" si="476"/>
        <v>31.337579438568419</v>
      </c>
      <c r="I83" s="3290">
        <f t="shared" si="475"/>
        <v>30.937619988311702</v>
      </c>
      <c r="J83" s="3291">
        <f t="shared" si="475"/>
        <v>30.744754377259472</v>
      </c>
      <c r="K83" s="3294">
        <f t="shared" si="475"/>
        <v>30.937619988311706</v>
      </c>
      <c r="L83" s="3294">
        <f t="shared" si="475"/>
        <v>31.192641532500247</v>
      </c>
      <c r="M83" s="1295">
        <f t="shared" si="475"/>
        <v>30.937619988311702</v>
      </c>
      <c r="N83" s="1295">
        <f t="shared" si="475"/>
        <v>30.904737946288691</v>
      </c>
      <c r="O83" s="3294">
        <f t="shared" ref="O83:P83" si="477">+O82/O65</f>
        <v>30.93761998831171</v>
      </c>
      <c r="P83" s="3294">
        <f t="shared" si="477"/>
        <v>31.291888632023316</v>
      </c>
      <c r="Q83" s="1297">
        <f t="shared" si="475"/>
        <v>30.937619988311706</v>
      </c>
      <c r="R83" s="1297">
        <f t="shared" si="475"/>
        <v>31.010893156121437</v>
      </c>
      <c r="S83" s="3294">
        <f t="shared" si="475"/>
        <v>30.93761998831171</v>
      </c>
      <c r="T83" s="3294">
        <f t="shared" si="475"/>
        <v>32.42672484661216</v>
      </c>
      <c r="U83" s="1297">
        <f t="shared" ref="U83:X83" si="478">+U82/U65</f>
        <v>30.937619988311706</v>
      </c>
      <c r="V83" s="1297">
        <f t="shared" si="478"/>
        <v>31.306615413379511</v>
      </c>
      <c r="W83" s="3294">
        <f t="shared" si="478"/>
        <v>30.93761998831171</v>
      </c>
      <c r="X83" s="3294">
        <f t="shared" si="478"/>
        <v>32.829122908128404</v>
      </c>
      <c r="Y83" s="1295">
        <f t="shared" si="475"/>
        <v>30.937619988311706</v>
      </c>
      <c r="Z83" s="1295">
        <f t="shared" si="475"/>
        <v>32.166493788946148</v>
      </c>
      <c r="AA83" s="1298">
        <f t="shared" si="475"/>
        <v>30.937619988311699</v>
      </c>
      <c r="AB83" s="1298">
        <f t="shared" si="475"/>
        <v>31.564888588546847</v>
      </c>
      <c r="AC83" s="3320">
        <f t="shared" si="475"/>
        <v>30.829999999999991</v>
      </c>
      <c r="AD83" s="3294">
        <f t="shared" si="475"/>
        <v>30.930429092118331</v>
      </c>
      <c r="AE83" s="1297">
        <f t="shared" ref="AE83:AH83" si="479">+AE82/AE65</f>
        <v>30.920208401609656</v>
      </c>
      <c r="AF83" s="1297">
        <f t="shared" si="479"/>
        <v>31.473275398014842</v>
      </c>
      <c r="AG83" s="3320">
        <f t="shared" si="479"/>
        <v>30.829999999999995</v>
      </c>
      <c r="AH83" s="3294">
        <f t="shared" si="479"/>
        <v>64.478633179007531</v>
      </c>
      <c r="AI83" s="1297">
        <f t="shared" ref="AI83:AL83" si="480">+AI82/AI65</f>
        <v>30.907932744683301</v>
      </c>
      <c r="AJ83" s="1297">
        <f t="shared" si="480"/>
        <v>31.78232269890588</v>
      </c>
      <c r="AK83" s="3320">
        <f t="shared" si="480"/>
        <v>30.829999999999991</v>
      </c>
      <c r="AL83" s="3294">
        <f t="shared" si="480"/>
        <v>31.699400449109962</v>
      </c>
      <c r="AM83" s="1295">
        <f t="shared" ref="AM83:AN83" si="481">+AM82/AM65</f>
        <v>30.829999999999995</v>
      </c>
      <c r="AN83" s="1295">
        <f t="shared" si="481"/>
        <v>32.37583743154272</v>
      </c>
      <c r="AO83" s="1297">
        <f t="shared" ref="AO83:AT83" si="482">+AO82/AO65</f>
        <v>30.898375766373135</v>
      </c>
      <c r="AP83" s="1297">
        <f t="shared" si="482"/>
        <v>31.772220614439497</v>
      </c>
      <c r="AQ83" s="3320">
        <f t="shared" si="482"/>
        <v>30.829999999999991</v>
      </c>
      <c r="AR83" s="3294">
        <f t="shared" si="482"/>
        <v>30.616357481381286</v>
      </c>
      <c r="AS83" s="1297">
        <f t="shared" si="482"/>
        <v>30.890906709507817</v>
      </c>
      <c r="AT83" s="1297">
        <f t="shared" si="482"/>
        <v>31.644337849454558</v>
      </c>
      <c r="AU83" s="3294">
        <f t="shared" ref="AU83:AX83" si="483">+AU82/AU65</f>
        <v>30.830000000000005</v>
      </c>
      <c r="AV83" s="3294">
        <f t="shared" si="483"/>
        <v>30.78406068338877</v>
      </c>
      <c r="AW83" s="1297">
        <f t="shared" si="483"/>
        <v>30.885416550084738</v>
      </c>
      <c r="AX83" s="1297">
        <f t="shared" si="483"/>
        <v>31.564270438457029</v>
      </c>
      <c r="AY83" s="3294">
        <f t="shared" ref="AY83:AZ83" si="484">+AY82/AY65</f>
        <v>30.829999999999991</v>
      </c>
      <c r="AZ83" s="3294">
        <f t="shared" si="484"/>
        <v>29.247475732891111</v>
      </c>
      <c r="BA83" s="1295">
        <f t="shared" ref="BA83:BF83" si="485">+BA82/BA65</f>
        <v>30.83</v>
      </c>
      <c r="BB83" s="1295">
        <f t="shared" si="485"/>
        <v>30.167218027954082</v>
      </c>
      <c r="BC83" s="1298">
        <f t="shared" si="485"/>
        <v>30.829999999999995</v>
      </c>
      <c r="BD83" s="1298">
        <f t="shared" si="485"/>
        <v>31.058432329045949</v>
      </c>
      <c r="BE83" s="1297">
        <f t="shared" si="485"/>
        <v>30.880406684857054</v>
      </c>
      <c r="BF83" s="1297">
        <f t="shared" si="485"/>
        <v>31.3320114817468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25">
      <c r="B84" s="3287" t="s">
        <v>233</v>
      </c>
      <c r="C84" s="3288" t="s">
        <v>624</v>
      </c>
      <c r="D84" s="2716">
        <f>1.64880670175213*1000</f>
        <v>1648.80670175213</v>
      </c>
      <c r="E84" s="2774">
        <f>+(EMD!D43*1000/E2)/24</f>
        <v>1712.0706146228076</v>
      </c>
      <c r="F84" s="2774">
        <f>+(EMD!E43*1000/F2)/24</f>
        <v>1317.1111111111111</v>
      </c>
      <c r="G84" s="2774">
        <f>+(EMD!F43*1000/G2)/24</f>
        <v>1706.6129114535149</v>
      </c>
      <c r="H84" s="2774">
        <f>+(EMD!G43*1000/H2)/24</f>
        <v>1447.7688172043006</v>
      </c>
      <c r="I84" s="3290">
        <f>+(EMD!H43*1000/I2)/24</f>
        <v>1709.2970277662816</v>
      </c>
      <c r="J84" s="3291">
        <f>+(EMD!I43*1000/J2)/24</f>
        <v>1383.5109289617483</v>
      </c>
      <c r="K84" s="2774">
        <f>+(EMD!J43*1000/K2)/24</f>
        <v>1712.0706146228076</v>
      </c>
      <c r="L84" s="2774">
        <f>+(EMD!K43*1000/L2)/24</f>
        <v>1466.1805555555563</v>
      </c>
      <c r="M84" s="1295">
        <f>(E84*E2+G84*G2+K84*K2)/M2</f>
        <v>1710.211397059642</v>
      </c>
      <c r="N84" s="1295">
        <f>(F84*F2+H84*H2+L84*L2)/N2</f>
        <v>1410.764652014652</v>
      </c>
      <c r="O84" s="2774">
        <f>+(EMD!N43*1000/O2)/24</f>
        <v>1675.5064232201532</v>
      </c>
      <c r="P84" s="2774">
        <f>+(EMD!O43*1000/P2)/24</f>
        <v>1458.5080645161295</v>
      </c>
      <c r="Q84" s="1297">
        <f>+(EMD!P43*1000/Q2)/24</f>
        <v>1701.3929201004275</v>
      </c>
      <c r="R84" s="1297">
        <f>+(EMD!Q43*1000/R2)/24</f>
        <v>1422.8961748633881</v>
      </c>
      <c r="S84" s="2774">
        <f>+(EMD!R43*1000/S2)/24</f>
        <v>1675.5064232201532</v>
      </c>
      <c r="T84" s="2774">
        <f>+(EMD!S43*1000/T2)/24</f>
        <v>1407.741935483871</v>
      </c>
      <c r="U84" s="1297">
        <f>+(EMD!T43*1000/U2)/24</f>
        <v>1696.1479436083457</v>
      </c>
      <c r="V84" s="1297">
        <f>+(EMD!U43*1000/V2)/24</f>
        <v>1419.8257080610019</v>
      </c>
      <c r="W84" s="2774">
        <f>+(EMD!V43*1000/W2)/24</f>
        <v>955.24121734286291</v>
      </c>
      <c r="X84" s="2774">
        <f>+(EMD!W43*1000/X2)/24</f>
        <v>1448.8888888888889</v>
      </c>
      <c r="Y84" s="1283">
        <f>+((O84*O2)+(S84*S2)+(W84*W2))/(Y2)</f>
        <v>1440.6373343471237</v>
      </c>
      <c r="Z84" s="1283">
        <f>+((P84*P2)+(T84*T2)+(X84*X2))/(Z2)</f>
        <v>1438.2653985507247</v>
      </c>
      <c r="AA84" s="1222">
        <f>+((U84*U2*24)+(W84*W2*24))/(AA2*24)</f>
        <v>1574.6878245484304</v>
      </c>
      <c r="AB84" s="1222">
        <f>+((N84*N2)+(Z84*Z2))/(AB2)</f>
        <v>1424.5901639344263</v>
      </c>
      <c r="AC84" s="2774">
        <f>+(EMD!AB43*1000/AC2)/24</f>
        <v>1795.1005561410427</v>
      </c>
      <c r="AD84" s="2774">
        <f>+(EMD!AC43*1000/AD2)/24</f>
        <v>1456.6666666666658</v>
      </c>
      <c r="AE84" s="1297">
        <f>+(EMD!AD43*1000/AE2)/24</f>
        <v>1606.6167716482953</v>
      </c>
      <c r="AF84" s="1297">
        <f>+(EMD!AE43*1000/AF2)/24</f>
        <v>1429.2367601246106</v>
      </c>
      <c r="AG84" s="2774">
        <f>+(EMD!AF43*1000/AG2)/24</f>
        <v>1805.9618926207077</v>
      </c>
      <c r="AH84" s="2774">
        <f>+(EMD!AG43*1000/AH2)/24</f>
        <v>215.9722222222222</v>
      </c>
      <c r="AI84" s="1297">
        <f>+(EMD!AH43*1000/AI2)/24</f>
        <v>1631.1264176694933</v>
      </c>
      <c r="AJ84" s="1297">
        <f>+(EMD!AI43*1000/AJ2)/24</f>
        <v>1280.0648907103823</v>
      </c>
      <c r="AK84" s="2774">
        <f>+(EMD!AJ43*1000/AK2)/24</f>
        <v>1795.1005561410427</v>
      </c>
      <c r="AL84" s="2774">
        <f>+(EMD!AK43*1000/AL2)/24</f>
        <v>1456.8548387096771</v>
      </c>
      <c r="AM84" s="1295">
        <f>+(EMD!AL43*1000/AM2)/24</f>
        <v>1798.642296297455</v>
      </c>
      <c r="AN84" s="1295">
        <f>+(EMD!AM43*1000/AN2)/24</f>
        <v>1052.1557971014488</v>
      </c>
      <c r="AO84" s="1297">
        <f>+(EMD!AN43*1000/AO2)/24</f>
        <v>1649.6107750971951</v>
      </c>
      <c r="AP84" s="1297">
        <f>+(EMD!AO43*1000/AP2)/24</f>
        <v>1299.9939393939394</v>
      </c>
      <c r="AQ84" s="2774">
        <f>+(EMD!AP43*1000/AQ2)/24</f>
        <v>1795.1005561410427</v>
      </c>
      <c r="AR84" s="2774">
        <f>+(EMD!AQ43*1000/AR2)/24</f>
        <v>1400.9408602150536</v>
      </c>
      <c r="AS84" s="1297">
        <f>+(EMD!AR43*1000/AS2)/24</f>
        <v>1664.3499359218986</v>
      </c>
      <c r="AT84" s="1297">
        <f>+(EMD!AS43*1000/AT2)/24</f>
        <v>1310.2205882352939</v>
      </c>
      <c r="AU84" s="2774">
        <f>+(EMD!AT43*1000/AU2)/24</f>
        <v>1802.4961888406515</v>
      </c>
      <c r="AV84" s="2774">
        <f>+(EMD!AU43*1000/AV2)/24</f>
        <v>1455.6547619047624</v>
      </c>
      <c r="AW84" s="1281">
        <f>+(EMD!AV43*1000/AW2)/24</f>
        <v>1675.9310589210756</v>
      </c>
      <c r="AX84" s="1281">
        <f>+(EMD!AW43*1000/AX2)/24</f>
        <v>1322.4126746506986</v>
      </c>
      <c r="AY84" s="2774">
        <f>+(EMD!AX43*1000/AY2)/24</f>
        <v>1795.1005561410427</v>
      </c>
      <c r="AZ84" s="2774">
        <f>+(EMD!AY43*1000/AZ2)/24</f>
        <v>1483.1989247311819</v>
      </c>
      <c r="BA84" s="1295">
        <f>+((AQ84*AQ2)+(AU84*AU2)+(AY84*AY2))/(BA2)</f>
        <v>1797.4014196475878</v>
      </c>
      <c r="BB84" s="1295">
        <f>+((AR84*AR2)+(AV84*AV2)+(AZ84*AZ2))/(BB2)</f>
        <v>1446.2962962962961</v>
      </c>
      <c r="BC84" s="1298">
        <f>+((AM84*AM2*24)+(BA84*BA2*24))/(BC2*24)</f>
        <v>1798.028675976092</v>
      </c>
      <c r="BD84" s="1298">
        <f>+((AN84*AN2)+(BB84*BB2))/(BD2)</f>
        <v>1247.0604395604391</v>
      </c>
      <c r="BE84" s="1297">
        <f>+(EMD!BD43*1000/BE2)/24</f>
        <v>1686.0523038904428</v>
      </c>
      <c r="BF84" s="1297">
        <f>+(EMD!BE43*1000/BF2)/24</f>
        <v>1336.0684931506851</v>
      </c>
      <c r="BG84" s="26"/>
      <c r="BH84" s="26"/>
      <c r="BI84" s="26"/>
      <c r="BJ84" s="26"/>
      <c r="BK84" s="26"/>
      <c r="BL84" s="26"/>
      <c r="BM84" s="26"/>
      <c r="BN84" s="26"/>
    </row>
    <row r="85" spans="2:66" ht="15.75" thickBot="1" x14ac:dyDescent="0.3">
      <c r="B85" s="3295" t="s">
        <v>218</v>
      </c>
      <c r="C85" s="3296" t="s">
        <v>1180</v>
      </c>
      <c r="D85" s="893">
        <v>1.4E-2</v>
      </c>
      <c r="E85" s="3297">
        <f>+$D$85</f>
        <v>1.4E-2</v>
      </c>
      <c r="F85" s="3298">
        <v>1.2999999999999999E-2</v>
      </c>
      <c r="G85" s="3297">
        <f>+$D$85</f>
        <v>1.4E-2</v>
      </c>
      <c r="H85" s="3298">
        <v>1.2999999999999999E-2</v>
      </c>
      <c r="I85" s="3299">
        <f>+$D$85</f>
        <v>1.4E-2</v>
      </c>
      <c r="J85" s="3300">
        <f>+((F85*F65)+(H85*H65))/J65</f>
        <v>1.2999999999999999E-2</v>
      </c>
      <c r="K85" s="3297">
        <f>+$D$85</f>
        <v>1.4E-2</v>
      </c>
      <c r="L85" s="3298">
        <v>1.15E-2</v>
      </c>
      <c r="M85" s="1704">
        <f>+$D$85</f>
        <v>1.4E-2</v>
      </c>
      <c r="N85" s="1704">
        <f>+((F85*F65)+(H85*H65)+(L85*L65))/N65</f>
        <v>1.2464205769833208E-2</v>
      </c>
      <c r="O85" s="3297">
        <f>+$D$85</f>
        <v>1.4E-2</v>
      </c>
      <c r="P85" s="3298">
        <v>1.2E-2</v>
      </c>
      <c r="Q85" s="2449">
        <f>+$D$85</f>
        <v>1.4E-2</v>
      </c>
      <c r="R85" s="2449">
        <f>+((N85*N65)+(P85*P65))/R65</f>
        <v>1.2336922356118701E-2</v>
      </c>
      <c r="S85" s="3297">
        <f>+$D$85</f>
        <v>1.4E-2</v>
      </c>
      <c r="T85" s="3298">
        <v>1.2E-2</v>
      </c>
      <c r="U85" s="2449">
        <f>+$D$85</f>
        <v>1.4E-2</v>
      </c>
      <c r="V85" s="2449">
        <f>+((R85*R65)+(T85*T65))/V65</f>
        <v>1.2266549980403902E-2</v>
      </c>
      <c r="W85" s="3297">
        <f>+$D$85</f>
        <v>1.4E-2</v>
      </c>
      <c r="X85" s="3298">
        <v>1.2E-2</v>
      </c>
      <c r="Y85" s="1304">
        <f>+$D$85</f>
        <v>1.4E-2</v>
      </c>
      <c r="Z85" s="1304">
        <f>+((P85*P65)+(T85*T65)+(X85*X65))/Z65</f>
        <v>1.2E-2</v>
      </c>
      <c r="AA85" s="1619">
        <f>+$D$85</f>
        <v>1.4E-2</v>
      </c>
      <c r="AB85" s="4198">
        <f>+((N85*N65)+(Z85*Z65))/AB65</f>
        <v>1.2221333316435323E-2</v>
      </c>
      <c r="AC85" s="3298">
        <f>+$D$85</f>
        <v>1.4E-2</v>
      </c>
      <c r="AD85" s="3298">
        <v>1.2E-2</v>
      </c>
      <c r="AE85" s="1303">
        <f>+$D$85</f>
        <v>1.4E-2</v>
      </c>
      <c r="AF85" s="2449">
        <f>+((AB85*AB65)+(AD85*AD65))/AF65</f>
        <v>1.2189373748639721E-2</v>
      </c>
      <c r="AG85" s="3298">
        <f>+$D$85</f>
        <v>1.4E-2</v>
      </c>
      <c r="AH85" s="3298">
        <v>2.7E-2</v>
      </c>
      <c r="AI85" s="1303">
        <f>+$D$85</f>
        <v>1.4E-2</v>
      </c>
      <c r="AJ85" s="2449">
        <f>+((AF85*AF65)+(AH85*AH65))/AJ65</f>
        <v>1.2328053780465489E-2</v>
      </c>
      <c r="AK85" s="3298">
        <f>+$D$85</f>
        <v>1.4E-2</v>
      </c>
      <c r="AL85" s="3298">
        <v>1.34E-2</v>
      </c>
      <c r="AM85" s="1304">
        <f>+$D$85</f>
        <v>1.4E-2</v>
      </c>
      <c r="AN85" s="1304">
        <f>+((AD85*AD65)+(AH85*AH65)+(AL85*AL65))/AN65</f>
        <v>1.3149541949324519E-2</v>
      </c>
      <c r="AO85" s="1303">
        <f>+$D$85</f>
        <v>1.4E-2</v>
      </c>
      <c r="AP85" s="2449">
        <f>+((AL85*AL65)+(AJ85*AJ65))/AP65</f>
        <v>1.2458644680734224E-2</v>
      </c>
      <c r="AQ85" s="3298">
        <v>1.3999999999999999E-2</v>
      </c>
      <c r="AR85" s="3298">
        <v>1.2E-2</v>
      </c>
      <c r="AS85" s="1303">
        <f>+$D$85</f>
        <v>1.4E-2</v>
      </c>
      <c r="AT85" s="2449">
        <f>+((AP85*AP65)+(AR85*AR65))/AT65</f>
        <v>1.2407900999894831E-2</v>
      </c>
      <c r="AU85" s="3298">
        <v>1.4000000000000002E-2</v>
      </c>
      <c r="AV85" s="3298">
        <v>1.2E-2</v>
      </c>
      <c r="AW85" s="1303">
        <f>+$D$85</f>
        <v>1.4E-2</v>
      </c>
      <c r="AX85" s="2449">
        <f>+((AT85*AT65)+(AV85*AV65))/AX65</f>
        <v>1.2369936982839442E-2</v>
      </c>
      <c r="AY85" s="3298">
        <v>1.4E-2</v>
      </c>
      <c r="AZ85" s="3298">
        <v>1.0999999999999999E-2</v>
      </c>
      <c r="BA85" s="1304">
        <f>+$D$85</f>
        <v>1.4E-2</v>
      </c>
      <c r="BB85" s="1304">
        <f>+((AR85*AR65)+(AV85*AV65)+(AZ85*AZ65))/BB65</f>
        <v>1.163448802739245E-2</v>
      </c>
      <c r="BC85" s="1619">
        <f>+$D$85</f>
        <v>1.4E-2</v>
      </c>
      <c r="BD85" s="1619">
        <f>+((AN85*AN65)+(BB85*BB65))/BD65</f>
        <v>1.2245837234936887E-2</v>
      </c>
      <c r="BE85" s="1303">
        <f>+$D$85</f>
        <v>1.4E-2</v>
      </c>
      <c r="BF85" s="2449">
        <f>+((AX85*AX65)+(AZ85*AZ65))/BF65</f>
        <v>1.2232600630322473E-2</v>
      </c>
      <c r="BG85" s="26"/>
      <c r="BH85" s="26"/>
      <c r="BI85" s="26"/>
      <c r="BJ85" s="26"/>
      <c r="BK85" s="26"/>
      <c r="BL85" s="26"/>
      <c r="BM85" s="26"/>
      <c r="BN85" s="26"/>
    </row>
    <row r="86" spans="2:66" ht="17.45" x14ac:dyDescent="0.3">
      <c r="B86" s="3283" t="s">
        <v>436</v>
      </c>
      <c r="C86" s="3284"/>
      <c r="D86" s="3309"/>
      <c r="E86" s="3309"/>
      <c r="F86" s="3309"/>
      <c r="G86" s="3309"/>
      <c r="H86" s="3309"/>
      <c r="I86" s="3309"/>
      <c r="J86" s="3310"/>
      <c r="K86" s="3309"/>
      <c r="L86" s="3309"/>
      <c r="M86" s="1547"/>
      <c r="N86" s="1547"/>
      <c r="O86" s="3309"/>
      <c r="P86" s="3309"/>
      <c r="Q86" s="1547"/>
      <c r="R86" s="1547"/>
      <c r="S86" s="3309"/>
      <c r="T86" s="3309"/>
      <c r="U86" s="1547"/>
      <c r="V86" s="1547"/>
      <c r="W86" s="3309"/>
      <c r="X86" s="3309"/>
      <c r="Y86" s="1547"/>
      <c r="Z86" s="1547"/>
      <c r="AA86" s="1278"/>
      <c r="AB86" s="1278"/>
      <c r="AC86" s="3309"/>
      <c r="AD86" s="3309"/>
      <c r="AE86" s="1547"/>
      <c r="AF86" s="1547"/>
      <c r="AG86" s="3309"/>
      <c r="AH86" s="3309"/>
      <c r="AI86" s="1547"/>
      <c r="AJ86" s="1547"/>
      <c r="AK86" s="3309"/>
      <c r="AL86" s="3309"/>
      <c r="AM86" s="1547"/>
      <c r="AN86" s="1547"/>
      <c r="AO86" s="1547"/>
      <c r="AP86" s="1547"/>
      <c r="AQ86" s="3309"/>
      <c r="AR86" s="3309"/>
      <c r="AS86" s="1547"/>
      <c r="AT86" s="1547"/>
      <c r="AU86" s="3309"/>
      <c r="AV86" s="3309"/>
      <c r="AW86" s="1547"/>
      <c r="AX86" s="1547"/>
      <c r="AY86" s="3309"/>
      <c r="AZ86" s="3309"/>
      <c r="BA86" s="1547"/>
      <c r="BB86" s="1547"/>
      <c r="BC86" s="1278"/>
      <c r="BD86" s="1278"/>
      <c r="BE86" s="1547"/>
      <c r="BF86" s="1547"/>
      <c r="BG86" s="26"/>
      <c r="BH86" s="26"/>
      <c r="BI86" s="26"/>
      <c r="BJ86" s="26"/>
      <c r="BK86" s="26"/>
      <c r="BL86" s="26"/>
      <c r="BM86" s="26"/>
      <c r="BN86" s="26"/>
    </row>
    <row r="87" spans="2:66" ht="14.45" x14ac:dyDescent="0.3">
      <c r="B87" s="3287" t="s">
        <v>48</v>
      </c>
      <c r="C87" s="3288" t="s">
        <v>219</v>
      </c>
      <c r="D87" s="2774">
        <f t="shared" ref="D87" si="486">+D22</f>
        <v>783.91225705888928</v>
      </c>
      <c r="E87" s="2774">
        <f t="shared" ref="E87:L87" si="487">+E22</f>
        <v>783.9122570588894</v>
      </c>
      <c r="F87" s="2774">
        <f t="shared" si="487"/>
        <v>785.44262498834792</v>
      </c>
      <c r="G87" s="2774">
        <f t="shared" ref="G87:H87" si="488">+G22</f>
        <v>783.91225705888951</v>
      </c>
      <c r="H87" s="2774">
        <f t="shared" si="488"/>
        <v>786.06609514052673</v>
      </c>
      <c r="I87" s="2772">
        <f t="shared" si="487"/>
        <v>783.9122570588894</v>
      </c>
      <c r="J87" s="3305">
        <f t="shared" si="487"/>
        <v>785.76977150823473</v>
      </c>
      <c r="K87" s="2774">
        <f t="shared" si="487"/>
        <v>783.9122570588894</v>
      </c>
      <c r="L87" s="2774">
        <f t="shared" si="487"/>
        <v>783.21117058313894</v>
      </c>
      <c r="M87" s="1283">
        <f t="shared" ref="M87" si="489">+M22</f>
        <v>783.91225705888928</v>
      </c>
      <c r="N87" s="1283">
        <f t="shared" ref="N87:AF87" si="490">+N22</f>
        <v>784.85584909959084</v>
      </c>
      <c r="O87" s="2774">
        <f t="shared" si="490"/>
        <v>783.9122570588894</v>
      </c>
      <c r="P87" s="2774">
        <f t="shared" si="490"/>
        <v>783.52095688008853</v>
      </c>
      <c r="Q87" s="1281">
        <f t="shared" si="490"/>
        <v>783.91225705888928</v>
      </c>
      <c r="R87" s="1281">
        <f t="shared" si="490"/>
        <v>784.48982685324893</v>
      </c>
      <c r="S87" s="2774">
        <f t="shared" ref="S87:T87" si="491">+S22</f>
        <v>783.9122570588894</v>
      </c>
      <c r="T87" s="2774">
        <f t="shared" si="491"/>
        <v>782.91607838634161</v>
      </c>
      <c r="U87" s="1281">
        <f t="shared" ref="U87:X87" si="492">+U22</f>
        <v>783.91225705888928</v>
      </c>
      <c r="V87" s="1281">
        <f t="shared" si="492"/>
        <v>784.16112079862671</v>
      </c>
      <c r="W87" s="2774">
        <f t="shared" si="492"/>
        <v>783.9122570588894</v>
      </c>
      <c r="X87" s="2774">
        <f t="shared" si="492"/>
        <v>782.30127219945359</v>
      </c>
      <c r="Y87" s="1283">
        <f t="shared" ref="Y87:Z87" si="493">+Y22</f>
        <v>783.91225705888928</v>
      </c>
      <c r="Z87" s="1283">
        <f t="shared" si="493"/>
        <v>782.92498721800678</v>
      </c>
      <c r="AA87" s="1222">
        <f t="shared" si="490"/>
        <v>783.91225705888928</v>
      </c>
      <c r="AB87" s="1222">
        <f t="shared" si="490"/>
        <v>783.84562218551935</v>
      </c>
      <c r="AC87" s="2774">
        <f t="shared" si="490"/>
        <v>779.40144546743261</v>
      </c>
      <c r="AD87" s="2774">
        <f t="shared" si="490"/>
        <v>786.35240856414123</v>
      </c>
      <c r="AE87" s="1281">
        <f t="shared" si="490"/>
        <v>783.91225705888928</v>
      </c>
      <c r="AF87" s="1281">
        <f t="shared" si="490"/>
        <v>784.20759123069945</v>
      </c>
      <c r="AG87" s="2774">
        <f t="shared" ref="AG87:AJ87" si="494">+AG22</f>
        <v>779.40144546743261</v>
      </c>
      <c r="AH87" s="2774">
        <f t="shared" si="494"/>
        <v>786.00401524152903</v>
      </c>
      <c r="AI87" s="1281">
        <f t="shared" si="494"/>
        <v>783.91225705888928</v>
      </c>
      <c r="AJ87" s="1281">
        <f t="shared" si="494"/>
        <v>784.22441213582306</v>
      </c>
      <c r="AK87" s="2774">
        <f t="shared" ref="AK87:AL87" si="495">+AK22</f>
        <v>779.40144546743261</v>
      </c>
      <c r="AL87" s="2774">
        <f t="shared" si="495"/>
        <v>785</v>
      </c>
      <c r="AM87" s="1283">
        <f t="shared" ref="AM87:AN87" si="496">+AM22</f>
        <v>783.91225705888928</v>
      </c>
      <c r="AN87" s="1283">
        <f t="shared" si="496"/>
        <v>785.69677466963947</v>
      </c>
      <c r="AO87" s="1281">
        <f t="shared" ref="AO87:AT87" si="497">+AO22</f>
        <v>783.91225705888928</v>
      </c>
      <c r="AP87" s="1281">
        <f t="shared" si="497"/>
        <v>784.31889888858609</v>
      </c>
      <c r="AQ87" s="2774">
        <f t="shared" si="497"/>
        <v>779.40144546743261</v>
      </c>
      <c r="AR87" s="2774">
        <f t="shared" si="497"/>
        <v>787.86188219363578</v>
      </c>
      <c r="AS87" s="1281">
        <f t="shared" si="497"/>
        <v>783.91225705888928</v>
      </c>
      <c r="AT87" s="1281">
        <f t="shared" si="497"/>
        <v>784.710888639264</v>
      </c>
      <c r="AU87" s="2774">
        <f t="shared" ref="AU87:AX87" si="498">+AU22</f>
        <v>779.40144546743272</v>
      </c>
      <c r="AV87" s="2774">
        <f t="shared" si="498"/>
        <v>789.55267022677435</v>
      </c>
      <c r="AW87" s="1281">
        <f t="shared" si="498"/>
        <v>783.91225705888928</v>
      </c>
      <c r="AX87" s="1281">
        <f t="shared" si="498"/>
        <v>785.16152121632092</v>
      </c>
      <c r="AY87" s="2774">
        <f t="shared" ref="AY87:AZ87" si="499">+AY22</f>
        <v>779.40144546743261</v>
      </c>
      <c r="AZ87" s="2774">
        <f t="shared" si="499"/>
        <v>786.37139651724306</v>
      </c>
      <c r="BA87" s="1283">
        <f t="shared" ref="BA87:BF87" si="500">+BA22</f>
        <v>783.91225705888928</v>
      </c>
      <c r="BB87" s="1283">
        <f t="shared" si="500"/>
        <v>787.83332397311744</v>
      </c>
      <c r="BC87" s="1222">
        <f t="shared" si="500"/>
        <v>783.91225705888928</v>
      </c>
      <c r="BD87" s="1222">
        <f t="shared" si="500"/>
        <v>786.97119114427733</v>
      </c>
      <c r="BE87" s="1281">
        <f t="shared" si="500"/>
        <v>783.91225705888928</v>
      </c>
      <c r="BF87" s="1281">
        <f t="shared" si="500"/>
        <v>785.28281136536464</v>
      </c>
      <c r="BG87" s="26"/>
      <c r="BH87" s="26"/>
      <c r="BI87" s="26"/>
      <c r="BJ87" s="26"/>
      <c r="BK87" s="26"/>
      <c r="BL87" s="26"/>
      <c r="BM87" s="26"/>
      <c r="BN87" s="26"/>
    </row>
    <row r="88" spans="2:66" ht="14.45" x14ac:dyDescent="0.3">
      <c r="B88" s="3287" t="s">
        <v>788</v>
      </c>
      <c r="C88" s="3288" t="s">
        <v>219</v>
      </c>
      <c r="D88" s="2774">
        <f t="shared" ref="D88" si="501">+D23+D52</f>
        <v>64.938026921102121</v>
      </c>
      <c r="E88" s="2774">
        <f t="shared" ref="E88:L88" si="502">+E23+E52</f>
        <v>64.938026921102121</v>
      </c>
      <c r="F88" s="2774">
        <f t="shared" si="502"/>
        <v>64.409781561694061</v>
      </c>
      <c r="G88" s="2774">
        <f t="shared" ref="G88:H88" si="503">+G23+G52</f>
        <v>64.938026921102107</v>
      </c>
      <c r="H88" s="2774">
        <f t="shared" si="503"/>
        <v>59.441720657686616</v>
      </c>
      <c r="I88" s="2772">
        <f t="shared" si="502"/>
        <v>64.938026921102107</v>
      </c>
      <c r="J88" s="3305">
        <f t="shared" si="502"/>
        <v>61.802946527728551</v>
      </c>
      <c r="K88" s="2774">
        <f t="shared" si="502"/>
        <v>64.938026921102121</v>
      </c>
      <c r="L88" s="2774">
        <f t="shared" si="502"/>
        <v>52.001998543614491</v>
      </c>
      <c r="M88" s="1283">
        <f t="shared" ref="M88" si="504">+M23+M52</f>
        <v>64.938026921102121</v>
      </c>
      <c r="N88" s="1283">
        <f t="shared" ref="N88:AF88" si="505">+N23+N52</f>
        <v>58.302085607693115</v>
      </c>
      <c r="O88" s="2774">
        <f t="shared" si="505"/>
        <v>64.938026921102107</v>
      </c>
      <c r="P88" s="2774">
        <f t="shared" si="505"/>
        <v>75.698562669615029</v>
      </c>
      <c r="Q88" s="1281">
        <f t="shared" si="505"/>
        <v>64.938026921102121</v>
      </c>
      <c r="R88" s="1281">
        <f t="shared" si="505"/>
        <v>63.072131847840311</v>
      </c>
      <c r="S88" s="2774">
        <f t="shared" ref="S88:T88" si="506">+S23+S52</f>
        <v>64.938026921102107</v>
      </c>
      <c r="T88" s="2774">
        <f t="shared" si="506"/>
        <v>62.727863478948478</v>
      </c>
      <c r="U88" s="1281">
        <f t="shared" ref="U88:X88" si="507">+U23+U52</f>
        <v>64.938026921102121</v>
      </c>
      <c r="V88" s="1281">
        <f t="shared" si="507"/>
        <v>63.000225123449958</v>
      </c>
      <c r="W88" s="2774">
        <f t="shared" si="507"/>
        <v>64.938026921102121</v>
      </c>
      <c r="X88" s="2774">
        <f t="shared" si="507"/>
        <v>73.207500853825138</v>
      </c>
      <c r="Y88" s="1283">
        <f t="shared" ref="Y88:Z88" si="508">+Y23+Y52</f>
        <v>64.938026921102121</v>
      </c>
      <c r="Z88" s="1283">
        <f t="shared" si="508"/>
        <v>70.591207199787533</v>
      </c>
      <c r="AA88" s="1222">
        <f t="shared" si="505"/>
        <v>64.938026921102121</v>
      </c>
      <c r="AB88" s="1222">
        <f t="shared" si="505"/>
        <v>64.731753882280302</v>
      </c>
      <c r="AC88" s="2774">
        <f t="shared" si="505"/>
        <v>84.940005073175669</v>
      </c>
      <c r="AD88" s="2774">
        <f t="shared" si="505"/>
        <v>68.047535650396796</v>
      </c>
      <c r="AE88" s="1281">
        <f t="shared" si="505"/>
        <v>64.938026921102121</v>
      </c>
      <c r="AF88" s="1281">
        <f t="shared" si="505"/>
        <v>65.210538341485332</v>
      </c>
      <c r="AG88" s="2774">
        <f t="shared" ref="AG88:AJ88" si="509">+AG23+AG52</f>
        <v>84.940005073175683</v>
      </c>
      <c r="AH88" s="2774">
        <f t="shared" si="509"/>
        <v>72.274347523251521</v>
      </c>
      <c r="AI88" s="1281">
        <f t="shared" si="509"/>
        <v>64.938026921102121</v>
      </c>
      <c r="AJ88" s="1281">
        <f t="shared" si="509"/>
        <v>65.276680668319656</v>
      </c>
      <c r="AK88" s="2774">
        <f t="shared" ref="AK88:AL88" si="510">+AK23+AK52</f>
        <v>84.940005073175669</v>
      </c>
      <c r="AL88" s="2774">
        <f t="shared" si="510"/>
        <v>82.96921494231259</v>
      </c>
      <c r="AM88" s="1283">
        <f t="shared" ref="AM88:AN88" si="511">+AM23+AM52</f>
        <v>64.938026921102121</v>
      </c>
      <c r="AN88" s="1283">
        <f t="shared" si="511"/>
        <v>75.293726972279771</v>
      </c>
      <c r="AO88" s="1281">
        <f t="shared" ref="AO88:AT88" si="512">+AO23+AO52</f>
        <v>64.938026921102121</v>
      </c>
      <c r="AP88" s="1281">
        <f t="shared" si="512"/>
        <v>67.43209102079004</v>
      </c>
      <c r="AQ88" s="2774">
        <f t="shared" si="512"/>
        <v>84.940005073175669</v>
      </c>
      <c r="AR88" s="2774">
        <f t="shared" si="512"/>
        <v>78.20176032498307</v>
      </c>
      <c r="AS88" s="1281">
        <f t="shared" si="512"/>
        <v>64.938026921102121</v>
      </c>
      <c r="AT88" s="1281">
        <f t="shared" si="512"/>
        <v>68.623629230811176</v>
      </c>
      <c r="AU88" s="2774">
        <f t="shared" ref="AU88:AX88" si="513">+AU23+AU52</f>
        <v>84.940005073175683</v>
      </c>
      <c r="AV88" s="2774">
        <f t="shared" si="513"/>
        <v>56.706734910174923</v>
      </c>
      <c r="AW88" s="1281">
        <f t="shared" si="513"/>
        <v>64.938026921102121</v>
      </c>
      <c r="AX88" s="1281">
        <f t="shared" si="513"/>
        <v>67.514504273155893</v>
      </c>
      <c r="AY88" s="2774">
        <f t="shared" ref="AY88:AZ88" si="514">+AY23+AY52</f>
        <v>84.940005073175669</v>
      </c>
      <c r="AZ88" s="2774">
        <f t="shared" si="514"/>
        <v>69.886834788546906</v>
      </c>
      <c r="BA88" s="1283">
        <f t="shared" ref="BA88:BF88" si="515">+BA23+BA52</f>
        <v>64.938026921102121</v>
      </c>
      <c r="BB88" s="1283">
        <f t="shared" si="515"/>
        <v>68.599684961877188</v>
      </c>
      <c r="BC88" s="1222">
        <f t="shared" si="515"/>
        <v>64.938026921102121</v>
      </c>
      <c r="BD88" s="1222">
        <f t="shared" si="515"/>
        <v>71.300841151163141</v>
      </c>
      <c r="BE88" s="1281">
        <f t="shared" si="515"/>
        <v>64.938026921102121</v>
      </c>
      <c r="BF88" s="1281">
        <f t="shared" si="515"/>
        <v>67.752330701692188</v>
      </c>
      <c r="BG88" s="26"/>
      <c r="BH88" s="26"/>
      <c r="BI88" s="26"/>
      <c r="BJ88" s="26"/>
      <c r="BK88" s="26"/>
      <c r="BL88" s="26"/>
      <c r="BM88" s="26"/>
      <c r="BN88" s="26"/>
    </row>
    <row r="89" spans="2:66" ht="14.45" x14ac:dyDescent="0.3">
      <c r="B89" s="3287" t="s">
        <v>787</v>
      </c>
      <c r="C89" s="3288" t="s">
        <v>219</v>
      </c>
      <c r="D89" s="2774">
        <f t="shared" ref="D89" si="516">+D24+D53</f>
        <v>99.857531963581536</v>
      </c>
      <c r="E89" s="2774">
        <f t="shared" ref="E89:L89" si="517">+E24+E53</f>
        <v>99.85753196358155</v>
      </c>
      <c r="F89" s="2774">
        <f t="shared" si="517"/>
        <v>99.453127427523839</v>
      </c>
      <c r="G89" s="2774">
        <f t="shared" ref="G89:H89" si="518">+G24+G53</f>
        <v>99.85753196358155</v>
      </c>
      <c r="H89" s="2774">
        <f t="shared" si="518"/>
        <v>96.927718642522223</v>
      </c>
      <c r="I89" s="2772">
        <f t="shared" si="517"/>
        <v>99.85753196358155</v>
      </c>
      <c r="J89" s="3305">
        <f t="shared" si="517"/>
        <v>98.127997920654053</v>
      </c>
      <c r="K89" s="2774">
        <f t="shared" si="517"/>
        <v>99.85753196358155</v>
      </c>
      <c r="L89" s="2774">
        <f t="shared" si="517"/>
        <v>90.357027060067935</v>
      </c>
      <c r="M89" s="1283">
        <f t="shared" ref="M89" si="519">+M24+M53</f>
        <v>99.857531963581536</v>
      </c>
      <c r="N89" s="1283">
        <f t="shared" ref="N89:AF89" si="520">+N24+N53</f>
        <v>95.35223702072318</v>
      </c>
      <c r="O89" s="2774">
        <f t="shared" si="520"/>
        <v>99.857531963581565</v>
      </c>
      <c r="P89" s="2774">
        <f t="shared" si="520"/>
        <v>94.408985827721381</v>
      </c>
      <c r="Q89" s="1281">
        <f t="shared" si="520"/>
        <v>99.857531963581536</v>
      </c>
      <c r="R89" s="1281">
        <f t="shared" si="520"/>
        <v>95.093601218159392</v>
      </c>
      <c r="S89" s="2774">
        <f t="shared" ref="S89:T89" si="521">+S24+S53</f>
        <v>99.857531963581565</v>
      </c>
      <c r="T89" s="2774">
        <f t="shared" si="521"/>
        <v>98.653631853520153</v>
      </c>
      <c r="U89" s="1281">
        <f t="shared" ref="U89:X89" si="522">+U24+U53</f>
        <v>99.857531963581536</v>
      </c>
      <c r="V89" s="1281">
        <f t="shared" si="522"/>
        <v>95.837178510903783</v>
      </c>
      <c r="W89" s="2774">
        <f t="shared" si="522"/>
        <v>99.857531963581565</v>
      </c>
      <c r="X89" s="2774">
        <f t="shared" si="522"/>
        <v>96.111360143442624</v>
      </c>
      <c r="Y89" s="1283">
        <f t="shared" ref="Y89:Z89" si="523">+Y24+Y53</f>
        <v>99.857531963581536</v>
      </c>
      <c r="Z89" s="1283">
        <f t="shared" si="523"/>
        <v>96.368010671991129</v>
      </c>
      <c r="AA89" s="1222">
        <f t="shared" si="520"/>
        <v>99.857531963581536</v>
      </c>
      <c r="AB89" s="1222">
        <f t="shared" si="520"/>
        <v>95.883689783296589</v>
      </c>
      <c r="AC89" s="2774">
        <f t="shared" si="520"/>
        <v>89.796141662046978</v>
      </c>
      <c r="AD89" s="2774">
        <f t="shared" si="520"/>
        <v>101.97475171446426</v>
      </c>
      <c r="AE89" s="1281">
        <f t="shared" si="520"/>
        <v>99.857531963581536</v>
      </c>
      <c r="AF89" s="1281">
        <f t="shared" si="520"/>
        <v>96.763212621844247</v>
      </c>
      <c r="AG89" s="2774">
        <f t="shared" ref="AG89:AJ89" si="524">+AG24+AG53</f>
        <v>89.796141662047006</v>
      </c>
      <c r="AH89" s="2774">
        <f t="shared" si="524"/>
        <v>98.947023394927669</v>
      </c>
      <c r="AI89" s="1281">
        <f t="shared" si="524"/>
        <v>99.857531963581536</v>
      </c>
      <c r="AJ89" s="1281">
        <f t="shared" si="524"/>
        <v>96.783660842086434</v>
      </c>
      <c r="AK89" s="2774">
        <f t="shared" ref="AK89:AL89" si="525">+AK24+AK53</f>
        <v>89.796141662046978</v>
      </c>
      <c r="AL89" s="2774">
        <f t="shared" si="525"/>
        <v>101.49777104235572</v>
      </c>
      <c r="AM89" s="1283">
        <f t="shared" ref="AM89:AN89" si="526">+AM24+AM53</f>
        <v>99.857531963581536</v>
      </c>
      <c r="AN89" s="1283">
        <f t="shared" si="526"/>
        <v>101.65008934360127</v>
      </c>
      <c r="AO89" s="1281">
        <f t="shared" ref="AO89:AT89" si="527">+AO24+AO53</f>
        <v>99.857531963581536</v>
      </c>
      <c r="AP89" s="1281">
        <f t="shared" si="527"/>
        <v>97.357961943951906</v>
      </c>
      <c r="AQ89" s="2774">
        <f t="shared" si="527"/>
        <v>89.796141662046978</v>
      </c>
      <c r="AR89" s="2774">
        <f t="shared" si="527"/>
        <v>99.591062965470556</v>
      </c>
      <c r="AS89" s="1281">
        <f t="shared" si="527"/>
        <v>99.857531963581536</v>
      </c>
      <c r="AT89" s="1281">
        <f t="shared" si="527"/>
        <v>97.605028508283709</v>
      </c>
      <c r="AU89" s="2774">
        <f t="shared" ref="AU89:AX89" si="528">+AU24+AU53</f>
        <v>89.796141662047006</v>
      </c>
      <c r="AV89" s="2774">
        <f t="shared" si="528"/>
        <v>94.044070201664809</v>
      </c>
      <c r="AW89" s="1281">
        <f t="shared" si="528"/>
        <v>99.857531963581536</v>
      </c>
      <c r="AX89" s="1281">
        <f t="shared" si="528"/>
        <v>97.273604260927456</v>
      </c>
      <c r="AY89" s="2774">
        <f t="shared" ref="AY89:AZ89" si="529">+AY24+AY53</f>
        <v>89.796141662046978</v>
      </c>
      <c r="AZ89" s="2774">
        <f t="shared" si="529"/>
        <v>98.392761328715679</v>
      </c>
      <c r="BA89" s="1283">
        <f t="shared" ref="BA89:BF89" si="530">+BA24+BA53</f>
        <v>99.857531963581536</v>
      </c>
      <c r="BB89" s="1283">
        <f t="shared" si="530"/>
        <v>97.459459122154385</v>
      </c>
      <c r="BC89" s="1222">
        <f t="shared" si="530"/>
        <v>99.857531963581536</v>
      </c>
      <c r="BD89" s="1222">
        <f t="shared" si="530"/>
        <v>99.150447428185231</v>
      </c>
      <c r="BE89" s="1281">
        <f t="shared" si="530"/>
        <v>99.857531963581536</v>
      </c>
      <c r="BF89" s="1281">
        <f t="shared" si="530"/>
        <v>97.385799895842752</v>
      </c>
      <c r="BG89" s="26"/>
      <c r="BH89" s="26"/>
      <c r="BI89" s="26"/>
      <c r="BJ89" s="26"/>
      <c r="BK89" s="26"/>
      <c r="BL89" s="26"/>
      <c r="BM89" s="26"/>
      <c r="BN89" s="26"/>
    </row>
    <row r="90" spans="2:66" ht="14.45" x14ac:dyDescent="0.3">
      <c r="B90" s="3287" t="s">
        <v>98</v>
      </c>
      <c r="C90" s="3288" t="s">
        <v>219</v>
      </c>
      <c r="D90" s="2774">
        <f t="shared" ref="D90" si="531">+D34</f>
        <v>170.09827454020316</v>
      </c>
      <c r="E90" s="2774">
        <f t="shared" ref="E90:L90" si="532">+E34</f>
        <v>170.3275582653896</v>
      </c>
      <c r="F90" s="2774">
        <f t="shared" si="532"/>
        <v>186.74455457850416</v>
      </c>
      <c r="G90" s="2774">
        <f t="shared" ref="G90:H90" si="533">+G34</f>
        <v>170.60964576248358</v>
      </c>
      <c r="H90" s="2774">
        <f t="shared" si="533"/>
        <v>184.72527905523688</v>
      </c>
      <c r="I90" s="2772">
        <f t="shared" si="532"/>
        <v>170.47068915152471</v>
      </c>
      <c r="J90" s="3305">
        <f t="shared" si="532"/>
        <v>185.68500271732711</v>
      </c>
      <c r="K90" s="2774">
        <f t="shared" si="532"/>
        <v>170.3275582653896</v>
      </c>
      <c r="L90" s="2774">
        <f t="shared" si="532"/>
        <v>195.28853973434252</v>
      </c>
      <c r="M90" s="1283">
        <f t="shared" ref="M90" si="534">+M34</f>
        <v>170.09827454020316</v>
      </c>
      <c r="N90" s="1283">
        <f t="shared" ref="N90:AF90" si="535">+N34</f>
        <v>189.11534919926714</v>
      </c>
      <c r="O90" s="2774">
        <f t="shared" si="535"/>
        <v>170.43530503385097</v>
      </c>
      <c r="P90" s="2774">
        <f t="shared" si="535"/>
        <v>199.75123127952557</v>
      </c>
      <c r="Q90" s="1281">
        <f t="shared" si="535"/>
        <v>170.42641790757546</v>
      </c>
      <c r="R90" s="1281">
        <f t="shared" si="535"/>
        <v>192.03166663221646</v>
      </c>
      <c r="S90" s="2774">
        <f t="shared" ref="S90:T90" si="536">+S34</f>
        <v>170.43530503385097</v>
      </c>
      <c r="T90" s="2774">
        <f t="shared" si="536"/>
        <v>199.84915666046416</v>
      </c>
      <c r="U90" s="1281">
        <f t="shared" ref="U90:X90" si="537">+U34</f>
        <v>170.4281966537942</v>
      </c>
      <c r="V90" s="1281">
        <f t="shared" si="537"/>
        <v>193.66449192689868</v>
      </c>
      <c r="W90" s="2774">
        <f t="shared" si="537"/>
        <v>169.59847764614028</v>
      </c>
      <c r="X90" s="2774">
        <f t="shared" si="537"/>
        <v>200.57953381147541</v>
      </c>
      <c r="Y90" s="1283">
        <f t="shared" ref="Y90:Z90" si="538">+Y34</f>
        <v>170.25436824508225</v>
      </c>
      <c r="Z90" s="1283">
        <f t="shared" si="538"/>
        <v>200.05225261544237</v>
      </c>
      <c r="AA90" s="1222">
        <f t="shared" si="535"/>
        <v>170.34568432376534</v>
      </c>
      <c r="AB90" s="1222">
        <f t="shared" si="535"/>
        <v>194.83753693988186</v>
      </c>
      <c r="AC90" s="2774">
        <f t="shared" si="535"/>
        <v>166.62574023223934</v>
      </c>
      <c r="AD90" s="2774">
        <f t="shared" si="535"/>
        <v>191.14298511225482</v>
      </c>
      <c r="AE90" s="1281">
        <f t="shared" si="535"/>
        <v>169.74384325230224</v>
      </c>
      <c r="AF90" s="1281">
        <f t="shared" si="535"/>
        <v>194.30405973224279</v>
      </c>
      <c r="AG90" s="2774">
        <f t="shared" ref="AG90:AJ90" si="539">+AG34</f>
        <v>165.66779334411157</v>
      </c>
      <c r="AH90" s="2774">
        <f t="shared" si="539"/>
        <v>168.066538288196</v>
      </c>
      <c r="AI90" s="1281">
        <f t="shared" si="539"/>
        <v>169.18916996916215</v>
      </c>
      <c r="AJ90" s="1281">
        <f t="shared" si="539"/>
        <v>194.05838340180702</v>
      </c>
      <c r="AK90" s="2774">
        <f t="shared" ref="AK90:AL90" si="540">+AK34</f>
        <v>166.62574023223934</v>
      </c>
      <c r="AL90" s="2774">
        <f t="shared" si="540"/>
        <v>185.7916394730147</v>
      </c>
      <c r="AM90" s="1283">
        <f t="shared" ref="AM90:AN90" si="541">+AM34</f>
        <v>166.31209503731358</v>
      </c>
      <c r="AN90" s="1283">
        <f t="shared" si="541"/>
        <v>187.85085153149163</v>
      </c>
      <c r="AO90" s="1281">
        <f t="shared" ref="AO90:AT90" si="542">+AO34</f>
        <v>168.87481375734188</v>
      </c>
      <c r="AP90" s="1281">
        <f t="shared" si="542"/>
        <v>193.05127920919102</v>
      </c>
      <c r="AQ90" s="2774">
        <f t="shared" si="542"/>
        <v>166.62574023223934</v>
      </c>
      <c r="AR90" s="2774">
        <f t="shared" si="542"/>
        <v>184.80162491536899</v>
      </c>
      <c r="AS90" s="1281">
        <f t="shared" si="542"/>
        <v>168.6291352232017</v>
      </c>
      <c r="AT90" s="1281">
        <f t="shared" si="542"/>
        <v>192.13855124764379</v>
      </c>
      <c r="AU90" s="2774">
        <f t="shared" ref="AU90:AX90" si="543">+AU34</f>
        <v>165.34942539688862</v>
      </c>
      <c r="AV90" s="2774">
        <f t="shared" si="543"/>
        <v>204.40643622317145</v>
      </c>
      <c r="AW90" s="1281">
        <f t="shared" si="543"/>
        <v>168.33350063789231</v>
      </c>
      <c r="AX90" s="1281">
        <f t="shared" si="543"/>
        <v>193.28034348292775</v>
      </c>
      <c r="AY90" s="2774">
        <f t="shared" ref="AY90:AZ90" si="544">+AY34</f>
        <v>166.62574023223934</v>
      </c>
      <c r="AZ90" s="2774">
        <f t="shared" si="544"/>
        <v>201.84381249695139</v>
      </c>
      <c r="BA90" s="1283">
        <f t="shared" ref="BA90:BF90" si="545">+BA34</f>
        <v>166.22753898683573</v>
      </c>
      <c r="BB90" s="1283">
        <f t="shared" si="545"/>
        <v>197.01649804906356</v>
      </c>
      <c r="BC90" s="1222">
        <f t="shared" si="545"/>
        <v>166.27029619270033</v>
      </c>
      <c r="BD90" s="1222">
        <f t="shared" si="545"/>
        <v>193.3180087385285</v>
      </c>
      <c r="BE90" s="1281">
        <f t="shared" si="545"/>
        <v>168.17911265342906</v>
      </c>
      <c r="BF90" s="1281">
        <f t="shared" si="545"/>
        <v>194.13883231417344</v>
      </c>
      <c r="BG90" s="26"/>
      <c r="BH90" s="26"/>
      <c r="BI90" s="26"/>
      <c r="BJ90" s="26"/>
      <c r="BK90" s="26"/>
      <c r="BL90" s="26"/>
      <c r="BM90" s="26"/>
      <c r="BN90" s="26"/>
    </row>
    <row r="91" spans="2:66" ht="14.45" x14ac:dyDescent="0.3">
      <c r="B91" s="3287" t="s">
        <v>1463</v>
      </c>
      <c r="C91" s="3288" t="s">
        <v>219</v>
      </c>
      <c r="D91" s="3320">
        <f t="shared" ref="D91" si="546">+D26</f>
        <v>0.4</v>
      </c>
      <c r="E91" s="3320">
        <f t="shared" ref="E91:L91" si="547">+E26</f>
        <v>0.39999999999999997</v>
      </c>
      <c r="F91" s="3320">
        <f t="shared" si="547"/>
        <v>2.1843830593791753</v>
      </c>
      <c r="G91" s="3320">
        <f t="shared" ref="G91:H91" si="548">+G26</f>
        <v>0.39999999999999997</v>
      </c>
      <c r="H91" s="3320">
        <f t="shared" si="548"/>
        <v>1.4607127377528104</v>
      </c>
      <c r="I91" s="5437">
        <f t="shared" si="547"/>
        <v>0.39999999999999991</v>
      </c>
      <c r="J91" s="3292">
        <f t="shared" si="547"/>
        <v>1.8046596252451503</v>
      </c>
      <c r="K91" s="3320">
        <f t="shared" si="547"/>
        <v>0.39999999999999997</v>
      </c>
      <c r="L91" s="3320">
        <f t="shared" si="547"/>
        <v>1.0471092873810042</v>
      </c>
      <c r="M91" s="1283">
        <f t="shared" ref="M91" si="549">+M26</f>
        <v>0.39999999999999986</v>
      </c>
      <c r="N91" s="1295">
        <f t="shared" ref="N91:AF91" si="550">+N26</f>
        <v>1.5340655585194749</v>
      </c>
      <c r="O91" s="3320">
        <f t="shared" si="550"/>
        <v>0.39999999999999997</v>
      </c>
      <c r="P91" s="3320">
        <f t="shared" si="550"/>
        <v>2.3419439139612024</v>
      </c>
      <c r="Q91" s="1281">
        <f t="shared" si="550"/>
        <v>0.4</v>
      </c>
      <c r="R91" s="1281">
        <f t="shared" si="550"/>
        <v>1.7555826563867241</v>
      </c>
      <c r="S91" s="3320">
        <f t="shared" ref="S91:T91" si="551">+S26</f>
        <v>0.39999999999999997</v>
      </c>
      <c r="T91" s="3320">
        <f t="shared" si="551"/>
        <v>1.8998953491710142</v>
      </c>
      <c r="U91" s="1281">
        <f t="shared" ref="U91:X91" si="552">+U26</f>
        <v>0.4</v>
      </c>
      <c r="V91" s="1281">
        <f t="shared" si="552"/>
        <v>1.7857249929001624</v>
      </c>
      <c r="W91" s="3320">
        <f t="shared" si="552"/>
        <v>0.40000000000000008</v>
      </c>
      <c r="X91" s="3320">
        <f t="shared" si="552"/>
        <v>0</v>
      </c>
      <c r="Y91" s="1283">
        <f t="shared" ref="Y91:Z91" si="553">+Y26</f>
        <v>0.4</v>
      </c>
      <c r="Z91" s="1295">
        <f t="shared" si="553"/>
        <v>1.4360818151382055</v>
      </c>
      <c r="AA91" s="1222">
        <f t="shared" si="550"/>
        <v>0.4</v>
      </c>
      <c r="AB91" s="1222">
        <f t="shared" si="550"/>
        <v>1.4828004651177527</v>
      </c>
      <c r="AC91" s="3320">
        <f t="shared" si="550"/>
        <v>0</v>
      </c>
      <c r="AD91" s="3320">
        <f t="shared" si="550"/>
        <v>0.98965555159216523</v>
      </c>
      <c r="AE91" s="1281">
        <f t="shared" si="550"/>
        <v>0</v>
      </c>
      <c r="AF91" s="1281">
        <f t="shared" si="550"/>
        <v>1.4115924854483983</v>
      </c>
      <c r="AG91" s="3320">
        <f t="shared" ref="AG91:AJ91" si="554">+AG26</f>
        <v>0</v>
      </c>
      <c r="AH91" s="3320">
        <f t="shared" si="554"/>
        <v>0</v>
      </c>
      <c r="AI91" s="1281">
        <f t="shared" si="554"/>
        <v>0</v>
      </c>
      <c r="AJ91" s="1281">
        <f t="shared" si="554"/>
        <v>1.3983749693565981</v>
      </c>
      <c r="AK91" s="3320">
        <f t="shared" ref="AK91:AL91" si="555">+AK26</f>
        <v>0</v>
      </c>
      <c r="AL91" s="3320">
        <f t="shared" si="555"/>
        <v>0</v>
      </c>
      <c r="AM91" s="1283">
        <f t="shared" ref="AM91:AN91" si="556">+AM26</f>
        <v>0</v>
      </c>
      <c r="AN91" s="1295">
        <f t="shared" si="556"/>
        <v>0.48625057322222048</v>
      </c>
      <c r="AO91" s="1281">
        <f t="shared" ref="AO91:AT91" si="557">+AO26</f>
        <v>0</v>
      </c>
      <c r="AP91" s="1281">
        <f t="shared" si="557"/>
        <v>1.2280165662635383</v>
      </c>
      <c r="AQ91" s="3320">
        <f t="shared" si="557"/>
        <v>0</v>
      </c>
      <c r="AR91" s="3320">
        <f t="shared" si="557"/>
        <v>0.27352742044685174</v>
      </c>
      <c r="AS91" s="1281">
        <f t="shared" si="557"/>
        <v>0</v>
      </c>
      <c r="AT91" s="1281">
        <f t="shared" si="557"/>
        <v>1.1224134826249135</v>
      </c>
      <c r="AU91" s="3294">
        <f t="shared" ref="AU91:AX91" si="558">+AU26</f>
        <v>0</v>
      </c>
      <c r="AV91" s="3294">
        <f t="shared" si="558"/>
        <v>0.29197165539169456</v>
      </c>
      <c r="AW91" s="1281">
        <f t="shared" si="558"/>
        <v>0</v>
      </c>
      <c r="AX91" s="1281">
        <f t="shared" si="558"/>
        <v>1.0451228956915175</v>
      </c>
      <c r="AY91" s="3294">
        <f t="shared" ref="AY91:AZ91" si="559">+AY26</f>
        <v>0</v>
      </c>
      <c r="AZ91" s="3294">
        <f t="shared" si="559"/>
        <v>1.063362762792059</v>
      </c>
      <c r="BA91" s="1283">
        <f t="shared" ref="BA91:BF91" si="560">+BA26</f>
        <v>0</v>
      </c>
      <c r="BB91" s="1295">
        <f t="shared" si="560"/>
        <v>0.56785309631483849</v>
      </c>
      <c r="BC91" s="1222">
        <f t="shared" si="560"/>
        <v>0</v>
      </c>
      <c r="BD91" s="1222">
        <f t="shared" si="560"/>
        <v>0.53492513440924538</v>
      </c>
      <c r="BE91" s="1281">
        <f t="shared" si="560"/>
        <v>0</v>
      </c>
      <c r="BF91" s="1281">
        <f t="shared" si="560"/>
        <v>1.046951444631623</v>
      </c>
      <c r="BG91" s="26"/>
      <c r="BH91" s="26"/>
      <c r="BI91" s="26"/>
      <c r="BJ91" s="26"/>
      <c r="BK91" s="26"/>
      <c r="BL91" s="26"/>
      <c r="BM91" s="26"/>
      <c r="BN91" s="26"/>
    </row>
    <row r="92" spans="2:66" ht="14.45" x14ac:dyDescent="0.3">
      <c r="B92" s="3287" t="s">
        <v>556</v>
      </c>
      <c r="C92" s="3288" t="s">
        <v>219</v>
      </c>
      <c r="D92" s="3320">
        <f t="shared" ref="D92" si="561">+D27</f>
        <v>14.559999999999999</v>
      </c>
      <c r="E92" s="3320">
        <f t="shared" ref="E92:L92" si="562">+E27</f>
        <v>14.56</v>
      </c>
      <c r="F92" s="3320">
        <f t="shared" si="562"/>
        <v>17.310381257185469</v>
      </c>
      <c r="G92" s="3320">
        <f t="shared" ref="G92:H92" si="563">+G27</f>
        <v>14.56</v>
      </c>
      <c r="H92" s="3320">
        <f t="shared" si="563"/>
        <v>15.555605590673954</v>
      </c>
      <c r="I92" s="5437">
        <f t="shared" si="562"/>
        <v>14.56</v>
      </c>
      <c r="J92" s="3292">
        <f t="shared" si="562"/>
        <v>16.389617447602845</v>
      </c>
      <c r="K92" s="3320">
        <f t="shared" si="562"/>
        <v>14.56</v>
      </c>
      <c r="L92" s="3320">
        <f t="shared" si="562"/>
        <v>17.970946703731855</v>
      </c>
      <c r="M92" s="1283">
        <f t="shared" ref="M92" si="564">+M27</f>
        <v>14.559999999999999</v>
      </c>
      <c r="N92" s="1283">
        <f t="shared" ref="N92:P94" si="565">+N27</f>
        <v>16.954462175221423</v>
      </c>
      <c r="O92" s="3320">
        <f t="shared" si="565"/>
        <v>14.560000000000002</v>
      </c>
      <c r="P92" s="3320">
        <f t="shared" si="565"/>
        <v>14.164740174891948</v>
      </c>
      <c r="Q92" s="1281">
        <f t="shared" ref="Q92:T92" si="566">+Q27</f>
        <v>14.559999999999999</v>
      </c>
      <c r="R92" s="1297">
        <f t="shared" si="566"/>
        <v>16.189531270454811</v>
      </c>
      <c r="S92" s="3320">
        <f t="shared" si="566"/>
        <v>14.560000000000002</v>
      </c>
      <c r="T92" s="3320">
        <f t="shared" si="566"/>
        <v>16.814595789435224</v>
      </c>
      <c r="U92" s="1281">
        <f t="shared" ref="U92:X92" si="567">+U27</f>
        <v>14.559999999999999</v>
      </c>
      <c r="V92" s="1281">
        <f t="shared" si="567"/>
        <v>16.320087389325661</v>
      </c>
      <c r="W92" s="3320">
        <f t="shared" si="567"/>
        <v>14.56</v>
      </c>
      <c r="X92" s="3320">
        <f t="shared" si="567"/>
        <v>14.298902834699454</v>
      </c>
      <c r="Y92" s="1283">
        <f t="shared" ref="Y92:Z92" si="568">+Y27</f>
        <v>14.559999999999999</v>
      </c>
      <c r="Z92" s="1295">
        <f t="shared" si="568"/>
        <v>15.086645044695883</v>
      </c>
      <c r="AA92" s="1222">
        <f t="shared" ref="AA92:AF92" si="569">+AA27</f>
        <v>14.559999999999999</v>
      </c>
      <c r="AB92" s="1222">
        <f t="shared" si="569"/>
        <v>15.977220274173247</v>
      </c>
      <c r="AC92" s="3320">
        <f t="shared" si="569"/>
        <v>8.9999999999999982</v>
      </c>
      <c r="AD92" s="3320">
        <f t="shared" si="569"/>
        <v>12.57854888067007</v>
      </c>
      <c r="AE92" s="1297">
        <f t="shared" si="569"/>
        <v>14.559999999999999</v>
      </c>
      <c r="AF92" s="1297">
        <f t="shared" si="569"/>
        <v>15.48646691374376</v>
      </c>
      <c r="AG92" s="3320">
        <f t="shared" ref="AG92:AJ92" si="570">+AG27</f>
        <v>9</v>
      </c>
      <c r="AH92" s="3320">
        <f t="shared" si="570"/>
        <v>5.6950874749047404</v>
      </c>
      <c r="AI92" s="1297">
        <f t="shared" si="570"/>
        <v>14.559999999999999</v>
      </c>
      <c r="AJ92" s="1297">
        <f t="shared" si="570"/>
        <v>15.394784847830332</v>
      </c>
      <c r="AK92" s="3320">
        <f t="shared" ref="AK92:AL92" si="571">+AK27</f>
        <v>8.9999999999999982</v>
      </c>
      <c r="AL92" s="3320">
        <f t="shared" si="571"/>
        <v>11.92741230738598</v>
      </c>
      <c r="AM92" s="1283">
        <f t="shared" ref="AM92:AN92" si="572">+AM27</f>
        <v>14.559999999999999</v>
      </c>
      <c r="AN92" s="1295">
        <f t="shared" si="572"/>
        <v>12.046890895386285</v>
      </c>
      <c r="AO92" s="1297">
        <f t="shared" ref="AO92:AT92" si="573">+AO27</f>
        <v>14.559999999999999</v>
      </c>
      <c r="AP92" s="1297">
        <f t="shared" si="573"/>
        <v>14.97236878499805</v>
      </c>
      <c r="AQ92" s="3320">
        <f t="shared" si="573"/>
        <v>8.9999999999999982</v>
      </c>
      <c r="AR92" s="3320">
        <f t="shared" si="573"/>
        <v>14.49424509140149</v>
      </c>
      <c r="AS92" s="1297">
        <f t="shared" si="573"/>
        <v>14.559999999999999</v>
      </c>
      <c r="AT92" s="1297">
        <f t="shared" si="573"/>
        <v>14.919469978735268</v>
      </c>
      <c r="AU92" s="3294">
        <f t="shared" ref="AU92:AX92" si="574">+AU27</f>
        <v>9</v>
      </c>
      <c r="AV92" s="3294">
        <f t="shared" si="574"/>
        <v>11.597114152158108</v>
      </c>
      <c r="AW92" s="1297">
        <f t="shared" si="574"/>
        <v>14.559999999999999</v>
      </c>
      <c r="AX92" s="1297">
        <f t="shared" si="574"/>
        <v>14.610252856696423</v>
      </c>
      <c r="AY92" s="3294">
        <f t="shared" ref="AY92:AZ92" si="575">+AY27</f>
        <v>8.9999999999999982</v>
      </c>
      <c r="AZ92" s="3294">
        <f t="shared" si="575"/>
        <v>15.711428710794596</v>
      </c>
      <c r="BA92" s="1283">
        <f t="shared" ref="BA92:BF92" si="576">+BA27</f>
        <v>14.559999999999999</v>
      </c>
      <c r="BB92" s="1295">
        <f t="shared" si="576"/>
        <v>14.054586996074949</v>
      </c>
      <c r="BC92" s="1222">
        <f t="shared" si="576"/>
        <v>14.559999999999999</v>
      </c>
      <c r="BD92" s="1222">
        <f t="shared" si="576"/>
        <v>13.244448556526326</v>
      </c>
      <c r="BE92" s="1297">
        <f t="shared" si="576"/>
        <v>14.559999999999999</v>
      </c>
      <c r="BF92" s="1297">
        <f t="shared" si="576"/>
        <v>14.720645872708113</v>
      </c>
      <c r="BG92" s="26"/>
      <c r="BH92" s="26"/>
      <c r="BI92" s="26"/>
      <c r="BJ92" s="26"/>
      <c r="BK92" s="26"/>
      <c r="BL92" s="26"/>
      <c r="BM92" s="26"/>
      <c r="BN92" s="26"/>
    </row>
    <row r="93" spans="2:66" ht="14.45" x14ac:dyDescent="0.3">
      <c r="B93" s="3287" t="s">
        <v>41</v>
      </c>
      <c r="C93" s="3288" t="s">
        <v>219</v>
      </c>
      <c r="D93" s="3320">
        <f t="shared" ref="D93" si="577">+D28</f>
        <v>10.41458922319562</v>
      </c>
      <c r="E93" s="3320">
        <f t="shared" ref="E93:L93" si="578">+E28</f>
        <v>10.414589223195621</v>
      </c>
      <c r="F93" s="3320">
        <f t="shared" si="578"/>
        <v>0</v>
      </c>
      <c r="G93" s="3320">
        <f t="shared" ref="G93:H93" si="579">+G28</f>
        <v>10.414589223195623</v>
      </c>
      <c r="H93" s="3320">
        <f t="shared" si="579"/>
        <v>0</v>
      </c>
      <c r="I93" s="5437">
        <f t="shared" si="578"/>
        <v>10.414589223195621</v>
      </c>
      <c r="J93" s="3292">
        <f t="shared" si="578"/>
        <v>0</v>
      </c>
      <c r="K93" s="3320">
        <f t="shared" si="578"/>
        <v>10.414589223195621</v>
      </c>
      <c r="L93" s="3320">
        <f t="shared" si="578"/>
        <v>4.6668119508655925</v>
      </c>
      <c r="M93" s="1283">
        <f t="shared" ref="M93" si="580">+M28</f>
        <v>10.41458922319562</v>
      </c>
      <c r="N93" s="1295">
        <f t="shared" si="565"/>
        <v>1.6669672776981421</v>
      </c>
      <c r="O93" s="3320">
        <f t="shared" si="565"/>
        <v>10.414589223195621</v>
      </c>
      <c r="P93" s="3320">
        <f t="shared" si="565"/>
        <v>5.9227057995778472</v>
      </c>
      <c r="Q93" s="1281">
        <f t="shared" ref="Q93:T94" si="581">+Q28</f>
        <v>10.41458922319562</v>
      </c>
      <c r="R93" s="1297">
        <f t="shared" si="581"/>
        <v>2.8338742016164038</v>
      </c>
      <c r="S93" s="3320">
        <f t="shared" si="581"/>
        <v>10.414589223195621</v>
      </c>
      <c r="T93" s="3320">
        <f t="shared" si="581"/>
        <v>9.9196459096140455</v>
      </c>
      <c r="U93" s="1281">
        <f t="shared" ref="U93:X93" si="582">+U28</f>
        <v>10.41458922319562</v>
      </c>
      <c r="V93" s="1281">
        <f t="shared" si="582"/>
        <v>4.3138667868778642</v>
      </c>
      <c r="W93" s="3320">
        <f t="shared" si="582"/>
        <v>10.414589223195623</v>
      </c>
      <c r="X93" s="3320">
        <f t="shared" si="582"/>
        <v>8.7010117827868854</v>
      </c>
      <c r="Y93" s="1283">
        <f t="shared" ref="Y93:Z93" si="583">+Y28</f>
        <v>10.41458922319562</v>
      </c>
      <c r="Z93" s="1295">
        <f t="shared" si="583"/>
        <v>8.1484666366185294</v>
      </c>
      <c r="AA93" s="1222">
        <f t="shared" ref="AA93:AF94" si="584">+AA28</f>
        <v>10.41458922319562</v>
      </c>
      <c r="AB93" s="1222">
        <f t="shared" si="584"/>
        <v>5.0580876671828099</v>
      </c>
      <c r="AC93" s="3320">
        <f t="shared" si="584"/>
        <v>7.2999999999999989</v>
      </c>
      <c r="AD93" s="3320">
        <f t="shared" si="584"/>
        <v>7.2655200251034575</v>
      </c>
      <c r="AE93" s="1297">
        <f t="shared" si="584"/>
        <v>10.41458922319562</v>
      </c>
      <c r="AF93" s="1297">
        <f t="shared" si="584"/>
        <v>5.3768312943664096</v>
      </c>
      <c r="AG93" s="3320">
        <f t="shared" ref="AG93:AJ93" si="585">+AG28</f>
        <v>7.3</v>
      </c>
      <c r="AH93" s="3320">
        <f t="shared" si="585"/>
        <v>6.3096652599664029</v>
      </c>
      <c r="AI93" s="1297">
        <f t="shared" si="585"/>
        <v>10.41458922319562</v>
      </c>
      <c r="AJ93" s="1297">
        <f t="shared" si="585"/>
        <v>5.3855659313656856</v>
      </c>
      <c r="AK93" s="3320">
        <f t="shared" ref="AK93:AL93" si="586">+AK28</f>
        <v>7.2999999999999989</v>
      </c>
      <c r="AL93" s="3320">
        <f t="shared" si="586"/>
        <v>4.753819094921516</v>
      </c>
      <c r="AM93" s="1283">
        <f t="shared" ref="AM93:AN93" si="587">+AM28</f>
        <v>10.41458922319562</v>
      </c>
      <c r="AN93" s="1295">
        <f t="shared" si="587"/>
        <v>6.0379407222336434</v>
      </c>
      <c r="AO93" s="1297">
        <f t="shared" ref="AO93:AT93" si="588">+AO28</f>
        <v>10.41458922319562</v>
      </c>
      <c r="AP93" s="1297">
        <f t="shared" si="588"/>
        <v>5.3086027529806774</v>
      </c>
      <c r="AQ93" s="3320">
        <f t="shared" si="588"/>
        <v>7.2999999999999989</v>
      </c>
      <c r="AR93" s="3320">
        <f t="shared" si="588"/>
        <v>0.35748138117806366</v>
      </c>
      <c r="AS93" s="1297">
        <f t="shared" si="588"/>
        <v>10.41458922319562</v>
      </c>
      <c r="AT93" s="1297">
        <f t="shared" si="588"/>
        <v>4.7608189603382938</v>
      </c>
      <c r="AU93" s="3294">
        <f t="shared" ref="AU93:AX93" si="589">+AU28</f>
        <v>7.3</v>
      </c>
      <c r="AV93" s="3294">
        <f t="shared" si="589"/>
        <v>1.4598582769584728E-2</v>
      </c>
      <c r="AW93" s="1297">
        <f t="shared" si="589"/>
        <v>10.41458922319562</v>
      </c>
      <c r="AX93" s="1297">
        <f t="shared" si="589"/>
        <v>4.3190804222883461</v>
      </c>
      <c r="AY93" s="3294">
        <f t="shared" ref="AY93:AZ93" si="590">+AY28</f>
        <v>7.2999999999999989</v>
      </c>
      <c r="AZ93" s="3294">
        <f t="shared" si="590"/>
        <v>0</v>
      </c>
      <c r="BA93" s="1283">
        <f t="shared" ref="BA93:BF93" si="591">+BA28</f>
        <v>10.41458922319562</v>
      </c>
      <c r="BB93" s="1295">
        <f t="shared" si="591"/>
        <v>0.12212853091857591</v>
      </c>
      <c r="BC93" s="1222">
        <f t="shared" si="591"/>
        <v>10.41458922319562</v>
      </c>
      <c r="BD93" s="1222">
        <f t="shared" si="591"/>
        <v>2.5092561722437661</v>
      </c>
      <c r="BE93" s="1297">
        <f t="shared" si="591"/>
        <v>10.41458922319562</v>
      </c>
      <c r="BF93" s="1297">
        <f t="shared" si="591"/>
        <v>3.8860920740249929</v>
      </c>
      <c r="BG93" s="26"/>
      <c r="BH93" s="26"/>
      <c r="BI93" s="26"/>
      <c r="BJ93" s="26"/>
      <c r="BK93" s="26"/>
      <c r="BL93" s="26"/>
      <c r="BM93" s="26"/>
      <c r="BN93" s="26"/>
    </row>
    <row r="94" spans="2:66" ht="14.45" x14ac:dyDescent="0.3">
      <c r="B94" s="3287" t="s">
        <v>1537</v>
      </c>
      <c r="C94" s="3288" t="s">
        <v>219</v>
      </c>
      <c r="D94" s="3320">
        <f t="shared" ref="D94" si="592">+D29</f>
        <v>0</v>
      </c>
      <c r="E94" s="3320">
        <f t="shared" ref="E94:L94" si="593">+E29</f>
        <v>0</v>
      </c>
      <c r="F94" s="3320">
        <f t="shared" si="593"/>
        <v>2.0725227604635985</v>
      </c>
      <c r="G94" s="3320">
        <f t="shared" ref="G94:H94" si="594">+G29</f>
        <v>0</v>
      </c>
      <c r="H94" s="3320">
        <f t="shared" si="594"/>
        <v>1.9645038361299836</v>
      </c>
      <c r="I94" s="5437">
        <f t="shared" si="593"/>
        <v>0</v>
      </c>
      <c r="J94" s="3292">
        <f t="shared" si="593"/>
        <v>2.0158431984121359</v>
      </c>
      <c r="K94" s="3320">
        <f t="shared" si="593"/>
        <v>0</v>
      </c>
      <c r="L94" s="3320">
        <f t="shared" si="593"/>
        <v>0</v>
      </c>
      <c r="M94" s="1283">
        <f t="shared" ref="M94" si="595">+M29</f>
        <v>0</v>
      </c>
      <c r="N94" s="1295">
        <f t="shared" si="565"/>
        <v>1.295791761992007</v>
      </c>
      <c r="O94" s="3320">
        <f t="shared" si="565"/>
        <v>0</v>
      </c>
      <c r="P94" s="3320">
        <f t="shared" si="565"/>
        <v>2.6258920494522062</v>
      </c>
      <c r="Q94" s="1281">
        <f t="shared" si="581"/>
        <v>0</v>
      </c>
      <c r="R94" s="1297">
        <f t="shared" si="581"/>
        <v>1.6605000792354809</v>
      </c>
      <c r="S94" s="3320">
        <f t="shared" si="581"/>
        <v>0</v>
      </c>
      <c r="T94" s="3320">
        <f t="shared" si="581"/>
        <v>1.6023842642733552</v>
      </c>
      <c r="U94" s="1281">
        <f t="shared" ref="U94:X94" si="596">+U29</f>
        <v>0</v>
      </c>
      <c r="V94" s="1281">
        <f t="shared" si="596"/>
        <v>1.6483615319078424</v>
      </c>
      <c r="W94" s="3320">
        <f t="shared" si="596"/>
        <v>0</v>
      </c>
      <c r="X94" s="3320">
        <f t="shared" si="596"/>
        <v>1.4995303961748634</v>
      </c>
      <c r="Y94" s="1283">
        <f t="shared" ref="Y94:Z94" si="597">+Y29</f>
        <v>0</v>
      </c>
      <c r="Z94" s="1295">
        <f t="shared" si="597"/>
        <v>1.9214082598927438</v>
      </c>
      <c r="AA94" s="1222">
        <f t="shared" si="584"/>
        <v>0</v>
      </c>
      <c r="AB94" s="1222">
        <f t="shared" si="584"/>
        <v>1.6231143064445241</v>
      </c>
      <c r="AC94" s="3320">
        <f t="shared" si="584"/>
        <v>0</v>
      </c>
      <c r="AD94" s="3320">
        <f t="shared" si="584"/>
        <v>3.7252887836355493</v>
      </c>
      <c r="AE94" s="1297">
        <f t="shared" si="584"/>
        <v>0</v>
      </c>
      <c r="AF94" s="1297">
        <f t="shared" si="584"/>
        <v>1.926659153664138</v>
      </c>
      <c r="AG94" s="3320">
        <f t="shared" ref="AG94:AJ94" si="598">+AG29</f>
        <v>0</v>
      </c>
      <c r="AH94" s="3320">
        <f t="shared" si="598"/>
        <v>1.1062400131109928</v>
      </c>
      <c r="AI94" s="1297">
        <f t="shared" si="598"/>
        <v>0</v>
      </c>
      <c r="AJ94" s="1297">
        <f t="shared" si="598"/>
        <v>1.918977118442168</v>
      </c>
      <c r="AK94" s="3320">
        <f t="shared" ref="AK94:AL94" si="599">+AK29</f>
        <v>0</v>
      </c>
      <c r="AL94" s="3320">
        <f t="shared" si="599"/>
        <v>3.9214167984867423</v>
      </c>
      <c r="AM94" s="1283">
        <f t="shared" ref="AM94:AN94" si="600">+AM29</f>
        <v>0</v>
      </c>
      <c r="AN94" s="1295">
        <f t="shared" si="600"/>
        <v>3.7345098225251294</v>
      </c>
      <c r="AO94" s="1297">
        <f t="shared" ref="AO94:AT94" si="601">+AO29</f>
        <v>0</v>
      </c>
      <c r="AP94" s="1297">
        <f t="shared" si="601"/>
        <v>2.1629262977810466</v>
      </c>
      <c r="AQ94" s="3320">
        <f t="shared" si="601"/>
        <v>0</v>
      </c>
      <c r="AR94" s="3320">
        <f t="shared" si="601"/>
        <v>5.0941096817874074</v>
      </c>
      <c r="AS94" s="1297">
        <f t="shared" si="601"/>
        <v>0</v>
      </c>
      <c r="AT94" s="1297">
        <f t="shared" si="601"/>
        <v>2.4872275278348654</v>
      </c>
      <c r="AU94" s="3294">
        <f t="shared" ref="AU94:AX94" si="602">+AU29</f>
        <v>0</v>
      </c>
      <c r="AV94" s="3294">
        <f t="shared" si="602"/>
        <v>0</v>
      </c>
      <c r="AW94" s="1297">
        <f t="shared" si="602"/>
        <v>0</v>
      </c>
      <c r="AX94" s="1297">
        <f t="shared" si="602"/>
        <v>2.2557371703419884</v>
      </c>
      <c r="AY94" s="3294">
        <f t="shared" ref="AY94:AZ94" si="603">+AY29</f>
        <v>0</v>
      </c>
      <c r="AZ94" s="3294">
        <f t="shared" si="603"/>
        <v>0</v>
      </c>
      <c r="BA94" s="1283">
        <f t="shared" ref="BA94:BF94" si="604">+BA29</f>
        <v>0</v>
      </c>
      <c r="BB94" s="1295">
        <f t="shared" si="604"/>
        <v>1.6768158150207395</v>
      </c>
      <c r="BC94" s="1222">
        <f t="shared" si="604"/>
        <v>0</v>
      </c>
      <c r="BD94" s="1222">
        <f t="shared" si="604"/>
        <v>2.5071292333395547</v>
      </c>
      <c r="BE94" s="1297">
        <f t="shared" si="604"/>
        <v>0</v>
      </c>
      <c r="BF94" s="1297">
        <f t="shared" si="604"/>
        <v>2.0295992391142232</v>
      </c>
      <c r="BG94" s="26"/>
      <c r="BH94" s="26"/>
      <c r="BI94" s="26"/>
      <c r="BJ94" s="26"/>
      <c r="BK94" s="26"/>
      <c r="BL94" s="26"/>
      <c r="BM94" s="26"/>
      <c r="BN94" s="26"/>
    </row>
    <row r="95" spans="2:66" ht="14.45" x14ac:dyDescent="0.3">
      <c r="B95" s="3287" t="s">
        <v>42</v>
      </c>
      <c r="C95" s="3288" t="s">
        <v>219</v>
      </c>
      <c r="D95" s="3320">
        <f t="shared" ref="D95" si="605">+D30</f>
        <v>0</v>
      </c>
      <c r="E95" s="3320">
        <f t="shared" ref="E95:L95" si="606">+E30</f>
        <v>0</v>
      </c>
      <c r="F95" s="3320">
        <f t="shared" si="606"/>
        <v>0</v>
      </c>
      <c r="G95" s="3320">
        <f t="shared" ref="G95:H95" si="607">+G30</f>
        <v>0</v>
      </c>
      <c r="H95" s="3320">
        <f t="shared" si="607"/>
        <v>0</v>
      </c>
      <c r="I95" s="5437">
        <f t="shared" si="606"/>
        <v>0</v>
      </c>
      <c r="J95" s="3292">
        <f t="shared" si="606"/>
        <v>0</v>
      </c>
      <c r="K95" s="3320">
        <f t="shared" si="606"/>
        <v>0</v>
      </c>
      <c r="L95" s="3320">
        <f t="shared" si="606"/>
        <v>0</v>
      </c>
      <c r="M95" s="1283">
        <f t="shared" ref="M95" si="608">+M30</f>
        <v>0</v>
      </c>
      <c r="N95" s="1295">
        <f>+N30</f>
        <v>0</v>
      </c>
      <c r="O95" s="3320">
        <f t="shared" ref="O95:P95" si="609">+O30</f>
        <v>0</v>
      </c>
      <c r="P95" s="3320">
        <f t="shared" si="609"/>
        <v>0</v>
      </c>
      <c r="Q95" s="1281">
        <f t="shared" ref="Q95:T95" si="610">+Q30</f>
        <v>0</v>
      </c>
      <c r="R95" s="1297">
        <f t="shared" si="610"/>
        <v>0</v>
      </c>
      <c r="S95" s="3320">
        <f t="shared" si="610"/>
        <v>0</v>
      </c>
      <c r="T95" s="3320">
        <f t="shared" si="610"/>
        <v>0</v>
      </c>
      <c r="U95" s="1281">
        <f t="shared" ref="U95:X95" si="611">+U30</f>
        <v>0</v>
      </c>
      <c r="V95" s="1281">
        <f t="shared" si="611"/>
        <v>0</v>
      </c>
      <c r="W95" s="3320">
        <f t="shared" si="611"/>
        <v>0</v>
      </c>
      <c r="X95" s="3320">
        <f t="shared" si="611"/>
        <v>0</v>
      </c>
      <c r="Y95" s="1283">
        <f t="shared" ref="Y95:Z95" si="612">+Y30</f>
        <v>0</v>
      </c>
      <c r="Z95" s="1295">
        <f t="shared" si="612"/>
        <v>0</v>
      </c>
      <c r="AA95" s="1222">
        <f t="shared" ref="AA95:AF95" si="613">+AA30</f>
        <v>0</v>
      </c>
      <c r="AB95" s="1222">
        <f t="shared" si="613"/>
        <v>0</v>
      </c>
      <c r="AC95" s="3320">
        <f t="shared" si="613"/>
        <v>21.858669683074151</v>
      </c>
      <c r="AD95" s="3320">
        <f t="shared" si="613"/>
        <v>0.42643694499499807</v>
      </c>
      <c r="AE95" s="1297">
        <f t="shared" si="613"/>
        <v>0</v>
      </c>
      <c r="AF95" s="1297">
        <f t="shared" si="613"/>
        <v>6.1575639282934254E-2</v>
      </c>
      <c r="AG95" s="3320">
        <f t="shared" ref="AG95:AJ95" si="614">+AG30</f>
        <v>21.858669683074151</v>
      </c>
      <c r="AH95" s="3320">
        <f t="shared" si="614"/>
        <v>0</v>
      </c>
      <c r="AI95" s="1297">
        <f t="shared" si="614"/>
        <v>0</v>
      </c>
      <c r="AJ95" s="1297">
        <f t="shared" si="614"/>
        <v>6.0999072737365996E-2</v>
      </c>
      <c r="AK95" s="3320">
        <f t="shared" ref="AK95:AL95" si="615">+AK30</f>
        <v>21.858669683074151</v>
      </c>
      <c r="AL95" s="3320">
        <f t="shared" si="615"/>
        <v>1.2969989270030198</v>
      </c>
      <c r="AM95" s="1283">
        <f t="shared" ref="AM95:AN95" si="616">+AM30</f>
        <v>0</v>
      </c>
      <c r="AN95" s="1295">
        <f t="shared" si="616"/>
        <v>0.82754840103944294</v>
      </c>
      <c r="AO95" s="1297">
        <f t="shared" ref="AO95:AT95" si="617">+AO30</f>
        <v>0</v>
      </c>
      <c r="AP95" s="1297">
        <f t="shared" si="617"/>
        <v>0.21157596806954784</v>
      </c>
      <c r="AQ95" s="3320">
        <f t="shared" si="617"/>
        <v>21.858669683074151</v>
      </c>
      <c r="AR95" s="3320">
        <f t="shared" si="617"/>
        <v>3.9918754231550437</v>
      </c>
      <c r="AS95" s="1297">
        <f t="shared" si="617"/>
        <v>0</v>
      </c>
      <c r="AT95" s="1297">
        <f t="shared" si="617"/>
        <v>0.6298219809069856</v>
      </c>
      <c r="AU95" s="3294">
        <f t="shared" ref="AU95:AX95" si="618">+AU30</f>
        <v>21.858669683074151</v>
      </c>
      <c r="AV95" s="3294">
        <f t="shared" si="618"/>
        <v>2.6832195130496732</v>
      </c>
      <c r="AW95" s="1297">
        <f t="shared" si="618"/>
        <v>0</v>
      </c>
      <c r="AX95" s="1297">
        <f t="shared" si="618"/>
        <v>0.82093506705254138</v>
      </c>
      <c r="AY95" s="3294">
        <f t="shared" ref="AY95:AZ95" si="619">+AY30</f>
        <v>21.858669683074151</v>
      </c>
      <c r="AZ95" s="3294">
        <f t="shared" si="619"/>
        <v>0</v>
      </c>
      <c r="BA95" s="1283">
        <f t="shared" ref="BA95:BF95" si="620">+BA30</f>
        <v>0</v>
      </c>
      <c r="BB95" s="1295">
        <f t="shared" si="620"/>
        <v>2.1332377699865126</v>
      </c>
      <c r="BC95" s="1222">
        <f t="shared" si="620"/>
        <v>0</v>
      </c>
      <c r="BD95" s="1222">
        <f t="shared" si="620"/>
        <v>1.6063706074058948</v>
      </c>
      <c r="BE95" s="1297">
        <f t="shared" si="620"/>
        <v>0</v>
      </c>
      <c r="BF95" s="1297">
        <f t="shared" si="620"/>
        <v>0.73863622471558465</v>
      </c>
      <c r="BG95" s="26"/>
      <c r="BH95" s="26"/>
      <c r="BI95" s="26"/>
      <c r="BJ95" s="26"/>
      <c r="BK95" s="26"/>
      <c r="BL95" s="26"/>
      <c r="BM95" s="26"/>
      <c r="BN95" s="26"/>
    </row>
    <row r="96" spans="2:66" ht="14.45" x14ac:dyDescent="0.3">
      <c r="B96" s="2712" t="s">
        <v>118</v>
      </c>
      <c r="C96" s="3288" t="s">
        <v>219</v>
      </c>
      <c r="D96" s="3320">
        <f t="shared" ref="D96" si="621">+D54</f>
        <v>22.45868048610533</v>
      </c>
      <c r="E96" s="3320">
        <f t="shared" ref="E96:L96" si="622">+E54</f>
        <v>22.45868048610533</v>
      </c>
      <c r="F96" s="3320">
        <f t="shared" si="622"/>
        <v>21.343566479197094</v>
      </c>
      <c r="G96" s="3320">
        <f t="shared" ref="G96:H96" si="623">+G54</f>
        <v>22.458680486105333</v>
      </c>
      <c r="H96" s="3320">
        <f t="shared" si="623"/>
        <v>20.827118033469741</v>
      </c>
      <c r="I96" s="5437">
        <f t="shared" si="622"/>
        <v>22.45868048610533</v>
      </c>
      <c r="J96" s="3292">
        <f t="shared" si="622"/>
        <v>21.072576262375652</v>
      </c>
      <c r="K96" s="3320">
        <f t="shared" si="622"/>
        <v>22.45868048610533</v>
      </c>
      <c r="L96" s="3320">
        <f t="shared" si="622"/>
        <v>21.997267948356782</v>
      </c>
      <c r="M96" s="1283">
        <f t="shared" ref="M96" si="624">+M54</f>
        <v>22.45868048610533</v>
      </c>
      <c r="N96" s="1295">
        <f t="shared" ref="N96:AF96" si="625">+N54</f>
        <v>21.40287257573025</v>
      </c>
      <c r="O96" s="3320">
        <f t="shared" si="625"/>
        <v>22.458680486105333</v>
      </c>
      <c r="P96" s="3320">
        <f t="shared" si="625"/>
        <v>20.06231782088652</v>
      </c>
      <c r="Q96" s="1281">
        <f t="shared" si="625"/>
        <v>22.45868048610533</v>
      </c>
      <c r="R96" s="1297">
        <f t="shared" si="625"/>
        <v>21.035297684256943</v>
      </c>
      <c r="S96" s="3294">
        <f t="shared" ref="S96:T96" si="626">+S54</f>
        <v>22.458680486105333</v>
      </c>
      <c r="T96" s="3294">
        <f t="shared" si="626"/>
        <v>19.147709034158968</v>
      </c>
      <c r="U96" s="1281">
        <f t="shared" ref="U96:X96" si="627">+U54</f>
        <v>22.45868048610533</v>
      </c>
      <c r="V96" s="1281">
        <f t="shared" si="627"/>
        <v>20.641040386492808</v>
      </c>
      <c r="W96" s="3294">
        <f t="shared" si="627"/>
        <v>22.45868048610533</v>
      </c>
      <c r="X96" s="3294">
        <f t="shared" si="627"/>
        <v>18.909558572404372</v>
      </c>
      <c r="Y96" s="1283">
        <f t="shared" ref="Y96:Z96" si="628">+Y54</f>
        <v>22.45868048610533</v>
      </c>
      <c r="Z96" s="1295">
        <f t="shared" si="628"/>
        <v>19.385374285311393</v>
      </c>
      <c r="AA96" s="1298">
        <f t="shared" si="625"/>
        <v>22.45868048610533</v>
      </c>
      <c r="AB96" s="1222">
        <f t="shared" si="625"/>
        <v>20.347317493560272</v>
      </c>
      <c r="AC96" s="3294">
        <f t="shared" si="625"/>
        <v>21.946566916528042</v>
      </c>
      <c r="AD96" s="3320">
        <f t="shared" si="625"/>
        <v>18.594259997800766</v>
      </c>
      <c r="AE96" s="1297">
        <f t="shared" si="625"/>
        <v>22.45868048610533</v>
      </c>
      <c r="AF96" s="1297">
        <f t="shared" si="625"/>
        <v>20.094183619330877</v>
      </c>
      <c r="AG96" s="3294">
        <f t="shared" ref="AG96:AJ96" si="629">+AG54</f>
        <v>21.946566916528042</v>
      </c>
      <c r="AH96" s="3320">
        <f t="shared" si="629"/>
        <v>12.045724587208587</v>
      </c>
      <c r="AI96" s="1297">
        <f t="shared" si="629"/>
        <v>22.45868048610533</v>
      </c>
      <c r="AJ96" s="1297">
        <f t="shared" si="629"/>
        <v>20.018821474896196</v>
      </c>
      <c r="AK96" s="3294">
        <f t="shared" ref="AK96:AL96" si="630">+AK54</f>
        <v>21.946566916528042</v>
      </c>
      <c r="AL96" s="3320">
        <f t="shared" si="630"/>
        <v>13.680711496554242</v>
      </c>
      <c r="AM96" s="1283">
        <f t="shared" ref="AM96:AN96" si="631">+AM54</f>
        <v>22.45868048610533</v>
      </c>
      <c r="AN96" s="1295">
        <f t="shared" si="631"/>
        <v>16.042315659640412</v>
      </c>
      <c r="AO96" s="1297">
        <f t="shared" ref="AO96:AT96" si="632">+AO54</f>
        <v>22.45868048610533</v>
      </c>
      <c r="AP96" s="1297">
        <f t="shared" si="632"/>
        <v>19.246675006173774</v>
      </c>
      <c r="AQ96" s="3294">
        <f t="shared" si="632"/>
        <v>21.946566916528042</v>
      </c>
      <c r="AR96" s="3320">
        <f t="shared" si="632"/>
        <v>18.770480704129994</v>
      </c>
      <c r="AS96" s="1297">
        <f t="shared" si="632"/>
        <v>22.45868048610533</v>
      </c>
      <c r="AT96" s="1297">
        <f t="shared" si="632"/>
        <v>19.193989664567361</v>
      </c>
      <c r="AU96" s="3294">
        <f t="shared" ref="AU96:AX96" si="633">+AU54</f>
        <v>21.946566916528045</v>
      </c>
      <c r="AV96" s="3294">
        <f t="shared" si="633"/>
        <v>18.624871897436197</v>
      </c>
      <c r="AW96" s="1297">
        <f t="shared" si="633"/>
        <v>22.45868048610533</v>
      </c>
      <c r="AX96" s="1297">
        <f t="shared" si="633"/>
        <v>19.141020937784479</v>
      </c>
      <c r="AY96" s="3294">
        <f t="shared" ref="AY96:AZ96" si="634">+AY54</f>
        <v>21.946566916528042</v>
      </c>
      <c r="AZ96" s="3294">
        <f t="shared" si="634"/>
        <v>18.189356616750402</v>
      </c>
      <c r="BA96" s="1283">
        <f t="shared" ref="BA96:BF96" si="635">+BA54</f>
        <v>22.45868048610533</v>
      </c>
      <c r="BB96" s="1295">
        <f t="shared" si="635"/>
        <v>18.51361554829916</v>
      </c>
      <c r="BC96" s="1298">
        <f t="shared" si="635"/>
        <v>22.45868048610533</v>
      </c>
      <c r="BD96" s="1222">
        <f t="shared" si="635"/>
        <v>17.516405345635548</v>
      </c>
      <c r="BE96" s="1297">
        <f t="shared" si="635"/>
        <v>22.45868048610533</v>
      </c>
      <c r="BF96" s="1297">
        <f t="shared" si="635"/>
        <v>19.04561647151446</v>
      </c>
      <c r="BG96" s="26"/>
      <c r="BH96" s="26"/>
      <c r="BI96" s="26"/>
      <c r="BJ96" s="26"/>
      <c r="BK96" s="26"/>
      <c r="BL96" s="26"/>
      <c r="BM96" s="26"/>
      <c r="BN96" s="26"/>
    </row>
    <row r="97" spans="2:66" ht="14.45" x14ac:dyDescent="0.3">
      <c r="B97" s="5390" t="s">
        <v>2246</v>
      </c>
      <c r="C97" s="5384" t="s">
        <v>219</v>
      </c>
      <c r="D97" s="5391"/>
      <c r="E97" s="5391">
        <f>E33</f>
        <v>0</v>
      </c>
      <c r="F97" s="5391">
        <f t="shared" ref="F97:BF97" si="636">F33</f>
        <v>0</v>
      </c>
      <c r="G97" s="5391">
        <f t="shared" si="636"/>
        <v>0</v>
      </c>
      <c r="H97" s="5391">
        <f t="shared" si="636"/>
        <v>4.8408977050767508</v>
      </c>
      <c r="I97" s="5438">
        <f t="shared" si="636"/>
        <v>0</v>
      </c>
      <c r="J97" s="5438">
        <f t="shared" si="636"/>
        <v>2.5401101108196875</v>
      </c>
      <c r="K97" s="5391">
        <f t="shared" ref="K97:L97" si="637">K33</f>
        <v>0</v>
      </c>
      <c r="L97" s="5391">
        <f t="shared" si="637"/>
        <v>0</v>
      </c>
      <c r="M97" s="1283">
        <f t="shared" ref="M97" si="638">M33</f>
        <v>0</v>
      </c>
      <c r="N97" s="1295">
        <f t="shared" si="636"/>
        <v>1.6327925499093421</v>
      </c>
      <c r="O97" s="5391">
        <f t="shared" si="636"/>
        <v>0</v>
      </c>
      <c r="P97" s="5391">
        <f t="shared" si="636"/>
        <v>0</v>
      </c>
      <c r="Q97" s="1281">
        <f t="shared" si="636"/>
        <v>0</v>
      </c>
      <c r="R97" s="1297">
        <f t="shared" si="636"/>
        <v>1.1850871934792644</v>
      </c>
      <c r="S97" s="5391">
        <f t="shared" ref="S97:T97" si="639">S33</f>
        <v>0</v>
      </c>
      <c r="T97" s="5391">
        <f t="shared" si="639"/>
        <v>0</v>
      </c>
      <c r="U97" s="1281">
        <f t="shared" si="636"/>
        <v>0</v>
      </c>
      <c r="V97" s="1281">
        <f t="shared" si="636"/>
        <v>0.93756013058250287</v>
      </c>
      <c r="W97" s="5391">
        <f t="shared" si="636"/>
        <v>0</v>
      </c>
      <c r="X97" s="5391">
        <f t="shared" si="636"/>
        <v>0</v>
      </c>
      <c r="Y97" s="1283">
        <f t="shared" si="636"/>
        <v>0</v>
      </c>
      <c r="Z97" s="1295">
        <f t="shared" si="636"/>
        <v>0</v>
      </c>
      <c r="AA97" s="1298">
        <f t="shared" si="636"/>
        <v>0</v>
      </c>
      <c r="AB97" s="1222">
        <f t="shared" si="636"/>
        <v>0.77851550671628045</v>
      </c>
      <c r="AC97" s="5391">
        <f t="shared" si="636"/>
        <v>0</v>
      </c>
      <c r="AD97" s="5391">
        <f t="shared" si="636"/>
        <v>0</v>
      </c>
      <c r="AE97" s="5391">
        <f t="shared" si="636"/>
        <v>0</v>
      </c>
      <c r="AF97" s="5391">
        <f t="shared" si="636"/>
        <v>0</v>
      </c>
      <c r="AG97" s="5391">
        <f t="shared" si="636"/>
        <v>0</v>
      </c>
      <c r="AH97" s="5391">
        <f t="shared" si="636"/>
        <v>0</v>
      </c>
      <c r="AI97" s="5391">
        <f t="shared" si="636"/>
        <v>0</v>
      </c>
      <c r="AJ97" s="5391">
        <f t="shared" si="636"/>
        <v>0</v>
      </c>
      <c r="AK97" s="5391">
        <f t="shared" si="636"/>
        <v>0</v>
      </c>
      <c r="AL97" s="5391">
        <f t="shared" si="636"/>
        <v>0</v>
      </c>
      <c r="AM97" s="5391">
        <f t="shared" si="636"/>
        <v>0</v>
      </c>
      <c r="AN97" s="5391">
        <f t="shared" si="636"/>
        <v>0</v>
      </c>
      <c r="AO97" s="5391">
        <f t="shared" si="636"/>
        <v>0</v>
      </c>
      <c r="AP97" s="5391">
        <f t="shared" si="636"/>
        <v>0</v>
      </c>
      <c r="AQ97" s="5391">
        <f t="shared" si="636"/>
        <v>0</v>
      </c>
      <c r="AR97" s="5391">
        <f t="shared" si="636"/>
        <v>0</v>
      </c>
      <c r="AS97" s="5391">
        <f t="shared" si="636"/>
        <v>0</v>
      </c>
      <c r="AT97" s="5391">
        <f t="shared" si="636"/>
        <v>0</v>
      </c>
      <c r="AU97" s="5391">
        <f t="shared" si="636"/>
        <v>0</v>
      </c>
      <c r="AV97" s="5391">
        <f t="shared" si="636"/>
        <v>0</v>
      </c>
      <c r="AW97" s="5391">
        <f t="shared" si="636"/>
        <v>0</v>
      </c>
      <c r="AX97" s="5391">
        <f t="shared" si="636"/>
        <v>0</v>
      </c>
      <c r="AY97" s="5391">
        <f t="shared" si="636"/>
        <v>0</v>
      </c>
      <c r="AZ97" s="5391">
        <f t="shared" si="636"/>
        <v>0</v>
      </c>
      <c r="BA97" s="5391">
        <f t="shared" si="636"/>
        <v>0</v>
      </c>
      <c r="BB97" s="5391">
        <f t="shared" si="636"/>
        <v>0</v>
      </c>
      <c r="BC97" s="5391">
        <f t="shared" si="636"/>
        <v>0</v>
      </c>
      <c r="BD97" s="5391">
        <f t="shared" si="636"/>
        <v>0</v>
      </c>
      <c r="BE97" s="5391">
        <f t="shared" si="636"/>
        <v>0</v>
      </c>
      <c r="BF97" s="5391">
        <f t="shared" si="636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2:66" ht="15" customHeight="1" x14ac:dyDescent="0.3">
      <c r="B98" s="3287" t="s">
        <v>600</v>
      </c>
      <c r="C98" s="3288" t="s">
        <v>219</v>
      </c>
      <c r="D98" s="3320">
        <f t="shared" ref="D98" si="640">+D31</f>
        <v>10</v>
      </c>
      <c r="E98" s="3320">
        <f t="shared" ref="E98:J98" si="641">+E31</f>
        <v>10</v>
      </c>
      <c r="F98" s="3320">
        <f t="shared" si="641"/>
        <v>30.587577292359317</v>
      </c>
      <c r="G98" s="3320">
        <f t="shared" si="641"/>
        <v>10</v>
      </c>
      <c r="H98" s="3320">
        <f t="shared" si="641"/>
        <v>28.471233246835123</v>
      </c>
      <c r="I98" s="5437">
        <f t="shared" si="641"/>
        <v>10</v>
      </c>
      <c r="J98" s="3292">
        <f t="shared" si="641"/>
        <v>29.477091751140094</v>
      </c>
      <c r="K98" s="3320">
        <f>+K31</f>
        <v>10</v>
      </c>
      <c r="L98" s="3320">
        <f>+L31</f>
        <v>8.5575936684437401</v>
      </c>
      <c r="M98" s="1283">
        <f t="shared" ref="M98" si="642">+M31</f>
        <v>10</v>
      </c>
      <c r="N98" s="1295">
        <f t="shared" ref="N98:AF98" si="643">+N31</f>
        <v>22.004727504010784</v>
      </c>
      <c r="O98" s="3320">
        <f t="shared" si="643"/>
        <v>10</v>
      </c>
      <c r="P98" s="3320">
        <f t="shared" si="643"/>
        <v>3.2390189968841088</v>
      </c>
      <c r="Q98" s="1281">
        <f t="shared" si="643"/>
        <v>10</v>
      </c>
      <c r="R98" s="1297">
        <f t="shared" si="643"/>
        <v>16.859243335607047</v>
      </c>
      <c r="S98" s="3320">
        <f t="shared" ref="S98:X98" si="644">+S31</f>
        <v>10</v>
      </c>
      <c r="T98" s="3320">
        <f t="shared" si="644"/>
        <v>11.216689849913488</v>
      </c>
      <c r="U98" s="1281">
        <f t="shared" si="644"/>
        <v>10</v>
      </c>
      <c r="V98" s="1281">
        <f t="shared" si="644"/>
        <v>15.680693183992359</v>
      </c>
      <c r="W98" s="3320">
        <f t="shared" si="644"/>
        <v>10</v>
      </c>
      <c r="X98" s="3320">
        <f t="shared" si="644"/>
        <v>0.49895406420765026</v>
      </c>
      <c r="Y98" s="1283">
        <f t="shared" ref="Y98:Z98" si="645">+Y31</f>
        <v>10</v>
      </c>
      <c r="Z98" s="1295">
        <f t="shared" si="645"/>
        <v>4.9951424100048181</v>
      </c>
      <c r="AA98" s="1222">
        <f t="shared" si="643"/>
        <v>10</v>
      </c>
      <c r="AB98" s="1222">
        <f t="shared" si="643"/>
        <v>13.105312779920455</v>
      </c>
      <c r="AC98" s="3320">
        <f t="shared" si="643"/>
        <v>15</v>
      </c>
      <c r="AD98" s="3320">
        <f t="shared" si="643"/>
        <v>10.851345153772089</v>
      </c>
      <c r="AE98" s="1281">
        <f t="shared" si="643"/>
        <v>10</v>
      </c>
      <c r="AF98" s="1281">
        <f t="shared" si="643"/>
        <v>12.779849662495788</v>
      </c>
      <c r="AG98" s="3320">
        <f t="shared" ref="AG98:AJ98" si="646">+AG31</f>
        <v>15.000000000000002</v>
      </c>
      <c r="AH98" s="3320">
        <f t="shared" si="646"/>
        <v>5.0805096898430779</v>
      </c>
      <c r="AI98" s="1281">
        <f t="shared" si="646"/>
        <v>10</v>
      </c>
      <c r="AJ98" s="1281">
        <f t="shared" si="646"/>
        <v>12.707756511651015</v>
      </c>
      <c r="AK98" s="3320">
        <f t="shared" ref="AK98:AL98" si="647">+AK31</f>
        <v>15</v>
      </c>
      <c r="AL98" s="3320">
        <f t="shared" si="647"/>
        <v>2.2289576442738466</v>
      </c>
      <c r="AM98" s="1283">
        <f t="shared" ref="AM98:AN98" si="648">+AM31</f>
        <v>10</v>
      </c>
      <c r="AN98" s="1295">
        <f t="shared" si="648"/>
        <v>6.5571351012297265</v>
      </c>
      <c r="AO98" s="1281">
        <f t="shared" ref="AO98:AT98" si="649">+AO31</f>
        <v>10</v>
      </c>
      <c r="AP98" s="1281">
        <f t="shared" si="649"/>
        <v>11.431166555095157</v>
      </c>
      <c r="AQ98" s="3320">
        <f t="shared" si="649"/>
        <v>15</v>
      </c>
      <c r="AR98" s="3320">
        <f t="shared" si="649"/>
        <v>3.8077183480027079</v>
      </c>
      <c r="AS98" s="1281">
        <f t="shared" si="649"/>
        <v>10</v>
      </c>
      <c r="AT98" s="1281">
        <f t="shared" si="649"/>
        <v>10.587720988263198</v>
      </c>
      <c r="AU98" s="3294">
        <f t="shared" ref="AU98:AX98" si="650">+AU31</f>
        <v>15.000000000000004</v>
      </c>
      <c r="AV98" s="3294">
        <f t="shared" si="650"/>
        <v>30.995710936382299</v>
      </c>
      <c r="AW98" s="1281">
        <f t="shared" si="650"/>
        <v>10</v>
      </c>
      <c r="AX98" s="1281">
        <f t="shared" si="650"/>
        <v>12.487126183779672</v>
      </c>
      <c r="AY98" s="3294">
        <f t="shared" ref="AY98:AZ98" si="651">+AY31</f>
        <v>15</v>
      </c>
      <c r="AZ98" s="3294">
        <f t="shared" si="651"/>
        <v>36.310423881761864</v>
      </c>
      <c r="BA98" s="1283">
        <f t="shared" ref="BA98:BF98" si="652">+BA31</f>
        <v>10</v>
      </c>
      <c r="BB98" s="1295">
        <f t="shared" si="652"/>
        <v>23.988896109626847</v>
      </c>
      <c r="BC98" s="1222">
        <f t="shared" si="652"/>
        <v>10</v>
      </c>
      <c r="BD98" s="1222">
        <f t="shared" si="652"/>
        <v>16.954893474923654</v>
      </c>
      <c r="BE98" s="1281">
        <f t="shared" si="652"/>
        <v>10</v>
      </c>
      <c r="BF98" s="1281">
        <f t="shared" si="652"/>
        <v>14.875414734093404</v>
      </c>
      <c r="BG98" s="26"/>
      <c r="BH98" s="26"/>
      <c r="BI98" s="26"/>
      <c r="BJ98" s="26"/>
      <c r="BK98" s="26"/>
      <c r="BL98" s="26"/>
      <c r="BM98" s="26"/>
      <c r="BN98" s="26"/>
    </row>
    <row r="99" spans="2:66" ht="15" customHeight="1" x14ac:dyDescent="0.3">
      <c r="B99" s="3287" t="s">
        <v>1699</v>
      </c>
      <c r="C99" s="3288" t="s">
        <v>219</v>
      </c>
      <c r="D99" s="3320">
        <f>D32</f>
        <v>0.7</v>
      </c>
      <c r="E99" s="3320">
        <f>+E32</f>
        <v>0.7</v>
      </c>
      <c r="F99" s="3320">
        <f t="shared" ref="F99:BF99" si="653">+F32</f>
        <v>1.034707764969083</v>
      </c>
      <c r="G99" s="3320">
        <f>+G32</f>
        <v>0.70000000000000007</v>
      </c>
      <c r="H99" s="3320">
        <f t="shared" ref="H99" si="654">+H32</f>
        <v>0.89781765576714156</v>
      </c>
      <c r="I99" s="5437">
        <f t="shared" si="653"/>
        <v>0.7</v>
      </c>
      <c r="J99" s="3292">
        <f t="shared" si="653"/>
        <v>0.96287894898513748</v>
      </c>
      <c r="K99" s="3320">
        <f>+K32</f>
        <v>0.7</v>
      </c>
      <c r="L99" s="3320">
        <f>+L32</f>
        <v>0.37472692771756749</v>
      </c>
      <c r="M99" s="1283">
        <f>+M32</f>
        <v>0.69999999999999984</v>
      </c>
      <c r="N99" s="1295">
        <f t="shared" si="653"/>
        <v>0.75279330934773736</v>
      </c>
      <c r="O99" s="3320">
        <f>+O32</f>
        <v>0.7</v>
      </c>
      <c r="P99" s="3320">
        <f t="shared" ref="P99" si="655">+P32</f>
        <v>0.78902402251482562</v>
      </c>
      <c r="Q99" s="1281">
        <f t="shared" si="653"/>
        <v>0.69999999999999984</v>
      </c>
      <c r="R99" s="1297">
        <f t="shared" si="653"/>
        <v>0.7627276297567126</v>
      </c>
      <c r="S99" s="3320">
        <f>+S32</f>
        <v>0.7</v>
      </c>
      <c r="T99" s="3320">
        <f>+T32</f>
        <v>0.21399920141761422</v>
      </c>
      <c r="U99" s="1281">
        <f>+U32</f>
        <v>0.69999999999999973</v>
      </c>
      <c r="V99" s="1281">
        <f>+V32</f>
        <v>0.64811569492011389</v>
      </c>
      <c r="W99" s="3320">
        <f>+W32</f>
        <v>0.69999999999999984</v>
      </c>
      <c r="X99" s="3320">
        <f t="shared" ref="X99" si="656">+X32</f>
        <v>0</v>
      </c>
      <c r="Y99" s="1283">
        <f t="shared" si="653"/>
        <v>0.69999999999999984</v>
      </c>
      <c r="Z99" s="1295">
        <f t="shared" si="653"/>
        <v>0.34258337276790929</v>
      </c>
      <c r="AA99" s="1222">
        <f t="shared" si="653"/>
        <v>0.69999999999999984</v>
      </c>
      <c r="AB99" s="1222">
        <f t="shared" si="653"/>
        <v>0.53817147528235898</v>
      </c>
      <c r="AC99" s="3320">
        <f t="shared" si="653"/>
        <v>0</v>
      </c>
      <c r="AD99" s="3320">
        <f t="shared" si="653"/>
        <v>1.1157092397353408</v>
      </c>
      <c r="AE99" s="1281">
        <f t="shared" si="653"/>
        <v>0</v>
      </c>
      <c r="AF99" s="1281">
        <f t="shared" si="653"/>
        <v>0.62156541540320431</v>
      </c>
      <c r="AG99" s="3320">
        <f t="shared" ref="AG99:AJ99" si="657">+AG32</f>
        <v>0</v>
      </c>
      <c r="AH99" s="3320">
        <f t="shared" si="657"/>
        <v>0</v>
      </c>
      <c r="AI99" s="1281">
        <f t="shared" si="657"/>
        <v>0</v>
      </c>
      <c r="AJ99" s="1281">
        <f t="shared" si="657"/>
        <v>0.61574535687718501</v>
      </c>
      <c r="AK99" s="3320">
        <f t="shared" ref="AK99:AL99" si="658">+AK32</f>
        <v>0</v>
      </c>
      <c r="AL99" s="3320">
        <f t="shared" si="658"/>
        <v>0.20740921007510979</v>
      </c>
      <c r="AM99" s="1295">
        <f t="shared" si="653"/>
        <v>0</v>
      </c>
      <c r="AN99" s="1295">
        <f t="shared" si="653"/>
        <v>0.64701634539867281</v>
      </c>
      <c r="AO99" s="1297">
        <f t="shared" si="653"/>
        <v>0</v>
      </c>
      <c r="AP99" s="1297">
        <f t="shared" si="653"/>
        <v>0.56599940502681589</v>
      </c>
      <c r="AQ99" s="3320">
        <f t="shared" si="653"/>
        <v>0</v>
      </c>
      <c r="AR99" s="3320">
        <f t="shared" si="653"/>
        <v>1.3649289099526065</v>
      </c>
      <c r="AS99" s="1281">
        <f t="shared" si="653"/>
        <v>0</v>
      </c>
      <c r="AT99" s="1281">
        <f t="shared" si="653"/>
        <v>0.6543916300194369</v>
      </c>
      <c r="AU99" s="3294">
        <f t="shared" ref="AU99:AX99" si="659">+AU32</f>
        <v>0</v>
      </c>
      <c r="AV99" s="3294">
        <f t="shared" si="659"/>
        <v>1.0510979594101004</v>
      </c>
      <c r="AW99" s="1281">
        <f t="shared" si="659"/>
        <v>0</v>
      </c>
      <c r="AX99" s="1281">
        <f t="shared" si="659"/>
        <v>0.69131374067582441</v>
      </c>
      <c r="AY99" s="3294">
        <f t="shared" ref="AY99:AZ99" si="660">+AY32</f>
        <v>0</v>
      </c>
      <c r="AZ99" s="3294">
        <f t="shared" si="660"/>
        <v>0.93166187015267543</v>
      </c>
      <c r="BA99" s="1283">
        <f t="shared" si="653"/>
        <v>0</v>
      </c>
      <c r="BB99" s="1295">
        <f t="shared" si="653"/>
        <v>1.1107456169674863</v>
      </c>
      <c r="BC99" s="1222">
        <f t="shared" si="653"/>
        <v>0</v>
      </c>
      <c r="BD99" s="1222">
        <f t="shared" si="653"/>
        <v>0.92362321915393564</v>
      </c>
      <c r="BE99" s="1281">
        <f t="shared" si="653"/>
        <v>0</v>
      </c>
      <c r="BF99" s="1281">
        <f t="shared" si="653"/>
        <v>0.7154086704792455</v>
      </c>
      <c r="BG99" s="26"/>
      <c r="BH99" s="26"/>
      <c r="BI99" s="26"/>
      <c r="BJ99" s="26"/>
      <c r="BK99" s="26"/>
      <c r="BL99" s="26"/>
      <c r="BM99" s="26"/>
      <c r="BN99" s="26"/>
    </row>
    <row r="100" spans="2:66" ht="14.45" x14ac:dyDescent="0.3">
      <c r="B100" s="3287" t="s">
        <v>26</v>
      </c>
      <c r="C100" s="3288" t="s">
        <v>219</v>
      </c>
      <c r="D100" s="2774">
        <f t="shared" ref="D100" si="661">+D25+D55</f>
        <v>63.5</v>
      </c>
      <c r="E100" s="2774">
        <f t="shared" ref="E100:L100" si="662">+E25+E55</f>
        <v>63.5</v>
      </c>
      <c r="F100" s="2774">
        <f t="shared" si="662"/>
        <v>61.153403971040611</v>
      </c>
      <c r="G100" s="2774">
        <f t="shared" ref="G100:H100" si="663">+G25+G55</f>
        <v>63.499999999999993</v>
      </c>
      <c r="H100" s="3294">
        <f t="shared" si="663"/>
        <v>63.978655018491104</v>
      </c>
      <c r="I100" s="2772">
        <f t="shared" si="662"/>
        <v>63.499999999999986</v>
      </c>
      <c r="J100" s="3305">
        <f t="shared" si="662"/>
        <v>62.635866354764772</v>
      </c>
      <c r="K100" s="2774">
        <f t="shared" si="662"/>
        <v>63.5</v>
      </c>
      <c r="L100" s="3294">
        <f t="shared" si="662"/>
        <v>63.679658971919395</v>
      </c>
      <c r="M100" s="1283">
        <f t="shared" ref="M100" si="664">+M25+M55</f>
        <v>63.5</v>
      </c>
      <c r="N100" s="1283">
        <f t="shared" ref="N100:AF100" si="665">+N25+N55</f>
        <v>63.008705062606211</v>
      </c>
      <c r="O100" s="2774">
        <f t="shared" si="665"/>
        <v>63.5</v>
      </c>
      <c r="P100" s="3294">
        <f t="shared" si="665"/>
        <v>64.591918785807621</v>
      </c>
      <c r="Q100" s="1281">
        <f t="shared" si="665"/>
        <v>63.5</v>
      </c>
      <c r="R100" s="1297">
        <f t="shared" si="665"/>
        <v>63.442816097893711</v>
      </c>
      <c r="S100" s="2774">
        <f t="shared" ref="S100:T100" si="666">+S25+S55</f>
        <v>63.5</v>
      </c>
      <c r="T100" s="3294">
        <f t="shared" si="666"/>
        <v>63.218495794393739</v>
      </c>
      <c r="U100" s="1281">
        <f t="shared" ref="U100:X100" si="667">+U25+U55</f>
        <v>63.5</v>
      </c>
      <c r="V100" s="1297">
        <f t="shared" si="667"/>
        <v>63.395962713451652</v>
      </c>
      <c r="W100" s="2774">
        <f t="shared" si="667"/>
        <v>63.5</v>
      </c>
      <c r="X100" s="3294">
        <f t="shared" si="667"/>
        <v>64.253009733606561</v>
      </c>
      <c r="Y100" s="1283">
        <f t="shared" ref="Y100:Z100" si="668">+Y25+Y55</f>
        <v>63.5</v>
      </c>
      <c r="Z100" s="1295">
        <f t="shared" si="668"/>
        <v>64.026756107456976</v>
      </c>
      <c r="AA100" s="1222">
        <f t="shared" si="665"/>
        <v>63.5</v>
      </c>
      <c r="AB100" s="1298">
        <f t="shared" si="665"/>
        <v>63.541349357475767</v>
      </c>
      <c r="AC100" s="2774">
        <f t="shared" si="665"/>
        <v>67.816371315908725</v>
      </c>
      <c r="AD100" s="3294">
        <f t="shared" si="665"/>
        <v>62.573587192945283</v>
      </c>
      <c r="AE100" s="1297">
        <f t="shared" si="665"/>
        <v>63.5</v>
      </c>
      <c r="AF100" s="1297">
        <f t="shared" si="665"/>
        <v>63.401608711984792</v>
      </c>
      <c r="AG100" s="2774">
        <f t="shared" ref="AG100:AJ100" si="669">+AG25+AG55</f>
        <v>67.816371315908725</v>
      </c>
      <c r="AH100" s="3294">
        <f t="shared" si="669"/>
        <v>73.913221616749297</v>
      </c>
      <c r="AI100" s="1297">
        <f t="shared" si="669"/>
        <v>63.5</v>
      </c>
      <c r="AJ100" s="1297">
        <f t="shared" si="669"/>
        <v>63.500034719598005</v>
      </c>
      <c r="AK100" s="2774">
        <f t="shared" ref="AK100:AL100" si="670">+AK25+AK55</f>
        <v>67.816371315908725</v>
      </c>
      <c r="AL100" s="3294">
        <f t="shared" si="670"/>
        <v>63.699516598267721</v>
      </c>
      <c r="AM100" s="1283">
        <f t="shared" ref="AM100:AN100" si="671">+AM25+AM55</f>
        <v>63.5</v>
      </c>
      <c r="AN100" s="1295">
        <f t="shared" si="671"/>
        <v>63.474807212848603</v>
      </c>
      <c r="AO100" s="1297">
        <f t="shared" ref="AO100:AT100" si="672">+AO25+AO55</f>
        <v>63.5</v>
      </c>
      <c r="AP100" s="1297">
        <f t="shared" si="672"/>
        <v>63.524336795250726</v>
      </c>
      <c r="AQ100" s="2774">
        <f t="shared" si="672"/>
        <v>67.816371315908725</v>
      </c>
      <c r="AR100" s="3294">
        <f t="shared" si="672"/>
        <v>65.042654028436033</v>
      </c>
      <c r="AS100" s="1297">
        <f t="shared" si="672"/>
        <v>63.5</v>
      </c>
      <c r="AT100" s="1297">
        <f t="shared" si="672"/>
        <v>63.692320876021853</v>
      </c>
      <c r="AU100" s="2774">
        <f t="shared" ref="AU100:AX100" si="673">+AU25+AU55</f>
        <v>67.816371315908725</v>
      </c>
      <c r="AV100" s="3294">
        <f t="shared" si="673"/>
        <v>65.78705339285662</v>
      </c>
      <c r="AW100" s="1297">
        <f t="shared" si="673"/>
        <v>63.5</v>
      </c>
      <c r="AX100" s="1297">
        <f t="shared" si="673"/>
        <v>63.887281077188547</v>
      </c>
      <c r="AY100" s="2774">
        <f t="shared" ref="AY100:AZ100" si="674">+AY25+AY55</f>
        <v>67.816371315908725</v>
      </c>
      <c r="AZ100" s="3294">
        <f t="shared" si="674"/>
        <v>62.79449782937418</v>
      </c>
      <c r="BA100" s="1283">
        <f t="shared" ref="BA100:BF100" si="675">+BA25+BA55</f>
        <v>63.5</v>
      </c>
      <c r="BB100" s="1295">
        <f t="shared" si="675"/>
        <v>64.448206359776393</v>
      </c>
      <c r="BC100" s="1222">
        <f t="shared" si="675"/>
        <v>63.5</v>
      </c>
      <c r="BD100" s="1222">
        <f t="shared" si="675"/>
        <v>64.055423773965956</v>
      </c>
      <c r="BE100" s="1281">
        <f t="shared" si="675"/>
        <v>63.5</v>
      </c>
      <c r="BF100" s="1281">
        <f t="shared" si="675"/>
        <v>63.777729420998199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ht="14.45" x14ac:dyDescent="0.3">
      <c r="B101" s="2770" t="s">
        <v>1928</v>
      </c>
      <c r="C101" s="3288" t="s">
        <v>219</v>
      </c>
      <c r="D101" s="2774">
        <f t="shared" ref="D101:E101" si="676">D59</f>
        <v>5.9999999999999982</v>
      </c>
      <c r="E101" s="2774">
        <f t="shared" si="676"/>
        <v>6</v>
      </c>
      <c r="F101" s="2774">
        <f>F59</f>
        <v>1.6797377497436536</v>
      </c>
      <c r="G101" s="2774">
        <f t="shared" ref="G101" si="677">G59</f>
        <v>6</v>
      </c>
      <c r="H101" s="2774">
        <f>H59</f>
        <v>1.958874885310127</v>
      </c>
      <c r="I101" s="2772">
        <f t="shared" ref="I101" si="678">I59</f>
        <v>6</v>
      </c>
      <c r="J101" s="2772">
        <f>J59</f>
        <v>1.8262062569409987</v>
      </c>
      <c r="K101" s="2774">
        <f t="shared" ref="K101:M101" si="679">K59</f>
        <v>6</v>
      </c>
      <c r="L101" s="2774">
        <f>L59</f>
        <v>1.8257971584536801</v>
      </c>
      <c r="M101" s="2773">
        <f t="shared" si="679"/>
        <v>5.9999999999999991</v>
      </c>
      <c r="N101" s="2773">
        <f>N59</f>
        <v>1.8260601285349485</v>
      </c>
      <c r="O101" s="2774">
        <f t="shared" ref="O101" si="680">O59</f>
        <v>5.9999999999999991</v>
      </c>
      <c r="P101" s="2774">
        <f>P59</f>
        <v>0.85687003718966726</v>
      </c>
      <c r="Q101" s="2772">
        <f t="shared" ref="Q101" si="681">Q59</f>
        <v>5.9999999999999991</v>
      </c>
      <c r="R101" s="3290">
        <f>R59</f>
        <v>1.5603119810937254</v>
      </c>
      <c r="S101" s="2774">
        <f t="shared" ref="S101" si="682">S59</f>
        <v>5.9999999999999991</v>
      </c>
      <c r="T101" s="2774">
        <f>T59</f>
        <v>1.999065710803567</v>
      </c>
      <c r="U101" s="2772">
        <f t="shared" ref="U101" si="683">U59</f>
        <v>5.9999999999999982</v>
      </c>
      <c r="V101" s="2772">
        <f>V59</f>
        <v>1.6519536954314114</v>
      </c>
      <c r="W101" s="2774">
        <f t="shared" ref="W101" si="684">W59</f>
        <v>5.9999999999999991</v>
      </c>
      <c r="X101" s="2774">
        <f>X59</f>
        <v>1.1286501024590165</v>
      </c>
      <c r="Y101" s="2773">
        <f t="shared" ref="Y101" si="685">Y59</f>
        <v>5.9999999999999991</v>
      </c>
      <c r="Z101" s="1295">
        <f>Z59</f>
        <v>1.3236175766032858</v>
      </c>
      <c r="AA101" s="1222">
        <f t="shared" ref="AA101" si="686">AA59</f>
        <v>5.9999999999999982</v>
      </c>
      <c r="AB101" s="1298">
        <f>AB59</f>
        <v>1.5631821911862087</v>
      </c>
      <c r="AC101" s="2774">
        <v>0</v>
      </c>
      <c r="AD101" s="3294">
        <f>AD59</f>
        <v>1.2283529610547745</v>
      </c>
      <c r="AE101" s="3290">
        <f t="shared" ref="AE101" si="687">AE59</f>
        <v>5.0292740052183609</v>
      </c>
      <c r="AF101" s="3290">
        <f>AF59</f>
        <v>1.5148343073127848</v>
      </c>
      <c r="AG101" s="2774">
        <v>0</v>
      </c>
      <c r="AH101" s="3294">
        <f>AH59</f>
        <v>0</v>
      </c>
      <c r="AI101" s="3290">
        <f t="shared" ref="AI101" si="688">AI59</f>
        <v>4.3448849552511444</v>
      </c>
      <c r="AJ101" s="3290">
        <f>AJ59</f>
        <v>1.5006500813129151</v>
      </c>
      <c r="AK101" s="2774">
        <v>0</v>
      </c>
      <c r="AL101" s="3294">
        <f>AL59</f>
        <v>2.0132520657957325</v>
      </c>
      <c r="AM101" s="2773">
        <f t="shared" ref="AM101" si="689">AM59</f>
        <v>0</v>
      </c>
      <c r="AN101" s="2773">
        <f>AN59</f>
        <v>1.5628541459120691</v>
      </c>
      <c r="AO101" s="3290">
        <f t="shared" ref="AO101" si="690">AO59</f>
        <v>3.8120669280377029</v>
      </c>
      <c r="AP101" s="3290">
        <f>AP59</f>
        <v>1.5630983211716456</v>
      </c>
      <c r="AQ101" s="2774">
        <v>0</v>
      </c>
      <c r="AR101" s="3294">
        <f>AR59</f>
        <v>1.7832633716993906</v>
      </c>
      <c r="AS101" s="3290">
        <f t="shared" ref="AS101" si="691">AS59</f>
        <v>3.3956541231775832</v>
      </c>
      <c r="AT101" s="3290">
        <f>AT59</f>
        <v>1.5874570143501734</v>
      </c>
      <c r="AU101" s="2774">
        <v>0</v>
      </c>
      <c r="AV101" s="3294">
        <f>AV59</f>
        <v>1.5459899152990229</v>
      </c>
      <c r="AW101" s="3290">
        <f t="shared" ref="AW101" si="692">AW59</f>
        <v>3.0895682644514295</v>
      </c>
      <c r="AX101" s="3290">
        <f>AX59</f>
        <v>1.583597603228305</v>
      </c>
      <c r="AY101" s="2774">
        <v>0</v>
      </c>
      <c r="AZ101" s="3294">
        <f>AZ59</f>
        <v>0.61704307106970391</v>
      </c>
      <c r="BA101" s="1283">
        <f t="shared" ref="BA101" si="693">BA59</f>
        <v>0</v>
      </c>
      <c r="BB101" s="1295">
        <f>BB59</f>
        <v>1.2845514539981049</v>
      </c>
      <c r="BC101" s="1222">
        <f t="shared" ref="BC101" si="694">BC59</f>
        <v>0</v>
      </c>
      <c r="BD101" s="1222">
        <f>BD59</f>
        <v>1.3968511732992599</v>
      </c>
      <c r="BE101" s="1281">
        <f t="shared" ref="BE101" si="695">BE59</f>
        <v>2.8102596356582148</v>
      </c>
      <c r="BF101" s="1281">
        <f>BF59</f>
        <v>1.4867003914454142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ht="14.45" x14ac:dyDescent="0.3">
      <c r="B102" s="3287" t="s">
        <v>1323</v>
      </c>
      <c r="C102" s="3288" t="s">
        <v>219</v>
      </c>
      <c r="D102" s="3320">
        <f t="shared" ref="D102" si="696">D35</f>
        <v>2.8361370375524362</v>
      </c>
      <c r="E102" s="3320">
        <f t="shared" ref="E102:L102" si="697">E35</f>
        <v>2.84</v>
      </c>
      <c r="F102" s="3320">
        <f t="shared" si="697"/>
        <v>1.9016250815648013</v>
      </c>
      <c r="G102" s="3320">
        <f t="shared" ref="G102:H102" si="698">G35</f>
        <v>2.8447525981502015</v>
      </c>
      <c r="H102" s="3320">
        <f t="shared" si="698"/>
        <v>3.6813338361862731</v>
      </c>
      <c r="I102" s="5437">
        <f t="shared" si="697"/>
        <v>2.8424114630803921</v>
      </c>
      <c r="J102" s="3292">
        <f t="shared" si="697"/>
        <v>2.8354717516126744</v>
      </c>
      <c r="K102" s="3320">
        <f t="shared" si="697"/>
        <v>2.84</v>
      </c>
      <c r="L102" s="3320">
        <f t="shared" si="697"/>
        <v>2.4157927467749567</v>
      </c>
      <c r="M102" s="1301">
        <f t="shared" ref="M102" si="699">M35</f>
        <v>2.8361370375524362</v>
      </c>
      <c r="N102" s="1301">
        <f t="shared" ref="N102:R102" si="700">N35</f>
        <v>2.6855640254032145</v>
      </c>
      <c r="O102" s="3320">
        <f t="shared" si="700"/>
        <v>2.8418153129711574</v>
      </c>
      <c r="P102" s="3320">
        <f t="shared" si="700"/>
        <v>2.2012262538948635</v>
      </c>
      <c r="Q102" s="1297">
        <f t="shared" si="700"/>
        <v>2.8361370375524362</v>
      </c>
      <c r="R102" s="1297">
        <f t="shared" si="700"/>
        <v>2.552760495256206</v>
      </c>
      <c r="S102" s="3320">
        <f t="shared" ref="S102:T102" si="701">S35</f>
        <v>2.8418153129711574</v>
      </c>
      <c r="T102" s="3320">
        <f t="shared" si="701"/>
        <v>2.4348933527150494</v>
      </c>
      <c r="U102" s="1297">
        <f t="shared" ref="U102:X102" si="702">U35</f>
        <v>2.8361370375524362</v>
      </c>
      <c r="V102" s="1281">
        <f t="shared" si="702"/>
        <v>2.5281417939777024</v>
      </c>
      <c r="W102" s="3320">
        <f t="shared" si="702"/>
        <v>2.8277164807440918</v>
      </c>
      <c r="X102" s="3320">
        <f t="shared" si="702"/>
        <v>2.0998761953551912</v>
      </c>
      <c r="Y102" s="1283">
        <f t="shared" ref="Y102:AA102" si="703">Y35</f>
        <v>2.8387668976515616</v>
      </c>
      <c r="Z102" s="1295">
        <f t="shared" si="703"/>
        <v>2.2458243325896277</v>
      </c>
      <c r="AA102" s="1298">
        <f t="shared" si="703"/>
        <v>2.8403053870603694</v>
      </c>
      <c r="AB102" s="1222">
        <f>AB35</f>
        <v>2.4554922232185006</v>
      </c>
      <c r="AC102" s="3320">
        <f t="shared" ref="AC102:AD102" si="704">AC35</f>
        <v>2.4499999999999997</v>
      </c>
      <c r="AD102" s="3320">
        <f t="shared" si="704"/>
        <v>2.2448284462944237</v>
      </c>
      <c r="AE102" s="1297">
        <f t="shared" ref="AE102:AH102" si="705">AE35</f>
        <v>2.777158789539901</v>
      </c>
      <c r="AF102" s="1297">
        <f t="shared" si="705"/>
        <v>2.4250732905014734</v>
      </c>
      <c r="AG102" s="3320">
        <f t="shared" si="705"/>
        <v>2.4500000000000002</v>
      </c>
      <c r="AH102" s="3320">
        <f t="shared" si="705"/>
        <v>7.0881304543778425</v>
      </c>
      <c r="AI102" s="1297">
        <f t="shared" ref="AI102:AL102" si="706">AI35</f>
        <v>2.7326386673653458</v>
      </c>
      <c r="AJ102" s="1297">
        <f t="shared" si="706"/>
        <v>2.4687360570122654</v>
      </c>
      <c r="AK102" s="3320">
        <f t="shared" si="706"/>
        <v>2.4499999999999997</v>
      </c>
      <c r="AL102" s="3320">
        <f t="shared" si="706"/>
        <v>2.9037289410515368</v>
      </c>
      <c r="AM102" s="1283">
        <f t="shared" ref="AM102:AN102" si="707">AM35</f>
        <v>2.4500000000000002</v>
      </c>
      <c r="AN102" s="1283">
        <f t="shared" si="707"/>
        <v>2.7145695957663256</v>
      </c>
      <c r="AO102" s="1297">
        <f t="shared" ref="AO102:AT102" si="708">AO35</f>
        <v>2.6979783763079652</v>
      </c>
      <c r="AP102" s="1297">
        <f t="shared" si="708"/>
        <v>2.5217294920391171</v>
      </c>
      <c r="AQ102" s="3320">
        <f t="shared" si="708"/>
        <v>2.4499999999999997</v>
      </c>
      <c r="AR102" s="3320">
        <f t="shared" si="708"/>
        <v>3.5775220040622884</v>
      </c>
      <c r="AS102" s="1297">
        <f t="shared" si="708"/>
        <v>2.6708903494783272</v>
      </c>
      <c r="AT102" s="1297">
        <f t="shared" si="708"/>
        <v>2.6385406107834992</v>
      </c>
      <c r="AU102" s="3294">
        <f t="shared" ref="AU102:AX102" si="709">AU35</f>
        <v>2.4499999999999997</v>
      </c>
      <c r="AV102" s="3294">
        <f t="shared" si="709"/>
        <v>2.899278538039527</v>
      </c>
      <c r="AW102" s="1297">
        <f t="shared" si="709"/>
        <v>2.6509791895510246</v>
      </c>
      <c r="AX102" s="1297">
        <f t="shared" si="709"/>
        <v>2.6628079185858504</v>
      </c>
      <c r="AY102" s="3294">
        <f t="shared" ref="AY102:AZ102" si="710">AY35</f>
        <v>2.4499999999999997</v>
      </c>
      <c r="AZ102" s="3294">
        <f t="shared" si="710"/>
        <v>3.6705526559680015</v>
      </c>
      <c r="BA102" s="1283">
        <f t="shared" ref="BA102:BF102" si="711">BA35</f>
        <v>2.4499999999999997</v>
      </c>
      <c r="BB102" s="1283">
        <f t="shared" si="711"/>
        <v>3.4044442304966531</v>
      </c>
      <c r="BC102" s="1222">
        <f t="shared" si="711"/>
        <v>2.4499999999999997</v>
      </c>
      <c r="BD102" s="1222">
        <f>BD35</f>
        <v>3.1260684544651625</v>
      </c>
      <c r="BE102" s="1297">
        <f t="shared" si="711"/>
        <v>2.6328099124726183</v>
      </c>
      <c r="BF102" s="1297">
        <f t="shared" si="711"/>
        <v>2.7638344535534487</v>
      </c>
      <c r="BG102" s="26"/>
      <c r="BH102" s="26"/>
      <c r="BI102" s="26"/>
      <c r="BJ102" s="26"/>
      <c r="BK102" s="26"/>
      <c r="BL102" s="26"/>
      <c r="BM102" s="26"/>
      <c r="BN102" s="26"/>
    </row>
    <row r="103" spans="2:66" ht="16.149999999999999" thickBot="1" x14ac:dyDescent="0.35">
      <c r="B103" s="3312" t="s">
        <v>21</v>
      </c>
      <c r="C103" s="3313" t="s">
        <v>219</v>
      </c>
      <c r="D103" s="2305">
        <f t="shared" ref="D103:AB103" si="712">SUM(D87:D102)</f>
        <v>1249.6754972306296</v>
      </c>
      <c r="E103" s="2305">
        <f t="shared" si="712"/>
        <v>1249.9086439182638</v>
      </c>
      <c r="F103" s="2305">
        <f t="shared" si="712"/>
        <v>1275.317993971973</v>
      </c>
      <c r="G103" s="2305">
        <f t="shared" ref="G103:H103" si="713">SUM(G87:G102)</f>
        <v>1250.1954840135081</v>
      </c>
      <c r="H103" s="2305">
        <f t="shared" si="713"/>
        <v>1270.797566041665</v>
      </c>
      <c r="I103" s="374">
        <f t="shared" si="712"/>
        <v>1250.0541862674793</v>
      </c>
      <c r="J103" s="3254">
        <f t="shared" si="712"/>
        <v>1272.9460403818439</v>
      </c>
      <c r="K103" s="2305">
        <f t="shared" ref="K103:L103" si="714">SUM(K87:K102)</f>
        <v>1249.9086439182638</v>
      </c>
      <c r="L103" s="2305">
        <f t="shared" si="714"/>
        <v>1243.3944412848086</v>
      </c>
      <c r="M103" s="1502">
        <f t="shared" si="712"/>
        <v>1249.6754972306296</v>
      </c>
      <c r="N103" s="1502">
        <f t="shared" si="712"/>
        <v>1262.3903228562476</v>
      </c>
      <c r="O103" s="2305">
        <f t="shared" ref="O103:P103" si="715">SUM(O87:O102)</f>
        <v>1250.0182059996962</v>
      </c>
      <c r="P103" s="2305">
        <f t="shared" si="715"/>
        <v>1270.1753945120117</v>
      </c>
      <c r="Q103" s="200">
        <f t="shared" si="712"/>
        <v>1250.003640598002</v>
      </c>
      <c r="R103" s="200">
        <f t="shared" si="712"/>
        <v>1264.5249591765023</v>
      </c>
      <c r="S103" s="2305">
        <f t="shared" si="712"/>
        <v>1250.0182059996962</v>
      </c>
      <c r="T103" s="2305">
        <f t="shared" si="712"/>
        <v>1272.6141046351704</v>
      </c>
      <c r="U103" s="200">
        <f t="shared" ref="U103:V103" si="716">SUM(U87:U102)</f>
        <v>1250.0054193442206</v>
      </c>
      <c r="V103" s="200">
        <f t="shared" si="716"/>
        <v>1266.214524659739</v>
      </c>
      <c r="W103" s="2305">
        <f t="shared" ref="W103:X103" si="717">SUM(W87:W102)</f>
        <v>1249.1672797797585</v>
      </c>
      <c r="X103" s="2305">
        <f t="shared" si="717"/>
        <v>1263.5891606898908</v>
      </c>
      <c r="Y103" s="200">
        <f t="shared" si="712"/>
        <v>1249.834220795608</v>
      </c>
      <c r="Z103" s="200">
        <f t="shared" si="712"/>
        <v>1268.8483575463067</v>
      </c>
      <c r="AA103" s="200">
        <f t="shared" si="712"/>
        <v>1249.9270753636997</v>
      </c>
      <c r="AB103" s="200">
        <f t="shared" si="712"/>
        <v>1265.7691665312564</v>
      </c>
      <c r="AC103" s="2305">
        <f t="shared" ref="AC103:AD103" si="718">SUM(AC87:AC102)</f>
        <v>1266.1349403504057</v>
      </c>
      <c r="AD103" s="2305">
        <f t="shared" si="718"/>
        <v>1269.111214218856</v>
      </c>
      <c r="AE103" s="256">
        <f t="shared" ref="AE103:AH103" si="719">SUM(AE87:AE102)</f>
        <v>1247.1913616999345</v>
      </c>
      <c r="AF103" s="256">
        <f t="shared" si="719"/>
        <v>1265.5856424198064</v>
      </c>
      <c r="AG103" s="2305">
        <f t="shared" si="719"/>
        <v>1265.176993462278</v>
      </c>
      <c r="AH103" s="2305">
        <f t="shared" si="719"/>
        <v>1236.5305035440647</v>
      </c>
      <c r="AI103" s="256">
        <f t="shared" ref="AI103:AL103" si="720">SUM(AI87:AI102)</f>
        <v>1245.9077792446526</v>
      </c>
      <c r="AJ103" s="256">
        <f t="shared" si="720"/>
        <v>1265.3135831891157</v>
      </c>
      <c r="AK103" s="2305">
        <f t="shared" si="720"/>
        <v>1266.1349403504057</v>
      </c>
      <c r="AL103" s="2305">
        <f t="shared" si="720"/>
        <v>1261.8918485414986</v>
      </c>
      <c r="AM103" s="2272">
        <f t="shared" ref="AM103:AN103" si="721">SUM(AM87:AM102)</f>
        <v>1238.4031806901876</v>
      </c>
      <c r="AN103" s="2272">
        <f t="shared" si="721"/>
        <v>1264.6232809922144</v>
      </c>
      <c r="AO103" s="256">
        <f t="shared" ref="AO103:AT103" si="722">SUM(AO87:AO102)</f>
        <v>1245.0259447145613</v>
      </c>
      <c r="AP103" s="256">
        <f t="shared" si="722"/>
        <v>1264.896727007369</v>
      </c>
      <c r="AQ103" s="2305">
        <f t="shared" si="722"/>
        <v>1266.1349403504057</v>
      </c>
      <c r="AR103" s="2305">
        <f t="shared" si="722"/>
        <v>1269.0141367637107</v>
      </c>
      <c r="AS103" s="256">
        <f t="shared" si="722"/>
        <v>1244.3367653487317</v>
      </c>
      <c r="AT103" s="256">
        <f t="shared" si="722"/>
        <v>1265.352270340449</v>
      </c>
      <c r="AU103" s="2305">
        <f t="shared" ref="AU103:AX103" si="723">SUM(AU87:AU102)</f>
        <v>1264.8586255150551</v>
      </c>
      <c r="AV103" s="2305">
        <f t="shared" si="723"/>
        <v>1280.2008181045783</v>
      </c>
      <c r="AW103" s="256">
        <f t="shared" si="723"/>
        <v>1243.7151337447685</v>
      </c>
      <c r="AX103" s="256">
        <f t="shared" si="723"/>
        <v>1266.7342491066458</v>
      </c>
      <c r="AY103" s="2305">
        <f t="shared" ref="AY103:AZ103" si="724">SUM(AY87:AY102)</f>
        <v>1266.1349403504057</v>
      </c>
      <c r="AZ103" s="2305">
        <f t="shared" si="724"/>
        <v>1295.7831325301208</v>
      </c>
      <c r="BA103" s="1502">
        <f t="shared" ref="BA103:BD103" si="725">SUM(BA87:BA102)</f>
        <v>1238.3186246397097</v>
      </c>
      <c r="BB103" s="1502">
        <f t="shared" si="725"/>
        <v>1282.2140476336929</v>
      </c>
      <c r="BC103" s="4915">
        <f t="shared" si="725"/>
        <v>1238.3613818455742</v>
      </c>
      <c r="BD103" s="4915">
        <f t="shared" si="725"/>
        <v>1275.1158836075226</v>
      </c>
      <c r="BE103" s="256">
        <f t="shared" ref="BE103:BF103" si="726">SUM(BE87:BE102)</f>
        <v>1243.2632678544337</v>
      </c>
      <c r="BF103" s="256">
        <f t="shared" si="726"/>
        <v>1269.6464032743515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ht="17.45" x14ac:dyDescent="0.3">
      <c r="B104" s="3283" t="s">
        <v>435</v>
      </c>
      <c r="C104" s="3284"/>
      <c r="D104" s="2489"/>
      <c r="E104" s="3285"/>
      <c r="F104" s="3285"/>
      <c r="G104" s="3285"/>
      <c r="H104" s="3285"/>
      <c r="I104" s="3285"/>
      <c r="J104" s="3286"/>
      <c r="K104" s="3285"/>
      <c r="L104" s="3285"/>
      <c r="M104" s="1299"/>
      <c r="N104" s="1278"/>
      <c r="O104" s="3285"/>
      <c r="P104" s="3285"/>
      <c r="Q104" s="1299"/>
      <c r="R104" s="1278"/>
      <c r="S104" s="3285"/>
      <c r="T104" s="3285"/>
      <c r="U104" s="1299"/>
      <c r="V104" s="1278"/>
      <c r="W104" s="3285"/>
      <c r="X104" s="3285"/>
      <c r="Y104" s="1299"/>
      <c r="Z104" s="1278"/>
      <c r="AA104" s="1278"/>
      <c r="AB104" s="1278"/>
      <c r="AC104" s="3285"/>
      <c r="AD104" s="3285"/>
      <c r="AE104" s="1299"/>
      <c r="AF104" s="1278"/>
      <c r="AG104" s="3285"/>
      <c r="AH104" s="3285"/>
      <c r="AI104" s="1299"/>
      <c r="AJ104" s="1278"/>
      <c r="AK104" s="3285"/>
      <c r="AL104" s="3285"/>
      <c r="AM104" s="1299"/>
      <c r="AN104" s="1278"/>
      <c r="AO104" s="1299"/>
      <c r="AP104" s="1278"/>
      <c r="AQ104" s="3285"/>
      <c r="AR104" s="3285"/>
      <c r="AS104" s="1299"/>
      <c r="AT104" s="1278"/>
      <c r="AU104" s="3285"/>
      <c r="AV104" s="3285"/>
      <c r="AW104" s="1299"/>
      <c r="AX104" s="1278"/>
      <c r="AY104" s="3285"/>
      <c r="AZ104" s="3285"/>
      <c r="BA104" s="1299"/>
      <c r="BB104" s="1278"/>
      <c r="BC104" s="1278"/>
      <c r="BD104" s="1278"/>
      <c r="BE104" s="1299"/>
      <c r="BF104" s="1278"/>
      <c r="BG104" s="26"/>
      <c r="BH104" s="26"/>
      <c r="BI104" s="26"/>
      <c r="BJ104" s="26"/>
      <c r="BK104" s="26"/>
      <c r="BL104" s="26"/>
      <c r="BM104" s="26"/>
      <c r="BN104" s="26"/>
    </row>
    <row r="105" spans="2:66" ht="17.45" x14ac:dyDescent="0.3">
      <c r="B105" s="5668"/>
      <c r="C105" s="5669"/>
      <c r="D105" s="5670"/>
      <c r="E105" s="5671"/>
      <c r="F105" s="5671"/>
      <c r="G105" s="5671"/>
      <c r="H105" s="5671"/>
      <c r="I105" s="5671"/>
      <c r="J105" s="5672"/>
      <c r="K105" s="5671"/>
      <c r="L105" s="5671"/>
      <c r="M105" s="5673"/>
      <c r="N105" s="5674"/>
      <c r="O105" s="5671"/>
      <c r="P105" s="5671"/>
      <c r="Q105" s="5673"/>
      <c r="R105" s="5674"/>
      <c r="S105" s="5671"/>
      <c r="T105" s="5671"/>
      <c r="U105" s="5673"/>
      <c r="V105" s="5674"/>
      <c r="W105" s="5671"/>
      <c r="X105" s="5671"/>
      <c r="Y105" s="5673"/>
      <c r="Z105" s="5674"/>
      <c r="AA105" s="5674"/>
      <c r="AB105" s="5674"/>
      <c r="AC105" s="5671"/>
      <c r="AD105" s="5671"/>
      <c r="AE105" s="5673"/>
      <c r="AF105" s="5674"/>
      <c r="AG105" s="5671"/>
      <c r="AH105" s="5671"/>
      <c r="AI105" s="5673"/>
      <c r="AJ105" s="5674"/>
      <c r="AK105" s="5671"/>
      <c r="AL105" s="5671"/>
      <c r="AM105" s="5673"/>
      <c r="AN105" s="5674"/>
      <c r="AO105" s="5673"/>
      <c r="AP105" s="5674"/>
      <c r="AQ105" s="5671"/>
      <c r="AR105" s="5671"/>
      <c r="AS105" s="5673"/>
      <c r="AT105" s="5674"/>
      <c r="AU105" s="5671"/>
      <c r="AV105" s="5671"/>
      <c r="AW105" s="5673"/>
      <c r="AX105" s="5674"/>
      <c r="AY105" s="5671"/>
      <c r="AZ105" s="5671"/>
      <c r="BA105" s="5673"/>
      <c r="BB105" s="5674"/>
      <c r="BC105" s="5674"/>
      <c r="BD105" s="5674"/>
      <c r="BE105" s="5673"/>
      <c r="BF105" s="5674"/>
      <c r="BG105" s="26"/>
      <c r="BH105" s="26"/>
      <c r="BI105" s="26"/>
      <c r="BJ105" s="26"/>
      <c r="BK105" s="26"/>
      <c r="BL105" s="26"/>
      <c r="BM105" s="26"/>
      <c r="BN105" s="26"/>
    </row>
    <row r="106" spans="2:66" ht="14.45" x14ac:dyDescent="0.3">
      <c r="B106" s="3319" t="s">
        <v>428</v>
      </c>
      <c r="C106" s="3288" t="s">
        <v>49</v>
      </c>
      <c r="D106" s="2933">
        <v>55.430739802849317</v>
      </c>
      <c r="E106" s="3294">
        <f>+$D$106</f>
        <v>55.430739802849317</v>
      </c>
      <c r="F106" s="3320">
        <v>57.06</v>
      </c>
      <c r="G106" s="3294">
        <f>+$D$106</f>
        <v>55.430739802849317</v>
      </c>
      <c r="H106" s="3320">
        <v>56.88</v>
      </c>
      <c r="I106" s="3290">
        <f>+$D$106</f>
        <v>55.430739802849317</v>
      </c>
      <c r="J106" s="3291">
        <f>+((F106*F$65)+(H106*H$65))/J$65</f>
        <v>56.965550613170763</v>
      </c>
      <c r="K106" s="3294">
        <f>+$D$106</f>
        <v>55.430739802849317</v>
      </c>
      <c r="L106" s="3320">
        <v>56.59</v>
      </c>
      <c r="M106" s="1295">
        <f>+$D$106</f>
        <v>55.430739802849317</v>
      </c>
      <c r="N106" s="1301">
        <f>+((F106*F$65)+(H106*H$65)+(L106*L$65))/N$65</f>
        <v>56.83140537872243</v>
      </c>
      <c r="O106" s="3294">
        <f>+$D$106</f>
        <v>55.430739802849317</v>
      </c>
      <c r="P106" s="3320">
        <v>55.77</v>
      </c>
      <c r="Q106" s="1297">
        <f>+$D$106</f>
        <v>55.430739802849317</v>
      </c>
      <c r="R106" s="1293">
        <f>+((N106*N$65)+(P106*P$65))/R$65</f>
        <v>56.540372158719002</v>
      </c>
      <c r="S106" s="3294">
        <f>+$D$106</f>
        <v>55.430739802849317</v>
      </c>
      <c r="T106" s="3320">
        <v>56.09</v>
      </c>
      <c r="U106" s="1297">
        <f>+$D$106</f>
        <v>55.430739802849317</v>
      </c>
      <c r="V106" s="1297">
        <f>+((R106*R$65)+(T106*T$65))/V$65</f>
        <v>56.446303723694484</v>
      </c>
      <c r="W106" s="3294">
        <f>+$D$106</f>
        <v>55.430739802849317</v>
      </c>
      <c r="X106" s="3320">
        <v>55.81</v>
      </c>
      <c r="Y106" s="1295">
        <f>+$D$106</f>
        <v>55.430739802849317</v>
      </c>
      <c r="Z106" s="1301">
        <f t="shared" ref="Z106:Z113" si="727">+((P106*P$65)+(T106*T$65)+(X106*X$65))/Z$65</f>
        <v>55.889046545487894</v>
      </c>
      <c r="AA106" s="1298">
        <f>+$D$106</f>
        <v>55.430739802849317</v>
      </c>
      <c r="AB106" s="1298">
        <f t="shared" ref="AB106:AB113" si="728">+((N106*N$65)+(Z106*Z$65))/AB$65</f>
        <v>56.33836324809343</v>
      </c>
      <c r="AC106" s="3294">
        <f>+$D$106</f>
        <v>55.430739802849317</v>
      </c>
      <c r="AD106" s="3294">
        <v>55.38</v>
      </c>
      <c r="AE106" s="1297">
        <f>+$D$106</f>
        <v>55.430739802849317</v>
      </c>
      <c r="AF106" s="1293">
        <f>+((AB106*AB$65)+(AD106*AD$65))/AF$65</f>
        <v>56.199979765238034</v>
      </c>
      <c r="AG106" s="3294">
        <f>+$D$106</f>
        <v>55.430739802849317</v>
      </c>
      <c r="AH106" s="3294">
        <v>55.14</v>
      </c>
      <c r="AI106" s="1297">
        <f>+$D$106</f>
        <v>55.430739802849317</v>
      </c>
      <c r="AJ106" s="1293">
        <f>+((AF106*AF$65)+(AH106*AH$65))/AJ$65</f>
        <v>56.190054592251883</v>
      </c>
      <c r="AK106" s="3294">
        <f>+$D$106</f>
        <v>55.430739802849317</v>
      </c>
      <c r="AL106" s="3294">
        <v>55.163473084886107</v>
      </c>
      <c r="AM106" s="1295">
        <f>+$D$106</f>
        <v>55.430739802849317</v>
      </c>
      <c r="AN106" s="1301">
        <f t="shared" ref="AN106:AN108" si="729">+((AD106*AD$65)+(AH106*AH$65)+(AL106*AL$65))/AN$65</f>
        <v>55.269104984512673</v>
      </c>
      <c r="AO106" s="1297">
        <f>+$D$106</f>
        <v>55.430739802849317</v>
      </c>
      <c r="AP106" s="1293">
        <f t="shared" ref="AP106:AP113" si="730">+((AL106*AL$65)+(AJ106*AJ$65))/AP$65</f>
        <v>56.064990292566826</v>
      </c>
      <c r="AQ106" s="3294">
        <f>+$D$106</f>
        <v>55.430739802849317</v>
      </c>
      <c r="AR106" s="3294">
        <v>55.2</v>
      </c>
      <c r="AS106" s="1297">
        <f>+$D$106</f>
        <v>55.430739802849317</v>
      </c>
      <c r="AT106" s="1297">
        <f>+((AP106*AP$65)+(AR106*AR$65))/AT$65</f>
        <v>55.969289212452004</v>
      </c>
      <c r="AU106" s="3294">
        <f>+$D$106</f>
        <v>55.430739802849317</v>
      </c>
      <c r="AV106" s="3294">
        <v>56.4</v>
      </c>
      <c r="AW106" s="1297">
        <f>+$D$106</f>
        <v>55.430739802849317</v>
      </c>
      <c r="AX106" s="1297">
        <f>+((AT106*AT$65)+(AV106*AV$65))/AX$65</f>
        <v>56.00937617396626</v>
      </c>
      <c r="AY106" s="3294">
        <f>+$D$106</f>
        <v>55.430739802849317</v>
      </c>
      <c r="AZ106" s="3294">
        <v>55.72</v>
      </c>
      <c r="BA106" s="1295">
        <f>+$D$106</f>
        <v>55.430739802849317</v>
      </c>
      <c r="BB106" s="1295">
        <f t="shared" ref="BB106:BB108" si="731">+((AR106*AR$65)+(AV106*AV$65)+(AZ106*AZ$65))/BB$65</f>
        <v>55.756450748772693</v>
      </c>
      <c r="BC106" s="1298">
        <f>+$D$106</f>
        <v>55.430739802849317</v>
      </c>
      <c r="BD106" s="1298">
        <f t="shared" ref="BD106:BD113" si="732">+((AN106*AN$65)+(BB106*BB$65))/BD$65</f>
        <v>55.5597987072397</v>
      </c>
      <c r="BE106" s="1297">
        <f>+$D$106</f>
        <v>55.430739802849317</v>
      </c>
      <c r="BF106" s="1297">
        <f>+((AX106*AX$65)+(AZ106*AZ$65))/BF$65</f>
        <v>55.980366176619178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ht="14.45" x14ac:dyDescent="0.3">
      <c r="B107" s="3319" t="s">
        <v>429</v>
      </c>
      <c r="C107" s="3288" t="s">
        <v>49</v>
      </c>
      <c r="D107" s="2933" t="s">
        <v>2227</v>
      </c>
      <c r="E107" s="3294" t="str">
        <f>+$D$107</f>
        <v>10.0-10.5</v>
      </c>
      <c r="F107" s="3321">
        <v>10.06</v>
      </c>
      <c r="G107" s="3294" t="str">
        <f>+$D$107</f>
        <v>10.0-10.5</v>
      </c>
      <c r="H107" s="3321">
        <v>9.98</v>
      </c>
      <c r="I107" s="3290" t="str">
        <f>+$D$107</f>
        <v>10.0-10.5</v>
      </c>
      <c r="J107" s="3291">
        <f t="shared" ref="J107:J113" si="733">+((F107*F$65)+(H107*H$65))/J$65</f>
        <v>10.018022494742564</v>
      </c>
      <c r="K107" s="3294" t="str">
        <f>+$D$107</f>
        <v>10.0-10.5</v>
      </c>
      <c r="L107" s="3321">
        <v>10.02</v>
      </c>
      <c r="M107" s="1284" t="str">
        <f>+$D$107</f>
        <v>10.0-10.5</v>
      </c>
      <c r="N107" s="1301">
        <f>+((F107*F$65)+(H107*H$65)+(L107*L$65))/N$65</f>
        <v>10.018728852013936</v>
      </c>
      <c r="O107" s="3294" t="str">
        <f>+$D$107</f>
        <v>10.0-10.5</v>
      </c>
      <c r="P107" s="3321">
        <v>9.9600000000000009</v>
      </c>
      <c r="Q107" s="1282" t="str">
        <f>+$D$107</f>
        <v>10.0-10.5</v>
      </c>
      <c r="R107" s="1293">
        <f t="shared" ref="R107:R113" si="734">+((N107*N$65)+(P107*P$65))/R$65</f>
        <v>10.002625629577572</v>
      </c>
      <c r="S107" s="3294" t="str">
        <f>+$D$107</f>
        <v>10.0-10.5</v>
      </c>
      <c r="T107" s="3321">
        <v>9.98</v>
      </c>
      <c r="U107" s="1282" t="str">
        <f>+$D$107</f>
        <v>10.0-10.5</v>
      </c>
      <c r="V107" s="1297">
        <f t="shared" ref="V107:V113" si="735">+((R107*R$65)+(T107*T$65))/V$65</f>
        <v>9.9978998544056346</v>
      </c>
      <c r="W107" s="3294" t="str">
        <f>+$D$107</f>
        <v>10.0-10.5</v>
      </c>
      <c r="X107" s="3321">
        <v>9.91</v>
      </c>
      <c r="Y107" s="1284" t="str">
        <f>+$D$107</f>
        <v>10.0-10.5</v>
      </c>
      <c r="Z107" s="1301">
        <f t="shared" si="727"/>
        <v>9.9504183756184457</v>
      </c>
      <c r="AA107" s="1296" t="str">
        <f>+$D$107</f>
        <v>10.0-10.5</v>
      </c>
      <c r="AB107" s="1298">
        <f t="shared" si="728"/>
        <v>9.9829888115553427</v>
      </c>
      <c r="AC107" s="3294" t="str">
        <f>+$D$107</f>
        <v>10.0-10.5</v>
      </c>
      <c r="AD107" s="3294">
        <v>10.27</v>
      </c>
      <c r="AE107" s="1297" t="str">
        <f>+$D$107</f>
        <v>10.0-10.5</v>
      </c>
      <c r="AF107" s="1293">
        <f t="shared" ref="AF107:AF113" si="736">+((AB107*AB$65)+(AD107*AD$65))/AF$65</f>
        <v>10.024431978282001</v>
      </c>
      <c r="AG107" s="3294" t="str">
        <f>+$D$107</f>
        <v>10.0-10.5</v>
      </c>
      <c r="AH107" s="3294">
        <v>10.24</v>
      </c>
      <c r="AI107" s="1297" t="str">
        <f>+$D$107</f>
        <v>10.0-10.5</v>
      </c>
      <c r="AJ107" s="1293">
        <f t="shared" ref="AJ107:AJ113" si="737">+((AF107*AF$65)+(AH107*AH$65))/AJ$65</f>
        <v>10.026450460120994</v>
      </c>
      <c r="AK107" s="3294" t="str">
        <f>+$D$107</f>
        <v>10.0-10.5</v>
      </c>
      <c r="AL107" s="3294">
        <v>10.246983333333333</v>
      </c>
      <c r="AM107" s="1284" t="str">
        <f>+$D$107</f>
        <v>10.0-10.5</v>
      </c>
      <c r="AN107" s="1301">
        <f t="shared" si="729"/>
        <v>10.258067583910069</v>
      </c>
      <c r="AO107" s="1297" t="str">
        <f>+$D$107</f>
        <v>10.0-10.5</v>
      </c>
      <c r="AP107" s="1293">
        <f t="shared" si="730"/>
        <v>10.053317093844612</v>
      </c>
      <c r="AQ107" s="3294" t="str">
        <f>+$D$107</f>
        <v>10.0-10.5</v>
      </c>
      <c r="AR107" s="3294">
        <v>10.199999999999999</v>
      </c>
      <c r="AS107" s="1297" t="str">
        <f>+$D$107</f>
        <v>10.0-10.5</v>
      </c>
      <c r="AT107" s="1297">
        <f t="shared" ref="AT107:AT113" si="738">+((AP107*AP$65)+(AR107*AR$65))/AT$65</f>
        <v>10.069545845397181</v>
      </c>
      <c r="AU107" s="3294" t="str">
        <f>+$D$107</f>
        <v>10.0-10.5</v>
      </c>
      <c r="AV107" s="3294">
        <v>10.130000000000001</v>
      </c>
      <c r="AW107" s="1297" t="str">
        <f>+$D$107</f>
        <v>10.0-10.5</v>
      </c>
      <c r="AX107" s="1297">
        <f t="shared" ref="AX107:AX113" si="739">+((AT107*AT$65)+(AV107*AV$65))/AX$65</f>
        <v>10.075172413012858</v>
      </c>
      <c r="AY107" s="3294" t="str">
        <f>+$D$107</f>
        <v>10.0-10.5</v>
      </c>
      <c r="AZ107" s="3294">
        <v>10.220000000000001</v>
      </c>
      <c r="BA107" s="1295" t="str">
        <f>+$D$107</f>
        <v>10.0-10.5</v>
      </c>
      <c r="BB107" s="1295">
        <f t="shared" si="731"/>
        <v>10.185937808942839</v>
      </c>
      <c r="BC107" s="1298" t="str">
        <f>+$D$107</f>
        <v>10.0-10.5</v>
      </c>
      <c r="BD107" s="1298">
        <f t="shared" si="732"/>
        <v>10.215043360981767</v>
      </c>
      <c r="BE107" s="1297" t="str">
        <f>+$D$107</f>
        <v>10.0-10.5</v>
      </c>
      <c r="BF107" s="1297">
        <f t="shared" ref="BF107:BF112" si="740">+((AX107*AX$65)+(AZ107*AZ$65))/BF$65</f>
        <v>10.089691396579109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ht="14.45" x14ac:dyDescent="0.3">
      <c r="B108" s="3319" t="s">
        <v>430</v>
      </c>
      <c r="C108" s="3288" t="s">
        <v>49</v>
      </c>
      <c r="D108" s="2933">
        <v>5.3691091749165931</v>
      </c>
      <c r="E108" s="3294">
        <f>+$D$108</f>
        <v>5.3691091749165931</v>
      </c>
      <c r="F108" s="3321">
        <v>5.18</v>
      </c>
      <c r="G108" s="3294">
        <f>+$D$108</f>
        <v>5.3691091749165931</v>
      </c>
      <c r="H108" s="3321">
        <v>5.22</v>
      </c>
      <c r="I108" s="3290">
        <f>+$D$108</f>
        <v>5.3691091749165931</v>
      </c>
      <c r="J108" s="3291">
        <f t="shared" si="733"/>
        <v>5.2009887526287182</v>
      </c>
      <c r="K108" s="3294">
        <f>+$D$108</f>
        <v>5.3691091749165931</v>
      </c>
      <c r="L108" s="3321">
        <v>5.53</v>
      </c>
      <c r="M108" s="1301">
        <f>+$D$108</f>
        <v>5.3691091749165931</v>
      </c>
      <c r="N108" s="1301">
        <f>+((F108*F$65)+(H108*H$65)+(L108*L$65))/N$65</f>
        <v>5.3185103046297257</v>
      </c>
      <c r="O108" s="3294">
        <f>+$D$108</f>
        <v>5.3691091749165931</v>
      </c>
      <c r="P108" s="3321">
        <v>5.97</v>
      </c>
      <c r="Q108" s="1293">
        <f>+$D$108</f>
        <v>5.3691091749165931</v>
      </c>
      <c r="R108" s="1293">
        <f t="shared" si="734"/>
        <v>5.497146241137683</v>
      </c>
      <c r="S108" s="3294">
        <f>+$D$108</f>
        <v>5.3691091749165931</v>
      </c>
      <c r="T108" s="3321">
        <v>5.79</v>
      </c>
      <c r="U108" s="1293">
        <f>+$D$108</f>
        <v>5.3691091749165931</v>
      </c>
      <c r="V108" s="1297">
        <f t="shared" si="735"/>
        <v>5.5583140870044891</v>
      </c>
      <c r="W108" s="3294">
        <f>+$D$108</f>
        <v>5.3691091749165931</v>
      </c>
      <c r="X108" s="3321">
        <v>6.16</v>
      </c>
      <c r="Y108" s="1301">
        <f>+$D$108</f>
        <v>5.3691091749165931</v>
      </c>
      <c r="Z108" s="1301">
        <f t="shared" si="727"/>
        <v>5.9719350250838499</v>
      </c>
      <c r="AA108" s="1302">
        <f>+$D$108</f>
        <v>5.3691091749165931</v>
      </c>
      <c r="AB108" s="1302">
        <f t="shared" si="728"/>
        <v>5.6603821107999552</v>
      </c>
      <c r="AC108" s="3294">
        <f>+$D$108</f>
        <v>5.3691091749165931</v>
      </c>
      <c r="AD108" s="3294">
        <v>5.92</v>
      </c>
      <c r="AE108" s="1297">
        <f>+$D$108</f>
        <v>5.3691091749165931</v>
      </c>
      <c r="AF108" s="1293">
        <f t="shared" si="736"/>
        <v>5.6978698043133917</v>
      </c>
      <c r="AG108" s="3294">
        <f>+$D$108</f>
        <v>5.3691091749165931</v>
      </c>
      <c r="AH108" s="3294">
        <v>6.21</v>
      </c>
      <c r="AI108" s="1297">
        <f>+$D$108</f>
        <v>5.3691091749165931</v>
      </c>
      <c r="AJ108" s="1293">
        <f t="shared" si="737"/>
        <v>5.7026651607440657</v>
      </c>
      <c r="AK108" s="3294">
        <f>+$D$108</f>
        <v>5.3691091749165931</v>
      </c>
      <c r="AL108" s="3294">
        <v>6.0949327122153214</v>
      </c>
      <c r="AM108" s="1301">
        <f>+$D$108</f>
        <v>5.3691091749165931</v>
      </c>
      <c r="AN108" s="1301">
        <f t="shared" si="729"/>
        <v>6.0126833104939319</v>
      </c>
      <c r="AO108" s="1297">
        <f>+$D$108</f>
        <v>5.3691091749165931</v>
      </c>
      <c r="AP108" s="1293">
        <f t="shared" si="730"/>
        <v>5.750453540197551</v>
      </c>
      <c r="AQ108" s="3294">
        <f>+$D$108</f>
        <v>5.3691091749165931</v>
      </c>
      <c r="AR108" s="3294">
        <v>6.21</v>
      </c>
      <c r="AS108" s="1297">
        <f>+$D$108</f>
        <v>5.3691091749165931</v>
      </c>
      <c r="AT108" s="1297">
        <f t="shared" si="738"/>
        <v>5.8012969923657041</v>
      </c>
      <c r="AU108" s="3294">
        <f>+$D$108</f>
        <v>5.3691091749165931</v>
      </c>
      <c r="AV108" s="3294">
        <v>5.55</v>
      </c>
      <c r="AW108" s="1297">
        <f>+$D$108</f>
        <v>5.3691091749165931</v>
      </c>
      <c r="AX108" s="1297">
        <f t="shared" si="739"/>
        <v>5.777908367903887</v>
      </c>
      <c r="AY108" s="3294">
        <f>+$D$108</f>
        <v>5.3691091749165931</v>
      </c>
      <c r="AZ108" s="3294">
        <v>5.85</v>
      </c>
      <c r="BA108" s="1295">
        <f>+$D$108</f>
        <v>5.3691091749165931</v>
      </c>
      <c r="BB108" s="1295">
        <f t="shared" si="731"/>
        <v>5.8769042022020574</v>
      </c>
      <c r="BC108" s="1298">
        <f>+$D$108</f>
        <v>5.3691091749165931</v>
      </c>
      <c r="BD108" s="1298">
        <f t="shared" si="732"/>
        <v>5.9316933084204502</v>
      </c>
      <c r="BE108" s="1297">
        <f>+$D$108</f>
        <v>5.3691091749165931</v>
      </c>
      <c r="BF108" s="1297">
        <f t="shared" si="740"/>
        <v>5.7851355629669436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ht="14.45" x14ac:dyDescent="0.3">
      <c r="B109" s="3319" t="s">
        <v>431</v>
      </c>
      <c r="C109" s="3288" t="s">
        <v>49</v>
      </c>
      <c r="D109" s="2933">
        <v>2.7277716029417967</v>
      </c>
      <c r="E109" s="3294">
        <f>+$D$109</f>
        <v>2.7277716029417967</v>
      </c>
      <c r="F109" s="3321">
        <v>2.21</v>
      </c>
      <c r="G109" s="3294">
        <f>+$D$109</f>
        <v>2.7277716029417967</v>
      </c>
      <c r="H109" s="3321">
        <v>2.36</v>
      </c>
      <c r="I109" s="3290">
        <f>+$D$109</f>
        <v>2.7277716029417967</v>
      </c>
      <c r="J109" s="3291">
        <f t="shared" si="733"/>
        <v>2.2887078223576949</v>
      </c>
      <c r="K109" s="3294">
        <f>+$D$109</f>
        <v>2.7277716029417967</v>
      </c>
      <c r="L109" s="3321">
        <v>2.1800000000000002</v>
      </c>
      <c r="M109" s="1301">
        <f>+$D$109</f>
        <v>2.7277716029417967</v>
      </c>
      <c r="N109" s="1301">
        <f t="shared" ref="N109:N112" si="741">+((F109*F$65)+(H109*H$65)+(L109*L$65))/N$65</f>
        <v>2.2498778063621954</v>
      </c>
      <c r="O109" s="3294">
        <f>+$D$109</f>
        <v>2.7277716029417967</v>
      </c>
      <c r="P109" s="3321">
        <v>2.06</v>
      </c>
      <c r="Q109" s="1293">
        <f>+$D$109</f>
        <v>2.7277716029417967</v>
      </c>
      <c r="R109" s="1293">
        <f t="shared" si="734"/>
        <v>2.1978140515512932</v>
      </c>
      <c r="S109" s="3294">
        <f>+$D$109</f>
        <v>2.7277716029417967</v>
      </c>
      <c r="T109" s="3321">
        <v>2.0299999999999998</v>
      </c>
      <c r="U109" s="1293">
        <f>+$D$109</f>
        <v>2.7277716029417967</v>
      </c>
      <c r="V109" s="1297">
        <f>+((R109*R$65)+(T109*T$65))/V$65</f>
        <v>2.1627630278613434</v>
      </c>
      <c r="W109" s="3294">
        <f>+$D$109</f>
        <v>2.7277716029417967</v>
      </c>
      <c r="X109" s="3321">
        <v>2.06</v>
      </c>
      <c r="Y109" s="1301">
        <f>+$D$109</f>
        <v>2.7277716029417967</v>
      </c>
      <c r="Z109" s="1301">
        <f>+((P109*P$65)+(T109*T$65)+(X109*X$65))/Z$65</f>
        <v>2.0500552458944061</v>
      </c>
      <c r="AA109" s="1302">
        <f>+$D$109</f>
        <v>2.7277716029417967</v>
      </c>
      <c r="AB109" s="1302">
        <f t="shared" si="728"/>
        <v>2.1453306450408336</v>
      </c>
      <c r="AC109" s="3294">
        <f>+$D$109</f>
        <v>2.7277716029417967</v>
      </c>
      <c r="AD109" s="3294">
        <v>2.21</v>
      </c>
      <c r="AE109" s="1297">
        <f>+$D$109</f>
        <v>2.7277716029417967</v>
      </c>
      <c r="AF109" s="1293">
        <f t="shared" si="736"/>
        <v>2.1546686184982513</v>
      </c>
      <c r="AG109" s="3294">
        <f>+$D$109</f>
        <v>2.7277716029417967</v>
      </c>
      <c r="AH109" s="3294">
        <v>1.86</v>
      </c>
      <c r="AI109" s="1297">
        <f>+$D$109</f>
        <v>2.7277716029417967</v>
      </c>
      <c r="AJ109" s="1293">
        <f t="shared" si="737"/>
        <v>2.1519094743069216</v>
      </c>
      <c r="AK109" s="3294">
        <f>+$D$109</f>
        <v>2.7277716029417967</v>
      </c>
      <c r="AL109" s="3294">
        <v>2.0597308488612844</v>
      </c>
      <c r="AM109" s="1301">
        <f>+$D$109</f>
        <v>2.7277716029417967</v>
      </c>
      <c r="AN109" s="1301">
        <f>+((AD109*AD$65)+(AH109*AH$65)+(AL109*AL$65))/AN$65</f>
        <v>2.1271392440735886</v>
      </c>
      <c r="AO109" s="1297">
        <f>+$D$109</f>
        <v>2.7277716029417967</v>
      </c>
      <c r="AP109" s="1293">
        <f t="shared" si="730"/>
        <v>2.140679722792235</v>
      </c>
      <c r="AQ109" s="3294">
        <f>+$D$109</f>
        <v>2.7277716029417967</v>
      </c>
      <c r="AR109" s="3294">
        <v>2.08</v>
      </c>
      <c r="AS109" s="1297">
        <f>+$D$109</f>
        <v>2.7277716029417967</v>
      </c>
      <c r="AT109" s="1297">
        <f t="shared" si="738"/>
        <v>2.1339662196903069</v>
      </c>
      <c r="AU109" s="3294">
        <f>+$D$109</f>
        <v>2.7277716029417967</v>
      </c>
      <c r="AV109" s="3294">
        <v>2.15</v>
      </c>
      <c r="AW109" s="1297">
        <f>+$D$109</f>
        <v>2.7277716029417967</v>
      </c>
      <c r="AX109" s="1297">
        <f t="shared" si="739"/>
        <v>2.1354585099992209</v>
      </c>
      <c r="AY109" s="3294">
        <f>+$D$109</f>
        <v>2.7277716029417967</v>
      </c>
      <c r="AZ109" s="3294">
        <v>2.48</v>
      </c>
      <c r="BA109" s="1295">
        <f>+$D$109</f>
        <v>2.7277716029417967</v>
      </c>
      <c r="BB109" s="1295">
        <f>+((AR109*AR$65)+(AV109*AV$65)+(AZ109*AZ$65))/BB$65</f>
        <v>2.247577219552332</v>
      </c>
      <c r="BC109" s="1298">
        <f>+$D$109</f>
        <v>2.7277716029417967</v>
      </c>
      <c r="BD109" s="1298">
        <f t="shared" si="732"/>
        <v>2.1989785130631989</v>
      </c>
      <c r="BE109" s="1297">
        <f>+$D$109</f>
        <v>2.7277716029417967</v>
      </c>
      <c r="BF109" s="1297">
        <f t="shared" si="740"/>
        <v>2.1699988371238992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ht="14.45" x14ac:dyDescent="0.3">
      <c r="B110" s="3319" t="s">
        <v>432</v>
      </c>
      <c r="C110" s="3288" t="s">
        <v>49</v>
      </c>
      <c r="D110" s="2933">
        <v>9.2462351136497105</v>
      </c>
      <c r="E110" s="3294">
        <f>+$D$110</f>
        <v>9.2462351136497105</v>
      </c>
      <c r="F110" s="3321">
        <v>8.65</v>
      </c>
      <c r="G110" s="3294">
        <f>+$D$110</f>
        <v>9.2462351136497105</v>
      </c>
      <c r="H110" s="3321">
        <v>8.75</v>
      </c>
      <c r="I110" s="3290">
        <f>+$D$110</f>
        <v>9.2462351136497105</v>
      </c>
      <c r="J110" s="3291">
        <f t="shared" si="733"/>
        <v>8.7024718815717961</v>
      </c>
      <c r="K110" s="3294">
        <f>+$D$110</f>
        <v>9.2462351136497105</v>
      </c>
      <c r="L110" s="3321">
        <v>9.24</v>
      </c>
      <c r="M110" s="1301">
        <f>+$D$110</f>
        <v>9.2462351136497105</v>
      </c>
      <c r="N110" s="1301">
        <f>+((F110*F$65)+(H110*H$65)+(L110*L$65))/N$65</f>
        <v>8.894474857842626</v>
      </c>
      <c r="O110" s="3294">
        <f>+$D$110</f>
        <v>9.2462351136497105</v>
      </c>
      <c r="P110" s="3321">
        <v>10.02</v>
      </c>
      <c r="Q110" s="1293">
        <f>+$D$110</f>
        <v>9.2462351136497105</v>
      </c>
      <c r="R110" s="1293">
        <f t="shared" si="734"/>
        <v>9.203089467193065</v>
      </c>
      <c r="S110" s="3294">
        <f>+$D$110</f>
        <v>9.2462351136497105</v>
      </c>
      <c r="T110" s="3321">
        <v>9.58</v>
      </c>
      <c r="U110" s="1293">
        <f>+$D$110</f>
        <v>9.2462351136497105</v>
      </c>
      <c r="V110" s="1297">
        <f t="shared" si="735"/>
        <v>9.2818141025396415</v>
      </c>
      <c r="W110" s="3294">
        <f>+$D$110</f>
        <v>9.2462351136497105</v>
      </c>
      <c r="X110" s="3321">
        <v>10.16</v>
      </c>
      <c r="Y110" s="1301">
        <f>+$D$110</f>
        <v>9.2462351136497105</v>
      </c>
      <c r="Z110" s="1301">
        <f t="shared" si="727"/>
        <v>9.9195356957167551</v>
      </c>
      <c r="AA110" s="1302">
        <f>+$D$110</f>
        <v>9.2462351136497105</v>
      </c>
      <c r="AB110" s="1302">
        <f>+((N110*N$65)+(Z110*Z$65))/AB$65</f>
        <v>9.4307866763407766</v>
      </c>
      <c r="AC110" s="3294">
        <f>+$D$110</f>
        <v>9.2462351136497105</v>
      </c>
      <c r="AD110" s="3294">
        <v>10.039999999999999</v>
      </c>
      <c r="AE110" s="1297">
        <f>+$D$110</f>
        <v>9.2462351136497105</v>
      </c>
      <c r="AF110" s="1293">
        <f t="shared" si="736"/>
        <v>9.5187544293797117</v>
      </c>
      <c r="AG110" s="3294">
        <f>+$D$110</f>
        <v>9.2462351136497105</v>
      </c>
      <c r="AH110" s="3294">
        <v>10.210000000000001</v>
      </c>
      <c r="AI110" s="1297">
        <f>+$D$110</f>
        <v>9.2462351136497105</v>
      </c>
      <c r="AJ110" s="1293">
        <f t="shared" si="737"/>
        <v>9.5252269414873094</v>
      </c>
      <c r="AK110" s="3294">
        <f>+$D$110</f>
        <v>9.2462351136497105</v>
      </c>
      <c r="AL110" s="3294">
        <v>10.214401244167966</v>
      </c>
      <c r="AM110" s="1301">
        <f>+$D$110</f>
        <v>9.2462351136497105</v>
      </c>
      <c r="AN110" s="1301">
        <f t="shared" ref="AN110:AN113" si="742">+((AD110*AD$65)+(AH110*AH$65)+(AL110*AL$65))/AN$65</f>
        <v>10.128570578145492</v>
      </c>
      <c r="AO110" s="1297">
        <f>+$D$110</f>
        <v>9.2462351136497105</v>
      </c>
      <c r="AP110" s="1293">
        <f t="shared" si="730"/>
        <v>9.6091862773094245</v>
      </c>
      <c r="AQ110" s="3294">
        <f>+$D$110</f>
        <v>9.2462351136497105</v>
      </c>
      <c r="AR110" s="3294">
        <v>10.35</v>
      </c>
      <c r="AS110" s="1297">
        <f>+$D$110</f>
        <v>9.2462351136497105</v>
      </c>
      <c r="AT110" s="1297">
        <f t="shared" si="738"/>
        <v>9.6911486692976503</v>
      </c>
      <c r="AU110" s="3294">
        <f>+$D$110</f>
        <v>9.2462351136497105</v>
      </c>
      <c r="AV110" s="3294">
        <v>9.32</v>
      </c>
      <c r="AW110" s="1297">
        <f>+$D$110</f>
        <v>9.2462351136497105</v>
      </c>
      <c r="AX110" s="1297">
        <f t="shared" si="739"/>
        <v>9.6566052521083474</v>
      </c>
      <c r="AY110" s="3294">
        <f>+$D$110</f>
        <v>9.2462351136497105</v>
      </c>
      <c r="AZ110" s="3294">
        <v>9.6999999999999993</v>
      </c>
      <c r="BA110" s="1295">
        <f>+$D$110</f>
        <v>9.2462351136497105</v>
      </c>
      <c r="BB110" s="1295">
        <f t="shared" ref="BB110:BB113" si="743">+((AR110*AR$65)+(AV110*AV$65)+(AZ110*AZ$65))/BB$65</f>
        <v>9.7979371688823633</v>
      </c>
      <c r="BC110" s="1298">
        <f>+$D$110</f>
        <v>9.2462351136497105</v>
      </c>
      <c r="BD110" s="1298">
        <f t="shared" si="732"/>
        <v>9.9313531944208879</v>
      </c>
      <c r="BE110" s="1297">
        <f>+$D$110</f>
        <v>9.2462351136497105</v>
      </c>
      <c r="BF110" s="1297">
        <f t="shared" si="740"/>
        <v>9.6609555809690804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ht="14.45" x14ac:dyDescent="0.3">
      <c r="B111" s="3319" t="s">
        <v>433</v>
      </c>
      <c r="C111" s="3288" t="s">
        <v>49</v>
      </c>
      <c r="D111" s="2933">
        <v>2.598845747358093</v>
      </c>
      <c r="E111" s="3294">
        <f>+$D$111</f>
        <v>2.598845747358093</v>
      </c>
      <c r="F111" s="3320">
        <v>2.29</v>
      </c>
      <c r="G111" s="3294">
        <f>+$D$111</f>
        <v>2.598845747358093</v>
      </c>
      <c r="H111" s="3320">
        <v>2.46</v>
      </c>
      <c r="I111" s="3290">
        <f>+$D$111</f>
        <v>2.598845747358093</v>
      </c>
      <c r="J111" s="3291">
        <f t="shared" si="733"/>
        <v>2.3792021986720542</v>
      </c>
      <c r="K111" s="3294">
        <f>+$D$111</f>
        <v>2.598845747358093</v>
      </c>
      <c r="L111" s="3320">
        <v>2.52</v>
      </c>
      <c r="M111" s="1301">
        <f>+$D$111</f>
        <v>2.598845747358093</v>
      </c>
      <c r="N111" s="1301">
        <f>+((F111*F$65)+(H111*H$65)+(L111*L$65))/N$65</f>
        <v>2.4294946317198431</v>
      </c>
      <c r="O111" s="3294">
        <f>+$D$111</f>
        <v>2.598845747358093</v>
      </c>
      <c r="P111" s="3320">
        <v>2.58</v>
      </c>
      <c r="Q111" s="1293">
        <f>+$D$111</f>
        <v>2.598845747358093</v>
      </c>
      <c r="R111" s="1293">
        <f t="shared" si="734"/>
        <v>2.4707626173890875</v>
      </c>
      <c r="S111" s="3294">
        <f>+$D$111</f>
        <v>2.598845747358093</v>
      </c>
      <c r="T111" s="3320">
        <v>2.75</v>
      </c>
      <c r="U111" s="1293">
        <f>+$D$111</f>
        <v>2.598845747358093</v>
      </c>
      <c r="V111" s="1297">
        <f t="shared" si="735"/>
        <v>2.5290864348676432</v>
      </c>
      <c r="W111" s="3294">
        <f>+$D$111</f>
        <v>2.598845747358093</v>
      </c>
      <c r="X111" s="3320">
        <v>2.5299999999999998</v>
      </c>
      <c r="Y111" s="1301">
        <f>+$D$111</f>
        <v>2.598845747358093</v>
      </c>
      <c r="Z111" s="1301">
        <f t="shared" si="727"/>
        <v>2.6201421461464127</v>
      </c>
      <c r="AA111" s="1302">
        <f>+$D$111</f>
        <v>2.598845747358093</v>
      </c>
      <c r="AB111" s="1302">
        <f t="shared" si="728"/>
        <v>2.5292414090587521</v>
      </c>
      <c r="AC111" s="3294">
        <f>+$D$111</f>
        <v>2.598845747358093</v>
      </c>
      <c r="AD111" s="3294">
        <v>2.61</v>
      </c>
      <c r="AE111" s="1297">
        <f>+$D$111</f>
        <v>2.598845747358093</v>
      </c>
      <c r="AF111" s="1293">
        <f t="shared" si="736"/>
        <v>2.5409025981821629</v>
      </c>
      <c r="AG111" s="3294">
        <f>+$D$111</f>
        <v>2.598845747358093</v>
      </c>
      <c r="AH111" s="3294">
        <v>2.85</v>
      </c>
      <c r="AI111" s="1297">
        <f>+$D$111</f>
        <v>2.598845747358093</v>
      </c>
      <c r="AJ111" s="1293">
        <f t="shared" si="737"/>
        <v>2.5437968470001304</v>
      </c>
      <c r="AK111" s="3294">
        <f>+$D$111</f>
        <v>2.598845747358093</v>
      </c>
      <c r="AL111" s="3294">
        <v>2.7208074534161497</v>
      </c>
      <c r="AM111" s="1301">
        <f>+$D$111</f>
        <v>2.598845747358093</v>
      </c>
      <c r="AN111" s="1301">
        <f t="shared" si="742"/>
        <v>2.6705192186059938</v>
      </c>
      <c r="AO111" s="1297">
        <f>+$D$111</f>
        <v>2.598845747358093</v>
      </c>
      <c r="AP111" s="1293">
        <f t="shared" si="730"/>
        <v>2.5653613378558568</v>
      </c>
      <c r="AQ111" s="3294">
        <f>+$D$111</f>
        <v>2.598845747358093</v>
      </c>
      <c r="AR111" s="3294">
        <v>2.39</v>
      </c>
      <c r="AS111" s="1297">
        <f>+$D$111</f>
        <v>2.598845747358093</v>
      </c>
      <c r="AT111" s="1297">
        <f t="shared" si="738"/>
        <v>2.5459596525567245</v>
      </c>
      <c r="AU111" s="3294">
        <f>+$D$111</f>
        <v>2.598845747358093</v>
      </c>
      <c r="AV111" s="3294">
        <v>2.3199999999999998</v>
      </c>
      <c r="AW111" s="1297">
        <f>+$D$111</f>
        <v>2.598845747358093</v>
      </c>
      <c r="AX111" s="1297">
        <f t="shared" si="739"/>
        <v>2.5249292159907313</v>
      </c>
      <c r="AY111" s="3294">
        <f>+$D$111</f>
        <v>2.598845747358093</v>
      </c>
      <c r="AZ111" s="3294">
        <v>2.2599999999999998</v>
      </c>
      <c r="BA111" s="1295">
        <f>+$D$111</f>
        <v>2.598845747358093</v>
      </c>
      <c r="BB111" s="1295">
        <f t="shared" si="743"/>
        <v>2.3211110130517065</v>
      </c>
      <c r="BC111" s="1298">
        <f>+$D$111</f>
        <v>2.598845747358093</v>
      </c>
      <c r="BD111" s="1298">
        <f t="shared" si="732"/>
        <v>2.4621029780787538</v>
      </c>
      <c r="BE111" s="1297">
        <f>+$D$111</f>
        <v>2.598845747358093</v>
      </c>
      <c r="BF111" s="1297">
        <f t="shared" si="740"/>
        <v>2.4983700292141728</v>
      </c>
      <c r="BG111" s="26"/>
      <c r="BH111" s="26"/>
      <c r="BI111" s="26"/>
      <c r="BJ111" s="26"/>
      <c r="BK111" s="26"/>
      <c r="BL111" s="26"/>
      <c r="BM111" s="26"/>
      <c r="BN111" s="26"/>
    </row>
    <row r="112" spans="2:66" ht="14.45" x14ac:dyDescent="0.3">
      <c r="B112" s="3319" t="s">
        <v>434</v>
      </c>
      <c r="C112" s="3288" t="s">
        <v>49</v>
      </c>
      <c r="D112" s="2933">
        <v>1.7221171729653546</v>
      </c>
      <c r="E112" s="3294">
        <f>+$D$112</f>
        <v>1.7221171729653546</v>
      </c>
      <c r="F112" s="3321">
        <v>1.67</v>
      </c>
      <c r="G112" s="3294">
        <f>+$D$112</f>
        <v>1.7221171729653546</v>
      </c>
      <c r="H112" s="3321">
        <v>1.67</v>
      </c>
      <c r="I112" s="3290">
        <f>+$D$112</f>
        <v>1.7221171729653546</v>
      </c>
      <c r="J112" s="3291">
        <f t="shared" si="733"/>
        <v>1.6700000000000002</v>
      </c>
      <c r="K112" s="3294">
        <f>+$D$112</f>
        <v>1.7221171729653546</v>
      </c>
      <c r="L112" s="3321">
        <v>1.67</v>
      </c>
      <c r="M112" s="1301">
        <f>+$D$112</f>
        <v>1.7221171729653546</v>
      </c>
      <c r="N112" s="1301">
        <f t="shared" si="741"/>
        <v>1.6700000000000002</v>
      </c>
      <c r="O112" s="3294">
        <f>+$D$112</f>
        <v>1.7221171729653546</v>
      </c>
      <c r="P112" s="3321">
        <v>1.68</v>
      </c>
      <c r="Q112" s="1293">
        <f>+$D$112</f>
        <v>1.7221171729653546</v>
      </c>
      <c r="R112" s="1293">
        <f t="shared" si="734"/>
        <v>1.6727419610437035</v>
      </c>
      <c r="S112" s="3294">
        <f>+$D$112</f>
        <v>1.7221171729653546</v>
      </c>
      <c r="T112" s="3321">
        <v>1.66</v>
      </c>
      <c r="U112" s="1293">
        <f>+$D$112</f>
        <v>1.7221171729653546</v>
      </c>
      <c r="V112" s="1297">
        <f t="shared" si="735"/>
        <v>1.6700805702109893</v>
      </c>
      <c r="W112" s="3294">
        <f>+$D$112</f>
        <v>1.7221171729653546</v>
      </c>
      <c r="X112" s="3321">
        <v>1.65</v>
      </c>
      <c r="Y112" s="1301">
        <f>+$D$112</f>
        <v>1.7221171729653546</v>
      </c>
      <c r="Z112" s="1301">
        <f t="shared" si="727"/>
        <v>1.6636432876584339</v>
      </c>
      <c r="AA112" s="1302">
        <f>+$D$112</f>
        <v>1.7221171729653546</v>
      </c>
      <c r="AB112" s="1302">
        <f t="shared" si="728"/>
        <v>1.6666741681765493</v>
      </c>
      <c r="AC112" s="3294">
        <f>+$D$112</f>
        <v>1.7221171729653546</v>
      </c>
      <c r="AD112" s="3294">
        <v>1.71</v>
      </c>
      <c r="AE112" s="1297">
        <f>+$D$112</f>
        <v>1.7221171729653546</v>
      </c>
      <c r="AF112" s="1293">
        <f t="shared" si="736"/>
        <v>1.6729302297662061</v>
      </c>
      <c r="AG112" s="3294">
        <f>+$D$112</f>
        <v>1.7221171729653546</v>
      </c>
      <c r="AH112" s="3294">
        <v>1.65</v>
      </c>
      <c r="AI112" s="1297">
        <f>+$D$112</f>
        <v>1.7221171729653546</v>
      </c>
      <c r="AJ112" s="1293">
        <f t="shared" si="737"/>
        <v>1.6727155214250611</v>
      </c>
      <c r="AK112" s="3294">
        <f>+$D$112</f>
        <v>1.7221171729653546</v>
      </c>
      <c r="AL112" s="3294">
        <v>1.6836904761904761</v>
      </c>
      <c r="AM112" s="1301">
        <f>+$D$112</f>
        <v>1.7221171729653546</v>
      </c>
      <c r="AN112" s="1301">
        <f t="shared" si="742"/>
        <v>1.6955336513759718</v>
      </c>
      <c r="AO112" s="1297">
        <f>+$D$112</f>
        <v>1.7221171729653546</v>
      </c>
      <c r="AP112" s="1293">
        <f t="shared" si="730"/>
        <v>1.6740525560608532</v>
      </c>
      <c r="AQ112" s="3294">
        <f>+$D$112</f>
        <v>1.7221171729653546</v>
      </c>
      <c r="AR112" s="3294">
        <v>1.67</v>
      </c>
      <c r="AS112" s="1297">
        <f>+$D$112</f>
        <v>1.7221171729653546</v>
      </c>
      <c r="AT112" s="1297">
        <f t="shared" si="738"/>
        <v>1.6736041880322379</v>
      </c>
      <c r="AU112" s="3294">
        <f>+$D$112</f>
        <v>1.7221171729653546</v>
      </c>
      <c r="AV112" s="3294">
        <v>1.68</v>
      </c>
      <c r="AW112" s="1297">
        <f>+$D$112</f>
        <v>1.7221171729653546</v>
      </c>
      <c r="AX112" s="1297">
        <f t="shared" si="739"/>
        <v>1.6741994567731575</v>
      </c>
      <c r="AY112" s="3294">
        <f>+$D$112</f>
        <v>1.7221171729653546</v>
      </c>
      <c r="AZ112" s="3294">
        <v>1.66</v>
      </c>
      <c r="BA112" s="1295">
        <f>+$D$112</f>
        <v>1.7221171729653546</v>
      </c>
      <c r="BB112" s="1295">
        <f t="shared" si="743"/>
        <v>1.6693980846323975</v>
      </c>
      <c r="BC112" s="1298">
        <f>+$D$112</f>
        <v>1.7221171729653546</v>
      </c>
      <c r="BD112" s="1298">
        <f t="shared" si="732"/>
        <v>1.6799442162163036</v>
      </c>
      <c r="BE112" s="1297">
        <f>+$D$112</f>
        <v>1.7221171729653546</v>
      </c>
      <c r="BF112" s="1297">
        <f t="shared" si="740"/>
        <v>1.6727759594697225</v>
      </c>
      <c r="BG112" s="26"/>
      <c r="BH112" s="26"/>
      <c r="BI112" s="26"/>
      <c r="BJ112" s="26"/>
      <c r="BK112" s="26"/>
      <c r="BL112" s="26"/>
      <c r="BM112" s="26"/>
      <c r="BN112" s="26"/>
    </row>
    <row r="113" spans="2:66" thickBot="1" x14ac:dyDescent="0.35">
      <c r="B113" s="3322" t="s">
        <v>1372</v>
      </c>
      <c r="C113" s="3296" t="s">
        <v>49</v>
      </c>
      <c r="D113" s="1451">
        <v>3.8771259387331174</v>
      </c>
      <c r="E113" s="3323">
        <f>+$D$113</f>
        <v>3.8771259387331174</v>
      </c>
      <c r="F113" s="3324">
        <v>3.47</v>
      </c>
      <c r="G113" s="3323">
        <f>+$D$113</f>
        <v>3.8771259387331174</v>
      </c>
      <c r="H113" s="3324">
        <v>3.49</v>
      </c>
      <c r="I113" s="3307">
        <f>+$D$113</f>
        <v>3.8771259387331174</v>
      </c>
      <c r="J113" s="3308">
        <f t="shared" si="733"/>
        <v>3.4804943763143594</v>
      </c>
      <c r="K113" s="3323">
        <f>+$D$113</f>
        <v>3.8771259387331174</v>
      </c>
      <c r="L113" s="3324">
        <v>3.71</v>
      </c>
      <c r="M113" s="1301">
        <f>+$D$113</f>
        <v>3.8771259387331174</v>
      </c>
      <c r="N113" s="1301">
        <f>+((F113*F$65)+(H113*H$65)+(L113*L$65))/N$65</f>
        <v>3.5624729022887576</v>
      </c>
      <c r="O113" s="3323">
        <f>+$D$113</f>
        <v>3.8771259387331174</v>
      </c>
      <c r="P113" s="3324">
        <v>4.05</v>
      </c>
      <c r="Q113" s="1293">
        <f>+$D$113</f>
        <v>3.8771259387331174</v>
      </c>
      <c r="R113" s="1293">
        <f t="shared" si="734"/>
        <v>3.6961509332561651</v>
      </c>
      <c r="S113" s="3323">
        <f>+$D$113</f>
        <v>3.8771259387331174</v>
      </c>
      <c r="T113" s="3324">
        <v>3.79</v>
      </c>
      <c r="U113" s="1293">
        <f>+$D$113</f>
        <v>3.8771259387331174</v>
      </c>
      <c r="V113" s="1297">
        <f t="shared" si="735"/>
        <v>3.715753021587322</v>
      </c>
      <c r="W113" s="3323">
        <f>+$D$113</f>
        <v>3.8771259387331174</v>
      </c>
      <c r="X113" s="3324">
        <v>3.99</v>
      </c>
      <c r="Y113" s="1301">
        <f>+$D$113</f>
        <v>3.8771259387331174</v>
      </c>
      <c r="Z113" s="1301">
        <f t="shared" si="727"/>
        <v>3.9443583785425158</v>
      </c>
      <c r="AA113" s="1302">
        <f>+$D$113</f>
        <v>3.8771259387331174</v>
      </c>
      <c r="AB113" s="1302">
        <f t="shared" si="728"/>
        <v>3.7622753790397376</v>
      </c>
      <c r="AC113" s="3323">
        <f>+$D$113</f>
        <v>3.8771259387331174</v>
      </c>
      <c r="AD113" s="3323">
        <v>4.1100000000000003</v>
      </c>
      <c r="AE113" s="1297">
        <f>+$D$113</f>
        <v>3.8771259387331174</v>
      </c>
      <c r="AF113" s="1293">
        <f t="shared" si="736"/>
        <v>3.8124853012365474</v>
      </c>
      <c r="AG113" s="3323">
        <f>+$D$113</f>
        <v>3.8771259387331174</v>
      </c>
      <c r="AH113" s="3323">
        <v>3.99</v>
      </c>
      <c r="AI113" s="1297">
        <f>+$D$113</f>
        <v>3.8771259387331174</v>
      </c>
      <c r="AJ113" s="1293">
        <f t="shared" si="737"/>
        <v>3.8141474689029411</v>
      </c>
      <c r="AK113" s="3323">
        <f>+$D$113</f>
        <v>3.8771259387331174</v>
      </c>
      <c r="AL113" s="3323">
        <v>4.1129399585921336</v>
      </c>
      <c r="AM113" s="1301">
        <f>+$D$113</f>
        <v>3.8771259387331174</v>
      </c>
      <c r="AN113" s="1301">
        <f t="shared" si="742"/>
        <v>4.1075414179893599</v>
      </c>
      <c r="AO113" s="1297">
        <f>+$D$113</f>
        <v>3.8771259387331174</v>
      </c>
      <c r="AP113" s="1293">
        <f t="shared" si="730"/>
        <v>3.8505481572126516</v>
      </c>
      <c r="AQ113" s="3323">
        <f>+$D$113</f>
        <v>3.8771259387331174</v>
      </c>
      <c r="AR113" s="3323">
        <v>4.13</v>
      </c>
      <c r="AS113" s="1297">
        <f>+$D$113</f>
        <v>3.8771259387331174</v>
      </c>
      <c r="AT113" s="1297">
        <f t="shared" si="738"/>
        <v>3.8814662419872983</v>
      </c>
      <c r="AU113" s="3323">
        <f>+$D$113</f>
        <v>3.8771259387331174</v>
      </c>
      <c r="AV113" s="3323">
        <v>3.77</v>
      </c>
      <c r="AW113" s="1297">
        <f>+$D$113</f>
        <v>3.8771259387331174</v>
      </c>
      <c r="AX113" s="1297">
        <f t="shared" si="739"/>
        <v>3.8710918954841098</v>
      </c>
      <c r="AY113" s="3323">
        <f>+$D$113</f>
        <v>3.8771259387331174</v>
      </c>
      <c r="AZ113" s="3323">
        <v>3.85</v>
      </c>
      <c r="BA113" s="1295">
        <f>+$D$113</f>
        <v>3.8771259387331174</v>
      </c>
      <c r="BB113" s="1295">
        <f t="shared" si="743"/>
        <v>3.9177412907648548</v>
      </c>
      <c r="BC113" s="1298">
        <f>+$D$113</f>
        <v>3.8771259387331174</v>
      </c>
      <c r="BD113" s="1298">
        <f t="shared" si="732"/>
        <v>3.994328767745583</v>
      </c>
      <c r="BE113" s="1297">
        <f>+$D$113</f>
        <v>3.8771259387331174</v>
      </c>
      <c r="BF113" s="1297">
        <f>+((AX113*AX$65)+(AZ113*AZ$65))/BF$65</f>
        <v>3.8689774303446605</v>
      </c>
      <c r="BG113" s="26"/>
      <c r="BH113" s="26"/>
      <c r="BI113" s="26"/>
      <c r="BJ113" s="26"/>
      <c r="BK113" s="26"/>
      <c r="BL113" s="26"/>
      <c r="BM113" s="26"/>
      <c r="BN113" s="26"/>
    </row>
    <row r="114" spans="2:66" ht="14.45" hidden="1" x14ac:dyDescent="0.3">
      <c r="B114" s="3314" t="s">
        <v>618</v>
      </c>
      <c r="C114" s="3315" t="s">
        <v>49</v>
      </c>
      <c r="D114" s="792"/>
      <c r="E114" s="3316">
        <f>+$D$114</f>
        <v>0</v>
      </c>
      <c r="F114" s="3316"/>
      <c r="G114" s="3316">
        <f>+$D$114</f>
        <v>0</v>
      </c>
      <c r="H114" s="3316"/>
      <c r="I114" s="3317">
        <f>+$D$114</f>
        <v>0</v>
      </c>
      <c r="J114" s="3318"/>
      <c r="K114" s="1300">
        <f>+$D$114</f>
        <v>0</v>
      </c>
      <c r="L114" s="1300"/>
      <c r="M114" s="1284">
        <f>+$D$114</f>
        <v>0</v>
      </c>
      <c r="N114" s="1301"/>
      <c r="O114" s="1300">
        <f>+$D$114</f>
        <v>0</v>
      </c>
      <c r="P114" s="1300"/>
      <c r="Q114" s="1282">
        <f>+$D$114</f>
        <v>0</v>
      </c>
      <c r="R114" s="1293"/>
      <c r="S114" s="1300">
        <f>+$D$114</f>
        <v>0</v>
      </c>
      <c r="T114" s="1300"/>
      <c r="U114" s="1282">
        <f>+$D$114</f>
        <v>0</v>
      </c>
      <c r="V114" s="1293"/>
      <c r="W114" s="1300">
        <f>+$D$114</f>
        <v>0</v>
      </c>
      <c r="X114" s="1300"/>
      <c r="Y114" s="1284">
        <f>+$D$114</f>
        <v>0</v>
      </c>
      <c r="Z114" s="1301"/>
      <c r="AA114" s="1296">
        <f>+$D$114</f>
        <v>0</v>
      </c>
      <c r="AB114" s="1302"/>
      <c r="AW114" s="26">
        <f t="shared" ref="AW114:AW146" si="744">AS114-AU114</f>
        <v>0</v>
      </c>
      <c r="AX114" s="26">
        <f t="shared" ref="AX114:AX146" si="745">AT114-AV114</f>
        <v>0</v>
      </c>
      <c r="BG114" s="26"/>
      <c r="BH114" s="26"/>
      <c r="BI114" s="26"/>
      <c r="BJ114" s="26"/>
      <c r="BK114" s="26">
        <f t="shared" ref="BK114:BK140" si="746">AM114+Y114+M114</f>
        <v>0</v>
      </c>
      <c r="BL114" s="26">
        <f t="shared" ref="BL114:BL140" si="747">AN114+Z114+N114</f>
        <v>0</v>
      </c>
      <c r="BM114" s="26">
        <f t="shared" ref="BM114:BM140" si="748">BK114-BG114</f>
        <v>0</v>
      </c>
      <c r="BN114" s="26">
        <f t="shared" ref="BN114:BN140" si="749">BL114-BH114</f>
        <v>0</v>
      </c>
    </row>
    <row r="115" spans="2:66" ht="14.45" hidden="1" x14ac:dyDescent="0.3">
      <c r="B115" s="545" t="s">
        <v>619</v>
      </c>
      <c r="C115" s="64" t="s">
        <v>49</v>
      </c>
      <c r="D115" s="159"/>
      <c r="E115" s="1300">
        <f>+$D$115</f>
        <v>0</v>
      </c>
      <c r="F115" s="1300"/>
      <c r="G115" s="1300">
        <f>+$D$115</f>
        <v>0</v>
      </c>
      <c r="H115" s="1300"/>
      <c r="I115" s="1282">
        <f>+$D$115</f>
        <v>0</v>
      </c>
      <c r="J115" s="1293"/>
      <c r="K115" s="1300">
        <f>+$D$115</f>
        <v>0</v>
      </c>
      <c r="L115" s="1300"/>
      <c r="M115" s="1284">
        <f>+$D$115</f>
        <v>0</v>
      </c>
      <c r="N115" s="1301"/>
      <c r="O115" s="1300">
        <f>+$D$115</f>
        <v>0</v>
      </c>
      <c r="P115" s="1300"/>
      <c r="Q115" s="1282">
        <f>+$D$115</f>
        <v>0</v>
      </c>
      <c r="R115" s="1293"/>
      <c r="S115" s="1300">
        <f>+$D$115</f>
        <v>0</v>
      </c>
      <c r="T115" s="1300"/>
      <c r="U115" s="1282">
        <f>+$D$115</f>
        <v>0</v>
      </c>
      <c r="V115" s="1293"/>
      <c r="W115" s="1300">
        <f>+$D$115</f>
        <v>0</v>
      </c>
      <c r="X115" s="1300"/>
      <c r="Y115" s="1284">
        <f>+$D$115</f>
        <v>0</v>
      </c>
      <c r="Z115" s="1301"/>
      <c r="AA115" s="1296">
        <f>+$D$115</f>
        <v>0</v>
      </c>
      <c r="AB115" s="1302"/>
      <c r="AW115" s="26">
        <f t="shared" si="744"/>
        <v>0</v>
      </c>
      <c r="AX115" s="26">
        <f t="shared" si="745"/>
        <v>0</v>
      </c>
      <c r="BG115" s="26"/>
      <c r="BH115" s="26"/>
      <c r="BI115" s="26"/>
      <c r="BJ115" s="26"/>
      <c r="BK115" s="26">
        <f t="shared" si="746"/>
        <v>0</v>
      </c>
      <c r="BL115" s="26">
        <f t="shared" si="747"/>
        <v>0</v>
      </c>
      <c r="BM115" s="26">
        <f t="shared" si="748"/>
        <v>0</v>
      </c>
      <c r="BN115" s="26">
        <f t="shared" si="749"/>
        <v>0</v>
      </c>
    </row>
    <row r="116" spans="2:66" ht="15" hidden="1" customHeight="1" x14ac:dyDescent="0.3">
      <c r="B116" s="233"/>
      <c r="C116" s="233"/>
      <c r="E116" s="233"/>
      <c r="F116" s="233"/>
      <c r="G116" s="233"/>
      <c r="H116" s="233"/>
      <c r="I116" s="233"/>
      <c r="J116" s="233"/>
      <c r="K116" s="1553"/>
      <c r="L116" s="233"/>
      <c r="M116" s="233"/>
      <c r="N116" s="233"/>
      <c r="O116" s="1553"/>
      <c r="P116" s="233"/>
      <c r="Q116" s="233"/>
      <c r="R116" s="233"/>
      <c r="S116" s="1553"/>
      <c r="T116" s="233"/>
      <c r="U116" s="233"/>
      <c r="V116" s="233"/>
      <c r="W116" s="233"/>
      <c r="X116" s="233"/>
      <c r="Y116" s="233"/>
      <c r="Z116" s="233"/>
      <c r="AA116" s="233"/>
      <c r="AB116" s="233"/>
      <c r="AW116" s="26">
        <f t="shared" si="744"/>
        <v>0</v>
      </c>
      <c r="AX116" s="26">
        <f t="shared" si="745"/>
        <v>0</v>
      </c>
      <c r="BG116" s="26"/>
      <c r="BH116" s="26"/>
      <c r="BI116" s="26"/>
      <c r="BJ116" s="26"/>
      <c r="BK116" s="26">
        <f t="shared" si="746"/>
        <v>0</v>
      </c>
      <c r="BL116" s="26">
        <f t="shared" si="747"/>
        <v>0</v>
      </c>
      <c r="BM116" s="26">
        <f t="shared" si="748"/>
        <v>0</v>
      </c>
      <c r="BN116" s="26">
        <f t="shared" si="749"/>
        <v>0</v>
      </c>
    </row>
    <row r="117" spans="2:66" ht="15" hidden="1" customHeight="1" x14ac:dyDescent="0.3">
      <c r="B117" s="233"/>
      <c r="C117" s="233"/>
      <c r="E117" s="233"/>
      <c r="F117" s="233"/>
      <c r="G117" s="233"/>
      <c r="H117" s="233"/>
      <c r="I117" s="233"/>
      <c r="J117" s="233"/>
      <c r="K117" s="1553"/>
      <c r="L117" s="233"/>
      <c r="M117" s="233"/>
      <c r="N117" s="233"/>
      <c r="O117" s="1553"/>
      <c r="P117" s="233"/>
      <c r="Q117" s="233"/>
      <c r="R117" s="233"/>
      <c r="S117" s="1553"/>
      <c r="T117" s="233"/>
      <c r="U117" s="233"/>
      <c r="V117" s="233"/>
      <c r="W117" s="233"/>
      <c r="X117" s="233"/>
      <c r="Y117" s="233"/>
      <c r="Z117" s="233"/>
      <c r="AA117" s="233"/>
      <c r="AB117" s="233"/>
      <c r="AW117" s="26">
        <f t="shared" si="744"/>
        <v>0</v>
      </c>
      <c r="AX117" s="26">
        <f t="shared" si="745"/>
        <v>0</v>
      </c>
      <c r="BG117" s="26"/>
      <c r="BH117" s="26"/>
      <c r="BI117" s="26"/>
      <c r="BJ117" s="26"/>
      <c r="BK117" s="26">
        <f t="shared" si="746"/>
        <v>0</v>
      </c>
      <c r="BL117" s="26">
        <f t="shared" si="747"/>
        <v>0</v>
      </c>
      <c r="BM117" s="26">
        <f t="shared" si="748"/>
        <v>0</v>
      </c>
      <c r="BN117" s="26">
        <f t="shared" si="749"/>
        <v>0</v>
      </c>
    </row>
    <row r="118" spans="2:66" ht="15" hidden="1" customHeight="1" x14ac:dyDescent="0.3">
      <c r="B118" s="1234" t="s">
        <v>927</v>
      </c>
      <c r="C118" s="233"/>
      <c r="E118" s="233"/>
      <c r="F118" s="233"/>
      <c r="G118" s="233"/>
      <c r="H118" s="233"/>
      <c r="I118" s="233"/>
      <c r="J118" s="233"/>
      <c r="K118" s="1553"/>
      <c r="L118" s="233"/>
      <c r="M118" s="233"/>
      <c r="N118" s="233"/>
      <c r="O118" s="1553"/>
      <c r="P118" s="233"/>
      <c r="Q118" s="233"/>
      <c r="R118" s="233"/>
      <c r="S118" s="1553"/>
      <c r="T118" s="233"/>
      <c r="U118" s="233"/>
      <c r="V118" s="233"/>
      <c r="W118" s="233"/>
      <c r="X118" s="233"/>
      <c r="Y118" s="233"/>
      <c r="Z118" s="233"/>
      <c r="AA118" s="233"/>
      <c r="AB118" s="233"/>
      <c r="AW118" s="26">
        <f t="shared" si="744"/>
        <v>0</v>
      </c>
      <c r="AX118" s="26">
        <f t="shared" si="745"/>
        <v>0</v>
      </c>
      <c r="BG118" s="26"/>
      <c r="BH118" s="26"/>
      <c r="BI118" s="26"/>
      <c r="BJ118" s="26"/>
      <c r="BK118" s="26">
        <f t="shared" si="746"/>
        <v>0</v>
      </c>
      <c r="BL118" s="26">
        <f t="shared" si="747"/>
        <v>0</v>
      </c>
      <c r="BM118" s="26">
        <f t="shared" si="748"/>
        <v>0</v>
      </c>
      <c r="BN118" s="26">
        <f t="shared" si="749"/>
        <v>0</v>
      </c>
    </row>
    <row r="119" spans="2:66" ht="15" hidden="1" customHeight="1" x14ac:dyDescent="0.3">
      <c r="B119" s="1178" t="s">
        <v>786</v>
      </c>
      <c r="C119" s="233"/>
      <c r="E119" s="233"/>
      <c r="F119" s="233"/>
      <c r="G119" s="233"/>
      <c r="H119" s="233"/>
      <c r="I119" s="233"/>
      <c r="J119" s="233"/>
      <c r="K119" s="1553"/>
      <c r="L119" s="233"/>
      <c r="M119" s="233"/>
      <c r="N119" s="233"/>
      <c r="O119" s="1553"/>
      <c r="P119" s="233"/>
      <c r="Q119" s="233"/>
      <c r="R119" s="233"/>
      <c r="S119" s="1553"/>
      <c r="T119" s="233"/>
      <c r="U119" s="233"/>
      <c r="V119" s="233"/>
      <c r="W119" s="233"/>
      <c r="X119" s="233"/>
      <c r="Y119" s="233"/>
      <c r="Z119" s="233"/>
      <c r="AA119" s="233"/>
      <c r="AB119" s="233"/>
      <c r="AW119" s="26">
        <f t="shared" si="744"/>
        <v>0</v>
      </c>
      <c r="AX119" s="26">
        <f t="shared" si="745"/>
        <v>0</v>
      </c>
      <c r="BG119" s="26"/>
      <c r="BH119" s="26"/>
      <c r="BI119" s="26"/>
      <c r="BJ119" s="26"/>
      <c r="BK119" s="26">
        <f t="shared" si="746"/>
        <v>0</v>
      </c>
      <c r="BL119" s="26">
        <f t="shared" si="747"/>
        <v>0</v>
      </c>
      <c r="BM119" s="26">
        <f t="shared" si="748"/>
        <v>0</v>
      </c>
      <c r="BN119" s="26">
        <f t="shared" si="749"/>
        <v>0</v>
      </c>
    </row>
    <row r="120" spans="2:66" ht="15" hidden="1" customHeight="1" x14ac:dyDescent="0.3">
      <c r="B120" s="1235" t="s">
        <v>932</v>
      </c>
      <c r="C120" s="1236" t="s">
        <v>49</v>
      </c>
      <c r="D120" s="731"/>
      <c r="E120" s="1237"/>
      <c r="F120" s="1238">
        <v>8</v>
      </c>
      <c r="G120" s="1237"/>
      <c r="H120" s="1238">
        <v>8</v>
      </c>
      <c r="I120" s="1239"/>
      <c r="J120" s="1240">
        <v>8</v>
      </c>
      <c r="K120" s="1243"/>
      <c r="L120" s="1238">
        <v>8</v>
      </c>
      <c r="M120" s="1241"/>
      <c r="N120" s="1242">
        <v>8</v>
      </c>
      <c r="O120" s="1243"/>
      <c r="P120" s="1238">
        <v>8</v>
      </c>
      <c r="Q120" s="1239"/>
      <c r="R120" s="1240">
        <v>8</v>
      </c>
      <c r="S120" s="1243"/>
      <c r="T120" s="1238">
        <v>8</v>
      </c>
      <c r="U120" s="1239"/>
      <c r="V120" s="1240">
        <v>8</v>
      </c>
      <c r="W120" s="1243"/>
      <c r="X120" s="1244">
        <v>8</v>
      </c>
      <c r="Y120" s="1241"/>
      <c r="Z120" s="1242">
        <v>8</v>
      </c>
      <c r="AA120" s="1245"/>
      <c r="AB120" s="1246">
        <v>8</v>
      </c>
      <c r="AW120" s="26">
        <f t="shared" si="744"/>
        <v>0</v>
      </c>
      <c r="AX120" s="26">
        <f t="shared" si="745"/>
        <v>0</v>
      </c>
      <c r="BG120" s="26"/>
      <c r="BH120" s="26"/>
      <c r="BI120" s="26"/>
      <c r="BJ120" s="26"/>
      <c r="BK120" s="26">
        <f t="shared" si="746"/>
        <v>0</v>
      </c>
      <c r="BL120" s="26">
        <f t="shared" si="747"/>
        <v>16</v>
      </c>
      <c r="BM120" s="26">
        <f t="shared" si="748"/>
        <v>0</v>
      </c>
      <c r="BN120" s="26">
        <f t="shared" si="749"/>
        <v>16</v>
      </c>
    </row>
    <row r="121" spans="2:66" ht="15" hidden="1" customHeight="1" x14ac:dyDescent="0.3">
      <c r="B121" s="1235" t="s">
        <v>933</v>
      </c>
      <c r="C121" s="1236" t="s">
        <v>49</v>
      </c>
      <c r="D121" s="731"/>
      <c r="E121" s="1247"/>
      <c r="F121" s="1248" t="e">
        <f>+'B-FCE'!#REF!</f>
        <v>#REF!</v>
      </c>
      <c r="G121" s="1247"/>
      <c r="H121" s="1248" t="e">
        <f>+'B-FCE'!#REF!</f>
        <v>#REF!</v>
      </c>
      <c r="I121" s="1249"/>
      <c r="J121" s="1250" t="e">
        <f>+'B-FCE'!#REF!</f>
        <v>#REF!</v>
      </c>
      <c r="K121" s="1253"/>
      <c r="L121" s="1248" t="e">
        <f>+'B-FCE'!#REF!</f>
        <v>#REF!</v>
      </c>
      <c r="M121" s="1251"/>
      <c r="N121" s="1252" t="e">
        <f>+'B-FCE'!#REF!</f>
        <v>#REF!</v>
      </c>
      <c r="O121" s="1253"/>
      <c r="P121" s="1248" t="e">
        <f>+'B-FCE'!#REF!</f>
        <v>#REF!</v>
      </c>
      <c r="Q121" s="1249"/>
      <c r="R121" s="1250" t="e">
        <f>+'B-FCE'!#REF!</f>
        <v>#REF!</v>
      </c>
      <c r="S121" s="1253"/>
      <c r="T121" s="1248" t="e">
        <f>+'B-FCE'!#REF!</f>
        <v>#REF!</v>
      </c>
      <c r="U121" s="1249"/>
      <c r="V121" s="1250" t="e">
        <f>+'B-FCE'!#REF!</f>
        <v>#REF!</v>
      </c>
      <c r="W121" s="1253"/>
      <c r="X121" s="1254" t="e">
        <f>+'B-FCE'!#REF!</f>
        <v>#REF!</v>
      </c>
      <c r="Y121" s="1251"/>
      <c r="Z121" s="1252" t="e">
        <f>+'B-FCE'!#REF!</f>
        <v>#REF!</v>
      </c>
      <c r="AA121" s="1255"/>
      <c r="AB121" s="1256" t="e">
        <f>+'B-FCE'!#REF!</f>
        <v>#REF!</v>
      </c>
      <c r="AW121" s="26">
        <f t="shared" si="744"/>
        <v>0</v>
      </c>
      <c r="AX121" s="26">
        <f t="shared" si="745"/>
        <v>0</v>
      </c>
      <c r="BG121" s="26"/>
      <c r="BH121" s="26"/>
      <c r="BI121" s="26"/>
      <c r="BJ121" s="26"/>
      <c r="BK121" s="26">
        <f t="shared" si="746"/>
        <v>0</v>
      </c>
      <c r="BL121" s="26" t="e">
        <f t="shared" si="747"/>
        <v>#REF!</v>
      </c>
      <c r="BM121" s="26">
        <f t="shared" si="748"/>
        <v>0</v>
      </c>
      <c r="BN121" s="26" t="e">
        <f t="shared" si="749"/>
        <v>#REF!</v>
      </c>
    </row>
    <row r="122" spans="2:66" ht="15" hidden="1" customHeight="1" x14ac:dyDescent="0.3">
      <c r="B122" s="1235" t="s">
        <v>928</v>
      </c>
      <c r="C122" s="1236" t="s">
        <v>49</v>
      </c>
      <c r="D122" s="731"/>
      <c r="E122" s="1247"/>
      <c r="F122" s="1248">
        <v>2.5</v>
      </c>
      <c r="G122" s="1247"/>
      <c r="H122" s="1248">
        <v>2.5</v>
      </c>
      <c r="I122" s="1249"/>
      <c r="J122" s="1250">
        <v>2.5</v>
      </c>
      <c r="K122" s="1253"/>
      <c r="L122" s="1248">
        <v>2.5</v>
      </c>
      <c r="M122" s="1251"/>
      <c r="N122" s="1252">
        <v>2.5</v>
      </c>
      <c r="O122" s="1253"/>
      <c r="P122" s="1248">
        <v>2.5</v>
      </c>
      <c r="Q122" s="1249"/>
      <c r="R122" s="1250">
        <v>2.5</v>
      </c>
      <c r="S122" s="1253"/>
      <c r="T122" s="1248">
        <v>2.5</v>
      </c>
      <c r="U122" s="1249"/>
      <c r="V122" s="1250">
        <v>2.5</v>
      </c>
      <c r="W122" s="1253"/>
      <c r="X122" s="1254">
        <v>2.5</v>
      </c>
      <c r="Y122" s="1251"/>
      <c r="Z122" s="1252">
        <v>2.5</v>
      </c>
      <c r="AA122" s="1255"/>
      <c r="AB122" s="1256">
        <v>2.5</v>
      </c>
      <c r="AW122" s="26">
        <f t="shared" si="744"/>
        <v>0</v>
      </c>
      <c r="AX122" s="26">
        <f t="shared" si="745"/>
        <v>0</v>
      </c>
      <c r="BG122" s="26"/>
      <c r="BH122" s="26"/>
      <c r="BI122" s="26"/>
      <c r="BJ122" s="26"/>
      <c r="BK122" s="26">
        <f t="shared" si="746"/>
        <v>0</v>
      </c>
      <c r="BL122" s="26">
        <f t="shared" si="747"/>
        <v>5</v>
      </c>
      <c r="BM122" s="26">
        <f t="shared" si="748"/>
        <v>0</v>
      </c>
      <c r="BN122" s="26">
        <f t="shared" si="749"/>
        <v>5</v>
      </c>
    </row>
    <row r="123" spans="2:66" ht="15" hidden="1" customHeight="1" x14ac:dyDescent="0.3">
      <c r="B123" s="1257" t="s">
        <v>930</v>
      </c>
      <c r="C123" s="1258" t="s">
        <v>929</v>
      </c>
      <c r="D123" s="1442"/>
      <c r="E123" s="1237"/>
      <c r="F123" s="1238">
        <f>+(F6/(F65/1000))*(100-F120)/100</f>
        <v>722.60721498928001</v>
      </c>
      <c r="G123" s="1237"/>
      <c r="H123" s="1238">
        <f>+(H6/(H65/1000))*(100-H120)/100</f>
        <v>723.18080752928461</v>
      </c>
      <c r="I123" s="1239"/>
      <c r="J123" s="1240">
        <f>+(J6/(J65/1000))*(100-J120)/100</f>
        <v>722.90818978757602</v>
      </c>
      <c r="K123" s="1243"/>
      <c r="L123" s="1238">
        <f>+(L6/(L65/1000))*(100-L120)/100</f>
        <v>720.5542769364879</v>
      </c>
      <c r="M123" s="1241"/>
      <c r="N123" s="1242">
        <f>+(N6/(N65/1000))*(100-N120)/100</f>
        <v>722.06738117162354</v>
      </c>
      <c r="O123" s="1243"/>
      <c r="P123" s="1238">
        <f>+(P6/(P65/1000))*(100-P120)/100</f>
        <v>720.83928032968151</v>
      </c>
      <c r="Q123" s="1239"/>
      <c r="R123" s="1240">
        <f>+(R6/(R65/1000))*(100-R120)/100</f>
        <v>721.73064070498901</v>
      </c>
      <c r="S123" s="1243"/>
      <c r="T123" s="1238">
        <f>+(T6/(T65/1000))*(100-T120)/100</f>
        <v>720.2827921154344</v>
      </c>
      <c r="U123" s="1239"/>
      <c r="V123" s="1240">
        <f>+(V6/(V65/1000))*(100-V120)/100</f>
        <v>721.42823113473673</v>
      </c>
      <c r="W123" s="1243"/>
      <c r="X123" s="1244">
        <f>+(X6/(X65/1000))*(100-X120)/100</f>
        <v>719.71717042349735</v>
      </c>
      <c r="Y123" s="1241"/>
      <c r="Z123" s="1242">
        <f>+(Z6/(Z65/1000))*(100-Z120)/100</f>
        <v>720.29098824056621</v>
      </c>
      <c r="AA123" s="1245"/>
      <c r="AB123" s="1246">
        <f>+(AB6/(AB65/1000))*(100-AB120)/100</f>
        <v>721.13797241067778</v>
      </c>
      <c r="AW123" s="26">
        <f t="shared" si="744"/>
        <v>0</v>
      </c>
      <c r="AX123" s="26">
        <f t="shared" si="745"/>
        <v>0</v>
      </c>
      <c r="BG123" s="26"/>
      <c r="BH123" s="26"/>
      <c r="BI123" s="26"/>
      <c r="BJ123" s="26"/>
      <c r="BK123" s="26">
        <f t="shared" si="746"/>
        <v>0</v>
      </c>
      <c r="BL123" s="26">
        <f t="shared" si="747"/>
        <v>1442.3583694121899</v>
      </c>
      <c r="BM123" s="26">
        <f t="shared" si="748"/>
        <v>0</v>
      </c>
      <c r="BN123" s="26">
        <f t="shared" si="749"/>
        <v>1442.3583694121899</v>
      </c>
    </row>
    <row r="124" spans="2:66" ht="15" hidden="1" customHeight="1" x14ac:dyDescent="0.3">
      <c r="B124" s="1257" t="s">
        <v>48</v>
      </c>
      <c r="C124" s="1259" t="s">
        <v>354</v>
      </c>
      <c r="D124" s="842"/>
      <c r="E124" s="1237"/>
      <c r="F124" s="1238">
        <f>+F123*F65/1000</f>
        <v>232556.68</v>
      </c>
      <c r="G124" s="1237"/>
      <c r="H124" s="1238">
        <f>+H123*H65/1000</f>
        <v>256950.48</v>
      </c>
      <c r="I124" s="1239"/>
      <c r="J124" s="1240">
        <f>+J123*J65/1000</f>
        <v>489507.16000000003</v>
      </c>
      <c r="K124" s="1243"/>
      <c r="L124" s="1238">
        <f>+L123*L65/1000</f>
        <v>271125.84000000008</v>
      </c>
      <c r="M124" s="1241"/>
      <c r="N124" s="1242">
        <f>+N123*N65/1000</f>
        <v>760633</v>
      </c>
      <c r="O124" s="1243"/>
      <c r="P124" s="1238">
        <f>+P123*P65/1000</f>
        <v>286865.20000000007</v>
      </c>
      <c r="Q124" s="1239"/>
      <c r="R124" s="1240">
        <f>+R123*R65/1000</f>
        <v>1047498.1999999998</v>
      </c>
      <c r="S124" s="1243"/>
      <c r="T124" s="1238">
        <f>+T123*T65/1000</f>
        <v>275997.24000000005</v>
      </c>
      <c r="U124" s="1239"/>
      <c r="V124" s="1240">
        <f>+V123*V65/1000</f>
        <v>1323495.4400000002</v>
      </c>
      <c r="W124" s="1243"/>
      <c r="X124" s="1244">
        <f>+X123*X65/1000</f>
        <v>269738.48000000004</v>
      </c>
      <c r="Y124" s="1241"/>
      <c r="Z124" s="1242">
        <f>+Z123*Z65/1000</f>
        <v>832600.92</v>
      </c>
      <c r="AA124" s="1245"/>
      <c r="AB124" s="1246">
        <f>+AB123*AB65/1000</f>
        <v>1593233.92</v>
      </c>
      <c r="AW124" s="26">
        <f t="shared" si="744"/>
        <v>0</v>
      </c>
      <c r="AX124" s="26">
        <f t="shared" si="745"/>
        <v>0</v>
      </c>
      <c r="BG124" s="26"/>
      <c r="BH124" s="26"/>
      <c r="BI124" s="26"/>
      <c r="BJ124" s="26"/>
      <c r="BK124" s="26">
        <f t="shared" si="746"/>
        <v>0</v>
      </c>
      <c r="BL124" s="26">
        <f t="shared" si="747"/>
        <v>1593233.92</v>
      </c>
      <c r="BM124" s="26">
        <f t="shared" si="748"/>
        <v>0</v>
      </c>
      <c r="BN124" s="26">
        <f t="shared" si="749"/>
        <v>1593233.92</v>
      </c>
    </row>
    <row r="125" spans="2:66" ht="15" hidden="1" customHeight="1" x14ac:dyDescent="0.3">
      <c r="B125" s="1235" t="s">
        <v>209</v>
      </c>
      <c r="C125" s="1259" t="s">
        <v>354</v>
      </c>
      <c r="D125" s="842"/>
      <c r="E125" s="1237"/>
      <c r="F125" s="1238">
        <f>+F124*F120/(100-F120)</f>
        <v>20222.32</v>
      </c>
      <c r="G125" s="1237"/>
      <c r="H125" s="1238">
        <f>+H124*H120/(100-H120)</f>
        <v>22343.52</v>
      </c>
      <c r="I125" s="1239"/>
      <c r="J125" s="1240">
        <f>+J124*J120/(100-J120)</f>
        <v>42565.840000000004</v>
      </c>
      <c r="K125" s="1243"/>
      <c r="L125" s="1238">
        <f>+L124*L120/(100-L120)</f>
        <v>23576.160000000007</v>
      </c>
      <c r="M125" s="1241"/>
      <c r="N125" s="1242">
        <f>+N124*N120/(100-N120)</f>
        <v>66142</v>
      </c>
      <c r="O125" s="1243"/>
      <c r="P125" s="1238">
        <f>+P124*P120/(100-P120)</f>
        <v>24944.800000000007</v>
      </c>
      <c r="Q125" s="1239"/>
      <c r="R125" s="1240">
        <f>+R124*R120/(100-R120)</f>
        <v>91086.799999999988</v>
      </c>
      <c r="S125" s="1243"/>
      <c r="T125" s="1238">
        <f>+T124*T120/(100-T120)</f>
        <v>23999.760000000006</v>
      </c>
      <c r="U125" s="1239"/>
      <c r="V125" s="1240">
        <f>+V124*V120/(100-V120)</f>
        <v>115086.56000000001</v>
      </c>
      <c r="W125" s="1243"/>
      <c r="X125" s="1244">
        <f>+X124*X120/(100-X120)</f>
        <v>23455.520000000004</v>
      </c>
      <c r="Y125" s="1241"/>
      <c r="Z125" s="1242">
        <f>+Z124*Z120/(100-Z120)</f>
        <v>72400.08</v>
      </c>
      <c r="AA125" s="1245"/>
      <c r="AB125" s="1246">
        <f>+AB124*AB120/(100-AB120)</f>
        <v>138542.07999999999</v>
      </c>
      <c r="AW125" s="26">
        <f t="shared" si="744"/>
        <v>0</v>
      </c>
      <c r="AX125" s="26">
        <f t="shared" si="745"/>
        <v>0</v>
      </c>
      <c r="BG125" s="26"/>
      <c r="BH125" s="26"/>
      <c r="BI125" s="26"/>
      <c r="BJ125" s="26"/>
      <c r="BK125" s="26">
        <f t="shared" si="746"/>
        <v>0</v>
      </c>
      <c r="BL125" s="26">
        <f t="shared" si="747"/>
        <v>138542.08000000002</v>
      </c>
      <c r="BM125" s="26">
        <f t="shared" si="748"/>
        <v>0</v>
      </c>
      <c r="BN125" s="26">
        <f t="shared" si="749"/>
        <v>138542.08000000002</v>
      </c>
    </row>
    <row r="126" spans="2:66" ht="15" hidden="1" customHeight="1" x14ac:dyDescent="0.3">
      <c r="B126" s="1235" t="s">
        <v>843</v>
      </c>
      <c r="C126" s="1259" t="s">
        <v>354</v>
      </c>
      <c r="D126" s="842"/>
      <c r="E126" s="1237"/>
      <c r="F126" s="1238">
        <f>+F124/(100-F122)*F122</f>
        <v>5962.9917948717948</v>
      </c>
      <c r="G126" s="1237"/>
      <c r="H126" s="1238">
        <f>+H124/(100-H122)*H122</f>
        <v>6588.4738461538464</v>
      </c>
      <c r="I126" s="1239"/>
      <c r="J126" s="1240">
        <f>+J124/(100-J122)*J122</f>
        <v>12551.465641025643</v>
      </c>
      <c r="K126" s="1243"/>
      <c r="L126" s="1238">
        <f>+L124/(100-L122)*L122</f>
        <v>6951.9446153846175</v>
      </c>
      <c r="M126" s="1241"/>
      <c r="N126" s="1242">
        <f>+N124/(100-N122)*N122</f>
        <v>19503.410256410258</v>
      </c>
      <c r="O126" s="1243"/>
      <c r="P126" s="1238">
        <f>+P124/(100-P122)*P122</f>
        <v>7355.5179487179512</v>
      </c>
      <c r="Q126" s="1239"/>
      <c r="R126" s="1240">
        <f>+R124/(100-R122)*R122</f>
        <v>26858.928205128199</v>
      </c>
      <c r="S126" s="1243"/>
      <c r="T126" s="1238">
        <f>+T124/(100-T122)*T122</f>
        <v>7076.8523076923084</v>
      </c>
      <c r="U126" s="1239"/>
      <c r="V126" s="1240">
        <f>+V124/(100-V122)*V122</f>
        <v>33935.780512820515</v>
      </c>
      <c r="W126" s="1243"/>
      <c r="X126" s="1244">
        <f>+X124/(100-X122)*X122</f>
        <v>6916.3712820512828</v>
      </c>
      <c r="Y126" s="1241"/>
      <c r="Z126" s="1242">
        <f>+Z124/(100-Z122)*Z122</f>
        <v>21348.741538461541</v>
      </c>
      <c r="AA126" s="1245"/>
      <c r="AB126" s="1246">
        <f>+AB124/(100-AB122)*AB122</f>
        <v>40852.151794871796</v>
      </c>
      <c r="AW126" s="26">
        <f t="shared" si="744"/>
        <v>0</v>
      </c>
      <c r="AX126" s="26">
        <f t="shared" si="745"/>
        <v>0</v>
      </c>
      <c r="BG126" s="26"/>
      <c r="BH126" s="26"/>
      <c r="BI126" s="26"/>
      <c r="BJ126" s="26"/>
      <c r="BK126" s="26">
        <f t="shared" si="746"/>
        <v>0</v>
      </c>
      <c r="BL126" s="26">
        <f t="shared" si="747"/>
        <v>40852.151794871796</v>
      </c>
      <c r="BM126" s="26">
        <f t="shared" si="748"/>
        <v>0</v>
      </c>
      <c r="BN126" s="26">
        <f t="shared" si="749"/>
        <v>40852.151794871796</v>
      </c>
    </row>
    <row r="127" spans="2:66" ht="15" hidden="1" customHeight="1" x14ac:dyDescent="0.3">
      <c r="B127" s="1235" t="s">
        <v>922</v>
      </c>
      <c r="C127" s="1259" t="s">
        <v>354</v>
      </c>
      <c r="D127" s="842"/>
      <c r="E127" s="1237"/>
      <c r="F127" s="1238">
        <f>+F126*F120/(100-F120)</f>
        <v>518.52102564102563</v>
      </c>
      <c r="G127" s="1237"/>
      <c r="H127" s="1238">
        <f>+H126*H120/(100-H120)</f>
        <v>572.91076923076923</v>
      </c>
      <c r="I127" s="1239"/>
      <c r="J127" s="1240">
        <f>+J126*J120/(100-J120)</f>
        <v>1091.4317948717951</v>
      </c>
      <c r="K127" s="1243"/>
      <c r="L127" s="1238">
        <f>+L126*L120/(100-L120)</f>
        <v>604.51692307692326</v>
      </c>
      <c r="M127" s="1241"/>
      <c r="N127" s="1242">
        <f>+N126*N120/(100-N120)</f>
        <v>1695.948717948718</v>
      </c>
      <c r="O127" s="1243"/>
      <c r="P127" s="1238">
        <f>+P126*P120/(100-P120)</f>
        <v>639.61025641025662</v>
      </c>
      <c r="Q127" s="1239"/>
      <c r="R127" s="1240">
        <f>+R126*R120/(100-R120)</f>
        <v>2335.558974358974</v>
      </c>
      <c r="S127" s="1243"/>
      <c r="T127" s="1238">
        <f>+T126*T120/(100-T120)</f>
        <v>615.37846153846158</v>
      </c>
      <c r="U127" s="1239"/>
      <c r="V127" s="1240">
        <f>+V126*V120/(100-V120)</f>
        <v>2950.937435897436</v>
      </c>
      <c r="W127" s="1243"/>
      <c r="X127" s="1244">
        <f>+X126*X120/(100-X120)</f>
        <v>601.42358974358979</v>
      </c>
      <c r="Y127" s="1241"/>
      <c r="Z127" s="1242">
        <f>+Z126*Z120/(100-Z120)</f>
        <v>1856.4123076923079</v>
      </c>
      <c r="AA127" s="1245"/>
      <c r="AB127" s="1246">
        <f>+AB126*AB120/(100-AB120)</f>
        <v>3552.3610256410257</v>
      </c>
      <c r="AW127" s="26">
        <f t="shared" si="744"/>
        <v>0</v>
      </c>
      <c r="AX127" s="26">
        <f t="shared" si="745"/>
        <v>0</v>
      </c>
      <c r="BG127" s="26"/>
      <c r="BH127" s="26"/>
      <c r="BI127" s="26"/>
      <c r="BJ127" s="26"/>
      <c r="BK127" s="26">
        <f t="shared" si="746"/>
        <v>0</v>
      </c>
      <c r="BL127" s="26">
        <f t="shared" si="747"/>
        <v>3552.3610256410257</v>
      </c>
      <c r="BM127" s="26">
        <f t="shared" si="748"/>
        <v>0</v>
      </c>
      <c r="BN127" s="26">
        <f t="shared" si="749"/>
        <v>3552.3610256410257</v>
      </c>
    </row>
    <row r="128" spans="2:66" ht="15" hidden="1" customHeight="1" x14ac:dyDescent="0.3">
      <c r="B128" s="1235" t="s">
        <v>502</v>
      </c>
      <c r="C128" s="1259" t="s">
        <v>354</v>
      </c>
      <c r="D128" s="842"/>
      <c r="E128" s="1237"/>
      <c r="F128" s="1238">
        <f>SUM(F124:F127)</f>
        <v>259260.51282051284</v>
      </c>
      <c r="G128" s="1237"/>
      <c r="H128" s="1238">
        <f>SUM(H124:H127)</f>
        <v>286455.38461538457</v>
      </c>
      <c r="I128" s="1239"/>
      <c r="J128" s="1240">
        <f>SUM(J124:J127)</f>
        <v>545715.8974358975</v>
      </c>
      <c r="K128" s="1243"/>
      <c r="L128" s="1238">
        <f>SUM(L124:L127)</f>
        <v>302258.46153846168</v>
      </c>
      <c r="M128" s="1241"/>
      <c r="N128" s="1242">
        <f>SUM(N124:N127)</f>
        <v>847974.358974359</v>
      </c>
      <c r="O128" s="1243"/>
      <c r="P128" s="1238">
        <f>SUM(P124:P127)</f>
        <v>319805.12820512825</v>
      </c>
      <c r="Q128" s="1239"/>
      <c r="R128" s="1240">
        <f>SUM(R124:R127)</f>
        <v>1167779.487179487</v>
      </c>
      <c r="S128" s="1243"/>
      <c r="T128" s="1238">
        <f>SUM(T124:T127)</f>
        <v>307689.23076923081</v>
      </c>
      <c r="U128" s="1239"/>
      <c r="V128" s="1240">
        <f>SUM(V124:V127)</f>
        <v>1475468.7179487182</v>
      </c>
      <c r="W128" s="1243"/>
      <c r="X128" s="1244">
        <f>SUM(X124:X127)</f>
        <v>300711.79487179493</v>
      </c>
      <c r="Y128" s="1241"/>
      <c r="Z128" s="1242">
        <f>SUM(Z124:Z127)</f>
        <v>928206.15384615387</v>
      </c>
      <c r="AA128" s="1245"/>
      <c r="AB128" s="1246">
        <f>SUM(AB124:AB127)</f>
        <v>1776180.5128205128</v>
      </c>
      <c r="AW128" s="26">
        <f t="shared" si="744"/>
        <v>0</v>
      </c>
      <c r="AX128" s="26">
        <f t="shared" si="745"/>
        <v>0</v>
      </c>
      <c r="BG128" s="26"/>
      <c r="BH128" s="26"/>
      <c r="BI128" s="26"/>
      <c r="BJ128" s="26"/>
      <c r="BK128" s="26">
        <f t="shared" si="746"/>
        <v>0</v>
      </c>
      <c r="BL128" s="26">
        <f t="shared" si="747"/>
        <v>1776180.512820513</v>
      </c>
      <c r="BM128" s="26">
        <f t="shared" si="748"/>
        <v>0</v>
      </c>
      <c r="BN128" s="26">
        <f t="shared" si="749"/>
        <v>1776180.512820513</v>
      </c>
    </row>
    <row r="129" spans="2:66" ht="15" hidden="1" customHeight="1" x14ac:dyDescent="0.3">
      <c r="B129" s="1260" t="s">
        <v>931</v>
      </c>
      <c r="C129" s="1259" t="s">
        <v>354</v>
      </c>
      <c r="D129" s="842"/>
      <c r="E129" s="1237"/>
      <c r="F129" s="1238" t="e">
        <f>+'B-FCE'!#REF!+SMS!F146</f>
        <v>#REF!</v>
      </c>
      <c r="G129" s="1237"/>
      <c r="H129" s="1238" t="e">
        <f>+'B-FCE'!#REF!+SMS!H146</f>
        <v>#REF!</v>
      </c>
      <c r="I129" s="1239"/>
      <c r="J129" s="1240" t="e">
        <f>+'B-FCE'!#REF!+SMS!J146</f>
        <v>#REF!</v>
      </c>
      <c r="K129" s="1243"/>
      <c r="L129" s="1238" t="e">
        <f>+'B-FCE'!#REF!+SMS!L146</f>
        <v>#REF!</v>
      </c>
      <c r="M129" s="1241"/>
      <c r="N129" s="1242" t="e">
        <f>+'B-FCE'!#REF!+SMS!N146</f>
        <v>#REF!</v>
      </c>
      <c r="O129" s="1243"/>
      <c r="P129" s="1238" t="e">
        <f>+'B-FCE'!#REF!+SMS!P146</f>
        <v>#REF!</v>
      </c>
      <c r="Q129" s="1239"/>
      <c r="R129" s="1240" t="e">
        <f>+'B-FCE'!#REF!+SMS!R146</f>
        <v>#REF!</v>
      </c>
      <c r="S129" s="1243"/>
      <c r="T129" s="1238" t="e">
        <f>+'B-FCE'!#REF!+SMS!T146</f>
        <v>#REF!</v>
      </c>
      <c r="U129" s="1239"/>
      <c r="V129" s="1240" t="e">
        <f>+'B-FCE'!#REF!+SMS!V146</f>
        <v>#REF!</v>
      </c>
      <c r="W129" s="1243"/>
      <c r="X129" s="1244" t="e">
        <f>+'B-FCE'!#REF!+SMS!X146</f>
        <v>#REF!</v>
      </c>
      <c r="Y129" s="1241"/>
      <c r="Z129" s="1242" t="e">
        <f>+'B-FCE'!#REF!+SMS!Z146</f>
        <v>#REF!</v>
      </c>
      <c r="AA129" s="1245"/>
      <c r="AB129" s="1246" t="e">
        <f>+'B-FCE'!#REF!+SMS!AB146</f>
        <v>#REF!</v>
      </c>
      <c r="AW129" s="26">
        <f t="shared" si="744"/>
        <v>0</v>
      </c>
      <c r="AX129" s="26">
        <f t="shared" si="745"/>
        <v>0</v>
      </c>
      <c r="BG129" s="26"/>
      <c r="BH129" s="26"/>
      <c r="BI129" s="26"/>
      <c r="BJ129" s="26"/>
      <c r="BK129" s="26">
        <f t="shared" si="746"/>
        <v>0</v>
      </c>
      <c r="BL129" s="26" t="e">
        <f t="shared" si="747"/>
        <v>#REF!</v>
      </c>
      <c r="BM129" s="26">
        <f t="shared" si="748"/>
        <v>0</v>
      </c>
      <c r="BN129" s="26" t="e">
        <f t="shared" si="749"/>
        <v>#REF!</v>
      </c>
    </row>
    <row r="130" spans="2:66" ht="15" hidden="1" customHeight="1" x14ac:dyDescent="0.3">
      <c r="B130" s="1235" t="s">
        <v>209</v>
      </c>
      <c r="C130" s="1259" t="s">
        <v>354</v>
      </c>
      <c r="D130" s="842"/>
      <c r="E130" s="1237"/>
      <c r="F130" s="1238" t="e">
        <f>+F129*F121/(100-F121)</f>
        <v>#REF!</v>
      </c>
      <c r="G130" s="1237"/>
      <c r="H130" s="1238" t="e">
        <f>+H129*H121/(100-H121)</f>
        <v>#REF!</v>
      </c>
      <c r="I130" s="1239"/>
      <c r="J130" s="1240" t="e">
        <f>+J129*J121/(100-J121)</f>
        <v>#REF!</v>
      </c>
      <c r="K130" s="1243"/>
      <c r="L130" s="1238" t="e">
        <f>+L129*L121/(100-L121)</f>
        <v>#REF!</v>
      </c>
      <c r="M130" s="1241"/>
      <c r="N130" s="1242" t="e">
        <f>+N129*N121/(100-N121)</f>
        <v>#REF!</v>
      </c>
      <c r="O130" s="1243"/>
      <c r="P130" s="1238" t="e">
        <f>+P129*P121/(100-P121)</f>
        <v>#REF!</v>
      </c>
      <c r="Q130" s="1239"/>
      <c r="R130" s="1240" t="e">
        <f>+R129*R121/(100-R121)</f>
        <v>#REF!</v>
      </c>
      <c r="S130" s="1243"/>
      <c r="T130" s="1238" t="e">
        <f>+T129*T121/(100-T121)</f>
        <v>#REF!</v>
      </c>
      <c r="U130" s="1239"/>
      <c r="V130" s="1240" t="e">
        <f>+V129*V121/(100-V121)</f>
        <v>#REF!</v>
      </c>
      <c r="W130" s="1243"/>
      <c r="X130" s="1244" t="e">
        <f>+X129*X121/(100-X121)</f>
        <v>#REF!</v>
      </c>
      <c r="Y130" s="1241"/>
      <c r="Z130" s="1242" t="e">
        <f>+Z129*Z121/(100-Z121)</f>
        <v>#REF!</v>
      </c>
      <c r="AA130" s="1245"/>
      <c r="AB130" s="1246" t="e">
        <f>+AB129*AB121/(100-AB121)</f>
        <v>#REF!</v>
      </c>
      <c r="AW130" s="26">
        <f t="shared" si="744"/>
        <v>0</v>
      </c>
      <c r="AX130" s="26">
        <f t="shared" si="745"/>
        <v>0</v>
      </c>
      <c r="BG130" s="26"/>
      <c r="BH130" s="26"/>
      <c r="BI130" s="26"/>
      <c r="BJ130" s="26"/>
      <c r="BK130" s="26">
        <f t="shared" si="746"/>
        <v>0</v>
      </c>
      <c r="BL130" s="26" t="e">
        <f t="shared" si="747"/>
        <v>#REF!</v>
      </c>
      <c r="BM130" s="26">
        <f t="shared" si="748"/>
        <v>0</v>
      </c>
      <c r="BN130" s="26" t="e">
        <f t="shared" si="749"/>
        <v>#REF!</v>
      </c>
    </row>
    <row r="131" spans="2:66" ht="15" hidden="1" customHeight="1" x14ac:dyDescent="0.3">
      <c r="B131" s="1235" t="s">
        <v>843</v>
      </c>
      <c r="C131" s="1259" t="s">
        <v>354</v>
      </c>
      <c r="D131" s="842"/>
      <c r="E131" s="1237"/>
      <c r="F131" s="1238" t="e">
        <f>+F129/(100-F122)*F122</f>
        <v>#REF!</v>
      </c>
      <c r="G131" s="1237"/>
      <c r="H131" s="1238" t="e">
        <f>+H129/(100-H122)*H122</f>
        <v>#REF!</v>
      </c>
      <c r="I131" s="1239"/>
      <c r="J131" s="1240" t="e">
        <f>+J129/(100-J122)*J122</f>
        <v>#REF!</v>
      </c>
      <c r="K131" s="1243"/>
      <c r="L131" s="1238" t="e">
        <f>+L129/(100-L122)*L122</f>
        <v>#REF!</v>
      </c>
      <c r="M131" s="1241"/>
      <c r="N131" s="1242" t="e">
        <f>+N129/(100-N122)*N122</f>
        <v>#REF!</v>
      </c>
      <c r="O131" s="1243"/>
      <c r="P131" s="1238" t="e">
        <f>+P129/(100-P122)*P122</f>
        <v>#REF!</v>
      </c>
      <c r="Q131" s="1239"/>
      <c r="R131" s="1240" t="e">
        <f>+R129/(100-R122)*R122</f>
        <v>#REF!</v>
      </c>
      <c r="S131" s="1243"/>
      <c r="T131" s="1238" t="e">
        <f>+T129/(100-T122)*T122</f>
        <v>#REF!</v>
      </c>
      <c r="U131" s="1239"/>
      <c r="V131" s="1240" t="e">
        <f>+V129/(100-V122)*V122</f>
        <v>#REF!</v>
      </c>
      <c r="W131" s="1243"/>
      <c r="X131" s="1244" t="e">
        <f>+X129/(100-X122)*X122</f>
        <v>#REF!</v>
      </c>
      <c r="Y131" s="1241"/>
      <c r="Z131" s="1242" t="e">
        <f>+Z129/(100-Z122)*Z122</f>
        <v>#REF!</v>
      </c>
      <c r="AA131" s="1245"/>
      <c r="AB131" s="1246" t="e">
        <f>+AB129/(100-AB122)*AB122</f>
        <v>#REF!</v>
      </c>
      <c r="AW131" s="26">
        <f t="shared" si="744"/>
        <v>0</v>
      </c>
      <c r="AX131" s="26">
        <f t="shared" si="745"/>
        <v>0</v>
      </c>
      <c r="BG131" s="26"/>
      <c r="BH131" s="26"/>
      <c r="BI131" s="26"/>
      <c r="BJ131" s="26"/>
      <c r="BK131" s="26">
        <f t="shared" si="746"/>
        <v>0</v>
      </c>
      <c r="BL131" s="26" t="e">
        <f t="shared" si="747"/>
        <v>#REF!</v>
      </c>
      <c r="BM131" s="26">
        <f t="shared" si="748"/>
        <v>0</v>
      </c>
      <c r="BN131" s="26" t="e">
        <f t="shared" si="749"/>
        <v>#REF!</v>
      </c>
    </row>
    <row r="132" spans="2:66" ht="15" hidden="1" customHeight="1" x14ac:dyDescent="0.3">
      <c r="B132" s="1235" t="s">
        <v>922</v>
      </c>
      <c r="C132" s="1259" t="s">
        <v>354</v>
      </c>
      <c r="D132" s="842"/>
      <c r="E132" s="1237"/>
      <c r="F132" s="1238" t="e">
        <f>+F131*F121/(100-F121)</f>
        <v>#REF!</v>
      </c>
      <c r="G132" s="1237"/>
      <c r="H132" s="1238" t="e">
        <f>+H131*H121/(100-H121)</f>
        <v>#REF!</v>
      </c>
      <c r="I132" s="1239"/>
      <c r="J132" s="1240" t="e">
        <f>+J131*J121/(100-J121)</f>
        <v>#REF!</v>
      </c>
      <c r="K132" s="1243"/>
      <c r="L132" s="1238" t="e">
        <f>+L131*L121/(100-L121)</f>
        <v>#REF!</v>
      </c>
      <c r="M132" s="1241"/>
      <c r="N132" s="1242" t="e">
        <f>+N131*N121/(100-N121)</f>
        <v>#REF!</v>
      </c>
      <c r="O132" s="1243"/>
      <c r="P132" s="1238" t="e">
        <f>+P131*P121/(100-P121)</f>
        <v>#REF!</v>
      </c>
      <c r="Q132" s="1239"/>
      <c r="R132" s="1240" t="e">
        <f>+R131*R121/(100-R121)</f>
        <v>#REF!</v>
      </c>
      <c r="S132" s="1243"/>
      <c r="T132" s="1238" t="e">
        <f>+T131*T121/(100-T121)</f>
        <v>#REF!</v>
      </c>
      <c r="U132" s="1239"/>
      <c r="V132" s="1240" t="e">
        <f>+V131*V121/(100-V121)</f>
        <v>#REF!</v>
      </c>
      <c r="W132" s="1243"/>
      <c r="X132" s="1244" t="e">
        <f>+X131*X121/(100-X121)</f>
        <v>#REF!</v>
      </c>
      <c r="Y132" s="1241"/>
      <c r="Z132" s="1242" t="e">
        <f>+Z131*Z121/(100-Z121)</f>
        <v>#REF!</v>
      </c>
      <c r="AA132" s="1245"/>
      <c r="AB132" s="1246" t="e">
        <f>+AB131*AB121/(100-AB121)</f>
        <v>#REF!</v>
      </c>
      <c r="AW132" s="26">
        <f t="shared" si="744"/>
        <v>0</v>
      </c>
      <c r="AX132" s="26">
        <f t="shared" si="745"/>
        <v>0</v>
      </c>
      <c r="BG132" s="26"/>
      <c r="BH132" s="26"/>
      <c r="BI132" s="26"/>
      <c r="BJ132" s="26"/>
      <c r="BK132" s="26">
        <f t="shared" si="746"/>
        <v>0</v>
      </c>
      <c r="BL132" s="26" t="e">
        <f t="shared" si="747"/>
        <v>#REF!</v>
      </c>
      <c r="BM132" s="26">
        <f t="shared" si="748"/>
        <v>0</v>
      </c>
      <c r="BN132" s="26" t="e">
        <f t="shared" si="749"/>
        <v>#REF!</v>
      </c>
    </row>
    <row r="133" spans="2:66" ht="15" hidden="1" customHeight="1" x14ac:dyDescent="0.3">
      <c r="B133" s="1235" t="s">
        <v>502</v>
      </c>
      <c r="C133" s="1259" t="s">
        <v>354</v>
      </c>
      <c r="D133" s="842"/>
      <c r="E133" s="1237"/>
      <c r="F133" s="1238" t="e">
        <f>SUM(F129:F132)</f>
        <v>#REF!</v>
      </c>
      <c r="G133" s="1237"/>
      <c r="H133" s="1238" t="e">
        <f>SUM(H129:H132)</f>
        <v>#REF!</v>
      </c>
      <c r="I133" s="1239"/>
      <c r="J133" s="1240" t="e">
        <f>SUM(J129:J132)</f>
        <v>#REF!</v>
      </c>
      <c r="K133" s="1243"/>
      <c r="L133" s="1238" t="e">
        <f>SUM(L129:L132)</f>
        <v>#REF!</v>
      </c>
      <c r="M133" s="1241"/>
      <c r="N133" s="1242" t="e">
        <f>SUM(N129:N132)</f>
        <v>#REF!</v>
      </c>
      <c r="O133" s="1243"/>
      <c r="P133" s="1238" t="e">
        <f>SUM(P129:P132)</f>
        <v>#REF!</v>
      </c>
      <c r="Q133" s="1239"/>
      <c r="R133" s="1240" t="e">
        <f>SUM(R129:R132)</f>
        <v>#REF!</v>
      </c>
      <c r="S133" s="1243"/>
      <c r="T133" s="1238" t="e">
        <f>SUM(T129:T132)</f>
        <v>#REF!</v>
      </c>
      <c r="U133" s="1239"/>
      <c r="V133" s="1240" t="e">
        <f>SUM(V129:V132)</f>
        <v>#REF!</v>
      </c>
      <c r="W133" s="1243"/>
      <c r="X133" s="1244" t="e">
        <f>SUM(X129:X132)</f>
        <v>#REF!</v>
      </c>
      <c r="Y133" s="1241"/>
      <c r="Z133" s="1242" t="e">
        <f>SUM(Z129:Z132)</f>
        <v>#REF!</v>
      </c>
      <c r="AA133" s="1245"/>
      <c r="AB133" s="1246" t="e">
        <f>SUM(AB129:AB132)</f>
        <v>#REF!</v>
      </c>
      <c r="AW133" s="26">
        <f t="shared" si="744"/>
        <v>0</v>
      </c>
      <c r="AX133" s="26">
        <f t="shared" si="745"/>
        <v>0</v>
      </c>
      <c r="BG133" s="26"/>
      <c r="BH133" s="26"/>
      <c r="BI133" s="26"/>
      <c r="BJ133" s="26"/>
      <c r="BK133" s="26">
        <f t="shared" si="746"/>
        <v>0</v>
      </c>
      <c r="BL133" s="26" t="e">
        <f t="shared" si="747"/>
        <v>#REF!</v>
      </c>
      <c r="BM133" s="26">
        <f t="shared" si="748"/>
        <v>0</v>
      </c>
      <c r="BN133" s="26" t="e">
        <f t="shared" si="749"/>
        <v>#REF!</v>
      </c>
    </row>
    <row r="134" spans="2:66" ht="15" hidden="1" customHeight="1" x14ac:dyDescent="0.3">
      <c r="B134" s="1260"/>
      <c r="C134" s="1258"/>
      <c r="D134" s="1442"/>
      <c r="E134" s="1237"/>
      <c r="F134" s="1238"/>
      <c r="G134" s="1237"/>
      <c r="H134" s="1238"/>
      <c r="I134" s="1239"/>
      <c r="J134" s="1240"/>
      <c r="K134" s="1243"/>
      <c r="L134" s="1238"/>
      <c r="M134" s="1241"/>
      <c r="N134" s="1242"/>
      <c r="O134" s="1243"/>
      <c r="P134" s="1238"/>
      <c r="Q134" s="1239"/>
      <c r="R134" s="1240"/>
      <c r="S134" s="1243"/>
      <c r="T134" s="1238"/>
      <c r="U134" s="1239"/>
      <c r="V134" s="1240"/>
      <c r="W134" s="1243"/>
      <c r="X134" s="1244"/>
      <c r="Y134" s="1241"/>
      <c r="Z134" s="1242"/>
      <c r="AA134" s="1245"/>
      <c r="AB134" s="1246"/>
      <c r="AW134" s="26">
        <f t="shared" si="744"/>
        <v>0</v>
      </c>
      <c r="AX134" s="26">
        <f t="shared" si="745"/>
        <v>0</v>
      </c>
      <c r="BG134" s="26"/>
      <c r="BH134" s="26"/>
      <c r="BI134" s="26"/>
      <c r="BJ134" s="26"/>
      <c r="BK134" s="26">
        <f t="shared" si="746"/>
        <v>0</v>
      </c>
      <c r="BL134" s="26">
        <f t="shared" si="747"/>
        <v>0</v>
      </c>
      <c r="BM134" s="26">
        <f t="shared" si="748"/>
        <v>0</v>
      </c>
      <c r="BN134" s="26">
        <f t="shared" si="749"/>
        <v>0</v>
      </c>
    </row>
    <row r="135" spans="2:66" ht="15" hidden="1" customHeight="1" x14ac:dyDescent="0.3">
      <c r="B135" s="1235" t="s">
        <v>934</v>
      </c>
      <c r="C135" s="1259" t="s">
        <v>354</v>
      </c>
      <c r="D135" s="842"/>
      <c r="E135" s="1237"/>
      <c r="F135" s="1238" t="e">
        <f>+F128-F133</f>
        <v>#REF!</v>
      </c>
      <c r="G135" s="1237"/>
      <c r="H135" s="1238" t="e">
        <f>+H128-H133</f>
        <v>#REF!</v>
      </c>
      <c r="I135" s="1239"/>
      <c r="J135" s="1240" t="e">
        <f>+J128-J133</f>
        <v>#REF!</v>
      </c>
      <c r="K135" s="1243"/>
      <c r="L135" s="1238" t="e">
        <f>+L128-L133</f>
        <v>#REF!</v>
      </c>
      <c r="M135" s="1241"/>
      <c r="N135" s="1242" t="e">
        <f>+N128-N133</f>
        <v>#REF!</v>
      </c>
      <c r="O135" s="1243"/>
      <c r="P135" s="1238" t="e">
        <f>+P128-P133</f>
        <v>#REF!</v>
      </c>
      <c r="Q135" s="1239"/>
      <c r="R135" s="1240" t="e">
        <f>+R128-R133</f>
        <v>#REF!</v>
      </c>
      <c r="S135" s="1243"/>
      <c r="T135" s="1238" t="e">
        <f>+T128-T133</f>
        <v>#REF!</v>
      </c>
      <c r="U135" s="1239"/>
      <c r="V135" s="1240" t="e">
        <f>+V128-V133</f>
        <v>#REF!</v>
      </c>
      <c r="W135" s="1243"/>
      <c r="X135" s="1244" t="e">
        <f>+X128-X133</f>
        <v>#REF!</v>
      </c>
      <c r="Y135" s="1241"/>
      <c r="Z135" s="1242" t="e">
        <f>+Z128-Z133</f>
        <v>#REF!</v>
      </c>
      <c r="AA135" s="1245"/>
      <c r="AB135" s="1246" t="e">
        <f>+AB128-AB133</f>
        <v>#REF!</v>
      </c>
      <c r="AW135" s="26">
        <f t="shared" si="744"/>
        <v>0</v>
      </c>
      <c r="AX135" s="26">
        <f t="shared" si="745"/>
        <v>0</v>
      </c>
      <c r="BG135" s="26"/>
      <c r="BH135" s="26"/>
      <c r="BI135" s="26"/>
      <c r="BJ135" s="26"/>
      <c r="BK135" s="26">
        <f t="shared" si="746"/>
        <v>0</v>
      </c>
      <c r="BL135" s="26" t="e">
        <f t="shared" si="747"/>
        <v>#REF!</v>
      </c>
      <c r="BM135" s="26">
        <f t="shared" si="748"/>
        <v>0</v>
      </c>
      <c r="BN135" s="26" t="e">
        <f t="shared" si="749"/>
        <v>#REF!</v>
      </c>
    </row>
    <row r="136" spans="2:66" ht="15" hidden="1" customHeight="1" x14ac:dyDescent="0.3">
      <c r="B136" s="1260"/>
      <c r="C136" s="1258"/>
      <c r="E136" s="233"/>
      <c r="F136" s="233"/>
      <c r="G136" s="233"/>
      <c r="H136" s="233"/>
      <c r="I136" s="233"/>
      <c r="J136" s="233"/>
      <c r="K136" s="1553"/>
      <c r="L136" s="233"/>
      <c r="M136" s="233"/>
      <c r="N136" s="233"/>
      <c r="O136" s="1553"/>
      <c r="P136" s="233"/>
      <c r="Q136" s="233"/>
      <c r="R136" s="233"/>
      <c r="S136" s="1553"/>
      <c r="T136" s="233"/>
      <c r="U136" s="233"/>
      <c r="V136" s="233"/>
      <c r="W136" s="233"/>
      <c r="X136" s="233"/>
      <c r="Y136" s="233"/>
      <c r="Z136" s="233"/>
      <c r="AA136" s="233"/>
      <c r="AB136" s="233"/>
      <c r="AW136" s="26">
        <f t="shared" si="744"/>
        <v>0</v>
      </c>
      <c r="AX136" s="26">
        <f t="shared" si="745"/>
        <v>0</v>
      </c>
      <c r="BG136" s="26"/>
      <c r="BH136" s="26"/>
      <c r="BI136" s="26"/>
      <c r="BJ136" s="26"/>
      <c r="BK136" s="26">
        <f t="shared" si="746"/>
        <v>0</v>
      </c>
      <c r="BL136" s="26">
        <f t="shared" si="747"/>
        <v>0</v>
      </c>
      <c r="BM136" s="26">
        <f t="shared" si="748"/>
        <v>0</v>
      </c>
      <c r="BN136" s="26">
        <f t="shared" si="749"/>
        <v>0</v>
      </c>
    </row>
    <row r="137" spans="2:66" ht="15.75" hidden="1" customHeight="1" x14ac:dyDescent="0.3">
      <c r="B137" s="1261" t="s">
        <v>788</v>
      </c>
      <c r="C137" s="1258"/>
      <c r="E137" s="233"/>
      <c r="F137" s="233"/>
      <c r="G137" s="233"/>
      <c r="H137" s="233"/>
      <c r="I137" s="233"/>
      <c r="J137" s="233"/>
      <c r="K137" s="1553"/>
      <c r="L137" s="233"/>
      <c r="M137" s="233"/>
      <c r="N137" s="233"/>
      <c r="O137" s="1553"/>
      <c r="P137" s="233"/>
      <c r="Q137" s="233"/>
      <c r="R137" s="233"/>
      <c r="S137" s="1553"/>
      <c r="T137" s="233"/>
      <c r="U137" s="233"/>
      <c r="V137" s="233"/>
      <c r="W137" s="233"/>
      <c r="X137" s="233"/>
      <c r="Y137" s="233"/>
      <c r="Z137" s="233"/>
      <c r="AA137" s="233"/>
      <c r="AB137" s="233"/>
      <c r="AW137" s="26">
        <f t="shared" si="744"/>
        <v>0</v>
      </c>
      <c r="AX137" s="26">
        <f t="shared" si="745"/>
        <v>0</v>
      </c>
      <c r="BG137" s="26"/>
      <c r="BH137" s="26"/>
      <c r="BI137" s="26"/>
      <c r="BJ137" s="26"/>
      <c r="BK137" s="26">
        <f t="shared" si="746"/>
        <v>0</v>
      </c>
      <c r="BL137" s="26">
        <f t="shared" si="747"/>
        <v>0</v>
      </c>
      <c r="BM137" s="26">
        <f t="shared" si="748"/>
        <v>0</v>
      </c>
      <c r="BN137" s="26">
        <f t="shared" si="749"/>
        <v>0</v>
      </c>
    </row>
    <row r="138" spans="2:66" ht="15" hidden="1" customHeight="1" x14ac:dyDescent="0.3">
      <c r="B138" s="1235" t="s">
        <v>19</v>
      </c>
      <c r="C138" s="1259" t="s">
        <v>354</v>
      </c>
      <c r="D138" s="842"/>
      <c r="E138" s="1237"/>
      <c r="F138" s="1238">
        <f>+F7+F40</f>
        <v>20729</v>
      </c>
      <c r="G138" s="1237"/>
      <c r="H138" s="1238">
        <f>+H7+H40</f>
        <v>21120</v>
      </c>
      <c r="I138" s="1239"/>
      <c r="J138" s="1240">
        <f>+J7+J40</f>
        <v>41849</v>
      </c>
      <c r="K138" s="1243"/>
      <c r="L138" s="1238">
        <f>+L7+L40</f>
        <v>19567</v>
      </c>
      <c r="M138" s="1241"/>
      <c r="N138" s="1242">
        <f>+N7+N40</f>
        <v>61416</v>
      </c>
      <c r="O138" s="1243"/>
      <c r="P138" s="1238">
        <f>+P7+P40</f>
        <v>30125</v>
      </c>
      <c r="Q138" s="1239"/>
      <c r="R138" s="1240">
        <f>+R7+R40</f>
        <v>91541</v>
      </c>
      <c r="S138" s="1243"/>
      <c r="T138" s="1238">
        <f>+T7+T40</f>
        <v>24036</v>
      </c>
      <c r="U138" s="1239"/>
      <c r="V138" s="1240">
        <f>+V7+V40</f>
        <v>115577</v>
      </c>
      <c r="W138" s="1243"/>
      <c r="X138" s="1244">
        <f>+X7+X40</f>
        <v>27437</v>
      </c>
      <c r="Y138" s="1241"/>
      <c r="Z138" s="1242">
        <f>+Z7+Z40</f>
        <v>81598</v>
      </c>
      <c r="AA138" s="1245"/>
      <c r="AB138" s="1246">
        <f>+AB7+AB40</f>
        <v>143014</v>
      </c>
      <c r="AW138" s="26">
        <f t="shared" si="744"/>
        <v>0</v>
      </c>
      <c r="AX138" s="26">
        <f t="shared" si="745"/>
        <v>0</v>
      </c>
      <c r="BG138" s="26"/>
      <c r="BH138" s="26"/>
      <c r="BI138" s="26"/>
      <c r="BJ138" s="26"/>
      <c r="BK138" s="26">
        <f t="shared" si="746"/>
        <v>0</v>
      </c>
      <c r="BL138" s="26">
        <f t="shared" si="747"/>
        <v>143014</v>
      </c>
      <c r="BM138" s="26">
        <f t="shared" si="748"/>
        <v>0</v>
      </c>
      <c r="BN138" s="26">
        <f t="shared" si="749"/>
        <v>143014</v>
      </c>
    </row>
    <row r="139" spans="2:66" ht="15" hidden="1" customHeight="1" x14ac:dyDescent="0.3">
      <c r="B139" s="1235" t="s">
        <v>928</v>
      </c>
      <c r="C139" s="1262" t="s">
        <v>49</v>
      </c>
      <c r="D139" s="1424"/>
      <c r="E139" s="1263"/>
      <c r="F139" s="1264">
        <v>1.25</v>
      </c>
      <c r="G139" s="1263"/>
      <c r="H139" s="1264">
        <v>1.25</v>
      </c>
      <c r="I139" s="1265"/>
      <c r="J139" s="1266">
        <v>1.25</v>
      </c>
      <c r="K139" s="1269"/>
      <c r="L139" s="1264">
        <v>1.25</v>
      </c>
      <c r="M139" s="1267"/>
      <c r="N139" s="1268">
        <v>1.25</v>
      </c>
      <c r="O139" s="1269"/>
      <c r="P139" s="1264">
        <v>1.25</v>
      </c>
      <c r="Q139" s="1265"/>
      <c r="R139" s="1266">
        <v>1.25</v>
      </c>
      <c r="S139" s="1269"/>
      <c r="T139" s="1264">
        <v>1.25</v>
      </c>
      <c r="U139" s="1265"/>
      <c r="V139" s="1266">
        <v>1.25</v>
      </c>
      <c r="W139" s="1269"/>
      <c r="X139" s="1270">
        <v>1.25</v>
      </c>
      <c r="Y139" s="1267"/>
      <c r="Z139" s="1268">
        <v>1.25</v>
      </c>
      <c r="AA139" s="1271"/>
      <c r="AB139" s="1272">
        <v>1.25</v>
      </c>
      <c r="AW139" s="26">
        <f t="shared" si="744"/>
        <v>0</v>
      </c>
      <c r="AX139" s="26">
        <f t="shared" si="745"/>
        <v>0</v>
      </c>
      <c r="BG139" s="26"/>
      <c r="BH139" s="26"/>
      <c r="BI139" s="26"/>
      <c r="BJ139" s="26"/>
      <c r="BK139" s="26">
        <f t="shared" si="746"/>
        <v>0</v>
      </c>
      <c r="BL139" s="26">
        <f t="shared" si="747"/>
        <v>2.5</v>
      </c>
      <c r="BM139" s="26">
        <f t="shared" si="748"/>
        <v>0</v>
      </c>
      <c r="BN139" s="26">
        <f t="shared" si="749"/>
        <v>2.5</v>
      </c>
    </row>
    <row r="140" spans="2:66" ht="15" hidden="1" customHeight="1" x14ac:dyDescent="0.3">
      <c r="B140" s="1235" t="s">
        <v>928</v>
      </c>
      <c r="C140" s="1259" t="s">
        <v>354</v>
      </c>
      <c r="D140" s="842"/>
      <c r="E140" s="1237"/>
      <c r="F140" s="1238">
        <f>+F138*F139/(100-F139)</f>
        <v>262.39240506329116</v>
      </c>
      <c r="G140" s="1237"/>
      <c r="H140" s="1238">
        <f>+H138*H139/(100-H139)</f>
        <v>267.34177215189874</v>
      </c>
      <c r="I140" s="1239"/>
      <c r="J140" s="1240">
        <f>+J138*J139/(100-J139)</f>
        <v>529.7341772151899</v>
      </c>
      <c r="K140" s="1243"/>
      <c r="L140" s="1238">
        <f>+L138*L139/(100-L139)</f>
        <v>247.68354430379748</v>
      </c>
      <c r="M140" s="1241"/>
      <c r="N140" s="1242">
        <f>+N138*N139/(100-N139)</f>
        <v>777.41772151898738</v>
      </c>
      <c r="O140" s="1243"/>
      <c r="P140" s="1238">
        <f>+P138*P139/(100-P139)</f>
        <v>381.32911392405066</v>
      </c>
      <c r="Q140" s="1239"/>
      <c r="R140" s="1240">
        <f>+R138*R139/(100-R139)</f>
        <v>1158.746835443038</v>
      </c>
      <c r="S140" s="1243"/>
      <c r="T140" s="1238">
        <f>+T138*T139/(100-T139)</f>
        <v>304.25316455696202</v>
      </c>
      <c r="U140" s="1239"/>
      <c r="V140" s="1240">
        <f>+V138*V139/(100-V139)</f>
        <v>1463</v>
      </c>
      <c r="W140" s="1243"/>
      <c r="X140" s="1244">
        <f>+X138*X139/(100-X139)</f>
        <v>347.30379746835445</v>
      </c>
      <c r="Y140" s="1241"/>
      <c r="Z140" s="1242">
        <f>+Z138*Z139/(100-Z139)</f>
        <v>1032.8860759493671</v>
      </c>
      <c r="AA140" s="1245"/>
      <c r="AB140" s="1246">
        <f>+AB138*AB139/(100-AB139)</f>
        <v>1810.3037974683543</v>
      </c>
      <c r="AW140" s="26">
        <f t="shared" si="744"/>
        <v>0</v>
      </c>
      <c r="AX140" s="26">
        <f t="shared" si="745"/>
        <v>0</v>
      </c>
      <c r="BG140" s="26"/>
      <c r="BH140" s="26"/>
      <c r="BI140" s="26"/>
      <c r="BJ140" s="26"/>
      <c r="BK140" s="26">
        <f t="shared" si="746"/>
        <v>0</v>
      </c>
      <c r="BL140" s="26">
        <f t="shared" si="747"/>
        <v>1810.3037974683543</v>
      </c>
      <c r="BM140" s="26">
        <f t="shared" si="748"/>
        <v>0</v>
      </c>
      <c r="BN140" s="26">
        <f t="shared" si="749"/>
        <v>1810.3037974683543</v>
      </c>
    </row>
    <row r="141" spans="2:66" ht="15" hidden="1" customHeight="1" x14ac:dyDescent="0.3">
      <c r="B141" s="1235" t="s">
        <v>502</v>
      </c>
      <c r="C141" s="1259" t="s">
        <v>354</v>
      </c>
      <c r="D141" s="842"/>
      <c r="E141" s="1237"/>
      <c r="F141" s="1238">
        <f>+F140+F138</f>
        <v>20991.392405063292</v>
      </c>
      <c r="G141" s="1237"/>
      <c r="H141" s="1238">
        <f>+H140+H138</f>
        <v>21387.3417721519</v>
      </c>
      <c r="I141" s="1239"/>
      <c r="J141" s="1240">
        <f>+J140+J138</f>
        <v>42378.734177215192</v>
      </c>
      <c r="K141" s="1243"/>
      <c r="L141" s="1238">
        <f>+L140+L138</f>
        <v>19814.683544303796</v>
      </c>
      <c r="M141" s="1241"/>
      <c r="N141" s="1242">
        <f>+N140+N138</f>
        <v>62193.417721518985</v>
      </c>
      <c r="O141" s="1243"/>
      <c r="P141" s="1238">
        <f>+P140+P138</f>
        <v>30506.32911392405</v>
      </c>
      <c r="Q141" s="1239"/>
      <c r="R141" s="1240">
        <f>+R140+R138</f>
        <v>92699.746835443031</v>
      </c>
      <c r="S141" s="1243"/>
      <c r="T141" s="1238">
        <f>+T140+T138</f>
        <v>24340.253164556962</v>
      </c>
      <c r="U141" s="1239"/>
      <c r="V141" s="1240">
        <f>+V140+V138</f>
        <v>117040</v>
      </c>
      <c r="W141" s="1243"/>
      <c r="X141" s="1244">
        <f>+X140+X138</f>
        <v>27784.303797468354</v>
      </c>
      <c r="Y141" s="1241"/>
      <c r="Z141" s="1242">
        <f>+Z140+Z138</f>
        <v>82630.886075949369</v>
      </c>
      <c r="AA141" s="1245"/>
      <c r="AB141" s="1246">
        <f>+AB140+AB138</f>
        <v>144824.30379746837</v>
      </c>
      <c r="AW141" s="26">
        <f t="shared" si="744"/>
        <v>0</v>
      </c>
      <c r="AX141" s="26">
        <f t="shared" si="745"/>
        <v>0</v>
      </c>
      <c r="BG141" s="26"/>
      <c r="BH141" s="26"/>
      <c r="BI141" s="26"/>
      <c r="BJ141" s="26"/>
      <c r="BK141" s="26">
        <f t="shared" ref="BK141:BK154" si="750">AM141+Y141+M141</f>
        <v>0</v>
      </c>
      <c r="BL141" s="26">
        <f t="shared" ref="BL141:BL154" si="751">AN141+Z141+N141</f>
        <v>144824.30379746837</v>
      </c>
      <c r="BM141" s="26">
        <f t="shared" ref="BM141:BM154" si="752">BK141-BG141</f>
        <v>0</v>
      </c>
      <c r="BN141" s="26">
        <f t="shared" ref="BN141:BN154" si="753">BL141-BH141</f>
        <v>144824.30379746837</v>
      </c>
    </row>
    <row r="142" spans="2:66" ht="15" hidden="1" customHeight="1" x14ac:dyDescent="0.3">
      <c r="B142" s="1235"/>
      <c r="C142" s="1259"/>
      <c r="D142" s="842"/>
      <c r="E142" s="1237"/>
      <c r="F142" s="1238"/>
      <c r="G142" s="1237"/>
      <c r="H142" s="1238"/>
      <c r="I142" s="1239"/>
      <c r="J142" s="1240"/>
      <c r="K142" s="1243"/>
      <c r="L142" s="1238"/>
      <c r="M142" s="1241"/>
      <c r="N142" s="1242"/>
      <c r="O142" s="1243"/>
      <c r="P142" s="1238"/>
      <c r="Q142" s="1239"/>
      <c r="R142" s="1240"/>
      <c r="S142" s="1243"/>
      <c r="T142" s="1238"/>
      <c r="U142" s="1239"/>
      <c r="V142" s="1240"/>
      <c r="W142" s="1243"/>
      <c r="X142" s="1244"/>
      <c r="Y142" s="1241"/>
      <c r="Z142" s="1242"/>
      <c r="AA142" s="1245"/>
      <c r="AB142" s="1246"/>
      <c r="AW142" s="26">
        <f t="shared" si="744"/>
        <v>0</v>
      </c>
      <c r="AX142" s="26">
        <f t="shared" si="745"/>
        <v>0</v>
      </c>
      <c r="BG142" s="26"/>
      <c r="BH142" s="26"/>
      <c r="BI142" s="26"/>
      <c r="BJ142" s="26"/>
      <c r="BK142" s="26">
        <f t="shared" si="750"/>
        <v>0</v>
      </c>
      <c r="BL142" s="26">
        <f t="shared" si="751"/>
        <v>0</v>
      </c>
      <c r="BM142" s="26">
        <f t="shared" si="752"/>
        <v>0</v>
      </c>
      <c r="BN142" s="26">
        <f t="shared" si="753"/>
        <v>0</v>
      </c>
    </row>
    <row r="143" spans="2:66" ht="15.75" hidden="1" customHeight="1" x14ac:dyDescent="0.3">
      <c r="B143" s="1261" t="s">
        <v>787</v>
      </c>
      <c r="C143" s="1258"/>
      <c r="D143" s="1442"/>
      <c r="E143" s="1237"/>
      <c r="F143" s="1238"/>
      <c r="G143" s="1237"/>
      <c r="H143" s="1238"/>
      <c r="I143" s="1239"/>
      <c r="J143" s="1240"/>
      <c r="K143" s="1243"/>
      <c r="L143" s="1238"/>
      <c r="M143" s="1241"/>
      <c r="N143" s="1242"/>
      <c r="O143" s="1243"/>
      <c r="P143" s="1238"/>
      <c r="Q143" s="1239"/>
      <c r="R143" s="1240"/>
      <c r="S143" s="1243"/>
      <c r="T143" s="1238"/>
      <c r="U143" s="1239"/>
      <c r="V143" s="1240"/>
      <c r="W143" s="1243"/>
      <c r="X143" s="1244"/>
      <c r="Y143" s="1241"/>
      <c r="Z143" s="1242"/>
      <c r="AA143" s="1245"/>
      <c r="AB143" s="1246"/>
      <c r="AW143" s="26">
        <f t="shared" si="744"/>
        <v>0</v>
      </c>
      <c r="AX143" s="26">
        <f t="shared" si="745"/>
        <v>0</v>
      </c>
      <c r="BG143" s="26"/>
      <c r="BH143" s="26"/>
      <c r="BI143" s="26"/>
      <c r="BJ143" s="26"/>
      <c r="BK143" s="26">
        <f t="shared" si="750"/>
        <v>0</v>
      </c>
      <c r="BL143" s="26">
        <f t="shared" si="751"/>
        <v>0</v>
      </c>
      <c r="BM143" s="26">
        <f t="shared" si="752"/>
        <v>0</v>
      </c>
      <c r="BN143" s="26">
        <f t="shared" si="753"/>
        <v>0</v>
      </c>
    </row>
    <row r="144" spans="2:66" ht="15" hidden="1" customHeight="1" x14ac:dyDescent="0.3">
      <c r="B144" s="1235" t="s">
        <v>19</v>
      </c>
      <c r="C144" s="1259" t="s">
        <v>354</v>
      </c>
      <c r="D144" s="842"/>
      <c r="E144" s="1237"/>
      <c r="F144" s="1238">
        <f>+F8+F41</f>
        <v>32007</v>
      </c>
      <c r="G144" s="1237"/>
      <c r="H144" s="1238">
        <f>+H8+H41</f>
        <v>34439</v>
      </c>
      <c r="I144" s="1239"/>
      <c r="J144" s="1240">
        <f>+J8+J41</f>
        <v>66446</v>
      </c>
      <c r="K144" s="1243"/>
      <c r="L144" s="1238">
        <f>+L8+L41</f>
        <v>33999</v>
      </c>
      <c r="M144" s="1241"/>
      <c r="N144" s="1242">
        <f>+N8+N41</f>
        <v>100445</v>
      </c>
      <c r="O144" s="1243"/>
      <c r="P144" s="1238">
        <f>+P8+P41</f>
        <v>37571</v>
      </c>
      <c r="Q144" s="1239"/>
      <c r="R144" s="1240">
        <f>+R8+R41</f>
        <v>138016</v>
      </c>
      <c r="S144" s="1243"/>
      <c r="T144" s="1238">
        <f>+T8+T41</f>
        <v>37802</v>
      </c>
      <c r="U144" s="1239"/>
      <c r="V144" s="1240">
        <f>+V8+V41</f>
        <v>175818</v>
      </c>
      <c r="W144" s="1243"/>
      <c r="X144" s="1244">
        <f>+X8+X41</f>
        <v>36021</v>
      </c>
      <c r="Y144" s="1241"/>
      <c r="Z144" s="1242">
        <f>+Z8+Z41</f>
        <v>111394</v>
      </c>
      <c r="AA144" s="1245"/>
      <c r="AB144" s="1246">
        <f>+AB8+AB41</f>
        <v>211839</v>
      </c>
      <c r="AW144" s="26">
        <f t="shared" si="744"/>
        <v>0</v>
      </c>
      <c r="AX144" s="26">
        <f t="shared" si="745"/>
        <v>0</v>
      </c>
      <c r="BG144" s="26"/>
      <c r="BH144" s="26"/>
      <c r="BI144" s="26"/>
      <c r="BJ144" s="26"/>
      <c r="BK144" s="26">
        <f t="shared" si="750"/>
        <v>0</v>
      </c>
      <c r="BL144" s="26">
        <f t="shared" si="751"/>
        <v>211839</v>
      </c>
      <c r="BM144" s="26">
        <f t="shared" si="752"/>
        <v>0</v>
      </c>
      <c r="BN144" s="26">
        <f t="shared" si="753"/>
        <v>211839</v>
      </c>
    </row>
    <row r="145" spans="2:66" ht="15" hidden="1" customHeight="1" x14ac:dyDescent="0.3">
      <c r="B145" s="1235" t="s">
        <v>928</v>
      </c>
      <c r="C145" s="1262" t="s">
        <v>49</v>
      </c>
      <c r="D145" s="1424"/>
      <c r="E145" s="1263"/>
      <c r="F145" s="1264">
        <v>1.25</v>
      </c>
      <c r="G145" s="1263"/>
      <c r="H145" s="1264">
        <v>1.25</v>
      </c>
      <c r="I145" s="1265"/>
      <c r="J145" s="1266">
        <v>1.25</v>
      </c>
      <c r="K145" s="1269"/>
      <c r="L145" s="1264">
        <v>1.25</v>
      </c>
      <c r="M145" s="1267"/>
      <c r="N145" s="1268">
        <v>1.25</v>
      </c>
      <c r="O145" s="1269"/>
      <c r="P145" s="1264">
        <v>1.25</v>
      </c>
      <c r="Q145" s="1265"/>
      <c r="R145" s="1266">
        <v>1.25</v>
      </c>
      <c r="S145" s="1269"/>
      <c r="T145" s="1264">
        <v>1.25</v>
      </c>
      <c r="U145" s="1265"/>
      <c r="V145" s="1266">
        <v>1.25</v>
      </c>
      <c r="W145" s="1269"/>
      <c r="X145" s="1270">
        <v>1.25</v>
      </c>
      <c r="Y145" s="1267"/>
      <c r="Z145" s="1268">
        <v>1.25</v>
      </c>
      <c r="AA145" s="1271"/>
      <c r="AB145" s="1272">
        <v>1.25</v>
      </c>
      <c r="AW145" s="26">
        <f t="shared" si="744"/>
        <v>0</v>
      </c>
      <c r="AX145" s="26">
        <f t="shared" si="745"/>
        <v>0</v>
      </c>
      <c r="BG145" s="26"/>
      <c r="BH145" s="26"/>
      <c r="BI145" s="26"/>
      <c r="BJ145" s="26"/>
      <c r="BK145" s="26">
        <f t="shared" si="750"/>
        <v>0</v>
      </c>
      <c r="BL145" s="26">
        <f t="shared" si="751"/>
        <v>2.5</v>
      </c>
      <c r="BM145" s="26">
        <f t="shared" si="752"/>
        <v>0</v>
      </c>
      <c r="BN145" s="26">
        <f t="shared" si="753"/>
        <v>2.5</v>
      </c>
    </row>
    <row r="146" spans="2:66" ht="15" hidden="1" customHeight="1" x14ac:dyDescent="0.3">
      <c r="B146" s="1235" t="s">
        <v>928</v>
      </c>
      <c r="C146" s="1259" t="s">
        <v>354</v>
      </c>
      <c r="D146" s="842"/>
      <c r="E146" s="1237"/>
      <c r="F146" s="1238">
        <f>+F144*F145/(100-F145)</f>
        <v>405.15189873417722</v>
      </c>
      <c r="G146" s="1237"/>
      <c r="H146" s="1238">
        <f>+H144*H145/(100-H145)</f>
        <v>435.9367088607595</v>
      </c>
      <c r="I146" s="1239"/>
      <c r="J146" s="1240">
        <f>+J144*J145/(100-J145)</f>
        <v>841.08860759493666</v>
      </c>
      <c r="K146" s="1243"/>
      <c r="L146" s="1238">
        <f>+L144*L145/(100-L145)</f>
        <v>430.36708860759495</v>
      </c>
      <c r="M146" s="1241"/>
      <c r="N146" s="1242">
        <f>+N144*N145/(100-N145)</f>
        <v>1271.4556962025317</v>
      </c>
      <c r="O146" s="1243"/>
      <c r="P146" s="1238">
        <f>+P144*P145/(100-P145)</f>
        <v>475.58227848101268</v>
      </c>
      <c r="Q146" s="1239"/>
      <c r="R146" s="1240">
        <f>+R144*R145/(100-R145)</f>
        <v>1747.0379746835442</v>
      </c>
      <c r="S146" s="1243"/>
      <c r="T146" s="1238">
        <f>+T144*T145/(100-T145)</f>
        <v>478.50632911392404</v>
      </c>
      <c r="U146" s="1239"/>
      <c r="V146" s="1240">
        <f>+V144*V145/(100-V145)</f>
        <v>2225.5443037974683</v>
      </c>
      <c r="W146" s="1243"/>
      <c r="X146" s="1244">
        <f>+X144*X145/(100-X145)</f>
        <v>455.96202531645571</v>
      </c>
      <c r="Y146" s="1241"/>
      <c r="Z146" s="1242">
        <f>+Z144*Z145/(100-Z145)</f>
        <v>1410.0506329113923</v>
      </c>
      <c r="AA146" s="1245"/>
      <c r="AB146" s="1246">
        <f>+AB144*AB145/(100-AB145)</f>
        <v>2681.506329113924</v>
      </c>
      <c r="AW146" s="26">
        <f t="shared" si="744"/>
        <v>0</v>
      </c>
      <c r="AX146" s="26">
        <f t="shared" si="745"/>
        <v>0</v>
      </c>
      <c r="BG146" s="26"/>
      <c r="BH146" s="26"/>
      <c r="BI146" s="26"/>
      <c r="BJ146" s="26"/>
      <c r="BK146" s="26">
        <f t="shared" si="750"/>
        <v>0</v>
      </c>
      <c r="BL146" s="26">
        <f t="shared" si="751"/>
        <v>2681.506329113924</v>
      </c>
      <c r="BM146" s="26">
        <f t="shared" si="752"/>
        <v>0</v>
      </c>
      <c r="BN146" s="26">
        <f t="shared" si="753"/>
        <v>2681.506329113924</v>
      </c>
    </row>
    <row r="147" spans="2:66" ht="15" hidden="1" customHeight="1" x14ac:dyDescent="0.3">
      <c r="B147" s="1235" t="s">
        <v>502</v>
      </c>
      <c r="C147" s="1259" t="s">
        <v>354</v>
      </c>
      <c r="D147" s="842"/>
      <c r="E147" s="1237"/>
      <c r="F147" s="1238">
        <f>+F146+F144</f>
        <v>32412.151898734177</v>
      </c>
      <c r="G147" s="1237"/>
      <c r="H147" s="1238">
        <f>+H146+H144</f>
        <v>34874.936708860761</v>
      </c>
      <c r="I147" s="1239"/>
      <c r="J147" s="1240">
        <f>+J146+J144</f>
        <v>67287.088607594938</v>
      </c>
      <c r="K147" s="1243"/>
      <c r="L147" s="1238">
        <f>+L146+L144</f>
        <v>34429.367088607592</v>
      </c>
      <c r="M147" s="1241"/>
      <c r="N147" s="1242">
        <f>+N146+N144</f>
        <v>101716.45569620254</v>
      </c>
      <c r="O147" s="1243"/>
      <c r="P147" s="1238">
        <f>+P146+P144</f>
        <v>38046.582278481015</v>
      </c>
      <c r="Q147" s="1239"/>
      <c r="R147" s="1240">
        <f>+R146+R144</f>
        <v>139763.03797468354</v>
      </c>
      <c r="S147" s="1243"/>
      <c r="T147" s="1238">
        <f>+T146+T144</f>
        <v>38280.506329113923</v>
      </c>
      <c r="U147" s="1239"/>
      <c r="V147" s="1240">
        <f>+V146+V144</f>
        <v>178043.54430379748</v>
      </c>
      <c r="W147" s="1243"/>
      <c r="X147" s="1244">
        <f>+X146+X144</f>
        <v>36476.962025316454</v>
      </c>
      <c r="Y147" s="1241"/>
      <c r="Z147" s="1242">
        <f>+Z146+Z144</f>
        <v>112804.05063291139</v>
      </c>
      <c r="AA147" s="1245"/>
      <c r="AB147" s="1246">
        <f>+AB146+AB144</f>
        <v>214520.50632911394</v>
      </c>
      <c r="AW147" s="26">
        <f t="shared" ref="AW147:AW154" si="754">AS147-AU147</f>
        <v>0</v>
      </c>
      <c r="AX147" s="26">
        <f t="shared" ref="AX147:AX154" si="755">AT147-AV147</f>
        <v>0</v>
      </c>
      <c r="BG147" s="26"/>
      <c r="BH147" s="26"/>
      <c r="BI147" s="26"/>
      <c r="BJ147" s="26"/>
      <c r="BK147" s="26">
        <f t="shared" si="750"/>
        <v>0</v>
      </c>
      <c r="BL147" s="26">
        <f t="shared" si="751"/>
        <v>214520.50632911391</v>
      </c>
      <c r="BM147" s="26">
        <f t="shared" si="752"/>
        <v>0</v>
      </c>
      <c r="BN147" s="26">
        <f t="shared" si="753"/>
        <v>214520.50632911391</v>
      </c>
    </row>
    <row r="148" spans="2:66" ht="15" hidden="1" customHeight="1" x14ac:dyDescent="0.3">
      <c r="B148" s="233"/>
      <c r="C148" s="233"/>
      <c r="E148" s="233"/>
      <c r="F148" s="233"/>
      <c r="G148" s="233"/>
      <c r="H148" s="233"/>
      <c r="I148" s="233"/>
      <c r="J148" s="233"/>
      <c r="K148" s="1553"/>
      <c r="L148" s="233"/>
      <c r="M148" s="233"/>
      <c r="N148" s="233"/>
      <c r="O148" s="1553"/>
      <c r="P148" s="233"/>
      <c r="Q148" s="233"/>
      <c r="R148" s="233"/>
      <c r="S148" s="1553"/>
      <c r="T148" s="233"/>
      <c r="U148" s="233"/>
      <c r="V148" s="233"/>
      <c r="W148" s="233"/>
      <c r="X148" s="233"/>
      <c r="Y148" s="233"/>
      <c r="Z148" s="233"/>
      <c r="AA148" s="233"/>
      <c r="AB148" s="233"/>
      <c r="AW148" s="26">
        <f t="shared" si="754"/>
        <v>0</v>
      </c>
      <c r="AX148" s="26">
        <f t="shared" si="755"/>
        <v>0</v>
      </c>
      <c r="BG148" s="26"/>
      <c r="BH148" s="26"/>
      <c r="BI148" s="26"/>
      <c r="BJ148" s="26"/>
      <c r="BK148" s="26">
        <f t="shared" si="750"/>
        <v>0</v>
      </c>
      <c r="BL148" s="26">
        <f t="shared" si="751"/>
        <v>0</v>
      </c>
      <c r="BM148" s="26">
        <f t="shared" si="752"/>
        <v>0</v>
      </c>
      <c r="BN148" s="26">
        <f t="shared" si="753"/>
        <v>0</v>
      </c>
    </row>
    <row r="149" spans="2:66" ht="15" hidden="1" customHeight="1" x14ac:dyDescent="0.3">
      <c r="B149" s="233"/>
      <c r="C149" s="233"/>
      <c r="E149" s="233"/>
      <c r="F149" s="233"/>
      <c r="G149" s="233"/>
      <c r="H149" s="233"/>
      <c r="I149" s="233"/>
      <c r="J149" s="233"/>
      <c r="K149" s="1553"/>
      <c r="L149" s="233"/>
      <c r="M149" s="233"/>
      <c r="N149" s="233"/>
      <c r="O149" s="1553"/>
      <c r="P149" s="233"/>
      <c r="Q149" s="233"/>
      <c r="R149" s="233"/>
      <c r="S149" s="1553"/>
      <c r="T149" s="233"/>
      <c r="U149" s="233"/>
      <c r="V149" s="233"/>
      <c r="W149" s="233"/>
      <c r="X149" s="233"/>
      <c r="Y149" s="233"/>
      <c r="Z149" s="233"/>
      <c r="AA149" s="233"/>
      <c r="AB149" s="233"/>
      <c r="AW149" s="26">
        <f t="shared" si="754"/>
        <v>0</v>
      </c>
      <c r="AX149" s="26">
        <f t="shared" si="755"/>
        <v>0</v>
      </c>
      <c r="BG149" s="26"/>
      <c r="BH149" s="26"/>
      <c r="BI149" s="26"/>
      <c r="BJ149" s="26"/>
      <c r="BK149" s="26">
        <f t="shared" si="750"/>
        <v>0</v>
      </c>
      <c r="BL149" s="26">
        <f t="shared" si="751"/>
        <v>0</v>
      </c>
      <c r="BM149" s="26">
        <f t="shared" si="752"/>
        <v>0</v>
      </c>
      <c r="BN149" s="26">
        <f t="shared" si="753"/>
        <v>0</v>
      </c>
    </row>
    <row r="150" spans="2:66" ht="15" hidden="1" customHeight="1" x14ac:dyDescent="0.3">
      <c r="B150" s="233"/>
      <c r="C150" s="233"/>
      <c r="E150" s="233"/>
      <c r="F150" s="233"/>
      <c r="G150" s="233"/>
      <c r="H150" s="233"/>
      <c r="I150" s="233"/>
      <c r="J150" s="233"/>
      <c r="K150" s="1553"/>
      <c r="L150" s="233"/>
      <c r="M150" s="233"/>
      <c r="N150" s="233"/>
      <c r="O150" s="1553"/>
      <c r="P150" s="233"/>
      <c r="Q150" s="233"/>
      <c r="R150" s="233"/>
      <c r="S150" s="1553"/>
      <c r="T150" s="233"/>
      <c r="U150" s="233"/>
      <c r="V150" s="233"/>
      <c r="W150" s="233"/>
      <c r="X150" s="233"/>
      <c r="Y150" s="233"/>
      <c r="Z150" s="233"/>
      <c r="AA150" s="233"/>
      <c r="AB150" s="233"/>
      <c r="AW150" s="26">
        <f t="shared" si="754"/>
        <v>0</v>
      </c>
      <c r="AX150" s="26">
        <f t="shared" si="755"/>
        <v>0</v>
      </c>
      <c r="BG150" s="26"/>
      <c r="BH150" s="26"/>
      <c r="BI150" s="26"/>
      <c r="BJ150" s="26"/>
      <c r="BK150" s="26">
        <f t="shared" si="750"/>
        <v>0</v>
      </c>
      <c r="BL150" s="26">
        <f t="shared" si="751"/>
        <v>0</v>
      </c>
      <c r="BM150" s="26">
        <f t="shared" si="752"/>
        <v>0</v>
      </c>
      <c r="BN150" s="26">
        <f t="shared" si="753"/>
        <v>0</v>
      </c>
    </row>
    <row r="151" spans="2:66" ht="15" hidden="1" customHeight="1" x14ac:dyDescent="0.3">
      <c r="B151" s="233"/>
      <c r="C151" s="233"/>
      <c r="E151" s="233"/>
      <c r="F151" s="233"/>
      <c r="G151" s="233"/>
      <c r="H151" s="233"/>
      <c r="I151" s="233"/>
      <c r="J151" s="233"/>
      <c r="K151" s="1553"/>
      <c r="L151" s="233"/>
      <c r="M151" s="233"/>
      <c r="N151" s="233"/>
      <c r="O151" s="1553"/>
      <c r="P151" s="233"/>
      <c r="Q151" s="233"/>
      <c r="R151" s="233"/>
      <c r="S151" s="1553"/>
      <c r="T151" s="233"/>
      <c r="U151" s="233"/>
      <c r="V151" s="233"/>
      <c r="W151" s="233"/>
      <c r="X151" s="233"/>
      <c r="Y151" s="233"/>
      <c r="Z151" s="233"/>
      <c r="AA151" s="233"/>
      <c r="AB151" s="233"/>
      <c r="AW151" s="26">
        <f t="shared" si="754"/>
        <v>0</v>
      </c>
      <c r="AX151" s="26">
        <f t="shared" si="755"/>
        <v>0</v>
      </c>
      <c r="BG151" s="26"/>
      <c r="BH151" s="26"/>
      <c r="BI151" s="26"/>
      <c r="BJ151" s="26"/>
      <c r="BK151" s="26">
        <f t="shared" si="750"/>
        <v>0</v>
      </c>
      <c r="BL151" s="26">
        <f t="shared" si="751"/>
        <v>0</v>
      </c>
      <c r="BM151" s="26">
        <f t="shared" si="752"/>
        <v>0</v>
      </c>
      <c r="BN151" s="26">
        <f t="shared" si="753"/>
        <v>0</v>
      </c>
    </row>
    <row r="152" spans="2:66" ht="15" hidden="1" customHeight="1" x14ac:dyDescent="0.3">
      <c r="B152" s="233"/>
      <c r="C152" s="233"/>
      <c r="E152" s="233"/>
      <c r="F152" s="233"/>
      <c r="G152" s="233"/>
      <c r="H152" s="233"/>
      <c r="I152" s="233"/>
      <c r="J152" s="233"/>
      <c r="K152" s="1553"/>
      <c r="L152" s="233"/>
      <c r="M152" s="233"/>
      <c r="N152" s="233"/>
      <c r="O152" s="1553"/>
      <c r="P152" s="233"/>
      <c r="Q152" s="233"/>
      <c r="R152" s="233"/>
      <c r="S152" s="1553"/>
      <c r="T152" s="233"/>
      <c r="U152" s="233"/>
      <c r="V152" s="233"/>
      <c r="W152" s="233"/>
      <c r="X152" s="233"/>
      <c r="Y152" s="233"/>
      <c r="Z152" s="233"/>
      <c r="AA152" s="233"/>
      <c r="AB152" s="233"/>
      <c r="AW152" s="26">
        <f t="shared" si="754"/>
        <v>0</v>
      </c>
      <c r="AX152" s="26">
        <f t="shared" si="755"/>
        <v>0</v>
      </c>
      <c r="BG152" s="26"/>
      <c r="BH152" s="26"/>
      <c r="BI152" s="26"/>
      <c r="BJ152" s="26"/>
      <c r="BK152" s="26">
        <f t="shared" si="750"/>
        <v>0</v>
      </c>
      <c r="BL152" s="26">
        <f t="shared" si="751"/>
        <v>0</v>
      </c>
      <c r="BM152" s="26">
        <f t="shared" si="752"/>
        <v>0</v>
      </c>
      <c r="BN152" s="26">
        <f t="shared" si="753"/>
        <v>0</v>
      </c>
    </row>
    <row r="153" spans="2:66" ht="15" hidden="1" customHeight="1" x14ac:dyDescent="0.3">
      <c r="B153" s="233"/>
      <c r="C153" s="233"/>
      <c r="E153" s="233"/>
      <c r="F153" s="233"/>
      <c r="G153" s="233"/>
      <c r="H153" s="233"/>
      <c r="I153" s="233"/>
      <c r="J153" s="233"/>
      <c r="K153" s="1553"/>
      <c r="L153" s="233"/>
      <c r="M153" s="233"/>
      <c r="N153" s="233"/>
      <c r="O153" s="1553"/>
      <c r="P153" s="233"/>
      <c r="Q153" s="233"/>
      <c r="R153" s="233"/>
      <c r="S153" s="1553"/>
      <c r="T153" s="233"/>
      <c r="U153" s="233"/>
      <c r="V153" s="233"/>
      <c r="W153" s="233"/>
      <c r="X153" s="233"/>
      <c r="Y153" s="233"/>
      <c r="Z153" s="233"/>
      <c r="AA153" s="233"/>
      <c r="AB153" s="233"/>
      <c r="AW153" s="26">
        <f t="shared" si="754"/>
        <v>0</v>
      </c>
      <c r="AX153" s="26">
        <f t="shared" si="755"/>
        <v>0</v>
      </c>
      <c r="BG153" s="26"/>
      <c r="BH153" s="26"/>
      <c r="BI153" s="26"/>
      <c r="BJ153" s="26"/>
      <c r="BK153" s="26">
        <f t="shared" si="750"/>
        <v>0</v>
      </c>
      <c r="BL153" s="26">
        <f t="shared" si="751"/>
        <v>0</v>
      </c>
      <c r="BM153" s="26">
        <f t="shared" si="752"/>
        <v>0</v>
      </c>
      <c r="BN153" s="26">
        <f t="shared" si="753"/>
        <v>0</v>
      </c>
    </row>
    <row r="154" spans="2:66" ht="15" hidden="1" customHeight="1" x14ac:dyDescent="0.3">
      <c r="B154" s="233"/>
      <c r="C154" s="233"/>
      <c r="E154" s="233"/>
      <c r="F154" s="233"/>
      <c r="G154" s="233"/>
      <c r="H154" s="233"/>
      <c r="I154" s="233"/>
      <c r="J154" s="233"/>
      <c r="K154" s="1553"/>
      <c r="L154" s="233"/>
      <c r="M154" s="233"/>
      <c r="N154" s="233"/>
      <c r="O154" s="1553"/>
      <c r="P154" s="233"/>
      <c r="Q154" s="233"/>
      <c r="R154" s="233"/>
      <c r="S154" s="1553"/>
      <c r="T154" s="233"/>
      <c r="U154" s="233"/>
      <c r="V154" s="233"/>
      <c r="W154" s="233"/>
      <c r="X154" s="233"/>
      <c r="Y154" s="233"/>
      <c r="Z154" s="233"/>
      <c r="AA154" s="233"/>
      <c r="AB154" s="233"/>
      <c r="AW154" s="26">
        <f t="shared" si="754"/>
        <v>0</v>
      </c>
      <c r="AX154" s="26">
        <f t="shared" si="755"/>
        <v>0</v>
      </c>
      <c r="BG154" s="26"/>
      <c r="BH154" s="26"/>
      <c r="BI154" s="26"/>
      <c r="BJ154" s="26"/>
      <c r="BK154" s="26">
        <f t="shared" si="750"/>
        <v>0</v>
      </c>
      <c r="BL154" s="26">
        <f t="shared" si="751"/>
        <v>0</v>
      </c>
      <c r="BM154" s="26">
        <f t="shared" si="752"/>
        <v>0</v>
      </c>
      <c r="BN154" s="26">
        <f t="shared" si="753"/>
        <v>0</v>
      </c>
    </row>
    <row r="155" spans="2:66" ht="15" customHeight="1" x14ac:dyDescent="0.3">
      <c r="B155" s="233"/>
      <c r="C155" s="233"/>
      <c r="E155" s="233"/>
      <c r="F155" s="233"/>
      <c r="G155" s="233"/>
      <c r="H155" s="233"/>
      <c r="I155" s="233"/>
      <c r="J155" s="233"/>
      <c r="K155" s="1553"/>
      <c r="L155" s="233"/>
      <c r="M155" s="233"/>
      <c r="N155" s="233"/>
      <c r="O155" s="1553"/>
      <c r="P155" s="233"/>
      <c r="Q155" s="233"/>
      <c r="R155" s="233"/>
      <c r="S155" s="1553"/>
      <c r="T155" s="233"/>
      <c r="U155" s="233"/>
      <c r="V155" s="233"/>
      <c r="W155" s="233"/>
      <c r="X155" s="233"/>
      <c r="Y155" s="233"/>
      <c r="Z155" s="233"/>
      <c r="AA155" s="233"/>
      <c r="AB155" s="233"/>
    </row>
    <row r="156" spans="2:66" ht="15" customHeight="1" x14ac:dyDescent="0.3">
      <c r="B156" s="233"/>
      <c r="C156" s="233"/>
      <c r="E156" s="233"/>
      <c r="F156" s="233"/>
      <c r="G156" s="233"/>
      <c r="H156" s="233"/>
      <c r="I156" s="233"/>
      <c r="J156" s="233"/>
      <c r="K156" s="1553"/>
      <c r="L156" s="233"/>
      <c r="M156" s="233"/>
      <c r="N156" s="233"/>
      <c r="O156" s="1553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  <c r="Z156" s="233"/>
      <c r="AA156" s="233"/>
      <c r="AB156" s="233"/>
    </row>
    <row r="157" spans="2:66" ht="15" customHeight="1" x14ac:dyDescent="0.3">
      <c r="B157" s="233"/>
      <c r="C157" s="233"/>
      <c r="E157" s="233"/>
      <c r="F157" s="233"/>
      <c r="G157" s="233"/>
      <c r="H157" s="233"/>
      <c r="I157" s="233"/>
      <c r="J157" s="233"/>
      <c r="K157" s="1553"/>
      <c r="L157" s="233"/>
      <c r="M157" s="233"/>
      <c r="N157" s="233"/>
      <c r="O157" s="1553"/>
      <c r="P157" s="233"/>
      <c r="Q157" s="233"/>
      <c r="R157" s="233"/>
      <c r="S157" s="233"/>
      <c r="T157" s="233"/>
      <c r="U157" s="233"/>
      <c r="V157" s="233"/>
      <c r="W157" s="233"/>
      <c r="X157" s="233"/>
      <c r="Y157" s="233"/>
      <c r="Z157" s="233"/>
      <c r="AA157" s="233"/>
      <c r="AB157" s="233"/>
    </row>
    <row r="158" spans="2:66" ht="14.45" x14ac:dyDescent="0.3">
      <c r="B158" s="233"/>
      <c r="C158" s="233"/>
      <c r="E158" s="233"/>
      <c r="F158" s="233"/>
      <c r="G158" s="233"/>
      <c r="H158" s="233"/>
      <c r="I158" s="233"/>
      <c r="J158" s="233"/>
      <c r="K158" s="1553"/>
      <c r="L158" s="233"/>
      <c r="M158" s="233"/>
      <c r="N158" s="233"/>
      <c r="O158" s="1553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  <c r="Z158" s="233"/>
      <c r="AA158" s="233"/>
      <c r="AB158" s="233"/>
    </row>
    <row r="159" spans="2:66" ht="14.45" x14ac:dyDescent="0.3">
      <c r="B159" s="233"/>
      <c r="C159" s="233"/>
      <c r="E159" s="233"/>
      <c r="F159" s="233"/>
      <c r="G159" s="233"/>
      <c r="H159" s="233"/>
      <c r="I159" s="233"/>
      <c r="J159" s="233"/>
      <c r="K159" s="1553"/>
      <c r="L159" s="233"/>
      <c r="M159" s="233"/>
      <c r="N159" s="233"/>
      <c r="O159" s="1553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/>
      <c r="AA159" s="233"/>
      <c r="AB159" s="233"/>
    </row>
    <row r="160" spans="2:66" ht="14.45" x14ac:dyDescent="0.3">
      <c r="B160" s="233"/>
      <c r="C160" s="233"/>
      <c r="E160" s="233"/>
      <c r="F160" s="233"/>
      <c r="G160" s="233"/>
      <c r="H160" s="233"/>
      <c r="I160" s="233"/>
      <c r="J160" s="233"/>
      <c r="K160" s="1553"/>
      <c r="L160" s="233"/>
      <c r="M160" s="233"/>
      <c r="N160" s="233"/>
      <c r="O160" s="1553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  <c r="AA160" s="233"/>
      <c r="AB160" s="233"/>
    </row>
    <row r="161" spans="2:28" ht="14.45" x14ac:dyDescent="0.3">
      <c r="B161" s="233"/>
      <c r="C161" s="233"/>
      <c r="E161" s="233"/>
      <c r="F161" s="233"/>
      <c r="G161" s="233"/>
      <c r="H161" s="233"/>
      <c r="I161" s="233"/>
      <c r="J161" s="233"/>
      <c r="K161" s="1553"/>
      <c r="L161" s="233"/>
      <c r="M161" s="233"/>
      <c r="N161" s="233"/>
      <c r="O161" s="1553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  <c r="AA161" s="233"/>
      <c r="AB161" s="233"/>
    </row>
  </sheetData>
  <mergeCells count="31">
    <mergeCell ref="AY3:AZ3"/>
    <mergeCell ref="BE3:BF3"/>
    <mergeCell ref="BA3:BB3"/>
    <mergeCell ref="BC3:BD3"/>
    <mergeCell ref="B66:B67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</mergeCells>
  <printOptions horizontalCentered="1" verticalCentered="1"/>
  <pageMargins left="0" right="0" top="0" bottom="0" header="0" footer="0"/>
  <pageSetup scale="3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F0"/>
    <pageSetUpPr fitToPage="1"/>
  </sheetPr>
  <dimension ref="A1:BK117"/>
  <sheetViews>
    <sheetView topLeftCell="A33" zoomScaleNormal="100" workbookViewId="0">
      <pane xSplit="4" topLeftCell="Y1" activePane="topRight" state="frozen"/>
      <selection pane="topRight" activeCell="Y51" sqref="A51:XFD51"/>
    </sheetView>
  </sheetViews>
  <sheetFormatPr defaultRowHeight="15" x14ac:dyDescent="0.25"/>
  <cols>
    <col min="1" max="1" width="3.28515625" customWidth="1"/>
    <col min="2" max="2" width="66" bestFit="1" customWidth="1"/>
    <col min="3" max="3" width="12.42578125" bestFit="1" customWidth="1"/>
    <col min="4" max="4" width="13.7109375" customWidth="1"/>
    <col min="5" max="5" width="10" customWidth="1"/>
    <col min="6" max="6" width="9.85546875" bestFit="1" customWidth="1"/>
    <col min="7" max="7" width="10.140625" customWidth="1"/>
    <col min="8" max="8" width="9.85546875" customWidth="1"/>
    <col min="9" max="9" width="10.7109375" hidden="1" customWidth="1"/>
    <col min="10" max="10" width="14" hidden="1" customWidth="1"/>
    <col min="11" max="11" width="10.140625" customWidth="1"/>
    <col min="12" max="12" width="9.85546875" customWidth="1"/>
    <col min="13" max="14" width="11.5703125" customWidth="1"/>
    <col min="15" max="15" width="10.140625" customWidth="1"/>
    <col min="16" max="16" width="10.28515625" customWidth="1"/>
    <col min="17" max="17" width="11.7109375" hidden="1" customWidth="1"/>
    <col min="18" max="18" width="12.42578125" hidden="1" customWidth="1"/>
    <col min="19" max="19" width="10.140625" customWidth="1"/>
    <col min="20" max="20" width="12" customWidth="1"/>
    <col min="21" max="21" width="11.140625" hidden="1" customWidth="1"/>
    <col min="22" max="22" width="12.42578125" hidden="1" customWidth="1"/>
    <col min="23" max="23" width="10.140625" customWidth="1"/>
    <col min="24" max="24" width="12" customWidth="1"/>
    <col min="25" max="25" width="11.85546875" customWidth="1"/>
    <col min="26" max="26" width="9.85546875" customWidth="1"/>
    <col min="27" max="27" width="10.140625" customWidth="1"/>
    <col min="28" max="28" width="11.28515625" customWidth="1"/>
    <col min="29" max="29" width="10.140625" hidden="1" customWidth="1"/>
    <col min="30" max="30" width="15.28515625" hidden="1" customWidth="1"/>
    <col min="31" max="31" width="10.140625" hidden="1" customWidth="1"/>
    <col min="32" max="32" width="11.28515625" hidden="1" customWidth="1"/>
    <col min="33" max="34" width="9.7109375" hidden="1" customWidth="1"/>
    <col min="35" max="35" width="9" hidden="1" customWidth="1"/>
    <col min="36" max="36" width="11.28515625" hidden="1" customWidth="1"/>
    <col min="37" max="37" width="8.85546875" hidden="1" customWidth="1"/>
    <col min="38" max="38" width="9.85546875" hidden="1" customWidth="1"/>
    <col min="39" max="39" width="9" hidden="1" customWidth="1"/>
    <col min="40" max="40" width="9.85546875" hidden="1" customWidth="1"/>
    <col min="41" max="41" width="10.140625" hidden="1" customWidth="1"/>
    <col min="42" max="42" width="11.28515625" hidden="1" customWidth="1"/>
    <col min="43" max="43" width="9" hidden="1" customWidth="1"/>
    <col min="44" max="44" width="9.85546875" hidden="1" customWidth="1"/>
    <col min="45" max="45" width="10" hidden="1" customWidth="1"/>
    <col min="46" max="46" width="11.28515625" hidden="1" customWidth="1"/>
    <col min="47" max="47" width="8.85546875" hidden="1" customWidth="1"/>
    <col min="48" max="48" width="9.85546875" hidden="1" customWidth="1"/>
    <col min="49" max="49" width="10" hidden="1" customWidth="1"/>
    <col min="50" max="50" width="11.28515625" hidden="1" customWidth="1"/>
    <col min="51" max="51" width="8.85546875" hidden="1" customWidth="1"/>
    <col min="52" max="52" width="9.85546875" hidden="1" customWidth="1"/>
    <col min="53" max="53" width="10" hidden="1" customWidth="1"/>
    <col min="54" max="54" width="10.140625" hidden="1" customWidth="1"/>
    <col min="55" max="55" width="10" hidden="1" customWidth="1"/>
    <col min="56" max="56" width="11.42578125" hidden="1" customWidth="1"/>
    <col min="57" max="57" width="10" hidden="1" customWidth="1"/>
    <col min="58" max="58" width="11.28515625" hidden="1" customWidth="1"/>
    <col min="59" max="59" width="0" hidden="1" customWidth="1"/>
  </cols>
  <sheetData>
    <row r="1" spans="1:63" ht="22.9" x14ac:dyDescent="0.4">
      <c r="A1" s="147"/>
      <c r="B1" s="389" t="s">
        <v>234</v>
      </c>
      <c r="C1" s="202"/>
      <c r="D1" s="202"/>
      <c r="E1" s="202"/>
      <c r="F1" s="202"/>
      <c r="G1" s="202"/>
      <c r="H1" s="202"/>
      <c r="I1" s="202"/>
      <c r="J1" s="202"/>
      <c r="K1" s="579"/>
      <c r="L1" s="347"/>
      <c r="M1" s="347"/>
      <c r="N1" s="347"/>
      <c r="O1" s="1718"/>
      <c r="P1" s="579"/>
      <c r="Q1" s="347"/>
      <c r="R1" s="347"/>
      <c r="S1" s="347"/>
      <c r="T1" s="347"/>
      <c r="U1" s="347"/>
      <c r="V1" s="347"/>
      <c r="W1" s="347"/>
      <c r="X1" s="347"/>
      <c r="Y1" s="347"/>
      <c r="Z1" s="347"/>
      <c r="AA1" s="347"/>
      <c r="AB1" s="347"/>
    </row>
    <row r="2" spans="1:63" ht="16.149999999999999" thickBot="1" x14ac:dyDescent="0.35">
      <c r="A2" s="93"/>
      <c r="B2" s="45"/>
      <c r="C2" s="202"/>
      <c r="D2" s="4448">
        <v>365</v>
      </c>
      <c r="E2" s="4448">
        <v>30</v>
      </c>
      <c r="F2" s="4448">
        <v>30</v>
      </c>
      <c r="G2" s="4448">
        <v>31</v>
      </c>
      <c r="H2" s="4448">
        <v>31</v>
      </c>
      <c r="I2" s="4448">
        <f>+E2+G2</f>
        <v>61</v>
      </c>
      <c r="J2" s="4448">
        <f>+F2+H2</f>
        <v>61</v>
      </c>
      <c r="K2" s="4523">
        <v>30</v>
      </c>
      <c r="L2" s="4448">
        <v>30</v>
      </c>
      <c r="M2" s="4448">
        <f>+I2+K2</f>
        <v>91</v>
      </c>
      <c r="N2" s="4448">
        <f>+J2+L2</f>
        <v>91</v>
      </c>
      <c r="O2" s="4523">
        <v>31</v>
      </c>
      <c r="P2" s="4523">
        <v>31</v>
      </c>
      <c r="Q2" s="4448">
        <f>+M2+O2</f>
        <v>122</v>
      </c>
      <c r="R2" s="4448">
        <f>+N2+P2</f>
        <v>122</v>
      </c>
      <c r="S2" s="4448">
        <v>31</v>
      </c>
      <c r="T2" s="4448">
        <v>31</v>
      </c>
      <c r="U2" s="4448">
        <f>+Q2+S2</f>
        <v>153</v>
      </c>
      <c r="V2" s="4448">
        <f>+R2+T2</f>
        <v>153</v>
      </c>
      <c r="W2" s="4448">
        <v>30</v>
      </c>
      <c r="X2" s="4523">
        <v>30</v>
      </c>
      <c r="Y2" s="4448">
        <f>+O2+S2+W2</f>
        <v>92</v>
      </c>
      <c r="Z2" s="4448">
        <f>+P2+T2+X2</f>
        <v>92</v>
      </c>
      <c r="AA2" s="4448">
        <f>+U2+W2</f>
        <v>183</v>
      </c>
      <c r="AB2" s="4448">
        <f>+V2+X2</f>
        <v>183</v>
      </c>
      <c r="AC2" s="4448">
        <v>31</v>
      </c>
      <c r="AD2" s="4448">
        <v>31</v>
      </c>
      <c r="AE2" s="4448">
        <f>+AA2+AC2</f>
        <v>214</v>
      </c>
      <c r="AF2" s="4448">
        <f>+AB2+AD2</f>
        <v>214</v>
      </c>
      <c r="AG2" s="4448">
        <v>30</v>
      </c>
      <c r="AH2" s="4448">
        <v>30</v>
      </c>
      <c r="AI2" s="4448">
        <f>+AE2+AG2</f>
        <v>244</v>
      </c>
      <c r="AJ2" s="4448">
        <f>+AF2+AH2</f>
        <v>244</v>
      </c>
      <c r="AK2" s="97">
        <v>31</v>
      </c>
      <c r="AL2" s="97">
        <v>31</v>
      </c>
      <c r="AM2" s="97">
        <f>+AC2+AG2+AK2</f>
        <v>92</v>
      </c>
      <c r="AN2" s="97">
        <f>+AD2+AH2+AL2</f>
        <v>92</v>
      </c>
      <c r="AO2" s="97">
        <f>+AK2+AI2</f>
        <v>275</v>
      </c>
      <c r="AP2" s="97">
        <f>+AL2+AJ2</f>
        <v>275</v>
      </c>
      <c r="AQ2" s="97">
        <v>31</v>
      </c>
      <c r="AR2" s="97">
        <v>31</v>
      </c>
      <c r="AS2" s="97">
        <f>+AO2+AQ2</f>
        <v>306</v>
      </c>
      <c r="AT2" s="97">
        <f>+AP2+AR2</f>
        <v>306</v>
      </c>
      <c r="AU2" s="97">
        <v>28</v>
      </c>
      <c r="AV2" s="97">
        <v>28</v>
      </c>
      <c r="AW2" s="97">
        <f>+AS2+AU2</f>
        <v>334</v>
      </c>
      <c r="AX2" s="97">
        <f>+AT2+AV2</f>
        <v>334</v>
      </c>
      <c r="AY2" s="97">
        <v>31</v>
      </c>
      <c r="AZ2" s="97">
        <v>31</v>
      </c>
      <c r="BA2" s="97">
        <f>+AQ2+AU2+AY2</f>
        <v>90</v>
      </c>
      <c r="BB2" s="97">
        <f>+AR2+AV2+AZ2</f>
        <v>90</v>
      </c>
      <c r="BC2" s="97">
        <f>+AM2+BA2</f>
        <v>182</v>
      </c>
      <c r="BD2" s="97">
        <f>+AN2+BB2</f>
        <v>182</v>
      </c>
      <c r="BE2" s="97">
        <f>+AW2+AY2</f>
        <v>365</v>
      </c>
      <c r="BF2" s="97">
        <f>+AX2+AZ2</f>
        <v>365</v>
      </c>
    </row>
    <row r="3" spans="1:63" ht="16.149999999999999" hidden="1" thickBot="1" x14ac:dyDescent="0.35">
      <c r="A3" s="93"/>
      <c r="B3" s="45" t="s">
        <v>2240</v>
      </c>
      <c r="C3" s="202"/>
      <c r="D3" s="4447"/>
      <c r="E3" s="4447"/>
      <c r="F3" s="4447">
        <f>80/24</f>
        <v>3.3333333333333335</v>
      </c>
      <c r="G3" s="4447"/>
      <c r="H3" s="4447">
        <f>29/24</f>
        <v>1.2083333333333333</v>
      </c>
      <c r="I3" s="4447"/>
      <c r="J3" s="4448">
        <f>+F3+H3</f>
        <v>4.541666666666667</v>
      </c>
      <c r="K3" s="4522"/>
      <c r="L3" s="4447">
        <f>9.33/24</f>
        <v>0.38874999999999998</v>
      </c>
      <c r="M3" s="4447"/>
      <c r="N3" s="4447">
        <f>+F3+H3+L3</f>
        <v>4.9304166666666669</v>
      </c>
      <c r="O3" s="4522"/>
      <c r="P3" s="4524">
        <v>0</v>
      </c>
      <c r="Q3" s="4447"/>
      <c r="R3" s="4448">
        <f>+N3+P3</f>
        <v>4.9304166666666669</v>
      </c>
      <c r="S3" s="4447"/>
      <c r="T3" s="5582">
        <f>23.4166666666667/24</f>
        <v>0.97569444444444586</v>
      </c>
      <c r="U3" s="4447"/>
      <c r="V3" s="4448">
        <f>+R3+T3</f>
        <v>5.9061111111111124</v>
      </c>
      <c r="W3" s="4447"/>
      <c r="X3" s="4522">
        <f>7.83/24</f>
        <v>0.32624999999999998</v>
      </c>
      <c r="Y3" s="4447"/>
      <c r="Z3" s="4447">
        <f>+P3+T3+X3</f>
        <v>1.3019444444444459</v>
      </c>
      <c r="AA3" s="4447"/>
      <c r="AB3" s="4447">
        <f>+N3+Z3</f>
        <v>6.2323611111111124</v>
      </c>
      <c r="AC3" s="4447"/>
      <c r="AD3" s="4447">
        <f>24.83/24</f>
        <v>1.0345833333333332</v>
      </c>
      <c r="AE3" s="4447"/>
      <c r="AF3" s="4448">
        <f>+AB3+AD3</f>
        <v>7.2669444444444453</v>
      </c>
      <c r="AG3" s="4447"/>
      <c r="AH3" s="4447">
        <f>651/24</f>
        <v>27.125</v>
      </c>
      <c r="AI3" s="4447"/>
      <c r="AJ3" s="4448">
        <f>+AF3+AH3</f>
        <v>34.391944444444448</v>
      </c>
      <c r="AK3" s="97"/>
      <c r="AL3" s="2652">
        <f>6/24</f>
        <v>0.25</v>
      </c>
      <c r="AM3" s="97"/>
      <c r="AN3" s="2652">
        <f>+AD3+AH3+AL3</f>
        <v>28.409583333333334</v>
      </c>
      <c r="AO3" s="97"/>
      <c r="AP3" s="97">
        <f>+AL3+AJ3</f>
        <v>34.641944444444448</v>
      </c>
      <c r="AQ3" s="97"/>
      <c r="AR3" s="97">
        <f>27/24</f>
        <v>1.125</v>
      </c>
      <c r="AS3" s="97"/>
      <c r="AT3" s="97">
        <f>AP3+AR3</f>
        <v>35.766944444444448</v>
      </c>
      <c r="AU3" s="97"/>
      <c r="AV3" s="97">
        <f>19.5/24</f>
        <v>0.8125</v>
      </c>
      <c r="AW3" s="97"/>
      <c r="AX3" s="2552">
        <f>AV3+F3+H3+L3+P3+T3+X3+AD3+AH3+AL3+AR3</f>
        <v>36.579444444444448</v>
      </c>
      <c r="AY3" s="97"/>
      <c r="AZ3" s="97">
        <f>18.5/24</f>
        <v>0.77083333333333337</v>
      </c>
      <c r="BA3" s="97"/>
      <c r="BB3" s="2552">
        <f t="shared" ref="BB3" si="0">+AZ3+AV3+AR3</f>
        <v>2.7083333333333335</v>
      </c>
      <c r="BC3" s="97"/>
      <c r="BD3" s="97">
        <f>+AN3+BB3</f>
        <v>31.117916666666666</v>
      </c>
      <c r="BE3" s="97"/>
      <c r="BF3" s="2552">
        <f t="shared" ref="BF3" si="1">+AX3+AZ3</f>
        <v>37.350277777777784</v>
      </c>
    </row>
    <row r="4" spans="1:63" ht="15.75" thickBot="1" x14ac:dyDescent="0.3">
      <c r="A4" s="93"/>
      <c r="B4" s="6072" t="s">
        <v>171</v>
      </c>
      <c r="C4" s="5725" t="s">
        <v>172</v>
      </c>
      <c r="D4" s="5725" t="s">
        <v>2191</v>
      </c>
      <c r="E4" s="5725" t="s">
        <v>2190</v>
      </c>
      <c r="F4" s="5725"/>
      <c r="G4" s="5725" t="s">
        <v>2242</v>
      </c>
      <c r="H4" s="5725"/>
      <c r="I4" s="6071" t="s">
        <v>14</v>
      </c>
      <c r="J4" s="5702"/>
      <c r="K4" s="5724" t="s">
        <v>2273</v>
      </c>
      <c r="L4" s="5725"/>
      <c r="M4" s="5726" t="s">
        <v>637</v>
      </c>
      <c r="N4" s="5726"/>
      <c r="O4" s="5725" t="s">
        <v>2296</v>
      </c>
      <c r="P4" s="5725"/>
      <c r="Q4" s="6071" t="s">
        <v>17</v>
      </c>
      <c r="R4" s="6071"/>
      <c r="S4" s="5725" t="s">
        <v>2299</v>
      </c>
      <c r="T4" s="5725"/>
      <c r="U4" s="6071" t="s">
        <v>18</v>
      </c>
      <c r="V4" s="5702"/>
      <c r="W4" s="5760" t="s">
        <v>2344</v>
      </c>
      <c r="X4" s="5760"/>
      <c r="Y4" s="5763" t="s">
        <v>139</v>
      </c>
      <c r="Z4" s="5764"/>
      <c r="AA4" s="5765" t="s">
        <v>657</v>
      </c>
      <c r="AB4" s="5766"/>
      <c r="AC4" s="5725" t="s">
        <v>1954</v>
      </c>
      <c r="AD4" s="5725"/>
      <c r="AE4" s="6071" t="s">
        <v>24</v>
      </c>
      <c r="AF4" s="5702"/>
      <c r="AG4" s="5725" t="s">
        <v>1970</v>
      </c>
      <c r="AH4" s="5725"/>
      <c r="AI4" s="6071" t="s">
        <v>27</v>
      </c>
      <c r="AJ4" s="5702"/>
      <c r="AK4" s="5725" t="s">
        <v>1985</v>
      </c>
      <c r="AL4" s="5725"/>
      <c r="AM4" s="5763" t="s">
        <v>1668</v>
      </c>
      <c r="AN4" s="5764"/>
      <c r="AO4" s="6071" t="s">
        <v>1666</v>
      </c>
      <c r="AP4" s="5702"/>
      <c r="AQ4" s="5725" t="s">
        <v>2085</v>
      </c>
      <c r="AR4" s="5725"/>
      <c r="AS4" s="6071" t="s">
        <v>28</v>
      </c>
      <c r="AT4" s="5702"/>
      <c r="AU4" s="5725" t="s">
        <v>2099</v>
      </c>
      <c r="AV4" s="5725"/>
      <c r="AW4" s="6071" t="s">
        <v>30</v>
      </c>
      <c r="AX4" s="5702"/>
      <c r="AY4" s="5725" t="s">
        <v>2111</v>
      </c>
      <c r="AZ4" s="5725"/>
      <c r="BA4" s="5763" t="s">
        <v>1711</v>
      </c>
      <c r="BB4" s="5764"/>
      <c r="BC4" s="5765" t="s">
        <v>671</v>
      </c>
      <c r="BD4" s="5766"/>
      <c r="BE4" s="6071" t="s">
        <v>1745</v>
      </c>
      <c r="BF4" s="5702"/>
    </row>
    <row r="5" spans="1:63" ht="15.75" thickBot="1" x14ac:dyDescent="0.3">
      <c r="A5" s="93"/>
      <c r="B5" s="6073"/>
      <c r="C5" s="6074"/>
      <c r="D5" s="6074"/>
      <c r="E5" s="3255" t="s">
        <v>173</v>
      </c>
      <c r="F5" s="3255" t="s">
        <v>174</v>
      </c>
      <c r="G5" s="3255" t="s">
        <v>173</v>
      </c>
      <c r="H5" s="3255" t="s">
        <v>174</v>
      </c>
      <c r="I5" s="3256" t="s">
        <v>173</v>
      </c>
      <c r="J5" s="913" t="s">
        <v>174</v>
      </c>
      <c r="K5" s="1556" t="s">
        <v>173</v>
      </c>
      <c r="L5" s="706" t="s">
        <v>174</v>
      </c>
      <c r="M5" s="708" t="s">
        <v>173</v>
      </c>
      <c r="N5" s="708" t="s">
        <v>174</v>
      </c>
      <c r="O5" s="813" t="s">
        <v>173</v>
      </c>
      <c r="P5" s="813" t="s">
        <v>174</v>
      </c>
      <c r="Q5" s="707" t="s">
        <v>173</v>
      </c>
      <c r="R5" s="707" t="s">
        <v>174</v>
      </c>
      <c r="S5" s="813" t="s">
        <v>173</v>
      </c>
      <c r="T5" s="813" t="s">
        <v>174</v>
      </c>
      <c r="U5" s="707" t="s">
        <v>173</v>
      </c>
      <c r="V5" s="913" t="s">
        <v>174</v>
      </c>
      <c r="W5" s="232" t="s">
        <v>173</v>
      </c>
      <c r="X5" s="400" t="s">
        <v>174</v>
      </c>
      <c r="Y5" s="703" t="s">
        <v>173</v>
      </c>
      <c r="Z5" s="170" t="s">
        <v>174</v>
      </c>
      <c r="AA5" s="705" t="s">
        <v>173</v>
      </c>
      <c r="AB5" s="467" t="s">
        <v>174</v>
      </c>
      <c r="AC5" s="813" t="s">
        <v>173</v>
      </c>
      <c r="AD5" s="706" t="s">
        <v>174</v>
      </c>
      <c r="AE5" s="707" t="s">
        <v>173</v>
      </c>
      <c r="AF5" s="913" t="s">
        <v>174</v>
      </c>
      <c r="AG5" s="813" t="s">
        <v>173</v>
      </c>
      <c r="AH5" s="706" t="s">
        <v>174</v>
      </c>
      <c r="AI5" s="707" t="s">
        <v>173</v>
      </c>
      <c r="AJ5" s="913" t="s">
        <v>174</v>
      </c>
      <c r="AK5" s="813" t="s">
        <v>173</v>
      </c>
      <c r="AL5" s="706" t="s">
        <v>174</v>
      </c>
      <c r="AM5" s="703" t="s">
        <v>173</v>
      </c>
      <c r="AN5" s="170" t="s">
        <v>174</v>
      </c>
      <c r="AO5" s="707" t="s">
        <v>173</v>
      </c>
      <c r="AP5" s="913" t="s">
        <v>174</v>
      </c>
      <c r="AQ5" s="813" t="s">
        <v>173</v>
      </c>
      <c r="AR5" s="706" t="s">
        <v>174</v>
      </c>
      <c r="AS5" s="707" t="s">
        <v>173</v>
      </c>
      <c r="AT5" s="913" t="s">
        <v>174</v>
      </c>
      <c r="AU5" s="813" t="s">
        <v>173</v>
      </c>
      <c r="AV5" s="706" t="s">
        <v>174</v>
      </c>
      <c r="AW5" s="707" t="s">
        <v>173</v>
      </c>
      <c r="AX5" s="913" t="s">
        <v>174</v>
      </c>
      <c r="AY5" s="813" t="s">
        <v>173</v>
      </c>
      <c r="AZ5" s="706" t="s">
        <v>174</v>
      </c>
      <c r="BA5" s="703" t="s">
        <v>173</v>
      </c>
      <c r="BB5" s="170" t="s">
        <v>174</v>
      </c>
      <c r="BC5" s="705" t="s">
        <v>173</v>
      </c>
      <c r="BD5" s="467" t="s">
        <v>174</v>
      </c>
      <c r="BE5" s="707" t="s">
        <v>173</v>
      </c>
      <c r="BF5" s="913" t="s">
        <v>174</v>
      </c>
    </row>
    <row r="6" spans="1:63" ht="17.45" x14ac:dyDescent="0.3">
      <c r="A6" s="93"/>
      <c r="B6" s="3162" t="s">
        <v>87</v>
      </c>
      <c r="C6" s="3013" t="s">
        <v>50</v>
      </c>
      <c r="D6" s="3025">
        <v>2950000</v>
      </c>
      <c r="E6" s="3025">
        <f>+'Maj Production Summ'!E17</f>
        <v>252000</v>
      </c>
      <c r="F6" s="2657">
        <f>+'Maj Production Summ'!F17</f>
        <v>226125.59999999995</v>
      </c>
      <c r="G6" s="3025">
        <f>+'Maj Production Summ'!G17</f>
        <v>260000</v>
      </c>
      <c r="H6" s="2657">
        <f>+'Maj Production Summ'!H17</f>
        <v>255730.90000000002</v>
      </c>
      <c r="I6" s="3257">
        <f>+E6+G6</f>
        <v>512000</v>
      </c>
      <c r="J6" s="182">
        <f>+F6+H6</f>
        <v>481856.5</v>
      </c>
      <c r="K6" s="3025">
        <f>+'Maj Production Summ'!K17</f>
        <v>252000</v>
      </c>
      <c r="L6" s="2657">
        <f>+'Maj Production Summ'!L17</f>
        <v>261489.89999999997</v>
      </c>
      <c r="M6" s="378">
        <f>+K6+G6+E6</f>
        <v>764000</v>
      </c>
      <c r="N6" s="378">
        <f>+L6+H6+F6</f>
        <v>743346.39999999991</v>
      </c>
      <c r="O6" s="3025">
        <f>+'Maj Production Summ'!O17</f>
        <v>255000</v>
      </c>
      <c r="P6" s="2657">
        <f>+'Maj Production Summ'!P17</f>
        <v>268142.30000000005</v>
      </c>
      <c r="Q6" s="2082">
        <f>+M6+O6</f>
        <v>1019000</v>
      </c>
      <c r="R6" s="256">
        <f>+N6+P6</f>
        <v>1011488.7</v>
      </c>
      <c r="S6" s="3025">
        <f>+'Maj Production Summ'!S17</f>
        <v>255000</v>
      </c>
      <c r="T6" s="2657">
        <f>+'Maj Production Summ'!T17</f>
        <v>253263.6</v>
      </c>
      <c r="U6" s="2082">
        <f>+Q6+S6</f>
        <v>1274000</v>
      </c>
      <c r="V6" s="256">
        <f>+R6+T6</f>
        <v>1264752.3</v>
      </c>
      <c r="W6" s="3025">
        <f>+'Maj Production Summ'!W17</f>
        <v>140000</v>
      </c>
      <c r="X6" s="2657">
        <f>+'Maj Production Summ'!X17</f>
        <v>243297.40000000002</v>
      </c>
      <c r="Y6" s="785">
        <f>+W6+S6+O6</f>
        <v>650000</v>
      </c>
      <c r="Z6" s="91">
        <f>+X6+T6+P6</f>
        <v>764703.3</v>
      </c>
      <c r="AA6" s="2312">
        <f>M6+Y6</f>
        <v>1414000</v>
      </c>
      <c r="AB6" s="468">
        <f>+N6+Z6</f>
        <v>1508049.7</v>
      </c>
      <c r="AC6" s="3025">
        <f>+'Maj Production Summ'!AC17</f>
        <v>250000</v>
      </c>
      <c r="AD6" s="2657">
        <f>+'Maj Production Summ'!AD17</f>
        <v>237886.3</v>
      </c>
      <c r="AE6" s="2082">
        <f>+AA6+AC6</f>
        <v>1664000</v>
      </c>
      <c r="AF6" s="256">
        <f>+AB6+AD6</f>
        <v>1745936</v>
      </c>
      <c r="AG6" s="3025">
        <f>+'Maj Production Summ'!AG17</f>
        <v>242000</v>
      </c>
      <c r="AH6" s="2657">
        <f>+'Maj Production Summ'!AH17</f>
        <v>8246.5</v>
      </c>
      <c r="AI6" s="2082">
        <f>+AE6+AG6</f>
        <v>1906000</v>
      </c>
      <c r="AJ6" s="256">
        <f>+AF6+AH6</f>
        <v>1754182.5</v>
      </c>
      <c r="AK6" s="3025">
        <f>+'Maj Production Summ'!AK17</f>
        <v>250000</v>
      </c>
      <c r="AL6" s="2657">
        <f>+'Maj Production Summ'!AL17</f>
        <v>257290.9</v>
      </c>
      <c r="AM6" s="785">
        <f>+AK6+AG6+AC6</f>
        <v>742000</v>
      </c>
      <c r="AN6" s="91">
        <f>+AL6+AH6+AD6</f>
        <v>503423.7</v>
      </c>
      <c r="AO6" s="256">
        <f>+AK6+AI6</f>
        <v>2156000</v>
      </c>
      <c r="AP6" s="256">
        <f>+AL6+AJ6</f>
        <v>2011473.4</v>
      </c>
      <c r="AQ6" s="3025">
        <f>+'Maj Production Summ'!AQ17</f>
        <v>250000</v>
      </c>
      <c r="AR6" s="2657">
        <v>261845.40000000002</v>
      </c>
      <c r="AS6" s="2082">
        <f>+AO6+AQ6</f>
        <v>2406000</v>
      </c>
      <c r="AT6" s="256">
        <f>+AP6+AR6</f>
        <v>2273318.7999999998</v>
      </c>
      <c r="AU6" s="3025">
        <f>+'Maj Production Summ'!AU17</f>
        <v>225000</v>
      </c>
      <c r="AV6" s="2657">
        <v>239624</v>
      </c>
      <c r="AW6" s="2082">
        <f>+AS6+AU6</f>
        <v>2631000</v>
      </c>
      <c r="AX6" s="256">
        <f>+AT6+AV6</f>
        <v>2512942.7999999998</v>
      </c>
      <c r="AY6" s="3025">
        <f>+'Maj Production Summ'!AY17</f>
        <v>250000</v>
      </c>
      <c r="AZ6" s="2657">
        <v>263830.00000000006</v>
      </c>
      <c r="BA6" s="785">
        <f>+AY6+AU6+AQ6</f>
        <v>725000</v>
      </c>
      <c r="BB6" s="194">
        <f>+AZ6+AV6+AR6</f>
        <v>765299.40000000014</v>
      </c>
      <c r="BC6" s="2312">
        <f>AM6+BA6</f>
        <v>1467000</v>
      </c>
      <c r="BD6" s="468">
        <f>+AN6+BB6</f>
        <v>1268723.1000000001</v>
      </c>
      <c r="BE6" s="2082">
        <f>+AW6+AY6</f>
        <v>2881000</v>
      </c>
      <c r="BF6" s="256">
        <f>+AX6+AZ6</f>
        <v>2776772.8</v>
      </c>
      <c r="BH6" s="26"/>
      <c r="BI6" s="26"/>
      <c r="BJ6" s="26"/>
      <c r="BK6" s="26"/>
    </row>
    <row r="7" spans="1:63" ht="14.45" x14ac:dyDescent="0.3">
      <c r="A7" s="148"/>
      <c r="B7" s="1781" t="s">
        <v>235</v>
      </c>
      <c r="C7" s="3258"/>
      <c r="D7" s="3258"/>
      <c r="E7" s="3258"/>
      <c r="F7" s="3258"/>
      <c r="G7" s="3258"/>
      <c r="H7" s="3258"/>
      <c r="I7" s="3258"/>
      <c r="J7" s="1338"/>
      <c r="K7" s="3258"/>
      <c r="L7" s="3258"/>
      <c r="M7" s="813"/>
      <c r="N7" s="813"/>
      <c r="O7" s="3258"/>
      <c r="P7" s="3258"/>
      <c r="Q7" s="813"/>
      <c r="R7" s="813"/>
      <c r="S7" s="3258"/>
      <c r="T7" s="3258"/>
      <c r="U7" s="813"/>
      <c r="V7" s="813"/>
      <c r="W7" s="3258"/>
      <c r="X7" s="3258"/>
      <c r="Y7" s="644"/>
      <c r="Z7" s="644"/>
      <c r="AA7" s="644"/>
      <c r="AB7" s="652"/>
      <c r="AC7" s="3258"/>
      <c r="AD7" s="3258"/>
      <c r="AE7" s="813"/>
      <c r="AF7" s="813"/>
      <c r="AG7" s="3258"/>
      <c r="AH7" s="3258"/>
      <c r="AI7" s="813"/>
      <c r="AJ7" s="813"/>
      <c r="AK7" s="3258"/>
      <c r="AL7" s="3258"/>
      <c r="AM7" s="644"/>
      <c r="AN7" s="644"/>
      <c r="AO7" s="813"/>
      <c r="AP7" s="813"/>
      <c r="AQ7" s="3258"/>
      <c r="AR7" s="3258"/>
      <c r="AS7" s="813"/>
      <c r="AT7" s="813"/>
      <c r="AU7" s="3258"/>
      <c r="AV7" s="3258"/>
      <c r="AW7" s="813"/>
      <c r="AX7" s="813"/>
      <c r="AY7" s="3258"/>
      <c r="AZ7" s="3258"/>
      <c r="BA7" s="644"/>
      <c r="BB7" s="644"/>
      <c r="BC7" s="644"/>
      <c r="BD7" s="652"/>
      <c r="BE7" s="813"/>
      <c r="BF7" s="813"/>
      <c r="BH7" s="26"/>
      <c r="BI7" s="26"/>
      <c r="BJ7" s="26"/>
      <c r="BK7" s="26"/>
    </row>
    <row r="8" spans="1:63" ht="14.45" x14ac:dyDescent="0.3">
      <c r="A8" s="147"/>
      <c r="B8" s="2115" t="s">
        <v>439</v>
      </c>
      <c r="C8" s="2656" t="s">
        <v>50</v>
      </c>
      <c r="D8" s="2647">
        <v>2933450</v>
      </c>
      <c r="E8" s="2647">
        <v>251100</v>
      </c>
      <c r="F8" s="2716">
        <v>221192.69999999992</v>
      </c>
      <c r="G8" s="2647">
        <v>259100</v>
      </c>
      <c r="H8" s="2716">
        <v>252875.2</v>
      </c>
      <c r="I8" s="2648">
        <f>+E8+G8</f>
        <v>510200</v>
      </c>
      <c r="J8" s="39">
        <f t="shared" ref="J8:J31" si="2">+F8+H8</f>
        <v>474067.89999999991</v>
      </c>
      <c r="K8" s="2647">
        <v>251100</v>
      </c>
      <c r="L8" s="2716">
        <v>260408.09999999998</v>
      </c>
      <c r="M8" s="781">
        <f t="shared" ref="M8:N8" si="3">+K8+G8+E8</f>
        <v>761300</v>
      </c>
      <c r="N8" s="781">
        <f t="shared" si="3"/>
        <v>734475.99999999988</v>
      </c>
      <c r="O8" s="2647">
        <v>254100</v>
      </c>
      <c r="P8" s="2716">
        <v>268142.30000000005</v>
      </c>
      <c r="Q8" s="782">
        <f t="shared" ref="Q8:R11" si="4">+M8+O8</f>
        <v>1015400</v>
      </c>
      <c r="R8" s="782">
        <f t="shared" si="4"/>
        <v>1002618.2999999999</v>
      </c>
      <c r="S8" s="2647">
        <v>254100</v>
      </c>
      <c r="T8" s="2716">
        <v>253091</v>
      </c>
      <c r="U8" s="782">
        <f t="shared" ref="U8:U11" si="5">+Q8+S8</f>
        <v>1269500</v>
      </c>
      <c r="V8" s="782">
        <f t="shared" ref="V8:V11" si="6">+R8+T8</f>
        <v>1255709.2999999998</v>
      </c>
      <c r="W8" s="2647">
        <v>133350</v>
      </c>
      <c r="X8" s="2716">
        <v>242990.00000000003</v>
      </c>
      <c r="Y8" s="68">
        <f t="shared" ref="Y8:Z8" si="7">+W8+S8+O8</f>
        <v>641550</v>
      </c>
      <c r="Z8" s="69">
        <f t="shared" si="7"/>
        <v>764223.3</v>
      </c>
      <c r="AA8" s="469">
        <f>M8+Y8</f>
        <v>1402850</v>
      </c>
      <c r="AB8" s="477">
        <f>+N8+Z8</f>
        <v>1498699.2999999998</v>
      </c>
      <c r="AC8" s="2647">
        <v>249620</v>
      </c>
      <c r="AD8" s="2716">
        <v>237569.19999999995</v>
      </c>
      <c r="AE8" s="782">
        <f t="shared" ref="AE8:AE11" si="8">+AA8+AC8</f>
        <v>1652470</v>
      </c>
      <c r="AF8" s="782">
        <f t="shared" ref="AF8:AF11" si="9">+AB8+AD8</f>
        <v>1736268.4999999998</v>
      </c>
      <c r="AG8" s="2647">
        <v>241620</v>
      </c>
      <c r="AH8" s="2716">
        <v>6810.3</v>
      </c>
      <c r="AI8" s="782">
        <f t="shared" ref="AI8:AI11" si="10">+AE8+AG8</f>
        <v>1894090</v>
      </c>
      <c r="AJ8" s="782">
        <f t="shared" ref="AJ8:AJ11" si="11">+AF8+AH8</f>
        <v>1743078.7999999998</v>
      </c>
      <c r="AK8" s="2647">
        <v>249620</v>
      </c>
      <c r="AL8" s="2716">
        <v>251493.30000000002</v>
      </c>
      <c r="AM8" s="68">
        <f t="shared" ref="AM8:AM11" si="12">+AK8+AG8+AC8</f>
        <v>740860</v>
      </c>
      <c r="AN8" s="69">
        <f t="shared" ref="AN8:AN11" si="13">+AL8+AH8+AD8</f>
        <v>495872.79999999993</v>
      </c>
      <c r="AO8" s="782">
        <f>+AK8+AI8</f>
        <v>2143710</v>
      </c>
      <c r="AP8" s="782">
        <f>+AL8+AJ8</f>
        <v>1994572.0999999999</v>
      </c>
      <c r="AQ8" s="2647">
        <v>249620</v>
      </c>
      <c r="AR8" s="2716">
        <v>261252.00000000003</v>
      </c>
      <c r="AS8" s="782">
        <f t="shared" ref="AS8:AS10" si="14">+AO8+AQ8</f>
        <v>2393330</v>
      </c>
      <c r="AT8" s="782">
        <f t="shared" ref="AT8:AT10" si="15">+AP8+AR8</f>
        <v>2255824.1</v>
      </c>
      <c r="AU8" s="2647">
        <v>224620</v>
      </c>
      <c r="AV8" s="2716">
        <v>239235.20000000001</v>
      </c>
      <c r="AW8" s="782">
        <f t="shared" ref="AW8:AW11" si="16">+AS8+AU8</f>
        <v>2617950</v>
      </c>
      <c r="AX8" s="782">
        <f t="shared" ref="AX8:AX11" si="17">+AT8+AV8</f>
        <v>2495059.3000000003</v>
      </c>
      <c r="AY8" s="2647">
        <v>249620</v>
      </c>
      <c r="AZ8" s="2716">
        <v>258566.60000000006</v>
      </c>
      <c r="BA8" s="68">
        <f t="shared" ref="BA8:BA11" si="18">+AY8+AU8+AQ8</f>
        <v>723860</v>
      </c>
      <c r="BB8" s="69">
        <f t="shared" ref="BB8:BB11" si="19">+AZ8+AV8+AR8</f>
        <v>759053.8</v>
      </c>
      <c r="BC8" s="469">
        <f>AM8+BA8</f>
        <v>1464720</v>
      </c>
      <c r="BD8" s="477">
        <f>+AN8+BB8</f>
        <v>1254926.6000000001</v>
      </c>
      <c r="BE8" s="782">
        <f t="shared" ref="BE8:BE11" si="20">+AW8+AY8</f>
        <v>2867570</v>
      </c>
      <c r="BF8" s="782">
        <f t="shared" ref="BF8:BF11" si="21">+AX8+AZ8</f>
        <v>2753625.9000000004</v>
      </c>
      <c r="BH8" s="26"/>
      <c r="BI8" s="26"/>
      <c r="BJ8" s="26"/>
      <c r="BK8" s="26"/>
    </row>
    <row r="9" spans="1:63" ht="14.45" x14ac:dyDescent="0.3">
      <c r="A9" s="147"/>
      <c r="B9" s="2115" t="s">
        <v>440</v>
      </c>
      <c r="C9" s="2656" t="s">
        <v>50</v>
      </c>
      <c r="D9" s="2647">
        <v>14050</v>
      </c>
      <c r="E9" s="2647">
        <v>900</v>
      </c>
      <c r="F9" s="2716">
        <v>4689.7</v>
      </c>
      <c r="G9" s="2647">
        <v>900</v>
      </c>
      <c r="H9" s="2716">
        <v>2855.7000000000003</v>
      </c>
      <c r="I9" s="2648">
        <f>+E9+G9</f>
        <v>1800</v>
      </c>
      <c r="J9" s="39">
        <f t="shared" si="2"/>
        <v>7545.4</v>
      </c>
      <c r="K9" s="2647">
        <v>900</v>
      </c>
      <c r="L9" s="2716">
        <v>1081.8</v>
      </c>
      <c r="M9" s="781">
        <f t="shared" ref="M9" si="22">+K9+G9+E9</f>
        <v>2700</v>
      </c>
      <c r="N9" s="781">
        <f t="shared" ref="N9" si="23">+L9+H9+F9</f>
        <v>8627.2000000000007</v>
      </c>
      <c r="O9" s="2647">
        <v>900</v>
      </c>
      <c r="P9" s="2716">
        <v>0</v>
      </c>
      <c r="Q9" s="782">
        <f t="shared" si="4"/>
        <v>3600</v>
      </c>
      <c r="R9" s="782">
        <f t="shared" si="4"/>
        <v>8627.2000000000007</v>
      </c>
      <c r="S9" s="2647">
        <v>900</v>
      </c>
      <c r="T9" s="2716">
        <v>172.60000000000002</v>
      </c>
      <c r="U9" s="782">
        <f t="shared" si="5"/>
        <v>4500</v>
      </c>
      <c r="V9" s="782">
        <f t="shared" si="6"/>
        <v>8799.8000000000011</v>
      </c>
      <c r="W9" s="2647">
        <v>4150</v>
      </c>
      <c r="X9" s="2716">
        <v>307.39999999999998</v>
      </c>
      <c r="Y9" s="68">
        <f t="shared" ref="Y9:Y10" si="24">+W9+S9+O9</f>
        <v>5950</v>
      </c>
      <c r="Z9" s="69">
        <f t="shared" ref="Z9:Z10" si="25">+X9+T9+P9</f>
        <v>480</v>
      </c>
      <c r="AA9" s="469">
        <f t="shared" ref="AA9:AA10" si="26">M9+Y9</f>
        <v>8650</v>
      </c>
      <c r="AB9" s="477">
        <f t="shared" ref="AB9:AB10" si="27">+N9+Z9</f>
        <v>9107.2000000000007</v>
      </c>
      <c r="AC9" s="2647">
        <v>380</v>
      </c>
      <c r="AD9" s="2716">
        <v>317.10000000000002</v>
      </c>
      <c r="AE9" s="782">
        <f t="shared" si="8"/>
        <v>9030</v>
      </c>
      <c r="AF9" s="782">
        <f t="shared" si="9"/>
        <v>9424.3000000000011</v>
      </c>
      <c r="AG9" s="2647">
        <v>380</v>
      </c>
      <c r="AH9" s="2716">
        <v>30</v>
      </c>
      <c r="AI9" s="782">
        <f t="shared" si="10"/>
        <v>9410</v>
      </c>
      <c r="AJ9" s="782">
        <f t="shared" si="11"/>
        <v>9454.3000000000011</v>
      </c>
      <c r="AK9" s="2647">
        <v>380</v>
      </c>
      <c r="AL9" s="2716">
        <v>2557.8000000000002</v>
      </c>
      <c r="AM9" s="68">
        <f t="shared" si="12"/>
        <v>1140</v>
      </c>
      <c r="AN9" s="69">
        <f t="shared" si="13"/>
        <v>2904.9</v>
      </c>
      <c r="AO9" s="782">
        <f t="shared" ref="AO9:AP13" si="28">+AK9+AI9</f>
        <v>9790</v>
      </c>
      <c r="AP9" s="782">
        <f t="shared" ref="AP9:AP11" si="29">+AL9+AJ9</f>
        <v>12012.100000000002</v>
      </c>
      <c r="AQ9" s="2647">
        <v>380</v>
      </c>
      <c r="AR9" s="2716">
        <v>593.40000000000009</v>
      </c>
      <c r="AS9" s="782">
        <f t="shared" si="14"/>
        <v>10170</v>
      </c>
      <c r="AT9" s="782">
        <f t="shared" si="15"/>
        <v>12605.500000000002</v>
      </c>
      <c r="AU9" s="2647">
        <v>380</v>
      </c>
      <c r="AV9" s="2716">
        <v>388.8</v>
      </c>
      <c r="AW9" s="782">
        <f t="shared" si="16"/>
        <v>10550</v>
      </c>
      <c r="AX9" s="782">
        <f t="shared" si="17"/>
        <v>12994.300000000001</v>
      </c>
      <c r="AY9" s="2647">
        <v>380</v>
      </c>
      <c r="AZ9" s="2716">
        <v>5263.4</v>
      </c>
      <c r="BA9" s="68">
        <f t="shared" si="18"/>
        <v>1140</v>
      </c>
      <c r="BB9" s="69">
        <f t="shared" si="19"/>
        <v>6245.6</v>
      </c>
      <c r="BC9" s="469">
        <f t="shared" ref="BC9:BC11" si="30">AM9+BA9</f>
        <v>2280</v>
      </c>
      <c r="BD9" s="477">
        <f t="shared" ref="BD9:BD11" si="31">+AN9+BB9</f>
        <v>9150.5</v>
      </c>
      <c r="BE9" s="782">
        <f t="shared" si="20"/>
        <v>10930</v>
      </c>
      <c r="BF9" s="782">
        <f t="shared" si="21"/>
        <v>18257.7</v>
      </c>
      <c r="BH9" s="26"/>
      <c r="BI9" s="26"/>
      <c r="BJ9" s="26"/>
      <c r="BK9" s="26"/>
    </row>
    <row r="10" spans="1:63" ht="14.45" x14ac:dyDescent="0.3">
      <c r="A10" s="147"/>
      <c r="B10" s="2295" t="s">
        <v>441</v>
      </c>
      <c r="C10" s="2978" t="s">
        <v>50</v>
      </c>
      <c r="D10" s="2940">
        <v>2500</v>
      </c>
      <c r="E10" s="2940">
        <v>0</v>
      </c>
      <c r="F10" s="2979">
        <v>243.20000000000002</v>
      </c>
      <c r="G10" s="2940">
        <v>0</v>
      </c>
      <c r="H10" s="2979">
        <v>0</v>
      </c>
      <c r="I10" s="2941">
        <f>+E10+G10</f>
        <v>0</v>
      </c>
      <c r="J10" s="165">
        <f t="shared" si="2"/>
        <v>243.20000000000002</v>
      </c>
      <c r="K10" s="2940">
        <v>0</v>
      </c>
      <c r="L10" s="2979">
        <v>0</v>
      </c>
      <c r="M10" s="1203">
        <f t="shared" ref="M10" si="32">+K10+G10+E10</f>
        <v>0</v>
      </c>
      <c r="N10" s="1203">
        <f t="shared" ref="N10" si="33">+L10+H10+F10</f>
        <v>243.20000000000002</v>
      </c>
      <c r="O10" s="2940">
        <v>0</v>
      </c>
      <c r="P10" s="2979">
        <v>0</v>
      </c>
      <c r="Q10" s="2648">
        <f t="shared" si="4"/>
        <v>0</v>
      </c>
      <c r="R10" s="276">
        <f t="shared" si="4"/>
        <v>243.20000000000002</v>
      </c>
      <c r="S10" s="2940">
        <v>0</v>
      </c>
      <c r="T10" s="2979">
        <v>0</v>
      </c>
      <c r="U10" s="2648">
        <f t="shared" si="5"/>
        <v>0</v>
      </c>
      <c r="V10" s="276">
        <f t="shared" si="6"/>
        <v>243.20000000000002</v>
      </c>
      <c r="W10" s="2940">
        <v>2500</v>
      </c>
      <c r="X10" s="2979">
        <v>0</v>
      </c>
      <c r="Y10" s="2254">
        <f t="shared" si="24"/>
        <v>2500</v>
      </c>
      <c r="Z10" s="173">
        <f t="shared" si="25"/>
        <v>0</v>
      </c>
      <c r="AA10" s="2296">
        <f t="shared" si="26"/>
        <v>2500</v>
      </c>
      <c r="AB10" s="2297">
        <f t="shared" si="27"/>
        <v>243.20000000000002</v>
      </c>
      <c r="AC10" s="2940">
        <v>0</v>
      </c>
      <c r="AD10" s="2979">
        <v>0</v>
      </c>
      <c r="AE10" s="276">
        <f t="shared" si="8"/>
        <v>2500</v>
      </c>
      <c r="AF10" s="276">
        <f t="shared" si="9"/>
        <v>243.20000000000002</v>
      </c>
      <c r="AG10" s="2940">
        <v>0</v>
      </c>
      <c r="AH10" s="2979">
        <v>105.20000000000005</v>
      </c>
      <c r="AI10" s="276">
        <f t="shared" si="10"/>
        <v>2500</v>
      </c>
      <c r="AJ10" s="276">
        <f t="shared" si="11"/>
        <v>348.40000000000009</v>
      </c>
      <c r="AK10" s="2940">
        <v>0</v>
      </c>
      <c r="AL10" s="2979">
        <v>2456.8000000000002</v>
      </c>
      <c r="AM10" s="2254">
        <f t="shared" si="12"/>
        <v>0</v>
      </c>
      <c r="AN10" s="173">
        <f t="shared" si="13"/>
        <v>2562</v>
      </c>
      <c r="AO10" s="782">
        <f t="shared" si="28"/>
        <v>2500</v>
      </c>
      <c r="AP10" s="782">
        <f t="shared" si="29"/>
        <v>2805.2000000000003</v>
      </c>
      <c r="AQ10" s="2940">
        <v>0</v>
      </c>
      <c r="AR10" s="2979">
        <v>0</v>
      </c>
      <c r="AS10" s="276">
        <f t="shared" si="14"/>
        <v>2500</v>
      </c>
      <c r="AT10" s="276">
        <f t="shared" si="15"/>
        <v>2805.2000000000003</v>
      </c>
      <c r="AU10" s="2940">
        <v>0</v>
      </c>
      <c r="AV10" s="2979">
        <v>0</v>
      </c>
      <c r="AW10" s="276">
        <f t="shared" si="16"/>
        <v>2500</v>
      </c>
      <c r="AX10" s="276">
        <f t="shared" si="17"/>
        <v>2805.2000000000003</v>
      </c>
      <c r="AY10" s="2940">
        <v>0</v>
      </c>
      <c r="AZ10" s="2979">
        <v>0</v>
      </c>
      <c r="BA10" s="2254">
        <f t="shared" si="18"/>
        <v>0</v>
      </c>
      <c r="BB10" s="173">
        <f t="shared" si="19"/>
        <v>0</v>
      </c>
      <c r="BC10" s="469">
        <f t="shared" si="30"/>
        <v>0</v>
      </c>
      <c r="BD10" s="477">
        <f t="shared" si="31"/>
        <v>2562</v>
      </c>
      <c r="BE10" s="276">
        <f t="shared" si="20"/>
        <v>2500</v>
      </c>
      <c r="BF10" s="276">
        <f t="shared" si="21"/>
        <v>2805.2000000000003</v>
      </c>
      <c r="BH10" s="26"/>
      <c r="BI10" s="26"/>
      <c r="BJ10" s="26"/>
      <c r="BK10" s="26"/>
    </row>
    <row r="11" spans="1:63" thickBot="1" x14ac:dyDescent="0.35">
      <c r="A11" s="147"/>
      <c r="B11" s="2115" t="s">
        <v>1886</v>
      </c>
      <c r="C11" s="2656"/>
      <c r="D11" s="2647"/>
      <c r="E11" s="2647">
        <v>0</v>
      </c>
      <c r="F11" s="2716">
        <v>0</v>
      </c>
      <c r="G11" s="2647">
        <v>0</v>
      </c>
      <c r="H11" s="2716">
        <v>0</v>
      </c>
      <c r="I11" s="2648">
        <f>+E11+G11</f>
        <v>0</v>
      </c>
      <c r="J11" s="165">
        <f t="shared" si="2"/>
        <v>0</v>
      </c>
      <c r="K11" s="2647">
        <v>0</v>
      </c>
      <c r="L11" s="2716">
        <v>0</v>
      </c>
      <c r="M11" s="781">
        <f t="shared" ref="M11" si="34">+K11+G11+E11</f>
        <v>0</v>
      </c>
      <c r="N11" s="781">
        <f t="shared" ref="N11" si="35">+L11+H11+F11</f>
        <v>0</v>
      </c>
      <c r="O11" s="2647">
        <v>0</v>
      </c>
      <c r="P11" s="2716">
        <v>0</v>
      </c>
      <c r="Q11" s="2648">
        <f t="shared" si="4"/>
        <v>0</v>
      </c>
      <c r="R11" s="3611">
        <f t="shared" si="4"/>
        <v>0</v>
      </c>
      <c r="S11" s="2647">
        <v>0</v>
      </c>
      <c r="T11" s="2716">
        <v>0</v>
      </c>
      <c r="U11" s="2648">
        <f t="shared" si="5"/>
        <v>0</v>
      </c>
      <c r="V11" s="3611">
        <f t="shared" si="6"/>
        <v>0</v>
      </c>
      <c r="W11" s="2647">
        <v>0</v>
      </c>
      <c r="X11" s="2716">
        <v>0</v>
      </c>
      <c r="Y11" s="2254">
        <f t="shared" ref="Y11" si="36">+W11+S11+O11</f>
        <v>0</v>
      </c>
      <c r="Z11" s="173">
        <f t="shared" ref="Z11" si="37">+X11+T11+P11</f>
        <v>0</v>
      </c>
      <c r="AA11" s="2296">
        <f t="shared" ref="AA11" si="38">M11+Y11</f>
        <v>0</v>
      </c>
      <c r="AB11" s="2297">
        <f t="shared" ref="AB11" si="39">+N11+Z11</f>
        <v>0</v>
      </c>
      <c r="AC11" s="2647">
        <v>0</v>
      </c>
      <c r="AD11" s="2716">
        <v>0</v>
      </c>
      <c r="AE11" s="3611">
        <f t="shared" si="8"/>
        <v>0</v>
      </c>
      <c r="AF11" s="3611">
        <f t="shared" si="9"/>
        <v>0</v>
      </c>
      <c r="AG11" s="2647">
        <v>0</v>
      </c>
      <c r="AH11" s="2716">
        <v>1301</v>
      </c>
      <c r="AI11" s="3611">
        <f t="shared" si="10"/>
        <v>0</v>
      </c>
      <c r="AJ11" s="3611">
        <f t="shared" si="11"/>
        <v>1301</v>
      </c>
      <c r="AK11" s="2647">
        <v>0</v>
      </c>
      <c r="AL11" s="2716">
        <v>783</v>
      </c>
      <c r="AM11" s="2300">
        <f t="shared" si="12"/>
        <v>0</v>
      </c>
      <c r="AN11" s="173">
        <f t="shared" si="13"/>
        <v>2084</v>
      </c>
      <c r="AO11" s="3611">
        <f t="shared" si="28"/>
        <v>0</v>
      </c>
      <c r="AP11" s="782">
        <f t="shared" si="29"/>
        <v>2084</v>
      </c>
      <c r="AQ11" s="2647">
        <v>0</v>
      </c>
      <c r="AR11" s="2716">
        <v>0</v>
      </c>
      <c r="AS11" s="276">
        <f t="shared" ref="AS11" si="40">+AO11+AQ11</f>
        <v>0</v>
      </c>
      <c r="AT11" s="276">
        <f t="shared" ref="AT11" si="41">+AP11+AR11</f>
        <v>2084</v>
      </c>
      <c r="AU11" s="2647">
        <v>0</v>
      </c>
      <c r="AV11" s="2716">
        <v>0</v>
      </c>
      <c r="AW11" s="276">
        <f t="shared" si="16"/>
        <v>0</v>
      </c>
      <c r="AX11" s="276">
        <f t="shared" si="17"/>
        <v>2084</v>
      </c>
      <c r="AY11" s="2647">
        <v>0</v>
      </c>
      <c r="AZ11" s="2716">
        <v>0</v>
      </c>
      <c r="BA11" s="2300">
        <f t="shared" si="18"/>
        <v>0</v>
      </c>
      <c r="BB11" s="173">
        <f t="shared" si="19"/>
        <v>0</v>
      </c>
      <c r="BC11" s="2301">
        <f t="shared" si="30"/>
        <v>0</v>
      </c>
      <c r="BD11" s="477">
        <f t="shared" si="31"/>
        <v>2084</v>
      </c>
      <c r="BE11" s="3611">
        <f t="shared" si="20"/>
        <v>0</v>
      </c>
      <c r="BF11" s="276">
        <f t="shared" si="21"/>
        <v>2084</v>
      </c>
      <c r="BH11" s="26"/>
      <c r="BI11" s="26"/>
      <c r="BJ11" s="26"/>
      <c r="BK11" s="26"/>
    </row>
    <row r="12" spans="1:63" thickBot="1" x14ac:dyDescent="0.35">
      <c r="A12" s="148"/>
      <c r="B12" s="2309" t="s">
        <v>236</v>
      </c>
      <c r="C12" s="2310"/>
      <c r="D12" s="2310"/>
      <c r="E12" s="2310"/>
      <c r="F12" s="2310"/>
      <c r="G12" s="2310"/>
      <c r="H12" s="2310"/>
      <c r="I12" s="2310"/>
      <c r="J12" s="3259"/>
      <c r="K12" s="2310"/>
      <c r="L12" s="2310"/>
      <c r="M12" s="2310"/>
      <c r="N12" s="2310"/>
      <c r="O12" s="2310"/>
      <c r="P12" s="2310"/>
      <c r="Q12" s="4057"/>
      <c r="R12" s="2310"/>
      <c r="S12" s="2310"/>
      <c r="T12" s="2310"/>
      <c r="U12" s="4057"/>
      <c r="V12" s="2310"/>
      <c r="W12" s="2310"/>
      <c r="X12" s="2310"/>
      <c r="Y12" s="2310"/>
      <c r="Z12" s="2310"/>
      <c r="AA12" s="2310"/>
      <c r="AB12" s="2311"/>
      <c r="AC12" s="2310"/>
      <c r="AD12" s="2310"/>
      <c r="AE12" s="2310"/>
      <c r="AF12" s="2310"/>
      <c r="AG12" s="2310"/>
      <c r="AH12" s="2310"/>
      <c r="AI12" s="2310"/>
      <c r="AJ12" s="2310"/>
      <c r="AK12" s="2310"/>
      <c r="AL12" s="2310"/>
      <c r="AM12" s="2310"/>
      <c r="AN12" s="2310"/>
      <c r="AO12" s="2310"/>
      <c r="AP12" s="2310"/>
      <c r="AQ12" s="2310"/>
      <c r="AR12" s="2310"/>
      <c r="AS12" s="2310"/>
      <c r="AT12" s="2310"/>
      <c r="AU12" s="2310"/>
      <c r="AV12" s="2310"/>
      <c r="AW12" s="2310"/>
      <c r="AX12" s="2310"/>
      <c r="AY12" s="2310"/>
      <c r="AZ12" s="2310"/>
      <c r="BA12" s="2310"/>
      <c r="BB12" s="2310"/>
      <c r="BC12" s="2310"/>
      <c r="BD12" s="2311"/>
      <c r="BE12" s="2310"/>
      <c r="BF12" s="2310"/>
      <c r="BH12" s="26"/>
      <c r="BI12" s="26"/>
      <c r="BJ12" s="26"/>
      <c r="BK12" s="26"/>
    </row>
    <row r="13" spans="1:63" thickBot="1" x14ac:dyDescent="0.35">
      <c r="A13" s="147" t="s">
        <v>470</v>
      </c>
      <c r="B13" s="1824" t="s">
        <v>20</v>
      </c>
      <c r="C13" s="819" t="s">
        <v>50</v>
      </c>
      <c r="D13" s="275">
        <f>+'Maj Production Summ'!D23</f>
        <v>12645</v>
      </c>
      <c r="E13" s="158">
        <f>+'Maj Production Summ'!E23</f>
        <v>810</v>
      </c>
      <c r="F13" s="275">
        <f>+'Maj Production Summ'!F23</f>
        <v>3914.4925899999998</v>
      </c>
      <c r="G13" s="158">
        <f>+'Maj Production Summ'!G23</f>
        <v>810</v>
      </c>
      <c r="H13" s="275">
        <f>+'Maj Production Summ'!H23</f>
        <v>2383.6527900000001</v>
      </c>
      <c r="I13" s="373">
        <f>+E13+G13</f>
        <v>1620</v>
      </c>
      <c r="J13" s="43">
        <f t="shared" si="2"/>
        <v>6298.1453799999999</v>
      </c>
      <c r="K13" s="158">
        <f>+'Maj Production Summ'!K23</f>
        <v>810</v>
      </c>
      <c r="L13" s="275">
        <f>+'Maj Production Summ'!L23</f>
        <v>902.97845999999993</v>
      </c>
      <c r="M13" s="618">
        <f t="shared" ref="M13:N13" si="42">+K13+G13+E13</f>
        <v>2430</v>
      </c>
      <c r="N13" s="618">
        <f t="shared" si="42"/>
        <v>7201.1238400000002</v>
      </c>
      <c r="O13" s="158">
        <f>+'Maj Production Summ'!O23</f>
        <v>810</v>
      </c>
      <c r="P13" s="275">
        <f>+'Maj Production Summ'!P23</f>
        <v>0</v>
      </c>
      <c r="Q13" s="373">
        <f t="shared" ref="Q13:R15" si="43">+M13+O13</f>
        <v>3240</v>
      </c>
      <c r="R13" s="373">
        <f t="shared" si="43"/>
        <v>7201.1238400000002</v>
      </c>
      <c r="S13" s="158">
        <f>+'Maj Production Summ'!S23</f>
        <v>810</v>
      </c>
      <c r="T13" s="275">
        <f>+'Maj Production Summ'!T23</f>
        <v>144.06922</v>
      </c>
      <c r="U13" s="373">
        <f t="shared" ref="U13:U15" si="44">+Q13+S13</f>
        <v>4050</v>
      </c>
      <c r="V13" s="373">
        <f t="shared" ref="V13:V15" si="45">+R13+T13</f>
        <v>7345.1930600000005</v>
      </c>
      <c r="W13" s="158">
        <f>+'Maj Production Summ'!W23</f>
        <v>3735</v>
      </c>
      <c r="X13" s="275">
        <f>+'Maj Production Summ'!X23</f>
        <v>256.58677999999998</v>
      </c>
      <c r="Y13" s="618">
        <f t="shared" ref="Y13:Z13" si="46">+W13+S13+O13</f>
        <v>5355</v>
      </c>
      <c r="Z13" s="618">
        <f t="shared" si="46"/>
        <v>400.65599999999995</v>
      </c>
      <c r="AA13" s="1049">
        <f>M13+Y13</f>
        <v>7785</v>
      </c>
      <c r="AB13" s="458">
        <f>+N13+Z13</f>
        <v>7601.7798400000001</v>
      </c>
      <c r="AC13" s="158">
        <f>+'Maj Production Summ'!AC23</f>
        <v>342</v>
      </c>
      <c r="AD13" s="275">
        <f>+'Maj Production Summ'!AD23</f>
        <v>264.68337000000002</v>
      </c>
      <c r="AE13" s="373">
        <f t="shared" ref="AE13:AE15" si="47">+AA13+AC13</f>
        <v>8127</v>
      </c>
      <c r="AF13" s="373">
        <f t="shared" ref="AF13:AF15" si="48">+AB13+AD13</f>
        <v>7866.4632099999999</v>
      </c>
      <c r="AG13" s="158">
        <f>+'Maj Production Summ'!AG23</f>
        <v>342</v>
      </c>
      <c r="AH13" s="275">
        <f>+'Maj Production Summ'!AH23</f>
        <v>25.041</v>
      </c>
      <c r="AI13" s="373">
        <f t="shared" ref="AI13:AI15" si="49">+AE13+AG13</f>
        <v>8469</v>
      </c>
      <c r="AJ13" s="373">
        <f t="shared" ref="AJ13:AJ15" si="50">+AF13+AH13</f>
        <v>7891.5042100000001</v>
      </c>
      <c r="AK13" s="158">
        <f>+'Maj Production Summ'!AK23</f>
        <v>342</v>
      </c>
      <c r="AL13" s="275">
        <f>+'Maj Production Summ'!AL23</f>
        <v>2134.99566</v>
      </c>
      <c r="AM13" s="618">
        <f t="shared" ref="AM13:AM15" si="51">+AK13+AG13+AC13</f>
        <v>1026</v>
      </c>
      <c r="AN13" s="618">
        <f t="shared" ref="AN13:AN15" si="52">+AL13+AH13+AD13</f>
        <v>2424.7200300000004</v>
      </c>
      <c r="AO13" s="782">
        <f t="shared" si="28"/>
        <v>8811</v>
      </c>
      <c r="AP13" s="782">
        <f t="shared" si="28"/>
        <v>10026.49987</v>
      </c>
      <c r="AQ13" s="158">
        <f>+'Maj Production Summ'!AQ23</f>
        <v>342</v>
      </c>
      <c r="AR13" s="275">
        <f>+'Maj Production Summ'!AR23</f>
        <v>495.31098000000003</v>
      </c>
      <c r="AS13" s="373">
        <f t="shared" ref="AS13:AS15" si="53">+AO13+AQ13</f>
        <v>9153</v>
      </c>
      <c r="AT13" s="373">
        <f t="shared" ref="AT13:AT15" si="54">+AP13+AR13</f>
        <v>10521.81085</v>
      </c>
      <c r="AU13" s="158">
        <f>+'Maj Production Summ'!AU23</f>
        <v>342</v>
      </c>
      <c r="AV13" s="275">
        <f>+'Maj Production Summ'!AV23</f>
        <v>324.53136000000001</v>
      </c>
      <c r="AW13" s="373">
        <f t="shared" ref="AW13:AW15" si="55">+AS13+AU13</f>
        <v>9495</v>
      </c>
      <c r="AX13" s="373">
        <f t="shared" ref="AX13:AX15" si="56">+AT13+AV13</f>
        <v>10846.342210000001</v>
      </c>
      <c r="AY13" s="158">
        <f>+'Maj Production Summ'!AY23</f>
        <v>342</v>
      </c>
      <c r="AZ13" s="275">
        <f>+'Maj Production Summ'!AZ23</f>
        <v>4393.3599799999993</v>
      </c>
      <c r="BA13" s="618">
        <f t="shared" ref="BA13:BA15" si="57">+AY13+AU13+AQ13</f>
        <v>1026</v>
      </c>
      <c r="BB13" s="618">
        <f t="shared" ref="BB13:BB15" si="58">+AZ13+AV13+AR13</f>
        <v>5213.2023199999994</v>
      </c>
      <c r="BC13" s="469">
        <f t="shared" ref="BC13:BC15" si="59">AM13+BA13</f>
        <v>2052</v>
      </c>
      <c r="BD13" s="477">
        <f t="shared" ref="BD13:BD15" si="60">+AN13+BB13</f>
        <v>7637.9223499999998</v>
      </c>
      <c r="BE13" s="373">
        <f t="shared" ref="BE13:BE15" si="61">+AW13+AY13</f>
        <v>9837</v>
      </c>
      <c r="BF13" s="373">
        <f t="shared" ref="BF13:BF15" si="62">+AX13+AZ13</f>
        <v>15239.70219</v>
      </c>
      <c r="BH13" s="26"/>
      <c r="BI13" s="26"/>
      <c r="BJ13" s="26"/>
      <c r="BK13" s="26"/>
    </row>
    <row r="14" spans="1:63" ht="14.45" x14ac:dyDescent="0.3">
      <c r="A14" s="233"/>
      <c r="B14" s="1848" t="s">
        <v>113</v>
      </c>
      <c r="C14" s="2656" t="s">
        <v>50</v>
      </c>
      <c r="D14" s="2647">
        <f>+'Maj Production Summ'!D24</f>
        <v>0</v>
      </c>
      <c r="E14" s="2647">
        <f>+'Maj Production Summ'!E24</f>
        <v>0</v>
      </c>
      <c r="F14" s="2647">
        <v>194.6</v>
      </c>
      <c r="G14" s="2647">
        <f>+'Maj Production Summ'!G24</f>
        <v>0</v>
      </c>
      <c r="H14" s="2647">
        <v>230</v>
      </c>
      <c r="I14" s="2648">
        <f>+E14+G14</f>
        <v>0</v>
      </c>
      <c r="J14" s="39">
        <f t="shared" si="2"/>
        <v>424.6</v>
      </c>
      <c r="K14" s="2647">
        <f>+'Maj Production Summ'!K24</f>
        <v>0</v>
      </c>
      <c r="L14" s="2647">
        <v>127.47931200000001</v>
      </c>
      <c r="M14" s="781">
        <f t="shared" ref="M14:M15" si="63">+K14+G14+E14</f>
        <v>0</v>
      </c>
      <c r="N14" s="781">
        <f t="shared" ref="N14:N15" si="64">+L14+H14+F14</f>
        <v>552.07931199999996</v>
      </c>
      <c r="O14" s="2647">
        <f>+'Maj Production Summ'!O24</f>
        <v>0</v>
      </c>
      <c r="P14" s="2647">
        <v>0</v>
      </c>
      <c r="Q14" s="782">
        <f t="shared" si="43"/>
        <v>0</v>
      </c>
      <c r="R14" s="782">
        <f t="shared" si="43"/>
        <v>552.07931199999996</v>
      </c>
      <c r="S14" s="2647">
        <f>+'Maj Production Summ'!S24</f>
        <v>0</v>
      </c>
      <c r="T14" s="2647">
        <v>20</v>
      </c>
      <c r="U14" s="782">
        <f t="shared" si="44"/>
        <v>0</v>
      </c>
      <c r="V14" s="782">
        <f t="shared" si="45"/>
        <v>572.07931199999996</v>
      </c>
      <c r="W14" s="2647">
        <f>+'Maj Production Summ'!W24</f>
        <v>0</v>
      </c>
      <c r="X14" s="2647">
        <v>36.224015999999999</v>
      </c>
      <c r="Y14" s="781">
        <f t="shared" ref="Y14:Y15" si="65">+W14+S14+O14</f>
        <v>0</v>
      </c>
      <c r="Z14" s="781">
        <f t="shared" ref="Z14:Z15" si="66">+X14+T14+P14</f>
        <v>56.224015999999999</v>
      </c>
      <c r="AA14" s="465">
        <f t="shared" ref="AA14:AA15" si="67">M14+Y14</f>
        <v>0</v>
      </c>
      <c r="AB14" s="454">
        <f t="shared" ref="AB14:AB15" si="68">+N14+Z14</f>
        <v>608.30332799999996</v>
      </c>
      <c r="AC14" s="2647">
        <f>+'Maj Production Summ'!AC24</f>
        <v>0</v>
      </c>
      <c r="AD14" s="275">
        <f>+'Maj Production Summ'!AD24</f>
        <v>37.367063999999999</v>
      </c>
      <c r="AE14" s="782">
        <f t="shared" si="47"/>
        <v>0</v>
      </c>
      <c r="AF14" s="782">
        <f t="shared" si="48"/>
        <v>645.67039199999999</v>
      </c>
      <c r="AG14" s="2647">
        <f>+'Maj Production Summ'!AG24</f>
        <v>0</v>
      </c>
      <c r="AH14" s="275">
        <f>+'Maj Production Summ'!AH24</f>
        <v>3.5351999999999997</v>
      </c>
      <c r="AI14" s="782">
        <f t="shared" si="49"/>
        <v>0</v>
      </c>
      <c r="AJ14" s="782">
        <f t="shared" si="50"/>
        <v>649.20559200000002</v>
      </c>
      <c r="AK14" s="2647">
        <f>+'Maj Production Summ'!AK24</f>
        <v>0</v>
      </c>
      <c r="AL14" s="275">
        <f>+'Maj Production Summ'!AL24</f>
        <v>301.41115200000002</v>
      </c>
      <c r="AM14" s="781">
        <f t="shared" si="51"/>
        <v>0</v>
      </c>
      <c r="AN14" s="781">
        <f t="shared" si="52"/>
        <v>342.31341599999996</v>
      </c>
      <c r="AO14" s="782">
        <f t="shared" ref="AO14:AP17" si="69">+AK14+AI14</f>
        <v>0</v>
      </c>
      <c r="AP14" s="782">
        <f t="shared" ref="AP14:AP15" si="70">+AL14+AJ14</f>
        <v>950.61674400000004</v>
      </c>
      <c r="AQ14" s="2647">
        <f>+'Maj Production Summ'!AQ24</f>
        <v>0</v>
      </c>
      <c r="AR14" s="275">
        <f>+'Maj Production Summ'!AR24</f>
        <v>70</v>
      </c>
      <c r="AS14" s="782">
        <f t="shared" si="53"/>
        <v>0</v>
      </c>
      <c r="AT14" s="782">
        <f t="shared" si="54"/>
        <v>1020.616744</v>
      </c>
      <c r="AU14" s="2647">
        <f>+'Maj Production Summ'!AU24</f>
        <v>0</v>
      </c>
      <c r="AV14" s="275">
        <f>+'Maj Production Summ'!AV24</f>
        <v>45.816192000000001</v>
      </c>
      <c r="AW14" s="782">
        <f t="shared" si="55"/>
        <v>0</v>
      </c>
      <c r="AX14" s="782">
        <f t="shared" si="56"/>
        <v>1066.4329360000002</v>
      </c>
      <c r="AY14" s="2647">
        <f>+'Maj Production Summ'!AY24</f>
        <v>0</v>
      </c>
      <c r="AZ14" s="275">
        <f>+'Maj Production Summ'!AZ24</f>
        <v>620.23905599999989</v>
      </c>
      <c r="BA14" s="781">
        <f t="shared" si="57"/>
        <v>0</v>
      </c>
      <c r="BB14" s="781">
        <f t="shared" si="58"/>
        <v>736.05524799999989</v>
      </c>
      <c r="BC14" s="469">
        <f t="shared" si="59"/>
        <v>0</v>
      </c>
      <c r="BD14" s="477">
        <f t="shared" si="60"/>
        <v>1078.3686639999999</v>
      </c>
      <c r="BE14" s="782">
        <f t="shared" si="61"/>
        <v>0</v>
      </c>
      <c r="BF14" s="782">
        <f t="shared" si="62"/>
        <v>1686.671992</v>
      </c>
      <c r="BH14" s="26"/>
      <c r="BI14" s="26"/>
      <c r="BJ14" s="26"/>
      <c r="BK14" s="26"/>
    </row>
    <row r="15" spans="1:63" ht="27.6" x14ac:dyDescent="0.3">
      <c r="A15" s="147"/>
      <c r="B15" s="2303" t="s">
        <v>1731</v>
      </c>
      <c r="C15" s="2656" t="s">
        <v>50</v>
      </c>
      <c r="D15" s="2656">
        <f>+'Maj Production Summ'!D25</f>
        <v>1625</v>
      </c>
      <c r="E15" s="2656">
        <f>+'Maj Production Summ'!E25</f>
        <v>0</v>
      </c>
      <c r="F15" s="2716">
        <v>552.63424799999996</v>
      </c>
      <c r="G15" s="2656">
        <f>+'Maj Production Summ'!G25</f>
        <v>0</v>
      </c>
      <c r="H15" s="2716">
        <v>336.51568800000001</v>
      </c>
      <c r="I15" s="3021">
        <f>+E15+G15</f>
        <v>0</v>
      </c>
      <c r="J15" s="39">
        <f t="shared" si="2"/>
        <v>889.14993600000003</v>
      </c>
      <c r="K15" s="2656">
        <f>+'Maj Production Summ'!K25</f>
        <v>0</v>
      </c>
      <c r="L15" s="2716">
        <v>0</v>
      </c>
      <c r="M15" s="781">
        <f t="shared" si="63"/>
        <v>0</v>
      </c>
      <c r="N15" s="781">
        <f t="shared" si="64"/>
        <v>889.14993600000003</v>
      </c>
      <c r="O15" s="2656">
        <f>+'Maj Production Summ'!O25</f>
        <v>0</v>
      </c>
      <c r="P15" s="2716">
        <v>0</v>
      </c>
      <c r="Q15" s="590">
        <f t="shared" si="43"/>
        <v>0</v>
      </c>
      <c r="R15" s="782">
        <f t="shared" si="43"/>
        <v>889.14993600000003</v>
      </c>
      <c r="S15" s="2656">
        <f>+'Maj Production Summ'!S25</f>
        <v>0</v>
      </c>
      <c r="T15" s="2716">
        <v>0</v>
      </c>
      <c r="U15" s="590">
        <f t="shared" si="44"/>
        <v>0</v>
      </c>
      <c r="V15" s="782">
        <f t="shared" si="45"/>
        <v>889.14993600000003</v>
      </c>
      <c r="W15" s="2656">
        <f>+'Maj Production Summ'!W25</f>
        <v>1625</v>
      </c>
      <c r="X15" s="2716">
        <v>0</v>
      </c>
      <c r="Y15" s="781">
        <f t="shared" si="65"/>
        <v>1625</v>
      </c>
      <c r="Z15" s="781">
        <f t="shared" si="66"/>
        <v>0</v>
      </c>
      <c r="AA15" s="2302">
        <f t="shared" si="67"/>
        <v>1625</v>
      </c>
      <c r="AB15" s="454">
        <f t="shared" si="68"/>
        <v>889.14993600000003</v>
      </c>
      <c r="AC15" s="2656">
        <f>+'Maj Production Summ'!AC25</f>
        <v>0</v>
      </c>
      <c r="AD15" s="2716">
        <f>+'Maj Production Summ'!AD25</f>
        <v>0</v>
      </c>
      <c r="AE15" s="590">
        <f t="shared" si="47"/>
        <v>1625</v>
      </c>
      <c r="AF15" s="782">
        <f t="shared" si="48"/>
        <v>889.14993600000003</v>
      </c>
      <c r="AG15" s="2656">
        <f>+'Maj Production Summ'!AG25</f>
        <v>0</v>
      </c>
      <c r="AH15" s="2716">
        <f>+'Maj Production Summ'!AH25</f>
        <v>1512.9</v>
      </c>
      <c r="AI15" s="590">
        <f t="shared" si="49"/>
        <v>1625</v>
      </c>
      <c r="AJ15" s="782">
        <f t="shared" si="50"/>
        <v>2402.0499360000003</v>
      </c>
      <c r="AK15" s="2656">
        <f>+'Maj Production Summ'!AK25</f>
        <v>0</v>
      </c>
      <c r="AL15" s="2716">
        <f>+'Maj Production Summ'!AL25</f>
        <v>2513.5</v>
      </c>
      <c r="AM15" s="781">
        <f t="shared" si="51"/>
        <v>0</v>
      </c>
      <c r="AN15" s="781">
        <f t="shared" si="52"/>
        <v>4026.4</v>
      </c>
      <c r="AO15" s="782">
        <f t="shared" si="69"/>
        <v>1625</v>
      </c>
      <c r="AP15" s="782">
        <f t="shared" si="70"/>
        <v>4915.5499360000003</v>
      </c>
      <c r="AQ15" s="2656">
        <f>+'Maj Production Summ'!AQ25</f>
        <v>0</v>
      </c>
      <c r="AR15" s="2716">
        <f>+'Maj Production Summ'!AR25</f>
        <v>0</v>
      </c>
      <c r="AS15" s="590">
        <f t="shared" si="53"/>
        <v>1625</v>
      </c>
      <c r="AT15" s="782">
        <f t="shared" si="54"/>
        <v>4915.5499360000003</v>
      </c>
      <c r="AU15" s="2656">
        <f>+'Maj Production Summ'!AU25</f>
        <v>0</v>
      </c>
      <c r="AV15" s="2716">
        <f>+'Maj Production Summ'!AV25</f>
        <v>630</v>
      </c>
      <c r="AW15" s="590">
        <f t="shared" si="55"/>
        <v>1625</v>
      </c>
      <c r="AX15" s="782">
        <f t="shared" si="56"/>
        <v>5545.5499360000003</v>
      </c>
      <c r="AY15" s="2656">
        <f>+'Maj Production Summ'!AY25</f>
        <v>0</v>
      </c>
      <c r="AZ15" s="2716">
        <f>+'Maj Production Summ'!AZ25</f>
        <v>480</v>
      </c>
      <c r="BA15" s="781">
        <f t="shared" si="57"/>
        <v>0</v>
      </c>
      <c r="BB15" s="781">
        <f t="shared" si="58"/>
        <v>1110</v>
      </c>
      <c r="BC15" s="469">
        <f t="shared" si="59"/>
        <v>0</v>
      </c>
      <c r="BD15" s="477">
        <f t="shared" si="60"/>
        <v>5136.3999999999996</v>
      </c>
      <c r="BE15" s="590">
        <f t="shared" si="61"/>
        <v>1625</v>
      </c>
      <c r="BF15" s="782">
        <f t="shared" si="62"/>
        <v>6025.5499360000003</v>
      </c>
      <c r="BH15" s="26"/>
      <c r="BI15" s="26"/>
      <c r="BJ15" s="26"/>
      <c r="BK15" s="26"/>
    </row>
    <row r="16" spans="1:63" ht="16.149999999999999" thickBot="1" x14ac:dyDescent="0.35">
      <c r="A16" s="147"/>
      <c r="B16" s="2304" t="s">
        <v>126</v>
      </c>
      <c r="C16" s="2903" t="s">
        <v>50</v>
      </c>
      <c r="D16" s="2305">
        <f>SUM(D13:D15)</f>
        <v>14270</v>
      </c>
      <c r="E16" s="2305">
        <f t="shared" ref="E16:AF16" si="71">SUM(E13:E15)</f>
        <v>810</v>
      </c>
      <c r="F16" s="2306">
        <f t="shared" si="71"/>
        <v>4661.7268380000005</v>
      </c>
      <c r="G16" s="2305">
        <f t="shared" ref="G16:H16" si="72">SUM(G13:G15)</f>
        <v>810</v>
      </c>
      <c r="H16" s="2306">
        <f t="shared" si="72"/>
        <v>2950.1684780000001</v>
      </c>
      <c r="I16" s="374">
        <f t="shared" si="71"/>
        <v>1620</v>
      </c>
      <c r="J16" s="3254">
        <f t="shared" si="71"/>
        <v>7611.8953160000001</v>
      </c>
      <c r="K16" s="2305">
        <f t="shared" si="71"/>
        <v>810</v>
      </c>
      <c r="L16" s="2306">
        <f t="shared" si="71"/>
        <v>1030.457772</v>
      </c>
      <c r="M16" s="2272">
        <f t="shared" si="71"/>
        <v>2430</v>
      </c>
      <c r="N16" s="2272">
        <f t="shared" si="71"/>
        <v>8642.3530879999998</v>
      </c>
      <c r="O16" s="2305">
        <f t="shared" ref="O16:P16" si="73">SUM(O13:O15)</f>
        <v>810</v>
      </c>
      <c r="P16" s="2306">
        <f t="shared" si="73"/>
        <v>0</v>
      </c>
      <c r="Q16" s="374">
        <f t="shared" ref="Q16:T16" si="74">SUM(Q13:Q15)</f>
        <v>3240</v>
      </c>
      <c r="R16" s="374">
        <f t="shared" si="74"/>
        <v>8642.3530879999998</v>
      </c>
      <c r="S16" s="2305">
        <f t="shared" si="74"/>
        <v>810</v>
      </c>
      <c r="T16" s="2306">
        <f t="shared" si="74"/>
        <v>164.06922</v>
      </c>
      <c r="U16" s="374">
        <f t="shared" ref="U16:X16" si="75">SUM(U13:U15)</f>
        <v>4050</v>
      </c>
      <c r="V16" s="374">
        <f t="shared" si="75"/>
        <v>8806.4223080000011</v>
      </c>
      <c r="W16" s="2305">
        <f t="shared" si="75"/>
        <v>5360</v>
      </c>
      <c r="X16" s="2306">
        <f t="shared" si="75"/>
        <v>292.81079599999998</v>
      </c>
      <c r="Y16" s="2272">
        <f t="shared" si="71"/>
        <v>6980</v>
      </c>
      <c r="Z16" s="2272">
        <f t="shared" si="71"/>
        <v>456.88001599999996</v>
      </c>
      <c r="AA16" s="2307">
        <f t="shared" si="71"/>
        <v>9410</v>
      </c>
      <c r="AB16" s="2308">
        <f t="shared" si="71"/>
        <v>9099.2331040000008</v>
      </c>
      <c r="AC16" s="2305">
        <f t="shared" si="71"/>
        <v>342</v>
      </c>
      <c r="AD16" s="2306">
        <f t="shared" si="71"/>
        <v>302.050434</v>
      </c>
      <c r="AE16" s="374">
        <f t="shared" si="71"/>
        <v>9752</v>
      </c>
      <c r="AF16" s="374">
        <f t="shared" si="71"/>
        <v>9401.2835379999997</v>
      </c>
      <c r="AG16" s="2305">
        <f t="shared" ref="AG16:AJ16" si="76">SUM(AG13:AG15)</f>
        <v>342</v>
      </c>
      <c r="AH16" s="2306">
        <f t="shared" si="76"/>
        <v>1541.4762000000001</v>
      </c>
      <c r="AI16" s="374">
        <f t="shared" si="76"/>
        <v>10094</v>
      </c>
      <c r="AJ16" s="374">
        <f t="shared" si="76"/>
        <v>10942.759738000001</v>
      </c>
      <c r="AK16" s="2305">
        <f t="shared" ref="AK16:AL16" si="77">SUM(AK13:AK15)</f>
        <v>342</v>
      </c>
      <c r="AL16" s="2306">
        <f t="shared" si="77"/>
        <v>4949.9068120000002</v>
      </c>
      <c r="AM16" s="2272">
        <f t="shared" ref="AM16:AT16" si="78">SUM(AM13:AM15)</f>
        <v>1026</v>
      </c>
      <c r="AN16" s="2272">
        <f t="shared" si="78"/>
        <v>6793.4334460000009</v>
      </c>
      <c r="AO16" s="374">
        <f t="shared" si="78"/>
        <v>10436</v>
      </c>
      <c r="AP16" s="374">
        <f t="shared" si="78"/>
        <v>15892.666550000002</v>
      </c>
      <c r="AQ16" s="2305">
        <f t="shared" si="78"/>
        <v>342</v>
      </c>
      <c r="AR16" s="2306">
        <f t="shared" si="78"/>
        <v>565.31097999999997</v>
      </c>
      <c r="AS16" s="374">
        <f t="shared" si="78"/>
        <v>10778</v>
      </c>
      <c r="AT16" s="374">
        <f t="shared" si="78"/>
        <v>16457.97753</v>
      </c>
      <c r="AU16" s="2305">
        <f t="shared" ref="AU16:AX16" si="79">SUM(AU13:AU15)</f>
        <v>342</v>
      </c>
      <c r="AV16" s="2306">
        <f t="shared" si="79"/>
        <v>1000.347552</v>
      </c>
      <c r="AW16" s="374">
        <f t="shared" si="79"/>
        <v>11120</v>
      </c>
      <c r="AX16" s="374">
        <f t="shared" si="79"/>
        <v>17458.325081999999</v>
      </c>
      <c r="AY16" s="2305">
        <f t="shared" ref="AY16:AZ16" si="80">SUM(AY13:AY15)</f>
        <v>342</v>
      </c>
      <c r="AZ16" s="2306">
        <f t="shared" si="80"/>
        <v>5493.5990359999996</v>
      </c>
      <c r="BA16" s="2272">
        <f t="shared" ref="BA16:BD16" si="81">SUM(BA13:BA15)</f>
        <v>1026</v>
      </c>
      <c r="BB16" s="2272">
        <f t="shared" si="81"/>
        <v>7059.2575679999991</v>
      </c>
      <c r="BC16" s="2307">
        <f t="shared" si="81"/>
        <v>2052</v>
      </c>
      <c r="BD16" s="2308">
        <f t="shared" si="81"/>
        <v>13852.691014</v>
      </c>
      <c r="BE16" s="374">
        <f t="shared" ref="BE16:BF16" si="82">SUM(BE13:BE15)</f>
        <v>11462</v>
      </c>
      <c r="BF16" s="374">
        <f t="shared" si="82"/>
        <v>22951.924117999999</v>
      </c>
      <c r="BH16" s="26"/>
      <c r="BI16" s="26"/>
      <c r="BJ16" s="26"/>
      <c r="BK16" s="26"/>
    </row>
    <row r="17" spans="1:63" thickBot="1" x14ac:dyDescent="0.35">
      <c r="A17" s="186"/>
      <c r="B17" s="1762" t="s">
        <v>708</v>
      </c>
      <c r="C17" s="825" t="s">
        <v>50</v>
      </c>
      <c r="D17" s="2120">
        <f>+'Maj Production Summ'!D27</f>
        <v>3541.35</v>
      </c>
      <c r="E17" s="2120">
        <f>+'Maj Production Summ'!E27</f>
        <v>273.99599999999998</v>
      </c>
      <c r="F17" s="2298">
        <f>+'Maj Production Summ'!F27</f>
        <v>374.5</v>
      </c>
      <c r="G17" s="2120">
        <f>+'Maj Production Summ'!G27</f>
        <v>279.98</v>
      </c>
      <c r="H17" s="2298">
        <f>+'Maj Production Summ'!H27</f>
        <v>603.86199999999997</v>
      </c>
      <c r="I17" s="2299" t="s">
        <v>32</v>
      </c>
      <c r="J17" s="535">
        <f t="shared" si="2"/>
        <v>978.36199999999997</v>
      </c>
      <c r="K17" s="2120">
        <f>+'Maj Production Summ'!K27</f>
        <v>273.99599999999998</v>
      </c>
      <c r="L17" s="2298">
        <f>+'Maj Production Summ'!L27</f>
        <v>0</v>
      </c>
      <c r="M17" s="2300">
        <f t="shared" ref="M17:N21" si="83">+K17+G17+E17</f>
        <v>827.97199999999998</v>
      </c>
      <c r="N17" s="2300">
        <f t="shared" si="83"/>
        <v>978.36199999999997</v>
      </c>
      <c r="O17" s="2120">
        <f>+'Maj Production Summ'!O27</f>
        <v>276.24</v>
      </c>
      <c r="P17" s="2298">
        <f>+'Maj Production Summ'!P27</f>
        <v>0</v>
      </c>
      <c r="Q17" s="1669">
        <f t="shared" ref="Q17:R21" si="84">+M17+O17</f>
        <v>1104.212</v>
      </c>
      <c r="R17" s="535">
        <f t="shared" si="84"/>
        <v>978.36199999999997</v>
      </c>
      <c r="S17" s="2120">
        <f>+'Maj Production Summ'!S27</f>
        <v>276.24</v>
      </c>
      <c r="T17" s="2298">
        <f>+'Maj Production Summ'!T27</f>
        <v>0</v>
      </c>
      <c r="U17" s="1669">
        <f t="shared" ref="U17:U21" si="85">+Q17+S17</f>
        <v>1380.452</v>
      </c>
      <c r="V17" s="535">
        <f t="shared" ref="V17:V21" si="86">+R17+T17</f>
        <v>978.36199999999997</v>
      </c>
      <c r="W17" s="2120">
        <f>+'Maj Production Summ'!W27</f>
        <v>498.97</v>
      </c>
      <c r="X17" s="2298">
        <f>+'Maj Production Summ'!X27</f>
        <v>0</v>
      </c>
      <c r="Y17" s="2300">
        <f t="shared" ref="Y17:Z18" si="87">+W17+S17+O17</f>
        <v>1051.45</v>
      </c>
      <c r="Z17" s="534">
        <f t="shared" si="87"/>
        <v>0</v>
      </c>
      <c r="AA17" s="2301">
        <f>M17+Y17</f>
        <v>1879.422</v>
      </c>
      <c r="AB17" s="2297">
        <f>+N17+Z17</f>
        <v>978.36199999999997</v>
      </c>
      <c r="AC17" s="2120">
        <f>+'Maj Production Summ'!AC27</f>
        <v>226.1</v>
      </c>
      <c r="AD17" s="2298">
        <f>+'Maj Production Summ'!AD27</f>
        <v>0</v>
      </c>
      <c r="AE17" s="1669">
        <f t="shared" ref="AE17:AE21" si="88">+AA17+AC17</f>
        <v>2105.5219999999999</v>
      </c>
      <c r="AF17" s="535">
        <f t="shared" ref="AF17:AF21" si="89">+AB17+AD17</f>
        <v>978.36199999999997</v>
      </c>
      <c r="AG17" s="2120">
        <f>+'Maj Production Summ'!AG27</f>
        <v>220.02</v>
      </c>
      <c r="AH17" s="2298">
        <f>+'Maj Production Summ'!AH27</f>
        <v>1174.3690000000001</v>
      </c>
      <c r="AI17" s="1669">
        <f t="shared" ref="AI17:AI21" si="90">+AE17+AG17</f>
        <v>2325.5419999999999</v>
      </c>
      <c r="AJ17" s="535">
        <f t="shared" ref="AJ17:AJ21" si="91">+AF17+AH17</f>
        <v>2152.7310000000002</v>
      </c>
      <c r="AK17" s="2120">
        <f>+'Maj Production Summ'!AK27</f>
        <v>226.1</v>
      </c>
      <c r="AL17" s="2298">
        <f>+'Maj Production Summ'!AL27</f>
        <v>1177.7849999999999</v>
      </c>
      <c r="AM17" s="2300">
        <f t="shared" ref="AM17:AM21" si="92">+AK17+AG17+AC17</f>
        <v>672.22</v>
      </c>
      <c r="AN17" s="534">
        <f t="shared" ref="AN17:AN21" si="93">+AL17+AH17+AD17</f>
        <v>2352.154</v>
      </c>
      <c r="AO17" s="782">
        <f t="shared" si="69"/>
        <v>2551.6419999999998</v>
      </c>
      <c r="AP17" s="782">
        <f t="shared" si="69"/>
        <v>3330.5160000000001</v>
      </c>
      <c r="AQ17" s="2120">
        <f>+'Maj Production Summ'!AQ27</f>
        <v>226.1</v>
      </c>
      <c r="AR17" s="2298">
        <f>+'Maj Production Summ'!AR27</f>
        <v>766.2410000000001</v>
      </c>
      <c r="AS17" s="1669">
        <f t="shared" ref="AS17:AS21" si="94">+AO17+AQ17</f>
        <v>2777.7419999999997</v>
      </c>
      <c r="AT17" s="535">
        <f t="shared" ref="AT17:AT21" si="95">+AP17+AR17</f>
        <v>4096.7570000000005</v>
      </c>
      <c r="AU17" s="2120">
        <f>+'Maj Production Summ'!AU27</f>
        <v>207.1</v>
      </c>
      <c r="AV17" s="2298">
        <f>+'Maj Production Summ'!AV27</f>
        <v>658.14700000000005</v>
      </c>
      <c r="AW17" s="1669">
        <f t="shared" ref="AW17:AW21" si="96">+AS17+AU17</f>
        <v>2984.8419999999996</v>
      </c>
      <c r="AX17" s="535">
        <f t="shared" ref="AX17:AX21" si="97">+AT17+AV17</f>
        <v>4754.9040000000005</v>
      </c>
      <c r="AY17" s="2120">
        <f>+'Maj Production Summ'!AY27</f>
        <v>226.1</v>
      </c>
      <c r="AZ17" s="2298">
        <f>+'Maj Production Summ'!AZ27</f>
        <v>554.32999999999993</v>
      </c>
      <c r="BA17" s="2300">
        <f t="shared" ref="BA17:BA21" si="98">+AY17+AU17+AQ17</f>
        <v>659.3</v>
      </c>
      <c r="BB17" s="534">
        <f t="shared" ref="BB17:BB21" si="99">+AZ17+AV17+AR17</f>
        <v>1978.7179999999998</v>
      </c>
      <c r="BC17" s="469">
        <f t="shared" ref="BC17:BC20" si="100">AM17+BA17</f>
        <v>1331.52</v>
      </c>
      <c r="BD17" s="477">
        <f t="shared" ref="BD17:BD20" si="101">+AN17+BB17</f>
        <v>4330.8719999999994</v>
      </c>
      <c r="BE17" s="1669">
        <f t="shared" ref="BE17:BE21" si="102">+AW17+AY17</f>
        <v>3210.9419999999996</v>
      </c>
      <c r="BF17" s="535">
        <f t="shared" ref="BF17:BF21" si="103">+AX17+AZ17</f>
        <v>5309.2340000000004</v>
      </c>
      <c r="BH17" s="26"/>
      <c r="BI17" s="26"/>
      <c r="BJ17" s="26"/>
      <c r="BK17" s="26"/>
    </row>
    <row r="18" spans="1:63" ht="14.45" x14ac:dyDescent="0.3">
      <c r="A18" s="147"/>
      <c r="B18" s="2121" t="s">
        <v>237</v>
      </c>
      <c r="C18" s="819" t="s">
        <v>50</v>
      </c>
      <c r="D18" s="158">
        <v>1103300</v>
      </c>
      <c r="E18" s="158">
        <v>94248</v>
      </c>
      <c r="F18" s="275">
        <v>82292.874200000006</v>
      </c>
      <c r="G18" s="158">
        <v>97240</v>
      </c>
      <c r="H18" s="275">
        <v>88384.934200000003</v>
      </c>
      <c r="I18" s="373">
        <f>+E18+G18</f>
        <v>191488</v>
      </c>
      <c r="J18" s="43">
        <f t="shared" si="2"/>
        <v>170677.80840000001</v>
      </c>
      <c r="K18" s="158">
        <v>94248</v>
      </c>
      <c r="L18" s="275">
        <v>82876.476500000019</v>
      </c>
      <c r="M18" s="618">
        <f t="shared" si="83"/>
        <v>285736</v>
      </c>
      <c r="N18" s="618">
        <f>+L18+H18+F18</f>
        <v>253554.28490000003</v>
      </c>
      <c r="O18" s="158">
        <v>95370</v>
      </c>
      <c r="P18" s="275">
        <v>93382.704500000007</v>
      </c>
      <c r="Q18" s="373">
        <f t="shared" si="84"/>
        <v>381106</v>
      </c>
      <c r="R18" s="373">
        <f t="shared" si="84"/>
        <v>346936.98940000002</v>
      </c>
      <c r="S18" s="158">
        <v>95370</v>
      </c>
      <c r="T18" s="275">
        <v>91267.827300000004</v>
      </c>
      <c r="U18" s="373">
        <f t="shared" si="85"/>
        <v>476476</v>
      </c>
      <c r="V18" s="373">
        <f t="shared" si="86"/>
        <v>438204.81670000002</v>
      </c>
      <c r="W18" s="158">
        <v>52360</v>
      </c>
      <c r="X18" s="275">
        <v>85644.341079999984</v>
      </c>
      <c r="Y18" s="618">
        <f t="shared" si="87"/>
        <v>243100</v>
      </c>
      <c r="Z18" s="618">
        <f t="shared" si="87"/>
        <v>270294.87287999998</v>
      </c>
      <c r="AA18" s="1049">
        <f>M18+Y18</f>
        <v>528836</v>
      </c>
      <c r="AB18" s="458">
        <f>+N18+Z18</f>
        <v>523849.15778000001</v>
      </c>
      <c r="AC18" s="158">
        <v>95000</v>
      </c>
      <c r="AD18" s="275">
        <v>89395.797399999996</v>
      </c>
      <c r="AE18" s="373">
        <f t="shared" si="88"/>
        <v>623836</v>
      </c>
      <c r="AF18" s="373">
        <f t="shared" si="89"/>
        <v>613244.95518000005</v>
      </c>
      <c r="AG18" s="158">
        <v>91960</v>
      </c>
      <c r="AH18" s="275">
        <v>3506.2129999999997</v>
      </c>
      <c r="AI18" s="373">
        <f t="shared" si="90"/>
        <v>715796</v>
      </c>
      <c r="AJ18" s="373">
        <f t="shared" si="91"/>
        <v>616751.16818000004</v>
      </c>
      <c r="AK18" s="158">
        <v>95000</v>
      </c>
      <c r="AL18" s="275">
        <v>100232</v>
      </c>
      <c r="AM18" s="618">
        <f t="shared" si="92"/>
        <v>281960</v>
      </c>
      <c r="AN18" s="618">
        <f t="shared" si="93"/>
        <v>193134.0104</v>
      </c>
      <c r="AO18" s="782">
        <f t="shared" ref="AO18:AP23" si="104">+AK18+AI18</f>
        <v>810796</v>
      </c>
      <c r="AP18" s="782">
        <f t="shared" ref="AP18:AP21" si="105">+AL18+AJ18</f>
        <v>716983.16818000004</v>
      </c>
      <c r="AQ18" s="158">
        <v>95000</v>
      </c>
      <c r="AR18" s="275">
        <v>106187.04370000001</v>
      </c>
      <c r="AS18" s="373">
        <f t="shared" si="94"/>
        <v>905796</v>
      </c>
      <c r="AT18" s="373">
        <f t="shared" si="95"/>
        <v>823170.21188000008</v>
      </c>
      <c r="AU18" s="158">
        <v>85500</v>
      </c>
      <c r="AV18" s="275">
        <v>87019.843199999988</v>
      </c>
      <c r="AW18" s="373">
        <f t="shared" si="96"/>
        <v>991296</v>
      </c>
      <c r="AX18" s="373">
        <f t="shared" si="97"/>
        <v>910190.05508000008</v>
      </c>
      <c r="AY18" s="158">
        <v>95000</v>
      </c>
      <c r="AZ18" s="275">
        <v>102456.46079999999</v>
      </c>
      <c r="BA18" s="618">
        <f t="shared" si="98"/>
        <v>275500</v>
      </c>
      <c r="BB18" s="618">
        <f t="shared" si="99"/>
        <v>295663.34769999998</v>
      </c>
      <c r="BC18" s="469">
        <f t="shared" si="100"/>
        <v>557460</v>
      </c>
      <c r="BD18" s="477">
        <f t="shared" si="101"/>
        <v>488797.35809999995</v>
      </c>
      <c r="BE18" s="373">
        <f t="shared" si="102"/>
        <v>1086296</v>
      </c>
      <c r="BF18" s="373">
        <f t="shared" si="103"/>
        <v>1012646.5158800001</v>
      </c>
      <c r="BH18" s="26"/>
      <c r="BI18" s="26"/>
      <c r="BJ18" s="26"/>
      <c r="BK18" s="26"/>
    </row>
    <row r="19" spans="1:63" ht="14.45" x14ac:dyDescent="0.3">
      <c r="A19" s="147" t="s">
        <v>470</v>
      </c>
      <c r="B19" s="1757" t="s">
        <v>564</v>
      </c>
      <c r="C19" s="2656" t="s">
        <v>50</v>
      </c>
      <c r="D19" s="2716">
        <v>1048134.9999999999</v>
      </c>
      <c r="E19" s="2716">
        <v>89535.6</v>
      </c>
      <c r="F19" s="2716">
        <v>73150.340758762904</v>
      </c>
      <c r="G19" s="2716">
        <v>92378</v>
      </c>
      <c r="H19" s="2716">
        <v>77751.078862886585</v>
      </c>
      <c r="I19" s="2648">
        <f>+E19+G19</f>
        <v>181913.60000000001</v>
      </c>
      <c r="J19" s="39">
        <f t="shared" si="2"/>
        <v>150901.41962164949</v>
      </c>
      <c r="K19" s="2716">
        <v>89535.6</v>
      </c>
      <c r="L19" s="2716">
        <v>75099.025971134019</v>
      </c>
      <c r="M19" s="781">
        <f t="shared" ref="M19:M20" si="106">+K19+G19+E19</f>
        <v>271449.2</v>
      </c>
      <c r="N19" s="781">
        <f t="shared" ref="N19:N20" si="107">+L19+H19+F19</f>
        <v>226000.44559278351</v>
      </c>
      <c r="O19" s="2716">
        <v>90601.5</v>
      </c>
      <c r="P19" s="2716">
        <v>78023.680000000008</v>
      </c>
      <c r="Q19" s="782">
        <f t="shared" si="84"/>
        <v>362050.7</v>
      </c>
      <c r="R19" s="782">
        <f t="shared" si="84"/>
        <v>304024.1255927835</v>
      </c>
      <c r="S19" s="2716">
        <v>90601.5</v>
      </c>
      <c r="T19" s="2716">
        <v>83331.982839999982</v>
      </c>
      <c r="U19" s="782">
        <f t="shared" si="85"/>
        <v>452652.2</v>
      </c>
      <c r="V19" s="782">
        <f t="shared" si="86"/>
        <v>387356.10843278351</v>
      </c>
      <c r="W19" s="2716">
        <v>49742</v>
      </c>
      <c r="X19" s="2716">
        <v>82045.410979999971</v>
      </c>
      <c r="Y19" s="781">
        <f t="shared" ref="Y19:Y21" si="108">+W19+S19+O19</f>
        <v>230945</v>
      </c>
      <c r="Z19" s="781">
        <f t="shared" ref="Z19:Z21" si="109">+X19+T19+P19</f>
        <v>243401.07381999993</v>
      </c>
      <c r="AA19" s="465">
        <f t="shared" ref="AA19:AA20" si="110">M19+Y19</f>
        <v>502394.2</v>
      </c>
      <c r="AB19" s="454">
        <f t="shared" ref="AB19:AB20" si="111">+N19+Z19</f>
        <v>469401.51941278344</v>
      </c>
      <c r="AC19" s="2716">
        <v>90250</v>
      </c>
      <c r="AD19" s="2716">
        <v>84199.873500000002</v>
      </c>
      <c r="AE19" s="782">
        <f t="shared" si="88"/>
        <v>592644.19999999995</v>
      </c>
      <c r="AF19" s="782">
        <f t="shared" si="89"/>
        <v>553601.39291278343</v>
      </c>
      <c r="AG19" s="2716">
        <v>87362</v>
      </c>
      <c r="AH19" s="2716">
        <v>2400.2629999999999</v>
      </c>
      <c r="AI19" s="782">
        <f t="shared" si="90"/>
        <v>680006.2</v>
      </c>
      <c r="AJ19" s="782">
        <f t="shared" si="91"/>
        <v>556001.65591278346</v>
      </c>
      <c r="AK19" s="2716">
        <v>90250</v>
      </c>
      <c r="AL19" s="2716">
        <v>95312</v>
      </c>
      <c r="AM19" s="781">
        <f t="shared" si="92"/>
        <v>267862</v>
      </c>
      <c r="AN19" s="781">
        <f t="shared" si="93"/>
        <v>181912.13650000002</v>
      </c>
      <c r="AO19" s="782">
        <f t="shared" si="104"/>
        <v>770256.2</v>
      </c>
      <c r="AP19" s="782">
        <f t="shared" si="105"/>
        <v>651313.65591278346</v>
      </c>
      <c r="AQ19" s="2716">
        <v>90250</v>
      </c>
      <c r="AR19" s="2716">
        <v>96971.438800000033</v>
      </c>
      <c r="AS19" s="782">
        <f t="shared" si="94"/>
        <v>860506.2</v>
      </c>
      <c r="AT19" s="782">
        <f t="shared" si="95"/>
        <v>748285.09471278347</v>
      </c>
      <c r="AU19" s="2716">
        <v>81225</v>
      </c>
      <c r="AV19" s="2716">
        <v>82756.044600000023</v>
      </c>
      <c r="AW19" s="782">
        <f t="shared" si="96"/>
        <v>941731.2</v>
      </c>
      <c r="AX19" s="782">
        <f t="shared" si="97"/>
        <v>831041.13931278349</v>
      </c>
      <c r="AY19" s="2716">
        <v>90250</v>
      </c>
      <c r="AZ19" s="2716">
        <v>93058.28240000004</v>
      </c>
      <c r="BA19" s="781">
        <f t="shared" si="98"/>
        <v>261725</v>
      </c>
      <c r="BB19" s="781">
        <f t="shared" si="99"/>
        <v>272785.76580000005</v>
      </c>
      <c r="BC19" s="469">
        <f t="shared" si="100"/>
        <v>529587</v>
      </c>
      <c r="BD19" s="477">
        <f t="shared" si="101"/>
        <v>454697.90230000007</v>
      </c>
      <c r="BE19" s="782">
        <f t="shared" si="102"/>
        <v>1031981.2</v>
      </c>
      <c r="BF19" s="782">
        <f t="shared" si="103"/>
        <v>924099.42171278351</v>
      </c>
      <c r="BH19" s="26"/>
      <c r="BI19" s="26"/>
      <c r="BJ19" s="26"/>
      <c r="BK19" s="26"/>
    </row>
    <row r="20" spans="1:63" ht="14.45" x14ac:dyDescent="0.3">
      <c r="A20" s="147"/>
      <c r="B20" s="1757" t="s">
        <v>563</v>
      </c>
      <c r="C20" s="2656" t="s">
        <v>50</v>
      </c>
      <c r="D20" s="2716">
        <v>0</v>
      </c>
      <c r="E20" s="2716">
        <v>0</v>
      </c>
      <c r="F20" s="2716">
        <v>0</v>
      </c>
      <c r="G20" s="2716">
        <v>0</v>
      </c>
      <c r="H20" s="2716">
        <v>0</v>
      </c>
      <c r="I20" s="2648">
        <f>+E20+G20</f>
        <v>0</v>
      </c>
      <c r="J20" s="39">
        <f>+F20+H20</f>
        <v>0</v>
      </c>
      <c r="K20" s="2716">
        <v>0</v>
      </c>
      <c r="L20" s="2716">
        <v>0</v>
      </c>
      <c r="M20" s="781">
        <f t="shared" si="106"/>
        <v>0</v>
      </c>
      <c r="N20" s="781">
        <f t="shared" si="107"/>
        <v>0</v>
      </c>
      <c r="O20" s="2716">
        <v>0</v>
      </c>
      <c r="P20" s="2716">
        <v>10000</v>
      </c>
      <c r="Q20" s="782">
        <f t="shared" si="84"/>
        <v>0</v>
      </c>
      <c r="R20" s="590">
        <f t="shared" si="84"/>
        <v>10000</v>
      </c>
      <c r="S20" s="2716">
        <v>0</v>
      </c>
      <c r="T20" s="2716">
        <v>0</v>
      </c>
      <c r="U20" s="782">
        <f t="shared" si="85"/>
        <v>0</v>
      </c>
      <c r="V20" s="590">
        <f t="shared" si="86"/>
        <v>10000</v>
      </c>
      <c r="W20" s="2716">
        <v>0</v>
      </c>
      <c r="X20" s="2716">
        <v>6000</v>
      </c>
      <c r="Y20" s="781">
        <f t="shared" si="108"/>
        <v>0</v>
      </c>
      <c r="Z20" s="781">
        <f t="shared" si="109"/>
        <v>16000</v>
      </c>
      <c r="AA20" s="465">
        <f t="shared" si="110"/>
        <v>0</v>
      </c>
      <c r="AB20" s="454">
        <f t="shared" si="111"/>
        <v>16000</v>
      </c>
      <c r="AC20" s="2716">
        <v>0</v>
      </c>
      <c r="AD20" s="2716">
        <v>0</v>
      </c>
      <c r="AE20" s="782">
        <f t="shared" si="88"/>
        <v>0</v>
      </c>
      <c r="AF20" s="590">
        <f t="shared" si="89"/>
        <v>16000</v>
      </c>
      <c r="AG20" s="2716">
        <v>0</v>
      </c>
      <c r="AH20" s="2716">
        <v>6810</v>
      </c>
      <c r="AI20" s="782">
        <f t="shared" si="90"/>
        <v>0</v>
      </c>
      <c r="AJ20" s="590">
        <f t="shared" si="91"/>
        <v>22810</v>
      </c>
      <c r="AK20" s="2716">
        <v>0</v>
      </c>
      <c r="AL20" s="2716">
        <v>0</v>
      </c>
      <c r="AM20" s="781">
        <f t="shared" si="92"/>
        <v>0</v>
      </c>
      <c r="AN20" s="781">
        <f t="shared" si="93"/>
        <v>6810</v>
      </c>
      <c r="AO20" s="782">
        <f t="shared" si="104"/>
        <v>0</v>
      </c>
      <c r="AP20" s="782">
        <f t="shared" si="105"/>
        <v>22810</v>
      </c>
      <c r="AQ20" s="2716">
        <v>0</v>
      </c>
      <c r="AR20" s="2716">
        <v>0</v>
      </c>
      <c r="AS20" s="782">
        <f t="shared" si="94"/>
        <v>0</v>
      </c>
      <c r="AT20" s="590">
        <f t="shared" si="95"/>
        <v>22810</v>
      </c>
      <c r="AU20" s="2716">
        <v>0</v>
      </c>
      <c r="AV20" s="2716">
        <v>0</v>
      </c>
      <c r="AW20" s="782">
        <f t="shared" si="96"/>
        <v>0</v>
      </c>
      <c r="AX20" s="590">
        <f t="shared" si="97"/>
        <v>22810</v>
      </c>
      <c r="AY20" s="2716">
        <v>0</v>
      </c>
      <c r="AZ20" s="2716">
        <v>0</v>
      </c>
      <c r="BA20" s="781">
        <f t="shared" si="98"/>
        <v>0</v>
      </c>
      <c r="BB20" s="781">
        <f t="shared" si="99"/>
        <v>0</v>
      </c>
      <c r="BC20" s="469">
        <f t="shared" si="100"/>
        <v>0</v>
      </c>
      <c r="BD20" s="477">
        <f t="shared" si="101"/>
        <v>6810</v>
      </c>
      <c r="BE20" s="782">
        <f t="shared" si="102"/>
        <v>0</v>
      </c>
      <c r="BF20" s="590">
        <f t="shared" si="103"/>
        <v>22810</v>
      </c>
      <c r="BH20" s="26"/>
      <c r="BI20" s="26"/>
      <c r="BJ20" s="26"/>
      <c r="BK20" s="26"/>
    </row>
    <row r="21" spans="1:63" ht="16.149999999999999" thickBot="1" x14ac:dyDescent="0.35">
      <c r="A21" s="147" t="s">
        <v>470</v>
      </c>
      <c r="B21" s="1747" t="s">
        <v>104</v>
      </c>
      <c r="C21" s="2251" t="s">
        <v>50</v>
      </c>
      <c r="D21" s="1142">
        <v>1081234</v>
      </c>
      <c r="E21" s="234">
        <v>92363.04</v>
      </c>
      <c r="F21" s="234">
        <v>70955.830536000009</v>
      </c>
      <c r="G21" s="234">
        <v>95295.2</v>
      </c>
      <c r="H21" s="234">
        <v>75418.546496999988</v>
      </c>
      <c r="I21" s="2291">
        <f>+E21+G21</f>
        <v>187658.23999999999</v>
      </c>
      <c r="J21" s="1964">
        <f t="shared" si="2"/>
        <v>146374.377033</v>
      </c>
      <c r="K21" s="234">
        <v>92363.04</v>
      </c>
      <c r="L21" s="234">
        <v>72846.055192</v>
      </c>
      <c r="M21" s="2292">
        <f t="shared" si="83"/>
        <v>280021.27999999997</v>
      </c>
      <c r="N21" s="2292">
        <f t="shared" si="83"/>
        <v>219220.432225</v>
      </c>
      <c r="O21" s="234">
        <v>93462.6</v>
      </c>
      <c r="P21" s="234">
        <v>75682.969600000011</v>
      </c>
      <c r="Q21" s="2291">
        <f t="shared" si="84"/>
        <v>373483.88</v>
      </c>
      <c r="R21" s="2291">
        <f t="shared" si="84"/>
        <v>294903.40182500001</v>
      </c>
      <c r="S21" s="234">
        <v>93462.6</v>
      </c>
      <c r="T21" s="234">
        <v>80832.023354799981</v>
      </c>
      <c r="U21" s="2291">
        <f t="shared" si="85"/>
        <v>466946.48</v>
      </c>
      <c r="V21" s="2291">
        <f t="shared" si="86"/>
        <v>375735.42517980002</v>
      </c>
      <c r="W21" s="234">
        <v>51312.800000000003</v>
      </c>
      <c r="X21" s="234">
        <v>79584.048650599972</v>
      </c>
      <c r="Y21" s="2292">
        <f t="shared" si="108"/>
        <v>238238.00000000003</v>
      </c>
      <c r="Z21" s="2292">
        <f t="shared" si="109"/>
        <v>236099.04160539998</v>
      </c>
      <c r="AA21" s="2293">
        <f>+U21+W21</f>
        <v>518259.27999999997</v>
      </c>
      <c r="AB21" s="2294">
        <f>+V21+X21</f>
        <v>455319.47383039998</v>
      </c>
      <c r="AC21" s="234">
        <v>93198.103266596401</v>
      </c>
      <c r="AD21" s="234">
        <v>81673.877294999998</v>
      </c>
      <c r="AE21" s="589">
        <f t="shared" si="88"/>
        <v>611457.38326659636</v>
      </c>
      <c r="AF21" s="589">
        <f t="shared" si="89"/>
        <v>536993.35112539993</v>
      </c>
      <c r="AG21" s="234">
        <v>90215.763962065321</v>
      </c>
      <c r="AH21" s="234">
        <v>2328.2551100000001</v>
      </c>
      <c r="AI21" s="589">
        <f t="shared" si="90"/>
        <v>701673.14722866169</v>
      </c>
      <c r="AJ21" s="589">
        <f t="shared" si="91"/>
        <v>539321.60623539996</v>
      </c>
      <c r="AK21" s="234">
        <v>93198.103266596401</v>
      </c>
      <c r="AL21" s="234">
        <v>92452.295552999989</v>
      </c>
      <c r="AM21" s="2292">
        <f t="shared" si="92"/>
        <v>276611.97049525811</v>
      </c>
      <c r="AN21" s="2292">
        <f t="shared" si="93"/>
        <v>176454.42795799999</v>
      </c>
      <c r="AO21" s="782">
        <f t="shared" si="104"/>
        <v>794871.25049525814</v>
      </c>
      <c r="AP21" s="782">
        <f t="shared" si="105"/>
        <v>631773.9017883999</v>
      </c>
      <c r="AQ21" s="234">
        <v>93198.103266596401</v>
      </c>
      <c r="AR21" s="234">
        <v>94062.295636000024</v>
      </c>
      <c r="AS21" s="589">
        <f t="shared" si="94"/>
        <v>888069.35376185458</v>
      </c>
      <c r="AT21" s="589">
        <f t="shared" si="95"/>
        <v>725836.1974243999</v>
      </c>
      <c r="AU21" s="234">
        <v>83878.292939936771</v>
      </c>
      <c r="AV21" s="234">
        <v>80273.363262000028</v>
      </c>
      <c r="AW21" s="589">
        <f t="shared" si="96"/>
        <v>971947.64670179132</v>
      </c>
      <c r="AX21" s="589">
        <f t="shared" si="97"/>
        <v>806109.56068639993</v>
      </c>
      <c r="AY21" s="234">
        <v>93198.103266596401</v>
      </c>
      <c r="AZ21" s="234">
        <v>90266.533928000033</v>
      </c>
      <c r="BA21" s="2292">
        <f t="shared" si="98"/>
        <v>270274.49947312957</v>
      </c>
      <c r="BB21" s="2292">
        <f t="shared" si="99"/>
        <v>264602.19282600004</v>
      </c>
      <c r="BC21" s="2312">
        <f>AM21+BA21</f>
        <v>546886.46996838762</v>
      </c>
      <c r="BD21" s="468">
        <f>+AN21+BB21</f>
        <v>441056.62078400003</v>
      </c>
      <c r="BE21" s="589">
        <f t="shared" si="102"/>
        <v>1065145.7499683877</v>
      </c>
      <c r="BF21" s="589">
        <f t="shared" si="103"/>
        <v>896376.09461439995</v>
      </c>
      <c r="BH21" s="26"/>
      <c r="BI21" s="26"/>
      <c r="BJ21" s="26"/>
      <c r="BK21" s="26"/>
    </row>
    <row r="22" spans="1:63" ht="16.149999999999999" thickBot="1" x14ac:dyDescent="0.35">
      <c r="A22" s="148"/>
      <c r="B22" s="1749" t="s">
        <v>445</v>
      </c>
      <c r="C22" s="1758"/>
      <c r="D22" s="2142"/>
      <c r="E22" s="2142"/>
      <c r="F22" s="2142"/>
      <c r="G22" s="2142"/>
      <c r="H22" s="2142"/>
      <c r="I22" s="1758"/>
      <c r="J22" s="3260"/>
      <c r="K22" s="2142"/>
      <c r="L22" s="2142"/>
      <c r="M22" s="1758"/>
      <c r="N22" s="1758"/>
      <c r="O22" s="2142"/>
      <c r="P22" s="2142"/>
      <c r="Q22" s="1758"/>
      <c r="R22" s="1758"/>
      <c r="S22" s="2142"/>
      <c r="T22" s="2142"/>
      <c r="U22" s="1758"/>
      <c r="V22" s="1758"/>
      <c r="W22" s="2142"/>
      <c r="X22" s="2142"/>
      <c r="Y22" s="1758"/>
      <c r="Z22" s="1758"/>
      <c r="AA22" s="1758"/>
      <c r="AB22" s="1401"/>
      <c r="AC22" s="2142"/>
      <c r="AD22" s="2142"/>
      <c r="AE22" s="1758"/>
      <c r="AF22" s="1758"/>
      <c r="AG22" s="2142"/>
      <c r="AH22" s="2142"/>
      <c r="AI22" s="1758"/>
      <c r="AJ22" s="1758"/>
      <c r="AK22" s="2142"/>
      <c r="AL22" s="2142"/>
      <c r="AM22" s="1758"/>
      <c r="AN22" s="1758"/>
      <c r="AO22" s="1758"/>
      <c r="AP22" s="1758"/>
      <c r="AQ22" s="2142"/>
      <c r="AR22" s="2142"/>
      <c r="AS22" s="1758"/>
      <c r="AT22" s="1758"/>
      <c r="AU22" s="2142"/>
      <c r="AV22" s="2142"/>
      <c r="AW22" s="1758"/>
      <c r="AX22" s="1758"/>
      <c r="AY22" s="2142"/>
      <c r="AZ22" s="2142"/>
      <c r="BA22" s="1758"/>
      <c r="BB22" s="1758"/>
      <c r="BC22" s="1758"/>
      <c r="BD22" s="1401"/>
      <c r="BE22" s="1758"/>
      <c r="BF22" s="1758"/>
      <c r="BH22" s="26"/>
      <c r="BI22" s="26"/>
      <c r="BJ22" s="26"/>
      <c r="BK22" s="26"/>
    </row>
    <row r="23" spans="1:63" ht="14.45" x14ac:dyDescent="0.3">
      <c r="A23" s="147" t="s">
        <v>470</v>
      </c>
      <c r="B23" s="1752" t="s">
        <v>238</v>
      </c>
      <c r="C23" s="758" t="s">
        <v>50</v>
      </c>
      <c r="D23" s="158">
        <f t="shared" ref="D23:E25" si="112">+D$6*D39/1000</f>
        <v>1050908</v>
      </c>
      <c r="E23" s="158">
        <f t="shared" si="112"/>
        <v>89712</v>
      </c>
      <c r="F23" s="275">
        <v>78684.817500000019</v>
      </c>
      <c r="G23" s="158">
        <f t="shared" ref="G23" si="113">+G$6*G39/1000</f>
        <v>92560</v>
      </c>
      <c r="H23" s="275">
        <v>88475.2503</v>
      </c>
      <c r="I23" s="712">
        <f>+E23+G23</f>
        <v>182272</v>
      </c>
      <c r="J23" s="43">
        <f t="shared" si="2"/>
        <v>167160.06780000002</v>
      </c>
      <c r="K23" s="158">
        <f t="shared" ref="K23:K25" si="114">+K$6*K39/1000</f>
        <v>89712</v>
      </c>
      <c r="L23" s="275">
        <v>91104.908899999995</v>
      </c>
      <c r="M23" s="716">
        <f t="shared" ref="M23:N23" si="115">+K23+G23+E23</f>
        <v>271984</v>
      </c>
      <c r="N23" s="716">
        <f t="shared" si="115"/>
        <v>258264.9767</v>
      </c>
      <c r="O23" s="158">
        <f t="shared" ref="O23:O25" si="116">+O$6*O39/1000</f>
        <v>90780</v>
      </c>
      <c r="P23" s="275">
        <v>97220.250600000014</v>
      </c>
      <c r="Q23" s="712">
        <f t="shared" ref="Q23:R25" si="117">+M23+O23</f>
        <v>362764</v>
      </c>
      <c r="R23" s="43">
        <f t="shared" si="117"/>
        <v>355485.22730000003</v>
      </c>
      <c r="S23" s="158">
        <f t="shared" ref="S23:S25" si="118">+S$6*S39/1000</f>
        <v>90780</v>
      </c>
      <c r="T23" s="275">
        <v>92678.77111999999</v>
      </c>
      <c r="U23" s="712">
        <f t="shared" ref="U23:U25" si="119">+Q23+S23</f>
        <v>453544</v>
      </c>
      <c r="V23" s="43">
        <f t="shared" ref="V23:V25" si="120">+R23+T23</f>
        <v>448163.99842000002</v>
      </c>
      <c r="W23" s="158">
        <f t="shared" ref="W23:W25" si="121">+W$6*W39/1000</f>
        <v>53620</v>
      </c>
      <c r="X23" s="275">
        <v>94980.636339999997</v>
      </c>
      <c r="Y23" s="716">
        <f t="shared" ref="Y23:Z23" si="122">+W23+S23+O23</f>
        <v>235180</v>
      </c>
      <c r="Z23" s="73">
        <f t="shared" si="122"/>
        <v>284879.65805999999</v>
      </c>
      <c r="AA23" s="714">
        <f>M23+Y23</f>
        <v>507164</v>
      </c>
      <c r="AB23" s="458">
        <f>+N23+Z23</f>
        <v>543144.63476000004</v>
      </c>
      <c r="AC23" s="158">
        <f t="shared" ref="AC23:AC25" si="123">+AC$6*AC39/1000</f>
        <v>90600</v>
      </c>
      <c r="AD23" s="275">
        <v>90529.182680000013</v>
      </c>
      <c r="AE23" s="712">
        <f t="shared" ref="AE23:AE25" si="124">+AA23+AC23</f>
        <v>597764</v>
      </c>
      <c r="AF23" s="43">
        <f t="shared" ref="AF23:AF25" si="125">+AB23+AD23</f>
        <v>633673.81744000001</v>
      </c>
      <c r="AG23" s="158">
        <f t="shared" ref="AG23:AG25" si="126">+AG$6*AG39/1000</f>
        <v>85982.6</v>
      </c>
      <c r="AH23" s="275">
        <v>5150.0958000000001</v>
      </c>
      <c r="AI23" s="712">
        <f t="shared" ref="AI23:AI25" si="127">+AE23+AG23</f>
        <v>683746.6</v>
      </c>
      <c r="AJ23" s="43">
        <f t="shared" ref="AJ23:AJ25" si="128">+AF23+AH23</f>
        <v>638823.91324000002</v>
      </c>
      <c r="AK23" s="158">
        <f t="shared" ref="AK23:AK25" si="129">+AK$6*AK39/1000</f>
        <v>88825</v>
      </c>
      <c r="AL23" s="275">
        <v>94257.042999999991</v>
      </c>
      <c r="AM23" s="716">
        <f t="shared" ref="AM23:AM25" si="130">+AK23+AG23+AC23</f>
        <v>265407.59999999998</v>
      </c>
      <c r="AN23" s="73">
        <f t="shared" ref="AN23:AN25" si="131">+AL23+AH23+AD23</f>
        <v>189936.32147999998</v>
      </c>
      <c r="AO23" s="782">
        <f t="shared" si="104"/>
        <v>772571.6</v>
      </c>
      <c r="AP23" s="782">
        <f t="shared" si="104"/>
        <v>733080.95623999997</v>
      </c>
      <c r="AQ23" s="158">
        <f t="shared" ref="AQ23:AQ25" si="132">+AQ$6*AQ39/1000</f>
        <v>88825</v>
      </c>
      <c r="AR23" s="275">
        <v>91127.224099999992</v>
      </c>
      <c r="AS23" s="712">
        <f t="shared" ref="AS23:AS25" si="133">+AO23+AQ23</f>
        <v>861396.6</v>
      </c>
      <c r="AT23" s="43">
        <f t="shared" ref="AT23:AT25" si="134">+AP23+AR23</f>
        <v>824208.18033999996</v>
      </c>
      <c r="AU23" s="158">
        <f t="shared" ref="AU23:AU25" si="135">+AU$6*AU39/1000</f>
        <v>79942.5</v>
      </c>
      <c r="AV23" s="275">
        <v>82009.378899999996</v>
      </c>
      <c r="AW23" s="712">
        <f t="shared" ref="AW23:AW25" si="136">+AS23+AU23</f>
        <v>941339.1</v>
      </c>
      <c r="AX23" s="43">
        <f t="shared" ref="AX23:AX25" si="137">+AT23+AV23</f>
        <v>906217.55923999997</v>
      </c>
      <c r="AY23" s="158">
        <f t="shared" ref="AY23:AY25" si="138">+AY$6*AY39/1000</f>
        <v>88825</v>
      </c>
      <c r="AZ23" s="275">
        <v>89515.708799999993</v>
      </c>
      <c r="BA23" s="716">
        <f t="shared" ref="BA23:BA25" si="139">+AY23+AU23+AQ23</f>
        <v>257592.5</v>
      </c>
      <c r="BB23" s="73">
        <f t="shared" ref="BB23:BB25" si="140">+AZ23+AV23+AR23</f>
        <v>262652.31179999997</v>
      </c>
      <c r="BC23" s="469">
        <f t="shared" ref="BC23" si="141">AM23+BA23</f>
        <v>523000.1</v>
      </c>
      <c r="BD23" s="477">
        <f t="shared" ref="BD23" si="142">+AN23+BB23</f>
        <v>452588.63327999995</v>
      </c>
      <c r="BE23" s="712">
        <f t="shared" ref="BE23:BE25" si="143">+AW23+AY23</f>
        <v>1030164.1</v>
      </c>
      <c r="BF23" s="43">
        <f t="shared" ref="BF23:BF25" si="144">+AX23+AZ23</f>
        <v>995733.26804</v>
      </c>
      <c r="BH23" s="26"/>
      <c r="BI23" s="26"/>
      <c r="BJ23" s="26"/>
      <c r="BK23" s="26"/>
    </row>
    <row r="24" spans="1:63" ht="14.45" x14ac:dyDescent="0.3">
      <c r="A24" s="147" t="s">
        <v>470</v>
      </c>
      <c r="B24" s="1750" t="s">
        <v>1</v>
      </c>
      <c r="C24" s="2942" t="s">
        <v>50</v>
      </c>
      <c r="D24" s="2647">
        <f t="shared" si="112"/>
        <v>85410</v>
      </c>
      <c r="E24" s="2647">
        <f t="shared" si="112"/>
        <v>7308</v>
      </c>
      <c r="F24" s="2716">
        <v>6494.4988000000003</v>
      </c>
      <c r="G24" s="2647">
        <f t="shared" ref="G24" si="145">+G$6*G40/1000</f>
        <v>7540</v>
      </c>
      <c r="H24" s="2716">
        <v>7479.2059999999992</v>
      </c>
      <c r="I24" s="718">
        <f>+E24+G24</f>
        <v>14848</v>
      </c>
      <c r="J24" s="62">
        <f t="shared" si="2"/>
        <v>13973.7048</v>
      </c>
      <c r="K24" s="2647">
        <f t="shared" si="114"/>
        <v>7308</v>
      </c>
      <c r="L24" s="2716">
        <v>8335.2548999999999</v>
      </c>
      <c r="M24" s="68">
        <f t="shared" ref="M24:M25" si="146">+K24+G24+E24</f>
        <v>22156</v>
      </c>
      <c r="N24" s="68">
        <f t="shared" ref="N24:N25" si="147">+L24+H24+F24</f>
        <v>22308.959699999999</v>
      </c>
      <c r="O24" s="2647">
        <f t="shared" si="116"/>
        <v>7395</v>
      </c>
      <c r="P24" s="2716">
        <v>10931.993400000003</v>
      </c>
      <c r="Q24" s="718">
        <f t="shared" si="117"/>
        <v>29551</v>
      </c>
      <c r="R24" s="62">
        <f t="shared" si="117"/>
        <v>33240.953099999999</v>
      </c>
      <c r="S24" s="2647">
        <f t="shared" si="118"/>
        <v>7395</v>
      </c>
      <c r="T24" s="2716">
        <v>9434.9160300000003</v>
      </c>
      <c r="U24" s="718">
        <f t="shared" si="119"/>
        <v>36946</v>
      </c>
      <c r="V24" s="62">
        <f t="shared" si="120"/>
        <v>42675.869129999999</v>
      </c>
      <c r="W24" s="2647">
        <f t="shared" si="121"/>
        <v>3920</v>
      </c>
      <c r="X24" s="2716">
        <v>8937.2429000000029</v>
      </c>
      <c r="Y24" s="68">
        <f t="shared" ref="Y24:Y25" si="148">+W24+S24+O24</f>
        <v>18710</v>
      </c>
      <c r="Z24" s="69">
        <f t="shared" ref="Z24:Z25" si="149">+X24+T24+P24</f>
        <v>29304.152330000008</v>
      </c>
      <c r="AA24" s="796">
        <f t="shared" ref="AA24:AA25" si="150">M24+Y24</f>
        <v>40866</v>
      </c>
      <c r="AB24" s="477">
        <f t="shared" ref="AB24:AB25" si="151">+N24+Z24</f>
        <v>51613.112030000004</v>
      </c>
      <c r="AC24" s="2647">
        <f t="shared" si="123"/>
        <v>9750</v>
      </c>
      <c r="AD24" s="2716">
        <v>9460.2050799999997</v>
      </c>
      <c r="AE24" s="718">
        <f t="shared" si="124"/>
        <v>50616</v>
      </c>
      <c r="AF24" s="62">
        <f t="shared" si="125"/>
        <v>61073.317110000004</v>
      </c>
      <c r="AG24" s="2647">
        <f t="shared" si="126"/>
        <v>9438</v>
      </c>
      <c r="AH24" s="2716">
        <v>116.1062</v>
      </c>
      <c r="AI24" s="718">
        <f t="shared" si="127"/>
        <v>60054</v>
      </c>
      <c r="AJ24" s="62">
        <f t="shared" si="128"/>
        <v>61189.423310000006</v>
      </c>
      <c r="AK24" s="2647">
        <f t="shared" si="129"/>
        <v>9750</v>
      </c>
      <c r="AL24" s="2716">
        <v>8541.23</v>
      </c>
      <c r="AM24" s="68">
        <f t="shared" si="130"/>
        <v>28938</v>
      </c>
      <c r="AN24" s="69">
        <f t="shared" si="131"/>
        <v>18117.541279999998</v>
      </c>
      <c r="AO24" s="782">
        <f t="shared" ref="AO24:AP27" si="152">+AK24+AI24</f>
        <v>69804</v>
      </c>
      <c r="AP24" s="782">
        <f t="shared" ref="AP24:AP25" si="153">+AL24+AJ24</f>
        <v>69730.653310000009</v>
      </c>
      <c r="AQ24" s="2647">
        <f t="shared" si="132"/>
        <v>9750</v>
      </c>
      <c r="AR24" s="2716">
        <v>7963.6405999999997</v>
      </c>
      <c r="AS24" s="718">
        <f t="shared" si="133"/>
        <v>79554</v>
      </c>
      <c r="AT24" s="62">
        <f t="shared" si="134"/>
        <v>77694.293910000008</v>
      </c>
      <c r="AU24" s="2647">
        <f t="shared" si="135"/>
        <v>8775</v>
      </c>
      <c r="AV24" s="2716">
        <v>6990.9988999999996</v>
      </c>
      <c r="AW24" s="718">
        <f t="shared" si="136"/>
        <v>88329</v>
      </c>
      <c r="AX24" s="62">
        <f t="shared" si="137"/>
        <v>84685.292810000014</v>
      </c>
      <c r="AY24" s="2647">
        <f t="shared" si="138"/>
        <v>9750</v>
      </c>
      <c r="AZ24" s="2716">
        <v>7423.1251000000002</v>
      </c>
      <c r="BA24" s="68">
        <f t="shared" si="139"/>
        <v>28275</v>
      </c>
      <c r="BB24" s="69">
        <f t="shared" si="140"/>
        <v>22377.764599999999</v>
      </c>
      <c r="BC24" s="469">
        <f t="shared" ref="BC24:BC25" si="154">AM24+BA24</f>
        <v>57213</v>
      </c>
      <c r="BD24" s="477">
        <f t="shared" ref="BD24:BD25" si="155">+AN24+BB24</f>
        <v>40495.30588</v>
      </c>
      <c r="BE24" s="718">
        <f t="shared" si="143"/>
        <v>98079</v>
      </c>
      <c r="BF24" s="62">
        <f t="shared" si="144"/>
        <v>92108.417910000018</v>
      </c>
      <c r="BH24" s="26"/>
      <c r="BI24" s="26"/>
      <c r="BJ24" s="26"/>
      <c r="BK24" s="26"/>
    </row>
    <row r="25" spans="1:63" thickBot="1" x14ac:dyDescent="0.35">
      <c r="A25" s="147" t="s">
        <v>470</v>
      </c>
      <c r="B25" s="1754" t="s">
        <v>124</v>
      </c>
      <c r="C25" s="3047" t="s">
        <v>50</v>
      </c>
      <c r="D25" s="2940">
        <f t="shared" si="112"/>
        <v>441511.99999999994</v>
      </c>
      <c r="E25" s="2940">
        <f t="shared" si="112"/>
        <v>37800</v>
      </c>
      <c r="F25" s="2979">
        <v>34122.403299999998</v>
      </c>
      <c r="G25" s="2940">
        <f t="shared" ref="G25" si="156">+G$6*G41/1000</f>
        <v>39000</v>
      </c>
      <c r="H25" s="2979">
        <v>39876.654799999997</v>
      </c>
      <c r="I25" s="2111">
        <f>+E25+G25</f>
        <v>76800</v>
      </c>
      <c r="J25" s="535">
        <f t="shared" si="2"/>
        <v>73999.058099999995</v>
      </c>
      <c r="K25" s="2940">
        <f t="shared" si="114"/>
        <v>37800</v>
      </c>
      <c r="L25" s="2979">
        <v>40595.159399999997</v>
      </c>
      <c r="M25" s="68">
        <f t="shared" si="146"/>
        <v>114600</v>
      </c>
      <c r="N25" s="68">
        <f t="shared" si="147"/>
        <v>114594.2175</v>
      </c>
      <c r="O25" s="2940">
        <f t="shared" si="116"/>
        <v>38250</v>
      </c>
      <c r="P25" s="2979">
        <v>38284.482700000008</v>
      </c>
      <c r="Q25" s="718">
        <f t="shared" si="117"/>
        <v>152850</v>
      </c>
      <c r="R25" s="62">
        <f t="shared" si="117"/>
        <v>152878.70020000002</v>
      </c>
      <c r="S25" s="2940">
        <f t="shared" si="118"/>
        <v>38250</v>
      </c>
      <c r="T25" s="2979">
        <v>35925.433679999995</v>
      </c>
      <c r="U25" s="718">
        <f t="shared" si="119"/>
        <v>191100</v>
      </c>
      <c r="V25" s="62">
        <f t="shared" si="120"/>
        <v>188804.13388000001</v>
      </c>
      <c r="W25" s="2940">
        <f t="shared" si="121"/>
        <v>16940</v>
      </c>
      <c r="X25" s="2979">
        <v>31276.365060000004</v>
      </c>
      <c r="Y25" s="68">
        <f t="shared" si="148"/>
        <v>93440</v>
      </c>
      <c r="Z25" s="69">
        <f t="shared" si="149"/>
        <v>105486.28144000001</v>
      </c>
      <c r="AA25" s="796">
        <f t="shared" si="150"/>
        <v>208040</v>
      </c>
      <c r="AB25" s="477">
        <f t="shared" si="151"/>
        <v>220080.49894000002</v>
      </c>
      <c r="AC25" s="2940">
        <f t="shared" si="123"/>
        <v>36500</v>
      </c>
      <c r="AD25" s="2979">
        <v>29990.934699999994</v>
      </c>
      <c r="AE25" s="718">
        <f t="shared" si="124"/>
        <v>244540</v>
      </c>
      <c r="AF25" s="62">
        <f t="shared" si="125"/>
        <v>250071.43364</v>
      </c>
      <c r="AG25" s="2940">
        <f t="shared" si="126"/>
        <v>35332</v>
      </c>
      <c r="AH25" s="2979">
        <v>0</v>
      </c>
      <c r="AI25" s="718">
        <f t="shared" si="127"/>
        <v>279872</v>
      </c>
      <c r="AJ25" s="62">
        <f t="shared" si="128"/>
        <v>250071.43364</v>
      </c>
      <c r="AK25" s="2940">
        <f t="shared" si="129"/>
        <v>36500</v>
      </c>
      <c r="AL25" s="2979">
        <v>35753.689999999995</v>
      </c>
      <c r="AM25" s="68">
        <f t="shared" si="130"/>
        <v>108332</v>
      </c>
      <c r="AN25" s="69">
        <f t="shared" si="131"/>
        <v>65744.624699999986</v>
      </c>
      <c r="AO25" s="782">
        <f t="shared" si="152"/>
        <v>316372</v>
      </c>
      <c r="AP25" s="782">
        <f t="shared" si="153"/>
        <v>285825.12364000001</v>
      </c>
      <c r="AQ25" s="2940">
        <f t="shared" si="132"/>
        <v>36500</v>
      </c>
      <c r="AR25" s="2979">
        <v>40224.270799999991</v>
      </c>
      <c r="AS25" s="718">
        <f t="shared" si="133"/>
        <v>352872</v>
      </c>
      <c r="AT25" s="62">
        <f t="shared" si="134"/>
        <v>326049.39444</v>
      </c>
      <c r="AU25" s="2940">
        <f t="shared" si="135"/>
        <v>32850</v>
      </c>
      <c r="AV25" s="2979">
        <v>37459.847000000002</v>
      </c>
      <c r="AW25" s="718">
        <f t="shared" si="136"/>
        <v>385722</v>
      </c>
      <c r="AX25" s="62">
        <f t="shared" si="137"/>
        <v>363509.24144000001</v>
      </c>
      <c r="AY25" s="2940">
        <f t="shared" si="138"/>
        <v>36500</v>
      </c>
      <c r="AZ25" s="2979">
        <v>41826.560100000002</v>
      </c>
      <c r="BA25" s="68">
        <f t="shared" si="139"/>
        <v>105850</v>
      </c>
      <c r="BB25" s="69">
        <f t="shared" si="140"/>
        <v>119510.67790000001</v>
      </c>
      <c r="BC25" s="469">
        <f t="shared" si="154"/>
        <v>214182</v>
      </c>
      <c r="BD25" s="477">
        <f t="shared" si="155"/>
        <v>185255.3026</v>
      </c>
      <c r="BE25" s="718">
        <f t="shared" si="143"/>
        <v>422222</v>
      </c>
      <c r="BF25" s="62">
        <f t="shared" si="144"/>
        <v>405335.80154000001</v>
      </c>
      <c r="BH25" s="26"/>
      <c r="BI25" s="26"/>
      <c r="BJ25" s="26"/>
      <c r="BK25" s="26"/>
    </row>
    <row r="26" spans="1:63" ht="16.149999999999999" thickBot="1" x14ac:dyDescent="0.35">
      <c r="A26" s="147" t="s">
        <v>470</v>
      </c>
      <c r="B26" s="1755" t="s">
        <v>239</v>
      </c>
      <c r="C26" s="495" t="s">
        <v>50</v>
      </c>
      <c r="D26" s="2288">
        <f>SUM(D23:D25)</f>
        <v>1577830</v>
      </c>
      <c r="E26" s="2288">
        <f t="shared" ref="E26:L26" si="157">SUM(E23:E25)</f>
        <v>134820</v>
      </c>
      <c r="F26" s="2409">
        <f t="shared" si="157"/>
        <v>119301.71960000001</v>
      </c>
      <c r="G26" s="2288">
        <f t="shared" ref="G26:H26" si="158">SUM(G23:G25)</f>
        <v>139100</v>
      </c>
      <c r="H26" s="2409">
        <f t="shared" si="158"/>
        <v>135831.11110000001</v>
      </c>
      <c r="I26" s="40">
        <f t="shared" si="157"/>
        <v>273920</v>
      </c>
      <c r="J26" s="41">
        <f t="shared" si="157"/>
        <v>255132.83070000002</v>
      </c>
      <c r="K26" s="2288">
        <f t="shared" si="157"/>
        <v>134820</v>
      </c>
      <c r="L26" s="2409">
        <f t="shared" si="157"/>
        <v>140035.32319999998</v>
      </c>
      <c r="M26" s="354">
        <f t="shared" ref="M26:R26" si="159">SUM(M23:M25)</f>
        <v>408740</v>
      </c>
      <c r="N26" s="67">
        <f t="shared" si="159"/>
        <v>395168.15390000003</v>
      </c>
      <c r="O26" s="2288">
        <f t="shared" si="159"/>
        <v>136425</v>
      </c>
      <c r="P26" s="2409">
        <f t="shared" si="159"/>
        <v>146436.72670000003</v>
      </c>
      <c r="Q26" s="40">
        <f t="shared" si="159"/>
        <v>545165</v>
      </c>
      <c r="R26" s="41">
        <f t="shared" si="159"/>
        <v>541604.88060000003</v>
      </c>
      <c r="S26" s="2288">
        <f t="shared" ref="S26:T26" si="160">SUM(S23:S25)</f>
        <v>136425</v>
      </c>
      <c r="T26" s="2409">
        <f t="shared" si="160"/>
        <v>138039.12082999997</v>
      </c>
      <c r="U26" s="40">
        <f t="shared" ref="U26:X26" si="161">SUM(U23:U25)</f>
        <v>681590</v>
      </c>
      <c r="V26" s="41">
        <f t="shared" si="161"/>
        <v>679644.00143000006</v>
      </c>
      <c r="W26" s="2288">
        <f t="shared" si="161"/>
        <v>74480</v>
      </c>
      <c r="X26" s="2409">
        <f t="shared" si="161"/>
        <v>135194.24429999999</v>
      </c>
      <c r="Y26" s="354">
        <f t="shared" ref="Y26:Z26" si="162">SUM(Y23:Y25)</f>
        <v>347330</v>
      </c>
      <c r="Z26" s="67">
        <f t="shared" si="162"/>
        <v>419670.09182999999</v>
      </c>
      <c r="AA26" s="463">
        <f t="shared" ref="AA26:AF26" si="163">SUM(AA23:AA25)</f>
        <v>756070</v>
      </c>
      <c r="AB26" s="460">
        <f t="shared" si="163"/>
        <v>814838.24573000008</v>
      </c>
      <c r="AC26" s="2288">
        <f t="shared" si="163"/>
        <v>136850</v>
      </c>
      <c r="AD26" s="2409">
        <f t="shared" si="163"/>
        <v>129980.32246000001</v>
      </c>
      <c r="AE26" s="40">
        <f t="shared" si="163"/>
        <v>892920</v>
      </c>
      <c r="AF26" s="41">
        <f t="shared" si="163"/>
        <v>944818.56819000002</v>
      </c>
      <c r="AG26" s="2288">
        <f t="shared" ref="AG26:AJ26" si="164">SUM(AG23:AG25)</f>
        <v>130752.6</v>
      </c>
      <c r="AH26" s="2409">
        <f t="shared" si="164"/>
        <v>5266.2020000000002</v>
      </c>
      <c r="AI26" s="40">
        <f t="shared" si="164"/>
        <v>1023672.6</v>
      </c>
      <c r="AJ26" s="41">
        <f t="shared" si="164"/>
        <v>950084.77019000007</v>
      </c>
      <c r="AK26" s="2288">
        <f t="shared" ref="AK26:AL26" si="165">SUM(AK23:AK25)</f>
        <v>135075</v>
      </c>
      <c r="AL26" s="2409">
        <f t="shared" si="165"/>
        <v>138551.96299999999</v>
      </c>
      <c r="AM26" s="354">
        <f t="shared" ref="AM26:AT26" si="166">SUM(AM23:AM25)</f>
        <v>402677.6</v>
      </c>
      <c r="AN26" s="67">
        <f t="shared" si="166"/>
        <v>273798.48745999997</v>
      </c>
      <c r="AO26" s="40">
        <f t="shared" si="166"/>
        <v>1158747.6000000001</v>
      </c>
      <c r="AP26" s="41">
        <f t="shared" si="166"/>
        <v>1088636.7331900001</v>
      </c>
      <c r="AQ26" s="2288">
        <f t="shared" si="166"/>
        <v>135075</v>
      </c>
      <c r="AR26" s="2409">
        <f t="shared" si="166"/>
        <v>139315.13549999997</v>
      </c>
      <c r="AS26" s="40">
        <f t="shared" si="166"/>
        <v>1293822.6000000001</v>
      </c>
      <c r="AT26" s="41">
        <f t="shared" si="166"/>
        <v>1227951.8686899999</v>
      </c>
      <c r="AU26" s="2288">
        <f t="shared" ref="AU26:AX26" si="167">SUM(AU23:AU25)</f>
        <v>121567.5</v>
      </c>
      <c r="AV26" s="2409">
        <f t="shared" si="167"/>
        <v>126460.2248</v>
      </c>
      <c r="AW26" s="40">
        <f t="shared" si="167"/>
        <v>1415390.1</v>
      </c>
      <c r="AX26" s="41">
        <f t="shared" si="167"/>
        <v>1354412.0934899999</v>
      </c>
      <c r="AY26" s="2288">
        <f t="shared" ref="AY26:AZ26" si="168">SUM(AY23:AY25)</f>
        <v>135075</v>
      </c>
      <c r="AZ26" s="2409">
        <f t="shared" si="168"/>
        <v>138765.394</v>
      </c>
      <c r="BA26" s="354">
        <f t="shared" ref="BA26:BD26" si="169">SUM(BA23:BA25)</f>
        <v>391717.5</v>
      </c>
      <c r="BB26" s="67">
        <f t="shared" si="169"/>
        <v>404540.75429999997</v>
      </c>
      <c r="BC26" s="463">
        <f t="shared" si="169"/>
        <v>794395.1</v>
      </c>
      <c r="BD26" s="460">
        <f t="shared" si="169"/>
        <v>678339.24175999989</v>
      </c>
      <c r="BE26" s="40">
        <f t="shared" ref="BE26:BF26" si="170">SUM(BE23:BE25)</f>
        <v>1550465.1</v>
      </c>
      <c r="BF26" s="41">
        <f t="shared" si="170"/>
        <v>1493177.4874900002</v>
      </c>
      <c r="BH26" s="26"/>
      <c r="BI26" s="26"/>
      <c r="BJ26" s="26"/>
      <c r="BK26" s="26"/>
    </row>
    <row r="27" spans="1:63" ht="14.45" x14ac:dyDescent="0.3">
      <c r="A27" s="147" t="s">
        <v>470</v>
      </c>
      <c r="B27" s="1760" t="s">
        <v>19</v>
      </c>
      <c r="C27" s="60" t="s">
        <v>50</v>
      </c>
      <c r="D27" s="1202">
        <f t="shared" ref="D27:E30" si="171">+D$6*D43/1000</f>
        <v>3380758.2895959732</v>
      </c>
      <c r="E27" s="1202">
        <f t="shared" si="171"/>
        <v>288796.97931463906</v>
      </c>
      <c r="F27" s="1306">
        <v>252189.2</v>
      </c>
      <c r="G27" s="1202">
        <f t="shared" ref="G27" si="172">+G$6*G43/1000</f>
        <v>297965.13738811965</v>
      </c>
      <c r="H27" s="1306">
        <v>288586</v>
      </c>
      <c r="I27" s="718">
        <f>+E27+G27</f>
        <v>586762.11670275871</v>
      </c>
      <c r="J27" s="62">
        <f t="shared" si="2"/>
        <v>540775.19999999995</v>
      </c>
      <c r="K27" s="1202">
        <f t="shared" ref="K27:K30" si="173">+K$6*K43/1000</f>
        <v>288796.97931463906</v>
      </c>
      <c r="L27" s="1306">
        <v>305588</v>
      </c>
      <c r="M27" s="68">
        <f t="shared" ref="M27:M31" si="174">+K27+G27+E27</f>
        <v>875559.09601739771</v>
      </c>
      <c r="N27" s="68">
        <f t="shared" ref="N27:N31" si="175">+L27+H27+F27</f>
        <v>846363.2</v>
      </c>
      <c r="O27" s="1202">
        <f t="shared" ref="O27:O30" si="176">+O$6*O43/1000</f>
        <v>292235.03859219427</v>
      </c>
      <c r="P27" s="1306">
        <v>314445.58999999997</v>
      </c>
      <c r="Q27" s="712">
        <f t="shared" ref="Q27:R29" si="177">+M27+O27</f>
        <v>1167794.1346095919</v>
      </c>
      <c r="R27" s="43">
        <f t="shared" si="177"/>
        <v>1160808.79</v>
      </c>
      <c r="S27" s="1202">
        <f t="shared" ref="S27:S30" si="178">+S$6*S43/1000</f>
        <v>292235.03859219427</v>
      </c>
      <c r="T27" s="1306">
        <v>298752</v>
      </c>
      <c r="U27" s="712">
        <f t="shared" ref="U27:U30" si="179">+Q27+S27</f>
        <v>1460029.1732017861</v>
      </c>
      <c r="V27" s="43">
        <f t="shared" ref="V27:V30" si="180">+R27+T27</f>
        <v>1459560.79</v>
      </c>
      <c r="W27" s="1202">
        <f t="shared" ref="W27:W30" si="181">+W$6*W43/1000</f>
        <v>160442.76628591056</v>
      </c>
      <c r="X27" s="1306">
        <v>288743.09999999998</v>
      </c>
      <c r="Y27" s="68">
        <f t="shared" ref="Y27:Y29" si="182">+W27+S27+O27</f>
        <v>744912.84347029915</v>
      </c>
      <c r="Z27" s="69">
        <f t="shared" ref="Z27:Z29" si="183">+X27+T27+P27</f>
        <v>901940.69</v>
      </c>
      <c r="AA27" s="796">
        <f t="shared" ref="AA27:AA31" si="184">M27+Y27</f>
        <v>1620471.9394876969</v>
      </c>
      <c r="AB27" s="477">
        <f t="shared" ref="AB27:AB31" si="185">+N27+Z27</f>
        <v>1748303.89</v>
      </c>
      <c r="AC27" s="1202">
        <f t="shared" ref="AC27:AC30" si="186">+AC$6*AC43/1000</f>
        <v>286504.93979626888</v>
      </c>
      <c r="AD27" s="1306">
        <v>292845.7</v>
      </c>
      <c r="AE27" s="712">
        <f t="shared" ref="AE27:AE30" si="187">+AA27+AC27</f>
        <v>1906976.8792839658</v>
      </c>
      <c r="AF27" s="43">
        <f t="shared" ref="AF27:AF30" si="188">+AB27+AD27</f>
        <v>2041149.5899999999</v>
      </c>
      <c r="AG27" s="1202">
        <f t="shared" ref="AG27:AG30" si="189">+AG$6*AG43/1000</f>
        <v>277336.78172278829</v>
      </c>
      <c r="AH27" s="1306">
        <v>8034</v>
      </c>
      <c r="AI27" s="712">
        <f t="shared" ref="AI27:AI30" si="190">+AE27+AG27</f>
        <v>2184313.6610067543</v>
      </c>
      <c r="AJ27" s="43">
        <f t="shared" ref="AJ27:AJ30" si="191">+AF27+AH27</f>
        <v>2049183.5899999999</v>
      </c>
      <c r="AK27" s="1202">
        <f t="shared" ref="AK27:AK30" si="192">+AK$6*AK43/1000</f>
        <v>286504.93979626888</v>
      </c>
      <c r="AL27" s="1306">
        <v>290514</v>
      </c>
      <c r="AM27" s="68">
        <f t="shared" ref="AM27:AM31" si="193">+AK27+AG27+AC27</f>
        <v>850346.66131532611</v>
      </c>
      <c r="AN27" s="69">
        <f t="shared" ref="AN27:AN31" si="194">+AL27+AH27+AD27</f>
        <v>591393.69999999995</v>
      </c>
      <c r="AO27" s="782">
        <f t="shared" si="152"/>
        <v>2470818.6008030232</v>
      </c>
      <c r="AP27" s="782">
        <f t="shared" si="152"/>
        <v>2339697.59</v>
      </c>
      <c r="AQ27" s="1202">
        <f t="shared" ref="AQ27:AQ30" si="195">+AQ$6*AQ43/1000</f>
        <v>286504.93979626888</v>
      </c>
      <c r="AR27" s="1306">
        <v>290281.8</v>
      </c>
      <c r="AS27" s="712">
        <f t="shared" ref="AS27:AS30" si="196">+AO27+AQ27</f>
        <v>2757323.5405992921</v>
      </c>
      <c r="AT27" s="43">
        <f t="shared" ref="AT27:AT30" si="197">+AP27+AR27</f>
        <v>2629979.3899999997</v>
      </c>
      <c r="AU27" s="1202">
        <f t="shared" ref="AU27:AU30" si="198">+AU$6*AU43/1000</f>
        <v>257854.44581664202</v>
      </c>
      <c r="AV27" s="1306">
        <v>273999.96000000002</v>
      </c>
      <c r="AW27" s="712">
        <f t="shared" ref="AW27:AW30" si="199">+AS27+AU27</f>
        <v>3015177.9864159343</v>
      </c>
      <c r="AX27" s="43">
        <f t="shared" ref="AX27:AX30" si="200">+AT27+AV27</f>
        <v>2903979.3499999996</v>
      </c>
      <c r="AY27" s="1202">
        <f t="shared" ref="AY27:AY30" si="201">+AY$6*AY43/1000</f>
        <v>286504.93979626888</v>
      </c>
      <c r="AZ27" s="1306">
        <v>317225.2</v>
      </c>
      <c r="BA27" s="68">
        <f t="shared" ref="BA27:BA31" si="202">+AY27+AU27+AQ27</f>
        <v>830864.32540917979</v>
      </c>
      <c r="BB27" s="69">
        <f t="shared" ref="BB27:BB31" si="203">+AZ27+AV27+AR27</f>
        <v>881506.96</v>
      </c>
      <c r="BC27" s="469">
        <f t="shared" ref="BC27:BC31" si="204">AM27+BA27</f>
        <v>1681210.9867245059</v>
      </c>
      <c r="BD27" s="477">
        <f t="shared" ref="BD27:BD31" si="205">+AN27+BB27</f>
        <v>1472900.66</v>
      </c>
      <c r="BE27" s="712">
        <f t="shared" ref="BE27:BE30" si="206">+AW27+AY27</f>
        <v>3301682.9262122032</v>
      </c>
      <c r="BF27" s="43">
        <f t="shared" ref="BF27:BF30" si="207">+AX27+AZ27</f>
        <v>3221204.55</v>
      </c>
      <c r="BH27" s="26"/>
      <c r="BI27" s="26"/>
      <c r="BJ27" s="26"/>
      <c r="BK27" s="26"/>
    </row>
    <row r="28" spans="1:63" ht="14.45" x14ac:dyDescent="0.3">
      <c r="A28" s="147" t="s">
        <v>470</v>
      </c>
      <c r="B28" s="1750" t="s">
        <v>240</v>
      </c>
      <c r="C28" s="2942" t="s">
        <v>50</v>
      </c>
      <c r="D28" s="2647">
        <f t="shared" si="171"/>
        <v>627855.11092496617</v>
      </c>
      <c r="E28" s="2647">
        <f t="shared" si="171"/>
        <v>53633.724729861518</v>
      </c>
      <c r="F28" s="2716">
        <v>53203</v>
      </c>
      <c r="G28" s="2647">
        <f t="shared" ref="G28" si="208">+G$6*G44/1000</f>
        <v>55336.382657793634</v>
      </c>
      <c r="H28" s="2716">
        <v>64050.099999999984</v>
      </c>
      <c r="I28" s="718">
        <f>+E28+G28</f>
        <v>108970.10738765515</v>
      </c>
      <c r="J28" s="62">
        <f t="shared" si="2"/>
        <v>117253.09999999998</v>
      </c>
      <c r="K28" s="2647">
        <f t="shared" si="173"/>
        <v>53633.724729861518</v>
      </c>
      <c r="L28" s="2716">
        <v>61233.299999999996</v>
      </c>
      <c r="M28" s="68">
        <f t="shared" si="174"/>
        <v>162603.83211751666</v>
      </c>
      <c r="N28" s="68">
        <f t="shared" si="175"/>
        <v>178486.39999999997</v>
      </c>
      <c r="O28" s="2647">
        <f t="shared" si="176"/>
        <v>54272.221452836056</v>
      </c>
      <c r="P28" s="2716">
        <v>72273.349999999977</v>
      </c>
      <c r="Q28" s="718">
        <f t="shared" si="177"/>
        <v>216876.05357035273</v>
      </c>
      <c r="R28" s="62">
        <f t="shared" si="177"/>
        <v>250759.74999999994</v>
      </c>
      <c r="S28" s="2647">
        <f t="shared" si="178"/>
        <v>54272.221452836056</v>
      </c>
      <c r="T28" s="2716">
        <v>48679.399999999994</v>
      </c>
      <c r="U28" s="718">
        <f t="shared" si="179"/>
        <v>271148.27502318879</v>
      </c>
      <c r="V28" s="62">
        <f t="shared" si="180"/>
        <v>299439.14999999991</v>
      </c>
      <c r="W28" s="2647">
        <f t="shared" si="181"/>
        <v>29796.513738811955</v>
      </c>
      <c r="X28" s="2716">
        <v>43924.800000000003</v>
      </c>
      <c r="Y28" s="68">
        <f t="shared" si="182"/>
        <v>138340.95664448407</v>
      </c>
      <c r="Z28" s="69">
        <f t="shared" si="183"/>
        <v>164877.54999999999</v>
      </c>
      <c r="AA28" s="796">
        <f t="shared" si="184"/>
        <v>300944.78876200074</v>
      </c>
      <c r="AB28" s="477">
        <f t="shared" si="185"/>
        <v>343363.94999999995</v>
      </c>
      <c r="AC28" s="2647">
        <f t="shared" si="186"/>
        <v>53208.060247878493</v>
      </c>
      <c r="AD28" s="2716">
        <v>39578.370449999995</v>
      </c>
      <c r="AE28" s="718">
        <f t="shared" si="187"/>
        <v>354152.84900987922</v>
      </c>
      <c r="AF28" s="62">
        <f t="shared" si="188"/>
        <v>382942.32044999994</v>
      </c>
      <c r="AG28" s="2647">
        <f t="shared" si="189"/>
        <v>51505.402319946377</v>
      </c>
      <c r="AH28" s="2716">
        <v>459.3544</v>
      </c>
      <c r="AI28" s="718">
        <f t="shared" si="190"/>
        <v>405658.25132982561</v>
      </c>
      <c r="AJ28" s="62">
        <f t="shared" si="191"/>
        <v>383401.67484999995</v>
      </c>
      <c r="AK28" s="2647">
        <f t="shared" si="192"/>
        <v>53208.060247878493</v>
      </c>
      <c r="AL28" s="2716">
        <v>50191.451000000001</v>
      </c>
      <c r="AM28" s="68">
        <f t="shared" si="193"/>
        <v>157921.52281570336</v>
      </c>
      <c r="AN28" s="69">
        <f t="shared" si="194"/>
        <v>90229.17585</v>
      </c>
      <c r="AO28" s="782">
        <f t="shared" ref="AO28:AP33" si="209">+AK28+AI28</f>
        <v>458866.31157770409</v>
      </c>
      <c r="AP28" s="782">
        <f t="shared" ref="AP28:AP31" si="210">+AL28+AJ28</f>
        <v>433593.12584999995</v>
      </c>
      <c r="AQ28" s="2647">
        <f t="shared" si="195"/>
        <v>53208.060247878493</v>
      </c>
      <c r="AR28" s="2716">
        <v>66494.785999999993</v>
      </c>
      <c r="AS28" s="718">
        <f t="shared" si="196"/>
        <v>512074.37182558258</v>
      </c>
      <c r="AT28" s="62">
        <f t="shared" si="197"/>
        <v>500087.91184999992</v>
      </c>
      <c r="AU28" s="2647">
        <f t="shared" si="198"/>
        <v>47887.25422309064</v>
      </c>
      <c r="AV28" s="2716">
        <v>66187.100000000006</v>
      </c>
      <c r="AW28" s="718">
        <f t="shared" si="199"/>
        <v>559961.62604867318</v>
      </c>
      <c r="AX28" s="62">
        <f t="shared" si="200"/>
        <v>566275.01184999989</v>
      </c>
      <c r="AY28" s="2647">
        <f t="shared" si="201"/>
        <v>53208.060247878493</v>
      </c>
      <c r="AZ28" s="2716">
        <v>86211.3</v>
      </c>
      <c r="BA28" s="68">
        <f t="shared" si="202"/>
        <v>154303.37471884763</v>
      </c>
      <c r="BB28" s="69">
        <f t="shared" si="203"/>
        <v>218893.18600000002</v>
      </c>
      <c r="BC28" s="469">
        <f t="shared" si="204"/>
        <v>312224.89753455098</v>
      </c>
      <c r="BD28" s="477">
        <f t="shared" si="205"/>
        <v>309122.36184999999</v>
      </c>
      <c r="BE28" s="718">
        <f t="shared" si="206"/>
        <v>613169.68629655172</v>
      </c>
      <c r="BF28" s="62">
        <f t="shared" si="207"/>
        <v>652486.31184999994</v>
      </c>
      <c r="BH28" s="26"/>
      <c r="BI28" s="26"/>
      <c r="BJ28" s="26"/>
      <c r="BK28" s="26"/>
    </row>
    <row r="29" spans="1:63" ht="14.45" x14ac:dyDescent="0.3">
      <c r="A29" s="147" t="s">
        <v>470</v>
      </c>
      <c r="B29" s="1750" t="s">
        <v>241</v>
      </c>
      <c r="C29" s="2942" t="s">
        <v>50</v>
      </c>
      <c r="D29" s="2647">
        <f t="shared" si="171"/>
        <v>1003.0000000000001</v>
      </c>
      <c r="E29" s="2647">
        <f t="shared" si="171"/>
        <v>85.68</v>
      </c>
      <c r="F29" s="2716">
        <v>0</v>
      </c>
      <c r="G29" s="2647">
        <f t="shared" ref="G29" si="211">+G$6*G45/1000</f>
        <v>88.4</v>
      </c>
      <c r="H29" s="2716">
        <v>0</v>
      </c>
      <c r="I29" s="718">
        <f>+E29+G29</f>
        <v>174.08</v>
      </c>
      <c r="J29" s="62">
        <f t="shared" si="2"/>
        <v>0</v>
      </c>
      <c r="K29" s="2647">
        <f t="shared" si="173"/>
        <v>85.68</v>
      </c>
      <c r="L29" s="2716">
        <v>0</v>
      </c>
      <c r="M29" s="68">
        <f t="shared" si="174"/>
        <v>259.76</v>
      </c>
      <c r="N29" s="68">
        <f t="shared" si="175"/>
        <v>0</v>
      </c>
      <c r="O29" s="2647">
        <f t="shared" si="176"/>
        <v>86.7</v>
      </c>
      <c r="P29" s="2716">
        <v>0</v>
      </c>
      <c r="Q29" s="718">
        <f t="shared" si="177"/>
        <v>346.46</v>
      </c>
      <c r="R29" s="62">
        <f t="shared" si="177"/>
        <v>0</v>
      </c>
      <c r="S29" s="2647">
        <f t="shared" si="178"/>
        <v>86.7</v>
      </c>
      <c r="T29" s="2716">
        <v>0</v>
      </c>
      <c r="U29" s="718">
        <f t="shared" si="179"/>
        <v>433.15999999999997</v>
      </c>
      <c r="V29" s="62">
        <f t="shared" si="180"/>
        <v>0</v>
      </c>
      <c r="W29" s="2647">
        <f t="shared" si="181"/>
        <v>47.6</v>
      </c>
      <c r="X29" s="2716"/>
      <c r="Y29" s="68">
        <f t="shared" si="182"/>
        <v>221</v>
      </c>
      <c r="Z29" s="69">
        <f t="shared" si="183"/>
        <v>0</v>
      </c>
      <c r="AA29" s="796">
        <f t="shared" si="184"/>
        <v>480.76</v>
      </c>
      <c r="AB29" s="477">
        <f t="shared" si="185"/>
        <v>0</v>
      </c>
      <c r="AC29" s="2647">
        <f t="shared" si="186"/>
        <v>85</v>
      </c>
      <c r="AD29" s="2716">
        <v>0</v>
      </c>
      <c r="AE29" s="718">
        <f t="shared" si="187"/>
        <v>565.76</v>
      </c>
      <c r="AF29" s="62">
        <f t="shared" si="188"/>
        <v>0</v>
      </c>
      <c r="AG29" s="2647">
        <f t="shared" si="189"/>
        <v>82.28</v>
      </c>
      <c r="AH29" s="2716">
        <v>78.72</v>
      </c>
      <c r="AI29" s="718">
        <f t="shared" si="190"/>
        <v>648.04</v>
      </c>
      <c r="AJ29" s="62">
        <f t="shared" si="191"/>
        <v>78.72</v>
      </c>
      <c r="AK29" s="2647">
        <f t="shared" si="192"/>
        <v>85</v>
      </c>
      <c r="AL29" s="2716">
        <v>52.991999999999997</v>
      </c>
      <c r="AM29" s="68">
        <f t="shared" si="193"/>
        <v>252.28</v>
      </c>
      <c r="AN29" s="69">
        <f t="shared" si="194"/>
        <v>131.71199999999999</v>
      </c>
      <c r="AO29" s="782">
        <f t="shared" si="209"/>
        <v>733.04</v>
      </c>
      <c r="AP29" s="782">
        <f t="shared" si="210"/>
        <v>131.71199999999999</v>
      </c>
      <c r="AQ29" s="2647">
        <f t="shared" si="195"/>
        <v>85</v>
      </c>
      <c r="AR29" s="2716">
        <v>0</v>
      </c>
      <c r="AS29" s="718">
        <f t="shared" si="196"/>
        <v>818.04</v>
      </c>
      <c r="AT29" s="62">
        <f t="shared" si="197"/>
        <v>131.71199999999999</v>
      </c>
      <c r="AU29" s="2647">
        <f t="shared" si="198"/>
        <v>76.5</v>
      </c>
      <c r="AV29" s="2716">
        <v>0</v>
      </c>
      <c r="AW29" s="718">
        <f t="shared" si="199"/>
        <v>894.54</v>
      </c>
      <c r="AX29" s="62">
        <f t="shared" si="200"/>
        <v>131.71199999999999</v>
      </c>
      <c r="AY29" s="2647">
        <f t="shared" si="201"/>
        <v>85</v>
      </c>
      <c r="AZ29" s="2716">
        <v>0</v>
      </c>
      <c r="BA29" s="68">
        <f t="shared" si="202"/>
        <v>246.5</v>
      </c>
      <c r="BB29" s="69">
        <f t="shared" si="203"/>
        <v>0</v>
      </c>
      <c r="BC29" s="469">
        <f t="shared" si="204"/>
        <v>498.78</v>
      </c>
      <c r="BD29" s="477">
        <f t="shared" si="205"/>
        <v>131.71199999999999</v>
      </c>
      <c r="BE29" s="718">
        <f t="shared" si="206"/>
        <v>979.54</v>
      </c>
      <c r="BF29" s="62">
        <f t="shared" si="207"/>
        <v>131.71199999999999</v>
      </c>
      <c r="BH29" s="26"/>
      <c r="BI29" s="26"/>
      <c r="BJ29" s="26"/>
      <c r="BK29" s="26"/>
    </row>
    <row r="30" spans="1:63" ht="14.45" x14ac:dyDescent="0.3">
      <c r="A30" s="147"/>
      <c r="B30" s="1753" t="s">
        <v>1303</v>
      </c>
      <c r="C30" s="2942" t="s">
        <v>50</v>
      </c>
      <c r="D30" s="2647">
        <f t="shared" si="171"/>
        <v>821041.298901879</v>
      </c>
      <c r="E30" s="2647">
        <f t="shared" si="171"/>
        <v>70136.409262126603</v>
      </c>
      <c r="F30" s="2716">
        <v>66962.899999999994</v>
      </c>
      <c r="G30" s="2647">
        <f t="shared" ref="G30" si="212">+G$6*G46/1000</f>
        <v>72362.961937114756</v>
      </c>
      <c r="H30" s="2716">
        <v>68866.599999999991</v>
      </c>
      <c r="I30" s="718">
        <f>+E30+G30</f>
        <v>142499.37119924137</v>
      </c>
      <c r="J30" s="62">
        <f t="shared" si="2"/>
        <v>135829.5</v>
      </c>
      <c r="K30" s="2647">
        <f t="shared" si="173"/>
        <v>70136.409262126603</v>
      </c>
      <c r="L30" s="2716">
        <v>63295.700000000004</v>
      </c>
      <c r="M30" s="68">
        <f t="shared" si="174"/>
        <v>212635.78046136798</v>
      </c>
      <c r="N30" s="68">
        <f t="shared" si="175"/>
        <v>199125.19999999998</v>
      </c>
      <c r="O30" s="2647">
        <f t="shared" si="176"/>
        <v>70971.366515247166</v>
      </c>
      <c r="P30" s="2716">
        <v>53775.86</v>
      </c>
      <c r="Q30" s="718">
        <f t="shared" ref="Q30" si="213">+M30+O30</f>
        <v>283607.14697661513</v>
      </c>
      <c r="R30" s="62">
        <f t="shared" ref="R30" si="214">+N30+P30</f>
        <v>252901.06</v>
      </c>
      <c r="S30" s="2647">
        <f t="shared" si="178"/>
        <v>70971.366515247166</v>
      </c>
      <c r="T30" s="2716">
        <v>68209.36</v>
      </c>
      <c r="U30" s="718">
        <f t="shared" si="179"/>
        <v>354578.51349186228</v>
      </c>
      <c r="V30" s="62">
        <f t="shared" si="180"/>
        <v>321110.42</v>
      </c>
      <c r="W30" s="2647">
        <f t="shared" si="181"/>
        <v>38964.671812292559</v>
      </c>
      <c r="X30" s="2716">
        <v>66910.7</v>
      </c>
      <c r="Y30" s="68">
        <f t="shared" ref="Y30:Y31" si="215">+W30+S30+O30</f>
        <v>180907.4048427869</v>
      </c>
      <c r="Z30" s="69">
        <f t="shared" ref="Z30:Z31" si="216">+X30+T30+P30</f>
        <v>188895.91999999998</v>
      </c>
      <c r="AA30" s="796">
        <f t="shared" si="184"/>
        <v>393543.18530415487</v>
      </c>
      <c r="AB30" s="477">
        <f t="shared" si="185"/>
        <v>388021.12</v>
      </c>
      <c r="AC30" s="2647">
        <f t="shared" si="186"/>
        <v>69579.771093379575</v>
      </c>
      <c r="AD30" s="2716">
        <v>55674.839500000002</v>
      </c>
      <c r="AE30" s="718">
        <f t="shared" si="187"/>
        <v>463122.95639753446</v>
      </c>
      <c r="AF30" s="62">
        <f t="shared" si="188"/>
        <v>443695.9595</v>
      </c>
      <c r="AG30" s="2647">
        <f t="shared" si="189"/>
        <v>67353.218418391436</v>
      </c>
      <c r="AH30" s="2716">
        <v>3807.38</v>
      </c>
      <c r="AI30" s="718">
        <f t="shared" si="190"/>
        <v>530476.17481592589</v>
      </c>
      <c r="AJ30" s="62">
        <f t="shared" si="191"/>
        <v>447503.3395</v>
      </c>
      <c r="AK30" s="2647">
        <f t="shared" si="192"/>
        <v>69579.771093379575</v>
      </c>
      <c r="AL30" s="2716">
        <v>84637.486999999994</v>
      </c>
      <c r="AM30" s="68">
        <f t="shared" si="193"/>
        <v>206512.7606051506</v>
      </c>
      <c r="AN30" s="69">
        <f t="shared" si="194"/>
        <v>144119.7065</v>
      </c>
      <c r="AO30" s="782">
        <f t="shared" si="209"/>
        <v>600055.94590930548</v>
      </c>
      <c r="AP30" s="782">
        <f t="shared" si="210"/>
        <v>532140.82649999997</v>
      </c>
      <c r="AQ30" s="2647">
        <f t="shared" si="195"/>
        <v>69579.771093379575</v>
      </c>
      <c r="AR30" s="2716">
        <v>71609.3</v>
      </c>
      <c r="AS30" s="718">
        <f t="shared" si="196"/>
        <v>669635.71700268507</v>
      </c>
      <c r="AT30" s="62">
        <f t="shared" si="197"/>
        <v>603750.12650000001</v>
      </c>
      <c r="AU30" s="2647">
        <f t="shared" si="198"/>
        <v>62621.793984041615</v>
      </c>
      <c r="AV30" s="2716">
        <v>52850.1</v>
      </c>
      <c r="AW30" s="718">
        <f t="shared" si="199"/>
        <v>732257.51098672673</v>
      </c>
      <c r="AX30" s="62">
        <f t="shared" si="200"/>
        <v>656600.22649999999</v>
      </c>
      <c r="AY30" s="2647">
        <f t="shared" si="201"/>
        <v>69579.771093379575</v>
      </c>
      <c r="AZ30" s="2716">
        <v>37606.199999999997</v>
      </c>
      <c r="BA30" s="68">
        <f t="shared" si="202"/>
        <v>201781.33617080079</v>
      </c>
      <c r="BB30" s="69">
        <f t="shared" si="203"/>
        <v>162065.59999999998</v>
      </c>
      <c r="BC30" s="469">
        <f t="shared" si="204"/>
        <v>408294.09677595139</v>
      </c>
      <c r="BD30" s="477">
        <f t="shared" si="205"/>
        <v>306185.30649999995</v>
      </c>
      <c r="BE30" s="718">
        <f t="shared" si="206"/>
        <v>801837.28208010632</v>
      </c>
      <c r="BF30" s="62">
        <f t="shared" si="207"/>
        <v>694206.42649999994</v>
      </c>
      <c r="BH30" s="26"/>
      <c r="BI30" s="26"/>
      <c r="BJ30" s="26"/>
      <c r="BK30" s="26"/>
    </row>
    <row r="31" spans="1:63" thickBot="1" x14ac:dyDescent="0.35">
      <c r="A31" s="147" t="s">
        <v>470</v>
      </c>
      <c r="B31" s="2118" t="s">
        <v>6</v>
      </c>
      <c r="C31" s="749" t="s">
        <v>50</v>
      </c>
      <c r="D31" s="109">
        <f>+D$6*D47/1000</f>
        <v>9280</v>
      </c>
      <c r="E31" s="109">
        <f>+E$6*E47/1000</f>
        <v>792.73220338983049</v>
      </c>
      <c r="F31" s="234">
        <v>329.9</v>
      </c>
      <c r="G31" s="109">
        <f>+G$6*G47/1000</f>
        <v>817.89830508474574</v>
      </c>
      <c r="H31" s="234">
        <v>822.79999999999984</v>
      </c>
      <c r="I31" s="2252">
        <f>+E31+G31</f>
        <v>1610.6305084745763</v>
      </c>
      <c r="J31" s="197">
        <f t="shared" si="2"/>
        <v>1152.6999999999998</v>
      </c>
      <c r="K31" s="109">
        <f>+K$6*K47/1000</f>
        <v>792.73220338983049</v>
      </c>
      <c r="L31" s="234">
        <v>1133.6999999999998</v>
      </c>
      <c r="M31" s="2119">
        <f t="shared" si="174"/>
        <v>2403.3627118644067</v>
      </c>
      <c r="N31" s="2119">
        <f t="shared" si="175"/>
        <v>2286.3999999999996</v>
      </c>
      <c r="O31" s="109">
        <f>+O$6*O47/1000</f>
        <v>802.16949152542372</v>
      </c>
      <c r="P31" s="234">
        <v>512.09999999999991</v>
      </c>
      <c r="Q31" s="2252">
        <f>+M31+O31</f>
        <v>3205.5322033898306</v>
      </c>
      <c r="R31" s="197">
        <f>+N31+P31</f>
        <v>2798.4999999999995</v>
      </c>
      <c r="S31" s="109">
        <f>+S$6*S47/1000</f>
        <v>802.16949152542372</v>
      </c>
      <c r="T31" s="234">
        <v>1048.7999999999997</v>
      </c>
      <c r="U31" s="2252">
        <f>+Q31+S31</f>
        <v>4007.7016949152544</v>
      </c>
      <c r="V31" s="197">
        <f>+R31+T31</f>
        <v>3847.2999999999993</v>
      </c>
      <c r="W31" s="109">
        <f>+W$6*W47/1000</f>
        <v>440.40677966101697</v>
      </c>
      <c r="X31" s="234">
        <v>490</v>
      </c>
      <c r="Y31" s="2119">
        <f t="shared" si="215"/>
        <v>2044.7457627118642</v>
      </c>
      <c r="Z31" s="74">
        <f t="shared" si="216"/>
        <v>2050.8999999999996</v>
      </c>
      <c r="AA31" s="2253">
        <f t="shared" si="184"/>
        <v>4448.108474576271</v>
      </c>
      <c r="AB31" s="1670">
        <f t="shared" si="185"/>
        <v>4337.2999999999993</v>
      </c>
      <c r="AC31" s="109">
        <f>+AC$6*AC47/1000</f>
        <v>786.4406779661017</v>
      </c>
      <c r="AD31" s="234">
        <v>1722.432</v>
      </c>
      <c r="AE31" s="2252">
        <f>+AA31+AC31</f>
        <v>5234.5491525423731</v>
      </c>
      <c r="AF31" s="197">
        <f>+AB31+AD31</f>
        <v>6059.7319999999991</v>
      </c>
      <c r="AG31" s="109">
        <f>+AG$6*AG47/1000</f>
        <v>761.27457627118645</v>
      </c>
      <c r="AH31" s="234">
        <v>280.512</v>
      </c>
      <c r="AI31" s="2252">
        <f>+AE31+AG31</f>
        <v>5995.8237288135597</v>
      </c>
      <c r="AJ31" s="197">
        <f>+AF31+AH31</f>
        <v>6340.2439999999988</v>
      </c>
      <c r="AK31" s="109">
        <f>+AK$6*AK47/1000</f>
        <v>786.4406779661017</v>
      </c>
      <c r="AL31" s="234">
        <v>1645.7280000000001</v>
      </c>
      <c r="AM31" s="2119">
        <f t="shared" si="193"/>
        <v>2334.15593220339</v>
      </c>
      <c r="AN31" s="74">
        <f t="shared" si="194"/>
        <v>3648.672</v>
      </c>
      <c r="AO31" s="782">
        <f t="shared" si="209"/>
        <v>6782.2644067796609</v>
      </c>
      <c r="AP31" s="782">
        <f t="shared" si="210"/>
        <v>7985.9719999999988</v>
      </c>
      <c r="AQ31" s="109">
        <f>+AQ$6*AQ47/1000</f>
        <v>786.4406779661017</v>
      </c>
      <c r="AR31" s="234">
        <v>393.2</v>
      </c>
      <c r="AS31" s="2252">
        <f>+AO31+AQ31</f>
        <v>7568.7050847457631</v>
      </c>
      <c r="AT31" s="197">
        <f>+AP31+AR31</f>
        <v>8379.1719999999987</v>
      </c>
      <c r="AU31" s="109">
        <f>+AU$6*AU47/1000</f>
        <v>707.7966101694916</v>
      </c>
      <c r="AV31" s="234">
        <v>345.4</v>
      </c>
      <c r="AW31" s="2252">
        <f>+AS31+AU31</f>
        <v>8276.5016949152541</v>
      </c>
      <c r="AX31" s="197">
        <f>+AT31+AV31</f>
        <v>8724.5719999999983</v>
      </c>
      <c r="AY31" s="109">
        <f>+AY$6*AY47/1000</f>
        <v>786.4406779661017</v>
      </c>
      <c r="AZ31" s="234">
        <v>1046.5</v>
      </c>
      <c r="BA31" s="2119">
        <f t="shared" si="202"/>
        <v>2280.6779661016949</v>
      </c>
      <c r="BB31" s="74">
        <f t="shared" si="203"/>
        <v>1785.1000000000001</v>
      </c>
      <c r="BC31" s="469">
        <f t="shared" si="204"/>
        <v>4614.8338983050853</v>
      </c>
      <c r="BD31" s="477">
        <f t="shared" si="205"/>
        <v>5433.7719999999999</v>
      </c>
      <c r="BE31" s="2252">
        <f>+AW31+AY31</f>
        <v>9062.9423728813563</v>
      </c>
      <c r="BF31" s="197">
        <f>+AX31+AZ31</f>
        <v>9771.0719999999983</v>
      </c>
      <c r="BH31" s="26"/>
      <c r="BI31" s="26"/>
      <c r="BJ31" s="26"/>
      <c r="BK31" s="26"/>
    </row>
    <row r="32" spans="1:63" ht="15.6" x14ac:dyDescent="0.3">
      <c r="A32" s="148" t="s">
        <v>470</v>
      </c>
      <c r="B32" s="1749" t="s">
        <v>443</v>
      </c>
      <c r="C32" s="2116"/>
      <c r="D32" s="2117"/>
      <c r="E32" s="2117"/>
      <c r="F32" s="2117"/>
      <c r="G32" s="2117"/>
      <c r="H32" s="2117"/>
      <c r="I32" s="2116"/>
      <c r="J32" s="2116"/>
      <c r="K32" s="2117"/>
      <c r="L32" s="2117"/>
      <c r="M32" s="2116"/>
      <c r="N32" s="2116"/>
      <c r="O32" s="2117"/>
      <c r="P32" s="2117"/>
      <c r="Q32" s="2116"/>
      <c r="R32" s="2116"/>
      <c r="S32" s="2117"/>
      <c r="T32" s="2117"/>
      <c r="U32" s="2116"/>
      <c r="V32" s="2116"/>
      <c r="W32" s="2117"/>
      <c r="X32" s="2117"/>
      <c r="Y32" s="2116"/>
      <c r="Z32" s="2116"/>
      <c r="AA32" s="2116"/>
      <c r="AB32" s="2116"/>
      <c r="AC32" s="2117"/>
      <c r="AD32" s="2117"/>
      <c r="AE32" s="2116"/>
      <c r="AF32" s="2116"/>
      <c r="AG32" s="2117"/>
      <c r="AH32" s="2117"/>
      <c r="AI32" s="2116"/>
      <c r="AJ32" s="2116"/>
      <c r="AK32" s="2117"/>
      <c r="AL32" s="2117"/>
      <c r="AM32" s="2116"/>
      <c r="AN32" s="2116"/>
      <c r="AO32" s="2116"/>
      <c r="AP32" s="2116"/>
      <c r="AQ32" s="2117"/>
      <c r="AR32" s="2117"/>
      <c r="AS32" s="2116"/>
      <c r="AT32" s="2116"/>
      <c r="AU32" s="2117"/>
      <c r="AV32" s="2117"/>
      <c r="AW32" s="2116"/>
      <c r="AX32" s="2116"/>
      <c r="AY32" s="2117"/>
      <c r="AZ32" s="2117"/>
      <c r="BA32" s="2116"/>
      <c r="BB32" s="2116"/>
      <c r="BC32" s="2116"/>
      <c r="BD32" s="2116"/>
      <c r="BE32" s="2116"/>
      <c r="BF32" s="2116"/>
      <c r="BH32" s="26"/>
      <c r="BI32" s="26"/>
      <c r="BJ32" s="26"/>
      <c r="BK32" s="26"/>
    </row>
    <row r="33" spans="1:63" ht="14.45" x14ac:dyDescent="0.3">
      <c r="A33" s="147"/>
      <c r="B33" s="1750" t="s">
        <v>793</v>
      </c>
      <c r="C33" s="551" t="s">
        <v>50</v>
      </c>
      <c r="D33" s="1201">
        <v>8000</v>
      </c>
      <c r="E33" s="1201">
        <v>0</v>
      </c>
      <c r="F33" s="1134">
        <v>0</v>
      </c>
      <c r="G33" s="1201">
        <v>0</v>
      </c>
      <c r="H33" s="1134">
        <v>0</v>
      </c>
      <c r="I33" s="782">
        <f t="shared" ref="I33:J36" si="217">+E33+G33</f>
        <v>0</v>
      </c>
      <c r="J33" s="782">
        <f t="shared" si="217"/>
        <v>0</v>
      </c>
      <c r="K33" s="1201">
        <v>0</v>
      </c>
      <c r="L33" s="1134">
        <v>0</v>
      </c>
      <c r="M33" s="781">
        <f t="shared" ref="M33:N37" si="218">+K33+G33+E33</f>
        <v>0</v>
      </c>
      <c r="N33" s="781">
        <f t="shared" si="218"/>
        <v>0</v>
      </c>
      <c r="O33" s="1201">
        <v>0</v>
      </c>
      <c r="P33" s="1134">
        <v>0</v>
      </c>
      <c r="Q33" s="782">
        <f t="shared" ref="Q33:R37" si="219">+M33+O33</f>
        <v>0</v>
      </c>
      <c r="R33" s="782">
        <f t="shared" si="219"/>
        <v>0</v>
      </c>
      <c r="S33" s="1201"/>
      <c r="T33" s="1134"/>
      <c r="U33" s="782">
        <f t="shared" ref="U33:U37" si="220">+Q33+S33</f>
        <v>0</v>
      </c>
      <c r="V33" s="782">
        <f t="shared" ref="V33:V37" si="221">+R33+T33</f>
        <v>0</v>
      </c>
      <c r="W33" s="1201">
        <v>8000</v>
      </c>
      <c r="X33" s="1134">
        <v>0</v>
      </c>
      <c r="Y33" s="781">
        <f t="shared" ref="Y33:Z37" si="222">+W33+S33+O33</f>
        <v>8000</v>
      </c>
      <c r="Z33" s="781">
        <f t="shared" si="222"/>
        <v>0</v>
      </c>
      <c r="AA33" s="465">
        <f>M33+Y33</f>
        <v>8000</v>
      </c>
      <c r="AB33" s="465">
        <f>+N33+Z33</f>
        <v>0</v>
      </c>
      <c r="AC33" s="1201">
        <v>0</v>
      </c>
      <c r="AD33" s="1134">
        <v>1700</v>
      </c>
      <c r="AE33" s="782">
        <f t="shared" ref="AE33:AE37" si="223">+AA33+AC33</f>
        <v>8000</v>
      </c>
      <c r="AF33" s="782">
        <f t="shared" ref="AF33:AF37" si="224">+AB33+AD33</f>
        <v>1700</v>
      </c>
      <c r="AG33" s="1201">
        <v>0</v>
      </c>
      <c r="AH33" s="1134">
        <v>3000</v>
      </c>
      <c r="AI33" s="782">
        <f t="shared" ref="AI33:AI37" si="225">+AE33+AG33</f>
        <v>8000</v>
      </c>
      <c r="AJ33" s="782">
        <f t="shared" ref="AJ33:AJ37" si="226">+AF33+AH33</f>
        <v>4700</v>
      </c>
      <c r="AK33" s="1201">
        <v>0</v>
      </c>
      <c r="AL33" s="151">
        <v>3239</v>
      </c>
      <c r="AM33" s="781">
        <f t="shared" ref="AM33:AM37" si="227">+AK33+AG33+AC33</f>
        <v>0</v>
      </c>
      <c r="AN33" s="781">
        <f t="shared" ref="AN33:AN37" si="228">+AL33+AH33+AD33</f>
        <v>7939</v>
      </c>
      <c r="AO33" s="782">
        <f t="shared" si="209"/>
        <v>8000</v>
      </c>
      <c r="AP33" s="782">
        <f t="shared" si="209"/>
        <v>7939</v>
      </c>
      <c r="AQ33" s="1201">
        <v>0</v>
      </c>
      <c r="AR33" s="151">
        <v>0</v>
      </c>
      <c r="AS33" s="782">
        <f t="shared" ref="AS33:AS37" si="229">+AO33+AQ33</f>
        <v>8000</v>
      </c>
      <c r="AT33" s="782">
        <f t="shared" ref="AT33:AT37" si="230">+AP33+AR33</f>
        <v>7939</v>
      </c>
      <c r="AU33" s="1201">
        <v>0</v>
      </c>
      <c r="AV33" s="151">
        <v>0</v>
      </c>
      <c r="AW33" s="782">
        <f t="shared" ref="AW33:AW37" si="231">+AS33+AU33</f>
        <v>8000</v>
      </c>
      <c r="AX33" s="782">
        <f t="shared" ref="AX33:AX37" si="232">+AT33+AV33</f>
        <v>7939</v>
      </c>
      <c r="AY33" s="1201">
        <v>0</v>
      </c>
      <c r="AZ33" s="151">
        <v>0</v>
      </c>
      <c r="BA33" s="781">
        <f t="shared" ref="BA33:BA37" si="233">+AY33+AU33+AQ33</f>
        <v>0</v>
      </c>
      <c r="BB33" s="781">
        <f t="shared" ref="BB33:BB37" si="234">+AZ33+AV33+AR33</f>
        <v>0</v>
      </c>
      <c r="BC33" s="469">
        <f t="shared" ref="BC33:BC37" si="235">AM33+BA33</f>
        <v>0</v>
      </c>
      <c r="BD33" s="477">
        <f t="shared" ref="BD33:BD37" si="236">+AN33+BB33</f>
        <v>7939</v>
      </c>
      <c r="BE33" s="782">
        <f t="shared" ref="BE33:BE37" si="237">+AW33+AY33</f>
        <v>8000</v>
      </c>
      <c r="BF33" s="782">
        <f t="shared" ref="BF33:BF37" si="238">+AX33+AZ33</f>
        <v>7939</v>
      </c>
      <c r="BH33" s="26"/>
      <c r="BI33" s="26"/>
      <c r="BJ33" s="26"/>
      <c r="BK33" s="26"/>
    </row>
    <row r="34" spans="1:63" ht="14.45" x14ac:dyDescent="0.3">
      <c r="A34" s="147" t="s">
        <v>470</v>
      </c>
      <c r="B34" s="1750" t="s">
        <v>446</v>
      </c>
      <c r="C34" s="551" t="s">
        <v>50</v>
      </c>
      <c r="D34" s="1201">
        <f>+D23+D24+D65+D33</f>
        <v>1270575.5555555555</v>
      </c>
      <c r="E34" s="1201">
        <f>+E23+E24+E65+E33</f>
        <v>107800</v>
      </c>
      <c r="F34" s="1201">
        <f>+F23+F24+F65+F33</f>
        <v>95279.210300000021</v>
      </c>
      <c r="G34" s="1201">
        <f>+G23+G24+G65+G33</f>
        <v>111222.22222222222</v>
      </c>
      <c r="H34" s="1201">
        <f>+H23+H24+H65+H33</f>
        <v>107330.1413</v>
      </c>
      <c r="I34" s="782">
        <f t="shared" si="217"/>
        <v>219022.22222222222</v>
      </c>
      <c r="J34" s="782">
        <f t="shared" si="217"/>
        <v>202609.35160000002</v>
      </c>
      <c r="K34" s="1201">
        <f>+K23+K24+K65+K33</f>
        <v>107800</v>
      </c>
      <c r="L34" s="1201">
        <f>+L23+L24+L65+L33</f>
        <v>111287.9614</v>
      </c>
      <c r="M34" s="781">
        <f t="shared" si="218"/>
        <v>326822.22222222225</v>
      </c>
      <c r="N34" s="781">
        <f t="shared" si="218"/>
        <v>313897.31300000002</v>
      </c>
      <c r="O34" s="1201">
        <f>+O23+O24+O65+O33</f>
        <v>109083.33333333333</v>
      </c>
      <c r="P34" s="1201">
        <f>+P23+P24+P65+P33</f>
        <v>121205.84560000002</v>
      </c>
      <c r="Q34" s="782">
        <f t="shared" si="219"/>
        <v>435905.55555555556</v>
      </c>
      <c r="R34" s="782">
        <f t="shared" si="219"/>
        <v>435103.15860000002</v>
      </c>
      <c r="S34" s="1201">
        <f>+S23+S24+S65+S33</f>
        <v>109083.33333333333</v>
      </c>
      <c r="T34" s="1201">
        <f>+T23+T24+T65+T33</f>
        <v>114726.73264999999</v>
      </c>
      <c r="U34" s="782">
        <f t="shared" si="220"/>
        <v>544988.88888888888</v>
      </c>
      <c r="V34" s="782">
        <f t="shared" si="221"/>
        <v>549829.89124999999</v>
      </c>
      <c r="W34" s="1201">
        <f>+W23+W24+W65+W33</f>
        <v>71933.333333333328</v>
      </c>
      <c r="X34" s="1201">
        <f>+X23+X24+X65+X33</f>
        <v>116778.98483999999</v>
      </c>
      <c r="Y34" s="781">
        <f t="shared" si="222"/>
        <v>290100</v>
      </c>
      <c r="Z34" s="781">
        <f t="shared" si="222"/>
        <v>352711.56309000001</v>
      </c>
      <c r="AA34" s="465">
        <f t="shared" ref="AA34:AA37" si="239">M34+Y34</f>
        <v>616922.22222222225</v>
      </c>
      <c r="AB34" s="465">
        <f t="shared" ref="AB34:AB37" si="240">+N34+Z34</f>
        <v>666608.87609000003</v>
      </c>
      <c r="AC34" s="1201">
        <f>+AC23+AC24+AC65+AC33</f>
        <v>111500</v>
      </c>
      <c r="AD34" s="1201">
        <f>+AD23+AD24+AD65+AD33</f>
        <v>109857.69356000001</v>
      </c>
      <c r="AE34" s="782">
        <f t="shared" si="223"/>
        <v>728422.22222222225</v>
      </c>
      <c r="AF34" s="782">
        <f t="shared" si="224"/>
        <v>776466.56965000008</v>
      </c>
      <c r="AG34" s="1201">
        <f>+AG23+AG24+AG65+AG33</f>
        <v>106022.88888888889</v>
      </c>
      <c r="AH34" s="1201">
        <f>+AH23+AH24+AH65+AH33</f>
        <v>9294.5384000000013</v>
      </c>
      <c r="AI34" s="782">
        <f t="shared" si="225"/>
        <v>834445.11111111112</v>
      </c>
      <c r="AJ34" s="782">
        <f t="shared" si="226"/>
        <v>785761.10805000004</v>
      </c>
      <c r="AK34" s="1201">
        <f>+AK23+AK24+AK65+AK33</f>
        <v>109527.77777777778</v>
      </c>
      <c r="AL34" s="1201">
        <f>+AL23+AL24+AL65+AL33</f>
        <v>115522.77586736191</v>
      </c>
      <c r="AM34" s="781">
        <f t="shared" si="227"/>
        <v>327050.66666666669</v>
      </c>
      <c r="AN34" s="781">
        <f t="shared" si="228"/>
        <v>234675.00782736193</v>
      </c>
      <c r="AO34" s="782">
        <f t="shared" ref="AO34:AO37" si="241">+AK34+AI34</f>
        <v>943972.88888888888</v>
      </c>
      <c r="AP34" s="782">
        <f t="shared" ref="AP34:AP37" si="242">+AL34+AJ34</f>
        <v>901283.88391736196</v>
      </c>
      <c r="AQ34" s="1201">
        <f>+AQ23+AQ24+AQ65+AQ33</f>
        <v>109527.77777777778</v>
      </c>
      <c r="AR34" s="1201">
        <f>+AR23+AR24+AR65+AR33</f>
        <v>109386.28169999999</v>
      </c>
      <c r="AS34" s="782">
        <f t="shared" si="229"/>
        <v>1053500.6666666667</v>
      </c>
      <c r="AT34" s="782">
        <f t="shared" si="230"/>
        <v>1010670.1656173619</v>
      </c>
      <c r="AU34" s="1201">
        <f>+AU23+AU24+AU65+AU33</f>
        <v>98575</v>
      </c>
      <c r="AV34" s="1201">
        <f>+AV23+AV24+AV65+AV33</f>
        <v>98752.593300000008</v>
      </c>
      <c r="AW34" s="782">
        <f t="shared" si="231"/>
        <v>1152075.6666666667</v>
      </c>
      <c r="AX34" s="782">
        <f t="shared" si="232"/>
        <v>1109422.758917362</v>
      </c>
      <c r="AY34" s="1201">
        <f>+AY23+AY24+AY65+AY33</f>
        <v>109527.77777777778</v>
      </c>
      <c r="AZ34" s="1201">
        <f>+AZ23+AZ24+AZ65+AZ33</f>
        <v>106849.0223</v>
      </c>
      <c r="BA34" s="781">
        <f t="shared" si="233"/>
        <v>317630.55555555556</v>
      </c>
      <c r="BB34" s="781">
        <f t="shared" si="234"/>
        <v>314987.89730000001</v>
      </c>
      <c r="BC34" s="469">
        <f t="shared" si="235"/>
        <v>644681.22222222225</v>
      </c>
      <c r="BD34" s="477">
        <f t="shared" si="236"/>
        <v>549662.90512736188</v>
      </c>
      <c r="BE34" s="782">
        <f t="shared" si="237"/>
        <v>1261603.4444444445</v>
      </c>
      <c r="BF34" s="782">
        <f t="shared" si="238"/>
        <v>1216271.781217362</v>
      </c>
      <c r="BH34" s="26"/>
      <c r="BI34" s="26"/>
      <c r="BJ34" s="26"/>
      <c r="BK34" s="26"/>
    </row>
    <row r="35" spans="1:63" ht="14.45" x14ac:dyDescent="0.3">
      <c r="A35" s="147" t="s">
        <v>470</v>
      </c>
      <c r="B35" s="1750" t="s">
        <v>576</v>
      </c>
      <c r="C35" s="551" t="s">
        <v>50</v>
      </c>
      <c r="D35" s="1201">
        <f>+D27+D63</f>
        <v>4122875.9629219188</v>
      </c>
      <c r="E35" s="1201">
        <f>+E27+E63</f>
        <v>352191.43818858423</v>
      </c>
      <c r="F35" s="1201">
        <f>+F27+F63</f>
        <v>312893.28860000003</v>
      </c>
      <c r="G35" s="1201">
        <f>+G27+G63</f>
        <v>363372.11876599962</v>
      </c>
      <c r="H35" s="1201">
        <f>+H27+H63</f>
        <v>354317.93660000002</v>
      </c>
      <c r="I35" s="782">
        <f t="shared" si="217"/>
        <v>715563.55695458385</v>
      </c>
      <c r="J35" s="782">
        <f t="shared" si="217"/>
        <v>667211.22519999999</v>
      </c>
      <c r="K35" s="1201">
        <f>+K27+K63</f>
        <v>352191.43818858423</v>
      </c>
      <c r="L35" s="1201">
        <f>+L27+L63</f>
        <v>375777.95199999999</v>
      </c>
      <c r="M35" s="781">
        <f t="shared" si="218"/>
        <v>1067754.9951431681</v>
      </c>
      <c r="N35" s="781">
        <f t="shared" si="218"/>
        <v>1042989.1772</v>
      </c>
      <c r="O35" s="1201">
        <f>+O27+O63</f>
        <v>356384.19340511499</v>
      </c>
      <c r="P35" s="1201">
        <f>+P27+P63</f>
        <v>391296.01819999993</v>
      </c>
      <c r="Q35" s="782">
        <f t="shared" si="219"/>
        <v>1424139.1885482832</v>
      </c>
      <c r="R35" s="782">
        <f t="shared" si="219"/>
        <v>1434285.1954000001</v>
      </c>
      <c r="S35" s="1201">
        <f>+S27+S63</f>
        <v>356384.19340511499</v>
      </c>
      <c r="T35" s="1201">
        <f>+T27+T63</f>
        <v>372987.68689999997</v>
      </c>
      <c r="U35" s="782">
        <f t="shared" si="220"/>
        <v>1780523.3819533982</v>
      </c>
      <c r="V35" s="782">
        <f t="shared" si="221"/>
        <v>1807272.8823000002</v>
      </c>
      <c r="W35" s="1201">
        <f>+W27+W63</f>
        <v>195661.91010476899</v>
      </c>
      <c r="X35" s="1201">
        <f>+X27+X63</f>
        <v>365909.41859999998</v>
      </c>
      <c r="Y35" s="781">
        <f t="shared" si="222"/>
        <v>908430.29691499891</v>
      </c>
      <c r="Z35" s="781">
        <f t="shared" si="222"/>
        <v>1130193.1236999999</v>
      </c>
      <c r="AA35" s="465">
        <f t="shared" si="239"/>
        <v>1976185.292058167</v>
      </c>
      <c r="AB35" s="465">
        <f t="shared" si="240"/>
        <v>2173182.3009000001</v>
      </c>
      <c r="AC35" s="1201">
        <f>+AC27+AC63</f>
        <v>349396.26804423035</v>
      </c>
      <c r="AD35" s="1201">
        <f>+AD27+AD63</f>
        <v>367689.84130000003</v>
      </c>
      <c r="AE35" s="782">
        <f t="shared" si="223"/>
        <v>2325581.5601023976</v>
      </c>
      <c r="AF35" s="782">
        <f t="shared" si="224"/>
        <v>2540872.1422000001</v>
      </c>
      <c r="AG35" s="1201">
        <f>+AG27+AG63</f>
        <v>338215.58746681502</v>
      </c>
      <c r="AH35" s="1201">
        <f>+AH27+AH63</f>
        <v>11028.7173</v>
      </c>
      <c r="AI35" s="782">
        <f t="shared" si="225"/>
        <v>2663797.1475692126</v>
      </c>
      <c r="AJ35" s="782">
        <f t="shared" si="226"/>
        <v>2551900.8595000003</v>
      </c>
      <c r="AK35" s="1201">
        <f>+AK27+AK63</f>
        <v>349396.26804423035</v>
      </c>
      <c r="AL35" s="1201">
        <f>+AL27+AL63</f>
        <v>363082.25760000001</v>
      </c>
      <c r="AM35" s="781">
        <f t="shared" si="227"/>
        <v>1037008.1235552756</v>
      </c>
      <c r="AN35" s="781">
        <f t="shared" si="228"/>
        <v>741800.8162</v>
      </c>
      <c r="AO35" s="782">
        <f t="shared" si="241"/>
        <v>3013193.4156134431</v>
      </c>
      <c r="AP35" s="782">
        <f t="shared" si="242"/>
        <v>2914983.1171000004</v>
      </c>
      <c r="AQ35" s="1201">
        <f>+AQ27+AQ63</f>
        <v>349396.26804423035</v>
      </c>
      <c r="AR35" s="1201">
        <f>+AR27+AR63</f>
        <v>359927.06660000002</v>
      </c>
      <c r="AS35" s="782">
        <f t="shared" si="229"/>
        <v>3362589.6836576737</v>
      </c>
      <c r="AT35" s="782">
        <f t="shared" si="230"/>
        <v>3274910.1837000004</v>
      </c>
      <c r="AU35" s="1201">
        <f>+AU27+AU63</f>
        <v>314456.64123980736</v>
      </c>
      <c r="AV35" s="1201">
        <f>+AV27+AV63</f>
        <v>343578.47700000001</v>
      </c>
      <c r="AW35" s="782">
        <f t="shared" si="231"/>
        <v>3677046.3248974811</v>
      </c>
      <c r="AX35" s="782">
        <f t="shared" si="232"/>
        <v>3618488.6607000004</v>
      </c>
      <c r="AY35" s="1201">
        <f>+AY27+AY63</f>
        <v>349396.26804423035</v>
      </c>
      <c r="AZ35" s="1201">
        <f>+AZ27+AZ63</f>
        <v>399623.73050000001</v>
      </c>
      <c r="BA35" s="781">
        <f t="shared" si="233"/>
        <v>1013249.1773282681</v>
      </c>
      <c r="BB35" s="781">
        <f t="shared" si="234"/>
        <v>1103129.2741</v>
      </c>
      <c r="BC35" s="469">
        <f t="shared" si="235"/>
        <v>2050257.3008835437</v>
      </c>
      <c r="BD35" s="477">
        <f t="shared" si="236"/>
        <v>1844930.0903</v>
      </c>
      <c r="BE35" s="782">
        <f t="shared" si="237"/>
        <v>4026442.5929417117</v>
      </c>
      <c r="BF35" s="782">
        <f t="shared" si="238"/>
        <v>4018112.3912000004</v>
      </c>
      <c r="BH35" s="26"/>
      <c r="BI35" s="26"/>
      <c r="BJ35" s="26"/>
      <c r="BK35" s="26"/>
    </row>
    <row r="36" spans="1:63" ht="14.45" x14ac:dyDescent="0.3">
      <c r="A36" s="147" t="s">
        <v>470</v>
      </c>
      <c r="B36" s="1750" t="s">
        <v>611</v>
      </c>
      <c r="C36" s="551" t="s">
        <v>50</v>
      </c>
      <c r="D36" s="1201">
        <f>+D28+D69</f>
        <v>738653.07167643076</v>
      </c>
      <c r="E36" s="1201">
        <f>+E28+E69</f>
        <v>63098.49968219002</v>
      </c>
      <c r="F36" s="1201">
        <f>+F28+F69</f>
        <v>56667.055200000003</v>
      </c>
      <c r="G36" s="1201">
        <f>+G28+G69</f>
        <v>65101.626656227803</v>
      </c>
      <c r="H36" s="1201">
        <f>+H28+H69</f>
        <v>70336.455399999977</v>
      </c>
      <c r="I36" s="782">
        <f t="shared" si="217"/>
        <v>128200.12633841782</v>
      </c>
      <c r="J36" s="782">
        <f t="shared" si="217"/>
        <v>127003.51059999998</v>
      </c>
      <c r="K36" s="1201">
        <f>+K28+K69</f>
        <v>63098.49968219002</v>
      </c>
      <c r="L36" s="1201">
        <f>+L28+L69</f>
        <v>69077.059899999993</v>
      </c>
      <c r="M36" s="781">
        <f t="shared" si="218"/>
        <v>191298.62602060783</v>
      </c>
      <c r="N36" s="781">
        <f t="shared" si="218"/>
        <v>196080.57049999997</v>
      </c>
      <c r="O36" s="1201">
        <f>+O28+O69</f>
        <v>63849.672297454184</v>
      </c>
      <c r="P36" s="1201">
        <f>+P28+P69</f>
        <v>79053.753699999972</v>
      </c>
      <c r="Q36" s="782">
        <f t="shared" si="219"/>
        <v>255148.29831806201</v>
      </c>
      <c r="R36" s="782">
        <f t="shared" si="219"/>
        <v>275134.32419999992</v>
      </c>
      <c r="S36" s="1201">
        <f>+S28+S69</f>
        <v>63849.672297454184</v>
      </c>
      <c r="T36" s="1201">
        <f>+T28+T69</f>
        <v>55797.034999999996</v>
      </c>
      <c r="U36" s="782">
        <f t="shared" si="220"/>
        <v>318997.97061551618</v>
      </c>
      <c r="V36" s="782">
        <f t="shared" si="221"/>
        <v>330931.35919999989</v>
      </c>
      <c r="W36" s="1201">
        <f>+W28+W69</f>
        <v>35054.722045661125</v>
      </c>
      <c r="X36" s="1201">
        <f>+X28+X69</f>
        <v>48488.923000000003</v>
      </c>
      <c r="Y36" s="781">
        <f t="shared" si="222"/>
        <v>162754.06664056948</v>
      </c>
      <c r="Z36" s="781">
        <f t="shared" si="222"/>
        <v>183339.71169999999</v>
      </c>
      <c r="AA36" s="465">
        <f t="shared" si="239"/>
        <v>354052.69266117731</v>
      </c>
      <c r="AB36" s="465">
        <f t="shared" si="240"/>
        <v>379420.28219999996</v>
      </c>
      <c r="AC36" s="1201">
        <f>+AC28+AC69</f>
        <v>62597.71793868058</v>
      </c>
      <c r="AD36" s="1201">
        <f>+AD28+AD69</f>
        <v>48785.487149999994</v>
      </c>
      <c r="AE36" s="782">
        <f t="shared" si="223"/>
        <v>416650.41059985792</v>
      </c>
      <c r="AF36" s="782">
        <f t="shared" si="224"/>
        <v>428205.76934999996</v>
      </c>
      <c r="AG36" s="1201">
        <f>+AG28+AG69</f>
        <v>60594.590964642797</v>
      </c>
      <c r="AH36" s="1201">
        <f>+AH28+AH69</f>
        <v>1149.2244000000001</v>
      </c>
      <c r="AI36" s="782">
        <f t="shared" si="225"/>
        <v>477245.00156450074</v>
      </c>
      <c r="AJ36" s="782">
        <f t="shared" si="226"/>
        <v>429354.99374999997</v>
      </c>
      <c r="AK36" s="1201">
        <f>+AK28+AK69</f>
        <v>62597.71793868058</v>
      </c>
      <c r="AL36" s="1201">
        <f>+AL28+AL69</f>
        <v>59988.256399999998</v>
      </c>
      <c r="AM36" s="781">
        <f t="shared" si="227"/>
        <v>185790.02684200395</v>
      </c>
      <c r="AN36" s="781">
        <f t="shared" si="228"/>
        <v>109922.96794999999</v>
      </c>
      <c r="AO36" s="782">
        <f t="shared" si="241"/>
        <v>539842.71950318129</v>
      </c>
      <c r="AP36" s="782">
        <f t="shared" si="242"/>
        <v>489343.25014999998</v>
      </c>
      <c r="AQ36" s="1201">
        <f>+AQ28+AQ69</f>
        <v>62597.71793868058</v>
      </c>
      <c r="AR36" s="1201">
        <f>+AR28+AR69</f>
        <v>76933.126699999993</v>
      </c>
      <c r="AS36" s="782">
        <f t="shared" si="229"/>
        <v>602440.43744186184</v>
      </c>
      <c r="AT36" s="782">
        <f t="shared" si="230"/>
        <v>566276.37685</v>
      </c>
      <c r="AU36" s="1201">
        <f>+AU28+AU69</f>
        <v>56337.946144812522</v>
      </c>
      <c r="AV36" s="1201">
        <f>+AV28+AV69</f>
        <v>76116.217100000009</v>
      </c>
      <c r="AW36" s="782">
        <f t="shared" si="231"/>
        <v>658778.38358667435</v>
      </c>
      <c r="AX36" s="782">
        <f t="shared" si="232"/>
        <v>642392.59395000001</v>
      </c>
      <c r="AY36" s="1201">
        <f>+AY28+AY69</f>
        <v>62597.71793868058</v>
      </c>
      <c r="AZ36" s="1201">
        <f>+AZ28+AZ69</f>
        <v>93657.713600000003</v>
      </c>
      <c r="BA36" s="781">
        <f t="shared" si="233"/>
        <v>181533.38202217367</v>
      </c>
      <c r="BB36" s="781">
        <f t="shared" si="234"/>
        <v>246707.05740000002</v>
      </c>
      <c r="BC36" s="469">
        <f t="shared" si="235"/>
        <v>367323.40886417765</v>
      </c>
      <c r="BD36" s="477">
        <f t="shared" si="236"/>
        <v>356630.02535000001</v>
      </c>
      <c r="BE36" s="782">
        <f t="shared" si="237"/>
        <v>721376.1015253549</v>
      </c>
      <c r="BF36" s="782">
        <f t="shared" si="238"/>
        <v>736050.30755000003</v>
      </c>
      <c r="BH36" s="26"/>
      <c r="BI36" s="26"/>
      <c r="BJ36" s="26"/>
      <c r="BK36" s="26"/>
    </row>
    <row r="37" spans="1:63" thickBot="1" x14ac:dyDescent="0.35">
      <c r="A37" s="147"/>
      <c r="B37" s="1751" t="s">
        <v>1315</v>
      </c>
      <c r="C37" s="749" t="s">
        <v>50</v>
      </c>
      <c r="D37" s="109">
        <f>D30+D67</f>
        <v>833544.46589023247</v>
      </c>
      <c r="E37" s="109">
        <f>E30+E67</f>
        <v>71204.476408250353</v>
      </c>
      <c r="F37" s="109">
        <f t="shared" ref="F37:J37" si="243">F30+F67</f>
        <v>67577.565799999997</v>
      </c>
      <c r="G37" s="109">
        <f>G30+G67</f>
        <v>73464.935976766254</v>
      </c>
      <c r="H37" s="109">
        <f t="shared" ref="H37" si="244">H30+H67</f>
        <v>70140.592899999989</v>
      </c>
      <c r="I37" s="109">
        <f t="shared" si="243"/>
        <v>144669.41238501662</v>
      </c>
      <c r="J37" s="109">
        <f t="shared" si="243"/>
        <v>137718.1587</v>
      </c>
      <c r="K37" s="109">
        <f>K30+K67</f>
        <v>71204.476408250353</v>
      </c>
      <c r="L37" s="109">
        <f t="shared" ref="L37" si="245">L30+L67</f>
        <v>64176.787900000003</v>
      </c>
      <c r="M37" s="781">
        <f t="shared" si="218"/>
        <v>215873.88879326696</v>
      </c>
      <c r="N37" s="781">
        <f t="shared" si="218"/>
        <v>201894.94659999997</v>
      </c>
      <c r="O37" s="109">
        <f>O30+O67</f>
        <v>72052.148746443825</v>
      </c>
      <c r="P37" s="109">
        <f t="shared" ref="P37" si="246">P30+P67</f>
        <v>54607.262000000002</v>
      </c>
      <c r="Q37" s="589">
        <f t="shared" si="219"/>
        <v>287926.03753971076</v>
      </c>
      <c r="R37" s="589">
        <f t="shared" si="219"/>
        <v>256502.20859999995</v>
      </c>
      <c r="S37" s="109">
        <f>S30+S67</f>
        <v>72052.148746443825</v>
      </c>
      <c r="T37" s="109">
        <f t="shared" ref="T37" si="247">T30+T67</f>
        <v>69099.928</v>
      </c>
      <c r="U37" s="589">
        <f t="shared" si="220"/>
        <v>359978.18628615455</v>
      </c>
      <c r="V37" s="589">
        <f t="shared" si="221"/>
        <v>325602.13659999997</v>
      </c>
      <c r="W37" s="109">
        <f>W30+W67</f>
        <v>39558.042449027977</v>
      </c>
      <c r="X37" s="109">
        <f t="shared" ref="X37" si="248">X30+X67</f>
        <v>67694.016799999998</v>
      </c>
      <c r="Y37" s="781">
        <f t="shared" si="222"/>
        <v>183662.33994191562</v>
      </c>
      <c r="Z37" s="781">
        <f t="shared" si="222"/>
        <v>191401.20679999999</v>
      </c>
      <c r="AA37" s="465">
        <f t="shared" si="239"/>
        <v>399536.22873518255</v>
      </c>
      <c r="AB37" s="465">
        <f t="shared" si="240"/>
        <v>393296.15339999995</v>
      </c>
      <c r="AC37" s="109">
        <f>AC30+AC67</f>
        <v>70639.361516121397</v>
      </c>
      <c r="AD37" s="109">
        <f t="shared" ref="AD37" si="249">AD30+AD67</f>
        <v>56568.368500000004</v>
      </c>
      <c r="AE37" s="589">
        <f t="shared" si="223"/>
        <v>470175.59025130398</v>
      </c>
      <c r="AF37" s="589">
        <f t="shared" si="224"/>
        <v>449864.52189999993</v>
      </c>
      <c r="AG37" s="109">
        <f>AG30+AG67</f>
        <v>68378.901947605525</v>
      </c>
      <c r="AH37" s="109">
        <f t="shared" ref="AH37" si="250">AH30+AH67</f>
        <v>3930.3924999999999</v>
      </c>
      <c r="AI37" s="589">
        <f t="shared" si="225"/>
        <v>538554.49219890952</v>
      </c>
      <c r="AJ37" s="589">
        <f t="shared" si="226"/>
        <v>453794.91439999995</v>
      </c>
      <c r="AK37" s="109">
        <f>AK30+AK67</f>
        <v>70639.361516121397</v>
      </c>
      <c r="AL37" s="109">
        <f t="shared" ref="AL37" si="251">AL30+AL67</f>
        <v>86036.612999999998</v>
      </c>
      <c r="AM37" s="781">
        <f t="shared" si="227"/>
        <v>209657.6249798483</v>
      </c>
      <c r="AN37" s="781">
        <f t="shared" si="228"/>
        <v>146535.37400000001</v>
      </c>
      <c r="AO37" s="782">
        <f t="shared" si="241"/>
        <v>609193.85371503094</v>
      </c>
      <c r="AP37" s="782">
        <f t="shared" si="242"/>
        <v>539831.5273999999</v>
      </c>
      <c r="AQ37" s="109">
        <f>AQ30+AQ67</f>
        <v>70639.361516121397</v>
      </c>
      <c r="AR37" s="109">
        <f t="shared" ref="AR37" si="252">AR30+AR67</f>
        <v>72885.307700000005</v>
      </c>
      <c r="AS37" s="589">
        <f t="shared" si="229"/>
        <v>679833.21523115237</v>
      </c>
      <c r="AT37" s="589">
        <f t="shared" si="230"/>
        <v>612716.83509999991</v>
      </c>
      <c r="AU37" s="109">
        <f>AU30+AU67</f>
        <v>63575.425364509254</v>
      </c>
      <c r="AV37" s="109">
        <f t="shared" ref="AV37" si="253">AV30+AV67</f>
        <v>53805.534</v>
      </c>
      <c r="AW37" s="589">
        <f t="shared" si="231"/>
        <v>743408.64059566159</v>
      </c>
      <c r="AX37" s="589">
        <f t="shared" si="232"/>
        <v>666522.36909999989</v>
      </c>
      <c r="AY37" s="109">
        <f>AY30+AY67</f>
        <v>70639.361516121397</v>
      </c>
      <c r="AZ37" s="109">
        <f t="shared" ref="AZ37" si="254">AZ30+AZ67</f>
        <v>39083.374199999998</v>
      </c>
      <c r="BA37" s="781">
        <f t="shared" si="233"/>
        <v>204854.14839675205</v>
      </c>
      <c r="BB37" s="781">
        <f t="shared" si="234"/>
        <v>165774.21590000001</v>
      </c>
      <c r="BC37" s="469">
        <f t="shared" si="235"/>
        <v>414511.77337660035</v>
      </c>
      <c r="BD37" s="477">
        <f t="shared" si="236"/>
        <v>312309.58990000002</v>
      </c>
      <c r="BE37" s="589">
        <f t="shared" si="237"/>
        <v>814048.00211178302</v>
      </c>
      <c r="BF37" s="589">
        <f t="shared" si="238"/>
        <v>705605.74329999986</v>
      </c>
      <c r="BH37" s="26"/>
      <c r="BI37" s="26"/>
      <c r="BJ37" s="26"/>
      <c r="BK37" s="26"/>
    </row>
    <row r="38" spans="1:63" ht="16.149999999999999" thickBot="1" x14ac:dyDescent="0.35">
      <c r="A38" s="148"/>
      <c r="B38" s="2289" t="s">
        <v>444</v>
      </c>
      <c r="C38" s="2290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3983"/>
      <c r="AE38" s="117"/>
      <c r="AF38" s="117"/>
      <c r="AG38" s="117"/>
      <c r="AH38" s="3983"/>
      <c r="AI38" s="117"/>
      <c r="AJ38" s="117"/>
      <c r="AK38" s="117"/>
      <c r="AL38" s="3983"/>
      <c r="AM38" s="117"/>
      <c r="AN38" s="117"/>
      <c r="AO38" s="117"/>
      <c r="AP38" s="117"/>
      <c r="AQ38" s="117"/>
      <c r="AR38" s="3983"/>
      <c r="AS38" s="117"/>
      <c r="AT38" s="117"/>
      <c r="AU38" s="117"/>
      <c r="AV38" s="3983"/>
      <c r="AW38" s="117"/>
      <c r="AX38" s="117"/>
      <c r="AY38" s="117"/>
      <c r="AZ38" s="3983"/>
      <c r="BA38" s="117"/>
      <c r="BB38" s="117"/>
      <c r="BC38" s="117"/>
      <c r="BD38" s="117"/>
      <c r="BE38" s="117"/>
      <c r="BF38" s="117"/>
      <c r="BH38" s="26"/>
      <c r="BI38" s="26"/>
      <c r="BJ38" s="26"/>
      <c r="BK38" s="26"/>
    </row>
    <row r="39" spans="1:63" ht="14.45" x14ac:dyDescent="0.3">
      <c r="A39" s="147"/>
      <c r="B39" s="1752" t="s">
        <v>238</v>
      </c>
      <c r="C39" s="758" t="s">
        <v>242</v>
      </c>
      <c r="D39" s="158">
        <v>356.24</v>
      </c>
      <c r="E39" s="158">
        <f>+'Maj Techno Summ'!E10</f>
        <v>356</v>
      </c>
      <c r="F39" s="158">
        <f t="shared" ref="F39:H39" si="255">+F23/F$6*1000</f>
        <v>347.96952445897341</v>
      </c>
      <c r="G39" s="158">
        <f>+'Maj Techno Summ'!G10</f>
        <v>356</v>
      </c>
      <c r="H39" s="158">
        <f t="shared" si="255"/>
        <v>345.97012054468189</v>
      </c>
      <c r="I39" s="43">
        <f t="shared" ref="I39:J41" si="256">+I23/I$6*1000</f>
        <v>356</v>
      </c>
      <c r="J39" s="43">
        <f t="shared" si="256"/>
        <v>346.90840073756402</v>
      </c>
      <c r="K39" s="158">
        <f>+'Maj Techno Summ'!K10</f>
        <v>356</v>
      </c>
      <c r="L39" s="158">
        <f t="shared" ref="L39" si="257">+L23/L$6*1000</f>
        <v>348.40698971547278</v>
      </c>
      <c r="M39" s="73">
        <f t="shared" ref="M39:N41" si="258">+M23/M$6*1000</f>
        <v>356</v>
      </c>
      <c r="N39" s="73">
        <f t="shared" si="258"/>
        <v>347.43556530306734</v>
      </c>
      <c r="O39" s="158">
        <f>+'Maj Techno Summ'!O10</f>
        <v>356</v>
      </c>
      <c r="P39" s="158">
        <f t="shared" ref="P39:P41" si="259">+P23/P$6*1000</f>
        <v>362.56961546164109</v>
      </c>
      <c r="Q39" s="43">
        <f t="shared" ref="Q39:R41" si="260">+Q23/Q$6*1000</f>
        <v>356</v>
      </c>
      <c r="R39" s="43">
        <f t="shared" si="260"/>
        <v>351.44755181150322</v>
      </c>
      <c r="S39" s="158">
        <f>+'Maj Techno Summ'!S10</f>
        <v>356</v>
      </c>
      <c r="T39" s="158">
        <f t="shared" ref="T39:T41" si="261">+T23/T$6*1000</f>
        <v>365.93798366603016</v>
      </c>
      <c r="U39" s="43">
        <f t="shared" ref="U39:V41" si="262">+U23/U$6*1000</f>
        <v>356</v>
      </c>
      <c r="V39" s="43">
        <f t="shared" si="262"/>
        <v>354.34922586817993</v>
      </c>
      <c r="W39" s="158">
        <f>+'Maj Techno Summ'!W10</f>
        <v>383</v>
      </c>
      <c r="X39" s="158">
        <f t="shared" ref="X39:X41" si="263">+X23/X$6*1000</f>
        <v>390.38903144875366</v>
      </c>
      <c r="Y39" s="73">
        <f t="shared" ref="Y39:AB41" si="264">+Y23/Y$6*1000</f>
        <v>361.81538461538457</v>
      </c>
      <c r="Z39" s="73">
        <f t="shared" si="264"/>
        <v>372.53619548915242</v>
      </c>
      <c r="AA39" s="458">
        <f t="shared" si="264"/>
        <v>358.67326732673268</v>
      </c>
      <c r="AB39" s="458">
        <f t="shared" si="264"/>
        <v>360.16361712747266</v>
      </c>
      <c r="AC39" s="158">
        <f>+'Maj Techno Summ'!AC10</f>
        <v>362.4</v>
      </c>
      <c r="AD39" s="158">
        <f t="shared" ref="AD39:AD41" si="265">+AD23/AD$6*1000</f>
        <v>380.55652082528508</v>
      </c>
      <c r="AE39" s="43">
        <f t="shared" ref="AE39:AF39" si="266">+AE23/AE$6*1000</f>
        <v>359.23317307692309</v>
      </c>
      <c r="AF39" s="43">
        <f t="shared" si="266"/>
        <v>362.94217969043541</v>
      </c>
      <c r="AG39" s="158">
        <f>+'Maj Techno Summ'!AG10</f>
        <v>355.3</v>
      </c>
      <c r="AH39" s="158">
        <f t="shared" ref="AH39:AJ41" si="267">+AH23/AH$6*1000</f>
        <v>624.51898381131389</v>
      </c>
      <c r="AI39" s="43">
        <f t="shared" si="267"/>
        <v>358.73378803777547</v>
      </c>
      <c r="AJ39" s="43">
        <f t="shared" si="267"/>
        <v>364.17186537888733</v>
      </c>
      <c r="AK39" s="158">
        <f>+'Maj Techno Summ'!AK10</f>
        <v>355.3</v>
      </c>
      <c r="AL39" s="158">
        <f t="shared" ref="AL39" si="268">+AL23/AL$6*1000</f>
        <v>366.34425469381154</v>
      </c>
      <c r="AM39" s="73">
        <f t="shared" ref="AM39:AP39" si="269">+AM23/AM$6*1000</f>
        <v>357.69218328840969</v>
      </c>
      <c r="AN39" s="73">
        <f t="shared" si="269"/>
        <v>377.28919294026082</v>
      </c>
      <c r="AO39" s="43">
        <f t="shared" si="269"/>
        <v>358.33562152133578</v>
      </c>
      <c r="AP39" s="43">
        <f t="shared" si="269"/>
        <v>364.44973930055454</v>
      </c>
      <c r="AQ39" s="158">
        <f>+'Maj Techno Summ'!AQ10</f>
        <v>355.3</v>
      </c>
      <c r="AR39" s="158">
        <f t="shared" ref="AR39:AR41" si="270">+AR23/AR$6*1000</f>
        <v>348.01919033139393</v>
      </c>
      <c r="AS39" s="43">
        <f t="shared" ref="AS39:AT39" si="271">+AS23/AS$6*1000</f>
        <v>358.02019950124685</v>
      </c>
      <c r="AT39" s="43">
        <f t="shared" si="271"/>
        <v>362.55723585271016</v>
      </c>
      <c r="AU39" s="158">
        <f>+'Maj Techno Summ'!AU10</f>
        <v>355.3</v>
      </c>
      <c r="AV39" s="158">
        <f t="shared" ref="AV39:AX41" si="272">+AV23/AV$6*1000</f>
        <v>342.2419244316095</v>
      </c>
      <c r="AW39" s="43">
        <f t="shared" si="272"/>
        <v>357.78757126567842</v>
      </c>
      <c r="AX39" s="43">
        <f t="shared" si="272"/>
        <v>360.62005042056671</v>
      </c>
      <c r="AY39" s="158">
        <f>+'Maj Techno Summ'!AY10</f>
        <v>355.3</v>
      </c>
      <c r="AZ39" s="158">
        <f t="shared" ref="AZ39" si="273">+AZ23/AZ$6*1000</f>
        <v>339.29313876359765</v>
      </c>
      <c r="BA39" s="73">
        <f t="shared" ref="BA39:BF39" si="274">+BA23/BA$6*1000</f>
        <v>355.3</v>
      </c>
      <c r="BB39" s="73">
        <f t="shared" si="274"/>
        <v>343.20203543867916</v>
      </c>
      <c r="BC39" s="458">
        <f t="shared" si="274"/>
        <v>356.50995228357192</v>
      </c>
      <c r="BD39" s="458">
        <f t="shared" si="274"/>
        <v>356.72766837775703</v>
      </c>
      <c r="BE39" s="43">
        <f t="shared" si="274"/>
        <v>357.57171121138492</v>
      </c>
      <c r="BF39" s="43">
        <f t="shared" si="274"/>
        <v>358.59371283095254</v>
      </c>
      <c r="BH39" s="26"/>
      <c r="BI39" s="26"/>
      <c r="BJ39" s="26"/>
      <c r="BK39" s="26"/>
    </row>
    <row r="40" spans="1:63" ht="14.45" x14ac:dyDescent="0.3">
      <c r="A40" s="147"/>
      <c r="B40" s="1750" t="s">
        <v>1</v>
      </c>
      <c r="C40" s="2942" t="s">
        <v>242</v>
      </c>
      <c r="D40" s="2647">
        <v>28.952542372881357</v>
      </c>
      <c r="E40" s="2647">
        <f>+'Maj Techno Summ'!E11</f>
        <v>29</v>
      </c>
      <c r="F40" s="2647">
        <f t="shared" ref="F40:H40" si="275">+F24/F$6*1000</f>
        <v>28.720758728777291</v>
      </c>
      <c r="G40" s="2647">
        <f>+'Maj Techno Summ'!G11</f>
        <v>29</v>
      </c>
      <c r="H40" s="2647">
        <f t="shared" si="275"/>
        <v>29.24639142160763</v>
      </c>
      <c r="I40" s="39">
        <f t="shared" si="256"/>
        <v>29</v>
      </c>
      <c r="J40" s="39">
        <f t="shared" si="256"/>
        <v>28.999722531500559</v>
      </c>
      <c r="K40" s="2647">
        <f>+'Maj Techno Summ'!K11</f>
        <v>29</v>
      </c>
      <c r="L40" s="2647">
        <f t="shared" ref="L40" si="276">+L24/L$6*1000</f>
        <v>31.876010889904354</v>
      </c>
      <c r="M40" s="69">
        <f t="shared" si="258"/>
        <v>29</v>
      </c>
      <c r="N40" s="69">
        <f t="shared" si="258"/>
        <v>30.01152585120477</v>
      </c>
      <c r="O40" s="2647">
        <f>+'Maj Techno Summ'!O11</f>
        <v>29</v>
      </c>
      <c r="P40" s="2647">
        <f t="shared" si="259"/>
        <v>40.769372829277593</v>
      </c>
      <c r="Q40" s="39">
        <f t="shared" si="260"/>
        <v>29</v>
      </c>
      <c r="R40" s="39">
        <f t="shared" si="260"/>
        <v>32.863395409162749</v>
      </c>
      <c r="S40" s="2647">
        <f>+'Maj Techno Summ'!S11</f>
        <v>29</v>
      </c>
      <c r="T40" s="2647">
        <f t="shared" si="261"/>
        <v>37.253344065234799</v>
      </c>
      <c r="U40" s="39">
        <f t="shared" si="262"/>
        <v>29</v>
      </c>
      <c r="V40" s="39">
        <f t="shared" si="262"/>
        <v>33.7424720476887</v>
      </c>
      <c r="W40" s="2647">
        <f>+'Maj Techno Summ'!W11</f>
        <v>28</v>
      </c>
      <c r="X40" s="2647">
        <f t="shared" si="263"/>
        <v>36.733820007940906</v>
      </c>
      <c r="Y40" s="69">
        <f t="shared" si="264"/>
        <v>28.784615384615385</v>
      </c>
      <c r="Z40" s="69">
        <f t="shared" si="264"/>
        <v>38.320943992264716</v>
      </c>
      <c r="AA40" s="454">
        <f t="shared" si="264"/>
        <v>28.900990099009903</v>
      </c>
      <c r="AB40" s="454">
        <f t="shared" si="264"/>
        <v>34.225073636498855</v>
      </c>
      <c r="AC40" s="2647">
        <f>+'Maj Techno Summ'!AC11</f>
        <v>39</v>
      </c>
      <c r="AD40" s="2647">
        <f t="shared" si="265"/>
        <v>39.767759135351639</v>
      </c>
      <c r="AE40" s="39">
        <f t="shared" ref="AE40:AF40" si="277">+AE24/AE$6*1000</f>
        <v>30.41826923076923</v>
      </c>
      <c r="AF40" s="39">
        <f t="shared" si="277"/>
        <v>34.980272535763049</v>
      </c>
      <c r="AG40" s="2647">
        <f>+'Maj Techno Summ'!AG11</f>
        <v>39</v>
      </c>
      <c r="AH40" s="2647">
        <f t="shared" si="267"/>
        <v>14.079451888680046</v>
      </c>
      <c r="AI40" s="39">
        <f t="shared" si="267"/>
        <v>31.507869884575026</v>
      </c>
      <c r="AJ40" s="39">
        <f t="shared" si="267"/>
        <v>34.882016728590102</v>
      </c>
      <c r="AK40" s="2647">
        <f>+'Maj Techno Summ'!AK11</f>
        <v>39</v>
      </c>
      <c r="AL40" s="2647">
        <f t="shared" ref="AL40" si="278">+AL24/AL$6*1000</f>
        <v>33.19678231915703</v>
      </c>
      <c r="AM40" s="69">
        <f t="shared" ref="AM40:AP40" si="279">+AM24/AM$6*1000</f>
        <v>39</v>
      </c>
      <c r="AN40" s="69">
        <f t="shared" si="279"/>
        <v>35.988653851616441</v>
      </c>
      <c r="AO40" s="39">
        <f t="shared" si="279"/>
        <v>32.376623376623378</v>
      </c>
      <c r="AP40" s="39">
        <f t="shared" si="279"/>
        <v>34.66645559916428</v>
      </c>
      <c r="AQ40" s="2647">
        <f>+'Maj Techno Summ'!AQ11</f>
        <v>39</v>
      </c>
      <c r="AR40" s="2647">
        <f t="shared" si="270"/>
        <v>30.413521108257008</v>
      </c>
      <c r="AS40" s="39">
        <f t="shared" ref="AS40:AT40" si="280">+AS24/AS$6*1000</f>
        <v>33.064837905236907</v>
      </c>
      <c r="AT40" s="39">
        <f t="shared" si="280"/>
        <v>34.176594109897835</v>
      </c>
      <c r="AU40" s="2647">
        <f>+'Maj Techno Summ'!AU11</f>
        <v>39</v>
      </c>
      <c r="AV40" s="2647">
        <f t="shared" si="272"/>
        <v>29.174869378693284</v>
      </c>
      <c r="AW40" s="39">
        <f t="shared" si="272"/>
        <v>33.572405929304445</v>
      </c>
      <c r="AX40" s="39">
        <f t="shared" si="272"/>
        <v>33.699649992033251</v>
      </c>
      <c r="AY40" s="2647">
        <f>+'Maj Techno Summ'!AY11</f>
        <v>39</v>
      </c>
      <c r="AZ40" s="2647">
        <f t="shared" ref="AZ40" si="281">+AZ24/AZ$6*1000</f>
        <v>28.136015995148384</v>
      </c>
      <c r="BA40" s="69">
        <f t="shared" ref="BA40:BF40" si="282">+BA24/BA$6*1000</f>
        <v>39</v>
      </c>
      <c r="BB40" s="69">
        <f t="shared" si="282"/>
        <v>29.240535926200902</v>
      </c>
      <c r="BC40" s="454">
        <f t="shared" si="282"/>
        <v>39</v>
      </c>
      <c r="BD40" s="454">
        <f t="shared" si="282"/>
        <v>31.918159194862927</v>
      </c>
      <c r="BE40" s="39">
        <f t="shared" si="282"/>
        <v>34.043387712599795</v>
      </c>
      <c r="BF40" s="39">
        <f t="shared" si="282"/>
        <v>33.171031461414493</v>
      </c>
      <c r="BH40" s="26"/>
      <c r="BI40" s="26"/>
      <c r="BJ40" s="26"/>
      <c r="BK40" s="26"/>
    </row>
    <row r="41" spans="1:63" thickBot="1" x14ac:dyDescent="0.35">
      <c r="A41" s="147"/>
      <c r="B41" s="1754" t="s">
        <v>124</v>
      </c>
      <c r="C41" s="3047" t="s">
        <v>242</v>
      </c>
      <c r="D41" s="2940">
        <v>149.6650847457627</v>
      </c>
      <c r="E41" s="2940">
        <f>+'Maj Techno Summ'!E12</f>
        <v>150</v>
      </c>
      <c r="F41" s="2940">
        <f t="shared" ref="F41:H41" si="283">+F25/F$6*1000</f>
        <v>150.9002222658558</v>
      </c>
      <c r="G41" s="2940">
        <f>+'Maj Techno Summ'!G12</f>
        <v>150</v>
      </c>
      <c r="H41" s="2940">
        <f t="shared" si="283"/>
        <v>155.9320942443795</v>
      </c>
      <c r="I41" s="165">
        <f t="shared" si="256"/>
        <v>150</v>
      </c>
      <c r="J41" s="165">
        <f t="shared" si="256"/>
        <v>153.57073755360776</v>
      </c>
      <c r="K41" s="2940">
        <f>+'Maj Techno Summ'!K12</f>
        <v>150</v>
      </c>
      <c r="L41" s="2940">
        <f t="shared" ref="L41" si="284">+L25/L$6*1000</f>
        <v>155.24561139837525</v>
      </c>
      <c r="M41" s="173">
        <f t="shared" si="258"/>
        <v>150</v>
      </c>
      <c r="N41" s="173">
        <f t="shared" si="258"/>
        <v>154.15991454320627</v>
      </c>
      <c r="O41" s="2940">
        <f>+'Maj Techno Summ'!O12</f>
        <v>150</v>
      </c>
      <c r="P41" s="2940">
        <f t="shared" si="259"/>
        <v>142.77673720259727</v>
      </c>
      <c r="Q41" s="165">
        <f t="shared" si="260"/>
        <v>150</v>
      </c>
      <c r="R41" s="165">
        <f t="shared" si="260"/>
        <v>151.14227197990448</v>
      </c>
      <c r="S41" s="2940">
        <f>+'Maj Techno Summ'!S12</f>
        <v>150</v>
      </c>
      <c r="T41" s="2940">
        <f t="shared" si="261"/>
        <v>141.84996849132682</v>
      </c>
      <c r="U41" s="165">
        <f t="shared" si="262"/>
        <v>150</v>
      </c>
      <c r="V41" s="165">
        <f t="shared" si="262"/>
        <v>149.28151060092952</v>
      </c>
      <c r="W41" s="2940">
        <f>+'Maj Techno Summ'!W12</f>
        <v>121</v>
      </c>
      <c r="X41" s="2940">
        <f t="shared" si="263"/>
        <v>128.55199052682025</v>
      </c>
      <c r="Y41" s="173">
        <f t="shared" si="264"/>
        <v>143.75384615384615</v>
      </c>
      <c r="Z41" s="173">
        <f t="shared" si="264"/>
        <v>137.94406463264903</v>
      </c>
      <c r="AA41" s="2287">
        <f t="shared" si="264"/>
        <v>147.12871287128712</v>
      </c>
      <c r="AB41" s="2287">
        <f t="shared" si="264"/>
        <v>145.93716569155515</v>
      </c>
      <c r="AC41" s="2940">
        <f>+'Maj Techno Summ'!AC12</f>
        <v>146</v>
      </c>
      <c r="AD41" s="2940">
        <f t="shared" si="265"/>
        <v>126.07255945382309</v>
      </c>
      <c r="AE41" s="165">
        <f t="shared" ref="AE41:AF41" si="285">+AE25/AE$6*1000</f>
        <v>146.95913461538461</v>
      </c>
      <c r="AF41" s="165">
        <f t="shared" si="285"/>
        <v>143.23058442004745</v>
      </c>
      <c r="AG41" s="2940">
        <f>+'Maj Techno Summ'!AG12</f>
        <v>146</v>
      </c>
      <c r="AH41" s="2940">
        <f t="shared" si="267"/>
        <v>0</v>
      </c>
      <c r="AI41" s="165">
        <f t="shared" si="267"/>
        <v>146.83735571878279</v>
      </c>
      <c r="AJ41" s="165">
        <f t="shared" si="267"/>
        <v>142.55725025189798</v>
      </c>
      <c r="AK41" s="2940">
        <f>+'Maj Techno Summ'!AK12</f>
        <v>146</v>
      </c>
      <c r="AL41" s="2940">
        <f t="shared" ref="AL41" si="286">+AL25/AL$6*1000</f>
        <v>138.96212419483157</v>
      </c>
      <c r="AM41" s="173">
        <f t="shared" ref="AM41:AP41" si="287">+AM25/AM$6*1000</f>
        <v>146</v>
      </c>
      <c r="AN41" s="173">
        <f t="shared" si="287"/>
        <v>130.59501310724937</v>
      </c>
      <c r="AO41" s="165">
        <f t="shared" si="287"/>
        <v>146.74025974025972</v>
      </c>
      <c r="AP41" s="165">
        <f t="shared" si="287"/>
        <v>142.09739171296027</v>
      </c>
      <c r="AQ41" s="2940">
        <f>+'Maj Techno Summ'!AQ12</f>
        <v>146</v>
      </c>
      <c r="AR41" s="2940">
        <f t="shared" si="270"/>
        <v>153.61839772629187</v>
      </c>
      <c r="AS41" s="165">
        <f t="shared" ref="AS41:AT41" si="288">+AS25/AS$6*1000</f>
        <v>146.66334164588528</v>
      </c>
      <c r="AT41" s="165">
        <f t="shared" si="288"/>
        <v>143.42440419707083</v>
      </c>
      <c r="AU41" s="2940">
        <f>+'Maj Techno Summ'!AU12</f>
        <v>146</v>
      </c>
      <c r="AV41" s="2940">
        <f t="shared" si="272"/>
        <v>156.32760908757055</v>
      </c>
      <c r="AW41" s="165">
        <f t="shared" si="272"/>
        <v>146.6066134549601</v>
      </c>
      <c r="AX41" s="165">
        <f t="shared" si="272"/>
        <v>144.65480131103661</v>
      </c>
      <c r="AY41" s="2940">
        <f>+'Maj Techno Summ'!AY12</f>
        <v>146</v>
      </c>
      <c r="AZ41" s="2940">
        <f t="shared" ref="AZ41" si="289">+AZ25/AZ$6*1000</f>
        <v>158.53602736610694</v>
      </c>
      <c r="BA41" s="173">
        <f t="shared" ref="BA41:BF41" si="290">+BA25/BA$6*1000</f>
        <v>146</v>
      </c>
      <c r="BB41" s="173">
        <f t="shared" si="290"/>
        <v>156.16199084959428</v>
      </c>
      <c r="BC41" s="2287">
        <f t="shared" si="290"/>
        <v>146</v>
      </c>
      <c r="BD41" s="2287">
        <f t="shared" si="290"/>
        <v>146.01712745673188</v>
      </c>
      <c r="BE41" s="165">
        <f t="shared" si="290"/>
        <v>146.55397431447415</v>
      </c>
      <c r="BF41" s="165">
        <f t="shared" si="290"/>
        <v>145.97370067151337</v>
      </c>
      <c r="BH41" s="26"/>
      <c r="BI41" s="26"/>
      <c r="BJ41" s="26"/>
      <c r="BK41" s="26"/>
    </row>
    <row r="42" spans="1:63" ht="16.149999999999999" thickBot="1" x14ac:dyDescent="0.35">
      <c r="A42" s="147"/>
      <c r="B42" s="1755" t="s">
        <v>239</v>
      </c>
      <c r="C42" s="495" t="s">
        <v>242</v>
      </c>
      <c r="D42" s="2288">
        <f>SUM(D39:D41)</f>
        <v>534.85762711864402</v>
      </c>
      <c r="E42" s="2288">
        <f t="shared" ref="E42:L42" si="291">SUM(E39:E41)</f>
        <v>535</v>
      </c>
      <c r="F42" s="2288">
        <f t="shared" si="291"/>
        <v>527.59050545360651</v>
      </c>
      <c r="G42" s="2288">
        <f t="shared" ref="G42:H42" si="292">SUM(G39:G41)</f>
        <v>535</v>
      </c>
      <c r="H42" s="2288">
        <f t="shared" si="292"/>
        <v>531.14860621066907</v>
      </c>
      <c r="I42" s="726">
        <f t="shared" si="291"/>
        <v>535</v>
      </c>
      <c r="J42" s="41">
        <f t="shared" si="291"/>
        <v>529.47886082267235</v>
      </c>
      <c r="K42" s="2288">
        <f t="shared" si="291"/>
        <v>535</v>
      </c>
      <c r="L42" s="2288">
        <f t="shared" si="291"/>
        <v>535.52861200375241</v>
      </c>
      <c r="M42" s="727">
        <f t="shared" ref="M42:R42" si="293">SUM(M39:M41)</f>
        <v>535</v>
      </c>
      <c r="N42" s="67">
        <f t="shared" si="293"/>
        <v>531.60700569747837</v>
      </c>
      <c r="O42" s="2288">
        <f t="shared" si="293"/>
        <v>535</v>
      </c>
      <c r="P42" s="2288">
        <f t="shared" si="293"/>
        <v>546.11572549351592</v>
      </c>
      <c r="Q42" s="726">
        <f t="shared" si="293"/>
        <v>535</v>
      </c>
      <c r="R42" s="41">
        <f t="shared" si="293"/>
        <v>535.4532192005704</v>
      </c>
      <c r="S42" s="2288">
        <f t="shared" ref="S42:T42" si="294">SUM(S39:S41)</f>
        <v>535</v>
      </c>
      <c r="T42" s="2288">
        <f t="shared" si="294"/>
        <v>545.04129622259177</v>
      </c>
      <c r="U42" s="726">
        <f t="shared" ref="U42:X42" si="295">SUM(U39:U41)</f>
        <v>535</v>
      </c>
      <c r="V42" s="41">
        <f t="shared" si="295"/>
        <v>537.37320851679817</v>
      </c>
      <c r="W42" s="2288">
        <f t="shared" si="295"/>
        <v>532</v>
      </c>
      <c r="X42" s="2288">
        <f t="shared" si="295"/>
        <v>555.67484198351485</v>
      </c>
      <c r="Y42" s="727">
        <f t="shared" ref="Y42:AF42" si="296">SUM(Y39:Y41)</f>
        <v>534.35384615384612</v>
      </c>
      <c r="Z42" s="67">
        <f t="shared" si="296"/>
        <v>548.80120411406619</v>
      </c>
      <c r="AA42" s="728">
        <f t="shared" si="296"/>
        <v>534.70297029702965</v>
      </c>
      <c r="AB42" s="460">
        <f t="shared" si="296"/>
        <v>540.32585645552672</v>
      </c>
      <c r="AC42" s="2288">
        <f t="shared" si="296"/>
        <v>547.4</v>
      </c>
      <c r="AD42" s="2288">
        <f t="shared" si="296"/>
        <v>546.39683941445981</v>
      </c>
      <c r="AE42" s="726">
        <f t="shared" si="296"/>
        <v>536.61057692307691</v>
      </c>
      <c r="AF42" s="41">
        <f t="shared" si="296"/>
        <v>541.15303664624594</v>
      </c>
      <c r="AG42" s="2288">
        <f t="shared" ref="AG42:AJ42" si="297">SUM(AG39:AG41)</f>
        <v>540.29999999999995</v>
      </c>
      <c r="AH42" s="2288">
        <f t="shared" si="297"/>
        <v>638.59843569999396</v>
      </c>
      <c r="AI42" s="726">
        <f t="shared" si="297"/>
        <v>537.07901364113332</v>
      </c>
      <c r="AJ42" s="41">
        <f t="shared" si="297"/>
        <v>541.61113235937546</v>
      </c>
      <c r="AK42" s="2288">
        <f t="shared" ref="AK42:AL42" si="298">SUM(AK39:AK41)</f>
        <v>540.29999999999995</v>
      </c>
      <c r="AL42" s="2288">
        <f t="shared" si="298"/>
        <v>538.50316120780008</v>
      </c>
      <c r="AM42" s="727">
        <f t="shared" ref="AM42:AT42" si="299">SUM(AM39:AM41)</f>
        <v>542.69218328840975</v>
      </c>
      <c r="AN42" s="67">
        <f t="shared" si="299"/>
        <v>543.87285989912664</v>
      </c>
      <c r="AO42" s="726">
        <f t="shared" si="299"/>
        <v>537.4525046382189</v>
      </c>
      <c r="AP42" s="41">
        <f t="shared" si="299"/>
        <v>541.21358661267914</v>
      </c>
      <c r="AQ42" s="2288">
        <f t="shared" si="299"/>
        <v>540.29999999999995</v>
      </c>
      <c r="AR42" s="2288">
        <f t="shared" si="299"/>
        <v>532.05110916594276</v>
      </c>
      <c r="AS42" s="726">
        <f t="shared" si="299"/>
        <v>537.74837905236905</v>
      </c>
      <c r="AT42" s="41">
        <f t="shared" si="299"/>
        <v>540.15823415967884</v>
      </c>
      <c r="AU42" s="2288">
        <f t="shared" ref="AU42:AX42" si="300">SUM(AU39:AU41)</f>
        <v>540.29999999999995</v>
      </c>
      <c r="AV42" s="2288">
        <f t="shared" si="300"/>
        <v>527.74440289787333</v>
      </c>
      <c r="AW42" s="726">
        <f t="shared" si="300"/>
        <v>537.96659064994299</v>
      </c>
      <c r="AX42" s="41">
        <f t="shared" si="300"/>
        <v>538.97450172363654</v>
      </c>
      <c r="AY42" s="2288">
        <f t="shared" ref="AY42:AZ42" si="301">SUM(AY39:AY41)</f>
        <v>540.29999999999995</v>
      </c>
      <c r="AZ42" s="2288">
        <f t="shared" si="301"/>
        <v>525.96518212485296</v>
      </c>
      <c r="BA42" s="727">
        <f t="shared" ref="BA42:BD42" si="302">SUM(BA39:BA41)</f>
        <v>540.29999999999995</v>
      </c>
      <c r="BB42" s="67">
        <f t="shared" si="302"/>
        <v>528.6045622144743</v>
      </c>
      <c r="BC42" s="728">
        <f t="shared" si="302"/>
        <v>541.50995228357192</v>
      </c>
      <c r="BD42" s="460">
        <f t="shared" si="302"/>
        <v>534.66295502935191</v>
      </c>
      <c r="BE42" s="726">
        <f t="shared" ref="BE42:BF42" si="303">SUM(BE39:BE41)</f>
        <v>538.16907323845885</v>
      </c>
      <c r="BF42" s="41">
        <f t="shared" si="303"/>
        <v>537.7384449638804</v>
      </c>
      <c r="BH42" s="26"/>
      <c r="BI42" s="26"/>
      <c r="BJ42" s="26"/>
      <c r="BK42" s="26"/>
    </row>
    <row r="43" spans="1:63" ht="14.45" x14ac:dyDescent="0.3">
      <c r="A43" s="147" t="s">
        <v>470</v>
      </c>
      <c r="B43" s="1760" t="s">
        <v>19</v>
      </c>
      <c r="C43" s="60" t="s">
        <v>242</v>
      </c>
      <c r="D43" s="1202">
        <v>1146.0197591850756</v>
      </c>
      <c r="E43" s="1202">
        <f>+$D$43</f>
        <v>1146.0197591850756</v>
      </c>
      <c r="F43" s="1202">
        <f t="shared" ref="F43:H43" si="304">+F27/F$6*1000</f>
        <v>1115.2616068238185</v>
      </c>
      <c r="G43" s="1202">
        <f>+$D$43</f>
        <v>1146.0197591850756</v>
      </c>
      <c r="H43" s="1202">
        <f t="shared" si="304"/>
        <v>1128.4752839801524</v>
      </c>
      <c r="I43" s="572">
        <f t="shared" ref="I43:J46" si="305">+I27/I$6*1000</f>
        <v>1146.0197591850756</v>
      </c>
      <c r="J43" s="62">
        <f t="shared" si="305"/>
        <v>1122.2743700666069</v>
      </c>
      <c r="K43" s="1202">
        <f>+$D$43</f>
        <v>1146.0197591850756</v>
      </c>
      <c r="L43" s="1202">
        <f t="shared" ref="L43" si="306">+L27/L$6*1000</f>
        <v>1168.6416951476904</v>
      </c>
      <c r="M43" s="487">
        <f>+$D$43</f>
        <v>1146.0197591850756</v>
      </c>
      <c r="N43" s="487">
        <f>+N27/N$6*1000</f>
        <v>1138.5851872020905</v>
      </c>
      <c r="O43" s="1202">
        <f>+$D$43</f>
        <v>1146.0197591850756</v>
      </c>
      <c r="P43" s="1202">
        <f t="shared" ref="P43:P45" si="307">+P27/P$6*1000</f>
        <v>1172.6817812780748</v>
      </c>
      <c r="Q43" s="572">
        <f t="shared" ref="Q43:R46" si="308">+Q27/Q$6*1000</f>
        <v>1146.0197591850754</v>
      </c>
      <c r="R43" s="572">
        <f t="shared" si="308"/>
        <v>1147.6240812181095</v>
      </c>
      <c r="S43" s="1202">
        <f>+$D$43</f>
        <v>1146.0197591850756</v>
      </c>
      <c r="T43" s="1202">
        <f t="shared" ref="T43:T45" si="309">+T27/T$6*1000</f>
        <v>1179.6089134008994</v>
      </c>
      <c r="U43" s="572">
        <f t="shared" ref="U43:V45" si="310">+U27/U$6*1000</f>
        <v>1146.0197591850754</v>
      </c>
      <c r="V43" s="572">
        <f t="shared" si="310"/>
        <v>1154.0289667787122</v>
      </c>
      <c r="W43" s="1202">
        <f>+$D$43</f>
        <v>1146.0197591850756</v>
      </c>
      <c r="X43" s="1202">
        <f t="shared" ref="X43:X45" si="311">+X27/X$6*1000</f>
        <v>1186.7907343029558</v>
      </c>
      <c r="Y43" s="487">
        <f t="shared" ref="Y43:AB46" si="312">+Y27/Y$6*1000</f>
        <v>1146.0197591850756</v>
      </c>
      <c r="Z43" s="487">
        <f t="shared" si="312"/>
        <v>1179.4648852698817</v>
      </c>
      <c r="AA43" s="1612">
        <f t="shared" si="312"/>
        <v>1146.0197591850756</v>
      </c>
      <c r="AB43" s="477">
        <f t="shared" si="312"/>
        <v>1159.3145040246354</v>
      </c>
      <c r="AC43" s="1202">
        <f>+$D$43</f>
        <v>1146.0197591850756</v>
      </c>
      <c r="AD43" s="1202">
        <f t="shared" ref="AD43:AD45" si="313">+AD27/AD$6*1000</f>
        <v>1231.0322200143514</v>
      </c>
      <c r="AE43" s="572">
        <f t="shared" ref="AE43:AF43" si="314">+AE27/AE$6*1000</f>
        <v>1146.0197591850756</v>
      </c>
      <c r="AF43" s="572">
        <f t="shared" si="314"/>
        <v>1169.0861463421338</v>
      </c>
      <c r="AG43" s="1202">
        <f>+$D$43</f>
        <v>1146.0197591850756</v>
      </c>
      <c r="AH43" s="1202">
        <f t="shared" ref="AH43:AJ45" si="315">+AH27/AH$6*1000</f>
        <v>974.23149214818409</v>
      </c>
      <c r="AI43" s="572">
        <f t="shared" si="315"/>
        <v>1146.0197591850756</v>
      </c>
      <c r="AJ43" s="572">
        <f t="shared" si="315"/>
        <v>1168.1701248302272</v>
      </c>
      <c r="AK43" s="1202">
        <f>+$D$43</f>
        <v>1146.0197591850756</v>
      </c>
      <c r="AL43" s="1202">
        <f t="shared" ref="AL43" si="316">+AL27/AL$6*1000</f>
        <v>1129.1266033893933</v>
      </c>
      <c r="AM43" s="487">
        <f t="shared" ref="AM43:AP43" si="317">+AM27/AM$6*1000</f>
        <v>1146.0197591850756</v>
      </c>
      <c r="AN43" s="487">
        <f t="shared" si="317"/>
        <v>1174.7434616208968</v>
      </c>
      <c r="AO43" s="572">
        <f t="shared" si="317"/>
        <v>1146.0197591850756</v>
      </c>
      <c r="AP43" s="572">
        <f t="shared" si="317"/>
        <v>1163.1760032223146</v>
      </c>
      <c r="AQ43" s="1202">
        <f>+$D$43</f>
        <v>1146.0197591850756</v>
      </c>
      <c r="AR43" s="1202">
        <f t="shared" ref="AR43:AR45" si="318">+AR27/AR$6*1000</f>
        <v>1108.5999601291448</v>
      </c>
      <c r="AS43" s="572">
        <f t="shared" ref="AS43:AT43" si="319">+AS27/AS$6*1000</f>
        <v>1146.0197591850758</v>
      </c>
      <c r="AT43" s="572">
        <f t="shared" si="319"/>
        <v>1156.8898255713189</v>
      </c>
      <c r="AU43" s="1202">
        <f>+$D$43</f>
        <v>1146.0197591850756</v>
      </c>
      <c r="AV43" s="1202">
        <f t="shared" ref="AV43:AX45" si="320">+AV27/AV$6*1000</f>
        <v>1143.4579174039329</v>
      </c>
      <c r="AW43" s="572">
        <f t="shared" si="320"/>
        <v>1146.0197591850758</v>
      </c>
      <c r="AX43" s="572">
        <f t="shared" si="320"/>
        <v>1155.6090134642141</v>
      </c>
      <c r="AY43" s="1202">
        <f>+$D$43</f>
        <v>1146.0197591850756</v>
      </c>
      <c r="AZ43" s="1202">
        <f t="shared" ref="AZ43" si="321">+AZ27/AZ$6*1000</f>
        <v>1202.3848690444604</v>
      </c>
      <c r="BA43" s="487">
        <f t="shared" ref="BA43:BF43" si="322">+BA27/BA$6*1000</f>
        <v>1146.0197591850756</v>
      </c>
      <c r="BB43" s="487">
        <f t="shared" si="322"/>
        <v>1151.8458788808666</v>
      </c>
      <c r="BC43" s="1612">
        <f t="shared" si="322"/>
        <v>1146.0197591850756</v>
      </c>
      <c r="BD43" s="477">
        <f t="shared" si="322"/>
        <v>1160.9315381740898</v>
      </c>
      <c r="BE43" s="572">
        <f t="shared" si="322"/>
        <v>1146.0197591850758</v>
      </c>
      <c r="BF43" s="572">
        <f t="shared" si="322"/>
        <v>1160.0533360165441</v>
      </c>
      <c r="BH43" s="26"/>
      <c r="BI43" s="26"/>
      <c r="BJ43" s="26"/>
      <c r="BK43" s="26"/>
    </row>
    <row r="44" spans="1:63" ht="14.45" x14ac:dyDescent="0.3">
      <c r="A44" s="147" t="s">
        <v>470</v>
      </c>
      <c r="B44" s="1750" t="s">
        <v>240</v>
      </c>
      <c r="C44" s="2942" t="s">
        <v>242</v>
      </c>
      <c r="D44" s="2647">
        <v>212.83224099151397</v>
      </c>
      <c r="E44" s="2647">
        <f>+$D$44</f>
        <v>212.83224099151397</v>
      </c>
      <c r="F44" s="2647">
        <f t="shared" ref="F44:H44" si="323">+F28/F$6*1000</f>
        <v>235.28074662930695</v>
      </c>
      <c r="G44" s="2647">
        <f>+$D$44</f>
        <v>212.83224099151397</v>
      </c>
      <c r="H44" s="2647">
        <f t="shared" si="323"/>
        <v>250.45897855910249</v>
      </c>
      <c r="I44" s="2648">
        <f t="shared" si="305"/>
        <v>212.83224099151397</v>
      </c>
      <c r="J44" s="39">
        <f t="shared" si="305"/>
        <v>243.33613845615858</v>
      </c>
      <c r="K44" s="2647">
        <f>+$D$44</f>
        <v>212.83224099151397</v>
      </c>
      <c r="L44" s="2647">
        <f t="shared" ref="L44" si="324">+L28/L$6*1000</f>
        <v>234.17080353772749</v>
      </c>
      <c r="M44" s="781">
        <f>+$D$44</f>
        <v>212.83224099151397</v>
      </c>
      <c r="N44" s="781">
        <f>+N28/N$6*1000</f>
        <v>240.1120123807689</v>
      </c>
      <c r="O44" s="2647">
        <f>+$D$44</f>
        <v>212.83224099151397</v>
      </c>
      <c r="P44" s="2647">
        <f t="shared" si="307"/>
        <v>269.53356482733221</v>
      </c>
      <c r="Q44" s="782">
        <f t="shared" si="308"/>
        <v>212.83224099151397</v>
      </c>
      <c r="R44" s="782">
        <f t="shared" si="308"/>
        <v>247.91156836453038</v>
      </c>
      <c r="S44" s="2647">
        <f>+$D$44</f>
        <v>212.83224099151397</v>
      </c>
      <c r="T44" s="2647">
        <f t="shared" si="309"/>
        <v>192.20843421636584</v>
      </c>
      <c r="U44" s="782">
        <f t="shared" si="310"/>
        <v>212.83224099151397</v>
      </c>
      <c r="V44" s="782">
        <f t="shared" si="310"/>
        <v>236.75714999688071</v>
      </c>
      <c r="W44" s="2647">
        <f>+$D$44</f>
        <v>212.83224099151397</v>
      </c>
      <c r="X44" s="2647">
        <f t="shared" si="311"/>
        <v>180.53953720837131</v>
      </c>
      <c r="Y44" s="781">
        <f t="shared" si="312"/>
        <v>212.83224099151397</v>
      </c>
      <c r="Z44" s="781">
        <f t="shared" si="312"/>
        <v>215.60983194397093</v>
      </c>
      <c r="AA44" s="465">
        <f t="shared" si="312"/>
        <v>212.83224099151397</v>
      </c>
      <c r="AB44" s="454">
        <f t="shared" si="312"/>
        <v>227.68742303386949</v>
      </c>
      <c r="AC44" s="2647">
        <f>+$D$44</f>
        <v>212.83224099151397</v>
      </c>
      <c r="AD44" s="2647">
        <f t="shared" si="313"/>
        <v>166.37515674505005</v>
      </c>
      <c r="AE44" s="782">
        <f t="shared" ref="AE44:AF44" si="325">+AE28/AE$6*1000</f>
        <v>212.83224099151397</v>
      </c>
      <c r="AF44" s="782">
        <f t="shared" si="325"/>
        <v>219.3335382568433</v>
      </c>
      <c r="AG44" s="2647">
        <f>+$D$44</f>
        <v>212.83224099151397</v>
      </c>
      <c r="AH44" s="2647">
        <f t="shared" si="315"/>
        <v>55.702952767840905</v>
      </c>
      <c r="AI44" s="782">
        <f t="shared" si="315"/>
        <v>212.83224099151397</v>
      </c>
      <c r="AJ44" s="782">
        <f t="shared" si="315"/>
        <v>218.56430265950092</v>
      </c>
      <c r="AK44" s="2647">
        <f>+$D$44</f>
        <v>212.83224099151397</v>
      </c>
      <c r="AL44" s="2647">
        <f t="shared" ref="AL44" si="326">+AL28/AL$6*1000</f>
        <v>195.07666613937766</v>
      </c>
      <c r="AM44" s="781">
        <f t="shared" ref="AM44:AP44" si="327">+AM28/AM$6*1000</f>
        <v>212.83224099151397</v>
      </c>
      <c r="AN44" s="781">
        <f t="shared" si="327"/>
        <v>179.23108477014492</v>
      </c>
      <c r="AO44" s="782">
        <f t="shared" si="327"/>
        <v>212.83224099151397</v>
      </c>
      <c r="AP44" s="782">
        <f t="shared" si="327"/>
        <v>215.55996010188352</v>
      </c>
      <c r="AQ44" s="2647">
        <f>+$D$44</f>
        <v>212.83224099151397</v>
      </c>
      <c r="AR44" s="2647">
        <f t="shared" si="318"/>
        <v>253.94674109226278</v>
      </c>
      <c r="AS44" s="782">
        <f t="shared" ref="AS44:AT44" si="328">+AS28/AS$6*1000</f>
        <v>212.83224099151397</v>
      </c>
      <c r="AT44" s="782">
        <f t="shared" si="328"/>
        <v>219.98142620823791</v>
      </c>
      <c r="AU44" s="2647">
        <f>+$D$44</f>
        <v>212.83224099151397</v>
      </c>
      <c r="AV44" s="2647">
        <f t="shared" si="320"/>
        <v>276.21231596167331</v>
      </c>
      <c r="AW44" s="782">
        <f t="shared" si="320"/>
        <v>212.83224099151394</v>
      </c>
      <c r="AX44" s="782">
        <f t="shared" si="320"/>
        <v>225.34337504618088</v>
      </c>
      <c r="AY44" s="2647">
        <f>+$D$44</f>
        <v>212.83224099151397</v>
      </c>
      <c r="AZ44" s="2647">
        <f t="shared" ref="AZ44" si="329">+AZ28/AZ$6*1000</f>
        <v>326.76837357389223</v>
      </c>
      <c r="BA44" s="781">
        <f t="shared" ref="BA44:BF44" si="330">+BA28/BA$6*1000</f>
        <v>212.83224099151397</v>
      </c>
      <c r="BB44" s="781">
        <f t="shared" si="330"/>
        <v>286.02294213219034</v>
      </c>
      <c r="BC44" s="465">
        <f t="shared" si="330"/>
        <v>212.83224099151397</v>
      </c>
      <c r="BD44" s="454">
        <f t="shared" si="330"/>
        <v>243.64840669331232</v>
      </c>
      <c r="BE44" s="782">
        <f t="shared" si="330"/>
        <v>212.83224099151397</v>
      </c>
      <c r="BF44" s="782">
        <f t="shared" si="330"/>
        <v>234.98008618133971</v>
      </c>
      <c r="BH44" s="26"/>
      <c r="BI44" s="26"/>
      <c r="BJ44" s="26"/>
      <c r="BK44" s="26"/>
    </row>
    <row r="45" spans="1:63" ht="14.45" x14ac:dyDescent="0.3">
      <c r="A45" s="147" t="s">
        <v>470</v>
      </c>
      <c r="B45" s="1750" t="s">
        <v>241</v>
      </c>
      <c r="C45" s="2942" t="s">
        <v>242</v>
      </c>
      <c r="D45" s="2647">
        <v>0.34</v>
      </c>
      <c r="E45" s="2647">
        <f>+$D$45</f>
        <v>0.34</v>
      </c>
      <c r="F45" s="2647">
        <f t="shared" ref="F45:H45" si="331">+F29/F$6*1000</f>
        <v>0</v>
      </c>
      <c r="G45" s="2647">
        <f>+$D$45</f>
        <v>0.34</v>
      </c>
      <c r="H45" s="2647">
        <f t="shared" si="331"/>
        <v>0</v>
      </c>
      <c r="I45" s="2648">
        <f t="shared" si="305"/>
        <v>0.34</v>
      </c>
      <c r="J45" s="39">
        <f t="shared" si="305"/>
        <v>0</v>
      </c>
      <c r="K45" s="2647">
        <f>+$D$45</f>
        <v>0.34</v>
      </c>
      <c r="L45" s="2647">
        <f t="shared" ref="L45" si="332">+L29/L$6*1000</f>
        <v>0</v>
      </c>
      <c r="M45" s="781">
        <f>+$D$45</f>
        <v>0.34</v>
      </c>
      <c r="N45" s="781">
        <f>+N29/N$6*1000</f>
        <v>0</v>
      </c>
      <c r="O45" s="2647">
        <f>+$D$45</f>
        <v>0.34</v>
      </c>
      <c r="P45" s="2647">
        <f t="shared" si="307"/>
        <v>0</v>
      </c>
      <c r="Q45" s="782">
        <f t="shared" si="308"/>
        <v>0.33999999999999997</v>
      </c>
      <c r="R45" s="782">
        <f t="shared" si="308"/>
        <v>0</v>
      </c>
      <c r="S45" s="2647">
        <f>+$D$45</f>
        <v>0.34</v>
      </c>
      <c r="T45" s="2647">
        <f t="shared" si="309"/>
        <v>0</v>
      </c>
      <c r="U45" s="782">
        <f t="shared" si="310"/>
        <v>0.33999999999999997</v>
      </c>
      <c r="V45" s="782">
        <f t="shared" si="310"/>
        <v>0</v>
      </c>
      <c r="W45" s="2647">
        <f>+$D$45</f>
        <v>0.34</v>
      </c>
      <c r="X45" s="2647">
        <f t="shared" si="311"/>
        <v>0</v>
      </c>
      <c r="Y45" s="781">
        <f t="shared" si="312"/>
        <v>0.34</v>
      </c>
      <c r="Z45" s="781">
        <f t="shared" si="312"/>
        <v>0</v>
      </c>
      <c r="AA45" s="465">
        <f t="shared" si="312"/>
        <v>0.33999999999999997</v>
      </c>
      <c r="AB45" s="454">
        <f t="shared" si="312"/>
        <v>0</v>
      </c>
      <c r="AC45" s="2647">
        <f>+$D$45</f>
        <v>0.34</v>
      </c>
      <c r="AD45" s="2647">
        <f t="shared" si="313"/>
        <v>0</v>
      </c>
      <c r="AE45" s="782">
        <f t="shared" ref="AE45:AF45" si="333">+AE29/AE$6*1000</f>
        <v>0.33999999999999997</v>
      </c>
      <c r="AF45" s="782">
        <f t="shared" si="333"/>
        <v>0</v>
      </c>
      <c r="AG45" s="2647">
        <f>+$D$45</f>
        <v>0.34</v>
      </c>
      <c r="AH45" s="2647">
        <f t="shared" si="315"/>
        <v>9.5458679439762317</v>
      </c>
      <c r="AI45" s="782">
        <f t="shared" si="315"/>
        <v>0.33999999999999997</v>
      </c>
      <c r="AJ45" s="782">
        <f t="shared" si="315"/>
        <v>4.487560444822588E-2</v>
      </c>
      <c r="AK45" s="2647">
        <f>+$D$45</f>
        <v>0.34</v>
      </c>
      <c r="AL45" s="2647">
        <f t="shared" ref="AL45" si="334">+AL29/AL$6*1000</f>
        <v>0.20596142343160989</v>
      </c>
      <c r="AM45" s="781">
        <f t="shared" ref="AM45:AP45" si="335">+AM29/AM$6*1000</f>
        <v>0.34</v>
      </c>
      <c r="AN45" s="781">
        <f t="shared" si="335"/>
        <v>0.26163249763568935</v>
      </c>
      <c r="AO45" s="782">
        <f t="shared" si="335"/>
        <v>0.33999999999999997</v>
      </c>
      <c r="AP45" s="782">
        <f t="shared" si="335"/>
        <v>6.5480358825525609E-2</v>
      </c>
      <c r="AQ45" s="2647">
        <f>+$D$45</f>
        <v>0.34</v>
      </c>
      <c r="AR45" s="2647">
        <f t="shared" si="318"/>
        <v>0</v>
      </c>
      <c r="AS45" s="782">
        <f t="shared" ref="AS45:AT45" si="336">+AS29/AS$6*1000</f>
        <v>0.33999999999999997</v>
      </c>
      <c r="AT45" s="782">
        <f t="shared" si="336"/>
        <v>5.7938200308729246E-2</v>
      </c>
      <c r="AU45" s="2647">
        <f>+$D$45</f>
        <v>0.34</v>
      </c>
      <c r="AV45" s="2647">
        <f t="shared" si="320"/>
        <v>0</v>
      </c>
      <c r="AW45" s="782">
        <f t="shared" si="320"/>
        <v>0.33999999999999997</v>
      </c>
      <c r="AX45" s="782">
        <f t="shared" si="320"/>
        <v>5.2413449283445684E-2</v>
      </c>
      <c r="AY45" s="2647">
        <f>+$D$45</f>
        <v>0.34</v>
      </c>
      <c r="AZ45" s="2647">
        <f t="shared" ref="AZ45" si="337">+AZ29/AZ$6*1000</f>
        <v>0</v>
      </c>
      <c r="BA45" s="781">
        <f t="shared" ref="BA45:BF45" si="338">+BA29/BA$6*1000</f>
        <v>0.34</v>
      </c>
      <c r="BB45" s="781">
        <f t="shared" si="338"/>
        <v>0</v>
      </c>
      <c r="BC45" s="465">
        <f t="shared" si="338"/>
        <v>0.33999999999999997</v>
      </c>
      <c r="BD45" s="454">
        <f t="shared" si="338"/>
        <v>0.10381461486749943</v>
      </c>
      <c r="BE45" s="782">
        <f t="shared" si="338"/>
        <v>0.33999999999999997</v>
      </c>
      <c r="BF45" s="782">
        <f t="shared" si="338"/>
        <v>4.7433481053977482E-2</v>
      </c>
      <c r="BH45" s="26"/>
      <c r="BI45" s="26"/>
      <c r="BJ45" s="26"/>
      <c r="BK45" s="26"/>
    </row>
    <row r="46" spans="1:63" ht="14.45" x14ac:dyDescent="0.3">
      <c r="A46" s="147"/>
      <c r="B46" s="1750" t="s">
        <v>1303</v>
      </c>
      <c r="C46" s="2942" t="s">
        <v>242</v>
      </c>
      <c r="D46" s="2647">
        <v>278.31908437351831</v>
      </c>
      <c r="E46" s="2647">
        <f>+$D$46</f>
        <v>278.31908437351831</v>
      </c>
      <c r="F46" s="2647">
        <f>+F30/F$6*1000</f>
        <v>296.13144199506826</v>
      </c>
      <c r="G46" s="2647">
        <f>+$D$46</f>
        <v>278.31908437351831</v>
      </c>
      <c r="H46" s="2647">
        <f>+H30/H$6*1000</f>
        <v>269.29322971920874</v>
      </c>
      <c r="I46" s="2648">
        <f t="shared" si="305"/>
        <v>278.31908437351831</v>
      </c>
      <c r="J46" s="39">
        <f t="shared" si="305"/>
        <v>281.88786495564551</v>
      </c>
      <c r="K46" s="2647">
        <f>+$D$46</f>
        <v>278.31908437351831</v>
      </c>
      <c r="L46" s="2647">
        <f>+L30/L$6*1000</f>
        <v>242.05791504757931</v>
      </c>
      <c r="M46" s="781">
        <f t="shared" ref="M46:N46" si="339">+M30/M$6*1000</f>
        <v>278.31908437351825</v>
      </c>
      <c r="N46" s="781">
        <f t="shared" si="339"/>
        <v>267.87672611315531</v>
      </c>
      <c r="O46" s="2647">
        <f>+$D$46</f>
        <v>278.31908437351831</v>
      </c>
      <c r="P46" s="2647">
        <f>+P30/P$6*1000</f>
        <v>200.54970812139669</v>
      </c>
      <c r="Q46" s="782">
        <f t="shared" si="308"/>
        <v>278.31908437351825</v>
      </c>
      <c r="R46" s="782">
        <f t="shared" si="308"/>
        <v>250.02855691813463</v>
      </c>
      <c r="S46" s="2647">
        <f>+$D$46</f>
        <v>278.31908437351831</v>
      </c>
      <c r="T46" s="2647">
        <f>+T30/T$6*1000</f>
        <v>269.32160800051804</v>
      </c>
      <c r="U46" s="782">
        <f t="shared" ref="U46:V46" si="340">+U30/U$6*1000</f>
        <v>278.31908437351825</v>
      </c>
      <c r="V46" s="782">
        <f t="shared" si="340"/>
        <v>253.89194390079385</v>
      </c>
      <c r="W46" s="2647">
        <f>+$D$46</f>
        <v>278.31908437351831</v>
      </c>
      <c r="X46" s="2647">
        <f>+X30/X$6*1000</f>
        <v>275.0160914173353</v>
      </c>
      <c r="Y46" s="781">
        <f t="shared" si="312"/>
        <v>278.31908437351831</v>
      </c>
      <c r="Z46" s="781">
        <f t="shared" si="312"/>
        <v>247.0185757011902</v>
      </c>
      <c r="AA46" s="465">
        <f>+AA30/AA$6*1000</f>
        <v>278.31908437351831</v>
      </c>
      <c r="AB46" s="454">
        <f>+AB30/AB$6*1000</f>
        <v>257.2999550346384</v>
      </c>
      <c r="AC46" s="2647">
        <f>+$D$46</f>
        <v>278.31908437351831</v>
      </c>
      <c r="AD46" s="2647">
        <f>+AD30/AD$6*1000</f>
        <v>234.03970510281593</v>
      </c>
      <c r="AE46" s="782">
        <f t="shared" ref="AE46:AF46" si="341">+AE30/AE$6*1000</f>
        <v>278.31908437351831</v>
      </c>
      <c r="AF46" s="782">
        <f t="shared" si="341"/>
        <v>254.13071240870227</v>
      </c>
      <c r="AG46" s="2647">
        <f>+$D$46</f>
        <v>278.31908437351831</v>
      </c>
      <c r="AH46" s="2647">
        <f>+AH30/AH$6*1000</f>
        <v>461.69647729339721</v>
      </c>
      <c r="AI46" s="782">
        <f t="shared" ref="AI46:AJ46" si="342">+AI30/AI$6*1000</f>
        <v>278.31908437351831</v>
      </c>
      <c r="AJ46" s="782">
        <f t="shared" si="342"/>
        <v>255.10648949011861</v>
      </c>
      <c r="AK46" s="2647">
        <f>+$D$46</f>
        <v>278.31908437351831</v>
      </c>
      <c r="AL46" s="2647">
        <f>+AL30/AL$6*1000</f>
        <v>328.9563952708782</v>
      </c>
      <c r="AM46" s="781">
        <f t="shared" ref="AM46:AP46" si="343">+AM30/AM$6*1000</f>
        <v>278.31908437351831</v>
      </c>
      <c r="AN46" s="781">
        <f t="shared" si="343"/>
        <v>286.27914518128568</v>
      </c>
      <c r="AO46" s="782">
        <f t="shared" si="343"/>
        <v>278.31908437351831</v>
      </c>
      <c r="AP46" s="782">
        <f t="shared" si="343"/>
        <v>264.55275346917341</v>
      </c>
      <c r="AQ46" s="2647">
        <f>+$D$46</f>
        <v>278.31908437351831</v>
      </c>
      <c r="AR46" s="2647">
        <f>+AR30/AR$6*1000</f>
        <v>273.47931260201631</v>
      </c>
      <c r="AS46" s="782">
        <f t="shared" ref="AS46:AT46" si="344">+AS30/AS$6*1000</f>
        <v>278.31908437351831</v>
      </c>
      <c r="AT46" s="782">
        <f t="shared" si="344"/>
        <v>265.58093237956774</v>
      </c>
      <c r="AU46" s="2647">
        <f>+$D$46</f>
        <v>278.31908437351831</v>
      </c>
      <c r="AV46" s="2647">
        <f>+AV30/AV$6*1000</f>
        <v>220.55428504657294</v>
      </c>
      <c r="AW46" s="782">
        <f t="shared" ref="AW46:AX46" si="345">+AW30/AW$6*1000</f>
        <v>278.31908437351831</v>
      </c>
      <c r="AX46" s="782">
        <f t="shared" si="345"/>
        <v>261.28737450768881</v>
      </c>
      <c r="AY46" s="2647">
        <f>+$D$46</f>
        <v>278.31908437351831</v>
      </c>
      <c r="AZ46" s="2647">
        <f>+AZ30/AZ$6*1000</f>
        <v>142.539514081037</v>
      </c>
      <c r="BA46" s="781">
        <f t="shared" ref="BA46:BB46" si="346">+BA30/BA$6*1000</f>
        <v>278.31908437351831</v>
      </c>
      <c r="BB46" s="781">
        <f t="shared" si="346"/>
        <v>211.76757749973402</v>
      </c>
      <c r="BC46" s="465">
        <f>+BC30/BC$6*1000</f>
        <v>278.31908437351831</v>
      </c>
      <c r="BD46" s="454">
        <f>+BD30/BD$6*1000</f>
        <v>241.33343713848981</v>
      </c>
      <c r="BE46" s="782">
        <f t="shared" ref="BE46:BF46" si="347">+BE30/BE$6*1000</f>
        <v>278.31908437351831</v>
      </c>
      <c r="BF46" s="782">
        <f t="shared" si="347"/>
        <v>250.00476326331056</v>
      </c>
      <c r="BH46" s="26"/>
      <c r="BI46" s="26"/>
      <c r="BJ46" s="26"/>
      <c r="BK46" s="26"/>
    </row>
    <row r="47" spans="1:63" thickBot="1" x14ac:dyDescent="0.35">
      <c r="A47" s="147" t="s">
        <v>470</v>
      </c>
      <c r="B47" s="1751" t="s">
        <v>6</v>
      </c>
      <c r="C47" s="749" t="s">
        <v>242</v>
      </c>
      <c r="D47" s="1451">
        <v>3.1457627118644069</v>
      </c>
      <c r="E47" s="1451">
        <f>+$D$47</f>
        <v>3.1457627118644069</v>
      </c>
      <c r="F47" s="1451">
        <f>+F31/F$6*1000</f>
        <v>1.4589237131930222</v>
      </c>
      <c r="G47" s="1451">
        <f>+$D$47</f>
        <v>3.1457627118644069</v>
      </c>
      <c r="H47" s="1451">
        <f>+H31/H$6*1000</f>
        <v>3.2174445872594974</v>
      </c>
      <c r="I47" s="589">
        <f>+I31/I$6*1000</f>
        <v>3.1457627118644069</v>
      </c>
      <c r="J47" s="44">
        <f>+J31/J$6*1000</f>
        <v>2.3922059783358733</v>
      </c>
      <c r="K47" s="1451">
        <f>+$D$47</f>
        <v>3.1457627118644069</v>
      </c>
      <c r="L47" s="1451">
        <f>+L31/L$6*1000</f>
        <v>4.3355403019390035</v>
      </c>
      <c r="M47" s="488">
        <f>+M31/M$6*1000</f>
        <v>3.1457627118644065</v>
      </c>
      <c r="N47" s="488">
        <f>+N31/N$6*1000</f>
        <v>3.0758203712293488</v>
      </c>
      <c r="O47" s="1451">
        <f>+$D$47</f>
        <v>3.1457627118644069</v>
      </c>
      <c r="P47" s="1451">
        <f>+P31/P$6*1000</f>
        <v>1.9098068450968004</v>
      </c>
      <c r="Q47" s="589">
        <f>+Q31/Q$6*1000</f>
        <v>3.1457627118644065</v>
      </c>
      <c r="R47" s="589">
        <f>+R31/R$6*1000</f>
        <v>2.7667140522677114</v>
      </c>
      <c r="S47" s="1451">
        <f>+$D$47</f>
        <v>3.1457627118644069</v>
      </c>
      <c r="T47" s="1451">
        <f>+T31/T$6*1000</f>
        <v>4.1411399032470504</v>
      </c>
      <c r="U47" s="589">
        <f>+U31/U$6*1000</f>
        <v>3.1457627118644065</v>
      </c>
      <c r="V47" s="589">
        <f>+V31/V$6*1000</f>
        <v>3.0419395165361625</v>
      </c>
      <c r="W47" s="1451">
        <f>+$D$47</f>
        <v>3.1457627118644069</v>
      </c>
      <c r="X47" s="1451">
        <f>+X31/X$6*1000</f>
        <v>2.0139960394151353</v>
      </c>
      <c r="Y47" s="488">
        <f>+Y31/Y$6*1000</f>
        <v>3.1457627118644065</v>
      </c>
      <c r="Z47" s="488">
        <f>+Z31/Z$6*1000</f>
        <v>2.6819552106025952</v>
      </c>
      <c r="AA47" s="1143">
        <f>+AA31/AA$6*1000</f>
        <v>3.1457627118644065</v>
      </c>
      <c r="AB47" s="459">
        <f>+AB31/AB$6*1000</f>
        <v>2.8760988447529279</v>
      </c>
      <c r="AC47" s="109">
        <f>+$D$47</f>
        <v>3.1457627118644069</v>
      </c>
      <c r="AD47" s="109">
        <f>+AD31/AD$6*1000</f>
        <v>7.2405682882957114</v>
      </c>
      <c r="AE47" s="589">
        <f>+AE31/AE$6*1000</f>
        <v>3.1457627118644069</v>
      </c>
      <c r="AF47" s="589">
        <f>+AF31/AF$6*1000</f>
        <v>3.4707641059007885</v>
      </c>
      <c r="AG47" s="109">
        <f>+$D$47</f>
        <v>3.1457627118644069</v>
      </c>
      <c r="AH47" s="109">
        <f>+AH31/AH$6*1000</f>
        <v>34.015885527193355</v>
      </c>
      <c r="AI47" s="589">
        <f>+AI31/AI$6*1000</f>
        <v>3.1457627118644069</v>
      </c>
      <c r="AJ47" s="589">
        <f>+AJ31/AJ$6*1000</f>
        <v>3.614358255198646</v>
      </c>
      <c r="AK47" s="109">
        <f>+$D$47</f>
        <v>3.1457627118644069</v>
      </c>
      <c r="AL47" s="109">
        <f>+AL31/AL$6*1000</f>
        <v>6.3963708005218995</v>
      </c>
      <c r="AM47" s="488">
        <f>+AM31/AM$6*1000</f>
        <v>3.1457627118644069</v>
      </c>
      <c r="AN47" s="488">
        <f>+AN31/AN$6*1000</f>
        <v>7.2477159895332699</v>
      </c>
      <c r="AO47" s="589">
        <f>+AO31/AO$6*1000</f>
        <v>3.1457627118644065</v>
      </c>
      <c r="AP47" s="589">
        <f>+AP31/AP$6*1000</f>
        <v>3.9702100957437465</v>
      </c>
      <c r="AQ47" s="109">
        <f>+$D$47</f>
        <v>3.1457627118644069</v>
      </c>
      <c r="AR47" s="109">
        <f>+AR31/AR$6*1000</f>
        <v>1.5016494465818377</v>
      </c>
      <c r="AS47" s="589">
        <f>+AS31/AS$6*1000</f>
        <v>3.1457627118644069</v>
      </c>
      <c r="AT47" s="589">
        <f>+AT31/AT$6*1000</f>
        <v>3.685876349590739</v>
      </c>
      <c r="AU47" s="109">
        <f>+$D$47</f>
        <v>3.1457627118644069</v>
      </c>
      <c r="AV47" s="109">
        <f>+AV31/AV$6*1000</f>
        <v>1.4414248990084464</v>
      </c>
      <c r="AW47" s="589">
        <f>+AW31/AW$6*1000</f>
        <v>3.1457627118644065</v>
      </c>
      <c r="AX47" s="589">
        <f>+AX31/AX$6*1000</f>
        <v>3.4718545921538682</v>
      </c>
      <c r="AY47" s="109">
        <f>+$D$47</f>
        <v>3.1457627118644069</v>
      </c>
      <c r="AZ47" s="109">
        <f>+AZ31/AZ$6*1000</f>
        <v>3.9665693817988847</v>
      </c>
      <c r="BA47" s="488">
        <f>+BA31/BA$6*1000</f>
        <v>3.1457627118644065</v>
      </c>
      <c r="BB47" s="488">
        <f>+BB31/BB$6*1000</f>
        <v>2.3325511557960188</v>
      </c>
      <c r="BC47" s="1143">
        <f>+BC31/BC$6*1000</f>
        <v>3.1457627118644069</v>
      </c>
      <c r="BD47" s="459">
        <f>+BD31/BD$6*1000</f>
        <v>4.2828667658057133</v>
      </c>
      <c r="BE47" s="589">
        <f>+BE31/BE$6*1000</f>
        <v>3.1457627118644065</v>
      </c>
      <c r="BF47" s="589">
        <f>+BF31/BF$6*1000</f>
        <v>3.5188590150407695</v>
      </c>
      <c r="BH47" s="26"/>
      <c r="BI47" s="26"/>
      <c r="BJ47" s="26"/>
      <c r="BK47" s="26"/>
    </row>
    <row r="48" spans="1:63" ht="16.149999999999999" thickBot="1" x14ac:dyDescent="0.35">
      <c r="A48" s="148" t="s">
        <v>470</v>
      </c>
      <c r="B48" s="1749" t="s">
        <v>47</v>
      </c>
      <c r="BH48" s="26"/>
      <c r="BI48" s="26"/>
      <c r="BJ48" s="26"/>
      <c r="BK48" s="26"/>
    </row>
    <row r="49" spans="1:63" x14ac:dyDescent="0.25">
      <c r="A49" s="147" t="s">
        <v>470</v>
      </c>
      <c r="B49" s="2143" t="s">
        <v>262</v>
      </c>
      <c r="C49" s="2110" t="s">
        <v>243</v>
      </c>
      <c r="D49" s="2144">
        <f>+'Maj Techno Summ'!D14</f>
        <v>2.4361020820953088</v>
      </c>
      <c r="E49" s="2144">
        <f>+'Maj Techno Summ'!E14</f>
        <v>2.4471008652249489</v>
      </c>
      <c r="F49" s="2145">
        <f>+'Maj Techno Summ'!F14</f>
        <v>2.3879780343565189</v>
      </c>
      <c r="G49" s="2144">
        <f>+'Maj Techno Summ'!G14</f>
        <v>2.4406270534121841</v>
      </c>
      <c r="H49" s="2145">
        <f>+'Maj Techno Summ'!H14</f>
        <v>2.4173399790859662</v>
      </c>
      <c r="I49" s="2146">
        <f>+(I6/3551)/(E50+G50)</f>
        <v>2.4438090965065942</v>
      </c>
      <c r="J49" s="2146">
        <f>+(J6/3551)/(F50+H50)</f>
        <v>2.40347160666763</v>
      </c>
      <c r="K49" s="2144">
        <f>+'Maj Techno Summ'!K14</f>
        <v>2.4471008652249489</v>
      </c>
      <c r="L49" s="2145">
        <f>+'Maj Techno Summ'!L14</f>
        <v>2.4868497260238507</v>
      </c>
      <c r="M49" s="2147">
        <f>+(M6/3551)/(E50+G50+K50)</f>
        <v>2.4448938839251428</v>
      </c>
      <c r="N49" s="2147">
        <f>+(N6/3551)/(F50+H50+L50)</f>
        <v>2.4321568011919901</v>
      </c>
      <c r="O49" s="2144">
        <f>+'Maj Techno Summ'!O14</f>
        <v>2.3936919177696425</v>
      </c>
      <c r="P49" s="2145">
        <f>+'Maj Techno Summ'!P14</f>
        <v>2.4358635913554569</v>
      </c>
      <c r="Q49" s="2146">
        <f>+(Q6/3551)/(M50+O50)</f>
        <v>2.4318764349025579</v>
      </c>
      <c r="R49" s="2146">
        <f>+(R6/3551)/(N50+P50)</f>
        <v>2.4331383595790892</v>
      </c>
      <c r="S49" s="2144">
        <f>+'Maj Techno Summ'!S14</f>
        <v>2.3936919177696425</v>
      </c>
      <c r="T49" s="2145">
        <f>+'Maj Techno Summ'!T14</f>
        <v>2.3754677151130301</v>
      </c>
      <c r="U49" s="2146">
        <f>+(U6/3551)/(Q50+S50)</f>
        <v>2.4241363300783183</v>
      </c>
      <c r="V49" s="2146">
        <f>+(V6/3551)/(R50+T50)</f>
        <v>2.4213668121745622</v>
      </c>
      <c r="W49" s="2144">
        <f>+'Maj Techno Summ'!W14</f>
        <v>2.3168490916157101</v>
      </c>
      <c r="X49" s="2145">
        <f>+'Maj Techno Summ'!X14</f>
        <v>2.3089599228862205</v>
      </c>
      <c r="Y49" s="2148">
        <f>+(Y6/3551)/(O50+S50+W50)</f>
        <v>2.3767135047072849</v>
      </c>
      <c r="Z49" s="2148">
        <f>+(Z6/3551)/(P50+T50+X50)</f>
        <v>2.3743513256456312</v>
      </c>
      <c r="AA49" s="2149">
        <f>+(AA6/3551)/(M50+Y50)</f>
        <v>2.4130726567331631</v>
      </c>
      <c r="AB49" s="2150">
        <f>+(AB6/3551)/(N50+Z50)</f>
        <v>2.4024972748460312</v>
      </c>
      <c r="AC49" s="2144">
        <f>+'Maj Techno Summ'!AC14</f>
        <v>2.3467567821271005</v>
      </c>
      <c r="AD49" s="2145">
        <f>+'Maj Techno Summ'!AD14</f>
        <v>2.2356326894354832</v>
      </c>
      <c r="AE49" s="2146">
        <f>+(AE6/3551)/(AA50+AC50)</f>
        <v>2.4028710969194242</v>
      </c>
      <c r="AF49" s="2146">
        <f>+(AF6/3551)/(AB50+AD50)</f>
        <v>2.3783107521954485</v>
      </c>
      <c r="AG49" s="2144">
        <f>+'Maj Techno Summ'!AG14</f>
        <v>2.3499936880334826</v>
      </c>
      <c r="AH49" s="2145">
        <f>+'Maj Techno Summ'!AH14</f>
        <v>0.80694655877663402</v>
      </c>
      <c r="AI49" s="2146">
        <f>+(AI6/3551)/(AE50+AG50)</f>
        <v>2.3960258764009361</v>
      </c>
      <c r="AJ49" s="2146">
        <f>+(AJ6/3551)/(AF50+AH50)</f>
        <v>2.3567363894955582</v>
      </c>
      <c r="AK49" s="2144">
        <f>+'Maj Techno Summ'!AK14</f>
        <v>2.3467567821271005</v>
      </c>
      <c r="AL49" s="2145">
        <f>+'Maj Techno Summ'!AL14</f>
        <v>2.3560233856843715</v>
      </c>
      <c r="AM49" s="2148">
        <f>+(AM6/3551)/(AC50+AG50+AK50)</f>
        <v>2.347811504276371</v>
      </c>
      <c r="AN49" s="2148">
        <f>+(AN6/3551)/(AD50+AH50+AL50)</f>
        <v>2.2291988613244564</v>
      </c>
      <c r="AO49" s="2146">
        <f>+(AO6/3551)/(AK50+AI50)</f>
        <v>2.3902070784489053</v>
      </c>
      <c r="AP49" s="2146">
        <f>+(AP6/3551)/(AL50+AJ50)</f>
        <v>2.3566451639260722</v>
      </c>
      <c r="AQ49" s="2144">
        <f>+'Maj Techno Summ'!AQ14</f>
        <v>2.3467567821271005</v>
      </c>
      <c r="AR49" s="2145">
        <f>+'Maj Techno Summ'!AR14</f>
        <v>2.4887714643263985</v>
      </c>
      <c r="AS49" s="2146">
        <f>+(AS6/3551)/(AO50+AQ50)</f>
        <v>2.3856175309996064</v>
      </c>
      <c r="AT49" s="2146">
        <f>+(AT6/3551)/(AP50+AR50)</f>
        <v>2.3711444585556967</v>
      </c>
      <c r="AU49" s="2144">
        <f>+'Maj Techno Summ'!AU14</f>
        <v>2.3467567821271005</v>
      </c>
      <c r="AV49" s="2145">
        <f>+'Maj Techno Summ'!AV14</f>
        <v>2.4820490909149764</v>
      </c>
      <c r="AW49" s="2146">
        <f>+(AW6/3551)/(AS50+AU50)</f>
        <v>2.3822439512060303</v>
      </c>
      <c r="AX49" s="2146">
        <f>+(AX6/3551)/(AT50+AV50)</f>
        <v>2.3812905651611711</v>
      </c>
      <c r="AY49" s="2144">
        <f>+'Maj Techno Summ'!AY14</f>
        <v>2.3467567821271005</v>
      </c>
      <c r="AZ49" s="2145">
        <f>+'Maj Techno Summ'!AZ14</f>
        <v>2.458086816036321</v>
      </c>
      <c r="BA49" s="2148">
        <f>+(BA6/3551)/(AQ50+AU50+AY50)</f>
        <v>2.3467567821271009</v>
      </c>
      <c r="BB49" s="2148">
        <f>+(BB6/3551)/(AR50+AV50+AZ50)</f>
        <v>2.4760163164415827</v>
      </c>
      <c r="BC49" s="2149">
        <f>+(BC6/3551)/(AM50+BA50)</f>
        <v>2.3472901359412202</v>
      </c>
      <c r="BD49" s="2150">
        <f>+(BD6/3551)/(AN50+BB50)</f>
        <v>2.371814661419942</v>
      </c>
      <c r="BE49" s="2146">
        <f>+(BE6/3551)/(AW50+AY50)</f>
        <v>2.3791220672937579</v>
      </c>
      <c r="BF49" s="2146">
        <f>+(BF6/3551)/(AX50+AZ50)</f>
        <v>2.3883803019635828</v>
      </c>
      <c r="BH49" s="26"/>
      <c r="BI49" s="26"/>
      <c r="BJ49" s="26"/>
      <c r="BK49" s="26"/>
    </row>
    <row r="50" spans="1:63" thickBot="1" x14ac:dyDescent="0.35">
      <c r="A50" s="147" t="s">
        <v>470</v>
      </c>
      <c r="B50" s="1751" t="s">
        <v>442</v>
      </c>
      <c r="C50" s="749" t="s">
        <v>244</v>
      </c>
      <c r="D50" s="109">
        <f>+D6/(D49*3551)</f>
        <v>341.01686746987951</v>
      </c>
      <c r="E50" s="1451">
        <f>+E6/(E49*3551)</f>
        <v>29</v>
      </c>
      <c r="F50" s="192">
        <f>+F6/(F49*3551)</f>
        <v>26.666666666666664</v>
      </c>
      <c r="G50" s="1451">
        <f>+G6/(G49*3551)</f>
        <v>30.000000000000004</v>
      </c>
      <c r="H50" s="192">
        <f>+H6/(H49*3551)</f>
        <v>29.791666666666664</v>
      </c>
      <c r="I50" s="593">
        <f>+E50+G50</f>
        <v>59</v>
      </c>
      <c r="J50" s="593">
        <f>+F50+H50</f>
        <v>56.458333333333329</v>
      </c>
      <c r="K50" s="1451">
        <f>+K6/(K49*3551)</f>
        <v>29</v>
      </c>
      <c r="L50" s="192">
        <f>+L6/(L49*3551)</f>
        <v>29.611111111111111</v>
      </c>
      <c r="M50" s="2132">
        <f>+K50+G50+E50</f>
        <v>88</v>
      </c>
      <c r="N50" s="2132">
        <f>+L50+H50+F50</f>
        <v>86.069444444444429</v>
      </c>
      <c r="O50" s="1451">
        <f>+O6/(O49*3551)</f>
        <v>30</v>
      </c>
      <c r="P50" s="192">
        <f>+P6/(P49*3551)</f>
        <v>30.999999999999996</v>
      </c>
      <c r="Q50" s="593">
        <f>+M50+O50</f>
        <v>118</v>
      </c>
      <c r="R50" s="593">
        <f>+N50+P50</f>
        <v>117.06944444444443</v>
      </c>
      <c r="S50" s="1451">
        <f>+S6/(S49*3551)</f>
        <v>30</v>
      </c>
      <c r="T50" s="192">
        <f>+T6/(T49*3551)</f>
        <v>30.024305555555554</v>
      </c>
      <c r="U50" s="593">
        <f>+Q50+S50</f>
        <v>148</v>
      </c>
      <c r="V50" s="593">
        <f>+R50+T50</f>
        <v>147.09374999999997</v>
      </c>
      <c r="W50" s="1451">
        <f>+W6/(W49*3551)</f>
        <v>17.016867469879518</v>
      </c>
      <c r="X50" s="192">
        <f>+X6/(X49*3551)</f>
        <v>29.673611111111111</v>
      </c>
      <c r="Y50" s="2119">
        <f>+W50+S50+O50</f>
        <v>77.016867469879514</v>
      </c>
      <c r="Z50" s="74">
        <f>+X50+T50+P50</f>
        <v>90.697916666666657</v>
      </c>
      <c r="AA50" s="2151">
        <f>M50+Y50</f>
        <v>165.01686746987951</v>
      </c>
      <c r="AB50" s="476">
        <f>+N50+Z50</f>
        <v>176.76736111111109</v>
      </c>
      <c r="AC50" s="1451">
        <f>+AC6/(AC49*3551)</f>
        <v>29.999999999999996</v>
      </c>
      <c r="AD50" s="2128">
        <f>+AD6/(AD49*3551)</f>
        <v>29.965277777777771</v>
      </c>
      <c r="AE50" s="593">
        <f>+AA50+AC50</f>
        <v>195.01686746987951</v>
      </c>
      <c r="AF50" s="593">
        <f>+AB50+AD50</f>
        <v>206.73263888888886</v>
      </c>
      <c r="AG50" s="1451">
        <f>+AG6/(AG49*3551)</f>
        <v>29</v>
      </c>
      <c r="AH50" s="2128">
        <f>+AH6/(AH49*3551)</f>
        <v>2.8778901789705245</v>
      </c>
      <c r="AI50" s="593">
        <f>+AE50+AG50</f>
        <v>224.01686746987951</v>
      </c>
      <c r="AJ50" s="593">
        <f>+AF50+AH50</f>
        <v>209.61052906785937</v>
      </c>
      <c r="AK50" s="1451">
        <f>+AK6/(AK49*3551)</f>
        <v>29.999999999999996</v>
      </c>
      <c r="AL50" s="2128">
        <f>+AL6/(AL49*3551)</f>
        <v>30.753472222222221</v>
      </c>
      <c r="AM50" s="2119">
        <f>+AK50+AG50+AC50</f>
        <v>89</v>
      </c>
      <c r="AN50" s="74">
        <f>+AL50+AH50+AD50</f>
        <v>63.596640178970517</v>
      </c>
      <c r="AO50" s="593">
        <f>+AK50+AI50</f>
        <v>254.01686746987951</v>
      </c>
      <c r="AP50" s="593">
        <f>+AL50+AJ50</f>
        <v>240.3640012900816</v>
      </c>
      <c r="AQ50" s="1451">
        <f>+AQ6/(AQ49*3551)</f>
        <v>29.999999999999996</v>
      </c>
      <c r="AR50" s="2128">
        <f>+AR6/(AR49*3551)</f>
        <v>29.628472222222221</v>
      </c>
      <c r="AS50" s="593">
        <f>+AO50+AQ50</f>
        <v>284.01686746987951</v>
      </c>
      <c r="AT50" s="593">
        <f>+AP50+AR50</f>
        <v>269.99247351230383</v>
      </c>
      <c r="AU50" s="1451">
        <f>+AU6/(AU49*3551)</f>
        <v>26.999999999999996</v>
      </c>
      <c r="AV50" s="2128">
        <f>+AV6/(AV49*3551)</f>
        <v>27.1875</v>
      </c>
      <c r="AW50" s="593">
        <f>+AS50+AU50</f>
        <v>311.01686746987951</v>
      </c>
      <c r="AX50" s="593">
        <f>+AT50+AV50</f>
        <v>297.17997351230383</v>
      </c>
      <c r="AY50" s="1451">
        <f>+AY6/(AY49*3551)</f>
        <v>29.999999999999996</v>
      </c>
      <c r="AZ50" s="2128">
        <f>+AZ6/(AZ49*3551)</f>
        <v>30.22569444444445</v>
      </c>
      <c r="BA50" s="2119">
        <f>+AY50+AU50+AQ50</f>
        <v>86.999999999999986</v>
      </c>
      <c r="BB50" s="74">
        <f>+AZ50+AV50+AR50</f>
        <v>87.041666666666671</v>
      </c>
      <c r="BC50" s="469">
        <f t="shared" ref="BC50" si="348">AM50+BA50</f>
        <v>176</v>
      </c>
      <c r="BD50" s="469">
        <f t="shared" ref="BD50" si="349">AN50+BB50</f>
        <v>150.6383068456372</v>
      </c>
      <c r="BE50" s="593">
        <f>+AW50+AY50</f>
        <v>341.01686746987951</v>
      </c>
      <c r="BF50" s="593">
        <f>+AX50+AZ50</f>
        <v>327.40566795674829</v>
      </c>
      <c r="BH50" s="26"/>
      <c r="BI50" s="26"/>
      <c r="BJ50" s="26"/>
      <c r="BK50" s="26"/>
    </row>
    <row r="51" spans="1:63" thickBot="1" x14ac:dyDescent="0.35">
      <c r="A51" s="147"/>
      <c r="B51" s="4055"/>
      <c r="C51" s="825"/>
      <c r="D51" s="3608"/>
      <c r="E51" s="5651"/>
      <c r="F51" s="5652"/>
      <c r="G51" s="5651"/>
      <c r="H51" s="5652"/>
      <c r="I51" s="1406"/>
      <c r="J51" s="1406"/>
      <c r="K51" s="5651"/>
      <c r="L51" s="5652"/>
      <c r="M51" s="5653"/>
      <c r="N51" s="5654"/>
      <c r="O51" s="5651"/>
      <c r="P51" s="5652"/>
      <c r="Q51" s="5655"/>
      <c r="R51" s="1406"/>
      <c r="S51" s="5651"/>
      <c r="T51" s="5652"/>
      <c r="U51" s="5655"/>
      <c r="V51" s="1406"/>
      <c r="W51" s="5651"/>
      <c r="X51" s="5652"/>
      <c r="Y51" s="5656"/>
      <c r="Z51" s="1573"/>
      <c r="AA51" s="5657"/>
      <c r="AB51" s="5658"/>
      <c r="AC51" s="5651"/>
      <c r="AD51" s="4047"/>
      <c r="AE51" s="5655"/>
      <c r="AF51" s="1406"/>
      <c r="AG51" s="5651"/>
      <c r="AH51" s="4047"/>
      <c r="AI51" s="5655"/>
      <c r="AJ51" s="1406"/>
      <c r="AK51" s="5651"/>
      <c r="AL51" s="4047"/>
      <c r="AM51" s="5656"/>
      <c r="AN51" s="1573"/>
      <c r="AO51" s="5655"/>
      <c r="AP51" s="1406"/>
      <c r="AQ51" s="5651"/>
      <c r="AR51" s="4047"/>
      <c r="AS51" s="5655"/>
      <c r="AT51" s="1406"/>
      <c r="AU51" s="5651"/>
      <c r="AV51" s="4047"/>
      <c r="AW51" s="5655"/>
      <c r="AX51" s="1406"/>
      <c r="AY51" s="5651"/>
      <c r="AZ51" s="4047"/>
      <c r="BA51" s="5656"/>
      <c r="BB51" s="1573"/>
      <c r="BC51" s="5659"/>
      <c r="BD51" s="5659"/>
      <c r="BE51" s="5655"/>
      <c r="BF51" s="1406"/>
      <c r="BH51" s="26"/>
      <c r="BI51" s="26"/>
      <c r="BJ51" s="26"/>
      <c r="BK51" s="26"/>
    </row>
    <row r="52" spans="1:63" thickBot="1" x14ac:dyDescent="0.35">
      <c r="A52" s="147" t="s">
        <v>470</v>
      </c>
      <c r="B52" s="1752" t="s">
        <v>245</v>
      </c>
      <c r="C52" s="758" t="s">
        <v>49</v>
      </c>
      <c r="D52" s="1449">
        <v>70</v>
      </c>
      <c r="E52" s="1449">
        <f>+$D$52</f>
        <v>70</v>
      </c>
      <c r="F52" s="1221">
        <f>+F110</f>
        <v>67.728144451358403</v>
      </c>
      <c r="G52" s="1449">
        <f>+$D$52</f>
        <v>70</v>
      </c>
      <c r="H52" s="1221">
        <f>+H110</f>
        <v>68.465990846559237</v>
      </c>
      <c r="I52" s="1450">
        <f>+(I43/(I43+I44+I46))*100</f>
        <v>70</v>
      </c>
      <c r="J52" s="1450">
        <f>+J110</f>
        <v>68.119907620735091</v>
      </c>
      <c r="K52" s="1449">
        <f>+$D$52</f>
        <v>70</v>
      </c>
      <c r="L52" s="1221">
        <f>+L110</f>
        <v>71.047645175615003</v>
      </c>
      <c r="M52" s="1574">
        <f>+$D$52</f>
        <v>70</v>
      </c>
      <c r="N52" s="2125">
        <f>+N110</f>
        <v>69.148743912047877</v>
      </c>
      <c r="O52" s="1449">
        <f>+$D$52</f>
        <v>70</v>
      </c>
      <c r="P52" s="1221">
        <f>+P110</f>
        <v>71.384631555241967</v>
      </c>
      <c r="Q52" s="768">
        <f>+$D$52</f>
        <v>70</v>
      </c>
      <c r="R52" s="2124">
        <f>+R110</f>
        <v>69.740462066714827</v>
      </c>
      <c r="S52" s="1449">
        <f>+$D$52</f>
        <v>70</v>
      </c>
      <c r="T52" s="1221">
        <f>+T110</f>
        <v>71.877454944505445</v>
      </c>
      <c r="U52" s="768">
        <f>+$D$52</f>
        <v>70</v>
      </c>
      <c r="V52" s="2124">
        <f>+V110</f>
        <v>70.167468902948016</v>
      </c>
      <c r="W52" s="1449">
        <f>+$D$52</f>
        <v>70</v>
      </c>
      <c r="X52" s="1221">
        <f>+X110</f>
        <v>72.26190291472065</v>
      </c>
      <c r="Y52" s="2135">
        <f>+(Y43/(Y43+Y44+Y46))*100</f>
        <v>70</v>
      </c>
      <c r="Z52" s="2136">
        <f>+Z110</f>
        <v>71.826910831363094</v>
      </c>
      <c r="AA52" s="2137">
        <f>+(AA43/(AA43+AA44+AA46))*100</f>
        <v>70</v>
      </c>
      <c r="AB52" s="2138">
        <f>+AB110</f>
        <v>70.504967284283907</v>
      </c>
      <c r="AC52" s="1449">
        <f>+$D$52</f>
        <v>70</v>
      </c>
      <c r="AD52" s="1221">
        <f>+AD110</f>
        <v>75.456460322892482</v>
      </c>
      <c r="AE52" s="768">
        <f>+$D$52</f>
        <v>70</v>
      </c>
      <c r="AF52" s="2124">
        <f>+AF110</f>
        <v>71.175054870274892</v>
      </c>
      <c r="AG52" s="1449">
        <f>+$D$52</f>
        <v>70</v>
      </c>
      <c r="AH52" s="1221">
        <f>+AH110</f>
        <v>65.313173496372698</v>
      </c>
      <c r="AI52" s="768">
        <f>+$D$52</f>
        <v>70</v>
      </c>
      <c r="AJ52" s="2124">
        <f>+AJ110</f>
        <v>71.150019027365147</v>
      </c>
      <c r="AK52" s="1449">
        <f>+$D$52</f>
        <v>70</v>
      </c>
      <c r="AL52" s="1221">
        <f>+AL110</f>
        <v>68.301122234689601</v>
      </c>
      <c r="AM52" s="2135">
        <f>+(AM43/(AM43+AM44+AM46))*100</f>
        <v>70</v>
      </c>
      <c r="AN52" s="2136">
        <f>+AN110</f>
        <v>71.619620041507233</v>
      </c>
      <c r="AO52" s="768">
        <f>+$D$52</f>
        <v>70</v>
      </c>
      <c r="AP52" s="2124">
        <f>+AP110</f>
        <v>70.783422981938074</v>
      </c>
      <c r="AQ52" s="1449">
        <f>+$D$52</f>
        <v>70</v>
      </c>
      <c r="AR52" s="1221">
        <f>+AR110</f>
        <v>67.761756277843389</v>
      </c>
      <c r="AS52" s="768">
        <f>+$D$52</f>
        <v>70</v>
      </c>
      <c r="AT52" s="1450">
        <f>+AT110</f>
        <v>70.436743104555219</v>
      </c>
      <c r="AU52" s="1449">
        <f>+$D$52</f>
        <v>70</v>
      </c>
      <c r="AV52" s="1221">
        <f>+AV110</f>
        <v>69.713499863473473</v>
      </c>
      <c r="AW52" s="768">
        <f>+$D$52</f>
        <v>70</v>
      </c>
      <c r="AX52" s="1450">
        <f>+AX110</f>
        <v>70.367862201829354</v>
      </c>
      <c r="AY52" s="1449">
        <f>+$D$52</f>
        <v>70</v>
      </c>
      <c r="AZ52" s="1221">
        <f>+AZ110</f>
        <v>71.926187645776693</v>
      </c>
      <c r="BA52" s="2135">
        <f>+(BA43/(BA43+BA44+BA46))*100</f>
        <v>70</v>
      </c>
      <c r="BB52" s="2136">
        <f>+BB110</f>
        <v>69.824227928002742</v>
      </c>
      <c r="BC52" s="2137">
        <f>+(BC43/(BC43+BC44+BC46))*100</f>
        <v>70</v>
      </c>
      <c r="BD52" s="2138">
        <f>+BD110</f>
        <v>70.534181863157983</v>
      </c>
      <c r="BE52" s="768">
        <f>+$D$52</f>
        <v>70</v>
      </c>
      <c r="BF52" s="2124">
        <f>+BF110</f>
        <v>70.518322691173125</v>
      </c>
      <c r="BH52" s="26"/>
      <c r="BI52" s="26"/>
      <c r="BJ52" s="26"/>
      <c r="BK52" s="26"/>
    </row>
    <row r="53" spans="1:63" thickBot="1" x14ac:dyDescent="0.35">
      <c r="A53" s="147"/>
      <c r="B53" s="1751" t="s">
        <v>1322</v>
      </c>
      <c r="C53" s="749" t="s">
        <v>49</v>
      </c>
      <c r="D53" s="1451">
        <v>17</v>
      </c>
      <c r="E53" s="1451">
        <v>17</v>
      </c>
      <c r="F53" s="192">
        <f>+F112</f>
        <v>17.983612954408294</v>
      </c>
      <c r="G53" s="1451">
        <v>17</v>
      </c>
      <c r="H53" s="192">
        <f>+H112</f>
        <v>16.33835323000303</v>
      </c>
      <c r="I53" s="2139">
        <f>+I112</f>
        <v>17.000000000000004</v>
      </c>
      <c r="J53" s="593">
        <f>+J112</f>
        <v>17.110054218778231</v>
      </c>
      <c r="K53" s="1451">
        <v>17</v>
      </c>
      <c r="L53" s="192">
        <f>+L112</f>
        <v>14.715926131726953</v>
      </c>
      <c r="M53" s="1839">
        <f>+M112</f>
        <v>17.000000000000004</v>
      </c>
      <c r="N53" s="2132">
        <f>+N112</f>
        <v>16.268733637326505</v>
      </c>
      <c r="O53" s="1451">
        <v>17</v>
      </c>
      <c r="P53" s="192">
        <f>+P112</f>
        <v>12.208057847674937</v>
      </c>
      <c r="Q53" s="2048">
        <f>+Q112</f>
        <v>16.999999999999986</v>
      </c>
      <c r="R53" s="2130">
        <f>+R112</f>
        <v>15.19409306123705</v>
      </c>
      <c r="S53" s="1451">
        <v>17</v>
      </c>
      <c r="T53" s="192">
        <f>+T112</f>
        <v>16.410652314272546</v>
      </c>
      <c r="U53" s="2048">
        <f>+U112</f>
        <v>17</v>
      </c>
      <c r="V53" s="2130">
        <f>+V112</f>
        <v>15.437181900291099</v>
      </c>
      <c r="W53" s="1451">
        <v>17</v>
      </c>
      <c r="X53" s="192">
        <f>+X112</f>
        <v>16.745316190606811</v>
      </c>
      <c r="Y53" s="2140">
        <f>+Y112</f>
        <v>17.000000000000007</v>
      </c>
      <c r="Z53" s="2140">
        <f>+Z112</f>
        <v>15.042907535581181</v>
      </c>
      <c r="AA53" s="2141">
        <f>+AA112</f>
        <v>17.000000000000007</v>
      </c>
      <c r="AB53" s="492">
        <f>+AB112</f>
        <v>15.647975462212818</v>
      </c>
      <c r="AC53" s="1451">
        <v>15</v>
      </c>
      <c r="AD53" s="192">
        <f>+AD112</f>
        <v>14.345528439431277</v>
      </c>
      <c r="AE53" s="2048">
        <f>+AE112</f>
        <v>16.999999999999989</v>
      </c>
      <c r="AF53" s="2130">
        <f>+AF112</f>
        <v>15.471714771836867</v>
      </c>
      <c r="AG53" s="1451">
        <v>15</v>
      </c>
      <c r="AH53" s="192">
        <f>+AH112</f>
        <v>30.952460854694991</v>
      </c>
      <c r="AI53" s="2048">
        <f>+AI112</f>
        <v>16.999999999999993</v>
      </c>
      <c r="AJ53" s="2130">
        <f>+AJ112</f>
        <v>15.537832371688289</v>
      </c>
      <c r="AK53" s="1451">
        <v>15</v>
      </c>
      <c r="AL53" s="192">
        <f>+AL112</f>
        <v>19.89864634827909</v>
      </c>
      <c r="AM53" s="2140">
        <f>+AM112</f>
        <v>17.000000000000007</v>
      </c>
      <c r="AN53" s="2140">
        <f>+AN112</f>
        <v>17.453345580149978</v>
      </c>
      <c r="AO53" s="2048">
        <f>+AO112</f>
        <v>17.000000000000007</v>
      </c>
      <c r="AP53" s="2130">
        <f>+AP112</f>
        <v>16.098981923603048</v>
      </c>
      <c r="AQ53" s="1451">
        <v>15</v>
      </c>
      <c r="AR53" s="192">
        <f>+AR112</f>
        <v>16.716073600986931</v>
      </c>
      <c r="AS53" s="2048">
        <f>+AS112</f>
        <v>17.000000000000004</v>
      </c>
      <c r="AT53" s="593">
        <f>+AT112</f>
        <v>16.169781680161094</v>
      </c>
      <c r="AU53" s="1451">
        <v>15</v>
      </c>
      <c r="AV53" s="192">
        <f>+AV112</f>
        <v>13.446591156927752</v>
      </c>
      <c r="AW53" s="2048">
        <f>+AW112</f>
        <v>16.999999999999993</v>
      </c>
      <c r="AX53" s="593">
        <f>+AX112</f>
        <v>15.910427965006688</v>
      </c>
      <c r="AY53" s="1451">
        <v>15</v>
      </c>
      <c r="AZ53" s="192">
        <f>+AZ112</f>
        <v>8.5266573962113057</v>
      </c>
      <c r="BA53" s="2140">
        <f t="shared" ref="BA53:BF53" si="350">+BA112</f>
        <v>17.000000000000004</v>
      </c>
      <c r="BB53" s="2140">
        <f t="shared" si="350"/>
        <v>12.837227506052255</v>
      </c>
      <c r="BC53" s="2141">
        <f t="shared" si="350"/>
        <v>16.999999999999989</v>
      </c>
      <c r="BD53" s="492">
        <f t="shared" si="350"/>
        <v>14.662584299811334</v>
      </c>
      <c r="BE53" s="2048">
        <f t="shared" si="350"/>
        <v>16.999999999999993</v>
      </c>
      <c r="BF53" s="2130">
        <f t="shared" si="350"/>
        <v>15.197505168746011</v>
      </c>
      <c r="BH53" s="26"/>
      <c r="BI53" s="26"/>
      <c r="BJ53" s="26"/>
      <c r="BK53" s="26"/>
    </row>
    <row r="54" spans="1:63" ht="14.45" x14ac:dyDescent="0.3">
      <c r="A54" s="147"/>
      <c r="B54" s="1752" t="s">
        <v>594</v>
      </c>
      <c r="C54" s="758" t="s">
        <v>49</v>
      </c>
      <c r="D54" s="819"/>
      <c r="E54" s="2122" t="s">
        <v>32</v>
      </c>
      <c r="F54" s="2123">
        <v>0.41</v>
      </c>
      <c r="G54" s="2122" t="s">
        <v>32</v>
      </c>
      <c r="H54" s="2123">
        <v>0.77</v>
      </c>
      <c r="I54" s="822" t="s">
        <v>32</v>
      </c>
      <c r="J54" s="2124">
        <f>+((F54*F58)+(H54*H58))/J58</f>
        <v>0.59748325419038339</v>
      </c>
      <c r="K54" s="2122" t="s">
        <v>32</v>
      </c>
      <c r="L54" s="2123">
        <v>0.8</v>
      </c>
      <c r="M54" s="823" t="s">
        <v>32</v>
      </c>
      <c r="N54" s="2125">
        <f>+((F54*F58)+(H54*H58)+(L54*L58))/N58</f>
        <v>0.66987087778855492</v>
      </c>
      <c r="O54" s="2122" t="s">
        <v>32</v>
      </c>
      <c r="P54" s="2123">
        <v>0.81</v>
      </c>
      <c r="Q54" s="822" t="s">
        <v>32</v>
      </c>
      <c r="R54" s="2124">
        <f>+((N54*N58)+(P54*P58))/R58</f>
        <v>0.70928896634353567</v>
      </c>
      <c r="S54" s="2122" t="s">
        <v>32</v>
      </c>
      <c r="T54" s="2123">
        <v>0.83</v>
      </c>
      <c r="U54" s="822" t="s">
        <v>32</v>
      </c>
      <c r="V54" s="2124">
        <f>+((R54*R58)+(T54*T58))/V58</f>
        <v>0.73508514446725115</v>
      </c>
      <c r="W54" s="2122" t="s">
        <v>32</v>
      </c>
      <c r="X54" s="2123">
        <v>0.66</v>
      </c>
      <c r="Y54" s="823" t="s">
        <v>32</v>
      </c>
      <c r="Z54" s="2125">
        <f>+((P54*P58)+(T54*T58)+(X54*X58))/Z58</f>
        <v>0.76585177423982886</v>
      </c>
      <c r="AA54" s="824" t="s">
        <v>32</v>
      </c>
      <c r="AB54" s="2126">
        <f>+((N54*N58)+(Z54*Z58))/AB58</f>
        <v>0.72145663440553698</v>
      </c>
      <c r="AC54" s="2122" t="s">
        <v>32</v>
      </c>
      <c r="AD54" s="2123">
        <v>0.87</v>
      </c>
      <c r="AE54" s="822" t="s">
        <v>32</v>
      </c>
      <c r="AF54" s="2124">
        <f>+((AB54*AB58)+(AD54*AD58))/AF58</f>
        <v>0.74373251871522861</v>
      </c>
      <c r="AG54" s="2122" t="s">
        <v>32</v>
      </c>
      <c r="AH54" s="2123">
        <v>0.87</v>
      </c>
      <c r="AI54" s="822" t="s">
        <v>32</v>
      </c>
      <c r="AJ54" s="2124">
        <f>+((AF54*AF58)+(AH54*AH58))/AJ58</f>
        <v>0.74448565415172729</v>
      </c>
      <c r="AK54" s="2122" t="s">
        <v>32</v>
      </c>
      <c r="AL54" s="2123">
        <v>0.76</v>
      </c>
      <c r="AM54" s="823" t="s">
        <v>32</v>
      </c>
      <c r="AN54" s="2125">
        <f>+((AD54*AD58)+(AH54*AH58)+(AL54*AL58))/AN58</f>
        <v>0.81695778325837809</v>
      </c>
      <c r="AO54" s="822" t="s">
        <v>32</v>
      </c>
      <c r="AP54" s="2124">
        <f>+((AL54*AL58)+(AJ54*AJ58))/AP58</f>
        <v>0.74644294804110345</v>
      </c>
      <c r="AQ54" s="2122" t="s">
        <v>32</v>
      </c>
      <c r="AR54" s="2123">
        <v>0.81</v>
      </c>
      <c r="AS54" s="822" t="s">
        <v>32</v>
      </c>
      <c r="AT54" s="2124">
        <f>+((AP54*AP58)+(AR54*AR58))/AT58</f>
        <v>0.75331031691560524</v>
      </c>
      <c r="AU54" s="2122" t="s">
        <v>32</v>
      </c>
      <c r="AV54" s="2123">
        <v>0.7</v>
      </c>
      <c r="AW54" s="822" t="s">
        <v>32</v>
      </c>
      <c r="AX54" s="2124">
        <f>+((AT54*AT58)+(AV54*AV58))/AX58</f>
        <v>0.74812150383041975</v>
      </c>
      <c r="AY54" s="2122" t="s">
        <v>32</v>
      </c>
      <c r="AZ54" s="2123">
        <v>0.45</v>
      </c>
      <c r="BA54" s="823" t="s">
        <v>32</v>
      </c>
      <c r="BB54" s="2125">
        <f>+((AR54*AR58)+(AV54*AV58)+(AZ54*AZ58))/BB58</f>
        <v>0.64185618729096994</v>
      </c>
      <c r="BC54" s="824" t="s">
        <v>32</v>
      </c>
      <c r="BD54" s="2126">
        <f>+((AN54*AN58)+(BB54*BB58))/BD58</f>
        <v>0.71272209767814243</v>
      </c>
      <c r="BE54" s="822" t="s">
        <v>32</v>
      </c>
      <c r="BF54" s="2124">
        <f>+((AX54*AX58)+(AZ54*AZ58))/BF58</f>
        <v>0.71737918386975408</v>
      </c>
      <c r="BH54" s="26"/>
      <c r="BI54" s="26"/>
      <c r="BJ54" s="26"/>
      <c r="BK54" s="26"/>
    </row>
    <row r="55" spans="1:63" ht="14.45" x14ac:dyDescent="0.3">
      <c r="A55" s="147"/>
      <c r="B55" s="1750" t="s">
        <v>595</v>
      </c>
      <c r="C55" s="551" t="s">
        <v>49</v>
      </c>
      <c r="D55" s="159"/>
      <c r="E55" s="1678" t="s">
        <v>32</v>
      </c>
      <c r="F55" s="1136">
        <v>4.7</v>
      </c>
      <c r="G55" s="1678" t="s">
        <v>32</v>
      </c>
      <c r="H55" s="1136">
        <v>5.25</v>
      </c>
      <c r="I55" s="786" t="s">
        <v>32</v>
      </c>
      <c r="J55" s="375">
        <f>+((F55*F64)+(H55*H64))/J64</f>
        <v>4.992129711555477</v>
      </c>
      <c r="K55" s="1678" t="s">
        <v>32</v>
      </c>
      <c r="L55" s="1136">
        <v>5.94</v>
      </c>
      <c r="M55" s="820" t="s">
        <v>32</v>
      </c>
      <c r="N55" s="377">
        <f>+((F55*F64)+(H55*H64)+(L55*L64))/N64</f>
        <v>5.3313164772727282</v>
      </c>
      <c r="O55" s="1678" t="s">
        <v>32</v>
      </c>
      <c r="P55" s="1136">
        <v>6.68</v>
      </c>
      <c r="Q55" s="786" t="s">
        <v>32</v>
      </c>
      <c r="R55" s="375">
        <f>+((N55*N64)+(P55*P64))/R64</f>
        <v>5.7148528096283657</v>
      </c>
      <c r="S55" s="1678" t="s">
        <v>32</v>
      </c>
      <c r="T55" s="1136">
        <v>5.95</v>
      </c>
      <c r="U55" s="786" t="s">
        <v>32</v>
      </c>
      <c r="V55" s="375">
        <f>+((R55*R64)+(T55*T64))/V64</f>
        <v>5.765229955750093</v>
      </c>
      <c r="W55" s="1678" t="s">
        <v>32</v>
      </c>
      <c r="X55" s="1136">
        <v>5.44</v>
      </c>
      <c r="Y55" s="820" t="s">
        <v>32</v>
      </c>
      <c r="Z55" s="377">
        <f>+((P55*P64)+(T55*T64)+(X55*X64))/Z64</f>
        <v>6.0298714634146338</v>
      </c>
      <c r="AA55" s="787" t="s">
        <v>32</v>
      </c>
      <c r="AB55" s="464">
        <f>+((N55*N64)+(Z55*Z64))/AB64</f>
        <v>5.7071793963254596</v>
      </c>
      <c r="AC55" s="1678" t="s">
        <v>32</v>
      </c>
      <c r="AD55" s="1136">
        <v>5.83</v>
      </c>
      <c r="AE55" s="786" t="s">
        <v>32</v>
      </c>
      <c r="AF55" s="375">
        <f>+((AB55*AB64)+(AD55*AD64))/AF64</f>
        <v>5.7197314843179301</v>
      </c>
      <c r="AG55" s="1678" t="s">
        <v>32</v>
      </c>
      <c r="AH55" s="1136">
        <v>5.83</v>
      </c>
      <c r="AI55" s="786" t="s">
        <v>32</v>
      </c>
      <c r="AJ55" s="375">
        <f>+((AF55*AF64)+(AH55*AH64))/AJ64</f>
        <v>5.721132191796757</v>
      </c>
      <c r="AK55" s="1678" t="s">
        <v>32</v>
      </c>
      <c r="AL55" s="1136">
        <v>5.07</v>
      </c>
      <c r="AM55" s="820" t="s">
        <v>32</v>
      </c>
      <c r="AN55" s="377">
        <f>+((AD55*AD64)+(AH55*AH64)+(AL55*AL64))/AN64</f>
        <v>5.4456514581398405</v>
      </c>
      <c r="AO55" s="786" t="s">
        <v>32</v>
      </c>
      <c r="AP55" s="375">
        <f>+((AL55*AL64)+(AJ55*AJ64))/AP64</f>
        <v>5.6533298967333447</v>
      </c>
      <c r="AQ55" s="1678" t="s">
        <v>32</v>
      </c>
      <c r="AR55" s="1136">
        <v>4.9800000000000004</v>
      </c>
      <c r="AS55" s="786" t="s">
        <v>32</v>
      </c>
      <c r="AT55" s="375">
        <f>+((AP55*AP64)+(AR55*AR64))/AT64</f>
        <v>5.5850152840579765</v>
      </c>
      <c r="AU55" s="1678" t="s">
        <v>32</v>
      </c>
      <c r="AV55" s="1136">
        <v>4.8099999999999996</v>
      </c>
      <c r="AW55" s="786" t="s">
        <v>32</v>
      </c>
      <c r="AX55" s="375">
        <f>+((AT55*AT64)+(AV55*AV64))/AX64</f>
        <v>5.5171738596146955</v>
      </c>
      <c r="AY55" s="1678" t="s">
        <v>32</v>
      </c>
      <c r="AZ55" s="1136">
        <v>4.92</v>
      </c>
      <c r="BA55" s="820" t="s">
        <v>32</v>
      </c>
      <c r="BB55" s="377">
        <f>+((AR55*AR64)+(AV55*AV64)+(AZ55*AZ64))/BB64</f>
        <v>4.9048633463479669</v>
      </c>
      <c r="BC55" s="787" t="s">
        <v>32</v>
      </c>
      <c r="BD55" s="464">
        <f>+((AN55*AN64)+(BB55*BB64))/BD64</f>
        <v>5.1133049601622815</v>
      </c>
      <c r="BE55" s="786" t="s">
        <v>32</v>
      </c>
      <c r="BF55" s="375">
        <f>+((AX55*AX64)+(AZ55*AZ64))/BF64</f>
        <v>5.4683405840621795</v>
      </c>
      <c r="BH55" s="26"/>
      <c r="BI55" s="26"/>
      <c r="BJ55" s="26"/>
      <c r="BK55" s="26"/>
    </row>
    <row r="56" spans="1:63" ht="14.45" x14ac:dyDescent="0.3">
      <c r="A56" s="147"/>
      <c r="B56" s="1750" t="s">
        <v>1318</v>
      </c>
      <c r="C56" s="551" t="s">
        <v>49</v>
      </c>
      <c r="D56" s="159"/>
      <c r="E56" s="1678" t="s">
        <v>32</v>
      </c>
      <c r="F56" s="1136">
        <v>1.02</v>
      </c>
      <c r="G56" s="1678" t="s">
        <v>32</v>
      </c>
      <c r="H56" s="1136">
        <v>1.47</v>
      </c>
      <c r="I56" s="2112"/>
      <c r="J56" s="375">
        <f>+((F56*F66)+(H56*H66))/J66</f>
        <v>1.3239968652037619</v>
      </c>
      <c r="K56" s="1678" t="s">
        <v>32</v>
      </c>
      <c r="L56" s="1136">
        <v>2.21</v>
      </c>
      <c r="M56" s="2113"/>
      <c r="N56" s="377">
        <f>+((J56*J66)+(L56*L66))/N66</f>
        <v>1.6075808170515098</v>
      </c>
      <c r="O56" s="1678" t="s">
        <v>32</v>
      </c>
      <c r="P56" s="1136">
        <v>2.76</v>
      </c>
      <c r="Q56" s="2112"/>
      <c r="R56" s="375">
        <f>+((N56*N66)+(P56*P66))/R66</f>
        <v>1.8760599455040869</v>
      </c>
      <c r="S56" s="1678" t="s">
        <v>32</v>
      </c>
      <c r="T56" s="1136">
        <v>2.35</v>
      </c>
      <c r="U56" s="2112"/>
      <c r="V56" s="375">
        <f>+((R56*R66)+(T56*T66))/V66</f>
        <v>1.9703928415539067</v>
      </c>
      <c r="W56" s="1678" t="s">
        <v>32</v>
      </c>
      <c r="X56" s="1136">
        <v>1.84</v>
      </c>
      <c r="Y56" s="2113"/>
      <c r="Z56" s="377">
        <f>+((P56*P65)+(T56*T65)+(X56*X65))/Z65</f>
        <v>2.3186670746305946</v>
      </c>
      <c r="AA56" s="826"/>
      <c r="AB56" s="464">
        <f>+((N56*N66)+(Z56*Z66))/AB66</f>
        <v>1.9466024249865197</v>
      </c>
      <c r="AC56" s="1678" t="s">
        <v>32</v>
      </c>
      <c r="AD56" s="1136">
        <v>1.81</v>
      </c>
      <c r="AE56" s="2112"/>
      <c r="AF56" s="375">
        <f>+((AB56*AB66)+(AD56*AD66))/AF66</f>
        <v>1.9268395940266259</v>
      </c>
      <c r="AG56" s="1678" t="s">
        <v>32</v>
      </c>
      <c r="AH56" s="1136">
        <v>1.59</v>
      </c>
      <c r="AI56" s="2112"/>
      <c r="AJ56" s="375">
        <f>+((AF56*AF66)+(AH56*AH66))/AJ66</f>
        <v>1.9202760789442674</v>
      </c>
      <c r="AK56" s="1678" t="s">
        <v>32</v>
      </c>
      <c r="AL56" s="1136">
        <v>1.47</v>
      </c>
      <c r="AM56" s="2113"/>
      <c r="AN56" s="377">
        <f>+((AD56*AD65)+(AH56*AH65)+(AL56*AL65))/AN65</f>
        <v>1.6252618465139452</v>
      </c>
      <c r="AO56" s="2112"/>
      <c r="AP56" s="375">
        <f>+((AL56*AL66)+(AJ56*AJ66))/AP66</f>
        <v>1.8386689274317136</v>
      </c>
      <c r="AQ56" s="1678" t="s">
        <v>32</v>
      </c>
      <c r="AR56" s="1136">
        <v>1.77</v>
      </c>
      <c r="AS56" s="2112"/>
      <c r="AT56" s="375">
        <f>+((AP56*AP66)+(AR56*AR66))/AT66</f>
        <v>1.8289031143450269</v>
      </c>
      <c r="AU56" s="1678" t="s">
        <v>32</v>
      </c>
      <c r="AV56" s="1136">
        <v>1.4</v>
      </c>
      <c r="AW56" s="2112"/>
      <c r="AX56" s="375">
        <f>+((AT56*AT66)+(AV56*AV66))/AX66</f>
        <v>1.7877661136719265</v>
      </c>
      <c r="AY56" s="1678" t="s">
        <v>32</v>
      </c>
      <c r="AZ56" s="1136">
        <v>1.06</v>
      </c>
      <c r="BA56" s="2113"/>
      <c r="BB56" s="377">
        <f>+((AR56*AR65)+(AV56*AV65)+(AZ56*AZ65))/BB65</f>
        <v>1.4146819835617617</v>
      </c>
      <c r="BC56" s="826"/>
      <c r="BD56" s="464">
        <f>+((AN56*AN66)+(BB56*BB66))/BD66</f>
        <v>1.4978501887656888</v>
      </c>
      <c r="BE56" s="2112"/>
      <c r="BF56" s="375">
        <f>+((AX56*AX66)+(AZ56*AZ66))/BF66</f>
        <v>1.6940652851351738</v>
      </c>
      <c r="BH56" s="26"/>
      <c r="BI56" s="26"/>
      <c r="BJ56" s="26"/>
      <c r="BK56" s="26"/>
    </row>
    <row r="57" spans="1:63" thickBot="1" x14ac:dyDescent="0.35">
      <c r="A57" s="147"/>
      <c r="B57" s="1761" t="s">
        <v>596</v>
      </c>
      <c r="C57" s="830" t="s">
        <v>49</v>
      </c>
      <c r="D57" s="893"/>
      <c r="E57" s="2127" t="s">
        <v>32</v>
      </c>
      <c r="F57" s="2128">
        <v>6.78</v>
      </c>
      <c r="G57" s="2127" t="s">
        <v>32</v>
      </c>
      <c r="H57" s="2128">
        <v>7.54</v>
      </c>
      <c r="I57" s="2129" t="s">
        <v>32</v>
      </c>
      <c r="J57" s="2130">
        <f>+((F57*F68)+(H57*H68))/J68</f>
        <v>7.2714160722776988</v>
      </c>
      <c r="K57" s="2127" t="s">
        <v>32</v>
      </c>
      <c r="L57" s="2128">
        <v>8.91</v>
      </c>
      <c r="M57" s="2131" t="s">
        <v>32</v>
      </c>
      <c r="N57" s="2132">
        <f>+((F57*F68)+(H57*H68)+(L57*L68))/N68</f>
        <v>8.0091472341315502</v>
      </c>
      <c r="O57" s="2127" t="s">
        <v>32</v>
      </c>
      <c r="P57" s="2128">
        <v>11.03</v>
      </c>
      <c r="Q57" s="2129" t="s">
        <v>32</v>
      </c>
      <c r="R57" s="2130">
        <f>+((N57*N68)+(P57*P68))/R68</f>
        <v>8.8698762478034929</v>
      </c>
      <c r="S57" s="2127" t="s">
        <v>32</v>
      </c>
      <c r="T57" s="2128">
        <v>10.47</v>
      </c>
      <c r="U57" s="2129" t="s">
        <v>32</v>
      </c>
      <c r="V57" s="2130">
        <f>+((R57*R68)+(T57*T68))/V68</f>
        <v>9.2365069026140585</v>
      </c>
      <c r="W57" s="2127" t="s">
        <v>32</v>
      </c>
      <c r="X57" s="2128">
        <v>10.7</v>
      </c>
      <c r="Y57" s="2131" t="s">
        <v>32</v>
      </c>
      <c r="Z57" s="2132">
        <f>+((P57*P68)+(T57*T68)+(X57*X68))/Z68</f>
        <v>10.733189730200175</v>
      </c>
      <c r="AA57" s="2133" t="s">
        <v>32</v>
      </c>
      <c r="AB57" s="476">
        <f>+((N57*N68)+(Z57*Z68))/AB68</f>
        <v>9.424406651929262</v>
      </c>
      <c r="AC57" s="2127" t="s">
        <v>32</v>
      </c>
      <c r="AD57" s="2128">
        <v>8.0299999999999994</v>
      </c>
      <c r="AE57" s="2129" t="s">
        <v>32</v>
      </c>
      <c r="AF57" s="2130">
        <f>+((AB57*AB68)+(AD57*AD68))/AF68</f>
        <v>9.1442042192737727</v>
      </c>
      <c r="AG57" s="2127" t="s">
        <v>32</v>
      </c>
      <c r="AH57" s="2128">
        <v>7.4</v>
      </c>
      <c r="AI57" s="2129" t="s">
        <v>32</v>
      </c>
      <c r="AJ57" s="2130">
        <f>+((AF57*AF68)+(AH57*AH68))/AJ68</f>
        <v>9.118505458428924</v>
      </c>
      <c r="AK57" s="2127" t="s">
        <v>32</v>
      </c>
      <c r="AL57" s="2128">
        <v>7.06</v>
      </c>
      <c r="AM57" s="2131" t="s">
        <v>32</v>
      </c>
      <c r="AN57" s="2132">
        <f>+((AD57*AD68)+(AH57*AH68)+(AL57*AL68))/AN68</f>
        <v>7.5278579142602231</v>
      </c>
      <c r="AO57" s="2129" t="s">
        <v>32</v>
      </c>
      <c r="AP57" s="2130">
        <f>+((AL57*AL68)+(AJ57*AJ68))/AP68</f>
        <v>8.7634002127485484</v>
      </c>
      <c r="AQ57" s="2127" t="s">
        <v>32</v>
      </c>
      <c r="AR57" s="2128">
        <v>7.19</v>
      </c>
      <c r="AS57" s="2129" t="s">
        <v>32</v>
      </c>
      <c r="AT57" s="2130">
        <f>+((AP57*AP68)+(AR57*AR68))/AT68</f>
        <v>8.5188177244582057</v>
      </c>
      <c r="AU57" s="2127" t="s">
        <v>32</v>
      </c>
      <c r="AV57" s="2128">
        <v>6.69</v>
      </c>
      <c r="AW57" s="2129" t="s">
        <v>32</v>
      </c>
      <c r="AX57" s="2130">
        <f>+((AT57*AT68)+(AV57*AV68))/AX68</f>
        <v>8.2843347029267544</v>
      </c>
      <c r="AY57" s="2127" t="s">
        <v>32</v>
      </c>
      <c r="AZ57" s="2128">
        <v>6.78</v>
      </c>
      <c r="BA57" s="2131" t="s">
        <v>32</v>
      </c>
      <c r="BB57" s="2132">
        <f>+((AR57*AR68)+(AV57*AV68)+(AZ57*AZ68))/BB68</f>
        <v>6.9022914714151842</v>
      </c>
      <c r="BC57" s="2133" t="s">
        <v>32</v>
      </c>
      <c r="BD57" s="476">
        <f>+((AN57*AN68)+(BB57*BB68))/BD68</f>
        <v>7.1626375236941362</v>
      </c>
      <c r="BE57" s="2129" t="s">
        <v>32</v>
      </c>
      <c r="BF57" s="2130">
        <f>+((AX57*AX68)+(AZ57*AZ68))/BF68</f>
        <v>8.1522562952704423</v>
      </c>
      <c r="BH57" s="26"/>
      <c r="BI57" s="26"/>
      <c r="BJ57" s="26"/>
      <c r="BK57" s="26"/>
    </row>
    <row r="58" spans="1:63" ht="15.6" x14ac:dyDescent="0.3">
      <c r="A58" s="147"/>
      <c r="B58" s="2143" t="s">
        <v>1611</v>
      </c>
      <c r="C58" s="2110" t="s">
        <v>50</v>
      </c>
      <c r="D58" s="2284"/>
      <c r="E58" s="2285" t="s">
        <v>32</v>
      </c>
      <c r="F58" s="2286">
        <f>+RMHP!E28</f>
        <v>60954</v>
      </c>
      <c r="G58" s="2285" t="s">
        <v>32</v>
      </c>
      <c r="H58" s="2286">
        <f>+RMHP!G28</f>
        <v>66242</v>
      </c>
      <c r="I58" s="2273" t="s">
        <v>32</v>
      </c>
      <c r="J58" s="2274">
        <f t="shared" ref="I58:J69" si="351">+F58+H58</f>
        <v>127196</v>
      </c>
      <c r="K58" s="2285" t="s">
        <v>32</v>
      </c>
      <c r="L58" s="2286">
        <f>+RMHP!K28</f>
        <v>70756</v>
      </c>
      <c r="M58" s="2275" t="s">
        <v>32</v>
      </c>
      <c r="N58" s="2275">
        <f>F58+H58+L58</f>
        <v>197952</v>
      </c>
      <c r="O58" s="2285" t="s">
        <v>32</v>
      </c>
      <c r="P58" s="2286">
        <f>+RMHP!O28</f>
        <v>77478</v>
      </c>
      <c r="Q58" s="2273" t="s">
        <v>32</v>
      </c>
      <c r="R58" s="2274">
        <f t="shared" ref="R58:R69" si="352">+N58+P58</f>
        <v>275430</v>
      </c>
      <c r="S58" s="2285" t="s">
        <v>32</v>
      </c>
      <c r="T58" s="2286">
        <f>+RMHP!S28</f>
        <v>74857</v>
      </c>
      <c r="U58" s="2273" t="s">
        <v>32</v>
      </c>
      <c r="V58" s="2274">
        <f t="shared" ref="V58:V69" si="353">+R58+T58</f>
        <v>350287</v>
      </c>
      <c r="W58" s="2285" t="s">
        <v>32</v>
      </c>
      <c r="X58" s="2286">
        <f>+RMHP!W28</f>
        <v>77679</v>
      </c>
      <c r="Y58" s="2275" t="s">
        <v>32</v>
      </c>
      <c r="Z58" s="2275">
        <f>P58+T58+X58</f>
        <v>230014</v>
      </c>
      <c r="AA58" s="2276" t="s">
        <v>32</v>
      </c>
      <c r="AB58" s="2279">
        <f t="shared" ref="AB58:AB69" si="354">+N58+Z58</f>
        <v>427966</v>
      </c>
      <c r="AC58" s="2285" t="s">
        <v>32</v>
      </c>
      <c r="AD58" s="2286">
        <f>+RMHP!AC28</f>
        <v>75501</v>
      </c>
      <c r="AE58" s="2273" t="s">
        <v>32</v>
      </c>
      <c r="AF58" s="2274">
        <f t="shared" ref="AF58:AF69" si="355">+AB58+AD58</f>
        <v>503467</v>
      </c>
      <c r="AG58" s="2285" t="s">
        <v>32</v>
      </c>
      <c r="AH58" s="2286">
        <f>+RMHP!AG28</f>
        <v>3021</v>
      </c>
      <c r="AI58" s="2273" t="s">
        <v>32</v>
      </c>
      <c r="AJ58" s="2274">
        <f t="shared" ref="AJ58:AJ69" si="356">+AF58+AH58</f>
        <v>506488</v>
      </c>
      <c r="AK58" s="2285" t="s">
        <v>32</v>
      </c>
      <c r="AL58" s="2286">
        <f>+RMHP!AK28</f>
        <v>73124</v>
      </c>
      <c r="AM58" s="2275" t="s">
        <v>32</v>
      </c>
      <c r="AN58" s="2275">
        <f>AD58+AH58+AL58</f>
        <v>151646</v>
      </c>
      <c r="AO58" s="2273" t="s">
        <v>32</v>
      </c>
      <c r="AP58" s="2274">
        <f>+AL58+AJ58</f>
        <v>579612</v>
      </c>
      <c r="AQ58" s="2285" t="s">
        <v>32</v>
      </c>
      <c r="AR58" s="2286">
        <f>+RMHP!AQ28</f>
        <v>70214</v>
      </c>
      <c r="AS58" s="2273" t="s">
        <v>32</v>
      </c>
      <c r="AT58" s="2274">
        <f t="shared" ref="AT58:AT69" si="357">+AP58+AR58</f>
        <v>649826</v>
      </c>
      <c r="AU58" s="2285" t="s">
        <v>32</v>
      </c>
      <c r="AV58" s="2286">
        <f>+RMHP!AU28</f>
        <v>70069</v>
      </c>
      <c r="AW58" s="2273" t="s">
        <v>32</v>
      </c>
      <c r="AX58" s="2274">
        <f t="shared" ref="AX58:AX69" si="358">+AT58+AV58</f>
        <v>719895</v>
      </c>
      <c r="AY58" s="2285" t="s">
        <v>32</v>
      </c>
      <c r="AZ58" s="2286">
        <f>+RMHP!AY28</f>
        <v>82771</v>
      </c>
      <c r="BA58" s="2275" t="s">
        <v>32</v>
      </c>
      <c r="BB58" s="2275">
        <f>AR58+AV58+AZ58</f>
        <v>223054</v>
      </c>
      <c r="BC58" s="2276" t="s">
        <v>32</v>
      </c>
      <c r="BD58" s="468">
        <f>+AN58+BB58</f>
        <v>374700</v>
      </c>
      <c r="BE58" s="2273" t="s">
        <v>32</v>
      </c>
      <c r="BF58" s="2274">
        <f t="shared" ref="BF58:BF69" si="359">+AX58+AZ58</f>
        <v>802666</v>
      </c>
      <c r="BH58" s="26"/>
      <c r="BI58" s="26"/>
      <c r="BJ58" s="26"/>
      <c r="BK58" s="26"/>
    </row>
    <row r="59" spans="1:63" thickBot="1" x14ac:dyDescent="0.35">
      <c r="A59" s="147" t="s">
        <v>470</v>
      </c>
      <c r="B59" s="1760" t="s">
        <v>577</v>
      </c>
      <c r="C59" s="60" t="s">
        <v>50</v>
      </c>
      <c r="D59" s="1134">
        <f>+(D27/((100-D71)/100))-D27</f>
        <v>742117.67332594562</v>
      </c>
      <c r="E59" s="1134">
        <f>+(E27/((100-E71)/100))-E27</f>
        <v>63394.458873945172</v>
      </c>
      <c r="F59" s="1134">
        <f>+F58-((F54/100)*F58)</f>
        <v>60704.088600000003</v>
      </c>
      <c r="G59" s="1134">
        <f>+(G27/((100-G71)/100))-G27</f>
        <v>65406.981377879973</v>
      </c>
      <c r="H59" s="1134">
        <f>+H58-((H54/100)*H58)</f>
        <v>65731.936600000001</v>
      </c>
      <c r="I59" s="61">
        <f>+E59+G59</f>
        <v>128801.44025182514</v>
      </c>
      <c r="J59" s="39">
        <f t="shared" si="351"/>
        <v>126436.0252</v>
      </c>
      <c r="K59" s="1134">
        <f>+(K27/((100-K71)/100))-K27</f>
        <v>63394.458873945172</v>
      </c>
      <c r="L59" s="1134">
        <f>+L58-((L54/100)*L58)</f>
        <v>70189.952000000005</v>
      </c>
      <c r="M59" s="72">
        <f>+K59+G59+E59</f>
        <v>192195.89912577032</v>
      </c>
      <c r="N59" s="72">
        <f>+N58-((N54/100)*N58)</f>
        <v>196625.97719999999</v>
      </c>
      <c r="O59" s="1134">
        <f>+(O27/((100-O71)/100))-O27</f>
        <v>64149.154812920722</v>
      </c>
      <c r="P59" s="1134">
        <f>+P58-((P54/100)*P58)</f>
        <v>76850.428199999995</v>
      </c>
      <c r="Q59" s="61">
        <f>+M59+O59</f>
        <v>256345.05393869104</v>
      </c>
      <c r="R59" s="39">
        <f t="shared" si="352"/>
        <v>273476.40539999999</v>
      </c>
      <c r="S59" s="1134">
        <f>+(S27/((100-S71)/100))-S27</f>
        <v>64149.154812920722</v>
      </c>
      <c r="T59" s="1134">
        <f>+T58-((T54/100)*T58)</f>
        <v>74235.686900000001</v>
      </c>
      <c r="U59" s="61">
        <f>+Q59+S59</f>
        <v>320494.20875161176</v>
      </c>
      <c r="V59" s="39">
        <f t="shared" si="353"/>
        <v>347712.09230000002</v>
      </c>
      <c r="W59" s="1134">
        <f>+(W27/((100-W71)/100))-W27</f>
        <v>35219.143818858429</v>
      </c>
      <c r="X59" s="1134">
        <f>+X58-((X54/100)*X58)</f>
        <v>77166.318599999999</v>
      </c>
      <c r="Y59" s="68">
        <f>+W59+S59+O59</f>
        <v>163517.45344469987</v>
      </c>
      <c r="Z59" s="69">
        <f t="shared" ref="Z59:Z65" si="360">+X59+T59+P59</f>
        <v>228252.43369999999</v>
      </c>
      <c r="AA59" s="640">
        <f>M59+Y59</f>
        <v>355713.35257047019</v>
      </c>
      <c r="AB59" s="477">
        <f t="shared" si="354"/>
        <v>424878.41090000002</v>
      </c>
      <c r="AC59" s="1134">
        <f>+(AC27/((100-AC71)/100))-AC27</f>
        <v>62891.328247961472</v>
      </c>
      <c r="AD59" s="1134">
        <f>+AD58-((AD54/100)*AD58)</f>
        <v>74844.141300000003</v>
      </c>
      <c r="AE59" s="61">
        <f>+AA59+AC59</f>
        <v>418604.68081843166</v>
      </c>
      <c r="AF59" s="39">
        <f t="shared" si="355"/>
        <v>499722.55220000003</v>
      </c>
      <c r="AG59" s="1134">
        <f>+(AG27/((100-AG71)/100))-AG27</f>
        <v>60878.805744026729</v>
      </c>
      <c r="AH59" s="1134">
        <f>+AH58-((AH54/100)*AH58)</f>
        <v>2994.7172999999998</v>
      </c>
      <c r="AI59" s="61">
        <f>+AE59+AG59</f>
        <v>479483.48656245839</v>
      </c>
      <c r="AJ59" s="39">
        <f t="shared" si="356"/>
        <v>502717.26950000005</v>
      </c>
      <c r="AK59" s="1134">
        <f>+(AK27/((100-AK71)/100))-AK27</f>
        <v>62891.328247961472</v>
      </c>
      <c r="AL59" s="1134">
        <f>+AL58-((AL54/100)*AL58)</f>
        <v>72568.257599999997</v>
      </c>
      <c r="AM59" s="68">
        <f>+AK59+AG59+AC59</f>
        <v>186661.46223994967</v>
      </c>
      <c r="AN59" s="69">
        <f t="shared" ref="AN59:AN60" si="361">+AL59+AH59+AD59</f>
        <v>150407.11619999999</v>
      </c>
      <c r="AO59" s="589">
        <f>+AK59+AI59</f>
        <v>542374.81481041992</v>
      </c>
      <c r="AP59" s="589">
        <f>+AL59+AJ59</f>
        <v>575285.52710000006</v>
      </c>
      <c r="AQ59" s="1134">
        <f>+(AQ27/((100-AQ71)/100))-AQ27</f>
        <v>62891.328247961472</v>
      </c>
      <c r="AR59" s="1134">
        <f>+AR58-((AR54/100)*AR58)</f>
        <v>69645.266600000003</v>
      </c>
      <c r="AS59" s="61">
        <f>+AO59+AQ59</f>
        <v>605266.14305838139</v>
      </c>
      <c r="AT59" s="39">
        <f t="shared" si="357"/>
        <v>644930.79370000004</v>
      </c>
      <c r="AU59" s="1134">
        <f>+(AU27/((100-AU71)/100))-AU27</f>
        <v>56602.195423165336</v>
      </c>
      <c r="AV59" s="1134">
        <f>+AV58-((AV54/100)*AV58)</f>
        <v>69578.517000000007</v>
      </c>
      <c r="AW59" s="61">
        <f>+AS59+AU59</f>
        <v>661868.33848154673</v>
      </c>
      <c r="AX59" s="39">
        <f t="shared" si="358"/>
        <v>714509.31070000003</v>
      </c>
      <c r="AY59" s="1134">
        <f>+(AY27/((100-AY71)/100))-AY27</f>
        <v>62891.328247961472</v>
      </c>
      <c r="AZ59" s="1134">
        <f>+AZ58-((AZ54/100)*AZ58)</f>
        <v>82398.530499999993</v>
      </c>
      <c r="BA59" s="68">
        <f>+AY59+AU59+AQ59</f>
        <v>182384.85191908828</v>
      </c>
      <c r="BB59" s="69">
        <f t="shared" ref="BB59:BB60" si="362">+AZ59+AV59+AR59</f>
        <v>221622.31409999999</v>
      </c>
      <c r="BC59" s="469">
        <f t="shared" ref="BC59" si="363">AM59+BA59</f>
        <v>369046.31415903795</v>
      </c>
      <c r="BD59" s="469">
        <f t="shared" ref="BD59" si="364">AN59+BB59</f>
        <v>372029.43030000001</v>
      </c>
      <c r="BE59" s="61">
        <f>+AW59+AY59</f>
        <v>724759.6667295082</v>
      </c>
      <c r="BF59" s="39">
        <f t="shared" si="359"/>
        <v>796907.84120000002</v>
      </c>
      <c r="BH59" s="26"/>
      <c r="BI59" s="26"/>
      <c r="BJ59" s="26"/>
      <c r="BK59" s="26"/>
    </row>
    <row r="60" spans="1:63" ht="15.75" hidden="1" customHeight="1" thickBot="1" x14ac:dyDescent="0.35">
      <c r="A60" s="147"/>
      <c r="B60" s="1760" t="s">
        <v>1094</v>
      </c>
      <c r="C60" s="60" t="s">
        <v>50</v>
      </c>
      <c r="D60" s="1676" t="s">
        <v>32</v>
      </c>
      <c r="E60" s="1678" t="s">
        <v>32</v>
      </c>
      <c r="F60" s="1134"/>
      <c r="G60" s="1678" t="s">
        <v>32</v>
      </c>
      <c r="H60" s="1134"/>
      <c r="I60" s="827" t="s">
        <v>32</v>
      </c>
      <c r="J60" s="39">
        <f t="shared" si="351"/>
        <v>0</v>
      </c>
      <c r="K60" s="1678" t="s">
        <v>32</v>
      </c>
      <c r="L60" s="1134"/>
      <c r="M60" s="828" t="s">
        <v>32</v>
      </c>
      <c r="N60" s="828"/>
      <c r="O60" s="1678" t="s">
        <v>32</v>
      </c>
      <c r="P60" s="1134"/>
      <c r="Q60" s="827" t="s">
        <v>32</v>
      </c>
      <c r="R60" s="39">
        <f t="shared" si="352"/>
        <v>0</v>
      </c>
      <c r="S60" s="1678" t="s">
        <v>32</v>
      </c>
      <c r="T60" s="1134"/>
      <c r="U60" s="827" t="s">
        <v>32</v>
      </c>
      <c r="V60" s="39">
        <f t="shared" si="353"/>
        <v>0</v>
      </c>
      <c r="W60" s="1678" t="s">
        <v>32</v>
      </c>
      <c r="X60" s="1134"/>
      <c r="Y60" s="828" t="s">
        <v>32</v>
      </c>
      <c r="Z60" s="69">
        <f t="shared" si="360"/>
        <v>0</v>
      </c>
      <c r="AA60" s="829" t="s">
        <v>32</v>
      </c>
      <c r="AB60" s="477">
        <f t="shared" si="354"/>
        <v>0</v>
      </c>
      <c r="AC60" s="1678" t="s">
        <v>32</v>
      </c>
      <c r="AD60" s="1134"/>
      <c r="AE60" s="827" t="s">
        <v>32</v>
      </c>
      <c r="AF60" s="39">
        <f t="shared" si="355"/>
        <v>0</v>
      </c>
      <c r="AG60" s="1678" t="s">
        <v>32</v>
      </c>
      <c r="AH60" s="1134"/>
      <c r="AI60" s="827" t="s">
        <v>32</v>
      </c>
      <c r="AJ60" s="39">
        <f t="shared" si="356"/>
        <v>0</v>
      </c>
      <c r="AK60" s="1678" t="s">
        <v>32</v>
      </c>
      <c r="AL60" s="1134"/>
      <c r="AM60" s="828" t="s">
        <v>32</v>
      </c>
      <c r="AN60" s="69">
        <f t="shared" si="361"/>
        <v>0</v>
      </c>
      <c r="AO60" s="589" t="e">
        <f t="shared" ref="AO60:AO61" si="365">+AK60+AI60</f>
        <v>#VALUE!</v>
      </c>
      <c r="AP60" s="589">
        <f t="shared" ref="AO60:AP67" si="366">+AL60+AJ60</f>
        <v>0</v>
      </c>
      <c r="AQ60" s="1678" t="s">
        <v>32</v>
      </c>
      <c r="AR60" s="1134"/>
      <c r="AS60" s="827" t="s">
        <v>32</v>
      </c>
      <c r="AT60" s="39">
        <f t="shared" si="357"/>
        <v>0</v>
      </c>
      <c r="AU60" s="1678" t="s">
        <v>32</v>
      </c>
      <c r="AV60" s="1134"/>
      <c r="AW60" s="827" t="s">
        <v>32</v>
      </c>
      <c r="AX60" s="39">
        <f t="shared" si="358"/>
        <v>0</v>
      </c>
      <c r="AY60" s="1678" t="s">
        <v>32</v>
      </c>
      <c r="AZ60" s="1134"/>
      <c r="BA60" s="828" t="s">
        <v>32</v>
      </c>
      <c r="BB60" s="69">
        <f t="shared" si="362"/>
        <v>0</v>
      </c>
      <c r="BC60" s="829" t="s">
        <v>32</v>
      </c>
      <c r="BD60" s="477">
        <f t="shared" ref="BD60" si="367">+AP60+BB60</f>
        <v>0</v>
      </c>
      <c r="BE60" s="827" t="s">
        <v>32</v>
      </c>
      <c r="BF60" s="39">
        <f t="shared" si="359"/>
        <v>0</v>
      </c>
      <c r="BH60" s="26"/>
      <c r="BI60" s="26"/>
      <c r="BJ60" s="26"/>
      <c r="BK60" s="26"/>
    </row>
    <row r="61" spans="1:63" thickBot="1" x14ac:dyDescent="0.35">
      <c r="A61" s="147"/>
      <c r="B61" s="1760" t="s">
        <v>584</v>
      </c>
      <c r="C61" s="60" t="s">
        <v>50</v>
      </c>
      <c r="D61" s="1134">
        <v>0</v>
      </c>
      <c r="E61" s="1678">
        <v>0</v>
      </c>
      <c r="F61" s="1134">
        <f>+F60-((F54/100)*F60)</f>
        <v>0</v>
      </c>
      <c r="G61" s="1678">
        <v>0</v>
      </c>
      <c r="H61" s="1134">
        <f>+H60-((H54/100)*H60)</f>
        <v>0</v>
      </c>
      <c r="I61" s="61">
        <f>+E61+G61</f>
        <v>0</v>
      </c>
      <c r="J61" s="39">
        <f t="shared" si="351"/>
        <v>0</v>
      </c>
      <c r="K61" s="1678">
        <v>0</v>
      </c>
      <c r="L61" s="1134">
        <f>+L60-((L54/100)*L60)</f>
        <v>0</v>
      </c>
      <c r="M61" s="72">
        <f>+K61+G61+E61</f>
        <v>0</v>
      </c>
      <c r="N61" s="72">
        <f>+N60-((N54/100)*N60)</f>
        <v>0</v>
      </c>
      <c r="O61" s="1678">
        <v>0</v>
      </c>
      <c r="P61" s="1134">
        <f>+P60-((P54/100)*P60)</f>
        <v>0</v>
      </c>
      <c r="Q61" s="61">
        <f>+M61+O61</f>
        <v>0</v>
      </c>
      <c r="R61" s="39">
        <f t="shared" si="352"/>
        <v>0</v>
      </c>
      <c r="S61" s="1678">
        <v>0</v>
      </c>
      <c r="T61" s="1134">
        <f>+T60-((T54/100)*T60)</f>
        <v>0</v>
      </c>
      <c r="U61" s="61">
        <f>+Q61+S61</f>
        <v>0</v>
      </c>
      <c r="V61" s="39">
        <f t="shared" si="353"/>
        <v>0</v>
      </c>
      <c r="W61" s="1678">
        <v>0</v>
      </c>
      <c r="X61" s="1134">
        <f>+X60-((X54/100)*X60)</f>
        <v>0</v>
      </c>
      <c r="Y61" s="68">
        <f>+W61+S61+O61</f>
        <v>0</v>
      </c>
      <c r="Z61" s="69">
        <f>+X61+T61+P61</f>
        <v>0</v>
      </c>
      <c r="AA61" s="640">
        <f>M61+Y61</f>
        <v>0</v>
      </c>
      <c r="AB61" s="477">
        <f t="shared" ref="AB61" si="368">+N61+Z61</f>
        <v>0</v>
      </c>
      <c r="AC61" s="1678">
        <v>0</v>
      </c>
      <c r="AD61" s="1134">
        <f>+AD60-((AD54/100)*AD60)</f>
        <v>0</v>
      </c>
      <c r="AE61" s="61">
        <f>+AA61+AC61</f>
        <v>0</v>
      </c>
      <c r="AF61" s="39">
        <f t="shared" si="355"/>
        <v>0</v>
      </c>
      <c r="AG61" s="1678">
        <v>0</v>
      </c>
      <c r="AH61" s="1134">
        <f>+AH60-((AH54/100)*AH60)</f>
        <v>0</v>
      </c>
      <c r="AI61" s="61">
        <f>+AE61+AG61</f>
        <v>0</v>
      </c>
      <c r="AJ61" s="39">
        <f t="shared" si="356"/>
        <v>0</v>
      </c>
      <c r="AK61" s="1678">
        <v>0</v>
      </c>
      <c r="AL61" s="1134">
        <f>+AL60-((AL54/100)*AL60)</f>
        <v>0</v>
      </c>
      <c r="AM61" s="68">
        <f>+AK61+AG61+AC61</f>
        <v>0</v>
      </c>
      <c r="AN61" s="69">
        <f>+AL61+AH61+AD61</f>
        <v>0</v>
      </c>
      <c r="AO61" s="589">
        <f t="shared" si="365"/>
        <v>0</v>
      </c>
      <c r="AP61" s="589">
        <f t="shared" si="366"/>
        <v>0</v>
      </c>
      <c r="AQ61" s="1678">
        <v>0</v>
      </c>
      <c r="AR61" s="1134">
        <f>+AR60-((AR54/100)*AR60)</f>
        <v>0</v>
      </c>
      <c r="AS61" s="61">
        <f>+AO61+AQ61</f>
        <v>0</v>
      </c>
      <c r="AT61" s="39">
        <f t="shared" si="357"/>
        <v>0</v>
      </c>
      <c r="AU61" s="1678">
        <v>0</v>
      </c>
      <c r="AV61" s="1134">
        <f>+AV60-((AV54/100)*AV60)</f>
        <v>0</v>
      </c>
      <c r="AW61" s="61">
        <f>+AS61+AU61</f>
        <v>0</v>
      </c>
      <c r="AX61" s="39">
        <f t="shared" si="358"/>
        <v>0</v>
      </c>
      <c r="AY61" s="1678">
        <v>0</v>
      </c>
      <c r="AZ61" s="1134">
        <f>+AZ60-((AZ54/100)*AZ60)</f>
        <v>0</v>
      </c>
      <c r="BA61" s="68">
        <f>+AY61+AU61+AQ61</f>
        <v>0</v>
      </c>
      <c r="BB61" s="69">
        <f>+AZ61+AV61+AR61</f>
        <v>0</v>
      </c>
      <c r="BC61" s="469">
        <f t="shared" ref="BC61" si="369">AM61+BA61</f>
        <v>0</v>
      </c>
      <c r="BD61" s="469">
        <f t="shared" ref="BD61:BD63" si="370">AN61+BB61</f>
        <v>0</v>
      </c>
      <c r="BE61" s="61">
        <f>+AW61+AY61</f>
        <v>0</v>
      </c>
      <c r="BF61" s="39">
        <f t="shared" si="359"/>
        <v>0</v>
      </c>
      <c r="BH61" s="26"/>
      <c r="BI61" s="26"/>
      <c r="BJ61" s="26"/>
      <c r="BK61" s="26"/>
    </row>
    <row r="62" spans="1:63" thickBot="1" x14ac:dyDescent="0.35">
      <c r="A62" s="147"/>
      <c r="B62" s="1760" t="s">
        <v>1320</v>
      </c>
      <c r="C62" s="60" t="s">
        <v>50</v>
      </c>
      <c r="D62" s="1676" t="s">
        <v>32</v>
      </c>
      <c r="E62" s="1678" t="s">
        <v>32</v>
      </c>
      <c r="F62" s="1134">
        <f>+F58+F60</f>
        <v>60954</v>
      </c>
      <c r="G62" s="1678" t="s">
        <v>32</v>
      </c>
      <c r="H62" s="1134">
        <f>+H58+H60</f>
        <v>66242</v>
      </c>
      <c r="I62" s="827" t="s">
        <v>32</v>
      </c>
      <c r="J62" s="39">
        <f t="shared" si="351"/>
        <v>127196</v>
      </c>
      <c r="K62" s="1678" t="s">
        <v>32</v>
      </c>
      <c r="L62" s="1134">
        <f>+L58+L60</f>
        <v>70756</v>
      </c>
      <c r="M62" s="828" t="s">
        <v>32</v>
      </c>
      <c r="N62" s="828">
        <f>+N58+N60</f>
        <v>197952</v>
      </c>
      <c r="O62" s="1678" t="s">
        <v>32</v>
      </c>
      <c r="P62" s="1134">
        <f>+P58+P60</f>
        <v>77478</v>
      </c>
      <c r="Q62" s="827" t="s">
        <v>32</v>
      </c>
      <c r="R62" s="39">
        <f t="shared" si="352"/>
        <v>275430</v>
      </c>
      <c r="S62" s="1678" t="s">
        <v>32</v>
      </c>
      <c r="T62" s="1134">
        <f>+T58+T60</f>
        <v>74857</v>
      </c>
      <c r="U62" s="827" t="s">
        <v>32</v>
      </c>
      <c r="V62" s="39">
        <f t="shared" si="353"/>
        <v>350287</v>
      </c>
      <c r="W62" s="1678" t="s">
        <v>32</v>
      </c>
      <c r="X62" s="1134">
        <f>+X58+X60</f>
        <v>77679</v>
      </c>
      <c r="Y62" s="828" t="s">
        <v>32</v>
      </c>
      <c r="Z62" s="69">
        <f t="shared" si="360"/>
        <v>230014</v>
      </c>
      <c r="AA62" s="829" t="s">
        <v>32</v>
      </c>
      <c r="AB62" s="477">
        <f t="shared" si="354"/>
        <v>427966</v>
      </c>
      <c r="AC62" s="1678" t="s">
        <v>32</v>
      </c>
      <c r="AD62" s="1134">
        <f>+AD58+AD60</f>
        <v>75501</v>
      </c>
      <c r="AE62" s="827" t="s">
        <v>32</v>
      </c>
      <c r="AF62" s="39">
        <f t="shared" si="355"/>
        <v>503467</v>
      </c>
      <c r="AG62" s="1678" t="s">
        <v>32</v>
      </c>
      <c r="AH62" s="1134">
        <f>+AH58+AH60</f>
        <v>3021</v>
      </c>
      <c r="AI62" s="827" t="s">
        <v>32</v>
      </c>
      <c r="AJ62" s="39">
        <f t="shared" si="356"/>
        <v>506488</v>
      </c>
      <c r="AK62" s="1678" t="s">
        <v>32</v>
      </c>
      <c r="AL62" s="1134">
        <f>+AL58+AL60</f>
        <v>73124</v>
      </c>
      <c r="AM62" s="828" t="s">
        <v>32</v>
      </c>
      <c r="AN62" s="69">
        <f t="shared" ref="AN62" si="371">+AL62+AH62+AD62</f>
        <v>151646</v>
      </c>
      <c r="AO62" s="827" t="s">
        <v>32</v>
      </c>
      <c r="AP62" s="589">
        <f t="shared" si="366"/>
        <v>579612</v>
      </c>
      <c r="AQ62" s="1678" t="s">
        <v>32</v>
      </c>
      <c r="AR62" s="1134">
        <f>+AR58+AR60</f>
        <v>70214</v>
      </c>
      <c r="AS62" s="827" t="s">
        <v>32</v>
      </c>
      <c r="AT62" s="39">
        <f t="shared" si="357"/>
        <v>649826</v>
      </c>
      <c r="AU62" s="1678" t="s">
        <v>32</v>
      </c>
      <c r="AV62" s="1134">
        <f>+AV58+AV60</f>
        <v>70069</v>
      </c>
      <c r="AW62" s="827" t="s">
        <v>32</v>
      </c>
      <c r="AX62" s="39">
        <f t="shared" si="358"/>
        <v>719895</v>
      </c>
      <c r="AY62" s="1678" t="s">
        <v>32</v>
      </c>
      <c r="AZ62" s="1134">
        <f>+AZ58+AZ60</f>
        <v>82771</v>
      </c>
      <c r="BA62" s="828" t="s">
        <v>32</v>
      </c>
      <c r="BB62" s="69">
        <f t="shared" ref="BB62" si="372">+AZ62+AV62+AR62</f>
        <v>223054</v>
      </c>
      <c r="BC62" s="829" t="s">
        <v>32</v>
      </c>
      <c r="BD62" s="469">
        <f t="shared" si="370"/>
        <v>374700</v>
      </c>
      <c r="BE62" s="827" t="s">
        <v>32</v>
      </c>
      <c r="BF62" s="39">
        <f t="shared" si="359"/>
        <v>802666</v>
      </c>
      <c r="BH62" s="26"/>
      <c r="BI62" s="26"/>
      <c r="BJ62" s="26"/>
      <c r="BK62" s="26"/>
    </row>
    <row r="63" spans="1:63" thickBot="1" x14ac:dyDescent="0.35">
      <c r="A63" s="147" t="s">
        <v>470</v>
      </c>
      <c r="B63" s="1761" t="s">
        <v>1319</v>
      </c>
      <c r="C63" s="830" t="s">
        <v>50</v>
      </c>
      <c r="D63" s="1134">
        <f>+D59+D61</f>
        <v>742117.67332594562</v>
      </c>
      <c r="E63" s="1134">
        <f>+E59+E61</f>
        <v>63394.458873945172</v>
      </c>
      <c r="F63" s="1134">
        <f>+F59+F61</f>
        <v>60704.088600000003</v>
      </c>
      <c r="G63" s="1134">
        <f>+G59+G61</f>
        <v>65406.981377879973</v>
      </c>
      <c r="H63" s="1134">
        <f>+H59+H61</f>
        <v>65731.936600000001</v>
      </c>
      <c r="I63" s="722">
        <f>+E63+G63</f>
        <v>128801.44025182514</v>
      </c>
      <c r="J63" s="44">
        <f t="shared" si="351"/>
        <v>126436.0252</v>
      </c>
      <c r="K63" s="1134">
        <f>+K59+K61</f>
        <v>63394.458873945172</v>
      </c>
      <c r="L63" s="1134">
        <f>+L59+L61</f>
        <v>70189.952000000005</v>
      </c>
      <c r="M63" s="72">
        <f>+K63+G63+E63</f>
        <v>192195.89912577032</v>
      </c>
      <c r="N63" s="72">
        <f>+N59+N61</f>
        <v>196625.97719999999</v>
      </c>
      <c r="O63" s="1134">
        <f>+O59+O61</f>
        <v>64149.154812920722</v>
      </c>
      <c r="P63" s="1134">
        <f>+P59+P61</f>
        <v>76850.428199999995</v>
      </c>
      <c r="Q63" s="722">
        <f>+M63+O63</f>
        <v>256345.05393869104</v>
      </c>
      <c r="R63" s="44">
        <f t="shared" si="352"/>
        <v>273476.40539999999</v>
      </c>
      <c r="S63" s="1134">
        <f>+S59+S61</f>
        <v>64149.154812920722</v>
      </c>
      <c r="T63" s="1134">
        <f>+T59+T61</f>
        <v>74235.686900000001</v>
      </c>
      <c r="U63" s="722">
        <f>+Q63+S63</f>
        <v>320494.20875161176</v>
      </c>
      <c r="V63" s="44">
        <f t="shared" si="353"/>
        <v>347712.09230000002</v>
      </c>
      <c r="W63" s="1134">
        <f>+W59+W61</f>
        <v>35219.143818858429</v>
      </c>
      <c r="X63" s="1134">
        <f>+X59+X61</f>
        <v>77166.318599999999</v>
      </c>
      <c r="Y63" s="68">
        <f>+W63+S63+O63</f>
        <v>163517.45344469987</v>
      </c>
      <c r="Z63" s="69">
        <f>+X63+T63+P63</f>
        <v>228252.43369999999</v>
      </c>
      <c r="AA63" s="640">
        <f>M63+Y63</f>
        <v>355713.35257047019</v>
      </c>
      <c r="AB63" s="477">
        <f t="shared" si="354"/>
        <v>424878.41090000002</v>
      </c>
      <c r="AC63" s="1134">
        <f>+AC59+AC61</f>
        <v>62891.328247961472</v>
      </c>
      <c r="AD63" s="1134">
        <f>+AD59+AD61</f>
        <v>74844.141300000003</v>
      </c>
      <c r="AE63" s="722">
        <f>+AA63+AC63</f>
        <v>418604.68081843166</v>
      </c>
      <c r="AF63" s="44">
        <f t="shared" si="355"/>
        <v>499722.55220000003</v>
      </c>
      <c r="AG63" s="1134">
        <f>+AG59+AG61</f>
        <v>60878.805744026729</v>
      </c>
      <c r="AH63" s="1134">
        <f>+AH59+AH61</f>
        <v>2994.7172999999998</v>
      </c>
      <c r="AI63" s="722">
        <f>+AE63+AG63</f>
        <v>479483.48656245839</v>
      </c>
      <c r="AJ63" s="44">
        <f t="shared" si="356"/>
        <v>502717.26950000005</v>
      </c>
      <c r="AK63" s="1134">
        <f>+AK59+AK61</f>
        <v>62891.328247961472</v>
      </c>
      <c r="AL63" s="1134">
        <f>+AL59+AL61</f>
        <v>72568.257599999997</v>
      </c>
      <c r="AM63" s="68">
        <f>+AK63+AG63+AC63</f>
        <v>186661.46223994967</v>
      </c>
      <c r="AN63" s="69">
        <f>+AL63+AH63+AD63</f>
        <v>150407.11619999999</v>
      </c>
      <c r="AO63" s="589">
        <f t="shared" si="366"/>
        <v>542374.81481041992</v>
      </c>
      <c r="AP63" s="589">
        <f t="shared" si="366"/>
        <v>575285.52710000006</v>
      </c>
      <c r="AQ63" s="1134">
        <f>+AQ59+AQ61</f>
        <v>62891.328247961472</v>
      </c>
      <c r="AR63" s="1134">
        <f>+AR59+AR61</f>
        <v>69645.266600000003</v>
      </c>
      <c r="AS63" s="722">
        <f>+AO63+AQ63</f>
        <v>605266.14305838139</v>
      </c>
      <c r="AT63" s="44">
        <f t="shared" si="357"/>
        <v>644930.79370000004</v>
      </c>
      <c r="AU63" s="1134">
        <f>+AU59+AU61</f>
        <v>56602.195423165336</v>
      </c>
      <c r="AV63" s="1134">
        <f>+AV59+AV61</f>
        <v>69578.517000000007</v>
      </c>
      <c r="AW63" s="722">
        <f>+AS63+AU63</f>
        <v>661868.33848154673</v>
      </c>
      <c r="AX63" s="44">
        <f t="shared" si="358"/>
        <v>714509.31070000003</v>
      </c>
      <c r="AY63" s="1134">
        <f>+AY59+AY61</f>
        <v>62891.328247961472</v>
      </c>
      <c r="AZ63" s="1134">
        <f>+AZ59+AZ61</f>
        <v>82398.530499999993</v>
      </c>
      <c r="BA63" s="68">
        <f>+AY63+AU63+AQ63</f>
        <v>182384.85191908828</v>
      </c>
      <c r="BB63" s="69">
        <f>+AZ63+AV63+AR63</f>
        <v>221622.31409999999</v>
      </c>
      <c r="BC63" s="469">
        <f t="shared" ref="BC63" si="373">AM63+BA63</f>
        <v>369046.31415903795</v>
      </c>
      <c r="BD63" s="469">
        <f t="shared" si="370"/>
        <v>372029.43030000001</v>
      </c>
      <c r="BE63" s="722">
        <f>+AW63+AY63</f>
        <v>724759.6667295082</v>
      </c>
      <c r="BF63" s="44">
        <f t="shared" si="359"/>
        <v>796907.84120000002</v>
      </c>
      <c r="BH63" s="26"/>
      <c r="BI63" s="26"/>
      <c r="BJ63" s="26"/>
      <c r="BK63" s="26"/>
    </row>
    <row r="64" spans="1:63" ht="15.6" x14ac:dyDescent="0.3">
      <c r="A64" s="147"/>
      <c r="B64" s="1760" t="s">
        <v>246</v>
      </c>
      <c r="C64" s="60" t="s">
        <v>50</v>
      </c>
      <c r="D64" s="4042" t="s">
        <v>32</v>
      </c>
      <c r="E64" s="1678" t="s">
        <v>32</v>
      </c>
      <c r="F64" s="1134">
        <f>+RMHP!E29</f>
        <v>10598</v>
      </c>
      <c r="G64" s="1678" t="s">
        <v>32</v>
      </c>
      <c r="H64" s="1134">
        <f>+RMHP!G29</f>
        <v>12006</v>
      </c>
      <c r="I64" s="4043" t="s">
        <v>32</v>
      </c>
      <c r="J64" s="62">
        <f t="shared" si="351"/>
        <v>22604</v>
      </c>
      <c r="K64" s="1678" t="s">
        <v>32</v>
      </c>
      <c r="L64" s="1134">
        <f>+RMHP!K29</f>
        <v>12596</v>
      </c>
      <c r="M64" s="4044" t="s">
        <v>32</v>
      </c>
      <c r="N64" s="4044">
        <f>F64+H64+L64</f>
        <v>35200</v>
      </c>
      <c r="O64" s="1678" t="s">
        <v>32</v>
      </c>
      <c r="P64" s="1134">
        <f>+RMHP!O29</f>
        <v>13988</v>
      </c>
      <c r="Q64" s="2281" t="s">
        <v>32</v>
      </c>
      <c r="R64" s="100">
        <f t="shared" si="352"/>
        <v>49188</v>
      </c>
      <c r="S64" s="1678" t="s">
        <v>32</v>
      </c>
      <c r="T64" s="1134">
        <f>+RMHP!S29</f>
        <v>13411</v>
      </c>
      <c r="U64" s="2281" t="s">
        <v>32</v>
      </c>
      <c r="V64" s="100">
        <f t="shared" si="353"/>
        <v>62599</v>
      </c>
      <c r="W64" s="1678" t="s">
        <v>32</v>
      </c>
      <c r="X64" s="1134">
        <f>+RMHP!W29</f>
        <v>13601</v>
      </c>
      <c r="Y64" s="2282" t="s">
        <v>32</v>
      </c>
      <c r="Z64" s="2037">
        <f>P64+T64+X64</f>
        <v>41000</v>
      </c>
      <c r="AA64" s="2283" t="s">
        <v>32</v>
      </c>
      <c r="AB64" s="491">
        <f t="shared" si="354"/>
        <v>76200</v>
      </c>
      <c r="AC64" s="1678" t="s">
        <v>32</v>
      </c>
      <c r="AD64" s="1134">
        <f>+RMHP!AC29</f>
        <v>8674</v>
      </c>
      <c r="AE64" s="2281" t="s">
        <v>32</v>
      </c>
      <c r="AF64" s="100">
        <f t="shared" si="355"/>
        <v>84874</v>
      </c>
      <c r="AG64" s="1678" t="s">
        <v>32</v>
      </c>
      <c r="AH64" s="1134">
        <f>+RMHP!AG29</f>
        <v>1092</v>
      </c>
      <c r="AI64" s="2281" t="s">
        <v>32</v>
      </c>
      <c r="AJ64" s="100">
        <f t="shared" si="356"/>
        <v>85966</v>
      </c>
      <c r="AK64" s="1678" t="s">
        <v>32</v>
      </c>
      <c r="AL64" s="1134">
        <f>+RMHP!AK29</f>
        <v>9992.1024621952165</v>
      </c>
      <c r="AM64" s="2282" t="s">
        <v>32</v>
      </c>
      <c r="AN64" s="2037">
        <f>AD64+AH64+AL64</f>
        <v>19758.102462195217</v>
      </c>
      <c r="AO64" s="2281" t="s">
        <v>32</v>
      </c>
      <c r="AP64" s="2274">
        <f>+AL64+AJ64</f>
        <v>95958.102462195209</v>
      </c>
      <c r="AQ64" s="1678" t="s">
        <v>32</v>
      </c>
      <c r="AR64" s="1134">
        <f>+RMHP!AQ29</f>
        <v>10835</v>
      </c>
      <c r="AS64" s="2281" t="s">
        <v>32</v>
      </c>
      <c r="AT64" s="100">
        <f t="shared" si="357"/>
        <v>106793.10246219521</v>
      </c>
      <c r="AU64" s="1678" t="s">
        <v>32</v>
      </c>
      <c r="AV64" s="1134">
        <f>+RMHP!AU29</f>
        <v>10245</v>
      </c>
      <c r="AW64" s="2281" t="s">
        <v>32</v>
      </c>
      <c r="AX64" s="100">
        <f t="shared" si="358"/>
        <v>117038.10246219521</v>
      </c>
      <c r="AY64" s="1678" t="s">
        <v>32</v>
      </c>
      <c r="AZ64" s="1134">
        <f>+RMHP!AY29</f>
        <v>10423</v>
      </c>
      <c r="BA64" s="2282" t="s">
        <v>32</v>
      </c>
      <c r="BB64" s="2037">
        <f>AR64+AV64+AZ64</f>
        <v>31503</v>
      </c>
      <c r="BC64" s="2283" t="s">
        <v>32</v>
      </c>
      <c r="BD64" s="468">
        <f>+AN64+BB64</f>
        <v>51261.102462195217</v>
      </c>
      <c r="BE64" s="2281" t="s">
        <v>32</v>
      </c>
      <c r="BF64" s="100">
        <f t="shared" si="359"/>
        <v>127461.10246219521</v>
      </c>
      <c r="BH64" s="26"/>
      <c r="BI64" s="26"/>
      <c r="BJ64" s="26"/>
      <c r="BK64" s="26"/>
    </row>
    <row r="65" spans="1:63" thickBot="1" x14ac:dyDescent="0.35">
      <c r="A65" s="147" t="s">
        <v>470</v>
      </c>
      <c r="B65" s="1751" t="s">
        <v>247</v>
      </c>
      <c r="C65" s="749" t="s">
        <v>50</v>
      </c>
      <c r="D65" s="1134">
        <f>+((D23+D24)/((100-D72)/100))-(D23+D24)</f>
        <v>126257.5555555555</v>
      </c>
      <c r="E65" s="1134">
        <f>+((E23+E24)/((100-E72)/100))-(E23+E24)</f>
        <v>10780</v>
      </c>
      <c r="F65" s="1134">
        <f>+F64-((F55/100)*F64)</f>
        <v>10099.894</v>
      </c>
      <c r="G65" s="1134">
        <f>+((G23+G24)/((100-G72)/100))-(G23+G24)</f>
        <v>11122.222222222219</v>
      </c>
      <c r="H65" s="1134">
        <f>+H64-((H55/100)*H64)</f>
        <v>11375.684999999999</v>
      </c>
      <c r="I65" s="722">
        <f>+E65+G65</f>
        <v>21902.222222222219</v>
      </c>
      <c r="J65" s="44">
        <f t="shared" si="351"/>
        <v>21475.578999999998</v>
      </c>
      <c r="K65" s="1134">
        <f>+((K23+K24)/((100-K72)/100))-(K23+K24)</f>
        <v>10780</v>
      </c>
      <c r="L65" s="1134">
        <f>+L64-((L55/100)*L64)</f>
        <v>11847.7976</v>
      </c>
      <c r="M65" s="72">
        <f>+K65+G65+E65</f>
        <v>32682.222222222219</v>
      </c>
      <c r="N65" s="72">
        <f>+N64-((N55/100)*N64)</f>
        <v>33323.376600000003</v>
      </c>
      <c r="O65" s="1134">
        <f>+((O23+O24)/((100-O72)/100))-(O23+O24)</f>
        <v>10908.333333333328</v>
      </c>
      <c r="P65" s="1134">
        <f>+P64-((P55/100)*P64)</f>
        <v>13053.6016</v>
      </c>
      <c r="Q65" s="722">
        <f>+M65+O65</f>
        <v>43590.555555555547</v>
      </c>
      <c r="R65" s="44">
        <f t="shared" si="352"/>
        <v>46376.978200000005</v>
      </c>
      <c r="S65" s="1134">
        <f>+((S23+S24)/((100-S72)/100))-(S23+S24)</f>
        <v>10908.333333333328</v>
      </c>
      <c r="T65" s="1134">
        <f>+T64-((T55/100)*T64)</f>
        <v>12613.0455</v>
      </c>
      <c r="U65" s="722">
        <f>+Q65+S65</f>
        <v>54498.888888888876</v>
      </c>
      <c r="V65" s="44">
        <f t="shared" si="353"/>
        <v>58990.023700000005</v>
      </c>
      <c r="W65" s="1134">
        <f>+((W23+W24)/((100-W72)/100))-(W23+W24)</f>
        <v>6393.3333333333285</v>
      </c>
      <c r="X65" s="1134">
        <f>+X64-((X55/100)*X64)</f>
        <v>12861.105600000001</v>
      </c>
      <c r="Y65" s="68">
        <f>+W65+S65+O65</f>
        <v>28209.999999999985</v>
      </c>
      <c r="Z65" s="69">
        <f t="shared" si="360"/>
        <v>38527.752700000005</v>
      </c>
      <c r="AA65" s="640">
        <f>M65+Y65</f>
        <v>60892.222222222204</v>
      </c>
      <c r="AB65" s="477">
        <f t="shared" si="354"/>
        <v>71851.129300000001</v>
      </c>
      <c r="AC65" s="1134">
        <f>+((AC23+AC24)/((100-AC72)/100))-(AC23+AC24)</f>
        <v>11150</v>
      </c>
      <c r="AD65" s="1134">
        <f>+AD64-((AD55/100)*AD64)</f>
        <v>8168.3058000000001</v>
      </c>
      <c r="AE65" s="722">
        <f>+AA65+AC65</f>
        <v>72042.222222222204</v>
      </c>
      <c r="AF65" s="44">
        <f t="shared" si="355"/>
        <v>80019.435100000002</v>
      </c>
      <c r="AG65" s="1134">
        <f>+((AG23+AG24)/((100-AG72)/100))-(AG23+AG24)</f>
        <v>10602.288888888885</v>
      </c>
      <c r="AH65" s="1134">
        <f>+AH64-((AH55/100)*AH64)</f>
        <v>1028.3363999999999</v>
      </c>
      <c r="AI65" s="722">
        <f>+AE65+AG65</f>
        <v>82644.511111111089</v>
      </c>
      <c r="AJ65" s="44">
        <f t="shared" si="356"/>
        <v>81047.771500000003</v>
      </c>
      <c r="AK65" s="1134">
        <f>+((AK23+AK24)/((100-AK72)/100))-(AK23+AK24)</f>
        <v>10952.777777777781</v>
      </c>
      <c r="AL65" s="1134">
        <f>+AL64-((AL55/100)*AL64)</f>
        <v>9485.5028673619199</v>
      </c>
      <c r="AM65" s="68">
        <f>+AK65+AG65+AC65</f>
        <v>32705.066666666666</v>
      </c>
      <c r="AN65" s="69">
        <f t="shared" ref="AN65:AN67" si="374">+AL65+AH65+AD65</f>
        <v>18682.145067361918</v>
      </c>
      <c r="AO65" s="589">
        <f t="shared" si="366"/>
        <v>93597.28888888887</v>
      </c>
      <c r="AP65" s="589">
        <f t="shared" si="366"/>
        <v>90533.274367361926</v>
      </c>
      <c r="AQ65" s="1134">
        <f>+((AQ23+AQ24)/((100-AQ72)/100))-(AQ23+AQ24)</f>
        <v>10952.777777777781</v>
      </c>
      <c r="AR65" s="1134">
        <f>+AR64-((AR55/100)*AR64)</f>
        <v>10295.416999999999</v>
      </c>
      <c r="AS65" s="722">
        <f>+AO65+AQ65</f>
        <v>104550.06666666665</v>
      </c>
      <c r="AT65" s="44">
        <f t="shared" si="357"/>
        <v>100828.69136736193</v>
      </c>
      <c r="AU65" s="1134">
        <f>+((AU23+AU24)/((100-AU72)/100))-(AU23+AU24)</f>
        <v>9857.5</v>
      </c>
      <c r="AV65" s="1134">
        <f>+AV64-((AV55/100)*AV64)</f>
        <v>9752.2155000000002</v>
      </c>
      <c r="AW65" s="722">
        <f>+AS65+AU65</f>
        <v>114407.56666666665</v>
      </c>
      <c r="AX65" s="44">
        <f t="shared" si="358"/>
        <v>110580.90686736193</v>
      </c>
      <c r="AY65" s="1134">
        <f>+((AY23+AY24)/((100-AY72)/100))-(AY23+AY24)</f>
        <v>10952.777777777781</v>
      </c>
      <c r="AZ65" s="1134">
        <f>+AZ64-((AZ55/100)*AZ64)</f>
        <v>9910.1883999999991</v>
      </c>
      <c r="BA65" s="68">
        <f>+AY65+AU65+AQ65</f>
        <v>31763.055555555562</v>
      </c>
      <c r="BB65" s="69">
        <f t="shared" ref="BB65:BB67" si="375">+AZ65+AV65+AR65</f>
        <v>29957.820899999999</v>
      </c>
      <c r="BC65" s="469">
        <f t="shared" ref="BC65" si="376">AM65+BA65</f>
        <v>64468.122222222228</v>
      </c>
      <c r="BD65" s="469">
        <f t="shared" ref="BD65" si="377">AN65+BB65</f>
        <v>48639.965967361917</v>
      </c>
      <c r="BE65" s="722">
        <f>+AW65+AY65</f>
        <v>125360.34444444443</v>
      </c>
      <c r="BF65" s="44">
        <f t="shared" si="359"/>
        <v>120491.09526736193</v>
      </c>
      <c r="BH65" s="26"/>
      <c r="BI65" s="26"/>
      <c r="BJ65" s="26"/>
      <c r="BK65" s="26"/>
    </row>
    <row r="66" spans="1:63" ht="16.149999999999999" thickBot="1" x14ac:dyDescent="0.35">
      <c r="A66" s="147"/>
      <c r="B66" s="1752" t="s">
        <v>1316</v>
      </c>
      <c r="C66" s="749" t="s">
        <v>50</v>
      </c>
      <c r="D66" s="1134"/>
      <c r="E66" s="1134"/>
      <c r="F66" s="1134">
        <f>+RMHP!E31</f>
        <v>621</v>
      </c>
      <c r="G66" s="1134"/>
      <c r="H66" s="1134">
        <f>+RMHP!G31</f>
        <v>1293</v>
      </c>
      <c r="I66" s="2111"/>
      <c r="J66" s="44">
        <f t="shared" si="351"/>
        <v>1914</v>
      </c>
      <c r="K66" s="1134"/>
      <c r="L66" s="1134">
        <f>+RMHP!K31</f>
        <v>901</v>
      </c>
      <c r="M66" s="1123"/>
      <c r="N66" s="1123">
        <f>F66+H66+L66</f>
        <v>2815</v>
      </c>
      <c r="O66" s="1134"/>
      <c r="P66" s="1134">
        <f>+RMHP!O31</f>
        <v>855</v>
      </c>
      <c r="Q66" s="2248"/>
      <c r="R66" s="1964">
        <f t="shared" si="352"/>
        <v>3670</v>
      </c>
      <c r="S66" s="1134"/>
      <c r="T66" s="1134">
        <f>+RMHP!S31</f>
        <v>912</v>
      </c>
      <c r="U66" s="2248"/>
      <c r="V66" s="1964">
        <f t="shared" si="353"/>
        <v>4582</v>
      </c>
      <c r="W66" s="1134"/>
      <c r="X66" s="1134">
        <f>+RMHP!W31</f>
        <v>798</v>
      </c>
      <c r="Y66" s="2278"/>
      <c r="Z66" s="2277">
        <f>P66+T66+X66</f>
        <v>2565</v>
      </c>
      <c r="AA66" s="2250"/>
      <c r="AB66" s="2279">
        <f t="shared" si="354"/>
        <v>5380</v>
      </c>
      <c r="AC66" s="1134"/>
      <c r="AD66" s="1134">
        <f>+RMHP!AC31</f>
        <v>910</v>
      </c>
      <c r="AE66" s="2248"/>
      <c r="AF66" s="1964">
        <f t="shared" si="355"/>
        <v>6290</v>
      </c>
      <c r="AG66" s="1134"/>
      <c r="AH66" s="1134">
        <f>+RMHP!AG31</f>
        <v>125</v>
      </c>
      <c r="AI66" s="2248"/>
      <c r="AJ66" s="1964">
        <f t="shared" si="356"/>
        <v>6415</v>
      </c>
      <c r="AK66" s="1134"/>
      <c r="AL66" s="1134">
        <f>+RMHP!AK31</f>
        <v>1420</v>
      </c>
      <c r="AM66" s="2278"/>
      <c r="AN66" s="2277">
        <f>AD66+AH66+AL66</f>
        <v>2455</v>
      </c>
      <c r="AO66" s="2248"/>
      <c r="AP66" s="2274">
        <f>+AL66+AJ66</f>
        <v>7835</v>
      </c>
      <c r="AQ66" s="1134"/>
      <c r="AR66" s="1134">
        <f>+RMHP!AQ31</f>
        <v>1299</v>
      </c>
      <c r="AS66" s="2248"/>
      <c r="AT66" s="1964">
        <f t="shared" si="357"/>
        <v>9134</v>
      </c>
      <c r="AU66" s="1134"/>
      <c r="AV66" s="1134">
        <f>+RMHP!AU31</f>
        <v>969</v>
      </c>
      <c r="AW66" s="2248"/>
      <c r="AX66" s="1964">
        <f t="shared" si="358"/>
        <v>10103</v>
      </c>
      <c r="AY66" s="1134"/>
      <c r="AZ66" s="1134">
        <f>+RMHP!AY31</f>
        <v>1493</v>
      </c>
      <c r="BA66" s="2278"/>
      <c r="BB66" s="2277">
        <f>AR66+AV66+AZ66</f>
        <v>3761</v>
      </c>
      <c r="BC66" s="2250"/>
      <c r="BD66" s="468">
        <f>+AN66+BB66</f>
        <v>6216</v>
      </c>
      <c r="BE66" s="2248"/>
      <c r="BF66" s="1964">
        <f t="shared" si="359"/>
        <v>11596</v>
      </c>
      <c r="BH66" s="26"/>
      <c r="BI66" s="26"/>
      <c r="BJ66" s="26"/>
      <c r="BK66" s="26"/>
    </row>
    <row r="67" spans="1:63" thickBot="1" x14ac:dyDescent="0.35">
      <c r="A67" s="147"/>
      <c r="B67" s="1751" t="s">
        <v>1317</v>
      </c>
      <c r="C67" s="749" t="s">
        <v>50</v>
      </c>
      <c r="D67" s="1134">
        <f>D30/((100-D73)/100)-D30</f>
        <v>12503.166988353478</v>
      </c>
      <c r="E67" s="1134">
        <f>E30/((100-E73)/100)-E30</f>
        <v>1068.0671461237507</v>
      </c>
      <c r="F67" s="1134">
        <f>+F66-((F56/100)*F66)</f>
        <v>614.66579999999999</v>
      </c>
      <c r="G67" s="1134">
        <f>G30/((100-G73)/100)-G30</f>
        <v>1101.9740396514972</v>
      </c>
      <c r="H67" s="1134">
        <f>+H66-((H56/100)*H66)</f>
        <v>1273.9929</v>
      </c>
      <c r="I67" s="44">
        <f t="shared" si="351"/>
        <v>2170.0411857752479</v>
      </c>
      <c r="J67" s="44">
        <f t="shared" si="351"/>
        <v>1888.6587</v>
      </c>
      <c r="K67" s="1134">
        <f>K30/((100-K73)/100)-K30</f>
        <v>1068.0671461237507</v>
      </c>
      <c r="L67" s="1134">
        <f>+L66-((L56/100)*L66)</f>
        <v>881.08789999999999</v>
      </c>
      <c r="M67" s="1123">
        <f>E67+G67+K67</f>
        <v>3238.1083318989986</v>
      </c>
      <c r="N67" s="1123">
        <f>+N66-((N56/100)*N66)</f>
        <v>2769.7465999999999</v>
      </c>
      <c r="O67" s="1134">
        <f>O30/((100-O73)/100)-O30</f>
        <v>1080.7822311966593</v>
      </c>
      <c r="P67" s="1134">
        <f>+P66-((P56/100)*P66)</f>
        <v>831.40200000000004</v>
      </c>
      <c r="Q67" s="2111">
        <f>M67+O67</f>
        <v>4318.8905630956579</v>
      </c>
      <c r="R67" s="44">
        <f t="shared" si="352"/>
        <v>3601.1486</v>
      </c>
      <c r="S67" s="1134">
        <f>S30/((100-S73)/100)-S30</f>
        <v>1080.7822311966593</v>
      </c>
      <c r="T67" s="1134">
        <f>+T66-((T56/100)*T66)</f>
        <v>890.56799999999998</v>
      </c>
      <c r="U67" s="2111">
        <f>Q67+S67</f>
        <v>5399.6727942923171</v>
      </c>
      <c r="V67" s="44">
        <f t="shared" si="353"/>
        <v>4491.7165999999997</v>
      </c>
      <c r="W67" s="1134">
        <f>W30/((100-W73)/100)-W30</f>
        <v>593.37063673541707</v>
      </c>
      <c r="X67" s="1134">
        <f>+X66-((X56/100)*X66)</f>
        <v>783.31680000000006</v>
      </c>
      <c r="Y67" s="68">
        <f>+W67+S67+O67</f>
        <v>2754.9350991287356</v>
      </c>
      <c r="Z67" s="1123">
        <f>+Z66-((Z56/100)*Z66)</f>
        <v>2505.5261895357253</v>
      </c>
      <c r="AA67" s="640">
        <f>M67+Y67</f>
        <v>5993.0434310277342</v>
      </c>
      <c r="AB67" s="458">
        <f t="shared" si="354"/>
        <v>5275.2727895357257</v>
      </c>
      <c r="AC67" s="1134">
        <f>AC30/((100-AC73)/100)-AC30</f>
        <v>1059.5904227418214</v>
      </c>
      <c r="AD67" s="1134">
        <f>+AD66-((AD56/100)*AD66)</f>
        <v>893.529</v>
      </c>
      <c r="AE67" s="2111">
        <f>AA67+AC67</f>
        <v>7052.6338537695556</v>
      </c>
      <c r="AF67" s="44">
        <f t="shared" si="355"/>
        <v>6168.8017895357261</v>
      </c>
      <c r="AG67" s="1134">
        <f>AG30/((100-AG73)/100)-AG30</f>
        <v>1025.6835292140895</v>
      </c>
      <c r="AH67" s="1134">
        <f>+AH66-((AH56/100)*AH66)</f>
        <v>123.0125</v>
      </c>
      <c r="AI67" s="2111">
        <f>AE67+AG67</f>
        <v>8078.3173829836451</v>
      </c>
      <c r="AJ67" s="44">
        <f t="shared" si="356"/>
        <v>6291.8142895357259</v>
      </c>
      <c r="AK67" s="1134">
        <f>AK30/((100-AK73)/100)-AK30</f>
        <v>1059.5904227418214</v>
      </c>
      <c r="AL67" s="1134">
        <f>+AL66-((AL56/100)*AL66)</f>
        <v>1399.126</v>
      </c>
      <c r="AM67" s="68">
        <f>+AK67+AG67+AC67</f>
        <v>3144.8643746977323</v>
      </c>
      <c r="AN67" s="69">
        <f t="shared" si="374"/>
        <v>2415.6675</v>
      </c>
      <c r="AO67" s="589">
        <f t="shared" si="366"/>
        <v>9137.9078057254665</v>
      </c>
      <c r="AP67" s="589">
        <f t="shared" si="366"/>
        <v>7690.9402895357262</v>
      </c>
      <c r="AQ67" s="1134">
        <f>AQ30/((100-AQ73)/100)-AQ30</f>
        <v>1059.5904227418214</v>
      </c>
      <c r="AR67" s="1134">
        <f>+AR66-((AR56/100)*AR66)</f>
        <v>1276.0077000000001</v>
      </c>
      <c r="AS67" s="2111">
        <f>AO67+AQ67</f>
        <v>10197.498228467288</v>
      </c>
      <c r="AT67" s="44">
        <f t="shared" si="357"/>
        <v>8966.9479895357254</v>
      </c>
      <c r="AU67" s="1134">
        <f>AU30/((100-AU73)/100)-AU30</f>
        <v>953.63138046763925</v>
      </c>
      <c r="AV67" s="1134">
        <f>+AV66-((AV56/100)*AV66)</f>
        <v>955.43399999999997</v>
      </c>
      <c r="AW67" s="2111">
        <f>AS67+AU67</f>
        <v>11151.129608934927</v>
      </c>
      <c r="AX67" s="44">
        <f t="shared" si="358"/>
        <v>9922.3819895357246</v>
      </c>
      <c r="AY67" s="1134">
        <f>AY30/((100-AY73)/100)-AY30</f>
        <v>1059.5904227418214</v>
      </c>
      <c r="AZ67" s="1134">
        <f>+AZ66-((AZ56/100)*AZ66)</f>
        <v>1477.1741999999999</v>
      </c>
      <c r="BA67" s="68">
        <f>+AY67+AU67+AQ67</f>
        <v>3072.812225951282</v>
      </c>
      <c r="BB67" s="69">
        <f t="shared" si="375"/>
        <v>3708.6158999999998</v>
      </c>
      <c r="BC67" s="469">
        <f t="shared" ref="BC67" si="378">AM67+BA67</f>
        <v>6217.6766006490143</v>
      </c>
      <c r="BD67" s="469">
        <f t="shared" ref="BD67" si="379">AN67+BB67</f>
        <v>6124.2834000000003</v>
      </c>
      <c r="BE67" s="2111">
        <f>AW67+AY67</f>
        <v>12210.720031676748</v>
      </c>
      <c r="BF67" s="44">
        <f t="shared" si="359"/>
        <v>11399.556189535724</v>
      </c>
      <c r="BH67" s="26"/>
      <c r="BI67" s="26"/>
      <c r="BJ67" s="26"/>
      <c r="BK67" s="26"/>
    </row>
    <row r="68" spans="1:63" ht="15.6" x14ac:dyDescent="0.3">
      <c r="A68" s="147"/>
      <c r="B68" s="1752" t="s">
        <v>597</v>
      </c>
      <c r="C68" s="758" t="s">
        <v>50</v>
      </c>
      <c r="D68" s="1676" t="s">
        <v>32</v>
      </c>
      <c r="E68" s="1678" t="s">
        <v>32</v>
      </c>
      <c r="F68" s="1134">
        <f>+RMHP!E30</f>
        <v>3716</v>
      </c>
      <c r="G68" s="1678" t="s">
        <v>32</v>
      </c>
      <c r="H68" s="1134">
        <f>+RMHP!G30</f>
        <v>6799</v>
      </c>
      <c r="I68" s="4045" t="s">
        <v>32</v>
      </c>
      <c r="J68" s="43">
        <f t="shared" si="351"/>
        <v>10515</v>
      </c>
      <c r="K68" s="1678" t="s">
        <v>32</v>
      </c>
      <c r="L68" s="1134">
        <f>+RMHP!K30</f>
        <v>8611</v>
      </c>
      <c r="M68" s="4046" t="s">
        <v>32</v>
      </c>
      <c r="N68" s="4046">
        <f>F68+H68+L68</f>
        <v>19126</v>
      </c>
      <c r="O68" s="1678" t="s">
        <v>32</v>
      </c>
      <c r="P68" s="1134">
        <f>+RMHP!O30</f>
        <v>7621</v>
      </c>
      <c r="Q68" s="2273" t="s">
        <v>32</v>
      </c>
      <c r="R68" s="2274">
        <f t="shared" si="352"/>
        <v>26747</v>
      </c>
      <c r="S68" s="1678" t="s">
        <v>32</v>
      </c>
      <c r="T68" s="1134">
        <f>+RMHP!S30</f>
        <v>7950</v>
      </c>
      <c r="U68" s="2273" t="s">
        <v>32</v>
      </c>
      <c r="V68" s="2274">
        <f t="shared" si="353"/>
        <v>34697</v>
      </c>
      <c r="W68" s="1678" t="s">
        <v>32</v>
      </c>
      <c r="X68" s="1134">
        <f>+RMHP!W30</f>
        <v>5111</v>
      </c>
      <c r="Y68" s="785"/>
      <c r="Z68" s="2037">
        <f>P68+T68+X68</f>
        <v>20682</v>
      </c>
      <c r="AA68" s="2276" t="s">
        <v>32</v>
      </c>
      <c r="AB68" s="491">
        <f t="shared" si="354"/>
        <v>39808</v>
      </c>
      <c r="AC68" s="1678" t="s">
        <v>32</v>
      </c>
      <c r="AD68" s="1134">
        <f>+RMHP!AC30</f>
        <v>10011</v>
      </c>
      <c r="AE68" s="2273" t="s">
        <v>32</v>
      </c>
      <c r="AF68" s="2274">
        <f t="shared" si="355"/>
        <v>49819</v>
      </c>
      <c r="AG68" s="1678" t="s">
        <v>32</v>
      </c>
      <c r="AH68" s="1134">
        <f>+RMHP!AG30</f>
        <v>745</v>
      </c>
      <c r="AI68" s="2273" t="s">
        <v>32</v>
      </c>
      <c r="AJ68" s="2274">
        <f t="shared" si="356"/>
        <v>50564</v>
      </c>
      <c r="AK68" s="1678" t="s">
        <v>32</v>
      </c>
      <c r="AL68" s="1134">
        <f>+RMHP!AK30</f>
        <v>10541</v>
      </c>
      <c r="AM68" s="785"/>
      <c r="AN68" s="2037">
        <f>AD68+AH68+AL68</f>
        <v>21297</v>
      </c>
      <c r="AO68" s="2273" t="s">
        <v>32</v>
      </c>
      <c r="AP68" s="2274">
        <f>+AL68+AJ68</f>
        <v>61105</v>
      </c>
      <c r="AQ68" s="1678" t="s">
        <v>32</v>
      </c>
      <c r="AR68" s="1134">
        <f>+RMHP!AQ30</f>
        <v>11247</v>
      </c>
      <c r="AS68" s="2273" t="s">
        <v>32</v>
      </c>
      <c r="AT68" s="2274">
        <f t="shared" si="357"/>
        <v>72352</v>
      </c>
      <c r="AU68" s="1678" t="s">
        <v>32</v>
      </c>
      <c r="AV68" s="1134">
        <f>+RMHP!AU30</f>
        <v>10641</v>
      </c>
      <c r="AW68" s="2273" t="s">
        <v>32</v>
      </c>
      <c r="AX68" s="2274">
        <f t="shared" si="358"/>
        <v>82993</v>
      </c>
      <c r="AY68" s="1678" t="s">
        <v>32</v>
      </c>
      <c r="AZ68" s="1134">
        <f>+RMHP!AY30</f>
        <v>7988</v>
      </c>
      <c r="BA68" s="785"/>
      <c r="BB68" s="2037">
        <f>AR68+AV68+AZ68</f>
        <v>29876</v>
      </c>
      <c r="BC68" s="2276" t="s">
        <v>32</v>
      </c>
      <c r="BD68" s="468">
        <f>+AN68+BB68</f>
        <v>51173</v>
      </c>
      <c r="BE68" s="2273" t="s">
        <v>32</v>
      </c>
      <c r="BF68" s="2274">
        <f t="shared" si="359"/>
        <v>90981</v>
      </c>
      <c r="BH68" s="26"/>
      <c r="BI68" s="26"/>
      <c r="BJ68" s="26"/>
      <c r="BK68" s="26"/>
    </row>
    <row r="69" spans="1:63" thickBot="1" x14ac:dyDescent="0.35">
      <c r="A69" s="147" t="s">
        <v>470</v>
      </c>
      <c r="B69" s="1751" t="s">
        <v>598</v>
      </c>
      <c r="C69" s="749" t="s">
        <v>50</v>
      </c>
      <c r="D69" s="234">
        <f>+(D28/((100-D74)/100))-D28</f>
        <v>110797.96075146459</v>
      </c>
      <c r="E69" s="234">
        <f>+(E28/((100-E74)/100))-E28</f>
        <v>9464.774952328502</v>
      </c>
      <c r="F69" s="234">
        <f>+F68-((F57/100)*F68)</f>
        <v>3464.0551999999998</v>
      </c>
      <c r="G69" s="234">
        <f>+(G28/((100-G74)/100))-G28</f>
        <v>9765.243998434169</v>
      </c>
      <c r="H69" s="234">
        <f>+H68-((H57/100)*H68)</f>
        <v>6286.3554000000004</v>
      </c>
      <c r="I69" s="722">
        <f>+E69+G69</f>
        <v>19230.018950762671</v>
      </c>
      <c r="J69" s="44">
        <f t="shared" si="351"/>
        <v>9750.4105999999992</v>
      </c>
      <c r="K69" s="234">
        <f>+(K28/((100-K74)/100))-K28</f>
        <v>9464.774952328502</v>
      </c>
      <c r="L69" s="234">
        <f>+L68-((L57/100)*L68)</f>
        <v>7843.7599</v>
      </c>
      <c r="M69" s="1541">
        <f>+K69+G69+E69</f>
        <v>28694.793903091173</v>
      </c>
      <c r="N69" s="1541">
        <f>+N68-((N57/100)*N68)</f>
        <v>17594.1705</v>
      </c>
      <c r="O69" s="234">
        <f>+(O28/((100-O74)/100))-O28</f>
        <v>9577.450844618128</v>
      </c>
      <c r="P69" s="234">
        <f>+P68-((P57/100)*P68)</f>
        <v>6780.4036999999998</v>
      </c>
      <c r="Q69" s="722">
        <f>+M69+O69</f>
        <v>38272.244747709301</v>
      </c>
      <c r="R69" s="44">
        <f t="shared" si="352"/>
        <v>24374.574199999999</v>
      </c>
      <c r="S69" s="234">
        <f>+(S28/((100-S74)/100))-S28</f>
        <v>9577.450844618128</v>
      </c>
      <c r="T69" s="234">
        <f>+T68-((T57/100)*T68)</f>
        <v>7117.6350000000002</v>
      </c>
      <c r="U69" s="722">
        <f>+Q69+S69</f>
        <v>47849.695592327429</v>
      </c>
      <c r="V69" s="44">
        <f t="shared" si="353"/>
        <v>31492.209199999998</v>
      </c>
      <c r="W69" s="234">
        <f>+(W28/((100-W74)/100))-W28</f>
        <v>5258.2083068491702</v>
      </c>
      <c r="X69" s="234">
        <f>+X68-((X57/100)*X68)</f>
        <v>4564.1229999999996</v>
      </c>
      <c r="Y69" s="2119">
        <f>+W69+S69+O69</f>
        <v>24413.109996085426</v>
      </c>
      <c r="Z69" s="74">
        <f>+X69+T69+P69</f>
        <v>18462.161700000001</v>
      </c>
      <c r="AA69" s="640">
        <f>M69+Y69</f>
        <v>53107.903899176599</v>
      </c>
      <c r="AB69" s="1670">
        <f t="shared" si="354"/>
        <v>36056.332200000004</v>
      </c>
      <c r="AC69" s="234">
        <f>+(AC28/((100-AC74)/100))-AC28</f>
        <v>9389.657690802087</v>
      </c>
      <c r="AD69" s="234">
        <f>+AD68-((AD57/100)*AD68)</f>
        <v>9207.1167000000005</v>
      </c>
      <c r="AE69" s="722">
        <f>+AA69+AC69</f>
        <v>62497.561589978686</v>
      </c>
      <c r="AF69" s="44">
        <f t="shared" si="355"/>
        <v>45263.448900000003</v>
      </c>
      <c r="AG69" s="234">
        <f>+(AG28/((100-AG74)/100))-AG28</f>
        <v>9089.1886446964199</v>
      </c>
      <c r="AH69" s="234">
        <f>+AH68-((AH57/100)*AH68)</f>
        <v>689.87</v>
      </c>
      <c r="AI69" s="722">
        <f>+AE69+AG69</f>
        <v>71586.750234675099</v>
      </c>
      <c r="AJ69" s="44">
        <f t="shared" si="356"/>
        <v>45953.318900000006</v>
      </c>
      <c r="AK69" s="234">
        <f>+(AK28/((100-AK74)/100))-AK28</f>
        <v>9389.657690802087</v>
      </c>
      <c r="AL69" s="234">
        <f>+AL68-((AL57/100)*AL68)</f>
        <v>9796.8053999999993</v>
      </c>
      <c r="AM69" s="2119">
        <f>+AK69+AG69+AC69</f>
        <v>27868.504026300594</v>
      </c>
      <c r="AN69" s="74">
        <f>+AL69+AH69+AD69</f>
        <v>19693.792099999999</v>
      </c>
      <c r="AO69" s="589">
        <f t="shared" ref="AO69" si="380">+AK69+AI69</f>
        <v>80976.407925477193</v>
      </c>
      <c r="AP69" s="589">
        <f t="shared" ref="AP69" si="381">+AL69+AJ69</f>
        <v>55750.124300000003</v>
      </c>
      <c r="AQ69" s="234">
        <f>+(AQ28/((100-AQ74)/100))-AQ28</f>
        <v>9389.657690802087</v>
      </c>
      <c r="AR69" s="234">
        <f>+AR68-((AR57/100)*AR68)</f>
        <v>10438.340700000001</v>
      </c>
      <c r="AS69" s="722">
        <f>+AO69+AQ69</f>
        <v>90366.065616279287</v>
      </c>
      <c r="AT69" s="44">
        <f t="shared" si="357"/>
        <v>66188.464999999997</v>
      </c>
      <c r="AU69" s="234">
        <f>+(AU28/((100-AU74)/100))-AU28</f>
        <v>8450.691921721882</v>
      </c>
      <c r="AV69" s="234">
        <f>+AV68-((AV57/100)*AV68)</f>
        <v>9929.1170999999995</v>
      </c>
      <c r="AW69" s="722">
        <f>+AS69+AU69</f>
        <v>98816.757538001169</v>
      </c>
      <c r="AX69" s="44">
        <f t="shared" si="358"/>
        <v>76117.5821</v>
      </c>
      <c r="AY69" s="234">
        <f>+(AY28/((100-AY74)/100))-AY28</f>
        <v>9389.657690802087</v>
      </c>
      <c r="AZ69" s="234">
        <f>+AZ68-((AZ57/100)*AZ68)</f>
        <v>7446.4135999999999</v>
      </c>
      <c r="BA69" s="2119">
        <f>+AY69+AU69+AQ69</f>
        <v>27230.007303326056</v>
      </c>
      <c r="BB69" s="74">
        <f>+AZ69+AV69+AR69</f>
        <v>27813.8714</v>
      </c>
      <c r="BC69" s="469">
        <f t="shared" ref="BC69" si="382">AM69+BA69</f>
        <v>55098.51132962665</v>
      </c>
      <c r="BD69" s="469">
        <f t="shared" ref="BD69" si="383">AN69+BB69</f>
        <v>47507.663499999995</v>
      </c>
      <c r="BE69" s="722">
        <f>+AW69+AY69</f>
        <v>108206.41522880326</v>
      </c>
      <c r="BF69" s="44">
        <f t="shared" si="359"/>
        <v>83563.995699999999</v>
      </c>
      <c r="BH69" s="26"/>
      <c r="BI69" s="26"/>
      <c r="BJ69" s="26"/>
      <c r="BK69" s="26"/>
    </row>
    <row r="70" spans="1:63" ht="30.75" hidden="1" customHeight="1" thickBot="1" x14ac:dyDescent="0.35">
      <c r="A70" s="147"/>
      <c r="B70" s="1762" t="s">
        <v>586</v>
      </c>
      <c r="C70" s="825" t="s">
        <v>49</v>
      </c>
      <c r="D70" s="2120"/>
      <c r="E70" s="2120">
        <v>0</v>
      </c>
      <c r="F70" s="4047">
        <f>+(F61/(F63+F27+F94))*100</f>
        <v>0</v>
      </c>
      <c r="G70" s="2120">
        <v>0</v>
      </c>
      <c r="H70" s="4047">
        <f>+(H61/(H63+H27+H94))*100</f>
        <v>0</v>
      </c>
      <c r="I70" s="3986" t="s">
        <v>32</v>
      </c>
      <c r="J70" s="4048">
        <f>+(J61/(J63+J27+J94))*100</f>
        <v>0</v>
      </c>
      <c r="K70" s="2120">
        <v>0</v>
      </c>
      <c r="L70" s="4047">
        <f>+(L61/(L63+L27+L94))*100</f>
        <v>0</v>
      </c>
      <c r="M70" s="4049" t="s">
        <v>32</v>
      </c>
      <c r="N70" s="4050">
        <f>+(N61/(N63+N27+N94))*100</f>
        <v>0</v>
      </c>
      <c r="O70" s="2120">
        <v>0</v>
      </c>
      <c r="P70" s="4047">
        <f>+(P61/(P63+P27+P94))*100</f>
        <v>0</v>
      </c>
      <c r="Q70" s="831" t="s">
        <v>32</v>
      </c>
      <c r="R70" s="612">
        <f>+(R61/(R63+R27+R94))*100</f>
        <v>0</v>
      </c>
      <c r="S70" s="2120">
        <v>0</v>
      </c>
      <c r="T70" s="4047">
        <f>+(T61/(T63+T27+T94))*100</f>
        <v>0</v>
      </c>
      <c r="U70" s="831" t="s">
        <v>32</v>
      </c>
      <c r="V70" s="612">
        <f>+(V61/(V63+V27+V94))*100</f>
        <v>0</v>
      </c>
      <c r="W70" s="2120">
        <v>0</v>
      </c>
      <c r="X70" s="4047">
        <f>+(X61/(X63+X27+X94))*100</f>
        <v>0</v>
      </c>
      <c r="Y70" s="2152" t="s">
        <v>32</v>
      </c>
      <c r="Z70" s="611">
        <f>+(Z61/(Z63+Z27+Z94))*100</f>
        <v>0</v>
      </c>
      <c r="AA70" s="2153" t="s">
        <v>32</v>
      </c>
      <c r="AB70" s="2154">
        <f>+(AB61/(AB63+AB27+AB94))*100</f>
        <v>0</v>
      </c>
      <c r="AC70" s="2120">
        <v>0</v>
      </c>
      <c r="AD70" s="4047">
        <f>+(AD61/(AD63+AD27+AD94))*100</f>
        <v>0</v>
      </c>
      <c r="AE70" s="831" t="s">
        <v>32</v>
      </c>
      <c r="AF70" s="612">
        <f>+(AF61/(AF63+AF27+AF94))*100</f>
        <v>0</v>
      </c>
      <c r="AG70" s="2120">
        <v>0</v>
      </c>
      <c r="AH70" s="4047">
        <f>+(AH61/(AH63+AH27+AH94))*100</f>
        <v>0</v>
      </c>
      <c r="AI70" s="831" t="s">
        <v>32</v>
      </c>
      <c r="AJ70" s="612">
        <f>+(AJ61/(AJ63+AJ27+AJ94))*100</f>
        <v>0</v>
      </c>
      <c r="AK70" s="2120">
        <v>0</v>
      </c>
      <c r="AL70" s="4047">
        <f>+(AL61/(AL63+AL27+AL94))*100</f>
        <v>0</v>
      </c>
      <c r="AM70" s="2152" t="s">
        <v>32</v>
      </c>
      <c r="AN70" s="611">
        <f>+(AN61/(AN63+AN27+AN94))*100</f>
        <v>0</v>
      </c>
      <c r="AO70" s="831" t="s">
        <v>32</v>
      </c>
      <c r="AP70" s="612">
        <f>+(AP61/(AP63+AP27+AP94))*100</f>
        <v>0</v>
      </c>
      <c r="AQ70" s="2120">
        <v>0</v>
      </c>
      <c r="AR70" s="4047">
        <f>+(AR61/(AR63+AR27+AR94))*100</f>
        <v>0</v>
      </c>
      <c r="AS70" s="831" t="s">
        <v>32</v>
      </c>
      <c r="AT70" s="612">
        <f>+(AT61/(AT63+AT27+AT94))*100</f>
        <v>0</v>
      </c>
      <c r="AU70" s="2120">
        <v>0</v>
      </c>
      <c r="AV70" s="4047">
        <f>+(AV61/(AV63+AV27+AV94))*100</f>
        <v>0</v>
      </c>
      <c r="AW70" s="831" t="s">
        <v>32</v>
      </c>
      <c r="AX70" s="612">
        <f>+(AX61/(AX63+AX27+AX94))*100</f>
        <v>0</v>
      </c>
      <c r="AY70" s="2120">
        <v>0</v>
      </c>
      <c r="AZ70" s="4047">
        <f>+(AZ61/(AZ63+AZ27+AZ94))*100</f>
        <v>0</v>
      </c>
      <c r="BA70" s="2152" t="s">
        <v>32</v>
      </c>
      <c r="BB70" s="611">
        <f>+(BB61/(BB63+BB27+BB94))*100</f>
        <v>0</v>
      </c>
      <c r="BC70" s="2153" t="s">
        <v>32</v>
      </c>
      <c r="BD70" s="2154">
        <f>+(BD61/(BD63+BD27+BD94))*100</f>
        <v>0</v>
      </c>
      <c r="BE70" s="831" t="s">
        <v>32</v>
      </c>
      <c r="BF70" s="612">
        <f>+(BF61/(BF63+BF27+BF94))*100</f>
        <v>0</v>
      </c>
      <c r="BH70" s="26"/>
      <c r="BI70" s="26"/>
      <c r="BJ70" s="26"/>
      <c r="BK70" s="26"/>
    </row>
    <row r="71" spans="1:63" ht="30" x14ac:dyDescent="0.25">
      <c r="A71" s="199" t="s">
        <v>631</v>
      </c>
      <c r="B71" s="3410" t="s">
        <v>585</v>
      </c>
      <c r="C71" s="758" t="s">
        <v>49</v>
      </c>
      <c r="D71" s="2134">
        <v>18</v>
      </c>
      <c r="E71" s="1221">
        <f>+$D$71</f>
        <v>18</v>
      </c>
      <c r="F71" s="1221">
        <f>+(F59/(F63+F27+F94))*100</f>
        <v>19.400891873268513</v>
      </c>
      <c r="G71" s="1221">
        <f>+$D$71</f>
        <v>18</v>
      </c>
      <c r="H71" s="1221">
        <f>+(H59/(H63+H27+H94))*100</f>
        <v>18.551681924645752</v>
      </c>
      <c r="I71" s="4051">
        <f>+(I59/(I63+I27+I94))*100</f>
        <v>18.000000000000007</v>
      </c>
      <c r="J71" s="2124">
        <f>+(J59/(J63+J27+J94))*100</f>
        <v>18.949924765144672</v>
      </c>
      <c r="K71" s="1221">
        <f>+$D$71</f>
        <v>18</v>
      </c>
      <c r="L71" s="1221">
        <f>+(L59/(L63+L27+L94))*100</f>
        <v>18.678571115316529</v>
      </c>
      <c r="M71" s="1574">
        <f>+$D$71</f>
        <v>18</v>
      </c>
      <c r="N71" s="95">
        <f>+(N59/(N63+N27+N94))*100</f>
        <v>18.852158919602644</v>
      </c>
      <c r="O71" s="1221">
        <f>+$D$71</f>
        <v>18</v>
      </c>
      <c r="P71" s="1221">
        <f>+(P59/(P63+P27+P94))*100</f>
        <v>19.639971945924596</v>
      </c>
      <c r="Q71" s="832">
        <f>+(Q59/(Q63+Q27+Q94))*100</f>
        <v>18.000000000000007</v>
      </c>
      <c r="R71" s="613">
        <f>+(R59/(R63+R27+R94))*100</f>
        <v>19.067086955724424</v>
      </c>
      <c r="S71" s="1221">
        <f>+$D$71</f>
        <v>18</v>
      </c>
      <c r="T71" s="1221">
        <f>+(T59/(T63+T27+T94))*100</f>
        <v>19.902985944922893</v>
      </c>
      <c r="U71" s="832">
        <f>+(U59/(U63+U27+U94))*100</f>
        <v>18.000000000000011</v>
      </c>
      <c r="V71" s="613">
        <f>+(V59/(V63+V27+V94))*100</f>
        <v>19.239601042289152</v>
      </c>
      <c r="W71" s="1221">
        <f>+$D$71</f>
        <v>18</v>
      </c>
      <c r="X71" s="1221">
        <f>+(X59/(X63+X27+X94))*100</f>
        <v>21.088912905069453</v>
      </c>
      <c r="Y71" s="195">
        <f>+(Y59/(Y63+Y27+Y94))*100</f>
        <v>18.000000000000004</v>
      </c>
      <c r="Z71" s="195">
        <f>+(Z59/(Z27+Z63+Z94))*100</f>
        <v>20.195878820493306</v>
      </c>
      <c r="AA71" s="833">
        <f>+(AA59/(AA63+AA27+AA94))*100</f>
        <v>18.000000000000004</v>
      </c>
      <c r="AB71" s="494">
        <f>+(AB59/(AB63+AB27+AB94))*100</f>
        <v>19.550978798421152</v>
      </c>
      <c r="AC71" s="1221">
        <f>+$D$71</f>
        <v>18</v>
      </c>
      <c r="AD71" s="1221">
        <f>+(AD59/(AD63+AD27+AD94))*100</f>
        <v>20.333117870264896</v>
      </c>
      <c r="AE71" s="832">
        <f>+(AE59/(AE63+AE27+AE94))*100</f>
        <v>18.000000000000004</v>
      </c>
      <c r="AF71" s="613">
        <f>+(AF59/(AF63+AF27+AF94))*100</f>
        <v>19.664267510026935</v>
      </c>
      <c r="AG71" s="1221">
        <f>+$D$71</f>
        <v>18</v>
      </c>
      <c r="AH71" s="1221">
        <f>+(AH59/(AH63+AH27+AH94))*100</f>
        <v>27.1538132544208</v>
      </c>
      <c r="AI71" s="832">
        <f>+(AI59/(AI63+AI27+AI94))*100</f>
        <v>18.000000000000004</v>
      </c>
      <c r="AJ71" s="613">
        <f>+(AJ59/(AJ63+AJ27+AJ94))*100</f>
        <v>19.696630498274533</v>
      </c>
      <c r="AK71" s="1221">
        <f>+$D$71</f>
        <v>18</v>
      </c>
      <c r="AL71" s="1221">
        <f>+(AL59/(AL63+AL27+AL94))*100</f>
        <v>19.986726445869714</v>
      </c>
      <c r="AM71" s="195">
        <f>+(AM59/(AM63+AM27+AM94))*100</f>
        <v>18.000000000000004</v>
      </c>
      <c r="AN71" s="195">
        <f>+(AN59/(AN27+AN63+AN94))*100</f>
        <v>20.265016275523735</v>
      </c>
      <c r="AO71" s="832">
        <f>+(AO59/(AO63+AO27+AO94))*100</f>
        <v>18.000000000000004</v>
      </c>
      <c r="AP71" s="613">
        <f>+(AP59/(AP63+AP27+AP94))*100</f>
        <v>19.732759091787912</v>
      </c>
      <c r="AQ71" s="1221">
        <f>+$D$71</f>
        <v>18</v>
      </c>
      <c r="AR71" s="1221">
        <f>+(AR59/(AR63+AR27+AR94))*100</f>
        <v>19.349827524196535</v>
      </c>
      <c r="AS71" s="2720">
        <f>+(AS59/(AS63+AS27+AS94))*100</f>
        <v>18.000000000000004</v>
      </c>
      <c r="AT71" s="2490">
        <f>+(AT59/(AT63+AT27+AT94))*100</f>
        <v>19.690678364131148</v>
      </c>
      <c r="AU71" s="1221">
        <f>+$D$71</f>
        <v>18</v>
      </c>
      <c r="AV71" s="1221">
        <f>+(AV59/(AV63+AV27+AV94))*100</f>
        <v>20.251127954094748</v>
      </c>
      <c r="AW71" s="2720">
        <f>+(AW59/(AW63+AW27+AW94))*100</f>
        <v>18.000000000000004</v>
      </c>
      <c r="AX71" s="2490">
        <f>+(AX59/(AX63+AX27+AX94))*100</f>
        <v>19.743887632116124</v>
      </c>
      <c r="AY71" s="1221">
        <f>+$D$71</f>
        <v>18</v>
      </c>
      <c r="AZ71" s="1221">
        <f>+(AZ59/(AZ63+AZ27+AZ94))*100</f>
        <v>20.619028403769928</v>
      </c>
      <c r="BA71" s="2719">
        <f>+(BA59/(BA63+BA27+BA94))*100</f>
        <v>18.000000000000004</v>
      </c>
      <c r="BB71" s="195">
        <f>+(BB59/(BB27+BB63+BB94))*100</f>
        <v>20.090330236300996</v>
      </c>
      <c r="BC71" s="2718">
        <f>+(BC59/(BC63+BC27+BC94))*100</f>
        <v>18.000000000000004</v>
      </c>
      <c r="BD71" s="494">
        <f>+(BD59/(BD63+BD27+BD94))*100</f>
        <v>20.160589818351593</v>
      </c>
      <c r="BE71" s="2720">
        <f>+(BE59/(BE63+BE27+BE94))*100</f>
        <v>18.000000000000004</v>
      </c>
      <c r="BF71" s="613">
        <f>+(BF59/(BF63+BF27+BF94))*100</f>
        <v>19.830916608472346</v>
      </c>
      <c r="BH71" s="26"/>
      <c r="BI71" s="26"/>
      <c r="BJ71" s="26"/>
      <c r="BK71" s="26"/>
    </row>
    <row r="72" spans="1:63" x14ac:dyDescent="0.25">
      <c r="A72" s="199" t="s">
        <v>631</v>
      </c>
      <c r="B72" s="1750" t="s">
        <v>583</v>
      </c>
      <c r="C72" s="551" t="s">
        <v>49</v>
      </c>
      <c r="D72" s="774">
        <v>10</v>
      </c>
      <c r="E72" s="191">
        <f>+$D$72</f>
        <v>10</v>
      </c>
      <c r="F72" s="191">
        <f>+(F65/(F65+F23+F24+F33))*100</f>
        <v>10.600312458719023</v>
      </c>
      <c r="G72" s="191">
        <f>+$D$72</f>
        <v>10</v>
      </c>
      <c r="H72" s="191">
        <f>+(H65/(H65+H23+H24+H33))*100</f>
        <v>10.598779487491459</v>
      </c>
      <c r="I72" s="4052">
        <f>+(I65/(I65+I23+I24))*100</f>
        <v>10</v>
      </c>
      <c r="J72" s="375">
        <f>+(J65/(J65+J23+J24+J33))*100</f>
        <v>10.599500383574592</v>
      </c>
      <c r="K72" s="191">
        <f>+$D$72</f>
        <v>10</v>
      </c>
      <c r="L72" s="191">
        <f>+(L65/(L65+L23+L24+L33))*100</f>
        <v>10.646072990245287</v>
      </c>
      <c r="M72" s="77">
        <f>+$D$72</f>
        <v>10</v>
      </c>
      <c r="N72" s="90">
        <f>+(N65/(N65+N23+N24+N33))*100</f>
        <v>10.616012058695132</v>
      </c>
      <c r="O72" s="191">
        <f>+$D$72</f>
        <v>10</v>
      </c>
      <c r="P72" s="191">
        <f>+(P65/(P65+P23+P24+P33))*100</f>
        <v>10.769778912379453</v>
      </c>
      <c r="Q72" s="834">
        <f>+(Q65/(Q65+Q23+Q24))*100</f>
        <v>9.9999999999999982</v>
      </c>
      <c r="R72" s="402">
        <f>+(R65/(R65+R23+R24+R33))*100</f>
        <v>10.658846593810962</v>
      </c>
      <c r="S72" s="191">
        <f>+$D$72</f>
        <v>10</v>
      </c>
      <c r="T72" s="191">
        <f>+(T65/(T65+T23+T24+T33))*100</f>
        <v>10.993989987040742</v>
      </c>
      <c r="U72" s="834">
        <f>+(U65/(U65+U23+U24))*100</f>
        <v>9.9999999999999982</v>
      </c>
      <c r="V72" s="402">
        <f>+(V65/(V65+V23+V24+V33))*100</f>
        <v>10.728777143397988</v>
      </c>
      <c r="W72" s="191">
        <f>+$D$72</f>
        <v>10</v>
      </c>
      <c r="X72" s="191">
        <f>+(X65/(X65+X23+X24+X33))*100</f>
        <v>11.013202090788104</v>
      </c>
      <c r="Y72" s="195">
        <f>+(Y65/(Y65+Y23+Y24))*100</f>
        <v>9.9999999999999947</v>
      </c>
      <c r="Z72" s="195">
        <f>+(Z65/(Z65+Z23+Z24+Z33))*100</f>
        <v>10.9233029851559</v>
      </c>
      <c r="AA72" s="833">
        <f>+(AA65/(AA65+AA23+AA24))*100</f>
        <v>9.9999999999999964</v>
      </c>
      <c r="AB72" s="494">
        <f>+(AB65/(AB65+AB23+AB24+AB33))*100</f>
        <v>10.778603747589353</v>
      </c>
      <c r="AC72" s="191">
        <f>+$D$72</f>
        <v>10</v>
      </c>
      <c r="AD72" s="191">
        <f>+(AD65/(AD65+AD23+AD24+AD33))*100</f>
        <v>7.4353516219952205</v>
      </c>
      <c r="AE72" s="834">
        <f>+(AE65/(AE65+AE23+AE24))*100</f>
        <v>9.9999999999999982</v>
      </c>
      <c r="AF72" s="402">
        <f>+(AF65/(AF65+AF23+AF24+AF33))*100</f>
        <v>10.305586644389541</v>
      </c>
      <c r="AG72" s="191">
        <f>+$D$72</f>
        <v>10</v>
      </c>
      <c r="AH72" s="191">
        <f>+(AH65/(AH65+AH23+AH24+AH33))*100</f>
        <v>11.063878115776033</v>
      </c>
      <c r="AI72" s="834">
        <f>+(AI65/(AI65+AI23+AI24))*100</f>
        <v>10</v>
      </c>
      <c r="AJ72" s="402">
        <f>+(AJ65/(AJ65+AJ23+AJ24+AJ33))*100</f>
        <v>10.31455625248924</v>
      </c>
      <c r="AK72" s="191">
        <f>+$D$72</f>
        <v>10</v>
      </c>
      <c r="AL72" s="191">
        <f>+(AL65/(AL65+AL23+AL24+AL33))*100</f>
        <v>8.21093745033685</v>
      </c>
      <c r="AM72" s="195">
        <f>+(AM65/(AM65+AM23+AM24))*100</f>
        <v>10</v>
      </c>
      <c r="AN72" s="195">
        <f>+(AN65/(AN65+AN23+AN24+AN33))*100</f>
        <v>7.96085839745892</v>
      </c>
      <c r="AO72" s="834">
        <f>+(AO65/(AO65+AO23+AO24))*100</f>
        <v>9.9999999999999982</v>
      </c>
      <c r="AP72" s="402">
        <f>+(AP65/(AP65+AP23+AP24+AP33))*100</f>
        <v>10.044923245921799</v>
      </c>
      <c r="AQ72" s="191">
        <f>+$D$72</f>
        <v>10</v>
      </c>
      <c r="AR72" s="191">
        <f>+(AR65/(AR65+AR23+AR24+AR33))*100</f>
        <v>9.4119818682894323</v>
      </c>
      <c r="AS72" s="2717">
        <f>+(AS65/(AS65+AS23+AS24))*100</f>
        <v>10</v>
      </c>
      <c r="AT72" s="3571">
        <f>+(AT65/(AT65+AT23+AT24+AT33))*100</f>
        <v>9.9764190927483565</v>
      </c>
      <c r="AU72" s="191">
        <f>+$D$72</f>
        <v>10</v>
      </c>
      <c r="AV72" s="191">
        <f>+(AV65/(AV65+AV23+AV24+AV33))*100</f>
        <v>9.8754019252677185</v>
      </c>
      <c r="AW72" s="2717">
        <f>+(AW65/(AW65+AW23+AW24))*100</f>
        <v>10</v>
      </c>
      <c r="AX72" s="3571">
        <f>+(AX65/(AX65+AX23+AX24+AX33))*100</f>
        <v>9.9674272930251657</v>
      </c>
      <c r="AY72" s="191">
        <f>+$D$72</f>
        <v>10</v>
      </c>
      <c r="AZ72" s="191">
        <f>+(AZ65/(AZ65+AZ23+AZ24+AZ33))*100</f>
        <v>9.2749453262896164</v>
      </c>
      <c r="BA72" s="2719">
        <f>+(BA65/(BA65+BA23+BA24))*100</f>
        <v>10.000000000000002</v>
      </c>
      <c r="BB72" s="195">
        <f>+(BB65/(BB65+BB23+BB24+BB33))*100</f>
        <v>9.5107847497606084</v>
      </c>
      <c r="BC72" s="2718">
        <f>+(BC65/(BC65+BC23+BC24))*100</f>
        <v>10</v>
      </c>
      <c r="BD72" s="494">
        <f>+(BD65/(BD65+BD23+BD24+BD33))*100</f>
        <v>8.849053758883656</v>
      </c>
      <c r="BE72" s="2717">
        <f>+(BE65/(BE65+BE23+BE24))*100</f>
        <v>10</v>
      </c>
      <c r="BF72" s="402">
        <f>+(BF65/(BF65+BF23+BF24+BF33))*100</f>
        <v>9.9065930105492406</v>
      </c>
      <c r="BH72" s="26"/>
      <c r="BI72" s="26"/>
      <c r="BJ72" s="26"/>
      <c r="BK72" s="26"/>
    </row>
    <row r="73" spans="1:63" x14ac:dyDescent="0.25">
      <c r="A73" s="199"/>
      <c r="B73" s="1750" t="s">
        <v>1321</v>
      </c>
      <c r="C73" s="551" t="s">
        <v>49</v>
      </c>
      <c r="D73" s="406">
        <v>1.5</v>
      </c>
      <c r="E73" s="1136">
        <f>+$D$73</f>
        <v>1.5</v>
      </c>
      <c r="F73" s="1136">
        <f>+(F67/(F67+F30))*100</f>
        <v>0.90957079131725704</v>
      </c>
      <c r="G73" s="1136">
        <f>+$D$73</f>
        <v>1.5</v>
      </c>
      <c r="H73" s="1136">
        <f>+(H67/(H67+H30))*100</f>
        <v>1.8163417891496041</v>
      </c>
      <c r="I73" s="4052">
        <f>+$D$73</f>
        <v>1.5</v>
      </c>
      <c r="J73" s="375">
        <f>+(J67/(J67+J30))*100</f>
        <v>1.3713940977922761</v>
      </c>
      <c r="K73" s="1136">
        <f>+$D$73</f>
        <v>1.5</v>
      </c>
      <c r="L73" s="1136">
        <f>+(L67/(L67+L30))*100</f>
        <v>1.3729074464943734</v>
      </c>
      <c r="M73" s="77">
        <f>+$D$73</f>
        <v>1.5</v>
      </c>
      <c r="N73" s="2040">
        <f t="shared" ref="N73" si="384">+(N67/(N67+N30))*100</f>
        <v>1.3718751492515069</v>
      </c>
      <c r="O73" s="1136">
        <f>+$D$73</f>
        <v>1.5</v>
      </c>
      <c r="P73" s="1136">
        <f>+(P67/(P67+P30))*100</f>
        <v>1.5225117860697721</v>
      </c>
      <c r="Q73" s="1369">
        <f>+$D$73</f>
        <v>1.5</v>
      </c>
      <c r="R73" s="417">
        <f t="shared" ref="R73" si="385">+(R67/(R67+R30))*100</f>
        <v>1.4039444804998846</v>
      </c>
      <c r="S73" s="1136">
        <f>+$D$73</f>
        <v>1.5</v>
      </c>
      <c r="T73" s="1136">
        <f>+(T67/(T67+T30))*100</f>
        <v>1.2888117625824445</v>
      </c>
      <c r="U73" s="1369">
        <f>+$D$73</f>
        <v>1.5</v>
      </c>
      <c r="V73" s="417">
        <f t="shared" ref="V73" si="386">+(V67/(V67+V30))*100</f>
        <v>1.3795107878908188</v>
      </c>
      <c r="W73" s="1136">
        <f>+$D$73</f>
        <v>1.5</v>
      </c>
      <c r="X73" s="1136">
        <f>+(X67/(X67+X30))*100</f>
        <v>1.1571433296893678</v>
      </c>
      <c r="Y73" s="1370">
        <f>+$D$73</f>
        <v>1.5</v>
      </c>
      <c r="Z73" s="426">
        <f t="shared" ref="Z73:AB73" si="387">+(Z67/(Z67+Z30))*100</f>
        <v>1.3090424547025743</v>
      </c>
      <c r="AA73" s="833">
        <f>D73</f>
        <v>1.5</v>
      </c>
      <c r="AB73" s="494">
        <f t="shared" si="387"/>
        <v>1.3412970182919213</v>
      </c>
      <c r="AC73" s="1136">
        <f>+$D$73</f>
        <v>1.5</v>
      </c>
      <c r="AD73" s="1136">
        <f>+(AD67/(AD67+AD30))*100</f>
        <v>1.579555896154226</v>
      </c>
      <c r="AE73" s="1369">
        <f>+$D$73</f>
        <v>1.5</v>
      </c>
      <c r="AF73" s="417">
        <f t="shared" ref="AF73" si="388">+(AF67/(AF67+AF30))*100</f>
        <v>1.3712569466105498</v>
      </c>
      <c r="AG73" s="1136">
        <f>+$D$73</f>
        <v>1.5</v>
      </c>
      <c r="AH73" s="1136">
        <f>+(AH67/(AH67+AH30))*100</f>
        <v>3.129776479066658</v>
      </c>
      <c r="AI73" s="1369">
        <f>+$D$73</f>
        <v>1.5</v>
      </c>
      <c r="AJ73" s="417">
        <f t="shared" ref="AJ73" si="389">+(AJ67/(AJ67+AJ30))*100</f>
        <v>1.3864877658992778</v>
      </c>
      <c r="AK73" s="1136">
        <f>+$D$73</f>
        <v>1.5</v>
      </c>
      <c r="AL73" s="1136">
        <f>+(AL67/(AL67+AL30))*100</f>
        <v>1.6261983720814301</v>
      </c>
      <c r="AM73" s="1370">
        <f>+$D$73</f>
        <v>1.5</v>
      </c>
      <c r="AN73" s="426">
        <f t="shared" ref="AN73" si="390">+(AN67/(AN67+AN30))*100</f>
        <v>1.6485217419242402</v>
      </c>
      <c r="AO73" s="1369">
        <f>+$D$73</f>
        <v>1.5</v>
      </c>
      <c r="AP73" s="417">
        <f t="shared" ref="AP73" si="391">+(AP67/(AP67+AP30))*100</f>
        <v>1.4246920545774764</v>
      </c>
      <c r="AQ73" s="1136">
        <f>+$D$73</f>
        <v>1.5</v>
      </c>
      <c r="AR73" s="1136">
        <f>+(AR67/(AR67+AR30))*100</f>
        <v>1.7507063361138835</v>
      </c>
      <c r="AS73" s="1369">
        <f>+$D$73</f>
        <v>1.5</v>
      </c>
      <c r="AT73" s="420">
        <f t="shared" ref="AT73" si="392">+(AT67/(AT67+AT30))*100</f>
        <v>1.4634728429930293</v>
      </c>
      <c r="AU73" s="1136">
        <f>+$D$73</f>
        <v>1.5</v>
      </c>
      <c r="AV73" s="191">
        <f>+(AV67/(AV67+AV30))*100</f>
        <v>1.7757169736481009</v>
      </c>
      <c r="AW73" s="1369">
        <f>+$D$73</f>
        <v>1.5</v>
      </c>
      <c r="AX73" s="420">
        <f t="shared" ref="AX73" si="393">+(AX67/(AX67+AX30))*100</f>
        <v>1.4886789830012952</v>
      </c>
      <c r="AY73" s="1136">
        <f>+$D$73</f>
        <v>1.5</v>
      </c>
      <c r="AZ73" s="191">
        <f>+(AZ67/(AZ67+AZ30))*100</f>
        <v>3.7795462398945072</v>
      </c>
      <c r="BA73" s="1370">
        <f>+$D$73</f>
        <v>1.5</v>
      </c>
      <c r="BB73" s="426">
        <f t="shared" ref="BB73" si="394">+(BB67/(BB67+BB30))*100</f>
        <v>2.2371488110293032</v>
      </c>
      <c r="BC73" s="833">
        <v>2.7</v>
      </c>
      <c r="BD73" s="494">
        <f t="shared" ref="BD73" si="395">+(BD67/(BD67+BD30))*100</f>
        <v>1.9609655284555838</v>
      </c>
      <c r="BE73" s="1369">
        <f>+$D$73</f>
        <v>1.5</v>
      </c>
      <c r="BF73" s="417">
        <f t="shared" ref="BF73" si="396">+(BF67/(BF67+BF30))*100</f>
        <v>1.6155696619924338</v>
      </c>
      <c r="BH73" s="26"/>
      <c r="BI73" s="26"/>
      <c r="BJ73" s="26"/>
      <c r="BK73" s="26"/>
    </row>
    <row r="74" spans="1:63" ht="15.75" thickBot="1" x14ac:dyDescent="0.3">
      <c r="A74" s="199" t="s">
        <v>631</v>
      </c>
      <c r="B74" s="1751" t="s">
        <v>599</v>
      </c>
      <c r="C74" s="749" t="s">
        <v>49</v>
      </c>
      <c r="D74" s="1002">
        <v>15</v>
      </c>
      <c r="E74" s="192">
        <f>+$D$74</f>
        <v>15</v>
      </c>
      <c r="F74" s="2128">
        <f>+(F69/(F69+F28))*100</f>
        <v>6.1129966746533881</v>
      </c>
      <c r="G74" s="192">
        <f>+$D$74</f>
        <v>15</v>
      </c>
      <c r="H74" s="2128">
        <f>+(H69/(H69+H28))*100</f>
        <v>8.937549332348075</v>
      </c>
      <c r="I74" s="4053">
        <f>+(I69/(I69+I28))*100</f>
        <v>15</v>
      </c>
      <c r="J74" s="2130">
        <f>+(J69/(J69+J28))*100</f>
        <v>7.6772764421521433</v>
      </c>
      <c r="K74" s="192">
        <f>+$D$74</f>
        <v>15</v>
      </c>
      <c r="L74" s="2128">
        <f>+(L69/(L69+L28))*100</f>
        <v>11.355086495220103</v>
      </c>
      <c r="M74" s="1839">
        <f>+$D$74</f>
        <v>15</v>
      </c>
      <c r="N74" s="4054">
        <f>+(N69/(N69+N28))*100</f>
        <v>8.9729290643817272</v>
      </c>
      <c r="O74" s="192">
        <f>+$D$74</f>
        <v>15</v>
      </c>
      <c r="P74" s="2128">
        <f>+(P69/(P69+P28))*100</f>
        <v>8.5769535065100939</v>
      </c>
      <c r="Q74" s="835">
        <f>+(Q69/(Q69+Q28))*100</f>
        <v>15</v>
      </c>
      <c r="R74" s="614">
        <f>+(R69/(R69+R28))*100</f>
        <v>8.8591542588781831</v>
      </c>
      <c r="S74" s="192">
        <f>+$D$74</f>
        <v>15</v>
      </c>
      <c r="T74" s="2128">
        <f>+(T69/(T69+T28))*100</f>
        <v>12.756296100679904</v>
      </c>
      <c r="U74" s="835">
        <f>+(U69/(U69+U28))*100</f>
        <v>14.999999999999996</v>
      </c>
      <c r="V74" s="614">
        <f>+(V69/(V69+V28))*100</f>
        <v>9.51623601828787</v>
      </c>
      <c r="W74" s="192">
        <f>+$D$74</f>
        <v>15</v>
      </c>
      <c r="X74" s="2128">
        <f>+(X69/(X69+X28))*100</f>
        <v>9.4127126725417263</v>
      </c>
      <c r="Y74" s="195">
        <f>+(Y69/(Y69+Y28))*100</f>
        <v>15</v>
      </c>
      <c r="Z74" s="195">
        <f>+(Z69/(Z69+Z28))*100</f>
        <v>10.06991967469097</v>
      </c>
      <c r="AA74" s="833">
        <f>+(AA69/(AA69+AA28))*100</f>
        <v>15</v>
      </c>
      <c r="AB74" s="494">
        <f>+(AB69/(AB69+AB28))*100</f>
        <v>9.5030060045640887</v>
      </c>
      <c r="AC74" s="192">
        <f>+$D$74</f>
        <v>15</v>
      </c>
      <c r="AD74" s="2128">
        <f>+(AD69/(AD69+AD28))*100</f>
        <v>18.87265504122367</v>
      </c>
      <c r="AE74" s="835">
        <f>+(AE69/(AE69+AE28))*100</f>
        <v>15</v>
      </c>
      <c r="AF74" s="614">
        <f>+(AF69/(AF69+AF28))*100</f>
        <v>10.570490203508513</v>
      </c>
      <c r="AG74" s="192">
        <f>+$D$74</f>
        <v>15</v>
      </c>
      <c r="AH74" s="2128">
        <f>+(AH69/(AH69+AH28))*100</f>
        <v>60.029181420095142</v>
      </c>
      <c r="AI74" s="835">
        <f>+(AI69/(AI69+AI28))*100</f>
        <v>14.999999999999996</v>
      </c>
      <c r="AJ74" s="614">
        <f>+(AJ69/(AJ69+AJ28))*100</f>
        <v>10.702872813622658</v>
      </c>
      <c r="AK74" s="192">
        <f>+$D$74</f>
        <v>15</v>
      </c>
      <c r="AL74" s="2128">
        <f>+(AL69/(AL69+AL28))*100</f>
        <v>16.331205452405847</v>
      </c>
      <c r="AM74" s="195">
        <f>+(AM69/(AM69+AM28))*100</f>
        <v>15</v>
      </c>
      <c r="AN74" s="195">
        <f>+(AN69/(AN69+AN28))*100</f>
        <v>17.915993779351005</v>
      </c>
      <c r="AO74" s="835">
        <f>+(AO69/(AO69+AO28))*100</f>
        <v>15</v>
      </c>
      <c r="AP74" s="614">
        <f>+(AP69/(AP69+AP28))*100</f>
        <v>11.392846285896605</v>
      </c>
      <c r="AQ74" s="192">
        <f>+$D$74</f>
        <v>15</v>
      </c>
      <c r="AR74" s="2128">
        <f>+(AR69/(AR69+AR28))*100</f>
        <v>13.568070280965197</v>
      </c>
      <c r="AS74" s="4783">
        <f>+(AS69/(AS69+AS28))*100</f>
        <v>15.000000000000002</v>
      </c>
      <c r="AT74" s="4499">
        <f>+(AT69/(AT69+AT28))*100</f>
        <v>11.688367678020333</v>
      </c>
      <c r="AU74" s="192">
        <f>+$D$74</f>
        <v>15</v>
      </c>
      <c r="AV74" s="192">
        <f>+(AV69/(AV69+AV28))*100</f>
        <v>13.044680198643238</v>
      </c>
      <c r="AW74" s="4783">
        <f>+(AW69/(AW69+AW28))*100</f>
        <v>15.000000000000002</v>
      </c>
      <c r="AX74" s="4499">
        <f>+(AX69/(AX69+AX28))*100</f>
        <v>11.849075287739783</v>
      </c>
      <c r="AY74" s="192">
        <f>+$D$74</f>
        <v>15</v>
      </c>
      <c r="AZ74" s="192">
        <f>+(AZ69/(AZ69+AZ28))*100</f>
        <v>7.9506677173464544</v>
      </c>
      <c r="BA74" s="195">
        <f t="shared" ref="BA74:BF74" si="397">+(BA69/(BA69+BA28))*100</f>
        <v>15.000000000000002</v>
      </c>
      <c r="BB74" s="195">
        <f t="shared" si="397"/>
        <v>11.274047728153883</v>
      </c>
      <c r="BC74" s="833">
        <f t="shared" si="397"/>
        <v>15</v>
      </c>
      <c r="BD74" s="494">
        <f t="shared" si="397"/>
        <v>13.321274184184444</v>
      </c>
      <c r="BE74" s="835">
        <f t="shared" si="397"/>
        <v>15.000000000000002</v>
      </c>
      <c r="BF74" s="614">
        <f t="shared" si="397"/>
        <v>11.353027754060614</v>
      </c>
      <c r="BH74" s="26"/>
      <c r="BI74" s="26"/>
      <c r="BJ74" s="26"/>
      <c r="BK74" s="26"/>
    </row>
    <row r="75" spans="1:63" ht="15.75" thickBot="1" x14ac:dyDescent="0.3">
      <c r="A75" s="147"/>
      <c r="B75" s="4055" t="s">
        <v>248</v>
      </c>
      <c r="C75" s="825" t="s">
        <v>363</v>
      </c>
      <c r="D75" s="2298">
        <f>+'Maj Techno Summ'!D15</f>
        <v>871.29177755633066</v>
      </c>
      <c r="E75" s="2298">
        <f>+'Maj Techno Summ'!E15</f>
        <v>866.91251568708628</v>
      </c>
      <c r="F75" s="2298">
        <f>+'Maj Techno Summ'!F15</f>
        <v>846.11004846869969</v>
      </c>
      <c r="G75" s="2298">
        <f>+'Maj Techno Summ'!G15</f>
        <v>866.91251568708628</v>
      </c>
      <c r="H75" s="2298">
        <f>+'Maj Techno Summ'!H15</f>
        <v>849.34190363265725</v>
      </c>
      <c r="I75" s="3611">
        <f>+'Maj Techno Summ'!I15</f>
        <v>866.91251568708617</v>
      </c>
      <c r="J75" s="3611">
        <f>+'Maj Techno Summ'!J15</f>
        <v>847.82525876418902</v>
      </c>
      <c r="K75" s="2298">
        <f>+'Maj Techno Summ'!K15</f>
        <v>866.91251568708628</v>
      </c>
      <c r="L75" s="2298">
        <f>+'Maj Techno Summ'!L15</f>
        <v>861.73356013497948</v>
      </c>
      <c r="M75" s="3437">
        <f>+'Maj Techno Summ'!M15</f>
        <v>866.91251568708617</v>
      </c>
      <c r="N75" s="3437">
        <f>+'Maj Techno Summ'!N15</f>
        <v>852.7178368874138</v>
      </c>
      <c r="O75" s="2298">
        <f>+'Maj Techno Summ'!O15</f>
        <v>866.91251568708628</v>
      </c>
      <c r="P75" s="2298">
        <f>+'Maj Techno Summ'!P15</f>
        <v>901.89702481912377</v>
      </c>
      <c r="Q75" s="572">
        <f>+'Maj Techno Summ'!Q15</f>
        <v>866.91251568708617</v>
      </c>
      <c r="R75" s="572">
        <f>+'Maj Techno Summ'!R15</f>
        <v>865.75507651662667</v>
      </c>
      <c r="S75" s="2298">
        <f>+'Maj Techno Summ'!S15</f>
        <v>866.91251568708628</v>
      </c>
      <c r="T75" s="2298">
        <f>+'Maj Techno Summ'!T15</f>
        <v>901.57952496561427</v>
      </c>
      <c r="U75" s="572">
        <f>+'Maj Techno Summ'!U15</f>
        <v>866.91251568708617</v>
      </c>
      <c r="V75" s="572">
        <f>+'Maj Techno Summ'!V15</f>
        <v>872.92883598099377</v>
      </c>
      <c r="W75" s="2298">
        <f>+'Maj Techno Summ'!W15</f>
        <v>973.86831544015627</v>
      </c>
      <c r="X75" s="2298">
        <f>+'Maj Techno Summ'!X15</f>
        <v>935.33175377395651</v>
      </c>
      <c r="Y75" s="781">
        <f>+'Maj Techno Summ'!Y15</f>
        <v>889.9491494800551</v>
      </c>
      <c r="Z75" s="781">
        <f>+'Maj Techno Summ'!Z15</f>
        <v>912.42943846048797</v>
      </c>
      <c r="AA75" s="465">
        <f>+'Maj Techno Summ'!AA15</f>
        <v>877.50219883095463</v>
      </c>
      <c r="AB75" s="465">
        <f>+'Maj Techno Summ'!AB15</f>
        <v>882.99645354786935</v>
      </c>
      <c r="AC75" s="2298">
        <f>+'Maj Techno Summ'!AC15</f>
        <v>882.68648653107562</v>
      </c>
      <c r="AD75" s="2298">
        <f>+'Maj Techno Summ'!AD15</f>
        <v>891.4254777158103</v>
      </c>
      <c r="AE75" s="572">
        <f>+'Maj Techno Summ'!AE15</f>
        <v>878.28108820897751</v>
      </c>
      <c r="AF75" s="572">
        <f>+'Maj Techno Summ'!AF15</f>
        <v>884.14492025679908</v>
      </c>
      <c r="AG75" s="2298">
        <f>+'Maj Techno Summ'!AG15</f>
        <v>869.98415961395165</v>
      </c>
      <c r="AH75" s="2298">
        <f>+'Maj Techno Summ'!AH15</f>
        <v>1821.6844408777995</v>
      </c>
      <c r="AI75" s="572">
        <f>+'Maj Techno Summ'!AI15</f>
        <v>877.22764816700669</v>
      </c>
      <c r="AJ75" s="572">
        <f>+'Maj Techno Summ'!AJ15</f>
        <v>888.55234061175145</v>
      </c>
      <c r="AK75" s="2298">
        <f>+'Maj Techno Summ'!AK15</f>
        <v>869.98415961395165</v>
      </c>
      <c r="AL75" s="2298">
        <f>+'Maj Techno Summ'!AL15</f>
        <v>880.90990660152113</v>
      </c>
      <c r="AM75" s="781">
        <f>+'Maj Techno Summ'!AM15</f>
        <v>883.49537384954363</v>
      </c>
      <c r="AN75" s="781">
        <f>+'Maj Techno Summ'!AN15</f>
        <v>901.28957387120761</v>
      </c>
      <c r="AO75" s="572">
        <f>+'Maj Techno Summ'!AO15</f>
        <v>879.56478503865083</v>
      </c>
      <c r="AP75" s="572">
        <f>+'Maj Techno Summ'!AP15</f>
        <v>887.57478419729296</v>
      </c>
      <c r="AQ75" s="2298">
        <f>+'Maj Techno Summ'!AQ15</f>
        <v>869.98415961395165</v>
      </c>
      <c r="AR75" s="2298">
        <f>+'Maj Techno Summ'!AR15</f>
        <v>839.50234176485299</v>
      </c>
      <c r="AS75" s="572">
        <f>+'Maj Techno Summ'!AS15</f>
        <v>878.56929195628391</v>
      </c>
      <c r="AT75" s="572">
        <f>+'Maj Techno Summ'!AT15</f>
        <v>882.03770426037454</v>
      </c>
      <c r="AU75" s="2298">
        <f>+'Maj Techno Summ'!AU15</f>
        <v>869.98415961395165</v>
      </c>
      <c r="AV75" s="2298">
        <f>+'Maj Techno Summ'!AV15</f>
        <v>833.07785405401853</v>
      </c>
      <c r="AW75" s="572">
        <f>+'Maj Techno Summ'!AW15</f>
        <v>877.83510161914035</v>
      </c>
      <c r="AX75" s="572">
        <f>+'Maj Techno Summ'!AX15</f>
        <v>877.36909216707602</v>
      </c>
      <c r="AY75" s="2298">
        <f>+'Maj Techno Summ'!AY15</f>
        <v>869.98415961395165</v>
      </c>
      <c r="AZ75" s="2298">
        <f>+'Maj Techno Summ'!AZ15</f>
        <v>821.7498196679386</v>
      </c>
      <c r="BA75" s="781">
        <f>+'Maj Techno Summ'!BA15</f>
        <v>879.17042362526865</v>
      </c>
      <c r="BB75" s="781">
        <f>+'Maj Techno Summ'!BB15</f>
        <v>831.3707407887515</v>
      </c>
      <c r="BC75" s="465">
        <f>+'Maj Techno Summ'!BC15</f>
        <v>881.35795809453384</v>
      </c>
      <c r="BD75" s="465">
        <f>+'Maj Techno Summ'!BD15</f>
        <v>859.114223704805</v>
      </c>
      <c r="BE75" s="572">
        <f>+'Maj Techno Summ'!BE15</f>
        <v>879.46554448859797</v>
      </c>
      <c r="BF75" s="572">
        <f>+'Maj Techno Summ'!BF15</f>
        <v>872.08452849537503</v>
      </c>
      <c r="BH75" s="26"/>
      <c r="BI75" s="26"/>
      <c r="BJ75" s="26"/>
      <c r="BK75" s="26"/>
    </row>
    <row r="76" spans="1:63" hidden="1" thickBot="1" x14ac:dyDescent="0.35">
      <c r="A76" s="147"/>
      <c r="B76" s="4037" t="s">
        <v>1904</v>
      </c>
      <c r="C76" s="2656"/>
      <c r="D76" s="2716"/>
      <c r="E76" s="2716"/>
      <c r="F76" s="2716">
        <f>+F2*24</f>
        <v>720</v>
      </c>
      <c r="G76" s="2716"/>
      <c r="H76" s="2716">
        <f>+H2*24</f>
        <v>744</v>
      </c>
      <c r="I76" s="2648"/>
      <c r="J76" s="44">
        <f t="shared" ref="J76:J77" si="398">+F76+H76</f>
        <v>1464</v>
      </c>
      <c r="K76" s="2716"/>
      <c r="L76" s="2716">
        <f>+L2*24</f>
        <v>720</v>
      </c>
      <c r="M76" s="2649"/>
      <c r="N76" s="2649">
        <f>+F76+H76+L76</f>
        <v>2184</v>
      </c>
      <c r="O76" s="2716"/>
      <c r="P76" s="2716">
        <f>+P2*24</f>
        <v>744</v>
      </c>
      <c r="Q76" s="572"/>
      <c r="R76" s="44">
        <f t="shared" ref="R76:R77" si="399">+N76+P76</f>
        <v>2928</v>
      </c>
      <c r="S76" s="2716"/>
      <c r="T76" s="2716">
        <f>+T2*24</f>
        <v>744</v>
      </c>
      <c r="U76" s="572"/>
      <c r="V76" s="44">
        <f t="shared" ref="V76:V77" si="400">+R76+T76</f>
        <v>3672</v>
      </c>
      <c r="W76" s="2716"/>
      <c r="X76" s="2716">
        <f>+X2*24</f>
        <v>720</v>
      </c>
      <c r="Y76" s="2649"/>
      <c r="Z76" s="2649"/>
      <c r="AA76" s="2693"/>
      <c r="AB76" s="2693"/>
      <c r="AC76" s="2716"/>
      <c r="AD76" s="2716">
        <f>+AD2*24</f>
        <v>744</v>
      </c>
      <c r="AE76" s="572"/>
      <c r="AF76" s="572"/>
      <c r="AG76" s="2716"/>
      <c r="AH76" s="2716">
        <f>+AH2*24</f>
        <v>720</v>
      </c>
      <c r="AI76" s="572"/>
      <c r="AJ76" s="572"/>
      <c r="AK76" s="2716"/>
      <c r="AL76" s="2716">
        <f>+AL2*24</f>
        <v>744</v>
      </c>
      <c r="AM76" s="2649"/>
      <c r="AN76" s="2649"/>
      <c r="AO76" s="572"/>
      <c r="AP76" s="572"/>
      <c r="AQ76" s="2716"/>
      <c r="AR76" s="2716">
        <f>+AR2*24</f>
        <v>744</v>
      </c>
      <c r="AS76" s="572"/>
      <c r="AT76" s="572"/>
      <c r="AU76" s="2716"/>
      <c r="AV76" s="2716">
        <f>+AV2*24</f>
        <v>672</v>
      </c>
      <c r="AW76" s="572"/>
      <c r="AX76" s="572"/>
      <c r="AY76" s="2716"/>
      <c r="AZ76" s="2716">
        <f>+AZ2*24</f>
        <v>744</v>
      </c>
      <c r="BA76" s="2649"/>
      <c r="BB76" s="2649"/>
      <c r="BC76" s="2693"/>
      <c r="BD76" s="2693"/>
      <c r="BE76" s="572"/>
      <c r="BF76" s="572"/>
      <c r="BH76" s="26"/>
      <c r="BI76" s="26"/>
      <c r="BJ76" s="26"/>
      <c r="BK76" s="26"/>
    </row>
    <row r="77" spans="1:63" hidden="1" thickBot="1" x14ac:dyDescent="0.35">
      <c r="A77" s="147"/>
      <c r="B77" s="4037" t="s">
        <v>1901</v>
      </c>
      <c r="C77" s="2656" t="s">
        <v>221</v>
      </c>
      <c r="D77" s="2716"/>
      <c r="E77" s="2716"/>
      <c r="F77" s="2716">
        <v>720</v>
      </c>
      <c r="G77" s="2716"/>
      <c r="H77" s="2716">
        <v>720</v>
      </c>
      <c r="I77" s="2648"/>
      <c r="J77" s="44">
        <f t="shared" si="398"/>
        <v>1440</v>
      </c>
      <c r="K77" s="2716"/>
      <c r="L77" s="2716">
        <v>720</v>
      </c>
      <c r="M77" s="2649"/>
      <c r="N77" s="2649">
        <f>+F77+H77+L77</f>
        <v>2160</v>
      </c>
      <c r="O77" s="2716"/>
      <c r="P77" s="2716">
        <v>720</v>
      </c>
      <c r="Q77" s="572"/>
      <c r="R77" s="44">
        <f t="shared" si="399"/>
        <v>2880</v>
      </c>
      <c r="S77" s="2716"/>
      <c r="T77" s="2716">
        <v>720</v>
      </c>
      <c r="U77" s="572"/>
      <c r="V77" s="44">
        <f t="shared" si="400"/>
        <v>3600</v>
      </c>
      <c r="W77" s="2716"/>
      <c r="X77" s="2716">
        <v>720</v>
      </c>
      <c r="Y77" s="2649"/>
      <c r="Z77" s="2649"/>
      <c r="AA77" s="2693"/>
      <c r="AB77" s="2693"/>
      <c r="AC77" s="2716"/>
      <c r="AD77" s="2716">
        <v>720</v>
      </c>
      <c r="AE77" s="572"/>
      <c r="AF77" s="572"/>
      <c r="AG77" s="2716"/>
      <c r="AH77" s="2716">
        <v>720</v>
      </c>
      <c r="AI77" s="572"/>
      <c r="AJ77" s="572"/>
      <c r="AK77" s="2716"/>
      <c r="AL77" s="2716">
        <v>720</v>
      </c>
      <c r="AM77" s="2649"/>
      <c r="AN77" s="2649"/>
      <c r="AO77" s="572"/>
      <c r="AP77" s="572"/>
      <c r="AQ77" s="2716"/>
      <c r="AR77" s="2716">
        <v>720</v>
      </c>
      <c r="AS77" s="572"/>
      <c r="AT77" s="572"/>
      <c r="AU77" s="2716"/>
      <c r="AV77" s="2716">
        <v>720</v>
      </c>
      <c r="AW77" s="572"/>
      <c r="AX77" s="572"/>
      <c r="AY77" s="2716"/>
      <c r="AZ77" s="2716">
        <v>720</v>
      </c>
      <c r="BA77" s="2649"/>
      <c r="BB77" s="2649"/>
      <c r="BC77" s="2693"/>
      <c r="BD77" s="2693"/>
      <c r="BE77" s="572"/>
      <c r="BF77" s="572"/>
      <c r="BH77" s="26"/>
      <c r="BI77" s="26"/>
      <c r="BJ77" s="26"/>
      <c r="BK77" s="26"/>
    </row>
    <row r="78" spans="1:63" x14ac:dyDescent="0.25">
      <c r="A78" s="4036"/>
      <c r="B78" s="4037" t="s">
        <v>251</v>
      </c>
      <c r="C78" s="2656" t="s">
        <v>49</v>
      </c>
      <c r="D78" s="2134">
        <v>93.429278758871092</v>
      </c>
      <c r="E78" s="1221">
        <v>96.666666666666671</v>
      </c>
      <c r="F78" s="1221">
        <f>+F50/F2*100</f>
        <v>88.888888888888886</v>
      </c>
      <c r="G78" s="1221">
        <v>96.774193548387103</v>
      </c>
      <c r="H78" s="1221">
        <f>+H50/H2*100</f>
        <v>96.102150537634401</v>
      </c>
      <c r="I78" s="4051">
        <f t="shared" ref="I78:J78" si="401">+I50/I2*100</f>
        <v>96.721311475409834</v>
      </c>
      <c r="J78" s="2124">
        <f t="shared" si="401"/>
        <v>92.554644808743163</v>
      </c>
      <c r="K78" s="1221">
        <v>96.666666666666671</v>
      </c>
      <c r="L78" s="1221">
        <f>+L50/L2*100</f>
        <v>98.703703703703709</v>
      </c>
      <c r="M78" s="1574">
        <f>M50/M2*100</f>
        <v>96.703296703296701</v>
      </c>
      <c r="N78" s="174">
        <f>+N50/N2*100</f>
        <v>94.581807081807071</v>
      </c>
      <c r="O78" s="1221">
        <v>96.774193548387103</v>
      </c>
      <c r="P78" s="1221">
        <f>+P50/P2*100</f>
        <v>99.999999999999986</v>
      </c>
      <c r="Q78" s="2720">
        <f>+Q50/Q2*100</f>
        <v>96.721311475409834</v>
      </c>
      <c r="R78" s="613">
        <f>+R50/R2*100</f>
        <v>95.958561020036413</v>
      </c>
      <c r="S78" s="1221">
        <v>96.774193548387103</v>
      </c>
      <c r="T78" s="1221">
        <f>+T50/T2*100</f>
        <v>96.852598566308231</v>
      </c>
      <c r="U78" s="832">
        <f>+U50/U2*100</f>
        <v>96.732026143790847</v>
      </c>
      <c r="V78" s="613">
        <f>+V50/V2*100</f>
        <v>96.139705882352928</v>
      </c>
      <c r="W78" s="1221">
        <v>56.722891566265062</v>
      </c>
      <c r="X78" s="1221">
        <f>+X50/X2*100</f>
        <v>98.912037037037038</v>
      </c>
      <c r="Y78" s="781">
        <f t="shared" ref="Y78:AB78" si="402">+Y50/Y2*100</f>
        <v>83.713986380303822</v>
      </c>
      <c r="Z78" s="781">
        <f t="shared" si="402"/>
        <v>98.584692028985501</v>
      </c>
      <c r="AA78" s="465">
        <f t="shared" si="402"/>
        <v>90.173151622884987</v>
      </c>
      <c r="AB78" s="465">
        <f t="shared" si="402"/>
        <v>96.594186399514257</v>
      </c>
      <c r="AC78" s="1221">
        <v>96.774193548387103</v>
      </c>
      <c r="AD78" s="1221">
        <f t="shared" ref="AD78" si="403">+AD50/AD2*100</f>
        <v>96.662186379928301</v>
      </c>
      <c r="AE78" s="266">
        <f>+AE50/AE2*100</f>
        <v>91.1293773223736</v>
      </c>
      <c r="AF78" s="782">
        <f>+AF50/AF2*100</f>
        <v>96.604036863966755</v>
      </c>
      <c r="AG78" s="1221">
        <v>96.666666666666671</v>
      </c>
      <c r="AH78" s="1221">
        <f t="shared" ref="AH78" si="404">+AH50/AH2*100</f>
        <v>9.5929672632350815</v>
      </c>
      <c r="AI78" s="266">
        <f>+AI50/AI2*100</f>
        <v>91.810191586016202</v>
      </c>
      <c r="AJ78" s="782">
        <f>+AJ50/AJ2*100</f>
        <v>85.90595453600794</v>
      </c>
      <c r="AK78" s="1221">
        <v>96.774193548387103</v>
      </c>
      <c r="AL78" s="1221">
        <f t="shared" ref="AL78" si="405">+AL50/AL2*100</f>
        <v>99.204749103942646</v>
      </c>
      <c r="AM78" s="781">
        <f>+AM50/AM2*100</f>
        <v>96.739130434782609</v>
      </c>
      <c r="AN78" s="781">
        <f>+AN50/AN2*100</f>
        <v>69.126782803228821</v>
      </c>
      <c r="AO78" s="266">
        <f>+AO50/AO2*100</f>
        <v>92.3697699890471</v>
      </c>
      <c r="AP78" s="782">
        <f>+AP50/AP2*100</f>
        <v>87.405091378211495</v>
      </c>
      <c r="AQ78" s="1221">
        <v>96.774193548387103</v>
      </c>
      <c r="AR78" s="1221">
        <f t="shared" ref="AR78" si="406">+AR50/AR2*100</f>
        <v>95.575716845878134</v>
      </c>
      <c r="AS78" s="266">
        <f>+AS50/AS2*100</f>
        <v>92.815969761398534</v>
      </c>
      <c r="AT78" s="266">
        <f>+AT50/AT2*100</f>
        <v>88.232834481145034</v>
      </c>
      <c r="AU78" s="1221">
        <v>96.428571428571431</v>
      </c>
      <c r="AV78" s="1221">
        <f t="shared" ref="AV78" si="407">+AV50/AV2*100</f>
        <v>97.098214285714292</v>
      </c>
      <c r="AW78" s="266">
        <f>+AW50/AW2*100</f>
        <v>93.118822595772315</v>
      </c>
      <c r="AX78" s="266">
        <f>+AX50/AX2*100</f>
        <v>88.976039973743653</v>
      </c>
      <c r="AY78" s="1221">
        <v>96.774193548387103</v>
      </c>
      <c r="AZ78" s="1221">
        <f t="shared" ref="AZ78" si="408">+AZ50/AZ2*100</f>
        <v>97.502240143369193</v>
      </c>
      <c r="BA78" s="781">
        <f t="shared" ref="BA78:BF78" si="409">+BA50/BA2*100</f>
        <v>96.666666666666657</v>
      </c>
      <c r="BB78" s="781">
        <f t="shared" si="409"/>
        <v>96.712962962962962</v>
      </c>
      <c r="BC78" s="465">
        <f t="shared" si="409"/>
        <v>96.703296703296701</v>
      </c>
      <c r="BD78" s="465">
        <f t="shared" si="409"/>
        <v>82.768300464635828</v>
      </c>
      <c r="BE78" s="266">
        <f t="shared" si="409"/>
        <v>93.429278758871106</v>
      </c>
      <c r="BF78" s="782">
        <f t="shared" si="409"/>
        <v>89.700183001848842</v>
      </c>
      <c r="BH78" s="26"/>
      <c r="BI78" s="26"/>
      <c r="BJ78" s="26"/>
      <c r="BK78" s="26"/>
    </row>
    <row r="79" spans="1:63" hidden="1" thickBot="1" x14ac:dyDescent="0.35">
      <c r="A79" s="147"/>
      <c r="B79" s="4037" t="s">
        <v>1903</v>
      </c>
      <c r="C79" s="2656" t="s">
        <v>221</v>
      </c>
      <c r="D79" s="2933"/>
      <c r="E79" s="2936"/>
      <c r="F79" s="2716">
        <v>720</v>
      </c>
      <c r="G79" s="2936"/>
      <c r="H79" s="2716">
        <v>720</v>
      </c>
      <c r="I79" s="2648"/>
      <c r="J79" s="44">
        <f t="shared" ref="J79" si="410">+F79+H79</f>
        <v>1440</v>
      </c>
      <c r="K79" s="2936"/>
      <c r="L79" s="2716">
        <v>720</v>
      </c>
      <c r="M79" s="3477"/>
      <c r="N79" s="2649">
        <f>+F79+H79+L79</f>
        <v>2160</v>
      </c>
      <c r="O79" s="2936"/>
      <c r="P79" s="2716">
        <v>720</v>
      </c>
      <c r="Q79" s="3202"/>
      <c r="R79" s="44">
        <f t="shared" ref="R79" si="411">+N79+P79</f>
        <v>2880</v>
      </c>
      <c r="S79" s="2936"/>
      <c r="T79" s="2716">
        <v>720</v>
      </c>
      <c r="U79" s="3202"/>
      <c r="V79" s="44">
        <f t="shared" ref="V79" si="412">+R79+T79</f>
        <v>3600</v>
      </c>
      <c r="W79" s="2936"/>
      <c r="X79" s="2716">
        <v>720</v>
      </c>
      <c r="Y79" s="2649"/>
      <c r="Z79" s="2649"/>
      <c r="AA79" s="2693"/>
      <c r="AB79" s="2693"/>
      <c r="AC79" s="2716"/>
      <c r="AD79" s="2716">
        <v>710</v>
      </c>
      <c r="AE79" s="3202"/>
      <c r="AF79" s="2648"/>
      <c r="AG79" s="2716"/>
      <c r="AH79" s="2716">
        <v>710</v>
      </c>
      <c r="AI79" s="3202"/>
      <c r="AJ79" s="2648"/>
      <c r="AK79" s="2716"/>
      <c r="AL79" s="2716">
        <v>710</v>
      </c>
      <c r="AM79" s="2649"/>
      <c r="AN79" s="2649"/>
      <c r="AO79" s="3202"/>
      <c r="AP79" s="2648"/>
      <c r="AQ79" s="2716"/>
      <c r="AR79" s="2716">
        <v>710</v>
      </c>
      <c r="AS79" s="3202"/>
      <c r="AT79" s="2648"/>
      <c r="AU79" s="2716"/>
      <c r="AV79" s="2716">
        <v>710</v>
      </c>
      <c r="AW79" s="3202"/>
      <c r="AX79" s="2648"/>
      <c r="AY79" s="2716"/>
      <c r="AZ79" s="2716">
        <v>710</v>
      </c>
      <c r="BA79" s="2649"/>
      <c r="BB79" s="2649"/>
      <c r="BC79" s="2693"/>
      <c r="BD79" s="2693"/>
      <c r="BE79" s="3202"/>
      <c r="BF79" s="2648"/>
      <c r="BH79" s="26"/>
      <c r="BI79" s="26"/>
      <c r="BJ79" s="26"/>
      <c r="BK79" s="26"/>
    </row>
    <row r="80" spans="1:63" ht="14.45" hidden="1" x14ac:dyDescent="0.3">
      <c r="A80" s="147"/>
      <c r="B80" s="4037" t="s">
        <v>1902</v>
      </c>
      <c r="C80" s="2656" t="s">
        <v>49</v>
      </c>
      <c r="D80" s="2933"/>
      <c r="E80" s="2936"/>
      <c r="F80" s="4059">
        <f>+F79/F77*100</f>
        <v>100</v>
      </c>
      <c r="G80" s="2936"/>
      <c r="H80" s="4059">
        <f>+H79/H77*100</f>
        <v>100</v>
      </c>
      <c r="I80" s="4041"/>
      <c r="J80" s="4058">
        <f>+J79/J77*100</f>
        <v>100</v>
      </c>
      <c r="K80" s="2936"/>
      <c r="L80" s="4059">
        <f>+L79/L77*100</f>
        <v>100</v>
      </c>
      <c r="M80" s="3477"/>
      <c r="N80" s="3402">
        <f>+N79/N77*100</f>
        <v>100</v>
      </c>
      <c r="O80" s="2936"/>
      <c r="P80" s="4059">
        <f>+P79/P77*100</f>
        <v>100</v>
      </c>
      <c r="Q80" s="3202"/>
      <c r="R80" s="4058">
        <f>+R79/R77*100</f>
        <v>100</v>
      </c>
      <c r="S80" s="2936"/>
      <c r="T80" s="4059">
        <f>+T79/T77*100</f>
        <v>100</v>
      </c>
      <c r="U80" s="3202"/>
      <c r="V80" s="4058">
        <f>+V79/V77*100</f>
        <v>100</v>
      </c>
      <c r="W80" s="2936"/>
      <c r="X80" s="4059">
        <f>+X79/X77*100</f>
        <v>100</v>
      </c>
      <c r="Y80" s="2649"/>
      <c r="Z80" s="2649"/>
      <c r="AA80" s="2693"/>
      <c r="AB80" s="2693"/>
      <c r="AC80" s="4035"/>
      <c r="AD80" s="4059">
        <f>+AD79/AD77*100</f>
        <v>98.611111111111114</v>
      </c>
      <c r="AE80" s="3202"/>
      <c r="AF80" s="2648"/>
      <c r="AG80" s="4035"/>
      <c r="AH80" s="4059">
        <f>+AH79/AH77*100</f>
        <v>98.611111111111114</v>
      </c>
      <c r="AI80" s="3202"/>
      <c r="AJ80" s="2648"/>
      <c r="AK80" s="4035"/>
      <c r="AL80" s="4059">
        <f>+AL79/AL77*100</f>
        <v>98.611111111111114</v>
      </c>
      <c r="AM80" s="2649"/>
      <c r="AN80" s="2649"/>
      <c r="AO80" s="3202"/>
      <c r="AP80" s="2648"/>
      <c r="AQ80" s="4035"/>
      <c r="AR80" s="4059">
        <f>+AR79/AR77*100</f>
        <v>98.611111111111114</v>
      </c>
      <c r="AS80" s="3202"/>
      <c r="AT80" s="2648"/>
      <c r="AU80" s="4035"/>
      <c r="AV80" s="4059">
        <f>+AV79/AV77*100</f>
        <v>98.611111111111114</v>
      </c>
      <c r="AW80" s="3202"/>
      <c r="AX80" s="2648"/>
      <c r="AY80" s="4035"/>
      <c r="AZ80" s="4059">
        <f>+AZ79/AZ77*100</f>
        <v>98.611111111111114</v>
      </c>
      <c r="BA80" s="2649"/>
      <c r="BB80" s="2649"/>
      <c r="BC80" s="2693"/>
      <c r="BD80" s="2693"/>
      <c r="BE80" s="3202"/>
      <c r="BF80" s="2648"/>
      <c r="BH80" s="26"/>
      <c r="BI80" s="26"/>
      <c r="BJ80" s="26"/>
      <c r="BK80" s="26"/>
    </row>
    <row r="81" spans="1:63" x14ac:dyDescent="0.25">
      <c r="A81" s="147" t="s">
        <v>470</v>
      </c>
      <c r="B81" s="4038" t="s">
        <v>250</v>
      </c>
      <c r="C81" s="2656" t="s">
        <v>249</v>
      </c>
      <c r="D81" s="2647">
        <v>1175</v>
      </c>
      <c r="E81" s="2716">
        <f>+$D$81</f>
        <v>1175</v>
      </c>
      <c r="F81" s="2716">
        <v>1169.6366534085485</v>
      </c>
      <c r="G81" s="2716">
        <v>1175</v>
      </c>
      <c r="H81" s="2716">
        <v>1185.0594910509444</v>
      </c>
      <c r="I81" s="2648">
        <f>+AVERAGE(E81,G81)</f>
        <v>1175</v>
      </c>
      <c r="J81" s="2648">
        <f>+((F81*F$2)+(H81*H$2))/J$2</f>
        <v>1177.4744889317333</v>
      </c>
      <c r="K81" s="2716">
        <v>1175</v>
      </c>
      <c r="L81" s="2716">
        <v>1191.5020847841542</v>
      </c>
      <c r="M81" s="2649">
        <f>+$D$81</f>
        <v>1175</v>
      </c>
      <c r="N81" s="2649">
        <f>+((F81*F$2)+(H81*H$2)+(L81*L$2))/N$2</f>
        <v>1182.0989710808831</v>
      </c>
      <c r="O81" s="2716">
        <v>1175</v>
      </c>
      <c r="P81" s="2716">
        <v>1200.0039557354435</v>
      </c>
      <c r="Q81" s="782">
        <f>+$D$81</f>
        <v>1175</v>
      </c>
      <c r="R81" s="782">
        <f>+((N81*N$2)+(P81*P$2))/R$2</f>
        <v>1186.6485983291732</v>
      </c>
      <c r="S81" s="2716">
        <v>1175</v>
      </c>
      <c r="T81" s="2716">
        <v>1194.6853780645938</v>
      </c>
      <c r="U81" s="782">
        <f>+$D$81</f>
        <v>1175</v>
      </c>
      <c r="V81" s="782">
        <f>+((R81*R$2)+(T81*T$2))/V$2</f>
        <v>1188.2769654651081</v>
      </c>
      <c r="W81" s="2716">
        <v>1175</v>
      </c>
      <c r="X81" s="2716">
        <v>1192.0538059017479</v>
      </c>
      <c r="Y81" s="781">
        <f>+AVERAGE(O81,S81,W81)</f>
        <v>1175</v>
      </c>
      <c r="Z81" s="781">
        <f>+((P81*P$2)+(T81*T$2)+(X81*X$2))/Z$2</f>
        <v>1195.619386139713</v>
      </c>
      <c r="AA81" s="465">
        <f>+AVERAGE(E81,G81,K81,O81,S81,W81)</f>
        <v>1175</v>
      </c>
      <c r="AB81" s="465">
        <f>+((N81*N$2)+(Z81*Z$2))/AB$2</f>
        <v>1188.896119635049</v>
      </c>
      <c r="AC81" s="2716">
        <f>+$D$81</f>
        <v>1175</v>
      </c>
      <c r="AD81" s="2716">
        <v>1146.546129032258</v>
      </c>
      <c r="AE81" s="782">
        <f>+$D$81</f>
        <v>1175</v>
      </c>
      <c r="AF81" s="782">
        <f>+((AB81*AB$2)+(AD81*AD$2))/AF$2</f>
        <v>1182.7613079122148</v>
      </c>
      <c r="AG81" s="2716">
        <f>+$D$81</f>
        <v>1175</v>
      </c>
      <c r="AH81" s="2716">
        <v>1008.6666666666666</v>
      </c>
      <c r="AI81" s="782">
        <f>+$D$81</f>
        <v>1175</v>
      </c>
      <c r="AJ81" s="782">
        <f>+((AF81*AF$2)+(AH81*AH$2))/AJ$2</f>
        <v>1161.356229070549</v>
      </c>
      <c r="AK81" s="2716">
        <f>+$D$81</f>
        <v>1175</v>
      </c>
      <c r="AL81" s="2716">
        <v>1168.2702832980101</v>
      </c>
      <c r="AM81" s="781">
        <f>+AVERAGE(AC81,AG81,AK81)</f>
        <v>1175</v>
      </c>
      <c r="AN81" s="781">
        <f>+((AD81*AD$2)+(AH81*AH$2)+(AL81*AL$2))/AN$2</f>
        <v>1108.9055302417207</v>
      </c>
      <c r="AO81" s="782">
        <f>+$D$81</f>
        <v>1175</v>
      </c>
      <c r="AP81" s="782">
        <f>+((AL81*AL$2)+(AJ81*AJ$2))/AP$2</f>
        <v>1162.1356315470991</v>
      </c>
      <c r="AQ81" s="2716">
        <f>+$D$81</f>
        <v>1175</v>
      </c>
      <c r="AR81" s="2716">
        <v>1180.3109392030563</v>
      </c>
      <c r="AS81" s="782">
        <f>+$D$81</f>
        <v>1175</v>
      </c>
      <c r="AT81" s="782">
        <f>+((AP81*AP$2)+(AR81*AR$2))/AT$2</f>
        <v>1163.976920884794</v>
      </c>
      <c r="AU81" s="2716">
        <f>+$D$81</f>
        <v>1175</v>
      </c>
      <c r="AV81" s="2716">
        <v>1171.6966869804357</v>
      </c>
      <c r="AW81" s="782">
        <f>+$D$81</f>
        <v>1175</v>
      </c>
      <c r="AX81" s="782">
        <f>+((AT81*AT$2)+(AV81*AV$2))/AX$2</f>
        <v>1164.6240869047879</v>
      </c>
      <c r="AY81" s="2716">
        <f>+$D$81</f>
        <v>1175</v>
      </c>
      <c r="AZ81" s="2716">
        <v>1179.4645730205052</v>
      </c>
      <c r="BA81" s="781">
        <f>+AVERAGE(AQ81,AU81,AY81)</f>
        <v>1175</v>
      </c>
      <c r="BB81" s="781">
        <f>+((AR81*AR$2)+(AV81*AV$2)+(AZ81*AZ$2))/BB$2</f>
        <v>1177.33942349314</v>
      </c>
      <c r="BC81" s="465">
        <f>+AVERAGE(AC81,AG81,AK81,AQ81,AU81,AY81)</f>
        <v>1175</v>
      </c>
      <c r="BD81" s="465">
        <f>+((AN81*AN$2)+(BB81*BB$2))/BD$2</f>
        <v>1142.7464664649501</v>
      </c>
      <c r="BE81" s="782">
        <f>+$D$81</f>
        <v>1175</v>
      </c>
      <c r="BF81" s="782">
        <f>+((AX81*AX$2)+(AZ81*AZ$2))/BF$2</f>
        <v>1165.884511752972</v>
      </c>
      <c r="BH81" s="26"/>
      <c r="BI81" s="26"/>
      <c r="BJ81" s="26"/>
      <c r="BK81" s="26"/>
    </row>
    <row r="82" spans="1:63" x14ac:dyDescent="0.25">
      <c r="A82" s="147" t="s">
        <v>470</v>
      </c>
      <c r="B82" s="4038" t="s">
        <v>252</v>
      </c>
      <c r="C82" s="2656" t="s">
        <v>219</v>
      </c>
      <c r="D82" s="2647">
        <v>374</v>
      </c>
      <c r="E82" s="2647">
        <f>$D$82</f>
        <v>374</v>
      </c>
      <c r="F82" s="2716">
        <f>+F18/F6*1000</f>
        <v>363.92550953983107</v>
      </c>
      <c r="G82" s="2647">
        <f>$D$82</f>
        <v>374</v>
      </c>
      <c r="H82" s="2716">
        <f>+H18/H6*1000</f>
        <v>345.61695203825582</v>
      </c>
      <c r="I82" s="2648">
        <f>+I18/I6*1000</f>
        <v>374</v>
      </c>
      <c r="J82" s="2648">
        <f>+J18/J6*1000</f>
        <v>354.20879120651068</v>
      </c>
      <c r="K82" s="2647">
        <f>$D$82</f>
        <v>374</v>
      </c>
      <c r="L82" s="2716">
        <f>+L18/L6*1000</f>
        <v>316.9394936477471</v>
      </c>
      <c r="M82" s="2649">
        <f>+M18/M6*1000</f>
        <v>374</v>
      </c>
      <c r="N82" s="2649">
        <f>+N18/N6*1000</f>
        <v>341.09842315776342</v>
      </c>
      <c r="O82" s="2647">
        <f>$D$82</f>
        <v>374</v>
      </c>
      <c r="P82" s="2716">
        <f>+P18/P6*1000</f>
        <v>348.25801262986107</v>
      </c>
      <c r="Q82" s="376">
        <f>+Q18/Q6*1000</f>
        <v>374</v>
      </c>
      <c r="R82" s="376">
        <f>+R18/R6*1000</f>
        <v>342.99640658368207</v>
      </c>
      <c r="S82" s="2647">
        <f>$D$82</f>
        <v>374</v>
      </c>
      <c r="T82" s="2716">
        <f>+T18/T6*1000</f>
        <v>360.36693508265699</v>
      </c>
      <c r="U82" s="376">
        <f>+U18/U6*1000</f>
        <v>374</v>
      </c>
      <c r="V82" s="376">
        <f>+V18/V6*1000</f>
        <v>346.47481305232651</v>
      </c>
      <c r="W82" s="2647">
        <f>$D$82</f>
        <v>374</v>
      </c>
      <c r="X82" s="2716">
        <f>+X18/X6*1000</f>
        <v>352.01502802742641</v>
      </c>
      <c r="Y82" s="378">
        <f>+Y18/Y6*1000</f>
        <v>374</v>
      </c>
      <c r="Z82" s="378">
        <f>+Z18/Z6*1000</f>
        <v>353.46371969363798</v>
      </c>
      <c r="AA82" s="544">
        <f>+AA18/AA6*1000</f>
        <v>374</v>
      </c>
      <c r="AB82" s="544">
        <f>+AB18/AB6*1000</f>
        <v>347.36862968110404</v>
      </c>
      <c r="AC82" s="2647">
        <f>$D$82</f>
        <v>374</v>
      </c>
      <c r="AD82" s="2716">
        <f>+AD18/AD6*1000</f>
        <v>375.79212169847528</v>
      </c>
      <c r="AE82" s="376">
        <f>+AE18/AE6*1000</f>
        <v>374.90144230769226</v>
      </c>
      <c r="AF82" s="376">
        <f>+AF18/AF6*1000</f>
        <v>351.24137149357136</v>
      </c>
      <c r="AG82" s="2647">
        <f>$D$82</f>
        <v>374</v>
      </c>
      <c r="AH82" s="2716">
        <f>+AH18/AH6*1000</f>
        <v>425.17589280300734</v>
      </c>
      <c r="AI82" s="376">
        <f>+AI18/AI6*1000</f>
        <v>375.54879328436522</v>
      </c>
      <c r="AJ82" s="376">
        <f>+AJ18/AJ6*1000</f>
        <v>351.58894139007776</v>
      </c>
      <c r="AK82" s="2647">
        <f>$D$82</f>
        <v>374</v>
      </c>
      <c r="AL82" s="2716">
        <f>+AL18/AL6*1000</f>
        <v>389.56682883071267</v>
      </c>
      <c r="AM82" s="378">
        <f>+AM18/AM6*1000</f>
        <v>380</v>
      </c>
      <c r="AN82" s="378">
        <f>+AN18/AN6*1000</f>
        <v>383.64107689010268</v>
      </c>
      <c r="AO82" s="376">
        <f>+AO18/AO6*1000</f>
        <v>376.06493506493507</v>
      </c>
      <c r="AP82" s="3571">
        <f>+AP18/AP6*1000</f>
        <v>356.44675598494126</v>
      </c>
      <c r="AQ82" s="2647">
        <f>$D$82</f>
        <v>374</v>
      </c>
      <c r="AR82" s="2716">
        <f>+AR18/AR6*1000</f>
        <v>405.53335556018931</v>
      </c>
      <c r="AS82" s="376">
        <f>+AS18/AS6*1000</f>
        <v>376.47381546134659</v>
      </c>
      <c r="AT82" s="376">
        <f>+AT18/AT6*1000</f>
        <v>362.10064856719623</v>
      </c>
      <c r="AU82" s="3427">
        <f>$D$82</f>
        <v>374</v>
      </c>
      <c r="AV82" s="3430">
        <f>+AV18/AV6*1000</f>
        <v>363.15161753413679</v>
      </c>
      <c r="AW82" s="376">
        <f>+AW18/AW6*1000</f>
        <v>376.77537058152791</v>
      </c>
      <c r="AX82" s="376">
        <f>+AX18/AX6*1000</f>
        <v>362.20086469138897</v>
      </c>
      <c r="AY82" s="3427">
        <f>$D$82</f>
        <v>374</v>
      </c>
      <c r="AZ82" s="3430">
        <f>+AZ18/AZ6*1000</f>
        <v>388.34272372360977</v>
      </c>
      <c r="BA82" s="378">
        <f t="shared" ref="BA82:BF82" si="413">+BA18/BA6*1000</f>
        <v>380</v>
      </c>
      <c r="BB82" s="378">
        <f t="shared" si="413"/>
        <v>386.33683457742154</v>
      </c>
      <c r="BC82" s="544">
        <f t="shared" si="413"/>
        <v>380</v>
      </c>
      <c r="BD82" s="544">
        <f t="shared" si="413"/>
        <v>385.26716988127663</v>
      </c>
      <c r="BE82" s="376">
        <f t="shared" si="413"/>
        <v>377.0551891704269</v>
      </c>
      <c r="BF82" s="376">
        <f t="shared" si="413"/>
        <v>364.68468571861558</v>
      </c>
      <c r="BH82" s="26"/>
      <c r="BI82" s="26"/>
      <c r="BJ82" s="26"/>
      <c r="BK82" s="26"/>
    </row>
    <row r="83" spans="1:63" x14ac:dyDescent="0.25">
      <c r="A83" s="147" t="s">
        <v>470</v>
      </c>
      <c r="B83" s="4039" t="s">
        <v>253</v>
      </c>
      <c r="C83" s="2656" t="s">
        <v>49</v>
      </c>
      <c r="D83" s="2732">
        <v>0.5428135593220339</v>
      </c>
      <c r="E83" s="2732">
        <v>0.53</v>
      </c>
      <c r="F83" s="2732">
        <v>0.67656430326636097</v>
      </c>
      <c r="G83" s="2732">
        <v>0.53</v>
      </c>
      <c r="H83" s="2732">
        <v>0.660483227748908</v>
      </c>
      <c r="I83" s="3012">
        <f>+((E83*E$6)+(G83*G$6))/I$6</f>
        <v>0.53</v>
      </c>
      <c r="J83" s="3012">
        <f>+((F83*F$6)+(H83*H$6))/J$6</f>
        <v>0.66802975425634203</v>
      </c>
      <c r="K83" s="2732">
        <v>0.53</v>
      </c>
      <c r="L83" s="2732">
        <v>0.61333254599500653</v>
      </c>
      <c r="M83" s="3477">
        <f>+((E83*E$6)+(G83*G$6)+(K83*K$6))/M$6</f>
        <v>0.53</v>
      </c>
      <c r="N83" s="3477">
        <f>+((F83*F$6)+(H83*H$6)+(L83*L$6))/N$6</f>
        <v>0.6487887012041772</v>
      </c>
      <c r="O83" s="2732">
        <v>0.53</v>
      </c>
      <c r="P83" s="2732">
        <v>0.64083776122853031</v>
      </c>
      <c r="Q83" s="375">
        <f>+((M83*M$6)+(O83*O$6))/Q$6</f>
        <v>0.53</v>
      </c>
      <c r="R83" s="375">
        <f>+((N83*N$6)+(P83*P$6))/R$6</f>
        <v>0.64668093338409982</v>
      </c>
      <c r="S83" s="2732">
        <v>0.53</v>
      </c>
      <c r="T83" s="2732">
        <v>0.6053749134978198</v>
      </c>
      <c r="U83" s="375">
        <f>+((Q83*Q$6)+(S83*S$6))/U$6</f>
        <v>0.53</v>
      </c>
      <c r="V83" s="375">
        <f>+((R83*R$6)+(T83*T$6))/V$6</f>
        <v>0.6384095024500972</v>
      </c>
      <c r="W83" s="2732">
        <v>0.8</v>
      </c>
      <c r="X83" s="2732">
        <v>0.62674386842722107</v>
      </c>
      <c r="Y83" s="377">
        <f>+((O83*O$6)+(S83*S$6)+(W83*W$6))/Y$6</f>
        <v>0.58815384615384614</v>
      </c>
      <c r="Z83" s="377">
        <f>+((P83*P$6)+(T83*T$6)+(X83*X$6))/Z$6</f>
        <v>0.62460864863418319</v>
      </c>
      <c r="AA83" s="493">
        <f>+((M83*M$6)+(Y83*Y$6))/AA$6</f>
        <v>0.55673267326732678</v>
      </c>
      <c r="AB83" s="493">
        <f>+((N83*N$6)+(Z83*Z$6))/AB$6</f>
        <v>0.63652745676744016</v>
      </c>
      <c r="AC83" s="2732">
        <v>0.55000000000000004</v>
      </c>
      <c r="AD83" s="2732">
        <v>0.69457018105619173</v>
      </c>
      <c r="AE83" s="375">
        <f>+((AA83*AA$6)+(AC83*AC$6))/AE$6</f>
        <v>0.55572115384615395</v>
      </c>
      <c r="AF83" s="375">
        <f>+((AB83*AB$6)+(AD83*AD$6))/AF$6</f>
        <v>0.6444358617278575</v>
      </c>
      <c r="AG83" s="2732">
        <v>0.55000000000000004</v>
      </c>
      <c r="AH83" s="2732">
        <v>1.1329131100865317</v>
      </c>
      <c r="AI83" s="375">
        <f>+((AE83*AE$6)+(AG83*AG$6))/AI$6</f>
        <v>0.55499475341028337</v>
      </c>
      <c r="AJ83" s="375">
        <f>+((AF83*AF$6)+(AH83*AH$6))/AJ$6</f>
        <v>0.64673221779604873</v>
      </c>
      <c r="AK83" s="2732">
        <v>0.55000000000000004</v>
      </c>
      <c r="AL83" s="2732">
        <v>0.71038422835618731</v>
      </c>
      <c r="AM83" s="377">
        <f>+((AC83*AC$6)+(AG83*AG$6)+(AK83*AK$6))/AM$6</f>
        <v>0.55000000000000004</v>
      </c>
      <c r="AN83" s="377">
        <f>+((AD83*AD$6)+(AH83*AH$6)+(AL83*AL$6))/AN$6</f>
        <v>0.70983288209054329</v>
      </c>
      <c r="AO83" s="375">
        <f>+((AK83*AK$6)+(AI83*AI$6))/AO$6</f>
        <v>0.55441558441558436</v>
      </c>
      <c r="AP83" s="375">
        <f>+((AL83*AL$6)+(AJ83*AJ$6))/AP$6</f>
        <v>0.65487405207724159</v>
      </c>
      <c r="AQ83" s="2732">
        <v>0.55000000000000004</v>
      </c>
      <c r="AR83" s="2732">
        <v>0.61304458497751468</v>
      </c>
      <c r="AS83" s="375">
        <f>+((AO83*AO$6)+(AQ83*AQ$6))/AS$6</f>
        <v>0.55395677472984195</v>
      </c>
      <c r="AT83" s="375">
        <f>+((AP83*AP$6)+(AR83*AR$6))/AT$6</f>
        <v>0.6500560505085593</v>
      </c>
      <c r="AU83" s="2732">
        <v>0.55000000000000004</v>
      </c>
      <c r="AV83" s="2732">
        <v>0.65020290632462296</v>
      </c>
      <c r="AW83" s="375">
        <f>+((AS83*AS$6)+(AU83*AU$6))/AW$6</f>
        <v>0.55361839604713026</v>
      </c>
      <c r="AX83" s="375">
        <f>+((AT83*AT$6)+(AV83*AV$6))/AX$6</f>
        <v>0.65007005408160856</v>
      </c>
      <c r="AY83" s="2732">
        <v>0.55000000000000004</v>
      </c>
      <c r="AZ83" s="2732">
        <v>0.62914752668756546</v>
      </c>
      <c r="BA83" s="377">
        <f>+((AQ83*AQ$6)+(AU83*AU$6)+(AY83*AY$6))/BA$6</f>
        <v>0.55000000000000004</v>
      </c>
      <c r="BB83" s="377">
        <f>+((AR83*AR$6)+(AV83*AV$6)+(AZ83*AZ$6))/BB$6</f>
        <v>0.63023062315530776</v>
      </c>
      <c r="BC83" s="493">
        <f>+((AM83*AM$6)+(BA83*BA$6))/BC$6</f>
        <v>0.55000000000000004</v>
      </c>
      <c r="BD83" s="493">
        <f>+((AN83*AN$6)+(BB83*BB$6))/BD$6</f>
        <v>0.66181644650914628</v>
      </c>
      <c r="BE83" s="375">
        <f>+((AW83*AW$6)+(AY83*AY$6))/BE$6</f>
        <v>0.55330440819160009</v>
      </c>
      <c r="BF83" s="375">
        <f>+((AX83*AX$6)+(AZ83*AZ$6))/BF$6</f>
        <v>0.64808213832473771</v>
      </c>
      <c r="BH83" s="26"/>
      <c r="BI83" s="26"/>
      <c r="BJ83" s="26"/>
      <c r="BK83" s="26"/>
    </row>
    <row r="84" spans="1:63" ht="15.75" customHeight="1" x14ac:dyDescent="0.25">
      <c r="A84" s="147" t="s">
        <v>470</v>
      </c>
      <c r="B84" s="4039" t="s">
        <v>254</v>
      </c>
      <c r="C84" s="2656" t="s">
        <v>49</v>
      </c>
      <c r="D84" s="2736">
        <v>0.05</v>
      </c>
      <c r="E84" s="2736">
        <v>0.05</v>
      </c>
      <c r="F84" s="2736">
        <v>4.139445683669999E-2</v>
      </c>
      <c r="G84" s="2736">
        <v>0.05</v>
      </c>
      <c r="H84" s="2736">
        <v>4.23272247596422E-2</v>
      </c>
      <c r="I84" s="3215">
        <f>+((E84*E$6)+(G84*G$6))/I$6</f>
        <v>0.05</v>
      </c>
      <c r="J84" s="3215">
        <f>+((F84*F$6)+(H84*H$6))/J$6</f>
        <v>4.1889495464227357E-2</v>
      </c>
      <c r="K84" s="2736">
        <v>0.05</v>
      </c>
      <c r="L84" s="2736">
        <v>3.8166186015443859E-2</v>
      </c>
      <c r="M84" s="3481">
        <f>+((E84*E$6)+(G84*G$6)+(K84*K$6))/M$6</f>
        <v>0.05</v>
      </c>
      <c r="N84" s="3481">
        <f>+((F84*F$6)+(H84*H$6)+(L84*L$6))/N$6</f>
        <v>4.0579732189082084E-2</v>
      </c>
      <c r="O84" s="2736">
        <v>0.05</v>
      </c>
      <c r="P84" s="2736">
        <v>3.4138594926817221E-2</v>
      </c>
      <c r="Q84" s="375">
        <f>+((M84*M$6)+(O84*O$6))/Q$6</f>
        <v>0.05</v>
      </c>
      <c r="R84" s="375">
        <f>+((N84*N$6)+(P84*P$6))/R$6</f>
        <v>3.887220806140828E-2</v>
      </c>
      <c r="S84" s="2736">
        <v>0.05</v>
      </c>
      <c r="T84" s="2736">
        <v>3.4513028989228228E-2</v>
      </c>
      <c r="U84" s="375">
        <f>+((Q84*Q$6)+(S84*S$6))/U$6</f>
        <v>0.05</v>
      </c>
      <c r="V84" s="375">
        <f>+((R84*R$6)+(T84*T$6))/V$6</f>
        <v>3.7999292957901463E-2</v>
      </c>
      <c r="W84" s="2736">
        <v>0.05</v>
      </c>
      <c r="X84" s="2736">
        <v>3.549951756153763E-2</v>
      </c>
      <c r="Y84" s="377">
        <f>+((O84*O$6)+(S84*S$6)+(W84*W$6))/Y$6</f>
        <v>0.05</v>
      </c>
      <c r="Z84" s="377">
        <f>+((P84*P$6)+(T84*T$6)+(X84*X$6))/Z$6</f>
        <v>3.46955945595342E-2</v>
      </c>
      <c r="AA84" s="493">
        <f>+((M84*M$6)+(Y84*Y$6))/AA$6</f>
        <v>0.05</v>
      </c>
      <c r="AB84" s="493">
        <f>+((N84*N$6)+(Z84*Z$6))/AB$6</f>
        <v>3.7595997990554381E-2</v>
      </c>
      <c r="AC84" s="2736">
        <f>+$D$84</f>
        <v>0.05</v>
      </c>
      <c r="AD84" s="2736">
        <v>3.9479461045411814E-2</v>
      </c>
      <c r="AE84" s="375">
        <f>+((AA84*AA$6)+(AC84*AC$6))/AE$6</f>
        <v>0.05</v>
      </c>
      <c r="AF84" s="375">
        <f>+((AB84*AB$6)+(AD84*AD$6))/AF$6</f>
        <v>3.7852622550278638E-2</v>
      </c>
      <c r="AG84" s="2736">
        <f>+$D$84</f>
        <v>0.05</v>
      </c>
      <c r="AH84" s="2736">
        <v>6.1084637900644292E-2</v>
      </c>
      <c r="AI84" s="375">
        <f>+((AE84*AE$6)+(AG84*AG$6))/AI$6</f>
        <v>0.05</v>
      </c>
      <c r="AJ84" s="381">
        <f>+((AF84*AF$6)+(AH84*AH$6))/AJ$6</f>
        <v>3.7961837420787722E-2</v>
      </c>
      <c r="AK84" s="2736">
        <f>+$D$84</f>
        <v>0.05</v>
      </c>
      <c r="AL84" s="2736">
        <v>4.2552820200797807E-2</v>
      </c>
      <c r="AM84" s="377">
        <f>+((AC84*AC$6)+(AG84*AG$6)+(AK84*AK$6))/AM$6</f>
        <v>0.05</v>
      </c>
      <c r="AN84" s="377">
        <f>+((AD84*AD$6)+(AH84*AH$6)+(AL84*AL$6))/AN$6</f>
        <v>4.1404111064966269E-2</v>
      </c>
      <c r="AO84" s="381">
        <f>+((AK84*AK$6)+(AI84*AI$6))/AO$6</f>
        <v>0.05</v>
      </c>
      <c r="AP84" s="381">
        <f>+((AL84*AL$6)+(AJ84*AJ$6))/AP$6</f>
        <v>3.8549077645467451E-2</v>
      </c>
      <c r="AQ84" s="2736">
        <f>+$D$84</f>
        <v>0.05</v>
      </c>
      <c r="AR84" s="2736">
        <v>3.94219934940113E-2</v>
      </c>
      <c r="AS84" s="381">
        <f>+((AO84*AO$6)+(AQ84*AQ$6))/AS$6</f>
        <v>0.05</v>
      </c>
      <c r="AT84" s="381">
        <f>+((AP84*AP$6)+(AR84*AR$6))/AT$6</f>
        <v>3.8649621836422239E-2</v>
      </c>
      <c r="AU84" s="2736">
        <f>+$D$84</f>
        <v>0.05</v>
      </c>
      <c r="AV84" s="2736">
        <v>4.0352792104928564E-2</v>
      </c>
      <c r="AW84" s="381">
        <f>+((AS84*AS$6)+(AU84*AU$6))/AW$6</f>
        <v>0.05</v>
      </c>
      <c r="AX84" s="381">
        <f>+((AT84*AT$6)+(AV84*AV$6))/AX$6</f>
        <v>3.8812029222861977E-2</v>
      </c>
      <c r="AY84" s="2736">
        <f>+$D$84</f>
        <v>0.05</v>
      </c>
      <c r="AZ84" s="2736">
        <v>3.8488350930182491E-2</v>
      </c>
      <c r="BA84" s="377">
        <f>+((AQ84*AQ$6)+(AU84*AU$6)+(AY84*AY$6))/BA$6</f>
        <v>0.05</v>
      </c>
      <c r="BB84" s="377">
        <f>+((AR84*AR$6)+(AV84*AV$6)+(AZ84*AZ$6))/BB$6</f>
        <v>3.9391572417929809E-2</v>
      </c>
      <c r="BC84" s="493">
        <f>+((AM84*AM$6)+(BA84*BA$6))/BC$6</f>
        <v>0.05</v>
      </c>
      <c r="BD84" s="493">
        <f>+((AN84*AN$6)+(BB84*BB$6))/BD$6</f>
        <v>4.0190138828586387E-2</v>
      </c>
      <c r="BE84" s="381">
        <f>+((AW84*AW$6)+(AY84*AY$6))/BE$6</f>
        <v>0.05</v>
      </c>
      <c r="BF84" s="381">
        <f>+((AX84*AX$6)+(AZ84*AZ$6))/BF$6</f>
        <v>3.8781275520593787E-2</v>
      </c>
      <c r="BH84" s="26"/>
      <c r="BI84" s="26"/>
      <c r="BJ84" s="26"/>
      <c r="BK84" s="26"/>
    </row>
    <row r="85" spans="1:63" x14ac:dyDescent="0.25">
      <c r="A85" s="147"/>
      <c r="B85" s="4040" t="s">
        <v>260</v>
      </c>
      <c r="C85" s="2656" t="s">
        <v>210</v>
      </c>
      <c r="D85" s="2716">
        <f>+(D86*D6)/1000000</f>
        <v>4513.5</v>
      </c>
      <c r="E85" s="2716">
        <f>+(E86*E6)/1000000</f>
        <v>388.08</v>
      </c>
      <c r="F85" s="2716">
        <v>338.28068159999998</v>
      </c>
      <c r="G85" s="2716">
        <f>+(G86*G6)/1000000</f>
        <v>401.7</v>
      </c>
      <c r="H85" s="2716">
        <v>383.98136640000001</v>
      </c>
      <c r="I85" s="2648">
        <f>+E85+G85</f>
        <v>789.78</v>
      </c>
      <c r="J85" s="2648">
        <f>+F85+H85</f>
        <v>722.26204800000005</v>
      </c>
      <c r="K85" s="2716">
        <f>+(K86*K6)/1000000</f>
        <v>388.08</v>
      </c>
      <c r="L85" s="2716">
        <v>385.35410880000001</v>
      </c>
      <c r="M85" s="2649">
        <f>E85+G85+K85</f>
        <v>1177.8599999999999</v>
      </c>
      <c r="N85" s="2649">
        <f>F85+H85+L85</f>
        <v>1107.6161568</v>
      </c>
      <c r="O85" s="2716">
        <f>+(O86*O6)/1000000</f>
        <v>397.79999999999995</v>
      </c>
      <c r="P85" s="2716">
        <v>403.9</v>
      </c>
      <c r="Q85" s="266">
        <f>+M85+O85</f>
        <v>1575.6599999999999</v>
      </c>
      <c r="R85" s="266">
        <f>+N85+P85</f>
        <v>1511.5161567999999</v>
      </c>
      <c r="S85" s="2716">
        <f>+(S86*S6)/1000000</f>
        <v>395.25</v>
      </c>
      <c r="T85" s="2716">
        <v>388.2912048</v>
      </c>
      <c r="U85" s="266">
        <f>+Q85+S85</f>
        <v>1970.9099999999999</v>
      </c>
      <c r="V85" s="266">
        <f>+R85+T85</f>
        <v>1899.8073615999999</v>
      </c>
      <c r="W85" s="2716">
        <f>+(W86*W6)/1000000</f>
        <v>217</v>
      </c>
      <c r="X85" s="2716">
        <v>381.38400000000001</v>
      </c>
      <c r="Y85" s="781">
        <f>+W85+S85+O85</f>
        <v>1010.05</v>
      </c>
      <c r="Z85" s="781">
        <f>+X85+T85+P85</f>
        <v>1173.5752047999999</v>
      </c>
      <c r="AA85" s="466">
        <f>M85+Y85</f>
        <v>2187.91</v>
      </c>
      <c r="AB85" s="465">
        <f>N85+Z85</f>
        <v>2281.1913616000002</v>
      </c>
      <c r="AC85" s="2716">
        <f>+(AC86*AC6)/1000000</f>
        <v>387.5</v>
      </c>
      <c r="AD85" s="2716">
        <v>371.21193720000002</v>
      </c>
      <c r="AE85" s="266">
        <f>+AA85+AC85</f>
        <v>2575.41</v>
      </c>
      <c r="AF85" s="266">
        <f>+AB85+AD85</f>
        <v>2652.4032988000004</v>
      </c>
      <c r="AG85" s="2716">
        <f>+(AG86*AG6)/1000000</f>
        <v>375.1</v>
      </c>
      <c r="AH85" s="2716">
        <f>20046.2454/1000</f>
        <v>20.0462454</v>
      </c>
      <c r="AI85" s="266">
        <f>+AE85+AG85</f>
        <v>2950.5099999999998</v>
      </c>
      <c r="AJ85" s="266">
        <f>+AF85+AH85</f>
        <v>2672.4495442000002</v>
      </c>
      <c r="AK85" s="2716">
        <f>+(AK86*AK6)/1000000</f>
        <v>387.5</v>
      </c>
      <c r="AL85" s="2716">
        <v>376.8365652</v>
      </c>
      <c r="AM85" s="781">
        <f>+AK85+AG85+AC85</f>
        <v>1150.0999999999999</v>
      </c>
      <c r="AN85" s="781">
        <f>+AL85+AH85+AD85</f>
        <v>768.09474780000005</v>
      </c>
      <c r="AO85" s="266">
        <f>+AK85+AI85</f>
        <v>3338.0099999999998</v>
      </c>
      <c r="AP85" s="266">
        <f>+AL85+AJ85</f>
        <v>3049.2861094</v>
      </c>
      <c r="AQ85" s="2716">
        <f>+(AQ86*AQ6)/1000000</f>
        <v>387.5</v>
      </c>
      <c r="AR85" s="2716">
        <v>378.9</v>
      </c>
      <c r="AS85" s="782">
        <f>+AO85+AQ85</f>
        <v>3725.5099999999998</v>
      </c>
      <c r="AT85" s="782">
        <f>+AP85+AR85</f>
        <v>3428.1861094000001</v>
      </c>
      <c r="AU85" s="2716">
        <f>+(AU86*AU6)/1000000</f>
        <v>348.74999999999994</v>
      </c>
      <c r="AV85" s="2716">
        <v>346.3402992</v>
      </c>
      <c r="AW85" s="782">
        <f>+AS85+AU85</f>
        <v>4074.2599999999998</v>
      </c>
      <c r="AX85" s="782">
        <f>+AT85+AV85</f>
        <v>3774.5264086000002</v>
      </c>
      <c r="AY85" s="2716">
        <f>+(AY86*AY6)/1000000</f>
        <v>387.5</v>
      </c>
      <c r="AZ85" s="2716">
        <v>390.10697759999999</v>
      </c>
      <c r="BA85" s="781">
        <f>+AY85+AU85+AQ85</f>
        <v>1123.75</v>
      </c>
      <c r="BB85" s="781">
        <f>+AZ85+AV85+AR85</f>
        <v>1115.3472768000001</v>
      </c>
      <c r="BC85" s="466">
        <f>AM85+BA85</f>
        <v>2273.85</v>
      </c>
      <c r="BD85" s="466">
        <f>AN85+BB85</f>
        <v>1883.4420246000002</v>
      </c>
      <c r="BE85" s="266">
        <f>+AW85+AY85</f>
        <v>4461.76</v>
      </c>
      <c r="BF85" s="266">
        <f>+AX85+AZ85</f>
        <v>4164.6333862000001</v>
      </c>
      <c r="BH85" s="26"/>
      <c r="BI85" s="26"/>
      <c r="BJ85" s="26"/>
      <c r="BK85" s="26"/>
    </row>
    <row r="86" spans="1:63" x14ac:dyDescent="0.25">
      <c r="A86" s="147"/>
      <c r="B86" s="4040" t="s">
        <v>261</v>
      </c>
      <c r="C86" s="2656" t="s">
        <v>255</v>
      </c>
      <c r="D86" s="2716">
        <v>1530</v>
      </c>
      <c r="E86" s="2716">
        <v>1540</v>
      </c>
      <c r="F86" s="2716">
        <f t="shared" ref="F86:R86" si="414">+(F85*1000000)/F6</f>
        <v>1495.9857778155151</v>
      </c>
      <c r="G86" s="2716">
        <v>1545</v>
      </c>
      <c r="H86" s="2716">
        <f t="shared" ref="H86" si="415">+(H85*1000000)/H6</f>
        <v>1501.5055529073725</v>
      </c>
      <c r="I86" s="2648">
        <f t="shared" si="414"/>
        <v>1542.5390625</v>
      </c>
      <c r="J86" s="2648">
        <f t="shared" si="414"/>
        <v>1498.9152330621253</v>
      </c>
      <c r="K86" s="2716">
        <v>1540</v>
      </c>
      <c r="L86" s="2716">
        <f t="shared" ref="L86" si="416">+(L85*1000000)/L6</f>
        <v>1473.6863978302797</v>
      </c>
      <c r="M86" s="2649">
        <f t="shared" si="414"/>
        <v>1541.7015706806283</v>
      </c>
      <c r="N86" s="2649">
        <f t="shared" si="414"/>
        <v>1490.0403860165329</v>
      </c>
      <c r="O86" s="2716">
        <v>1559.9999999999998</v>
      </c>
      <c r="P86" s="2716">
        <f t="shared" ref="P86" si="417">+(P85*1000000)/P6</f>
        <v>1506.2897573415307</v>
      </c>
      <c r="Q86" s="782">
        <f t="shared" si="414"/>
        <v>1546.2806673209027</v>
      </c>
      <c r="R86" s="782">
        <f t="shared" si="414"/>
        <v>1494.3480404674813</v>
      </c>
      <c r="S86" s="2716">
        <v>1550</v>
      </c>
      <c r="T86" s="2716">
        <f t="shared" ref="T86" si="418">+(T85*1000000)/T6</f>
        <v>1533.1504598371025</v>
      </c>
      <c r="U86" s="782">
        <f t="shared" ref="U86:V86" si="419">+(U85*1000000)/U6</f>
        <v>1547.0251177394032</v>
      </c>
      <c r="V86" s="782">
        <f t="shared" si="419"/>
        <v>1502.1181314317434</v>
      </c>
      <c r="W86" s="2716">
        <v>1550</v>
      </c>
      <c r="X86" s="2716">
        <f t="shared" ref="X86" si="420">+(X85*1000000)/X6</f>
        <v>1567.5629908087797</v>
      </c>
      <c r="Y86" s="353">
        <f>+(Y85*1000000)/Y6</f>
        <v>1553.9230769230769</v>
      </c>
      <c r="Z86" s="353">
        <f>+(Z85*1000000)/Z6</f>
        <v>1534.6804503132128</v>
      </c>
      <c r="AA86" s="466">
        <f>+(AA85*1000000)/AA6</f>
        <v>1547.3196605374824</v>
      </c>
      <c r="AB86" s="465">
        <f>+(AB85*1000000)/AB6</f>
        <v>1512.6765129822979</v>
      </c>
      <c r="AC86" s="2716">
        <v>1550</v>
      </c>
      <c r="AD86" s="2716">
        <f t="shared" ref="AD86" si="421">+(AD85*1000000)/AD6</f>
        <v>1560.4595018712723</v>
      </c>
      <c r="AE86" s="782">
        <f t="shared" ref="AE86:AF86" si="422">+(AE85*1000000)/AE6</f>
        <v>1547.7223557692307</v>
      </c>
      <c r="AF86" s="782">
        <f t="shared" si="422"/>
        <v>1519.187014186087</v>
      </c>
      <c r="AG86" s="2716">
        <v>1550</v>
      </c>
      <c r="AH86" s="2716">
        <f t="shared" ref="AH86:AJ86" si="423">+(AH85*1000000)/AH6</f>
        <v>2430.8792093615471</v>
      </c>
      <c r="AI86" s="782">
        <f t="shared" si="423"/>
        <v>1548.0115424973767</v>
      </c>
      <c r="AJ86" s="782">
        <f t="shared" si="423"/>
        <v>1523.4729249664731</v>
      </c>
      <c r="AK86" s="2716">
        <v>1550</v>
      </c>
      <c r="AL86" s="2716">
        <f t="shared" ref="AL86" si="424">+(AL85*1000000)/AL6</f>
        <v>1464.6323099651017</v>
      </c>
      <c r="AM86" s="353">
        <f>+(AM85*1000000)/AM6</f>
        <v>1550</v>
      </c>
      <c r="AN86" s="353">
        <f>+(AN85*1000000)/AN6</f>
        <v>1525.7421289462536</v>
      </c>
      <c r="AO86" s="782">
        <f t="shared" ref="AO86:AP86" si="425">+(AO85*1000000)/AO6</f>
        <v>1548.2421150278294</v>
      </c>
      <c r="AP86" s="782">
        <f t="shared" si="425"/>
        <v>1515.9465242741962</v>
      </c>
      <c r="AQ86" s="2716">
        <v>1550</v>
      </c>
      <c r="AR86" s="2716">
        <f t="shared" ref="AR86" si="426">+(AR85*1000000)/AR6</f>
        <v>1447.0370684380935</v>
      </c>
      <c r="AS86" s="782">
        <f t="shared" ref="AS86:AT86" si="427">+(AS85*1000000)/AS6</f>
        <v>1548.4247714048213</v>
      </c>
      <c r="AT86" s="782">
        <f t="shared" si="427"/>
        <v>1508.0093955146108</v>
      </c>
      <c r="AU86" s="2716">
        <v>1549.9999999999998</v>
      </c>
      <c r="AV86" s="2716">
        <f t="shared" ref="AV86:AX86" si="428">+(AV85*1000000)/AV6</f>
        <v>1445.3489600373919</v>
      </c>
      <c r="AW86" s="782">
        <f t="shared" si="428"/>
        <v>1548.559483086279</v>
      </c>
      <c r="AX86" s="782">
        <f t="shared" si="428"/>
        <v>1502.0343513588932</v>
      </c>
      <c r="AY86" s="2716">
        <v>1550</v>
      </c>
      <c r="AZ86" s="2716">
        <f t="shared" ref="AZ86" si="429">+(AZ85*1000000)/AZ6</f>
        <v>1478.6300936208918</v>
      </c>
      <c r="BA86" s="353">
        <f>+(BA85*1000000)/BA6</f>
        <v>1550</v>
      </c>
      <c r="BB86" s="353">
        <f>+(BB85*1000000)/BB6</f>
        <v>1457.3999101528107</v>
      </c>
      <c r="BC86" s="466">
        <f>+(BC85*1000000)/BC6</f>
        <v>1550</v>
      </c>
      <c r="BD86" s="466">
        <f>+(BD85*1000000)/BD6</f>
        <v>1484.5177995103895</v>
      </c>
      <c r="BE86" s="782">
        <f t="shared" ref="BE86:BF86" si="430">+(BE85*1000000)/BE6</f>
        <v>1548.6844845539742</v>
      </c>
      <c r="BF86" s="782">
        <f t="shared" si="430"/>
        <v>1499.8106385225326</v>
      </c>
      <c r="BH86" s="26"/>
      <c r="BI86" s="26"/>
      <c r="BJ86" s="26"/>
      <c r="BK86" s="26"/>
    </row>
    <row r="87" spans="1:63" x14ac:dyDescent="0.25">
      <c r="A87" s="147"/>
      <c r="B87" s="1764" t="s">
        <v>259</v>
      </c>
      <c r="C87" s="551" t="s">
        <v>212</v>
      </c>
      <c r="D87" s="205">
        <v>880</v>
      </c>
      <c r="E87" s="205">
        <f>+$D$87</f>
        <v>880</v>
      </c>
      <c r="F87" s="1134">
        <v>919.02170003961578</v>
      </c>
      <c r="G87" s="205">
        <f>+$D$87</f>
        <v>880</v>
      </c>
      <c r="H87" s="1134">
        <v>916.02929177382873</v>
      </c>
      <c r="I87" s="61">
        <v>880</v>
      </c>
      <c r="J87" s="39">
        <f>+((F87*F85)+(H85*H87))/J85</f>
        <v>917.43082451472094</v>
      </c>
      <c r="K87" s="205">
        <f>+$D$87</f>
        <v>880</v>
      </c>
      <c r="L87" s="1134">
        <v>917</v>
      </c>
      <c r="M87" s="789">
        <f>+$D$87</f>
        <v>880</v>
      </c>
      <c r="N87" s="69">
        <f>+((F87*F85)+(H87*H85)+(L85*L87))/N85</f>
        <v>917.28093504633409</v>
      </c>
      <c r="O87" s="205">
        <f>+$D$87</f>
        <v>880</v>
      </c>
      <c r="P87" s="1134">
        <v>913</v>
      </c>
      <c r="Q87" s="61">
        <v>880</v>
      </c>
      <c r="R87" s="39">
        <f>+((N87*N85)+(P85*P87))/R85</f>
        <v>916.13700439270826</v>
      </c>
      <c r="S87" s="205">
        <f>+$D$87</f>
        <v>880</v>
      </c>
      <c r="T87" s="1134">
        <v>916.48533097577422</v>
      </c>
      <c r="U87" s="61">
        <v>880</v>
      </c>
      <c r="V87" s="39">
        <f>+((R87*R85)+(T85*T87))/V85</f>
        <v>916.20819695219427</v>
      </c>
      <c r="W87" s="205">
        <f>+$D$87</f>
        <v>880</v>
      </c>
      <c r="X87" s="1134">
        <v>917.97</v>
      </c>
      <c r="Y87" s="789">
        <v>880</v>
      </c>
      <c r="Z87" s="69">
        <f>+((P87*P85)+(T87*T85)+(X85*X87))/Z85</f>
        <v>915.76829455021061</v>
      </c>
      <c r="AA87" s="837">
        <v>880</v>
      </c>
      <c r="AB87" s="454">
        <f>+((N87*N85)+(Z85*Z87))/AB85</f>
        <v>916.50274632884657</v>
      </c>
      <c r="AC87" s="205">
        <f>+$D$87</f>
        <v>880</v>
      </c>
      <c r="AD87" s="1134">
        <v>905</v>
      </c>
      <c r="AE87" s="61">
        <v>880</v>
      </c>
      <c r="AF87" s="39">
        <f>+((AB87*AB85)+(AD85*AD87))/AF85</f>
        <v>914.8929018720163</v>
      </c>
      <c r="AG87" s="205">
        <f>+$D$87</f>
        <v>880</v>
      </c>
      <c r="AH87" s="1134">
        <v>905.28388852218131</v>
      </c>
      <c r="AI87" s="61">
        <v>880</v>
      </c>
      <c r="AJ87" s="39">
        <f>+((AF87*AF85)+(AH85*AH87))/AJ85</f>
        <v>914.82082393884048</v>
      </c>
      <c r="AK87" s="205">
        <f>+$D$87</f>
        <v>880</v>
      </c>
      <c r="AL87" s="1134">
        <v>920.88453219942392</v>
      </c>
      <c r="AM87" s="789">
        <v>880</v>
      </c>
      <c r="AN87" s="69">
        <f>+((AD87*AD85)+(AH87*AH85)+(AL85*AL87))/AN85</f>
        <v>912.80055256201513</v>
      </c>
      <c r="AO87" s="61">
        <v>880</v>
      </c>
      <c r="AP87" s="39">
        <f>+((AL87*AL85)+(AJ85*AJ87))/AP85</f>
        <v>915.57018851510952</v>
      </c>
      <c r="AQ87" s="205">
        <f>+$D$87</f>
        <v>880</v>
      </c>
      <c r="AR87" s="1134">
        <v>920</v>
      </c>
      <c r="AS87" s="61">
        <v>880</v>
      </c>
      <c r="AT87" s="39">
        <f>+((AP87*AP85)+(AR85*AR87))/AT85</f>
        <v>916.05979308092424</v>
      </c>
      <c r="AU87" s="205">
        <f>+$D$87</f>
        <v>880</v>
      </c>
      <c r="AV87" s="1134">
        <v>919</v>
      </c>
      <c r="AW87" s="61">
        <v>880</v>
      </c>
      <c r="AX87" s="39">
        <f>+((AT87*AT85)+(AV85*AV87))/AX85</f>
        <v>916.32957848810611</v>
      </c>
      <c r="AY87" s="205">
        <f>+$D$87</f>
        <v>880</v>
      </c>
      <c r="AZ87" s="1134">
        <v>918.08041967436793</v>
      </c>
      <c r="BA87" s="789">
        <v>880</v>
      </c>
      <c r="BB87" s="69">
        <f>+((AR87*AR85)+(AV87*AV85)+(AZ85*AZ87))/BB85</f>
        <v>919.01807983838455</v>
      </c>
      <c r="BC87" s="837">
        <v>880</v>
      </c>
      <c r="BD87" s="454">
        <f>+((AN87*AN85)+(BB85*BB87))/BD85</f>
        <v>916.48248278633469</v>
      </c>
      <c r="BE87" s="61">
        <v>880</v>
      </c>
      <c r="BF87" s="39">
        <f>+((AX87*AX85)+(AZ85*AZ87))/BF85</f>
        <v>916.49358220706335</v>
      </c>
      <c r="BH87" s="26"/>
      <c r="BI87" s="26"/>
      <c r="BJ87" s="26"/>
      <c r="BK87" s="26"/>
    </row>
    <row r="88" spans="1:63" x14ac:dyDescent="0.25">
      <c r="A88" s="147"/>
      <c r="B88" s="1750" t="s">
        <v>256</v>
      </c>
      <c r="C88" s="551" t="s">
        <v>301</v>
      </c>
      <c r="D88" s="1136">
        <v>5.916666666666667</v>
      </c>
      <c r="E88" s="1136">
        <f>+(EMD!D25/E2/24)</f>
        <v>6</v>
      </c>
      <c r="F88" s="1136">
        <f>+(EMD!E25/F2/24)</f>
        <v>6.8097944877542558</v>
      </c>
      <c r="G88" s="1136">
        <f>+(EMD!F25/G2/24)</f>
        <v>6</v>
      </c>
      <c r="H88" s="1136">
        <f>+(EMD!G25/H2/24)</f>
        <v>7.8944878481926963</v>
      </c>
      <c r="I88" s="83">
        <f>+((E88*E2)+(G88*G2))/I2</f>
        <v>6</v>
      </c>
      <c r="J88" s="2945">
        <f>+((F88*F$2)+(H88*H$2))/J$2</f>
        <v>7.3610320971573984</v>
      </c>
      <c r="K88" s="1136">
        <f>+(EMD!J25/K2/24)</f>
        <v>6</v>
      </c>
      <c r="L88" s="1136">
        <f>+(EMD!K25/L2/24)</f>
        <v>8.2055022791649517</v>
      </c>
      <c r="M88" s="383">
        <f>+((E88*E2)+(G88*G2)+(K88*K2))/M2</f>
        <v>6</v>
      </c>
      <c r="N88" s="353">
        <f>+((F88*F$2)+(H88*H$2)+(L88*L$2))/N$2</f>
        <v>7.6394288604565919</v>
      </c>
      <c r="O88" s="1136">
        <f>+(EMD!N25/O2/24)</f>
        <v>6</v>
      </c>
      <c r="P88" s="1136">
        <f>+(EMD!O25/P2/24)</f>
        <v>8.5703466622744049</v>
      </c>
      <c r="Q88" s="83">
        <f>+((M88*M2)+(O88*O2))/Q2</f>
        <v>6</v>
      </c>
      <c r="R88" s="107">
        <f>+((N88*N$2)+(P88*P$2))/R$2</f>
        <v>7.8759735478037411</v>
      </c>
      <c r="S88" s="1136">
        <f>+(EMD!R25/S2/24)</f>
        <v>6</v>
      </c>
      <c r="T88" s="1136">
        <f>+(EMD!S25/T2/24)</f>
        <v>7.8822144417125877</v>
      </c>
      <c r="U88" s="83">
        <f>+((Q88*Q2)+(S88*S2))/U2</f>
        <v>6</v>
      </c>
      <c r="V88" s="107">
        <f>+((R88*R$2)+(T88*T$2))/V$2</f>
        <v>7.877238042648016</v>
      </c>
      <c r="W88" s="1136">
        <f>+(EMD!V25/W2/24)</f>
        <v>5</v>
      </c>
      <c r="X88" s="1136">
        <f>+(EMD!W25/X2/24)</f>
        <v>8.4426111111111108</v>
      </c>
      <c r="Y88" s="658">
        <f>+(EMD!X25/Y2/24)</f>
        <v>5.6739130434782608</v>
      </c>
      <c r="Z88" s="658">
        <f>+(EMD!Y25/Z2/24)</f>
        <v>8.2968231256188041</v>
      </c>
      <c r="AA88" s="654">
        <f>+(EMD!Z25/AA2/24)</f>
        <v>5.8360655737704912</v>
      </c>
      <c r="AB88" s="654">
        <f>+(EMD!AA25/AB2/24)</f>
        <v>7.9699221522321295</v>
      </c>
      <c r="AC88" s="1136">
        <f>+(EMD!AB25/AC2/24)</f>
        <v>8</v>
      </c>
      <c r="AD88" s="1136">
        <f>+(EMD!AC25/AD2/24)</f>
        <v>7.5797664476595097</v>
      </c>
      <c r="AE88" s="83">
        <f>+(EMD!AD25/AE2/24)</f>
        <v>6.149532710280373</v>
      </c>
      <c r="AF88" s="107">
        <f>+(EMD!AE25/AF2/24)</f>
        <v>7.9134042697940403</v>
      </c>
      <c r="AG88" s="1136">
        <f>+(EMD!AF25/AG2/24)</f>
        <v>8</v>
      </c>
      <c r="AH88" s="1136">
        <f>+(EMD!AG25/AH2/24)</f>
        <v>5.0918055555555561</v>
      </c>
      <c r="AI88" s="83">
        <f>+(EMD!AH25/AI2/24)</f>
        <v>6.3770491803278686</v>
      </c>
      <c r="AJ88" s="107">
        <f>+(EMD!AI25/AJ2/24)</f>
        <v>7.5664863950925882</v>
      </c>
      <c r="AK88" s="1136">
        <f>+(EMD!AJ25/AK2/24)</f>
        <v>8</v>
      </c>
      <c r="AL88" s="1136">
        <f>+(EMD!AK25/AL2/24)</f>
        <v>7.5239048788161869</v>
      </c>
      <c r="AM88" s="657">
        <f>(AC88*AC2+AG88*AG2+AK88*AK2)/AM2</f>
        <v>8</v>
      </c>
      <c r="AN88" s="657">
        <f>(AD88*AD2+AH88*AH2+AL88*AL2)/AN2</f>
        <v>6.7496519324718829</v>
      </c>
      <c r="AO88" s="53">
        <f>+((AK88*AK2)+(AI88*AI2))/AO2</f>
        <v>6.56</v>
      </c>
      <c r="AP88" s="107">
        <f>+((AL88*AL$2)+(AJ88*AJ$2))/AP$2</f>
        <v>7.5616862968941581</v>
      </c>
      <c r="AQ88" s="1136">
        <f>+(EMD!AP25/AQ2/24)</f>
        <v>8</v>
      </c>
      <c r="AR88" s="1136">
        <f>+(EMD!AQ25/AR2/24)</f>
        <v>7.9931854838709677</v>
      </c>
      <c r="AS88" s="83">
        <f>+((AO88*AO2)+(AQ88*AQ2))/AS2</f>
        <v>6.7058823529411766</v>
      </c>
      <c r="AT88" s="107">
        <f>+((AP88*AP$2)+(AR88*AR$2))/AT$2</f>
        <v>7.6054002668166456</v>
      </c>
      <c r="AU88" s="1136">
        <f>+(EMD!AT25/AU2/24)</f>
        <v>8</v>
      </c>
      <c r="AV88" s="191">
        <f>+(EMD!AU25/AV2/24)</f>
        <v>7.5484475950610319</v>
      </c>
      <c r="AW88" s="83">
        <f>+((AS88*AS2)+(AU88*AU2))/AW2</f>
        <v>6.8143712574850301</v>
      </c>
      <c r="AX88" s="107">
        <f>+((AT88*AT$2)+(AV88*AV$2))/AX$2</f>
        <v>7.6006257913401276</v>
      </c>
      <c r="AY88" s="1136">
        <f>+(EMD!AX25/AY2/24)</f>
        <v>8</v>
      </c>
      <c r="AZ88" s="191">
        <f>+(EMD!AY25/AZ2/24)</f>
        <v>7.0834358360223169</v>
      </c>
      <c r="BA88" s="657">
        <f>+(EMD!AZ25/BA2/24)</f>
        <v>8</v>
      </c>
      <c r="BB88" s="657">
        <f>+(EMD!BA25/BB2/24)</f>
        <v>7.5414643730933415</v>
      </c>
      <c r="BC88" s="653">
        <f>+(EMD!BB25/BC2/24)</f>
        <v>8</v>
      </c>
      <c r="BD88" s="653">
        <f>+(EMD!BC25/BD2/24)</f>
        <v>7.1412075349770001</v>
      </c>
      <c r="BE88" s="83">
        <f>+(EMD!BD25/BE2/24)</f>
        <v>6.9150684931506845</v>
      </c>
      <c r="BF88" s="107">
        <f>+(EMD!BE25/BF2/24)</f>
        <v>7.5567000691076549</v>
      </c>
      <c r="BH88" s="26"/>
      <c r="BI88" s="26"/>
      <c r="BJ88" s="26"/>
      <c r="BK88" s="26"/>
    </row>
    <row r="89" spans="1:63" x14ac:dyDescent="0.25">
      <c r="A89" s="147"/>
      <c r="B89" s="1750" t="s">
        <v>447</v>
      </c>
      <c r="C89" s="551" t="s">
        <v>301</v>
      </c>
      <c r="D89" s="191">
        <v>231.24770076193968</v>
      </c>
      <c r="E89" s="1136">
        <f>+(EMD!D59/E2/24)</f>
        <v>240.52556818181822</v>
      </c>
      <c r="F89" s="191">
        <f>+(EMD!E59/F2/24)</f>
        <v>196.99791666666673</v>
      </c>
      <c r="G89" s="1136">
        <f>+(EMD!F59/G2/24)</f>
        <v>240.1090542521994</v>
      </c>
      <c r="H89" s="191">
        <f>+(EMD!G59/H2/24)</f>
        <v>219.10752688172045</v>
      </c>
      <c r="I89" s="53">
        <f>+(EMD!H59/I2/24)</f>
        <v>240.31389716840536</v>
      </c>
      <c r="J89" s="107">
        <f>+(EMD!I59/J2/24)</f>
        <v>208.23394808743174</v>
      </c>
      <c r="K89" s="191">
        <f>+(EMD!J59/K2/24)</f>
        <v>240.52556818181822</v>
      </c>
      <c r="L89" s="191">
        <f>+(EMD!K59/L2/24)</f>
        <v>227.10277777777773</v>
      </c>
      <c r="M89" s="77">
        <f>+((E89*E2)+(G89*G2)+(K89*K2))/M2</f>
        <v>240.38367882117885</v>
      </c>
      <c r="N89" s="77">
        <f>+((F89*F2)+(H89*H2)+(L89*L2))/N2</f>
        <v>214.4544413919414</v>
      </c>
      <c r="O89" s="191">
        <f>+(EMD!N59/O2/24)</f>
        <v>234.9026301319648</v>
      </c>
      <c r="P89" s="191">
        <f>+(EMD!O59/P2/24)</f>
        <v>228.64650537634409</v>
      </c>
      <c r="Q89" s="83">
        <f>+(EMD!P59/Q2/24)</f>
        <v>238.99095333457532</v>
      </c>
      <c r="R89" s="107">
        <f>+(EMD!Q59/R2/24)</f>
        <v>218.06062158469945</v>
      </c>
      <c r="S89" s="191">
        <f>+(EMD!R59/S2/24)</f>
        <v>234.9026301319648</v>
      </c>
      <c r="T89" s="191">
        <f>+(EMD!S59/T2/24)</f>
        <v>218.68817204301078</v>
      </c>
      <c r="U89" s="83">
        <f>+(EMD!T59/U2/24)</f>
        <v>238.16260026737973</v>
      </c>
      <c r="V89" s="107">
        <f>+(EMD!U59/V2/24)</f>
        <v>218.18777233115466</v>
      </c>
      <c r="W89" s="191">
        <f>+(EMD!V59/W2/24)</f>
        <v>133.26704545454547</v>
      </c>
      <c r="X89" s="191">
        <f>+(EMD!W59/X2/24)</f>
        <v>221.31944444444446</v>
      </c>
      <c r="Y89" s="658">
        <f>+(EMD!X59/Y2/24)</f>
        <v>201.76059165019765</v>
      </c>
      <c r="Z89" s="658">
        <f>+(EMD!Y59/Z2/24)</f>
        <v>222.90172101449275</v>
      </c>
      <c r="AA89" s="654">
        <f>+(EMD!Z59/AA2/24)</f>
        <v>220.96660767511182</v>
      </c>
      <c r="AB89" s="654">
        <f>+(EMD!AA59/AB2/24)</f>
        <v>218.70116120218577</v>
      </c>
      <c r="AC89" s="1136">
        <f>+(EMD!AB59/AC2/24)</f>
        <v>230.78995601173025</v>
      </c>
      <c r="AD89" s="1136">
        <f>+(EMD!AC59/AD2/24)</f>
        <v>204.48924731182797</v>
      </c>
      <c r="AE89" s="83">
        <f>+(EMD!AD59/AE2/24)</f>
        <v>222.38961607901447</v>
      </c>
      <c r="AF89" s="107">
        <f>+(EMD!AE59/AF2/24)</f>
        <v>216.64242601246107</v>
      </c>
      <c r="AG89" s="1136">
        <f>+(EMD!AF59/AG2/24)</f>
        <v>230.86174242424249</v>
      </c>
      <c r="AH89" s="1136">
        <f>+(EMD!AG59/AH2/24)</f>
        <v>11.440277777777787</v>
      </c>
      <c r="AI89" s="83">
        <f>+(EMD!AH59/AI2/24)</f>
        <v>223.4312709575261</v>
      </c>
      <c r="AJ89" s="107">
        <f>+(EMD!AI59/AJ2/24)</f>
        <v>191.41265368852461</v>
      </c>
      <c r="AK89" s="1136">
        <f>+(EMD!AJ59/AK2/24)</f>
        <v>230.78995601173025</v>
      </c>
      <c r="AL89" s="1136">
        <f>+(EMD!AK59/AL2/24)</f>
        <v>208.33064516129033</v>
      </c>
      <c r="AM89" s="657">
        <f>+(EMD!AL59/AM2/24)</f>
        <v>230.81336462450597</v>
      </c>
      <c r="AN89" s="657">
        <f>+(EMD!AM59/AN2/24)</f>
        <v>142.8328804347826</v>
      </c>
      <c r="AO89" s="53">
        <f>+(EMD!AN59/AO2/24)</f>
        <v>224.26079545454547</v>
      </c>
      <c r="AP89" s="107">
        <f>+(EMD!AO59/AP2/24)</f>
        <v>193.31977272727272</v>
      </c>
      <c r="AQ89" s="1136">
        <f>+(EMD!AP59/AQ2/24)</f>
        <v>230.78995601173025</v>
      </c>
      <c r="AR89" s="1136">
        <f>+(EMD!AQ59/AR2/24)</f>
        <v>213.45967741935485</v>
      </c>
      <c r="AS89" s="83">
        <f>+(EMD!AR59/AS2/24)</f>
        <v>224.92224636066553</v>
      </c>
      <c r="AT89" s="107">
        <f>+(EMD!AS59/AT2/24)</f>
        <v>195.36008986928104</v>
      </c>
      <c r="AU89" s="1136">
        <f>+(EMD!AT59/AU2/24)</f>
        <v>229.82853084415581</v>
      </c>
      <c r="AV89" s="191">
        <f>+(EMD!AU59/AV2/24)</f>
        <v>217.69047619047618</v>
      </c>
      <c r="AW89" s="83">
        <f>+(EMD!AV59/AW2/24)</f>
        <v>225.33355164670661</v>
      </c>
      <c r="AX89" s="107">
        <f>+(EMD!AW59/AX2/24)</f>
        <v>197.2320983033932</v>
      </c>
      <c r="AY89" s="1136">
        <f>+(EMD!AX59/AY2/24)</f>
        <v>230.78995601173025</v>
      </c>
      <c r="AZ89" s="191">
        <f>+(EMD!AY59/AZ2/24)</f>
        <v>218.90188172043008</v>
      </c>
      <c r="BA89" s="356">
        <f>+(EMD!AZ59/BA2/24)</f>
        <v>230.49084595959596</v>
      </c>
      <c r="BB89" s="356">
        <f>+(EMD!BA59/BB2/24)</f>
        <v>216.65046296296296</v>
      </c>
      <c r="BC89" s="485">
        <f>+(EMD!BB59/BC2/24)</f>
        <v>230.65387737262742</v>
      </c>
      <c r="BD89" s="485">
        <f>+(EMD!BC59/BD2/24)</f>
        <v>179.33608058608058</v>
      </c>
      <c r="BE89" s="53">
        <f>+(EMD!BD59/BE2/24)</f>
        <v>225.79697229140723</v>
      </c>
      <c r="BF89" s="107">
        <f>+(EMD!BE59/BF2/24)</f>
        <v>199.07254566210045</v>
      </c>
      <c r="BH89" s="26"/>
      <c r="BI89" s="26"/>
      <c r="BJ89" s="26"/>
      <c r="BK89" s="26"/>
    </row>
    <row r="90" spans="1:63" x14ac:dyDescent="0.25">
      <c r="A90" s="147"/>
      <c r="B90" s="1764" t="s">
        <v>258</v>
      </c>
      <c r="C90" s="551" t="s">
        <v>1091</v>
      </c>
      <c r="D90" s="264">
        <v>0.6835652542372882</v>
      </c>
      <c r="E90" s="264">
        <v>0.68174999999999997</v>
      </c>
      <c r="F90" s="264">
        <v>0.67300000000000004</v>
      </c>
      <c r="G90" s="264">
        <v>0.68174999999999997</v>
      </c>
      <c r="H90" s="264">
        <v>0.68600000000000005</v>
      </c>
      <c r="I90" s="379">
        <f>+((E90*E6)+(G90*G6))/I6</f>
        <v>0.68174999999999997</v>
      </c>
      <c r="J90" s="193">
        <f>+((F90*F6)+(H90*H6))/J6</f>
        <v>0.67989936049425503</v>
      </c>
      <c r="K90" s="264">
        <v>0.68174999999999997</v>
      </c>
      <c r="L90" s="264">
        <v>0.67400000000000004</v>
      </c>
      <c r="M90" s="380">
        <f>+((E90*E6)+(G90*G6)+(K90*K6))/M6</f>
        <v>0.68174999999999997</v>
      </c>
      <c r="N90" s="196">
        <f>+((F90*F6)+(H90*H6)+(L90*L6))/N6</f>
        <v>0.67782411914552887</v>
      </c>
      <c r="O90" s="264">
        <v>0.68175000000000008</v>
      </c>
      <c r="P90" s="264">
        <v>0.68500000000000005</v>
      </c>
      <c r="Q90" s="379">
        <f>+((M90*M6)+(O90*O6))/Q6</f>
        <v>0.68174999999999997</v>
      </c>
      <c r="R90" s="193">
        <f>+((N90*N6)+(P90*P6))/R6</f>
        <v>0.67972642136288819</v>
      </c>
      <c r="S90" s="264">
        <v>0.68175000000000008</v>
      </c>
      <c r="T90" s="264">
        <v>0.69199999999999995</v>
      </c>
      <c r="U90" s="379">
        <f>+((Q90*Q6)+(S90*S6))/U6</f>
        <v>0.68174999999999997</v>
      </c>
      <c r="V90" s="193">
        <f>+((R90*R6)+(T90*T6))/V6</f>
        <v>0.68218417590543223</v>
      </c>
      <c r="W90" s="264">
        <v>0.72</v>
      </c>
      <c r="X90" s="264">
        <v>0.71199999999999997</v>
      </c>
      <c r="Y90" s="382">
        <f>+((O90*O6)+(S90*S6)+(W90*W6))/Y6</f>
        <v>0.68998846153846161</v>
      </c>
      <c r="Z90" s="382">
        <f>+((P90*P6)+(T90*T6)+(X90*X6))/Z6</f>
        <v>0.69590864260687779</v>
      </c>
      <c r="AA90" s="663">
        <f>(M90*M6+Y90*Y6)/AA6</f>
        <v>0.68553712871287131</v>
      </c>
      <c r="AB90" s="663">
        <f>(N90*N6+Z90*Z6)/AB6</f>
        <v>0.68699443678812444</v>
      </c>
      <c r="AC90" s="264">
        <v>0.70976159999999999</v>
      </c>
      <c r="AD90" s="264">
        <v>0.6845</v>
      </c>
      <c r="AE90" s="379">
        <f>+((AA90*AA6)+(AC90*AC6))/AE6</f>
        <v>0.68917662259615375</v>
      </c>
      <c r="AF90" s="193">
        <f>+((AB90*AB6)+(AD90*AD6))/AF6</f>
        <v>0.68665456617539244</v>
      </c>
      <c r="AG90" s="264">
        <v>0.70972131147540973</v>
      </c>
      <c r="AH90" s="264">
        <v>2.794</v>
      </c>
      <c r="AI90" s="379">
        <f>+((AE90*AE6)+(AG90*AG6))/AI6</f>
        <v>0.69178512978858819</v>
      </c>
      <c r="AJ90" s="193">
        <f>+((AF90*AF6)+(AH90*AH6))/AJ6</f>
        <v>0.69656130285759887</v>
      </c>
      <c r="AK90" s="264">
        <v>0.70970513833992088</v>
      </c>
      <c r="AL90" s="264">
        <v>0.65200000000000002</v>
      </c>
      <c r="AM90" s="382">
        <f>+((AC90*AC6)+(AG90*AG6)+(AK90*AK6))/AM6</f>
        <v>0.70972943660650856</v>
      </c>
      <c r="AN90" s="382">
        <f>+((AD90*AD6)+(AH90*AH6)+(AL90*AL6))/AN6</f>
        <v>0.70244519705766728</v>
      </c>
      <c r="AO90" s="379">
        <f>+((AK90*AK6)+(AI90*AI6))/AO6</f>
        <v>0.69386305285808414</v>
      </c>
      <c r="AP90" s="193">
        <f>+((AL90*AL6)+(AJ90*AJ6))/AP6</f>
        <v>0.6908613926736491</v>
      </c>
      <c r="AQ90" s="264">
        <v>0.70970513833992088</v>
      </c>
      <c r="AR90" s="264">
        <v>0.65900000000000003</v>
      </c>
      <c r="AS90" s="379">
        <f>+((AO90*AO6)+(AQ90*AQ6))/AS6</f>
        <v>0.69550915484081866</v>
      </c>
      <c r="AT90" s="193">
        <f>+((AP90*AP6)+(AR90*AR6))/AT6</f>
        <v>0.68719153382710774</v>
      </c>
      <c r="AU90" s="264">
        <v>0.70969519650655022</v>
      </c>
      <c r="AV90" s="264">
        <v>0.65600000000000003</v>
      </c>
      <c r="AW90" s="379">
        <f>+((AS90*AS6)+(AU90*AU6))/AW6</f>
        <v>0.69672232830140002</v>
      </c>
      <c r="AX90" s="193">
        <f>+((AT90*AT6)+(AV90*AV6))/AX6</f>
        <v>0.68421723608273144</v>
      </c>
      <c r="AY90" s="264">
        <v>0.70967924528301884</v>
      </c>
      <c r="AZ90" s="264">
        <v>0.65600000000000003</v>
      </c>
      <c r="BA90" s="382">
        <f>+((AQ90*AQ6)+(AU90*AU6)+(AY90*AY6))/BA6</f>
        <v>0.70969312430304654</v>
      </c>
      <c r="BB90" s="382">
        <f>+((AR90*AR6)+(AV90*AV6)+(AZ90*AZ6))/BB6</f>
        <v>0.65702644298427515</v>
      </c>
      <c r="BC90" s="663">
        <f>(AM90*AM6+BA90*BA6)/BC6</f>
        <v>0.7097114908532639</v>
      </c>
      <c r="BD90" s="663">
        <f>(AN90*AN6+BB90*BB6)/BD6</f>
        <v>0.67504840319373072</v>
      </c>
      <c r="BE90" s="379">
        <f>+((AW90*AW6)+(AY90*AY6))/BE6</f>
        <v>0.69784667028175573</v>
      </c>
      <c r="BF90" s="193">
        <f>+((AX90*AX6)+(AZ90*AZ6))/BF6</f>
        <v>0.68153622689260007</v>
      </c>
      <c r="BH90" s="26"/>
      <c r="BI90" s="26"/>
      <c r="BJ90" s="26"/>
      <c r="BK90" s="26"/>
    </row>
    <row r="91" spans="1:63" x14ac:dyDescent="0.25">
      <c r="A91" s="147"/>
      <c r="B91" s="1764" t="s">
        <v>231</v>
      </c>
      <c r="C91" s="551" t="s">
        <v>213</v>
      </c>
      <c r="D91" s="4857">
        <f>16.0411314841598*D2*24*1000</f>
        <v>140520311.80123985</v>
      </c>
      <c r="E91" s="1134">
        <f>+'POWER DISTRIBUTION'!I23</f>
        <v>11845370.205535013</v>
      </c>
      <c r="F91" s="1134">
        <f>+'POWER DISTRIBUTION'!J23</f>
        <v>10229684.000000009</v>
      </c>
      <c r="G91" s="1134">
        <f>+'POWER DISTRIBUTION'!K23</f>
        <v>12221413.704123424</v>
      </c>
      <c r="H91" s="1134">
        <f>+'POWER DISTRIBUTION'!L23</f>
        <v>12162087.999999993</v>
      </c>
      <c r="I91" s="61">
        <f>+'POWER DISTRIBUTION'!M23</f>
        <v>24066783.909658439</v>
      </c>
      <c r="J91" s="89">
        <f>+'POWER DISTRIBUTION'!N23</f>
        <v>22391772</v>
      </c>
      <c r="K91" s="1134">
        <f>+'POWER DISTRIBUTION'!O23</f>
        <v>11845370.205535013</v>
      </c>
      <c r="L91" s="1134">
        <f>+'POWER DISTRIBUTION'!P23</f>
        <v>12313432.000000006</v>
      </c>
      <c r="M91" s="781">
        <f>E91+G91+K91</f>
        <v>35912154.115193456</v>
      </c>
      <c r="N91" s="781">
        <f>F91+H91+L91</f>
        <v>34705204.000000007</v>
      </c>
      <c r="O91" s="1134">
        <f>+'POWER DISTRIBUTION'!S23</f>
        <v>11986386.517505666</v>
      </c>
      <c r="P91" s="1134">
        <f>+'POWER DISTRIBUTION'!T23</f>
        <v>12668533.999999953</v>
      </c>
      <c r="Q91" s="61">
        <f>+'POWER DISTRIBUTION'!U23</f>
        <v>47898540.632699125</v>
      </c>
      <c r="R91" s="89">
        <f>+'POWER DISTRIBUTION'!V23</f>
        <v>47373737.999999963</v>
      </c>
      <c r="S91" s="1134">
        <f>+'POWER DISTRIBUTION'!W23</f>
        <v>11986386.517505666</v>
      </c>
      <c r="T91" s="1134">
        <f>+'POWER DISTRIBUTION'!X23</f>
        <v>12400062.000000037</v>
      </c>
      <c r="U91" s="61">
        <f>+'POWER DISTRIBUTION'!Y23</f>
        <v>59884927.150204793</v>
      </c>
      <c r="V91" s="89">
        <f>+'POWER DISTRIBUTION'!Z23</f>
        <v>59773800</v>
      </c>
      <c r="W91" s="1134">
        <f>+'POWER DISTRIBUTION'!AA23</f>
        <v>8474361.2252972294</v>
      </c>
      <c r="X91" s="1134">
        <f>+'POWER DISTRIBUTION'!AB23</f>
        <v>12240051.999999998</v>
      </c>
      <c r="Y91" s="781">
        <f>O91+S91+W91</f>
        <v>32447134.260308564</v>
      </c>
      <c r="Z91" s="529">
        <f>P91+T91+X91</f>
        <v>37308647.999999993</v>
      </c>
      <c r="AA91" s="465">
        <f>M91+Y91</f>
        <v>68359288.37550202</v>
      </c>
      <c r="AB91" s="655">
        <f>N91+Z91</f>
        <v>72013852</v>
      </c>
      <c r="AC91" s="1134">
        <f>+'POWER DISTRIBUTION'!AG23</f>
        <v>11845000</v>
      </c>
      <c r="AD91" s="1134">
        <f>+'POWER DISTRIBUTION'!AH23</f>
        <v>11330722.00000002</v>
      </c>
      <c r="AE91" s="61">
        <f>+'POWER DISTRIBUTION'!AI23</f>
        <v>80204288.37550202</v>
      </c>
      <c r="AF91" s="89">
        <f>+'POWER DISTRIBUTION'!AJ23</f>
        <v>83344574.000000015</v>
      </c>
      <c r="AG91" s="1134">
        <f>+'POWER DISTRIBUTION'!AK23</f>
        <v>11465960</v>
      </c>
      <c r="AH91" s="1134">
        <f>+'POWER DISTRIBUTION'!AL23</f>
        <v>3019420.0000000009</v>
      </c>
      <c r="AI91" s="61">
        <f>+'POWER DISTRIBUTION'!AM23</f>
        <v>91670248.37550202</v>
      </c>
      <c r="AJ91" s="89">
        <f>+'POWER DISTRIBUTION'!AN23</f>
        <v>86363994.000000015</v>
      </c>
      <c r="AK91" s="1134">
        <f>+'POWER DISTRIBUTION'!AO23</f>
        <v>11845000</v>
      </c>
      <c r="AL91" s="1134">
        <f>+'POWER DISTRIBUTION'!AP23</f>
        <v>11944031.999999981</v>
      </c>
      <c r="AM91" s="789">
        <f>+'POWER DISTRIBUTION'!AQ23</f>
        <v>35155960</v>
      </c>
      <c r="AN91" s="69">
        <f>+'POWER DISTRIBUTION'!AR23</f>
        <v>26294174.000000004</v>
      </c>
      <c r="AO91" s="61">
        <f>+'POWER DISTRIBUTION'!AS23</f>
        <v>103515248.37550202</v>
      </c>
      <c r="AP91" s="39">
        <f>+'POWER DISTRIBUTION'!AT23</f>
        <v>98308026</v>
      </c>
      <c r="AQ91" s="1134">
        <f>+'POWER DISTRIBUTION'!AU23</f>
        <v>11845000</v>
      </c>
      <c r="AR91" s="1134">
        <f>+'POWER DISTRIBUTION'!AV23</f>
        <v>11102732.000000043</v>
      </c>
      <c r="AS91" s="61">
        <f>+'POWER DISTRIBUTION'!AW23</f>
        <v>115360248.37550202</v>
      </c>
      <c r="AT91" s="89">
        <f>+'POWER DISTRIBUTION'!AX23</f>
        <v>109410758.00000004</v>
      </c>
      <c r="AU91" s="1134">
        <f>+'POWER DISTRIBUTION'!AY23</f>
        <v>10660500</v>
      </c>
      <c r="AV91" s="1134">
        <f>+'POWER DISTRIBUTION'!AZ23</f>
        <v>11384975.999999972</v>
      </c>
      <c r="AW91" s="61">
        <f>+'POWER DISTRIBUTION'!BA23</f>
        <v>126020748.37550202</v>
      </c>
      <c r="AX91" s="89">
        <f>+'POWER DISTRIBUTION'!BB23</f>
        <v>120795734.00000001</v>
      </c>
      <c r="AY91" s="1134">
        <f>+'POWER DISTRIBUTION'!BC23</f>
        <v>11845000</v>
      </c>
      <c r="AZ91" s="1134">
        <f>+'POWER DISTRIBUTION'!BD23</f>
        <v>12297594.000000011</v>
      </c>
      <c r="BA91" s="789">
        <f>+'POWER DISTRIBUTION'!BE23</f>
        <v>34350500</v>
      </c>
      <c r="BB91" s="69">
        <f>+'POWER DISTRIBUTION'!BF23</f>
        <v>34785302.00000003</v>
      </c>
      <c r="BC91" s="837">
        <f>+'POWER DISTRIBUTION'!BG23</f>
        <v>69506460</v>
      </c>
      <c r="BD91" s="454">
        <f>+'POWER DISTRIBUTION'!BH23</f>
        <v>61079476.00000003</v>
      </c>
      <c r="BE91" s="61">
        <f>+'POWER DISTRIBUTION'!BI23</f>
        <v>137865748.37550202</v>
      </c>
      <c r="BF91" s="39">
        <f>+'POWER DISTRIBUTION'!BJ23</f>
        <v>133093328.00000003</v>
      </c>
      <c r="BH91" s="26"/>
      <c r="BI91" s="26"/>
      <c r="BJ91" s="26"/>
      <c r="BK91" s="26"/>
    </row>
    <row r="92" spans="1:63" x14ac:dyDescent="0.25">
      <c r="A92" s="147"/>
      <c r="B92" s="1765" t="s">
        <v>232</v>
      </c>
      <c r="C92" s="551" t="s">
        <v>257</v>
      </c>
      <c r="D92" s="102">
        <f t="shared" ref="D92:AD92" si="431">+D91/D6</f>
        <v>47.63400400042029</v>
      </c>
      <c r="E92" s="102">
        <f t="shared" si="431"/>
        <v>47.005437323551639</v>
      </c>
      <c r="F92" s="191">
        <f t="shared" si="431"/>
        <v>45.238946850776792</v>
      </c>
      <c r="G92" s="102">
        <f t="shared" ref="G92:H92" si="432">+G91/G6</f>
        <v>47.005437323551632</v>
      </c>
      <c r="H92" s="191">
        <f t="shared" si="432"/>
        <v>47.558148037644223</v>
      </c>
      <c r="I92" s="266">
        <f t="shared" si="431"/>
        <v>47.005437323551639</v>
      </c>
      <c r="J92" s="266">
        <f t="shared" si="431"/>
        <v>46.469793392846213</v>
      </c>
      <c r="K92" s="102">
        <f t="shared" si="431"/>
        <v>47.005437323551639</v>
      </c>
      <c r="L92" s="191">
        <f t="shared" si="431"/>
        <v>47.089512826308045</v>
      </c>
      <c r="M92" s="353">
        <f t="shared" si="431"/>
        <v>47.005437323551647</v>
      </c>
      <c r="N92" s="353">
        <f t="shared" si="431"/>
        <v>46.687794546391849</v>
      </c>
      <c r="O92" s="102">
        <f t="shared" ref="O92:P92" si="433">+O91/O6</f>
        <v>47.005437323551632</v>
      </c>
      <c r="P92" s="191">
        <f t="shared" si="433"/>
        <v>47.245563269950139</v>
      </c>
      <c r="Q92" s="266">
        <f t="shared" si="431"/>
        <v>47.005437323551647</v>
      </c>
      <c r="R92" s="266">
        <f t="shared" si="431"/>
        <v>46.835657185295261</v>
      </c>
      <c r="S92" s="102">
        <f t="shared" si="431"/>
        <v>47.005437323551632</v>
      </c>
      <c r="T92" s="191">
        <f t="shared" si="431"/>
        <v>48.961090342236453</v>
      </c>
      <c r="U92" s="266">
        <f t="shared" ref="U92:X92" si="434">+U91/U6</f>
        <v>47.005437323551639</v>
      </c>
      <c r="V92" s="266">
        <f t="shared" si="434"/>
        <v>47.261270052641926</v>
      </c>
      <c r="W92" s="102">
        <f t="shared" si="434"/>
        <v>60.531151609265926</v>
      </c>
      <c r="X92" s="191">
        <f t="shared" si="434"/>
        <v>50.309012755582252</v>
      </c>
      <c r="Y92" s="353">
        <f t="shared" si="431"/>
        <v>49.918668092782404</v>
      </c>
      <c r="Z92" s="356">
        <f t="shared" si="431"/>
        <v>48.788396754662877</v>
      </c>
      <c r="AA92" s="466">
        <f t="shared" si="431"/>
        <v>48.344616955800582</v>
      </c>
      <c r="AB92" s="485">
        <f t="shared" si="431"/>
        <v>47.752969945221302</v>
      </c>
      <c r="AC92" s="102">
        <f t="shared" si="431"/>
        <v>47.38</v>
      </c>
      <c r="AD92" s="191">
        <f t="shared" si="431"/>
        <v>47.630830358873212</v>
      </c>
      <c r="AE92" s="266">
        <f t="shared" ref="AE92:AH92" si="435">+AE91/AE6</f>
        <v>48.199692533354579</v>
      </c>
      <c r="AF92" s="266">
        <f t="shared" si="435"/>
        <v>47.736328250290967</v>
      </c>
      <c r="AG92" s="102">
        <f t="shared" si="435"/>
        <v>47.38</v>
      </c>
      <c r="AH92" s="191">
        <f t="shared" si="435"/>
        <v>366.14563754320028</v>
      </c>
      <c r="AI92" s="266">
        <f t="shared" ref="AI92:AL92" si="436">+AI91/AI6</f>
        <v>48.095618245279127</v>
      </c>
      <c r="AJ92" s="266">
        <f t="shared" si="436"/>
        <v>49.233186398792611</v>
      </c>
      <c r="AK92" s="102">
        <f t="shared" si="436"/>
        <v>47.38</v>
      </c>
      <c r="AL92" s="191">
        <f t="shared" si="436"/>
        <v>46.422286991106105</v>
      </c>
      <c r="AM92" s="353">
        <f t="shared" ref="AM92:AT92" si="437">+AM91/AM6</f>
        <v>47.38</v>
      </c>
      <c r="AN92" s="356">
        <f t="shared" si="437"/>
        <v>52.230703480984317</v>
      </c>
      <c r="AO92" s="266">
        <f t="shared" si="437"/>
        <v>48.012638393089993</v>
      </c>
      <c r="AP92" s="266">
        <f t="shared" si="437"/>
        <v>48.873639591753985</v>
      </c>
      <c r="AQ92" s="102">
        <f t="shared" si="437"/>
        <v>47.38</v>
      </c>
      <c r="AR92" s="191">
        <f t="shared" si="437"/>
        <v>42.401860028856881</v>
      </c>
      <c r="AS92" s="266">
        <f t="shared" si="437"/>
        <v>47.946902899211146</v>
      </c>
      <c r="AT92" s="266">
        <f t="shared" si="437"/>
        <v>48.128207095282917</v>
      </c>
      <c r="AU92" s="102">
        <f t="shared" ref="AU92:AX92" si="438">+AU91/AU6</f>
        <v>47.38</v>
      </c>
      <c r="AV92" s="191">
        <f t="shared" si="438"/>
        <v>47.511835208493189</v>
      </c>
      <c r="AW92" s="266">
        <f t="shared" si="438"/>
        <v>47.898422035538587</v>
      </c>
      <c r="AX92" s="266">
        <f t="shared" si="438"/>
        <v>48.069432380235646</v>
      </c>
      <c r="AY92" s="102">
        <f t="shared" ref="AY92:AZ92" si="439">+AY91/AY6</f>
        <v>47.38</v>
      </c>
      <c r="AZ92" s="191">
        <f t="shared" si="439"/>
        <v>46.611810635636616</v>
      </c>
      <c r="BA92" s="353">
        <f t="shared" ref="BA92:BD92" si="440">+BA91/BA6</f>
        <v>47.38</v>
      </c>
      <c r="BB92" s="356">
        <f t="shared" si="440"/>
        <v>45.453193874188358</v>
      </c>
      <c r="BC92" s="466">
        <f t="shared" si="440"/>
        <v>47.38</v>
      </c>
      <c r="BD92" s="485">
        <f t="shared" si="440"/>
        <v>48.142479631686399</v>
      </c>
      <c r="BE92" s="266">
        <f t="shared" ref="BE92:BF92" si="441">+BE91/BE6</f>
        <v>47.85343574297189</v>
      </c>
      <c r="BF92" s="266">
        <f t="shared" si="441"/>
        <v>47.930939110322619</v>
      </c>
      <c r="BH92" s="26"/>
      <c r="BI92" s="26"/>
      <c r="BJ92" s="26"/>
      <c r="BK92" s="26"/>
    </row>
    <row r="93" spans="1:63" x14ac:dyDescent="0.25">
      <c r="A93" s="147"/>
      <c r="B93" s="1766" t="s">
        <v>801</v>
      </c>
      <c r="C93" s="1135" t="s">
        <v>49</v>
      </c>
      <c r="D93" s="365">
        <v>4.5999999999999996</v>
      </c>
      <c r="E93" s="365">
        <v>4.5999999999999996</v>
      </c>
      <c r="F93" s="1150">
        <v>4.1894733919807612</v>
      </c>
      <c r="G93" s="365">
        <v>4.5999999999999996</v>
      </c>
      <c r="H93" s="1150">
        <v>4.5061623758404199</v>
      </c>
      <c r="I93" s="660">
        <v>4.5999999999999996</v>
      </c>
      <c r="J93" s="5426">
        <f>AVERAGE(F93,H93)</f>
        <v>4.3478178839105901</v>
      </c>
      <c r="K93" s="365">
        <v>4.5999999999999996</v>
      </c>
      <c r="L93" s="1150">
        <v>4.570565078735414</v>
      </c>
      <c r="M93" s="659">
        <v>4.5999999999999996</v>
      </c>
      <c r="N93" s="1694">
        <f>AVERAGE(F93,H93,L93)</f>
        <v>4.4220669488521978</v>
      </c>
      <c r="O93" s="365">
        <v>4.5999999999999996</v>
      </c>
      <c r="P93" s="5522">
        <v>4.5550290656529127</v>
      </c>
      <c r="Q93" s="660">
        <v>4.5999999999999996</v>
      </c>
      <c r="R93" s="1689">
        <f>AVERAGE(F93,H93,L93,P93)</f>
        <v>4.4553074780523767</v>
      </c>
      <c r="S93" s="365">
        <v>4.5999999999999996</v>
      </c>
      <c r="T93" s="5522">
        <v>4.3585052447744994</v>
      </c>
      <c r="U93" s="660">
        <v>4.5999999999999996</v>
      </c>
      <c r="V93" s="1689">
        <f>AVERAGE(F93,H93,L93,P93,T93)</f>
        <v>4.4359470313968012</v>
      </c>
      <c r="W93" s="365">
        <v>4.5999999999999996</v>
      </c>
      <c r="X93" s="5522">
        <v>4.289585084407352</v>
      </c>
      <c r="Y93" s="659">
        <v>4.5999999999999996</v>
      </c>
      <c r="Z93" s="1694">
        <f>AVERAGE(P93,T93,X93)</f>
        <v>4.401039798278255</v>
      </c>
      <c r="AA93" s="656">
        <v>4.5999999999999996</v>
      </c>
      <c r="AB93" s="2155">
        <f>AVERAGE(F93,H93,L93,P93,T93,X93)</f>
        <v>4.4115533735652264</v>
      </c>
      <c r="AC93" s="365">
        <v>4.8</v>
      </c>
      <c r="AD93" s="1150">
        <v>3.626556570739639</v>
      </c>
      <c r="AE93" s="660">
        <v>4.5999999999999996</v>
      </c>
      <c r="AF93" s="1689">
        <f>AVERAGE(F93,H93,L93,P93,T93,X93,AD93)</f>
        <v>4.2994109731615708</v>
      </c>
      <c r="AG93" s="365">
        <v>4.8</v>
      </c>
      <c r="AH93" s="1150">
        <v>0.1137141846887707</v>
      </c>
      <c r="AI93" s="660">
        <v>4.5999999999999996</v>
      </c>
      <c r="AJ93" s="1689">
        <f>AVERAGE(F93,H93,L93,P93,T93,X93,AD93)</f>
        <v>4.2994109731615708</v>
      </c>
      <c r="AK93" s="365">
        <v>4.8</v>
      </c>
      <c r="AL93" s="1150">
        <v>4.5333965409430546</v>
      </c>
      <c r="AM93" s="659">
        <v>4.5999999999999996</v>
      </c>
      <c r="AN93" s="1694">
        <f>AVERAGE(AD93,AL93)</f>
        <v>4.0799765558413466</v>
      </c>
      <c r="AO93" s="660">
        <v>4.5999999999999996</v>
      </c>
      <c r="AP93" s="1689">
        <f>AVERAGE(F93,H93,L93,P93,T93,X93,AD93,AL93)</f>
        <v>4.328659169134256</v>
      </c>
      <c r="AQ93" s="365">
        <v>4.8</v>
      </c>
      <c r="AR93" s="1150">
        <v>4.3361162560405315</v>
      </c>
      <c r="AS93" s="660">
        <v>4.5999999999999996</v>
      </c>
      <c r="AT93" s="1689">
        <f>AVERAGE(F93,H93,L93,P93,T93,X93,AD93,AL93,AR93)</f>
        <v>4.3294877343460643</v>
      </c>
      <c r="AU93" s="365">
        <v>4.8</v>
      </c>
      <c r="AV93" s="1150">
        <v>4.3600000000000003</v>
      </c>
      <c r="AW93" s="660">
        <v>4.5999999999999996</v>
      </c>
      <c r="AX93" s="1689">
        <f>AVERAGE(F93,H93,L93,P93,T93,X93,AD93,AL93,AR93,AV93)</f>
        <v>4.3325389609114584</v>
      </c>
      <c r="AY93" s="365">
        <v>4.8</v>
      </c>
      <c r="AZ93" s="1150">
        <v>4.1814920065460699</v>
      </c>
      <c r="BA93" s="659">
        <v>4.5999999999999996</v>
      </c>
      <c r="BB93" s="1694">
        <f>AVERAGE(AR93,AV93,AZ93)</f>
        <v>4.292536087528867</v>
      </c>
      <c r="BC93" s="656">
        <v>4.5999999999999996</v>
      </c>
      <c r="BD93" s="2155">
        <f>AVERAGE(AD93,AL93,AR93,AV93,AZ93)</f>
        <v>4.2075122748538591</v>
      </c>
      <c r="BE93" s="660">
        <v>4.5999999999999996</v>
      </c>
      <c r="BF93" s="1689">
        <f>AVERAGE(F93,H93,L93,P93,T93,X93,AD93,AL93,AR93,AV93,AZ93)</f>
        <v>4.3188074196055135</v>
      </c>
      <c r="BH93" s="26"/>
      <c r="BI93" s="26"/>
      <c r="BJ93" s="26"/>
      <c r="BK93" s="26"/>
    </row>
    <row r="94" spans="1:63" ht="14.45" hidden="1" x14ac:dyDescent="0.3">
      <c r="A94" s="147"/>
      <c r="B94" s="839" t="s">
        <v>819</v>
      </c>
      <c r="C94" s="1677"/>
      <c r="D94" s="839"/>
      <c r="E94" s="839"/>
      <c r="F94" s="397">
        <f>+SMS!F68</f>
        <v>0</v>
      </c>
      <c r="G94" s="839"/>
      <c r="H94" s="397">
        <f>+SMS!H68</f>
        <v>0</v>
      </c>
      <c r="I94" s="646"/>
      <c r="J94" s="782">
        <f>+F94+H94</f>
        <v>0</v>
      </c>
      <c r="K94" s="839"/>
      <c r="L94" s="397">
        <f>+SMS!L68</f>
        <v>0</v>
      </c>
      <c r="M94" s="645"/>
      <c r="N94" s="781">
        <f>+L94+H94+F94</f>
        <v>0</v>
      </c>
      <c r="O94" s="839"/>
      <c r="P94" s="397">
        <f>+SMS!P68</f>
        <v>0</v>
      </c>
      <c r="Q94" s="646"/>
      <c r="R94" s="782">
        <f>+N94+P94</f>
        <v>0</v>
      </c>
      <c r="S94" s="839"/>
      <c r="T94" s="397">
        <f>+SMS!T68</f>
        <v>0</v>
      </c>
      <c r="U94" s="646"/>
      <c r="V94" s="782">
        <f>+R94+T94</f>
        <v>0</v>
      </c>
      <c r="W94" s="839"/>
      <c r="X94" s="397">
        <f>+SMS!X68</f>
        <v>0</v>
      </c>
      <c r="Y94" s="645"/>
      <c r="Z94" s="69">
        <f>+X94+T94+P94</f>
        <v>0</v>
      </c>
      <c r="AA94" s="840"/>
      <c r="AB94" s="477">
        <f>+N94+Z94</f>
        <v>0</v>
      </c>
      <c r="AC94" s="839"/>
      <c r="AD94" s="397">
        <f>+SMS!AD68</f>
        <v>400</v>
      </c>
      <c r="AE94" s="646"/>
      <c r="AF94" s="782">
        <f>+AB94+AD94</f>
        <v>400</v>
      </c>
      <c r="AG94" s="839"/>
      <c r="AH94" s="397">
        <f>+SMS!AH68</f>
        <v>0</v>
      </c>
      <c r="AI94" s="646"/>
      <c r="AJ94" s="782">
        <f>+AF94+AH94</f>
        <v>400</v>
      </c>
      <c r="AK94" s="839"/>
      <c r="AL94" s="397">
        <f>+SMS!AL68</f>
        <v>0</v>
      </c>
      <c r="AM94" s="645"/>
      <c r="AN94" s="69">
        <f>+AL94+AH94+AD94</f>
        <v>400</v>
      </c>
      <c r="AO94" s="646"/>
      <c r="AP94" s="782">
        <f>+AL94+AJ94</f>
        <v>400</v>
      </c>
      <c r="AQ94" s="839"/>
      <c r="AR94" s="397">
        <f>+SMS!AR68</f>
        <v>0</v>
      </c>
      <c r="AS94" s="646"/>
      <c r="AT94" s="782">
        <f>+AP94+AR94</f>
        <v>400</v>
      </c>
      <c r="AU94" s="839"/>
      <c r="AV94" s="397">
        <f>+SMS!AV68</f>
        <v>0</v>
      </c>
      <c r="AW94" s="646"/>
      <c r="AX94" s="782">
        <f>+AT94+AV94</f>
        <v>400</v>
      </c>
      <c r="AY94" s="839"/>
      <c r="AZ94" s="397">
        <f>+SMS!AZ68</f>
        <v>0</v>
      </c>
      <c r="BA94" s="645"/>
      <c r="BB94" s="69">
        <f>+AZ94+AV94+AR94</f>
        <v>0</v>
      </c>
      <c r="BC94" s="840"/>
      <c r="BD94" s="477">
        <f>+AN94+BB94</f>
        <v>400</v>
      </c>
      <c r="BE94" s="646"/>
      <c r="BF94" s="782">
        <f>+AX94+AZ94</f>
        <v>400</v>
      </c>
      <c r="BH94" s="26"/>
      <c r="BI94" s="26"/>
      <c r="BJ94" s="26"/>
      <c r="BK94" s="26"/>
    </row>
    <row r="95" spans="1:63" x14ac:dyDescent="0.25">
      <c r="A95" s="147"/>
      <c r="B95" s="93"/>
      <c r="C95" s="347"/>
      <c r="D95" s="899"/>
      <c r="E95" s="899"/>
      <c r="F95" s="184"/>
      <c r="G95" s="899"/>
      <c r="H95" s="184"/>
      <c r="I95" s="347"/>
      <c r="J95" s="347"/>
      <c r="K95" s="899"/>
      <c r="L95" s="184"/>
      <c r="M95" s="347"/>
      <c r="N95" s="347"/>
      <c r="O95" s="899"/>
      <c r="P95" s="184"/>
      <c r="Q95" s="347"/>
      <c r="R95" s="347"/>
      <c r="S95" s="899"/>
      <c r="T95" s="184"/>
      <c r="U95" s="347"/>
      <c r="V95" s="347"/>
      <c r="W95" s="899"/>
      <c r="X95" s="184"/>
      <c r="Y95" s="347"/>
      <c r="Z95" s="347"/>
      <c r="AC95" s="899"/>
      <c r="AD95" s="184"/>
      <c r="AE95" s="347"/>
      <c r="AF95" s="347"/>
      <c r="AG95" s="899"/>
      <c r="AH95" s="184"/>
      <c r="AI95" s="347"/>
      <c r="AJ95" s="347"/>
      <c r="AK95" s="899"/>
      <c r="AL95" s="184"/>
      <c r="AM95" s="347"/>
      <c r="AN95" s="347"/>
      <c r="AO95" s="347"/>
      <c r="AP95" s="347"/>
      <c r="AQ95" s="899"/>
      <c r="AR95" s="184"/>
      <c r="AS95" s="347"/>
      <c r="AT95" s="347"/>
      <c r="AU95" s="899"/>
      <c r="AV95" s="184"/>
      <c r="AW95" s="347"/>
      <c r="AX95" s="347"/>
      <c r="AY95" s="899"/>
      <c r="AZ95" s="184"/>
      <c r="BA95" s="347"/>
      <c r="BB95" s="347"/>
      <c r="BE95" s="347"/>
      <c r="BF95" s="347"/>
      <c r="BH95" s="26"/>
      <c r="BI95" s="26"/>
      <c r="BJ95" s="26"/>
      <c r="BK95" s="26"/>
    </row>
    <row r="96" spans="1:63" ht="15" customHeight="1" x14ac:dyDescent="0.25">
      <c r="A96" s="147"/>
      <c r="B96" s="841" t="s">
        <v>926</v>
      </c>
      <c r="C96" s="899"/>
      <c r="D96" s="899"/>
      <c r="E96" s="899"/>
      <c r="F96" s="184"/>
      <c r="G96" s="899"/>
      <c r="H96" s="184"/>
      <c r="I96" s="347"/>
      <c r="J96" s="347"/>
      <c r="K96" s="899"/>
      <c r="L96" s="184"/>
      <c r="M96" s="347"/>
      <c r="N96" s="347"/>
      <c r="O96" s="899"/>
      <c r="P96" s="184"/>
      <c r="Q96" s="347"/>
      <c r="R96" s="347"/>
      <c r="S96" s="899"/>
      <c r="T96" s="184"/>
      <c r="U96" s="347"/>
      <c r="V96" s="347"/>
      <c r="W96" s="899"/>
      <c r="X96" s="184"/>
      <c r="Y96" s="347"/>
      <c r="Z96" s="347"/>
      <c r="AC96" s="899"/>
      <c r="AD96" s="184"/>
      <c r="AE96" s="347"/>
      <c r="AF96" s="347"/>
      <c r="AG96" s="899"/>
      <c r="AH96" s="184"/>
      <c r="AI96" s="347"/>
      <c r="AJ96" s="347"/>
      <c r="AK96" s="899"/>
      <c r="AL96" s="184"/>
      <c r="AM96" s="347"/>
      <c r="AN96" s="347"/>
      <c r="AO96" s="347"/>
      <c r="AP96" s="347"/>
      <c r="AQ96" s="899"/>
      <c r="AR96" s="184"/>
      <c r="AS96" s="347"/>
      <c r="AT96" s="347"/>
      <c r="AU96" s="899"/>
      <c r="AV96" s="184"/>
      <c r="AW96" s="347"/>
      <c r="AX96" s="347"/>
      <c r="AY96" s="899"/>
      <c r="AZ96" s="184"/>
      <c r="BA96" s="347"/>
      <c r="BB96" s="347"/>
      <c r="BE96" s="347"/>
      <c r="BF96" s="347"/>
      <c r="BH96" s="26"/>
      <c r="BI96" s="26"/>
      <c r="BJ96" s="26"/>
      <c r="BK96" s="26"/>
    </row>
    <row r="97" spans="1:63" ht="19.5" thickBot="1" x14ac:dyDescent="0.35">
      <c r="A97" s="147"/>
      <c r="B97" s="3245" t="s">
        <v>923</v>
      </c>
      <c r="C97" s="347"/>
      <c r="D97" s="3246"/>
      <c r="E97" s="3246"/>
      <c r="F97" s="2841"/>
      <c r="G97" s="3246"/>
      <c r="H97" s="2841"/>
      <c r="I97" s="347"/>
      <c r="J97" s="347"/>
      <c r="K97" s="3246"/>
      <c r="L97" s="2841"/>
      <c r="M97" s="347"/>
      <c r="N97" s="347"/>
      <c r="O97" s="3246"/>
      <c r="P97" s="2841"/>
      <c r="Q97" s="347"/>
      <c r="R97" s="347"/>
      <c r="S97" s="3246"/>
      <c r="T97" s="2841"/>
      <c r="U97" s="347"/>
      <c r="V97" s="347"/>
      <c r="W97" s="3246"/>
      <c r="X97" s="2841"/>
      <c r="Y97" s="347"/>
      <c r="Z97" s="347"/>
      <c r="AC97" s="3246"/>
      <c r="AD97" s="2841"/>
      <c r="AE97" s="347"/>
      <c r="AF97" s="347"/>
      <c r="AG97" s="3246"/>
      <c r="AH97" s="2841"/>
      <c r="AI97" s="347"/>
      <c r="AJ97" s="347"/>
      <c r="AK97" s="3246"/>
      <c r="AL97" s="2841"/>
      <c r="AM97" s="347"/>
      <c r="AN97" s="347"/>
      <c r="AO97" s="347"/>
      <c r="AP97" s="347"/>
      <c r="AQ97" s="3246"/>
      <c r="AR97" s="2841"/>
      <c r="AS97" s="347"/>
      <c r="AT97" s="347"/>
      <c r="AU97" s="3246"/>
      <c r="AV97" s="2841"/>
      <c r="AW97" s="347"/>
      <c r="AX97" s="347"/>
      <c r="AY97" s="3246"/>
      <c r="AZ97" s="2841"/>
      <c r="BA97" s="347"/>
      <c r="BB97" s="347"/>
      <c r="BE97" s="347"/>
      <c r="BF97" s="347"/>
      <c r="BH97" s="26"/>
      <c r="BI97" s="26"/>
      <c r="BJ97" s="26"/>
      <c r="BK97" s="26"/>
    </row>
    <row r="98" spans="1:63" ht="18.75" x14ac:dyDescent="0.3">
      <c r="A98" s="647"/>
      <c r="B98" s="910" t="s">
        <v>240</v>
      </c>
      <c r="C98" s="3247" t="s">
        <v>50</v>
      </c>
      <c r="D98" s="591"/>
      <c r="E98" s="591"/>
      <c r="F98" s="2583">
        <v>53203</v>
      </c>
      <c r="G98" s="591"/>
      <c r="H98" s="2583">
        <v>64050.099999999984</v>
      </c>
      <c r="I98" s="2582"/>
      <c r="J98" s="4724">
        <f>+F98+H98</f>
        <v>117253.09999999998</v>
      </c>
      <c r="K98" s="591"/>
      <c r="L98" s="2583">
        <v>61233.299999999996</v>
      </c>
      <c r="M98" s="650"/>
      <c r="N98" s="650">
        <f>+F98+H98+L98</f>
        <v>178486.39999999997</v>
      </c>
      <c r="O98" s="591"/>
      <c r="P98" s="2583">
        <v>72273.349999999977</v>
      </c>
      <c r="Q98" s="649"/>
      <c r="R98" s="649">
        <f>+N98+P98</f>
        <v>250759.74999999994</v>
      </c>
      <c r="S98" s="591"/>
      <c r="T98" s="2583">
        <v>48679.399999999994</v>
      </c>
      <c r="U98" s="649"/>
      <c r="V98" s="649">
        <f>+R98+T98</f>
        <v>299439.14999999991</v>
      </c>
      <c r="W98" s="591"/>
      <c r="X98" s="2583">
        <v>43924.800000000003</v>
      </c>
      <c r="Y98" s="650"/>
      <c r="Z98" s="650">
        <f>+P98+T98+X98</f>
        <v>164877.54999999999</v>
      </c>
      <c r="AA98" s="651"/>
      <c r="AB98" s="651">
        <f>+N98+Z98</f>
        <v>343363.94999999995</v>
      </c>
      <c r="AC98" s="591"/>
      <c r="AD98" s="2583">
        <v>42046.499999999993</v>
      </c>
      <c r="AE98" s="649"/>
      <c r="AF98" s="649">
        <f>+AB98+AD98</f>
        <v>385410.44999999995</v>
      </c>
      <c r="AG98" s="591"/>
      <c r="AH98" s="2583">
        <v>488</v>
      </c>
      <c r="AI98" s="649"/>
      <c r="AJ98" s="649">
        <f>+AF98+AH98</f>
        <v>385898.44999999995</v>
      </c>
      <c r="AK98" s="591"/>
      <c r="AL98" s="2583">
        <v>50191.451000000001</v>
      </c>
      <c r="AM98" s="650"/>
      <c r="AN98" s="650">
        <f>+AD98+AH98+AL98</f>
        <v>92725.951000000001</v>
      </c>
      <c r="AO98" s="649"/>
      <c r="AP98" s="649">
        <f>+AL98+AJ98</f>
        <v>436089.90099999995</v>
      </c>
      <c r="AQ98" s="591"/>
      <c r="AR98" s="2583">
        <v>66494.785999999993</v>
      </c>
      <c r="AS98" s="649"/>
      <c r="AT98" s="649">
        <f>+AP98+AR98</f>
        <v>502584.68699999992</v>
      </c>
      <c r="AU98" s="591"/>
      <c r="AV98" s="2583">
        <v>66187.100000000006</v>
      </c>
      <c r="AW98" s="649"/>
      <c r="AX98" s="649">
        <f>+AT98+AV98</f>
        <v>568771.78699999989</v>
      </c>
      <c r="AY98" s="591"/>
      <c r="AZ98" s="2583">
        <v>86211.3</v>
      </c>
      <c r="BA98" s="650"/>
      <c r="BB98" s="650">
        <f>+AR98+AV98+AZ98</f>
        <v>218893.18599999999</v>
      </c>
      <c r="BC98" s="651"/>
      <c r="BD98" s="651">
        <f t="shared" ref="BD98:BD107" si="442">+AN98+BB98</f>
        <v>311619.13699999999</v>
      </c>
      <c r="BE98" s="649"/>
      <c r="BF98" s="649">
        <f>+AX98+AZ98</f>
        <v>654983.08699999994</v>
      </c>
      <c r="BH98" s="26"/>
      <c r="BI98" s="26"/>
      <c r="BJ98" s="26"/>
      <c r="BK98" s="26"/>
    </row>
    <row r="99" spans="1:63" ht="18.75" x14ac:dyDescent="0.3">
      <c r="A99" s="647"/>
      <c r="B99" s="912" t="s">
        <v>25</v>
      </c>
      <c r="C99" s="3249" t="s">
        <v>50</v>
      </c>
      <c r="D99" s="3250"/>
      <c r="E99" s="3250"/>
      <c r="F99" s="2658">
        <v>81202.082043343646</v>
      </c>
      <c r="G99" s="3250"/>
      <c r="H99" s="2658">
        <v>91305.727863777094</v>
      </c>
      <c r="I99" s="2863"/>
      <c r="J99" s="4724">
        <f t="shared" ref="J99:J107" si="443">+F99+H99</f>
        <v>172507.80990712074</v>
      </c>
      <c r="K99" s="3250"/>
      <c r="L99" s="2658">
        <v>94019.513828689378</v>
      </c>
      <c r="M99" s="650"/>
      <c r="N99" s="650">
        <f t="shared" ref="N99:N107" si="444">+F99+H99+L99</f>
        <v>266527.32373581012</v>
      </c>
      <c r="O99" s="3250"/>
      <c r="P99" s="2658">
        <v>100330.49597523219</v>
      </c>
      <c r="Q99" s="1130"/>
      <c r="R99" s="649">
        <f t="shared" ref="R99:R107" si="445">+N99+P99</f>
        <v>366857.81971104234</v>
      </c>
      <c r="S99" s="3250"/>
      <c r="T99" s="2658">
        <v>95643.7266460268</v>
      </c>
      <c r="U99" s="1130"/>
      <c r="V99" s="649">
        <f t="shared" ref="V99:V107" si="446">+R99+T99</f>
        <v>462501.54635706916</v>
      </c>
      <c r="W99" s="3250"/>
      <c r="X99" s="2658">
        <v>98019.232549019609</v>
      </c>
      <c r="Y99" s="650"/>
      <c r="Z99" s="650">
        <f t="shared" ref="Z99:Z107" si="447">+P99+T99+X99</f>
        <v>293993.45517027861</v>
      </c>
      <c r="AA99" s="1132"/>
      <c r="AB99" s="651">
        <f t="shared" ref="AB99:AB107" si="448">+N99+Z99</f>
        <v>560520.77890608879</v>
      </c>
      <c r="AC99" s="3250"/>
      <c r="AD99" s="2658">
        <v>93425.369122807009</v>
      </c>
      <c r="AE99" s="1130"/>
      <c r="AF99" s="649">
        <f t="shared" ref="AF99:AF107" si="449">+AB99+AD99</f>
        <v>653946.14802889584</v>
      </c>
      <c r="AG99" s="3250"/>
      <c r="AH99" s="2658">
        <v>5308.4579979360169</v>
      </c>
      <c r="AI99" s="1130"/>
      <c r="AJ99" s="649">
        <f t="shared" ref="AJ99:AJ107" si="450">+AF99+AH99</f>
        <v>659254.6060268319</v>
      </c>
      <c r="AK99" s="3250"/>
      <c r="AL99" s="2658">
        <v>97272.490196078448</v>
      </c>
      <c r="AM99" s="650"/>
      <c r="AN99" s="650">
        <f t="shared" ref="AN99:AN107" si="451">+AD99+AH99+AL99</f>
        <v>196006.31731682149</v>
      </c>
      <c r="AO99" s="1130"/>
      <c r="AP99" s="649">
        <f t="shared" ref="AP99:AP107" si="452">+AL99+AJ99</f>
        <v>756527.09622291033</v>
      </c>
      <c r="AQ99" s="3250"/>
      <c r="AR99" s="2658">
        <v>94042.542930856551</v>
      </c>
      <c r="AS99" s="1130"/>
      <c r="AT99" s="649">
        <f t="shared" ref="AT99:AT107" si="453">+AP99+AR99</f>
        <v>850569.63915376691</v>
      </c>
      <c r="AU99" s="3250"/>
      <c r="AV99" s="2658">
        <v>84633.001960784299</v>
      </c>
      <c r="AW99" s="1130"/>
      <c r="AX99" s="649">
        <f t="shared" ref="AX99:AX103" si="454">+AT99+AV99</f>
        <v>935202.64111455122</v>
      </c>
      <c r="AY99" s="3250"/>
      <c r="AZ99" s="2658">
        <v>92379.472445820429</v>
      </c>
      <c r="BA99" s="650"/>
      <c r="BB99" s="650">
        <f t="shared" ref="BB99:BB107" si="455">+AR99+AV99+AZ99</f>
        <v>271055.01733746124</v>
      </c>
      <c r="BC99" s="1132"/>
      <c r="BD99" s="651">
        <f t="shared" si="442"/>
        <v>467061.33465428272</v>
      </c>
      <c r="BE99" s="1130"/>
      <c r="BF99" s="649">
        <f t="shared" ref="BF99:BF107" si="456">+AX99+AZ99</f>
        <v>1027582.1135603717</v>
      </c>
      <c r="BH99" s="26"/>
      <c r="BI99" s="26"/>
      <c r="BJ99" s="26"/>
      <c r="BK99" s="26"/>
    </row>
    <row r="100" spans="1:63" ht="18.75" x14ac:dyDescent="0.3">
      <c r="A100" s="647"/>
      <c r="B100" s="912" t="s">
        <v>924</v>
      </c>
      <c r="C100" s="3249" t="s">
        <v>50</v>
      </c>
      <c r="D100" s="3250"/>
      <c r="E100" s="3250"/>
      <c r="F100" s="3251">
        <v>6702.2691434468525</v>
      </c>
      <c r="G100" s="3250"/>
      <c r="H100" s="3251">
        <v>7718.4788441692444</v>
      </c>
      <c r="I100" s="2863"/>
      <c r="J100" s="4724">
        <f t="shared" si="443"/>
        <v>14420.747987616098</v>
      </c>
      <c r="K100" s="3250"/>
      <c r="L100" s="3251">
        <v>8601.9142414860689</v>
      </c>
      <c r="M100" s="650"/>
      <c r="N100" s="650">
        <f t="shared" si="444"/>
        <v>23022.662229102167</v>
      </c>
      <c r="O100" s="3250"/>
      <c r="P100" s="3251">
        <v>11281.726934984523</v>
      </c>
      <c r="Q100" s="1130"/>
      <c r="R100" s="649">
        <f t="shared" si="445"/>
        <v>34304.389164086693</v>
      </c>
      <c r="S100" s="3250"/>
      <c r="T100" s="3251">
        <v>9736.7554489164086</v>
      </c>
      <c r="U100" s="1130"/>
      <c r="V100" s="649">
        <f t="shared" si="446"/>
        <v>44041.144613003104</v>
      </c>
      <c r="W100" s="3250"/>
      <c r="X100" s="3251">
        <v>9223.1608875129023</v>
      </c>
      <c r="Y100" s="650"/>
      <c r="Z100" s="650">
        <f t="shared" si="447"/>
        <v>30241.643271413835</v>
      </c>
      <c r="AA100" s="1132"/>
      <c r="AB100" s="651">
        <f t="shared" si="448"/>
        <v>53264.305500515999</v>
      </c>
      <c r="AC100" s="3250"/>
      <c r="AD100" s="3251">
        <v>9762.8535397316828</v>
      </c>
      <c r="AE100" s="1130"/>
      <c r="AF100" s="649">
        <f t="shared" si="449"/>
        <v>63027.15904024768</v>
      </c>
      <c r="AG100" s="3250"/>
      <c r="AH100" s="3251">
        <v>119.82063983488132</v>
      </c>
      <c r="AI100" s="1130"/>
      <c r="AJ100" s="649">
        <f t="shared" si="450"/>
        <v>63146.979680082564</v>
      </c>
      <c r="AK100" s="3250"/>
      <c r="AL100" s="3251">
        <v>8814.4788441692472</v>
      </c>
      <c r="AM100" s="650"/>
      <c r="AN100" s="650">
        <f t="shared" si="451"/>
        <v>18697.153023735809</v>
      </c>
      <c r="AO100" s="1130"/>
      <c r="AP100" s="649">
        <f t="shared" si="452"/>
        <v>71961.458524251808</v>
      </c>
      <c r="AQ100" s="3250"/>
      <c r="AR100" s="3251">
        <v>8218.4113519091843</v>
      </c>
      <c r="AS100" s="1130"/>
      <c r="AT100" s="649">
        <f t="shared" si="453"/>
        <v>80179.869876160985</v>
      </c>
      <c r="AU100" s="3250"/>
      <c r="AV100" s="3251">
        <v>7214.6531475748188</v>
      </c>
      <c r="AW100" s="1130"/>
      <c r="AX100" s="649">
        <f t="shared" si="454"/>
        <v>87394.523023735805</v>
      </c>
      <c r="AY100" s="3250"/>
      <c r="AZ100" s="3251">
        <v>7660.6038183694536</v>
      </c>
      <c r="BA100" s="650"/>
      <c r="BB100" s="650">
        <f t="shared" si="455"/>
        <v>23093.668317853459</v>
      </c>
      <c r="BC100" s="1132"/>
      <c r="BD100" s="651">
        <f t="shared" si="442"/>
        <v>41790.821341589268</v>
      </c>
      <c r="BE100" s="1130"/>
      <c r="BF100" s="649">
        <f t="shared" si="456"/>
        <v>95055.126842105252</v>
      </c>
      <c r="BH100" s="26"/>
      <c r="BI100" s="26"/>
      <c r="BJ100" s="26"/>
      <c r="BK100" s="26"/>
    </row>
    <row r="101" spans="1:63" ht="18.75" x14ac:dyDescent="0.3">
      <c r="A101" s="647"/>
      <c r="B101" s="912" t="s">
        <v>2084</v>
      </c>
      <c r="C101" s="4719" t="s">
        <v>50</v>
      </c>
      <c r="D101" s="4720"/>
      <c r="E101" s="4720"/>
      <c r="F101" s="4721">
        <v>0</v>
      </c>
      <c r="G101" s="4720"/>
      <c r="H101" s="4721"/>
      <c r="I101" s="4722"/>
      <c r="J101" s="4724">
        <f t="shared" si="443"/>
        <v>0</v>
      </c>
      <c r="K101" s="4720"/>
      <c r="L101" s="4721">
        <v>0</v>
      </c>
      <c r="M101" s="4723"/>
      <c r="N101" s="650">
        <f t="shared" si="444"/>
        <v>0</v>
      </c>
      <c r="O101" s="4720"/>
      <c r="P101" s="4721"/>
      <c r="Q101" s="4722"/>
      <c r="R101" s="649">
        <f t="shared" si="445"/>
        <v>0</v>
      </c>
      <c r="S101" s="4720"/>
      <c r="T101" s="4721"/>
      <c r="U101" s="4722"/>
      <c r="V101" s="649">
        <f t="shared" si="446"/>
        <v>0</v>
      </c>
      <c r="W101" s="4720"/>
      <c r="X101" s="4721"/>
      <c r="Y101" s="4723"/>
      <c r="Z101" s="650">
        <f t="shared" si="447"/>
        <v>0</v>
      </c>
      <c r="AA101" s="4725"/>
      <c r="AB101" s="651">
        <f t="shared" si="448"/>
        <v>0</v>
      </c>
      <c r="AC101" s="4720"/>
      <c r="AD101" s="4721">
        <v>1743.5897435897436</v>
      </c>
      <c r="AE101" s="4722"/>
      <c r="AF101" s="649">
        <f t="shared" si="449"/>
        <v>1743.5897435897436</v>
      </c>
      <c r="AG101" s="4720"/>
      <c r="AH101" s="4721">
        <v>3076.9230769230771</v>
      </c>
      <c r="AI101" s="4722"/>
      <c r="AJ101" s="649">
        <f t="shared" si="450"/>
        <v>4820.5128205128203</v>
      </c>
      <c r="AK101" s="4720"/>
      <c r="AL101" s="4721">
        <v>3322.0512820512822</v>
      </c>
      <c r="AM101" s="4723"/>
      <c r="AN101" s="650">
        <f t="shared" si="451"/>
        <v>8142.5641025641025</v>
      </c>
      <c r="AO101" s="4722"/>
      <c r="AP101" s="649">
        <f t="shared" si="452"/>
        <v>8142.5641025641025</v>
      </c>
      <c r="AQ101" s="4720"/>
      <c r="AR101" s="4721">
        <v>0</v>
      </c>
      <c r="AS101" s="4722"/>
      <c r="AT101" s="649">
        <f t="shared" si="453"/>
        <v>8142.5641025641025</v>
      </c>
      <c r="AU101" s="4720"/>
      <c r="AV101" s="4721"/>
      <c r="AW101" s="4722"/>
      <c r="AX101" s="649">
        <f t="shared" si="454"/>
        <v>8142.5641025641025</v>
      </c>
      <c r="AY101" s="4720"/>
      <c r="AZ101" s="4721">
        <v>0</v>
      </c>
      <c r="BA101" s="4723"/>
      <c r="BB101" s="650">
        <f t="shared" si="455"/>
        <v>0</v>
      </c>
      <c r="BC101" s="4725"/>
      <c r="BD101" s="651">
        <f t="shared" si="442"/>
        <v>8142.5641025641025</v>
      </c>
      <c r="BE101" s="4722"/>
      <c r="BF101" s="649">
        <f t="shared" si="456"/>
        <v>8142.5641025641025</v>
      </c>
      <c r="BH101" s="26"/>
      <c r="BI101" s="26"/>
      <c r="BJ101" s="26"/>
      <c r="BK101" s="26"/>
    </row>
    <row r="102" spans="1:63" ht="19.5" thickBot="1" x14ac:dyDescent="0.35">
      <c r="A102" s="647"/>
      <c r="B102" s="912" t="s">
        <v>124</v>
      </c>
      <c r="C102" s="3249" t="s">
        <v>50</v>
      </c>
      <c r="D102" s="3250"/>
      <c r="E102" s="3250"/>
      <c r="F102" s="2658">
        <v>37497.146483516481</v>
      </c>
      <c r="G102" s="3250"/>
      <c r="H102" s="2658">
        <v>43820.499780219783</v>
      </c>
      <c r="I102" s="3015"/>
      <c r="J102" s="4724">
        <f t="shared" si="443"/>
        <v>81317.646263736271</v>
      </c>
      <c r="K102" s="3250"/>
      <c r="L102" s="2658">
        <v>44610.065274725261</v>
      </c>
      <c r="M102" s="650"/>
      <c r="N102" s="650">
        <f t="shared" si="444"/>
        <v>125927.71153846153</v>
      </c>
      <c r="O102" s="3250"/>
      <c r="P102" s="2658">
        <v>42070.860109890105</v>
      </c>
      <c r="Q102" s="649"/>
      <c r="R102" s="649">
        <f t="shared" si="445"/>
        <v>167998.57164835164</v>
      </c>
      <c r="S102" s="3250"/>
      <c r="T102" s="2658">
        <v>39478.498549450553</v>
      </c>
      <c r="U102" s="649"/>
      <c r="V102" s="649">
        <f t="shared" si="446"/>
        <v>207477.07019780221</v>
      </c>
      <c r="W102" s="3250"/>
      <c r="X102" s="2658">
        <v>34369.631934065947</v>
      </c>
      <c r="Y102" s="650"/>
      <c r="Z102" s="650">
        <f t="shared" si="447"/>
        <v>115918.9905934066</v>
      </c>
      <c r="AA102" s="651"/>
      <c r="AB102" s="651">
        <f t="shared" si="448"/>
        <v>241846.70213186814</v>
      </c>
      <c r="AC102" s="3250"/>
      <c r="AD102" s="2658">
        <v>32957.071098901099</v>
      </c>
      <c r="AE102" s="649"/>
      <c r="AF102" s="649">
        <f t="shared" si="449"/>
        <v>274803.77323076921</v>
      </c>
      <c r="AG102" s="3250"/>
      <c r="AH102" s="2658">
        <v>0</v>
      </c>
      <c r="AI102" s="649"/>
      <c r="AJ102" s="649">
        <f t="shared" si="450"/>
        <v>274803.77323076921</v>
      </c>
      <c r="AK102" s="4726"/>
      <c r="AL102" s="2658">
        <v>39289.769230769234</v>
      </c>
      <c r="AM102" s="650"/>
      <c r="AN102" s="650">
        <f t="shared" si="451"/>
        <v>72246.840329670333</v>
      </c>
      <c r="AO102" s="649"/>
      <c r="AP102" s="649">
        <f t="shared" si="452"/>
        <v>314093.54246153845</v>
      </c>
      <c r="AQ102" s="4726"/>
      <c r="AR102" s="2658">
        <v>44202.49538461538</v>
      </c>
      <c r="AS102" s="649"/>
      <c r="AT102" s="649">
        <f t="shared" si="453"/>
        <v>358296.03784615383</v>
      </c>
      <c r="AU102" s="4726"/>
      <c r="AV102" s="2658">
        <v>41164.667032967045</v>
      </c>
      <c r="AW102" s="649"/>
      <c r="AX102" s="649">
        <f t="shared" si="454"/>
        <v>399460.70487912087</v>
      </c>
      <c r="AY102" s="4726"/>
      <c r="AZ102" s="2658">
        <v>45963.252857142848</v>
      </c>
      <c r="BA102" s="650"/>
      <c r="BB102" s="650">
        <f t="shared" si="455"/>
        <v>131330.41527472527</v>
      </c>
      <c r="BC102" s="651"/>
      <c r="BD102" s="651">
        <f t="shared" si="442"/>
        <v>203577.25560439558</v>
      </c>
      <c r="BE102" s="649"/>
      <c r="BF102" s="649">
        <f t="shared" si="456"/>
        <v>445423.95773626369</v>
      </c>
      <c r="BH102" s="26"/>
      <c r="BI102" s="26"/>
      <c r="BJ102" s="26"/>
      <c r="BK102" s="26"/>
    </row>
    <row r="103" spans="1:63" ht="18.75" x14ac:dyDescent="0.3">
      <c r="A103" s="647"/>
      <c r="B103" s="912" t="s">
        <v>19</v>
      </c>
      <c r="C103" s="3249" t="s">
        <v>50</v>
      </c>
      <c r="D103" s="3250"/>
      <c r="E103" s="3250"/>
      <c r="F103" s="3251">
        <v>252189.2</v>
      </c>
      <c r="G103" s="3250"/>
      <c r="H103" s="3251">
        <v>288586</v>
      </c>
      <c r="I103" s="2863"/>
      <c r="J103" s="4724">
        <f t="shared" si="443"/>
        <v>540775.19999999995</v>
      </c>
      <c r="K103" s="3250"/>
      <c r="L103" s="3251">
        <v>305588</v>
      </c>
      <c r="M103" s="650"/>
      <c r="N103" s="650">
        <f t="shared" si="444"/>
        <v>846363.2</v>
      </c>
      <c r="O103" s="3250"/>
      <c r="P103" s="3251">
        <v>314445.58999999997</v>
      </c>
      <c r="Q103" s="1130"/>
      <c r="R103" s="649">
        <f t="shared" si="445"/>
        <v>1160808.79</v>
      </c>
      <c r="S103" s="3250"/>
      <c r="T103" s="3251">
        <v>298752</v>
      </c>
      <c r="U103" s="1130"/>
      <c r="V103" s="649">
        <f t="shared" si="446"/>
        <v>1459560.79</v>
      </c>
      <c r="W103" s="3250"/>
      <c r="X103" s="3251">
        <v>288743.09999999998</v>
      </c>
      <c r="Y103" s="650"/>
      <c r="Z103" s="650">
        <f t="shared" si="447"/>
        <v>901940.69</v>
      </c>
      <c r="AA103" s="1132"/>
      <c r="AB103" s="651">
        <f t="shared" si="448"/>
        <v>1748303.89</v>
      </c>
      <c r="AC103" s="3250"/>
      <c r="AD103" s="3251">
        <v>292845.7</v>
      </c>
      <c r="AE103" s="1130"/>
      <c r="AF103" s="649">
        <f t="shared" si="449"/>
        <v>2041149.5899999999</v>
      </c>
      <c r="AG103" s="3250"/>
      <c r="AH103" s="3251">
        <v>8034</v>
      </c>
      <c r="AI103" s="1130"/>
      <c r="AJ103" s="649">
        <f t="shared" si="450"/>
        <v>2049183.5899999999</v>
      </c>
      <c r="AK103" s="3250"/>
      <c r="AL103" s="3251">
        <v>290514</v>
      </c>
      <c r="AM103" s="650"/>
      <c r="AN103" s="650">
        <f t="shared" si="451"/>
        <v>591393.69999999995</v>
      </c>
      <c r="AO103" s="1130"/>
      <c r="AP103" s="649">
        <f t="shared" si="452"/>
        <v>2339697.59</v>
      </c>
      <c r="AQ103" s="3250"/>
      <c r="AR103" s="3251">
        <v>290281.8</v>
      </c>
      <c r="AS103" s="1130"/>
      <c r="AT103" s="649">
        <f t="shared" si="453"/>
        <v>2629979.3899999997</v>
      </c>
      <c r="AU103" s="3250"/>
      <c r="AV103" s="3251">
        <v>273999.96000000002</v>
      </c>
      <c r="AW103" s="1130"/>
      <c r="AX103" s="649">
        <f t="shared" si="454"/>
        <v>2903979.3499999996</v>
      </c>
      <c r="AY103" s="3250"/>
      <c r="AZ103" s="3251">
        <v>317225.2</v>
      </c>
      <c r="BA103" s="650"/>
      <c r="BB103" s="650">
        <f t="shared" si="455"/>
        <v>881506.96</v>
      </c>
      <c r="BC103" s="1132"/>
      <c r="BD103" s="651">
        <f t="shared" si="442"/>
        <v>1472900.66</v>
      </c>
      <c r="BE103" s="1130"/>
      <c r="BF103" s="649">
        <f t="shared" si="456"/>
        <v>3221204.55</v>
      </c>
      <c r="BH103" s="26"/>
      <c r="BI103" s="26"/>
      <c r="BJ103" s="26"/>
      <c r="BK103" s="26"/>
    </row>
    <row r="104" spans="1:63" ht="18.75" customHeight="1" x14ac:dyDescent="0.25">
      <c r="A104" s="147"/>
      <c r="B104" s="912" t="s">
        <v>1899</v>
      </c>
      <c r="C104" s="3249" t="s">
        <v>50</v>
      </c>
      <c r="D104" s="4117"/>
      <c r="E104" s="4117"/>
      <c r="F104" s="3251">
        <v>0</v>
      </c>
      <c r="G104" s="4117"/>
      <c r="H104" s="3251"/>
      <c r="I104" s="3248"/>
      <c r="J104" s="4724">
        <f>+F104+H104</f>
        <v>0</v>
      </c>
      <c r="K104" s="4117"/>
      <c r="L104" s="3251">
        <v>0</v>
      </c>
      <c r="M104" s="4118"/>
      <c r="N104" s="650">
        <f>+F104+H104+L104</f>
        <v>0</v>
      </c>
      <c r="O104" s="4117"/>
      <c r="P104" s="3251"/>
      <c r="Q104" s="3248"/>
      <c r="R104" s="649">
        <f>+N104+P104</f>
        <v>0</v>
      </c>
      <c r="S104" s="4117"/>
      <c r="T104" s="3251"/>
      <c r="U104" s="3248"/>
      <c r="V104" s="649">
        <f>+R104+T104</f>
        <v>0</v>
      </c>
      <c r="W104" s="4117"/>
      <c r="X104" s="3251"/>
      <c r="Y104" s="4118"/>
      <c r="Z104" s="650">
        <f>+P104+T104+X104</f>
        <v>0</v>
      </c>
      <c r="AA104" s="1132"/>
      <c r="AB104" s="651">
        <f>+N104+Z104</f>
        <v>0</v>
      </c>
      <c r="AC104" s="4117"/>
      <c r="AD104" s="3251">
        <v>3246</v>
      </c>
      <c r="AE104" s="3248"/>
      <c r="AF104" s="649">
        <f>+AB104+AD104</f>
        <v>3246</v>
      </c>
      <c r="AG104" s="4117"/>
      <c r="AH104" s="3251">
        <v>0</v>
      </c>
      <c r="AI104" s="3248"/>
      <c r="AJ104" s="649">
        <f>+AF104+AH104</f>
        <v>3246</v>
      </c>
      <c r="AK104" s="4117"/>
      <c r="AL104" s="3251">
        <v>3740</v>
      </c>
      <c r="AM104" s="4118"/>
      <c r="AN104" s="650">
        <f>+AD104+AH104+AL104</f>
        <v>6986</v>
      </c>
      <c r="AO104" s="3248"/>
      <c r="AP104" s="649">
        <f>+AL104+AJ104</f>
        <v>6986</v>
      </c>
      <c r="AQ104" s="4117"/>
      <c r="AR104" s="4909">
        <v>765.12000000000012</v>
      </c>
      <c r="AS104" s="4272"/>
      <c r="AT104" s="621">
        <f>+AP104+AR104</f>
        <v>7751.12</v>
      </c>
      <c r="AU104" s="4272"/>
      <c r="AV104" s="4909"/>
      <c r="AW104" s="3248"/>
      <c r="AX104" s="649">
        <f>+AT104+AV104</f>
        <v>7751.12</v>
      </c>
      <c r="AY104" s="4117"/>
      <c r="AZ104" s="3251"/>
      <c r="BA104" s="4118"/>
      <c r="BB104" s="650">
        <f t="shared" si="455"/>
        <v>765.12000000000012</v>
      </c>
      <c r="BC104" s="4119"/>
      <c r="BD104" s="651">
        <f>+AN104+BB104</f>
        <v>7751.12</v>
      </c>
      <c r="BE104" s="3248"/>
      <c r="BF104" s="649">
        <f t="shared" si="456"/>
        <v>7751.12</v>
      </c>
      <c r="BH104" s="26"/>
      <c r="BI104" s="26"/>
      <c r="BJ104" s="26"/>
      <c r="BK104" s="26"/>
    </row>
    <row r="105" spans="1:63" ht="18.75" x14ac:dyDescent="0.3">
      <c r="A105" s="647"/>
      <c r="B105" s="912" t="s">
        <v>925</v>
      </c>
      <c r="C105" s="3249" t="s">
        <v>50</v>
      </c>
      <c r="D105" s="3250"/>
      <c r="E105" s="3250"/>
      <c r="F105" s="3251">
        <v>0</v>
      </c>
      <c r="G105" s="3250"/>
      <c r="H105" s="3251"/>
      <c r="I105" s="2863"/>
      <c r="J105" s="4724">
        <f t="shared" si="443"/>
        <v>0</v>
      </c>
      <c r="K105" s="3250"/>
      <c r="L105" s="3251">
        <v>0</v>
      </c>
      <c r="M105" s="650"/>
      <c r="N105" s="650">
        <f t="shared" si="444"/>
        <v>0</v>
      </c>
      <c r="O105" s="3250"/>
      <c r="P105" s="3251"/>
      <c r="Q105" s="1130"/>
      <c r="R105" s="649">
        <f t="shared" si="445"/>
        <v>0</v>
      </c>
      <c r="S105" s="3250"/>
      <c r="T105" s="3251"/>
      <c r="U105" s="1130"/>
      <c r="V105" s="649">
        <f t="shared" si="446"/>
        <v>0</v>
      </c>
      <c r="W105" s="3250"/>
      <c r="X105" s="3251"/>
      <c r="Y105" s="650"/>
      <c r="Z105" s="650">
        <f t="shared" si="447"/>
        <v>0</v>
      </c>
      <c r="AA105" s="1132"/>
      <c r="AB105" s="651">
        <f t="shared" si="448"/>
        <v>0</v>
      </c>
      <c r="AC105" s="3250"/>
      <c r="AD105" s="3251">
        <v>0</v>
      </c>
      <c r="AE105" s="1130"/>
      <c r="AF105" s="649">
        <f t="shared" si="449"/>
        <v>0</v>
      </c>
      <c r="AG105" s="3250"/>
      <c r="AH105" s="3251">
        <v>82</v>
      </c>
      <c r="AI105" s="1130"/>
      <c r="AJ105" s="649">
        <f t="shared" si="450"/>
        <v>82</v>
      </c>
      <c r="AK105" s="3250"/>
      <c r="AL105" s="3251">
        <v>55.199999999999996</v>
      </c>
      <c r="AM105" s="650"/>
      <c r="AN105" s="650">
        <f t="shared" si="451"/>
        <v>137.19999999999999</v>
      </c>
      <c r="AO105" s="1130"/>
      <c r="AP105" s="649">
        <f t="shared" si="452"/>
        <v>137.19999999999999</v>
      </c>
      <c r="AQ105" s="3250"/>
      <c r="AR105" s="3251">
        <v>0</v>
      </c>
      <c r="AS105" s="1130"/>
      <c r="AT105" s="649">
        <f t="shared" si="453"/>
        <v>137.19999999999999</v>
      </c>
      <c r="AU105" s="3250"/>
      <c r="AV105" s="3251"/>
      <c r="AW105" s="1130"/>
      <c r="AX105" s="649">
        <f t="shared" ref="AX105:AX107" si="457">+AT105+AV105</f>
        <v>137.19999999999999</v>
      </c>
      <c r="AY105" s="3250"/>
      <c r="AZ105" s="3251"/>
      <c r="BA105" s="650"/>
      <c r="BB105" s="650">
        <f t="shared" si="455"/>
        <v>0</v>
      </c>
      <c r="BC105" s="1132"/>
      <c r="BD105" s="651">
        <f t="shared" si="442"/>
        <v>137.19999999999999</v>
      </c>
      <c r="BE105" s="1130"/>
      <c r="BF105" s="649">
        <f t="shared" si="456"/>
        <v>137.19999999999999</v>
      </c>
      <c r="BH105" s="26"/>
      <c r="BI105" s="26"/>
      <c r="BJ105" s="26"/>
      <c r="BK105" s="26"/>
    </row>
    <row r="106" spans="1:63" ht="18.75" x14ac:dyDescent="0.3">
      <c r="A106" s="647"/>
      <c r="B106" s="912" t="s">
        <v>6</v>
      </c>
      <c r="C106" s="3249" t="s">
        <v>50</v>
      </c>
      <c r="D106" s="3250"/>
      <c r="E106" s="3250"/>
      <c r="F106" s="2658">
        <v>329.9</v>
      </c>
      <c r="G106" s="3250"/>
      <c r="H106" s="2658">
        <v>822.79999999999984</v>
      </c>
      <c r="I106" s="3015"/>
      <c r="J106" s="4724">
        <f t="shared" si="443"/>
        <v>1152.6999999999998</v>
      </c>
      <c r="K106" s="3250"/>
      <c r="L106" s="2658">
        <v>1133.6999999999998</v>
      </c>
      <c r="M106" s="650"/>
      <c r="N106" s="650">
        <f t="shared" si="444"/>
        <v>2286.3999999999996</v>
      </c>
      <c r="O106" s="3250"/>
      <c r="P106" s="2658">
        <v>512.09999999999991</v>
      </c>
      <c r="Q106" s="649"/>
      <c r="R106" s="649">
        <f t="shared" si="445"/>
        <v>2798.4999999999995</v>
      </c>
      <c r="S106" s="3250"/>
      <c r="T106" s="2658">
        <v>1048.7999999999997</v>
      </c>
      <c r="U106" s="649"/>
      <c r="V106" s="649">
        <f t="shared" si="446"/>
        <v>3847.2999999999993</v>
      </c>
      <c r="W106" s="3250"/>
      <c r="X106" s="2658">
        <v>490</v>
      </c>
      <c r="Y106" s="650"/>
      <c r="Z106" s="650">
        <f t="shared" si="447"/>
        <v>2050.8999999999996</v>
      </c>
      <c r="AA106" s="651"/>
      <c r="AB106" s="651">
        <f t="shared" si="448"/>
        <v>4337.2999999999993</v>
      </c>
      <c r="AC106" s="3250"/>
      <c r="AD106" s="2658">
        <v>1794.2</v>
      </c>
      <c r="AE106" s="649"/>
      <c r="AF106" s="649">
        <f t="shared" si="449"/>
        <v>6131.4999999999991</v>
      </c>
      <c r="AG106" s="3250"/>
      <c r="AH106" s="2658">
        <v>292.2</v>
      </c>
      <c r="AI106" s="649"/>
      <c r="AJ106" s="649">
        <f t="shared" si="450"/>
        <v>6423.6999999999989</v>
      </c>
      <c r="AK106" s="3250"/>
      <c r="AL106" s="2658">
        <v>1714.3000000000002</v>
      </c>
      <c r="AM106" s="650"/>
      <c r="AN106" s="650">
        <f t="shared" si="451"/>
        <v>3800.7000000000003</v>
      </c>
      <c r="AO106" s="649"/>
      <c r="AP106" s="649">
        <f t="shared" si="452"/>
        <v>8137.9999999999991</v>
      </c>
      <c r="AQ106" s="3250"/>
      <c r="AR106" s="2658">
        <v>393.2</v>
      </c>
      <c r="AS106" s="649"/>
      <c r="AT106" s="649">
        <f t="shared" si="453"/>
        <v>8531.1999999999989</v>
      </c>
      <c r="AU106" s="3250"/>
      <c r="AV106" s="2658">
        <v>345.4</v>
      </c>
      <c r="AW106" s="649"/>
      <c r="AX106" s="649">
        <f t="shared" si="457"/>
        <v>8876.5999999999985</v>
      </c>
      <c r="AY106" s="3250"/>
      <c r="AZ106" s="2658">
        <v>1046.5</v>
      </c>
      <c r="BA106" s="650"/>
      <c r="BB106" s="650">
        <f t="shared" si="455"/>
        <v>1785.1</v>
      </c>
      <c r="BC106" s="651"/>
      <c r="BD106" s="651">
        <f t="shared" si="442"/>
        <v>5585.8</v>
      </c>
      <c r="BE106" s="649"/>
      <c r="BF106" s="649">
        <f t="shared" si="456"/>
        <v>9923.0999999999985</v>
      </c>
      <c r="BH106" s="26"/>
      <c r="BI106" s="26"/>
      <c r="BJ106" s="26"/>
      <c r="BK106" s="26"/>
    </row>
    <row r="107" spans="1:63" ht="19.5" thickBot="1" x14ac:dyDescent="0.3">
      <c r="A107" s="147"/>
      <c r="B107" s="926" t="s">
        <v>1303</v>
      </c>
      <c r="C107" s="3252" t="s">
        <v>50</v>
      </c>
      <c r="D107" s="3253"/>
      <c r="E107" s="3253"/>
      <c r="F107" s="2437">
        <v>66962.899999999994</v>
      </c>
      <c r="G107" s="3253"/>
      <c r="H107" s="2437">
        <v>68866.599999999991</v>
      </c>
      <c r="I107" s="2438"/>
      <c r="J107" s="4724">
        <f t="shared" si="443"/>
        <v>135829.5</v>
      </c>
      <c r="K107" s="3253"/>
      <c r="L107" s="2437">
        <v>63295.700000000004</v>
      </c>
      <c r="M107" s="650"/>
      <c r="N107" s="650">
        <f t="shared" si="444"/>
        <v>199125.2</v>
      </c>
      <c r="O107" s="3253"/>
      <c r="P107" s="2437">
        <v>53775.86</v>
      </c>
      <c r="Q107" s="649"/>
      <c r="R107" s="649">
        <f t="shared" si="445"/>
        <v>252901.06</v>
      </c>
      <c r="S107" s="3253"/>
      <c r="T107" s="2437">
        <v>68209.36</v>
      </c>
      <c r="U107" s="649"/>
      <c r="V107" s="649">
        <f t="shared" si="446"/>
        <v>321110.42</v>
      </c>
      <c r="W107" s="3253"/>
      <c r="X107" s="2437">
        <v>66910.7</v>
      </c>
      <c r="Y107" s="650"/>
      <c r="Z107" s="650">
        <f t="shared" si="447"/>
        <v>188895.91999999998</v>
      </c>
      <c r="AA107" s="651"/>
      <c r="AB107" s="651">
        <f t="shared" si="448"/>
        <v>388021.12</v>
      </c>
      <c r="AC107" s="3253"/>
      <c r="AD107" s="2437">
        <v>55954.612562814073</v>
      </c>
      <c r="AE107" s="649"/>
      <c r="AF107" s="649">
        <f t="shared" si="449"/>
        <v>443975.73256281408</v>
      </c>
      <c r="AG107" s="3253"/>
      <c r="AH107" s="2437">
        <v>3826.5125628140704</v>
      </c>
      <c r="AI107" s="649"/>
      <c r="AJ107" s="649">
        <f t="shared" si="450"/>
        <v>447802.24512562813</v>
      </c>
      <c r="AK107" s="3253"/>
      <c r="AL107" s="2437">
        <v>84637.486999999994</v>
      </c>
      <c r="AM107" s="650"/>
      <c r="AN107" s="650">
        <f t="shared" si="451"/>
        <v>144418.61212562813</v>
      </c>
      <c r="AO107" s="649"/>
      <c r="AP107" s="649">
        <f t="shared" si="452"/>
        <v>532439.73212562816</v>
      </c>
      <c r="AQ107" s="3253"/>
      <c r="AR107" s="2437">
        <v>71609.3</v>
      </c>
      <c r="AS107" s="649"/>
      <c r="AT107" s="649">
        <f t="shared" si="453"/>
        <v>604049.0321256282</v>
      </c>
      <c r="AU107" s="3253"/>
      <c r="AV107" s="2437">
        <v>52850.1</v>
      </c>
      <c r="AW107" s="649"/>
      <c r="AX107" s="649">
        <f t="shared" si="457"/>
        <v>656899.13212562818</v>
      </c>
      <c r="AY107" s="3253"/>
      <c r="AZ107" s="2437">
        <v>37606.199999999997</v>
      </c>
      <c r="BA107" s="650"/>
      <c r="BB107" s="650">
        <f t="shared" si="455"/>
        <v>162065.59999999998</v>
      </c>
      <c r="BC107" s="651"/>
      <c r="BD107" s="651">
        <f t="shared" si="442"/>
        <v>306484.21212562814</v>
      </c>
      <c r="BE107" s="649"/>
      <c r="BF107" s="649">
        <f t="shared" si="456"/>
        <v>694505.33212562813</v>
      </c>
      <c r="BH107" s="26"/>
      <c r="BI107" s="26"/>
      <c r="BJ107" s="26"/>
      <c r="BK107" s="26"/>
    </row>
    <row r="108" spans="1:63" x14ac:dyDescent="0.25">
      <c r="A108" s="147"/>
      <c r="B108" s="93"/>
      <c r="C108" s="347"/>
      <c r="D108" s="347"/>
      <c r="E108" s="347"/>
      <c r="F108" s="347"/>
      <c r="G108" s="347"/>
      <c r="H108" s="347"/>
      <c r="I108" s="347"/>
      <c r="J108" s="347"/>
      <c r="K108" s="347"/>
      <c r="L108" s="347"/>
      <c r="M108" s="347"/>
      <c r="N108" s="347"/>
      <c r="O108" s="347"/>
      <c r="P108" s="347"/>
      <c r="Q108" s="347"/>
      <c r="R108" s="347"/>
      <c r="S108" s="347"/>
      <c r="T108" s="347"/>
      <c r="U108" s="347"/>
      <c r="V108" s="347"/>
      <c r="W108" s="347"/>
      <c r="X108" s="347"/>
      <c r="Y108" s="347"/>
      <c r="Z108" s="347"/>
      <c r="AA108" s="347"/>
      <c r="AB108" s="347"/>
      <c r="AC108" s="347"/>
      <c r="AD108" s="347"/>
      <c r="AE108" s="347"/>
      <c r="AF108" s="347"/>
      <c r="AG108" s="347"/>
      <c r="AH108" s="347"/>
      <c r="AI108" s="347"/>
      <c r="AJ108" s="347"/>
      <c r="AK108" s="347"/>
      <c r="AL108" s="347"/>
      <c r="AM108" s="347"/>
      <c r="AN108" s="347"/>
      <c r="AO108" s="347"/>
      <c r="AP108" s="347"/>
      <c r="AQ108" s="347"/>
      <c r="AR108" s="347"/>
      <c r="AS108" s="347"/>
      <c r="AT108" s="347"/>
      <c r="AU108" s="347"/>
      <c r="AV108" s="347"/>
      <c r="AW108" s="347"/>
      <c r="AX108" s="347"/>
      <c r="AY108" s="347"/>
      <c r="AZ108" s="347"/>
      <c r="BA108" s="347"/>
      <c r="BB108" s="347"/>
      <c r="BC108" s="347"/>
      <c r="BD108" s="347"/>
      <c r="BE108" s="347"/>
      <c r="BF108" s="347"/>
      <c r="BH108" s="26"/>
      <c r="BI108" s="26"/>
      <c r="BJ108" s="26"/>
      <c r="BK108" s="26"/>
    </row>
    <row r="109" spans="1:63" x14ac:dyDescent="0.25">
      <c r="A109" s="147"/>
      <c r="B109" s="233" t="s">
        <v>1334</v>
      </c>
      <c r="C109" s="347" t="s">
        <v>1335</v>
      </c>
      <c r="D109" s="1346">
        <f t="shared" ref="D109:AI109" si="458">+D27+D28+D30</f>
        <v>4829654.6994228186</v>
      </c>
      <c r="E109" s="1346">
        <f t="shared" si="458"/>
        <v>412567.1133066272</v>
      </c>
      <c r="F109" s="1346">
        <f t="shared" si="458"/>
        <v>372355.1</v>
      </c>
      <c r="G109" s="1346">
        <f t="shared" ref="G109:H109" si="459">+G27+G28+G30</f>
        <v>425664.48198302806</v>
      </c>
      <c r="H109" s="1346">
        <f t="shared" si="459"/>
        <v>421502.69999999995</v>
      </c>
      <c r="I109" s="1346">
        <f t="shared" si="458"/>
        <v>838231.59528965526</v>
      </c>
      <c r="J109" s="1346">
        <f t="shared" si="458"/>
        <v>793857.79999999993</v>
      </c>
      <c r="K109" s="1346">
        <f t="shared" si="458"/>
        <v>412567.1133066272</v>
      </c>
      <c r="L109" s="1346">
        <f t="shared" si="458"/>
        <v>430117</v>
      </c>
      <c r="M109" s="1346">
        <f t="shared" si="458"/>
        <v>1250798.7085962824</v>
      </c>
      <c r="N109" s="1346">
        <f t="shared" si="458"/>
        <v>1223974.7999999998</v>
      </c>
      <c r="O109" s="1346">
        <f t="shared" ref="O109:P109" si="460">+O27+O28+O30</f>
        <v>417478.62656027748</v>
      </c>
      <c r="P109" s="1346">
        <f t="shared" si="460"/>
        <v>440494.79999999993</v>
      </c>
      <c r="Q109" s="1346">
        <f t="shared" si="458"/>
        <v>1668277.3351565597</v>
      </c>
      <c r="R109" s="1346">
        <f t="shared" si="458"/>
        <v>1664469.6</v>
      </c>
      <c r="S109" s="1346">
        <f t="shared" si="458"/>
        <v>417478.62656027748</v>
      </c>
      <c r="T109" s="1346">
        <f t="shared" si="458"/>
        <v>415640.76</v>
      </c>
      <c r="U109" s="1346">
        <f t="shared" si="458"/>
        <v>2085755.961716837</v>
      </c>
      <c r="V109" s="1346">
        <f t="shared" si="458"/>
        <v>2080110.3599999999</v>
      </c>
      <c r="W109" s="1346">
        <f t="shared" ref="W109:X109" si="461">+W27+W28+W30</f>
        <v>229203.95183701508</v>
      </c>
      <c r="X109" s="1346">
        <f t="shared" si="461"/>
        <v>399578.6</v>
      </c>
      <c r="Y109" s="1346">
        <f t="shared" si="458"/>
        <v>1064161.2049575702</v>
      </c>
      <c r="Z109" s="1346">
        <f t="shared" si="458"/>
        <v>1255714.1599999999</v>
      </c>
      <c r="AA109" s="1346">
        <f t="shared" si="458"/>
        <v>2314959.9135538526</v>
      </c>
      <c r="AB109" s="1346">
        <f t="shared" si="458"/>
        <v>2479688.96</v>
      </c>
      <c r="AC109" s="1346">
        <f t="shared" si="458"/>
        <v>409292.77113752696</v>
      </c>
      <c r="AD109" s="1346">
        <f t="shared" si="458"/>
        <v>388098.90995</v>
      </c>
      <c r="AE109" s="1346">
        <f t="shared" si="458"/>
        <v>2724252.6846913793</v>
      </c>
      <c r="AF109" s="1346">
        <f t="shared" si="458"/>
        <v>2867787.8699499997</v>
      </c>
      <c r="AG109" s="1346">
        <f t="shared" si="458"/>
        <v>396195.4024611261</v>
      </c>
      <c r="AH109" s="1346">
        <f t="shared" si="458"/>
        <v>12300.734400000001</v>
      </c>
      <c r="AI109" s="1346">
        <f t="shared" si="458"/>
        <v>3120448.0871525058</v>
      </c>
      <c r="AJ109" s="1346">
        <f t="shared" ref="AJ109:BF109" si="462">+AJ27+AJ28+AJ30</f>
        <v>2880088.6043499997</v>
      </c>
      <c r="AK109" s="1346">
        <f t="shared" si="462"/>
        <v>409292.77113752696</v>
      </c>
      <c r="AL109" s="1346">
        <f t="shared" si="462"/>
        <v>425342.93799999997</v>
      </c>
      <c r="AM109" s="1346">
        <f t="shared" si="462"/>
        <v>1214780.9447361801</v>
      </c>
      <c r="AN109" s="1346">
        <f t="shared" si="462"/>
        <v>825742.58234999992</v>
      </c>
      <c r="AO109" s="1346">
        <f t="shared" si="462"/>
        <v>3529740.8582900329</v>
      </c>
      <c r="AP109" s="1346">
        <f t="shared" si="462"/>
        <v>3305431.5423499998</v>
      </c>
      <c r="AQ109" s="1346">
        <f t="shared" ref="AQ109:AR109" si="463">+AQ27+AQ28+AQ30</f>
        <v>409292.77113752696</v>
      </c>
      <c r="AR109" s="1346">
        <f t="shared" si="463"/>
        <v>428385.886</v>
      </c>
      <c r="AS109" s="1346">
        <f t="shared" si="462"/>
        <v>3939033.6294275597</v>
      </c>
      <c r="AT109" s="1346">
        <f t="shared" si="462"/>
        <v>3733817.4283499997</v>
      </c>
      <c r="AU109" s="1346">
        <f t="shared" si="462"/>
        <v>368363.49402377428</v>
      </c>
      <c r="AV109" s="1346">
        <f t="shared" si="462"/>
        <v>393037.16000000003</v>
      </c>
      <c r="AW109" s="1346">
        <f t="shared" ref="AW109:AZ109" si="464">+AW27+AW28+AW30</f>
        <v>4307397.1234513344</v>
      </c>
      <c r="AX109" s="1346">
        <f t="shared" si="464"/>
        <v>4126854.5883499994</v>
      </c>
      <c r="AY109" s="1346">
        <f t="shared" si="464"/>
        <v>409292.77113752696</v>
      </c>
      <c r="AZ109" s="1346">
        <f t="shared" si="464"/>
        <v>441042.7</v>
      </c>
      <c r="BA109" s="1346">
        <f t="shared" si="462"/>
        <v>1186949.0362988282</v>
      </c>
      <c r="BB109" s="1346">
        <f t="shared" si="462"/>
        <v>1262465.7459999998</v>
      </c>
      <c r="BC109" s="1346">
        <f t="shared" si="462"/>
        <v>2401729.9810350081</v>
      </c>
      <c r="BD109" s="1346">
        <f t="shared" si="462"/>
        <v>2088208.3283499999</v>
      </c>
      <c r="BE109" s="1346">
        <f t="shared" si="462"/>
        <v>4716689.8945888616</v>
      </c>
      <c r="BF109" s="1346">
        <f t="shared" si="462"/>
        <v>4567897.28835</v>
      </c>
      <c r="BH109" s="26"/>
      <c r="BI109" s="26"/>
      <c r="BJ109" s="26"/>
      <c r="BK109" s="26"/>
    </row>
    <row r="110" spans="1:63" x14ac:dyDescent="0.25">
      <c r="A110" s="147"/>
      <c r="B110" s="93"/>
      <c r="C110" s="347" t="s">
        <v>1336</v>
      </c>
      <c r="D110" s="1655">
        <f t="shared" ref="D110:AI110" si="465">+D27*100/D109</f>
        <v>70.000000000000014</v>
      </c>
      <c r="E110" s="1655">
        <f t="shared" si="465"/>
        <v>70</v>
      </c>
      <c r="F110" s="1655">
        <f t="shared" si="465"/>
        <v>67.728144451358403</v>
      </c>
      <c r="G110" s="1655">
        <f t="shared" ref="G110:H110" si="466">+G27*100/G109</f>
        <v>70</v>
      </c>
      <c r="H110" s="1655">
        <f t="shared" si="466"/>
        <v>68.465990846559237</v>
      </c>
      <c r="I110" s="1655">
        <f t="shared" si="465"/>
        <v>70</v>
      </c>
      <c r="J110" s="1655">
        <f t="shared" si="465"/>
        <v>68.119907620735091</v>
      </c>
      <c r="K110" s="1655">
        <f t="shared" si="465"/>
        <v>70</v>
      </c>
      <c r="L110" s="1655">
        <f t="shared" si="465"/>
        <v>71.047645175615003</v>
      </c>
      <c r="M110" s="1655">
        <f t="shared" si="465"/>
        <v>70</v>
      </c>
      <c r="N110" s="1655">
        <f t="shared" si="465"/>
        <v>69.148743912047877</v>
      </c>
      <c r="O110" s="1655">
        <f t="shared" ref="O110:P110" si="467">+O27*100/O109</f>
        <v>70.000000000000014</v>
      </c>
      <c r="P110" s="1655">
        <f t="shared" si="467"/>
        <v>71.384631555241967</v>
      </c>
      <c r="Q110" s="1655">
        <f t="shared" si="465"/>
        <v>70.000000000000014</v>
      </c>
      <c r="R110" s="1655">
        <f t="shared" si="465"/>
        <v>69.740462066714827</v>
      </c>
      <c r="S110" s="1655">
        <f t="shared" si="465"/>
        <v>70.000000000000014</v>
      </c>
      <c r="T110" s="1655">
        <f t="shared" si="465"/>
        <v>71.877454944505445</v>
      </c>
      <c r="U110" s="1655">
        <f t="shared" si="465"/>
        <v>70</v>
      </c>
      <c r="V110" s="1655">
        <f t="shared" si="465"/>
        <v>70.167468902948016</v>
      </c>
      <c r="W110" s="1655">
        <f t="shared" ref="W110:X110" si="468">+W27*100/W109</f>
        <v>70</v>
      </c>
      <c r="X110" s="1655">
        <f t="shared" si="468"/>
        <v>72.26190291472065</v>
      </c>
      <c r="Y110" s="1655">
        <f t="shared" si="465"/>
        <v>70</v>
      </c>
      <c r="Z110" s="1655">
        <f t="shared" si="465"/>
        <v>71.826910831363094</v>
      </c>
      <c r="AA110" s="1655">
        <f t="shared" si="465"/>
        <v>70</v>
      </c>
      <c r="AB110" s="1655">
        <f t="shared" si="465"/>
        <v>70.504967284283907</v>
      </c>
      <c r="AC110" s="1655">
        <f t="shared" si="465"/>
        <v>70</v>
      </c>
      <c r="AD110" s="1655">
        <f t="shared" si="465"/>
        <v>75.456460322892482</v>
      </c>
      <c r="AE110" s="1655">
        <f t="shared" si="465"/>
        <v>70.000000000000014</v>
      </c>
      <c r="AF110" s="1655">
        <f t="shared" si="465"/>
        <v>71.175054870274892</v>
      </c>
      <c r="AG110" s="1655">
        <f t="shared" si="465"/>
        <v>70</v>
      </c>
      <c r="AH110" s="1655">
        <f t="shared" si="465"/>
        <v>65.313173496372698</v>
      </c>
      <c r="AI110" s="1655">
        <f t="shared" si="465"/>
        <v>70.000000000000014</v>
      </c>
      <c r="AJ110" s="1655">
        <f t="shared" ref="AJ110:BF110" si="469">+AJ27*100/AJ109</f>
        <v>71.150019027365147</v>
      </c>
      <c r="AK110" s="1655">
        <f t="shared" si="469"/>
        <v>70</v>
      </c>
      <c r="AL110" s="1655">
        <f t="shared" si="469"/>
        <v>68.301122234689601</v>
      </c>
      <c r="AM110" s="1655">
        <f t="shared" si="469"/>
        <v>70</v>
      </c>
      <c r="AN110" s="1655">
        <f t="shared" si="469"/>
        <v>71.619620041507233</v>
      </c>
      <c r="AO110" s="1655">
        <f t="shared" si="469"/>
        <v>70</v>
      </c>
      <c r="AP110" s="1655">
        <f t="shared" si="469"/>
        <v>70.783422981938074</v>
      </c>
      <c r="AQ110" s="1655">
        <f t="shared" ref="AQ110:AR110" si="470">+AQ27*100/AQ109</f>
        <v>70</v>
      </c>
      <c r="AR110" s="1655">
        <f t="shared" si="470"/>
        <v>67.761756277843389</v>
      </c>
      <c r="AS110" s="1655">
        <f t="shared" si="469"/>
        <v>70</v>
      </c>
      <c r="AT110" s="1655">
        <f t="shared" si="469"/>
        <v>70.436743104555219</v>
      </c>
      <c r="AU110" s="1655">
        <f t="shared" si="469"/>
        <v>70</v>
      </c>
      <c r="AV110" s="1655">
        <f t="shared" si="469"/>
        <v>69.713499863473473</v>
      </c>
      <c r="AW110" s="1655">
        <f t="shared" ref="AW110:AZ110" si="471">+AW27*100/AW109</f>
        <v>70.000000000000014</v>
      </c>
      <c r="AX110" s="1655">
        <f t="shared" si="471"/>
        <v>70.367862201829354</v>
      </c>
      <c r="AY110" s="1655">
        <f t="shared" si="471"/>
        <v>70</v>
      </c>
      <c r="AZ110" s="1655">
        <f t="shared" si="471"/>
        <v>71.926187645776693</v>
      </c>
      <c r="BA110" s="1655">
        <f t="shared" si="469"/>
        <v>70</v>
      </c>
      <c r="BB110" s="1655">
        <f t="shared" si="469"/>
        <v>69.824227928002742</v>
      </c>
      <c r="BC110" s="1655">
        <f t="shared" si="469"/>
        <v>70.000000000000014</v>
      </c>
      <c r="BD110" s="1655">
        <f t="shared" si="469"/>
        <v>70.534181863157983</v>
      </c>
      <c r="BE110" s="1655">
        <f t="shared" si="469"/>
        <v>70.000000000000014</v>
      </c>
      <c r="BF110" s="1655">
        <f t="shared" si="469"/>
        <v>70.518322691173125</v>
      </c>
      <c r="BH110" s="26"/>
      <c r="BI110" s="26"/>
    </row>
    <row r="111" spans="1:63" x14ac:dyDescent="0.25">
      <c r="A111" s="147"/>
      <c r="B111" s="93"/>
      <c r="C111" s="347" t="s">
        <v>1337</v>
      </c>
      <c r="D111" s="1346">
        <f t="shared" ref="D111:AI111" si="472">+D28*100/D109</f>
        <v>12.999999999999995</v>
      </c>
      <c r="E111" s="1346">
        <f t="shared" si="472"/>
        <v>12.999999999999995</v>
      </c>
      <c r="F111" s="1346">
        <f t="shared" si="472"/>
        <v>14.288242594233301</v>
      </c>
      <c r="G111" s="1346">
        <f t="shared" ref="G111:H111" si="473">+G28*100/G109</f>
        <v>12.999999999999996</v>
      </c>
      <c r="H111" s="1346">
        <f t="shared" si="473"/>
        <v>15.195655923437736</v>
      </c>
      <c r="I111" s="1346">
        <f t="shared" si="472"/>
        <v>12.999999999999996</v>
      </c>
      <c r="J111" s="1346">
        <f t="shared" si="472"/>
        <v>14.770038160486676</v>
      </c>
      <c r="K111" s="1346">
        <f t="shared" si="472"/>
        <v>12.999999999999995</v>
      </c>
      <c r="L111" s="1346">
        <f t="shared" si="472"/>
        <v>14.236428692658045</v>
      </c>
      <c r="M111" s="1346">
        <f t="shared" si="472"/>
        <v>12.999999999999996</v>
      </c>
      <c r="N111" s="1346">
        <f t="shared" si="472"/>
        <v>14.582522450625616</v>
      </c>
      <c r="O111" s="1346">
        <f t="shared" ref="O111:P111" si="474">+O28*100/O109</f>
        <v>12.999999999999996</v>
      </c>
      <c r="P111" s="1346">
        <f t="shared" si="474"/>
        <v>16.407310597083097</v>
      </c>
      <c r="Q111" s="1346">
        <f t="shared" si="472"/>
        <v>12.999999999999998</v>
      </c>
      <c r="R111" s="1346">
        <f t="shared" si="472"/>
        <v>15.065444872048124</v>
      </c>
      <c r="S111" s="1346">
        <f t="shared" si="472"/>
        <v>12.999999999999996</v>
      </c>
      <c r="T111" s="1346">
        <f t="shared" si="472"/>
        <v>11.711892741222009</v>
      </c>
      <c r="U111" s="1346">
        <f t="shared" si="472"/>
        <v>12.999999999999998</v>
      </c>
      <c r="V111" s="1346">
        <f t="shared" si="472"/>
        <v>14.395349196760884</v>
      </c>
      <c r="W111" s="1346">
        <f t="shared" ref="W111:X111" si="475">+W28*100/W109</f>
        <v>12.999999999999998</v>
      </c>
      <c r="X111" s="1346">
        <f t="shared" si="475"/>
        <v>10.992780894672538</v>
      </c>
      <c r="Y111" s="1346">
        <f t="shared" si="472"/>
        <v>12.999999999999995</v>
      </c>
      <c r="Z111" s="1346">
        <f t="shared" si="472"/>
        <v>13.130181633055725</v>
      </c>
      <c r="AA111" s="1346">
        <f t="shared" si="472"/>
        <v>12.999999999999995</v>
      </c>
      <c r="AB111" s="1346">
        <f t="shared" si="472"/>
        <v>13.847057253503275</v>
      </c>
      <c r="AC111" s="1346">
        <f t="shared" si="472"/>
        <v>12.999999999999998</v>
      </c>
      <c r="AD111" s="1346">
        <f t="shared" si="472"/>
        <v>10.198011237676241</v>
      </c>
      <c r="AE111" s="1346">
        <f t="shared" si="472"/>
        <v>12.999999999999996</v>
      </c>
      <c r="AF111" s="1346">
        <f t="shared" si="472"/>
        <v>13.353230357888242</v>
      </c>
      <c r="AG111" s="1346">
        <f t="shared" si="472"/>
        <v>12.999999999999995</v>
      </c>
      <c r="AH111" s="1346">
        <f t="shared" si="472"/>
        <v>3.7343656489323109</v>
      </c>
      <c r="AI111" s="1346">
        <f t="shared" si="472"/>
        <v>12.999999999999995</v>
      </c>
      <c r="AJ111" s="1346">
        <f t="shared" ref="AJ111:BF111" si="476">+AJ28*100/AJ109</f>
        <v>13.312148600946564</v>
      </c>
      <c r="AK111" s="1346">
        <f t="shared" si="476"/>
        <v>12.999999999999998</v>
      </c>
      <c r="AL111" s="1346">
        <f t="shared" si="476"/>
        <v>11.800231417031309</v>
      </c>
      <c r="AM111" s="1346">
        <f t="shared" si="476"/>
        <v>12.999999999999995</v>
      </c>
      <c r="AN111" s="1346">
        <f t="shared" si="476"/>
        <v>10.927034378342789</v>
      </c>
      <c r="AO111" s="1346">
        <f t="shared" si="476"/>
        <v>12.999999999999995</v>
      </c>
      <c r="AP111" s="1655">
        <f t="shared" si="476"/>
        <v>13.117595094458876</v>
      </c>
      <c r="AQ111" s="1346">
        <f t="shared" ref="AQ111:AR111" si="477">+AQ28*100/AQ109</f>
        <v>12.999999999999998</v>
      </c>
      <c r="AR111" s="1346">
        <f t="shared" si="477"/>
        <v>15.522170121169678</v>
      </c>
      <c r="AS111" s="1346">
        <f t="shared" si="476"/>
        <v>12.999999999999996</v>
      </c>
      <c r="AT111" s="1655">
        <f t="shared" si="476"/>
        <v>13.393475215283686</v>
      </c>
      <c r="AU111" s="1346">
        <f t="shared" si="476"/>
        <v>12.999999999999996</v>
      </c>
      <c r="AV111" s="1346">
        <f t="shared" si="476"/>
        <v>16.839908979598775</v>
      </c>
      <c r="AW111" s="1346">
        <f t="shared" ref="AW111:AZ111" si="478">+AW28*100/AW109</f>
        <v>12.999999999999993</v>
      </c>
      <c r="AX111" s="1655">
        <f t="shared" si="478"/>
        <v>13.721709833163958</v>
      </c>
      <c r="AY111" s="1346">
        <f t="shared" si="478"/>
        <v>12.999999999999998</v>
      </c>
      <c r="AZ111" s="1346">
        <f t="shared" si="478"/>
        <v>19.547154958012001</v>
      </c>
      <c r="BA111" s="1346">
        <f t="shared" si="476"/>
        <v>12.999999999999996</v>
      </c>
      <c r="BB111" s="1346">
        <f t="shared" si="476"/>
        <v>17.338544565945003</v>
      </c>
      <c r="BC111" s="1346">
        <f t="shared" si="476"/>
        <v>12.999999999999996</v>
      </c>
      <c r="BD111" s="1346">
        <f t="shared" si="476"/>
        <v>14.803233837030684</v>
      </c>
      <c r="BE111" s="1346">
        <f t="shared" si="476"/>
        <v>12.999999999999995</v>
      </c>
      <c r="BF111" s="1655">
        <f t="shared" si="476"/>
        <v>14.284172140080864</v>
      </c>
      <c r="BH111" s="26"/>
      <c r="BI111" s="26"/>
    </row>
    <row r="112" spans="1:63" x14ac:dyDescent="0.25">
      <c r="A112" s="147"/>
      <c r="B112" s="93"/>
      <c r="C112" s="347" t="s">
        <v>1338</v>
      </c>
      <c r="D112" s="1655">
        <f t="shared" ref="D112" si="479">100-D110-D111</f>
        <v>16.999999999999993</v>
      </c>
      <c r="E112" s="1655">
        <f t="shared" ref="E112" si="480">100-E110-E111</f>
        <v>17.000000000000007</v>
      </c>
      <c r="F112" s="1655">
        <f>100-F110-F111</f>
        <v>17.983612954408294</v>
      </c>
      <c r="G112" s="1655">
        <f t="shared" ref="G112" si="481">100-G110-G111</f>
        <v>17.000000000000004</v>
      </c>
      <c r="H112" s="1655">
        <f>100-H110-H111</f>
        <v>16.33835323000303</v>
      </c>
      <c r="I112" s="1655">
        <f t="shared" ref="I112:S112" si="482">100-I110-I111</f>
        <v>17.000000000000004</v>
      </c>
      <c r="J112" s="1655">
        <f t="shared" si="482"/>
        <v>17.110054218778231</v>
      </c>
      <c r="K112" s="1655">
        <f t="shared" si="482"/>
        <v>17.000000000000007</v>
      </c>
      <c r="L112" s="1655">
        <f>100-L110-L111</f>
        <v>14.715926131726953</v>
      </c>
      <c r="M112" s="1655">
        <f t="shared" si="482"/>
        <v>17.000000000000004</v>
      </c>
      <c r="N112" s="1655">
        <f t="shared" si="482"/>
        <v>16.268733637326505</v>
      </c>
      <c r="O112" s="1655">
        <f t="shared" ref="O112" si="483">100-O110-O111</f>
        <v>16.999999999999989</v>
      </c>
      <c r="P112" s="1655">
        <f>100-P110-P111</f>
        <v>12.208057847674937</v>
      </c>
      <c r="Q112" s="1655">
        <f t="shared" si="482"/>
        <v>16.999999999999986</v>
      </c>
      <c r="R112" s="1655">
        <f t="shared" si="482"/>
        <v>15.19409306123705</v>
      </c>
      <c r="S112" s="1655">
        <f t="shared" si="482"/>
        <v>16.999999999999989</v>
      </c>
      <c r="T112" s="1655">
        <f>100-T110-T111</f>
        <v>16.410652314272546</v>
      </c>
      <c r="U112" s="1655">
        <f t="shared" ref="U112:W112" si="484">100-U110-U111</f>
        <v>17</v>
      </c>
      <c r="V112" s="1655">
        <f t="shared" si="484"/>
        <v>15.437181900291099</v>
      </c>
      <c r="W112" s="1655">
        <f t="shared" si="484"/>
        <v>17</v>
      </c>
      <c r="X112" s="1655">
        <f>100-X110-X111</f>
        <v>16.745316190606811</v>
      </c>
      <c r="Y112" s="1655">
        <f t="shared" ref="Y112:Z112" si="485">100-Y110-Y111</f>
        <v>17.000000000000007</v>
      </c>
      <c r="Z112" s="1655">
        <f t="shared" si="485"/>
        <v>15.042907535581181</v>
      </c>
      <c r="AA112" s="1655">
        <f t="shared" ref="AA112:AF112" si="486">100-AA110-AA111</f>
        <v>17.000000000000007</v>
      </c>
      <c r="AB112" s="1655">
        <f t="shared" si="486"/>
        <v>15.647975462212818</v>
      </c>
      <c r="AC112" s="1655">
        <f t="shared" si="486"/>
        <v>17</v>
      </c>
      <c r="AD112" s="1655">
        <f>100-AD110-AD111</f>
        <v>14.345528439431277</v>
      </c>
      <c r="AE112" s="1655">
        <f t="shared" si="486"/>
        <v>16.999999999999989</v>
      </c>
      <c r="AF112" s="1655">
        <f t="shared" si="486"/>
        <v>15.471714771836867</v>
      </c>
      <c r="AG112" s="1655">
        <f t="shared" ref="AG112" si="487">100-AG110-AG111</f>
        <v>17.000000000000007</v>
      </c>
      <c r="AH112" s="1655">
        <f>100-AH110-AH111</f>
        <v>30.952460854694991</v>
      </c>
      <c r="AI112" s="1655">
        <f t="shared" ref="AI112:AK112" si="488">100-AI110-AI111</f>
        <v>16.999999999999993</v>
      </c>
      <c r="AJ112" s="1655">
        <f t="shared" si="488"/>
        <v>15.537832371688289</v>
      </c>
      <c r="AK112" s="1655">
        <f t="shared" si="488"/>
        <v>17</v>
      </c>
      <c r="AL112" s="1655">
        <f>100-AL110-AL111</f>
        <v>19.89864634827909</v>
      </c>
      <c r="AM112" s="1655">
        <f t="shared" ref="AM112:AT112" si="489">100-AM110-AM111</f>
        <v>17.000000000000007</v>
      </c>
      <c r="AN112" s="1655">
        <f t="shared" si="489"/>
        <v>17.453345580149978</v>
      </c>
      <c r="AO112" s="1655">
        <f t="shared" si="489"/>
        <v>17.000000000000007</v>
      </c>
      <c r="AP112" s="1655">
        <f t="shared" si="489"/>
        <v>16.098981923603048</v>
      </c>
      <c r="AQ112" s="1655">
        <f t="shared" si="489"/>
        <v>17</v>
      </c>
      <c r="AR112" s="1655">
        <f>100-AR110-AR111</f>
        <v>16.716073600986931</v>
      </c>
      <c r="AS112" s="1655">
        <f t="shared" si="489"/>
        <v>17.000000000000004</v>
      </c>
      <c r="AT112" s="1655">
        <f t="shared" si="489"/>
        <v>16.169781680161094</v>
      </c>
      <c r="AU112" s="1655">
        <f t="shared" ref="AU112" si="490">100-AU110-AU111</f>
        <v>17.000000000000004</v>
      </c>
      <c r="AV112" s="1655">
        <f>100-AV110-AV111</f>
        <v>13.446591156927752</v>
      </c>
      <c r="AW112" s="1655">
        <f t="shared" ref="AW112:AY112" si="491">100-AW110-AW111</f>
        <v>16.999999999999993</v>
      </c>
      <c r="AX112" s="1655">
        <f t="shared" si="491"/>
        <v>15.910427965006688</v>
      </c>
      <c r="AY112" s="1655">
        <f t="shared" si="491"/>
        <v>17</v>
      </c>
      <c r="AZ112" s="1655">
        <f>100-AZ110-AZ111</f>
        <v>8.5266573962113057</v>
      </c>
      <c r="BA112" s="1655">
        <f t="shared" ref="BA112:BD112" si="492">100-BA110-BA111</f>
        <v>17.000000000000004</v>
      </c>
      <c r="BB112" s="1655">
        <f t="shared" si="492"/>
        <v>12.837227506052255</v>
      </c>
      <c r="BC112" s="1655">
        <f t="shared" si="492"/>
        <v>16.999999999999989</v>
      </c>
      <c r="BD112" s="1655">
        <f t="shared" si="492"/>
        <v>14.662584299811334</v>
      </c>
      <c r="BE112" s="1655">
        <f t="shared" ref="BE112:BF112" si="493">100-BE110-BE111</f>
        <v>16.999999999999993</v>
      </c>
      <c r="BF112" s="1655">
        <f t="shared" si="493"/>
        <v>15.197505168746011</v>
      </c>
      <c r="BH112" s="26"/>
      <c r="BI112" s="26"/>
    </row>
    <row r="113" spans="14:61" x14ac:dyDescent="0.25">
      <c r="BH113" s="26"/>
      <c r="BI113" s="26"/>
    </row>
    <row r="114" spans="14:61" x14ac:dyDescent="0.25">
      <c r="AD114" s="26"/>
      <c r="AH114" s="26"/>
      <c r="AL114" s="26"/>
    </row>
    <row r="117" spans="14:61" x14ac:dyDescent="0.25">
      <c r="N117" s="3982"/>
    </row>
  </sheetData>
  <mergeCells count="30"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</mergeCells>
  <printOptions horizontalCentered="1" verticalCentered="1"/>
  <pageMargins left="0" right="0" top="0" bottom="0" header="0" footer="0"/>
  <pageSetup scale="3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2" tint="-0.499984740745262"/>
    <pageSetUpPr fitToPage="1"/>
  </sheetPr>
  <dimension ref="A1:BN505"/>
  <sheetViews>
    <sheetView zoomScale="96" zoomScaleNormal="96" workbookViewId="0">
      <pane xSplit="4" topLeftCell="P1" activePane="topRight" state="frozen"/>
      <selection pane="topRight" activeCell="BI98" sqref="BI98"/>
    </sheetView>
  </sheetViews>
  <sheetFormatPr defaultColWidth="9.140625" defaultRowHeight="21" customHeight="1" x14ac:dyDescent="0.25"/>
  <cols>
    <col min="1" max="1" width="2.7109375" style="4" customWidth="1"/>
    <col min="2" max="2" width="57.85546875" style="4" bestFit="1" customWidth="1"/>
    <col min="3" max="3" width="12.7109375" style="4" bestFit="1" customWidth="1"/>
    <col min="4" max="4" width="13.7109375" style="3388" bestFit="1" customWidth="1"/>
    <col min="5" max="5" width="9.42578125" style="112" bestFit="1" customWidth="1"/>
    <col min="6" max="6" width="22.85546875" style="45" bestFit="1" customWidth="1"/>
    <col min="7" max="7" width="9.42578125" style="112" customWidth="1"/>
    <col min="8" max="8" width="22.85546875" style="45" customWidth="1"/>
    <col min="9" max="9" width="9.42578125" style="112" hidden="1" customWidth="1"/>
    <col min="10" max="10" width="23.85546875" style="45" hidden="1" customWidth="1"/>
    <col min="11" max="11" width="9.42578125" style="3389" customWidth="1"/>
    <col min="12" max="12" width="23.85546875" style="4" customWidth="1"/>
    <col min="13" max="13" width="9.42578125" style="112" customWidth="1"/>
    <col min="14" max="14" width="20.42578125" style="4" customWidth="1"/>
    <col min="15" max="15" width="9.42578125" style="3389" bestFit="1" customWidth="1"/>
    <col min="16" max="16" width="20.7109375" style="4" customWidth="1"/>
    <col min="17" max="17" width="9.42578125" style="112" hidden="1" customWidth="1"/>
    <col min="18" max="18" width="17.28515625" style="4" hidden="1" customWidth="1"/>
    <col min="19" max="19" width="14.85546875" style="4" customWidth="1"/>
    <col min="20" max="20" width="18" style="4" customWidth="1"/>
    <col min="21" max="21" width="10.42578125" style="4" hidden="1" customWidth="1"/>
    <col min="22" max="22" width="17.7109375" style="4" hidden="1" customWidth="1"/>
    <col min="23" max="23" width="9.42578125" style="45" customWidth="1"/>
    <col min="24" max="24" width="18.140625" style="4" customWidth="1"/>
    <col min="25" max="25" width="12.140625" style="4" customWidth="1"/>
    <col min="26" max="26" width="18.140625" style="4" customWidth="1"/>
    <col min="27" max="27" width="10.42578125" style="4" customWidth="1"/>
    <col min="28" max="28" width="18.140625" style="4" customWidth="1"/>
    <col min="29" max="29" width="9.42578125" style="4" hidden="1" customWidth="1"/>
    <col min="30" max="30" width="18.140625" style="4" hidden="1" customWidth="1"/>
    <col min="31" max="31" width="10.42578125" style="4" hidden="1" customWidth="1"/>
    <col min="32" max="32" width="14.7109375" style="4" hidden="1" customWidth="1"/>
    <col min="33" max="33" width="9.42578125" style="4" hidden="1" customWidth="1"/>
    <col min="34" max="34" width="18.140625" style="4" hidden="1" customWidth="1"/>
    <col min="35" max="35" width="10.42578125" style="4" hidden="1" customWidth="1"/>
    <col min="36" max="36" width="18.140625" style="4" hidden="1" customWidth="1"/>
    <col min="37" max="37" width="9.42578125" style="4" hidden="1" customWidth="1"/>
    <col min="38" max="38" width="18.140625" style="4" hidden="1" customWidth="1"/>
    <col min="39" max="39" width="9.42578125" style="4" hidden="1" customWidth="1"/>
    <col min="40" max="40" width="19.28515625" style="4" hidden="1" customWidth="1"/>
    <col min="41" max="41" width="10.42578125" style="4" hidden="1" customWidth="1"/>
    <col min="42" max="44" width="18.140625" style="4" hidden="1" customWidth="1"/>
    <col min="45" max="45" width="17.5703125" style="4" hidden="1" customWidth="1"/>
    <col min="46" max="53" width="17.85546875" style="4" hidden="1" customWidth="1"/>
    <col min="54" max="54" width="18.5703125" style="4" hidden="1" customWidth="1"/>
    <col min="55" max="55" width="10.42578125" style="4" hidden="1" customWidth="1"/>
    <col min="56" max="56" width="18.5703125" style="4" hidden="1" customWidth="1"/>
    <col min="57" max="57" width="10.42578125" style="4" hidden="1" customWidth="1"/>
    <col min="58" max="58" width="18.5703125" style="4" hidden="1" customWidth="1"/>
    <col min="59" max="59" width="17.85546875" style="3763" hidden="1" customWidth="1"/>
    <col min="60" max="60" width="11" style="4" bestFit="1" customWidth="1"/>
    <col min="61" max="61" width="10.140625" style="4" bestFit="1" customWidth="1"/>
    <col min="62" max="62" width="9.7109375" style="4" bestFit="1" customWidth="1"/>
    <col min="63" max="16384" width="9.140625" style="4"/>
  </cols>
  <sheetData>
    <row r="1" spans="1:66" ht="13.9" x14ac:dyDescent="0.25">
      <c r="B1" s="3390" t="s">
        <v>263</v>
      </c>
      <c r="C1" s="3391" t="s">
        <v>582</v>
      </c>
      <c r="D1" s="3391"/>
      <c r="E1" s="641"/>
      <c r="F1" s="202"/>
      <c r="G1" s="202"/>
      <c r="H1" s="202"/>
      <c r="I1" s="202"/>
      <c r="J1" s="202"/>
      <c r="K1" s="641"/>
      <c r="L1" s="202"/>
      <c r="M1" s="202"/>
      <c r="N1" s="202"/>
      <c r="O1" s="641"/>
      <c r="P1" s="45"/>
      <c r="Q1" s="202"/>
      <c r="R1" s="202"/>
      <c r="S1" s="599"/>
      <c r="T1" s="45"/>
      <c r="U1" s="45"/>
      <c r="V1" s="45"/>
      <c r="X1" s="45"/>
      <c r="Y1" s="45"/>
      <c r="Z1" s="45"/>
      <c r="AA1" s="45"/>
      <c r="AB1" s="45"/>
    </row>
    <row r="2" spans="1:66" ht="14.45" thickBot="1" x14ac:dyDescent="0.3">
      <c r="B2" s="45"/>
      <c r="C2" s="45" t="s">
        <v>1871</v>
      </c>
      <c r="D2" s="3392">
        <v>365</v>
      </c>
      <c r="E2" s="202">
        <v>30</v>
      </c>
      <c r="F2" s="202">
        <v>30</v>
      </c>
      <c r="G2" s="202">
        <v>31</v>
      </c>
      <c r="H2" s="202">
        <v>31</v>
      </c>
      <c r="I2" s="202">
        <f>+E2+G2</f>
        <v>61</v>
      </c>
      <c r="J2" s="202">
        <f>+F2+H2</f>
        <v>61</v>
      </c>
      <c r="K2" s="641">
        <v>30</v>
      </c>
      <c r="L2" s="202">
        <v>30</v>
      </c>
      <c r="M2" s="202">
        <f>+I2+K2</f>
        <v>91</v>
      </c>
      <c r="N2" s="202">
        <f>+J2+L2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O2+S2+W2</f>
        <v>92</v>
      </c>
      <c r="Z2" s="202">
        <f>P2+T2+X2</f>
        <v>92</v>
      </c>
      <c r="AA2" s="202">
        <f>+U2+W2</f>
        <v>183</v>
      </c>
      <c r="AB2" s="202">
        <f>+V2+X2</f>
        <v>183</v>
      </c>
      <c r="AC2" s="202">
        <v>31</v>
      </c>
      <c r="AD2" s="202">
        <v>31</v>
      </c>
      <c r="AE2" s="202">
        <f>+AA2+AC2</f>
        <v>214</v>
      </c>
      <c r="AF2" s="202">
        <f>+AB2+AD2</f>
        <v>214</v>
      </c>
      <c r="AG2" s="202">
        <v>30</v>
      </c>
      <c r="AH2" s="202">
        <v>30</v>
      </c>
      <c r="AI2" s="202">
        <f>+AE2+AG2</f>
        <v>244</v>
      </c>
      <c r="AJ2" s="202">
        <f>+AF2+AH2</f>
        <v>244</v>
      </c>
      <c r="AK2" s="202">
        <v>31</v>
      </c>
      <c r="AL2" s="202">
        <v>31</v>
      </c>
      <c r="AM2" s="202">
        <f>AC2+AG2+AK2</f>
        <v>92</v>
      </c>
      <c r="AN2" s="202">
        <f>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+AO2+AQ2</f>
        <v>306</v>
      </c>
      <c r="AT2" s="202">
        <f>+AP2+AR2</f>
        <v>306</v>
      </c>
      <c r="AU2" s="202">
        <v>28</v>
      </c>
      <c r="AV2" s="202">
        <v>28</v>
      </c>
      <c r="AW2" s="202">
        <f>+AS2+AU2</f>
        <v>334</v>
      </c>
      <c r="AX2" s="202">
        <f>+AT2+AV2</f>
        <v>334</v>
      </c>
      <c r="AY2" s="202">
        <v>31</v>
      </c>
      <c r="AZ2" s="202">
        <v>31</v>
      </c>
      <c r="BA2" s="202">
        <f>AQ2+AU2+AY2</f>
        <v>90</v>
      </c>
      <c r="BB2" s="202">
        <f>AR2+AV2+AZ2</f>
        <v>90</v>
      </c>
      <c r="BC2" s="202">
        <f>+AM2+BA2</f>
        <v>182</v>
      </c>
      <c r="BD2" s="202">
        <f>+AN2+BB2</f>
        <v>182</v>
      </c>
      <c r="BE2" s="202">
        <f>+AW2+AY2</f>
        <v>365</v>
      </c>
      <c r="BF2" s="202">
        <f>+AX2+AZ2</f>
        <v>365</v>
      </c>
    </row>
    <row r="3" spans="1:66" ht="15" x14ac:dyDescent="0.25">
      <c r="B3" s="5846" t="s">
        <v>171</v>
      </c>
      <c r="C3" s="6115" t="s">
        <v>172</v>
      </c>
      <c r="D3" s="5699" t="s">
        <v>2191</v>
      </c>
      <c r="E3" s="5725" t="s">
        <v>2190</v>
      </c>
      <c r="F3" s="5725"/>
      <c r="G3" s="5725" t="s">
        <v>2242</v>
      </c>
      <c r="H3" s="5725"/>
      <c r="I3" s="6071" t="s">
        <v>14</v>
      </c>
      <c r="J3" s="6071"/>
      <c r="K3" s="5725" t="s">
        <v>2273</v>
      </c>
      <c r="L3" s="5725"/>
      <c r="M3" s="5726" t="s">
        <v>637</v>
      </c>
      <c r="N3" s="5726"/>
      <c r="O3" s="6076" t="s">
        <v>2297</v>
      </c>
      <c r="P3" s="6076"/>
      <c r="Q3" s="6071" t="s">
        <v>17</v>
      </c>
      <c r="R3" s="6071"/>
      <c r="S3" s="6076" t="s">
        <v>2299</v>
      </c>
      <c r="T3" s="6076"/>
      <c r="U3" s="6071" t="s">
        <v>18</v>
      </c>
      <c r="V3" s="6071"/>
      <c r="W3" s="6076" t="s">
        <v>2344</v>
      </c>
      <c r="X3" s="6076"/>
      <c r="Y3" s="5726" t="s">
        <v>660</v>
      </c>
      <c r="Z3" s="5726"/>
      <c r="AA3" s="5712" t="s">
        <v>657</v>
      </c>
      <c r="AB3" s="5712"/>
      <c r="AC3" s="6076" t="s">
        <v>1954</v>
      </c>
      <c r="AD3" s="6076"/>
      <c r="AE3" s="6071" t="s">
        <v>24</v>
      </c>
      <c r="AF3" s="6071"/>
      <c r="AG3" s="6076" t="s">
        <v>1970</v>
      </c>
      <c r="AH3" s="6076"/>
      <c r="AI3" s="6071" t="s">
        <v>27</v>
      </c>
      <c r="AJ3" s="6071"/>
      <c r="AK3" s="6076" t="s">
        <v>1985</v>
      </c>
      <c r="AL3" s="6076"/>
      <c r="AM3" s="5726" t="s">
        <v>662</v>
      </c>
      <c r="AN3" s="5726"/>
      <c r="AO3" s="6071" t="s">
        <v>1666</v>
      </c>
      <c r="AP3" s="6071"/>
      <c r="AQ3" s="6076" t="s">
        <v>2085</v>
      </c>
      <c r="AR3" s="6076"/>
      <c r="AS3" s="6071" t="s">
        <v>28</v>
      </c>
      <c r="AT3" s="6071"/>
      <c r="AU3" s="6076" t="s">
        <v>2099</v>
      </c>
      <c r="AV3" s="6076"/>
      <c r="AW3" s="6071" t="s">
        <v>30</v>
      </c>
      <c r="AX3" s="6071"/>
      <c r="AY3" s="6076" t="s">
        <v>2111</v>
      </c>
      <c r="AZ3" s="6076"/>
      <c r="BA3" s="5726" t="s">
        <v>663</v>
      </c>
      <c r="BB3" s="5726"/>
      <c r="BC3" s="5712" t="s">
        <v>671</v>
      </c>
      <c r="BD3" s="5712"/>
      <c r="BE3" s="6071" t="s">
        <v>1745</v>
      </c>
      <c r="BF3" s="5702"/>
    </row>
    <row r="4" spans="1:66" ht="15.75" thickBot="1" x14ac:dyDescent="0.3">
      <c r="B4" s="6114"/>
      <c r="C4" s="6116"/>
      <c r="D4" s="6117"/>
      <c r="E4" s="3255" t="s">
        <v>173</v>
      </c>
      <c r="F4" s="3255" t="s">
        <v>174</v>
      </c>
      <c r="G4" s="3255" t="s">
        <v>173</v>
      </c>
      <c r="H4" s="3255" t="s">
        <v>174</v>
      </c>
      <c r="I4" s="3256" t="s">
        <v>173</v>
      </c>
      <c r="J4" s="3256" t="s">
        <v>174</v>
      </c>
      <c r="K4" s="3258" t="s">
        <v>173</v>
      </c>
      <c r="L4" s="3255" t="s">
        <v>174</v>
      </c>
      <c r="M4" s="3393" t="s">
        <v>173</v>
      </c>
      <c r="N4" s="3393" t="s">
        <v>174</v>
      </c>
      <c r="O4" s="3258" t="s">
        <v>173</v>
      </c>
      <c r="P4" s="3255" t="s">
        <v>174</v>
      </c>
      <c r="Q4" s="3256" t="s">
        <v>173</v>
      </c>
      <c r="R4" s="3256" t="s">
        <v>174</v>
      </c>
      <c r="S4" s="3258" t="s">
        <v>173</v>
      </c>
      <c r="T4" s="3255" t="s">
        <v>174</v>
      </c>
      <c r="U4" s="3256" t="s">
        <v>173</v>
      </c>
      <c r="V4" s="3256" t="s">
        <v>174</v>
      </c>
      <c r="W4" s="3258" t="s">
        <v>173</v>
      </c>
      <c r="X4" s="3255" t="s">
        <v>174</v>
      </c>
      <c r="Y4" s="3393" t="s">
        <v>173</v>
      </c>
      <c r="Z4" s="3393" t="s">
        <v>174</v>
      </c>
      <c r="AA4" s="3394" t="s">
        <v>173</v>
      </c>
      <c r="AB4" s="3394" t="s">
        <v>174</v>
      </c>
      <c r="AC4" s="3258" t="s">
        <v>173</v>
      </c>
      <c r="AD4" s="3255" t="s">
        <v>174</v>
      </c>
      <c r="AE4" s="3256" t="s">
        <v>173</v>
      </c>
      <c r="AF4" s="3256" t="s">
        <v>174</v>
      </c>
      <c r="AG4" s="3258" t="s">
        <v>173</v>
      </c>
      <c r="AH4" s="3255" t="s">
        <v>174</v>
      </c>
      <c r="AI4" s="3256" t="s">
        <v>173</v>
      </c>
      <c r="AJ4" s="3256" t="s">
        <v>174</v>
      </c>
      <c r="AK4" s="3258" t="s">
        <v>173</v>
      </c>
      <c r="AL4" s="3255" t="s">
        <v>174</v>
      </c>
      <c r="AM4" s="3393" t="s">
        <v>173</v>
      </c>
      <c r="AN4" s="3393" t="s">
        <v>174</v>
      </c>
      <c r="AO4" s="3256" t="s">
        <v>173</v>
      </c>
      <c r="AP4" s="3256" t="s">
        <v>174</v>
      </c>
      <c r="AQ4" s="3258" t="s">
        <v>173</v>
      </c>
      <c r="AR4" s="3255" t="s">
        <v>174</v>
      </c>
      <c r="AS4" s="3256" t="s">
        <v>173</v>
      </c>
      <c r="AT4" s="3256" t="s">
        <v>174</v>
      </c>
      <c r="AU4" s="3258" t="s">
        <v>173</v>
      </c>
      <c r="AV4" s="3255" t="s">
        <v>174</v>
      </c>
      <c r="AW4" s="3256" t="s">
        <v>173</v>
      </c>
      <c r="AX4" s="3256" t="s">
        <v>174</v>
      </c>
      <c r="AY4" s="3258" t="s">
        <v>173</v>
      </c>
      <c r="AZ4" s="3255" t="s">
        <v>174</v>
      </c>
      <c r="BA4" s="3393" t="s">
        <v>173</v>
      </c>
      <c r="BB4" s="3393" t="s">
        <v>174</v>
      </c>
      <c r="BC4" s="3394" t="s">
        <v>173</v>
      </c>
      <c r="BD4" s="3394" t="s">
        <v>174</v>
      </c>
      <c r="BE4" s="3256" t="s">
        <v>173</v>
      </c>
      <c r="BF4" s="913" t="s">
        <v>174</v>
      </c>
    </row>
    <row r="5" spans="1:66" ht="14.45" thickBot="1" x14ac:dyDescent="0.3">
      <c r="A5" s="1274"/>
      <c r="B5" s="3395" t="s">
        <v>269</v>
      </c>
      <c r="C5" s="3396" t="s">
        <v>50</v>
      </c>
      <c r="D5" s="3397">
        <v>2770018.8857412655</v>
      </c>
      <c r="E5" s="3398">
        <f>+'Maj Production Summ'!E18</f>
        <v>237110.48158640199</v>
      </c>
      <c r="F5" s="3398">
        <f>+'Maj Production Summ'!F18</f>
        <v>207020</v>
      </c>
      <c r="G5" s="3398">
        <f>+'Maj Production Summ'!G18</f>
        <v>244664.77809253999</v>
      </c>
      <c r="H5" s="3398">
        <f>+'Maj Production Summ'!H18</f>
        <v>236638</v>
      </c>
      <c r="I5" s="3398">
        <f>+'Maj Production Summ'!I18</f>
        <v>481775.25967894198</v>
      </c>
      <c r="J5" s="3398">
        <f>+'Maj Production Summ'!J18</f>
        <v>443658</v>
      </c>
      <c r="K5" s="3398">
        <f>+'Maj Production Summ'!K18</f>
        <v>237110.48158640199</v>
      </c>
      <c r="L5" s="3398">
        <f>+'Maj Production Summ'!L18</f>
        <v>243453</v>
      </c>
      <c r="M5" s="3398">
        <f>+'Maj Production Summ'!M18</f>
        <v>718885.74126534397</v>
      </c>
      <c r="N5" s="3398">
        <f>+'Maj Production Summ'!N18</f>
        <v>687111</v>
      </c>
      <c r="O5" s="3398">
        <f>+'Maj Production Summ'!O18</f>
        <v>239943.34277620399</v>
      </c>
      <c r="P5" s="3398">
        <f>+'Maj Production Summ'!P18</f>
        <v>253662</v>
      </c>
      <c r="Q5" s="3398">
        <f>+'Maj Production Summ'!Q18</f>
        <v>958829.08404154796</v>
      </c>
      <c r="R5" s="3398">
        <f>+'Maj Production Summ'!R18</f>
        <v>940773</v>
      </c>
      <c r="S5" s="3398">
        <f>+'Maj Production Summ'!S18</f>
        <v>239943.34277620399</v>
      </c>
      <c r="T5" s="3398">
        <f>+'Maj Production Summ'!T18</f>
        <v>237622</v>
      </c>
      <c r="U5" s="3398">
        <f>+'Maj Production Summ'!U18</f>
        <v>1198772.426817752</v>
      </c>
      <c r="V5" s="3398">
        <f>+'Maj Production Summ'!V18</f>
        <v>1178395</v>
      </c>
      <c r="W5" s="3398">
        <f>+'Maj Production Summ'!W18</f>
        <v>125920.679886686</v>
      </c>
      <c r="X5" s="3398">
        <f>+'Maj Production Summ'!X18</f>
        <v>226847</v>
      </c>
      <c r="Y5" s="3398">
        <f>+'Maj Production Summ'!Y18</f>
        <v>605807.36543909402</v>
      </c>
      <c r="Z5" s="3398">
        <f>+'Maj Production Summ'!Z18</f>
        <v>718131</v>
      </c>
      <c r="AA5" s="3398">
        <f>+'Maj Production Summ'!AA18</f>
        <v>1324693.1067044381</v>
      </c>
      <c r="AB5" s="3398">
        <f>+'Maj Production Summ'!AB18</f>
        <v>1405242</v>
      </c>
      <c r="AC5" s="3398">
        <f>+'Maj Production Summ'!AC18</f>
        <v>235490.56603773599</v>
      </c>
      <c r="AD5" s="3398">
        <f>+'Maj Production Summ'!AD18</f>
        <v>222138</v>
      </c>
      <c r="AE5" s="3398">
        <f>+'Maj Production Summ'!AE18</f>
        <v>1560183.672742174</v>
      </c>
      <c r="AF5" s="3398">
        <f>+'Maj Production Summ'!AF18</f>
        <v>1627380</v>
      </c>
      <c r="AG5" s="3398">
        <f>+'Maj Production Summ'!AG18</f>
        <v>227943.396226415</v>
      </c>
      <c r="AH5" s="3398">
        <f>+'Maj Production Summ'!AH18</f>
        <v>7935</v>
      </c>
      <c r="AI5" s="3398">
        <f>+'Maj Production Summ'!AI18</f>
        <v>1788127.068968589</v>
      </c>
      <c r="AJ5" s="3398">
        <f>+'Maj Production Summ'!AJ18</f>
        <v>1635315</v>
      </c>
      <c r="AK5" s="3398">
        <f>+'Maj Production Summ'!AK18</f>
        <v>235490.56603773599</v>
      </c>
      <c r="AL5" s="3398">
        <f>+'Maj Production Summ'!AL18</f>
        <v>234930</v>
      </c>
      <c r="AM5" s="3398">
        <f>+'Maj Production Summ'!AM18</f>
        <v>698924.52830188698</v>
      </c>
      <c r="AN5" s="3398">
        <f>+'Maj Production Summ'!AN18</f>
        <v>465003</v>
      </c>
      <c r="AO5" s="3398">
        <f>+'Maj Production Summ'!AO18</f>
        <v>2023617.6350063249</v>
      </c>
      <c r="AP5" s="3398">
        <f>+'Maj Production Summ'!AP18</f>
        <v>1870245</v>
      </c>
      <c r="AQ5" s="3398">
        <f>+'Maj Production Summ'!AQ18</f>
        <v>235490.56603773599</v>
      </c>
      <c r="AR5" s="3398">
        <f>+'Maj Production Summ'!AR18</f>
        <v>246040</v>
      </c>
      <c r="AS5" s="3398">
        <f>+'Maj Production Summ'!AS18</f>
        <v>2259108.2010440608</v>
      </c>
      <c r="AT5" s="3398">
        <f>+'Maj Production Summ'!AT18</f>
        <v>2116285</v>
      </c>
      <c r="AU5" s="3398">
        <f>+'Maj Production Summ'!AU18</f>
        <v>211905.660377358</v>
      </c>
      <c r="AV5" s="3398">
        <f>+'Maj Production Summ'!AV18</f>
        <v>222895</v>
      </c>
      <c r="AW5" s="3398">
        <f>+'Maj Production Summ'!AW18</f>
        <v>2471013.8614214188</v>
      </c>
      <c r="AX5" s="3398">
        <f>+'Maj Production Summ'!AX18</f>
        <v>2339180</v>
      </c>
      <c r="AY5" s="3398">
        <f>+'Maj Production Summ'!AY18</f>
        <v>235490.56603773599</v>
      </c>
      <c r="AZ5" s="3398">
        <f>+'Maj Production Summ'!AZ18</f>
        <v>243552</v>
      </c>
      <c r="BA5" s="3398">
        <f>+'Maj Production Summ'!BA18</f>
        <v>682886.79245283001</v>
      </c>
      <c r="BB5" s="3398">
        <f>+'Maj Production Summ'!BB18</f>
        <v>712487</v>
      </c>
      <c r="BC5" s="3398">
        <f>+'Maj Production Summ'!BC18</f>
        <v>1381811.3207547171</v>
      </c>
      <c r="BD5" s="3398">
        <f>+'Maj Production Summ'!BD18</f>
        <v>1177490</v>
      </c>
      <c r="BE5" s="3398">
        <f>+'Maj Production Summ'!BE18</f>
        <v>2706504.4274591547</v>
      </c>
      <c r="BF5" s="3399">
        <f>+'Maj Production Summ'!BF18</f>
        <v>2582732</v>
      </c>
      <c r="BG5" s="2534"/>
      <c r="BH5" s="2534"/>
      <c r="BI5" s="2534"/>
      <c r="BJ5" s="3763"/>
      <c r="BK5" s="3763"/>
      <c r="BL5" s="2534"/>
      <c r="BM5" s="3763"/>
      <c r="BN5" s="3763"/>
    </row>
    <row r="6" spans="1:66" ht="13.9" x14ac:dyDescent="0.25">
      <c r="A6" s="1274"/>
      <c r="B6" s="3400" t="s">
        <v>497</v>
      </c>
      <c r="C6" s="891"/>
      <c r="D6" s="890"/>
      <c r="E6" s="3401"/>
      <c r="F6" s="3401"/>
      <c r="G6" s="3401"/>
      <c r="H6" s="3401"/>
      <c r="I6" s="3401"/>
      <c r="J6" s="3401"/>
      <c r="K6" s="3401"/>
      <c r="L6" s="3401"/>
      <c r="M6" s="3401"/>
      <c r="N6" s="3401"/>
      <c r="O6" s="3401"/>
      <c r="P6" s="3401"/>
      <c r="Q6" s="3401"/>
      <c r="R6" s="3401"/>
      <c r="S6" s="3401"/>
      <c r="T6" s="3401"/>
      <c r="U6" s="3401"/>
      <c r="V6" s="3401"/>
      <c r="W6" s="3401"/>
      <c r="X6" s="3401"/>
      <c r="Y6" s="3401"/>
      <c r="Z6" s="3401"/>
      <c r="AA6" s="3401"/>
      <c r="AB6" s="3401"/>
      <c r="AC6" s="3401"/>
      <c r="AD6" s="3401"/>
      <c r="AE6" s="3401"/>
      <c r="AF6" s="3401"/>
      <c r="AG6" s="3401"/>
      <c r="AH6" s="3401"/>
      <c r="AI6" s="3401"/>
      <c r="AJ6" s="3401"/>
      <c r="AK6" s="3401"/>
      <c r="AL6" s="3401"/>
      <c r="AM6" s="3401"/>
      <c r="AN6" s="3401"/>
      <c r="AO6" s="3401"/>
      <c r="AP6" s="3401"/>
      <c r="AQ6" s="3401"/>
      <c r="AR6" s="3401"/>
      <c r="AS6" s="3401"/>
      <c r="AT6" s="3401"/>
      <c r="AU6" s="3401"/>
      <c r="AV6" s="3401"/>
      <c r="AW6" s="3401"/>
      <c r="AX6" s="3401"/>
      <c r="AY6" s="3401"/>
      <c r="AZ6" s="3401"/>
      <c r="BA6" s="3401"/>
      <c r="BB6" s="3401"/>
      <c r="BC6" s="3401"/>
      <c r="BD6" s="3401"/>
      <c r="BE6" s="3401"/>
      <c r="BF6" s="2537"/>
      <c r="BG6" s="2534"/>
      <c r="BH6" s="2534"/>
      <c r="BI6" s="2534"/>
      <c r="BJ6" s="3763"/>
      <c r="BK6" s="3763"/>
      <c r="BL6" s="2534"/>
      <c r="BM6" s="3763"/>
      <c r="BN6" s="3763"/>
    </row>
    <row r="7" spans="1:66" ht="15" x14ac:dyDescent="0.25">
      <c r="A7" s="6109" t="s">
        <v>470</v>
      </c>
      <c r="B7" s="8" t="s">
        <v>264</v>
      </c>
      <c r="C7" s="2942" t="s">
        <v>175</v>
      </c>
      <c r="D7" s="6118">
        <f>+(D5/D52)</f>
        <v>18466.792571608436</v>
      </c>
      <c r="E7" s="6077">
        <f>+(E5/E52)</f>
        <v>1580.7365439093467</v>
      </c>
      <c r="F7" s="3001">
        <v>552</v>
      </c>
      <c r="G7" s="6077">
        <f>+(G5/G52)</f>
        <v>1631.0985206169332</v>
      </c>
      <c r="H7" s="3001">
        <v>584</v>
      </c>
      <c r="I7" s="6079">
        <f>+(I5/I52)</f>
        <v>3211.8350645262799</v>
      </c>
      <c r="J7" s="3021">
        <f>+F7+H7</f>
        <v>1136</v>
      </c>
      <c r="K7" s="6077">
        <f>+(K5/K52)</f>
        <v>1580.7365439093467</v>
      </c>
      <c r="L7" s="3001">
        <v>451</v>
      </c>
      <c r="M7" s="6096">
        <f>+(M5/M52)</f>
        <v>4792.5716084356263</v>
      </c>
      <c r="N7" s="3402">
        <f>+L7+H7+F7</f>
        <v>1587</v>
      </c>
      <c r="O7" s="6077">
        <f>+(O5/O52)</f>
        <v>1599.6222851746934</v>
      </c>
      <c r="P7" s="3001">
        <v>529</v>
      </c>
      <c r="Q7" s="6079">
        <f>+(Q5/Q52)</f>
        <v>6392.1938936103197</v>
      </c>
      <c r="R7" s="3021">
        <f>+N7+P7</f>
        <v>2116</v>
      </c>
      <c r="S7" s="6077">
        <f>+(S5/S52)</f>
        <v>1599.6222851746934</v>
      </c>
      <c r="T7" s="3001">
        <v>486</v>
      </c>
      <c r="U7" s="6079">
        <f>+(U5/U52)</f>
        <v>7991.8161787850131</v>
      </c>
      <c r="V7" s="3021">
        <f>+R7+T7</f>
        <v>2602</v>
      </c>
      <c r="W7" s="6077">
        <f>+(W5/W52)</f>
        <v>839.47119924457331</v>
      </c>
      <c r="X7" s="3001">
        <v>481</v>
      </c>
      <c r="Y7" s="6096">
        <f>+(Y5/Y52)</f>
        <v>4038.71576959396</v>
      </c>
      <c r="Z7" s="3402">
        <f>+P7+T7+X7</f>
        <v>1496</v>
      </c>
      <c r="AA7" s="6084">
        <f>+(AA5/AA52)</f>
        <v>8831.2873780295868</v>
      </c>
      <c r="AB7" s="3403">
        <f>+Z7+N7</f>
        <v>3083</v>
      </c>
      <c r="AC7" s="6077">
        <f>+(AC5/AC52)</f>
        <v>1569.93710691824</v>
      </c>
      <c r="AD7" s="3001">
        <v>519</v>
      </c>
      <c r="AE7" s="6079">
        <f>+(AE5/AE52)</f>
        <v>10401.224484947827</v>
      </c>
      <c r="AF7" s="3021">
        <f>+AB7+AD7</f>
        <v>3602</v>
      </c>
      <c r="AG7" s="6077">
        <f>+(AG5/AG52)</f>
        <v>1519.6226415094334</v>
      </c>
      <c r="AH7" s="3001">
        <v>19</v>
      </c>
      <c r="AI7" s="6079">
        <f>+(AI5/AI52)</f>
        <v>11920.84712645726</v>
      </c>
      <c r="AJ7" s="3021">
        <f>+AF7+AH7</f>
        <v>3621</v>
      </c>
      <c r="AK7" s="6077">
        <f>+(AK5/AK52)</f>
        <v>1569.93710691824</v>
      </c>
      <c r="AL7" s="3001">
        <v>528</v>
      </c>
      <c r="AM7" s="6096">
        <f>+(AM5/AM52)</f>
        <v>4659.4968553459121</v>
      </c>
      <c r="AN7" s="3402">
        <f>+AD7+AH7+AL7</f>
        <v>1066</v>
      </c>
      <c r="AO7" s="6079">
        <f>+(AO5/AO52)</f>
        <v>13490.7842333755</v>
      </c>
      <c r="AP7" s="3021">
        <f>+AL7+AJ7</f>
        <v>4149</v>
      </c>
      <c r="AQ7" s="6077">
        <f>+(AQ5/AQ52)</f>
        <v>1569.93710691824</v>
      </c>
      <c r="AR7" s="3001">
        <v>539</v>
      </c>
      <c r="AS7" s="6079">
        <f>+(AS5/AS52)</f>
        <v>15060.721340293738</v>
      </c>
      <c r="AT7" s="3021">
        <f>+AP7+AR7</f>
        <v>4688</v>
      </c>
      <c r="AU7" s="6077">
        <f>+(AU5/AU52)</f>
        <v>1412.7044025157199</v>
      </c>
      <c r="AV7" s="3001">
        <v>519</v>
      </c>
      <c r="AW7" s="6079">
        <f>+(AW5/AW52)</f>
        <v>16473.425742809461</v>
      </c>
      <c r="AX7" s="3021">
        <f>+AT7+AV7</f>
        <v>5207</v>
      </c>
      <c r="AY7" s="6077">
        <f>+(AY5/AY52)</f>
        <v>1569.93710691824</v>
      </c>
      <c r="AZ7" s="3001">
        <v>708</v>
      </c>
      <c r="BA7" s="6096">
        <f>+(BA5/BA52)</f>
        <v>4552.5786163521998</v>
      </c>
      <c r="BB7" s="3402">
        <f>+AR7+AV7+AZ7</f>
        <v>1766</v>
      </c>
      <c r="BC7" s="6084">
        <f>+(BC5/BC52)</f>
        <v>9212.0754716981137</v>
      </c>
      <c r="BD7" s="3403">
        <f>+BB7+AN7</f>
        <v>2832</v>
      </c>
      <c r="BE7" s="6079">
        <f>+(BE5/BE52)</f>
        <v>18043.362849727699</v>
      </c>
      <c r="BF7" s="3216">
        <f>+AX7+AZ7</f>
        <v>5915</v>
      </c>
      <c r="BG7" s="2534"/>
      <c r="BH7" s="2534"/>
      <c r="BI7" s="2534"/>
      <c r="BJ7" s="3763"/>
      <c r="BK7" s="3763"/>
      <c r="BL7" s="2534"/>
      <c r="BM7" s="3763"/>
      <c r="BN7" s="3763"/>
    </row>
    <row r="8" spans="1:66" ht="15" x14ac:dyDescent="0.25">
      <c r="A8" s="6109"/>
      <c r="B8" s="8" t="s">
        <v>265</v>
      </c>
      <c r="C8" s="2942" t="s">
        <v>175</v>
      </c>
      <c r="D8" s="6118"/>
      <c r="E8" s="6077"/>
      <c r="F8" s="3001">
        <v>207</v>
      </c>
      <c r="G8" s="6077"/>
      <c r="H8" s="3001">
        <v>413</v>
      </c>
      <c r="I8" s="6079"/>
      <c r="J8" s="3021">
        <f>+F8+H8</f>
        <v>620</v>
      </c>
      <c r="K8" s="6077"/>
      <c r="L8" s="3001">
        <v>582</v>
      </c>
      <c r="M8" s="6096"/>
      <c r="N8" s="3402">
        <f>+L8+H8+F8</f>
        <v>1202</v>
      </c>
      <c r="O8" s="6077"/>
      <c r="P8" s="3001">
        <v>562</v>
      </c>
      <c r="Q8" s="6079"/>
      <c r="R8" s="3021">
        <f>+N8+P8</f>
        <v>1764</v>
      </c>
      <c r="S8" s="6077"/>
      <c r="T8" s="3001">
        <v>533</v>
      </c>
      <c r="U8" s="6079"/>
      <c r="V8" s="3021">
        <f>+R8+T8</f>
        <v>2297</v>
      </c>
      <c r="W8" s="6077"/>
      <c r="X8" s="3001">
        <v>517</v>
      </c>
      <c r="Y8" s="6096"/>
      <c r="Z8" s="3402">
        <f>+P8+T8+X8</f>
        <v>1612</v>
      </c>
      <c r="AA8" s="6084"/>
      <c r="AB8" s="3403">
        <f>+Z8+N8</f>
        <v>2814</v>
      </c>
      <c r="AC8" s="6077"/>
      <c r="AD8" s="3001">
        <v>529</v>
      </c>
      <c r="AE8" s="6079"/>
      <c r="AF8" s="3021">
        <f>+AB8+AD8</f>
        <v>3343</v>
      </c>
      <c r="AG8" s="6077"/>
      <c r="AH8" s="3001">
        <v>22</v>
      </c>
      <c r="AI8" s="6079"/>
      <c r="AJ8" s="3021">
        <f>+AF8+AH8</f>
        <v>3365</v>
      </c>
      <c r="AK8" s="6077"/>
      <c r="AL8" s="3001">
        <v>512</v>
      </c>
      <c r="AM8" s="6096"/>
      <c r="AN8" s="3402">
        <f>+AD8+AH8+AL8</f>
        <v>1063</v>
      </c>
      <c r="AO8" s="6079"/>
      <c r="AP8" s="3021">
        <f t="shared" ref="AP8:AP14" si="0">+AL8+AJ8</f>
        <v>3877</v>
      </c>
      <c r="AQ8" s="6077"/>
      <c r="AR8" s="3001">
        <v>526</v>
      </c>
      <c r="AS8" s="6079"/>
      <c r="AT8" s="3021">
        <f>+AP8+AR8</f>
        <v>4403</v>
      </c>
      <c r="AU8" s="6077"/>
      <c r="AV8" s="3001">
        <v>449</v>
      </c>
      <c r="AW8" s="6079"/>
      <c r="AX8" s="3021">
        <f>+AT8+AV8</f>
        <v>4852</v>
      </c>
      <c r="AY8" s="6077"/>
      <c r="AZ8" s="3001">
        <v>167</v>
      </c>
      <c r="BA8" s="6096"/>
      <c r="BB8" s="3402">
        <f>+AR8+AV8+AZ8</f>
        <v>1142</v>
      </c>
      <c r="BC8" s="6084"/>
      <c r="BD8" s="3403">
        <f t="shared" ref="BD8:BD9" si="1">+BB8+AN8</f>
        <v>2205</v>
      </c>
      <c r="BE8" s="6079"/>
      <c r="BF8" s="3216">
        <f>+AX8+AZ8</f>
        <v>5019</v>
      </c>
      <c r="BG8" s="2534"/>
      <c r="BH8" s="2534"/>
      <c r="BI8" s="2534"/>
      <c r="BJ8" s="3763"/>
      <c r="BK8" s="3763"/>
      <c r="BL8" s="2534"/>
      <c r="BM8" s="3763"/>
      <c r="BN8" s="3763"/>
    </row>
    <row r="9" spans="1:66" ht="15.75" thickBot="1" x14ac:dyDescent="0.3">
      <c r="A9" s="6109"/>
      <c r="B9" s="3195" t="s">
        <v>266</v>
      </c>
      <c r="C9" s="162" t="s">
        <v>175</v>
      </c>
      <c r="D9" s="6118"/>
      <c r="E9" s="6077"/>
      <c r="F9" s="3001">
        <v>574</v>
      </c>
      <c r="G9" s="6077"/>
      <c r="H9" s="3001">
        <v>519</v>
      </c>
      <c r="I9" s="6079"/>
      <c r="J9" s="3021">
        <f>+F9+H9</f>
        <v>1093</v>
      </c>
      <c r="K9" s="6077"/>
      <c r="L9" s="3001">
        <v>525</v>
      </c>
      <c r="M9" s="6096"/>
      <c r="N9" s="3402">
        <f>+L9+H9+F9</f>
        <v>1618</v>
      </c>
      <c r="O9" s="6077"/>
      <c r="P9" s="3001">
        <v>524</v>
      </c>
      <c r="Q9" s="6079"/>
      <c r="R9" s="3021">
        <f>+N9+P9</f>
        <v>2142</v>
      </c>
      <c r="S9" s="6077"/>
      <c r="T9" s="3001">
        <v>500</v>
      </c>
      <c r="U9" s="6079"/>
      <c r="V9" s="3021">
        <f>+R9+T9</f>
        <v>2642</v>
      </c>
      <c r="W9" s="6077"/>
      <c r="X9" s="3001">
        <v>456</v>
      </c>
      <c r="Y9" s="6096"/>
      <c r="Z9" s="3402">
        <f t="shared" ref="Z9:Z14" si="2">+P9+T9+X9</f>
        <v>1480</v>
      </c>
      <c r="AA9" s="6084"/>
      <c r="AB9" s="3403">
        <f>+Z9+N9</f>
        <v>3098</v>
      </c>
      <c r="AC9" s="6077"/>
      <c r="AD9" s="3001">
        <v>407</v>
      </c>
      <c r="AE9" s="6079"/>
      <c r="AF9" s="3021">
        <f>+AB9+AD9</f>
        <v>3505</v>
      </c>
      <c r="AG9" s="6077"/>
      <c r="AH9" s="3001">
        <v>7</v>
      </c>
      <c r="AI9" s="6079"/>
      <c r="AJ9" s="3021">
        <f>+AF9+AH9</f>
        <v>3512</v>
      </c>
      <c r="AK9" s="6077"/>
      <c r="AL9" s="3001">
        <v>498</v>
      </c>
      <c r="AM9" s="6096"/>
      <c r="AN9" s="3402">
        <f t="shared" ref="AN9" si="3">+AD9+AH9+AL9</f>
        <v>912</v>
      </c>
      <c r="AO9" s="6079"/>
      <c r="AP9" s="3021">
        <f t="shared" si="0"/>
        <v>4010</v>
      </c>
      <c r="AQ9" s="6077"/>
      <c r="AR9" s="3001">
        <v>534</v>
      </c>
      <c r="AS9" s="6079"/>
      <c r="AT9" s="3021">
        <f>+AP9+AR9</f>
        <v>4544</v>
      </c>
      <c r="AU9" s="6077"/>
      <c r="AV9" s="3001">
        <v>483</v>
      </c>
      <c r="AW9" s="6079"/>
      <c r="AX9" s="3021">
        <f>+AT9+AV9</f>
        <v>5027</v>
      </c>
      <c r="AY9" s="6077"/>
      <c r="AZ9" s="3001">
        <v>700</v>
      </c>
      <c r="BA9" s="6096"/>
      <c r="BB9" s="3402">
        <f t="shared" ref="BB9" si="4">+AR9+AV9+AZ9</f>
        <v>1717</v>
      </c>
      <c r="BC9" s="6084"/>
      <c r="BD9" s="3403">
        <f t="shared" si="1"/>
        <v>2629</v>
      </c>
      <c r="BE9" s="6079"/>
      <c r="BF9" s="3216">
        <f>+AX9+AZ9</f>
        <v>5727</v>
      </c>
      <c r="BG9" s="2534"/>
      <c r="BH9" s="2534"/>
      <c r="BI9" s="2534"/>
      <c r="BJ9" s="3763"/>
      <c r="BK9" s="3763"/>
      <c r="BL9" s="2534"/>
      <c r="BM9" s="3763"/>
      <c r="BN9" s="3763"/>
    </row>
    <row r="10" spans="1:66" ht="15.75" thickBot="1" x14ac:dyDescent="0.3">
      <c r="A10" s="6109"/>
      <c r="B10" s="3404" t="s">
        <v>267</v>
      </c>
      <c r="C10" s="3405" t="s">
        <v>175</v>
      </c>
      <c r="D10" s="6119"/>
      <c r="E10" s="6078"/>
      <c r="F10" s="3406">
        <f>SUM(F7:F9)</f>
        <v>1333</v>
      </c>
      <c r="G10" s="6078"/>
      <c r="H10" s="3406">
        <f>SUM(H7:H9)</f>
        <v>1516</v>
      </c>
      <c r="I10" s="6080"/>
      <c r="J10" s="3407">
        <f>SUM(J7:J9)</f>
        <v>2849</v>
      </c>
      <c r="K10" s="6078"/>
      <c r="L10" s="3406">
        <f>SUM(L7:L9)</f>
        <v>1558</v>
      </c>
      <c r="M10" s="6097"/>
      <c r="N10" s="3408">
        <f>SUM(N7:N9)</f>
        <v>4407</v>
      </c>
      <c r="O10" s="6078"/>
      <c r="P10" s="3406">
        <f>SUM(P7:P9)</f>
        <v>1615</v>
      </c>
      <c r="Q10" s="6080"/>
      <c r="R10" s="3407">
        <f>SUM(R7:R9)</f>
        <v>6022</v>
      </c>
      <c r="S10" s="6078"/>
      <c r="T10" s="3406">
        <f>SUM(T7:T9)</f>
        <v>1519</v>
      </c>
      <c r="U10" s="6080"/>
      <c r="V10" s="3407">
        <f>SUM(V7:V9)</f>
        <v>7541</v>
      </c>
      <c r="W10" s="6078"/>
      <c r="X10" s="3406">
        <f>SUM(X7:X9)</f>
        <v>1454</v>
      </c>
      <c r="Y10" s="6097"/>
      <c r="Z10" s="3408">
        <f>SUM(Z7:Z9)</f>
        <v>4588</v>
      </c>
      <c r="AA10" s="6085"/>
      <c r="AB10" s="3409">
        <f>SUM(AB7:AB9)</f>
        <v>8995</v>
      </c>
      <c r="AC10" s="6078"/>
      <c r="AD10" s="3406">
        <f>SUM(AD7:AD9)</f>
        <v>1455</v>
      </c>
      <c r="AE10" s="6080"/>
      <c r="AF10" s="3407">
        <f>SUM(AF7:AF9)</f>
        <v>10450</v>
      </c>
      <c r="AG10" s="6078"/>
      <c r="AH10" s="3406">
        <f>SUM(AH7:AH9)</f>
        <v>48</v>
      </c>
      <c r="AI10" s="6080"/>
      <c r="AJ10" s="3407">
        <f>SUM(AJ7:AJ9)</f>
        <v>10498</v>
      </c>
      <c r="AK10" s="6078"/>
      <c r="AL10" s="3406">
        <f>SUM(AL7:AL9)</f>
        <v>1538</v>
      </c>
      <c r="AM10" s="6097"/>
      <c r="AN10" s="3408">
        <f>SUM(AN7:AN9)</f>
        <v>3041</v>
      </c>
      <c r="AO10" s="6080"/>
      <c r="AP10" s="3407">
        <f>SUM(AP7:AP9)</f>
        <v>12036</v>
      </c>
      <c r="AQ10" s="6078"/>
      <c r="AR10" s="3406">
        <f>SUM(AR7:AR9)</f>
        <v>1599</v>
      </c>
      <c r="AS10" s="6080"/>
      <c r="AT10" s="3407">
        <f>SUM(AT7:AT9)</f>
        <v>13635</v>
      </c>
      <c r="AU10" s="6078"/>
      <c r="AV10" s="3406">
        <f>SUM(AV7:AV9)</f>
        <v>1451</v>
      </c>
      <c r="AW10" s="6080"/>
      <c r="AX10" s="3407">
        <f>SUM(AX7:AX9)</f>
        <v>15086</v>
      </c>
      <c r="AY10" s="6078"/>
      <c r="AZ10" s="3406">
        <f>SUM(AZ7:AZ9)</f>
        <v>1575</v>
      </c>
      <c r="BA10" s="6097"/>
      <c r="BB10" s="3408">
        <f>SUM(BB7:BB9)</f>
        <v>4625</v>
      </c>
      <c r="BC10" s="6085"/>
      <c r="BD10" s="3409">
        <f>SUM(BD7:BD9)</f>
        <v>7666</v>
      </c>
      <c r="BE10" s="6080"/>
      <c r="BF10" s="4912">
        <f>SUM(BF7:BF9)</f>
        <v>16661</v>
      </c>
      <c r="BG10" s="2534"/>
      <c r="BH10" s="2534"/>
      <c r="BI10" s="2534"/>
      <c r="BJ10" s="3763"/>
      <c r="BK10" s="3763"/>
      <c r="BL10" s="2534"/>
      <c r="BM10" s="3763"/>
      <c r="BN10" s="3763"/>
    </row>
    <row r="11" spans="1:66" ht="13.9" x14ac:dyDescent="0.25">
      <c r="B11" s="3410" t="s">
        <v>613</v>
      </c>
      <c r="C11" s="758" t="s">
        <v>175</v>
      </c>
      <c r="D11" s="3411" t="s">
        <v>32</v>
      </c>
      <c r="E11" s="2122" t="s">
        <v>32</v>
      </c>
      <c r="F11" s="204">
        <v>9</v>
      </c>
      <c r="G11" s="2122" t="s">
        <v>32</v>
      </c>
      <c r="H11" s="204">
        <v>2</v>
      </c>
      <c r="I11" s="3412" t="s">
        <v>32</v>
      </c>
      <c r="J11" s="3413">
        <f t="shared" ref="J11:J20" si="5">+F11+H11</f>
        <v>11</v>
      </c>
      <c r="K11" s="2122" t="s">
        <v>32</v>
      </c>
      <c r="L11" s="204">
        <v>1</v>
      </c>
      <c r="M11" s="3414" t="s">
        <v>32</v>
      </c>
      <c r="N11" s="3415">
        <f t="shared" ref="N11:N20" si="6">+L11+H11+F11</f>
        <v>12</v>
      </c>
      <c r="O11" s="2122" t="s">
        <v>32</v>
      </c>
      <c r="P11" s="204">
        <v>4</v>
      </c>
      <c r="Q11" s="3412" t="s">
        <v>32</v>
      </c>
      <c r="R11" s="3413">
        <f t="shared" ref="R11:R20" si="7">+N11+P11</f>
        <v>16</v>
      </c>
      <c r="S11" s="2122" t="s">
        <v>32</v>
      </c>
      <c r="T11" s="204">
        <v>4</v>
      </c>
      <c r="U11" s="3412" t="s">
        <v>32</v>
      </c>
      <c r="V11" s="3413">
        <f t="shared" ref="V11:V20" si="8">+R11+T11</f>
        <v>20</v>
      </c>
      <c r="W11" s="2122" t="s">
        <v>32</v>
      </c>
      <c r="X11" s="204">
        <v>6</v>
      </c>
      <c r="Y11" s="3414" t="s">
        <v>32</v>
      </c>
      <c r="Z11" s="3415">
        <f t="shared" si="2"/>
        <v>14</v>
      </c>
      <c r="AA11" s="3416" t="s">
        <v>32</v>
      </c>
      <c r="AB11" s="3417">
        <f>+Z11+N11</f>
        <v>26</v>
      </c>
      <c r="AC11" s="2122" t="s">
        <v>32</v>
      </c>
      <c r="AD11" s="204">
        <v>4</v>
      </c>
      <c r="AE11" s="3412" t="s">
        <v>32</v>
      </c>
      <c r="AF11" s="3413">
        <f t="shared" ref="AF11:AF20" si="9">+AB11+AD11</f>
        <v>30</v>
      </c>
      <c r="AG11" s="2122" t="s">
        <v>32</v>
      </c>
      <c r="AH11" s="204">
        <v>0</v>
      </c>
      <c r="AI11" s="3412" t="s">
        <v>32</v>
      </c>
      <c r="AJ11" s="3413">
        <f t="shared" ref="AJ11:AJ20" si="10">+AF11+AH11</f>
        <v>30</v>
      </c>
      <c r="AK11" s="2122" t="s">
        <v>32</v>
      </c>
      <c r="AL11" s="204">
        <v>3</v>
      </c>
      <c r="AM11" s="3414" t="s">
        <v>32</v>
      </c>
      <c r="AN11" s="3415">
        <f t="shared" ref="AN11:AN14" si="11">+AD11+AH11+AL11</f>
        <v>7</v>
      </c>
      <c r="AO11" s="3412" t="s">
        <v>32</v>
      </c>
      <c r="AP11" s="3413">
        <f t="shared" si="0"/>
        <v>33</v>
      </c>
      <c r="AQ11" s="2122" t="s">
        <v>32</v>
      </c>
      <c r="AR11" s="204">
        <v>4</v>
      </c>
      <c r="AS11" s="3412" t="s">
        <v>32</v>
      </c>
      <c r="AT11" s="3413">
        <f t="shared" ref="AT11:AT20" si="12">+AP11+AR11</f>
        <v>37</v>
      </c>
      <c r="AU11" s="2122" t="s">
        <v>32</v>
      </c>
      <c r="AV11" s="204">
        <v>5</v>
      </c>
      <c r="AW11" s="3412" t="s">
        <v>32</v>
      </c>
      <c r="AX11" s="3413">
        <f t="shared" ref="AX11:AX20" si="13">+AT11+AV11</f>
        <v>42</v>
      </c>
      <c r="AY11" s="2122" t="s">
        <v>32</v>
      </c>
      <c r="AZ11" s="204">
        <v>2</v>
      </c>
      <c r="BA11" s="3414" t="s">
        <v>32</v>
      </c>
      <c r="BB11" s="3415">
        <f t="shared" ref="BB11:BB14" si="14">+AR11+AV11+AZ11</f>
        <v>11</v>
      </c>
      <c r="BC11" s="3416" t="s">
        <v>32</v>
      </c>
      <c r="BD11" s="3417">
        <f t="shared" ref="BD11:BD13" si="15">+BB11+AN11</f>
        <v>18</v>
      </c>
      <c r="BE11" s="3412" t="s">
        <v>32</v>
      </c>
      <c r="BF11" s="3170">
        <f t="shared" ref="BF11:BF20" si="16">+AX11+AZ11</f>
        <v>44</v>
      </c>
      <c r="BG11" s="2534"/>
      <c r="BH11" s="2534"/>
      <c r="BI11" s="2534"/>
      <c r="BJ11" s="3763"/>
      <c r="BK11" s="3763"/>
      <c r="BL11" s="2534"/>
      <c r="BM11" s="3763"/>
      <c r="BN11" s="3763"/>
    </row>
    <row r="12" spans="1:66" ht="13.9" x14ac:dyDescent="0.25">
      <c r="B12" s="1928" t="s">
        <v>96</v>
      </c>
      <c r="C12" s="2942" t="s">
        <v>175</v>
      </c>
      <c r="D12" s="2023" t="s">
        <v>32</v>
      </c>
      <c r="E12" s="2656" t="s">
        <v>32</v>
      </c>
      <c r="F12" s="3001">
        <v>2</v>
      </c>
      <c r="G12" s="2656" t="s">
        <v>32</v>
      </c>
      <c r="H12" s="3001">
        <v>6</v>
      </c>
      <c r="I12" s="3021" t="s">
        <v>32</v>
      </c>
      <c r="J12" s="3021">
        <f t="shared" si="5"/>
        <v>8</v>
      </c>
      <c r="K12" s="2656" t="s">
        <v>32</v>
      </c>
      <c r="L12" s="3001">
        <v>1</v>
      </c>
      <c r="M12" s="3402" t="s">
        <v>32</v>
      </c>
      <c r="N12" s="3402">
        <f t="shared" si="6"/>
        <v>9</v>
      </c>
      <c r="O12" s="2656" t="s">
        <v>32</v>
      </c>
      <c r="P12" s="3001">
        <v>5</v>
      </c>
      <c r="Q12" s="3021" t="s">
        <v>32</v>
      </c>
      <c r="R12" s="3021">
        <f t="shared" si="7"/>
        <v>14</v>
      </c>
      <c r="S12" s="2656" t="s">
        <v>32</v>
      </c>
      <c r="T12" s="3001">
        <v>6</v>
      </c>
      <c r="U12" s="3021" t="s">
        <v>32</v>
      </c>
      <c r="V12" s="3021">
        <f t="shared" si="8"/>
        <v>20</v>
      </c>
      <c r="W12" s="2656" t="s">
        <v>32</v>
      </c>
      <c r="X12" s="3001">
        <v>4</v>
      </c>
      <c r="Y12" s="3402" t="s">
        <v>32</v>
      </c>
      <c r="Z12" s="3402">
        <f t="shared" si="2"/>
        <v>15</v>
      </c>
      <c r="AA12" s="3403" t="s">
        <v>32</v>
      </c>
      <c r="AB12" s="3403">
        <f>+Z12+N12</f>
        <v>24</v>
      </c>
      <c r="AC12" s="2656" t="s">
        <v>32</v>
      </c>
      <c r="AD12" s="3001">
        <v>4</v>
      </c>
      <c r="AE12" s="3021" t="s">
        <v>32</v>
      </c>
      <c r="AF12" s="3021">
        <f t="shared" si="9"/>
        <v>28</v>
      </c>
      <c r="AG12" s="2656" t="s">
        <v>32</v>
      </c>
      <c r="AH12" s="3001">
        <v>0</v>
      </c>
      <c r="AI12" s="3021" t="s">
        <v>32</v>
      </c>
      <c r="AJ12" s="3021">
        <f t="shared" si="10"/>
        <v>28</v>
      </c>
      <c r="AK12" s="2656" t="s">
        <v>32</v>
      </c>
      <c r="AL12" s="3001">
        <v>5</v>
      </c>
      <c r="AM12" s="3402" t="s">
        <v>32</v>
      </c>
      <c r="AN12" s="3402">
        <f t="shared" si="11"/>
        <v>9</v>
      </c>
      <c r="AO12" s="3021" t="s">
        <v>32</v>
      </c>
      <c r="AP12" s="3021">
        <f t="shared" si="0"/>
        <v>33</v>
      </c>
      <c r="AQ12" s="2656" t="s">
        <v>32</v>
      </c>
      <c r="AR12" s="3001">
        <v>0</v>
      </c>
      <c r="AS12" s="3021" t="s">
        <v>32</v>
      </c>
      <c r="AT12" s="3021">
        <f t="shared" si="12"/>
        <v>33</v>
      </c>
      <c r="AU12" s="2656" t="s">
        <v>32</v>
      </c>
      <c r="AV12" s="3001">
        <v>3</v>
      </c>
      <c r="AW12" s="3021" t="s">
        <v>32</v>
      </c>
      <c r="AX12" s="3021">
        <f t="shared" si="13"/>
        <v>36</v>
      </c>
      <c r="AY12" s="2656" t="s">
        <v>32</v>
      </c>
      <c r="AZ12" s="3001">
        <v>0</v>
      </c>
      <c r="BA12" s="3402" t="s">
        <v>32</v>
      </c>
      <c r="BB12" s="3402">
        <f t="shared" si="14"/>
        <v>3</v>
      </c>
      <c r="BC12" s="3403" t="s">
        <v>32</v>
      </c>
      <c r="BD12" s="3403">
        <f t="shared" si="15"/>
        <v>12</v>
      </c>
      <c r="BE12" s="3021" t="s">
        <v>32</v>
      </c>
      <c r="BF12" s="3216">
        <f t="shared" si="16"/>
        <v>36</v>
      </c>
      <c r="BG12" s="2534"/>
      <c r="BH12" s="2534"/>
      <c r="BI12" s="2534"/>
      <c r="BJ12" s="3763"/>
      <c r="BK12" s="3763"/>
      <c r="BL12" s="2534"/>
      <c r="BM12" s="3763"/>
      <c r="BN12" s="3763"/>
    </row>
    <row r="13" spans="1:66" ht="15" customHeight="1" x14ac:dyDescent="0.25">
      <c r="B13" s="1928" t="s">
        <v>151</v>
      </c>
      <c r="C13" s="2942" t="s">
        <v>175</v>
      </c>
      <c r="D13" s="2023" t="s">
        <v>32</v>
      </c>
      <c r="E13" s="2656" t="s">
        <v>32</v>
      </c>
      <c r="F13" s="3001">
        <v>0</v>
      </c>
      <c r="G13" s="2656" t="s">
        <v>32</v>
      </c>
      <c r="H13" s="3001">
        <v>0</v>
      </c>
      <c r="I13" s="3021" t="s">
        <v>32</v>
      </c>
      <c r="J13" s="3021">
        <f t="shared" si="5"/>
        <v>0</v>
      </c>
      <c r="K13" s="2656" t="s">
        <v>32</v>
      </c>
      <c r="L13" s="3001">
        <v>0</v>
      </c>
      <c r="M13" s="3402" t="s">
        <v>32</v>
      </c>
      <c r="N13" s="3402">
        <f t="shared" si="6"/>
        <v>0</v>
      </c>
      <c r="O13" s="2656" t="s">
        <v>32</v>
      </c>
      <c r="P13" s="3001">
        <v>0</v>
      </c>
      <c r="Q13" s="3021" t="s">
        <v>32</v>
      </c>
      <c r="R13" s="3021">
        <f t="shared" si="7"/>
        <v>0</v>
      </c>
      <c r="S13" s="2656" t="s">
        <v>32</v>
      </c>
      <c r="T13" s="3001">
        <v>0</v>
      </c>
      <c r="U13" s="3021" t="s">
        <v>32</v>
      </c>
      <c r="V13" s="3021">
        <f t="shared" si="8"/>
        <v>0</v>
      </c>
      <c r="W13" s="2656" t="s">
        <v>32</v>
      </c>
      <c r="X13" s="3001">
        <v>0</v>
      </c>
      <c r="Y13" s="3402" t="s">
        <v>32</v>
      </c>
      <c r="Z13" s="3402">
        <f t="shared" si="2"/>
        <v>0</v>
      </c>
      <c r="AA13" s="3403" t="s">
        <v>32</v>
      </c>
      <c r="AB13" s="3403">
        <f>+Z13+N13</f>
        <v>0</v>
      </c>
      <c r="AC13" s="2656" t="s">
        <v>32</v>
      </c>
      <c r="AD13" s="3001">
        <v>0</v>
      </c>
      <c r="AE13" s="3021" t="s">
        <v>32</v>
      </c>
      <c r="AF13" s="3021">
        <f t="shared" si="9"/>
        <v>0</v>
      </c>
      <c r="AG13" s="2656" t="s">
        <v>32</v>
      </c>
      <c r="AH13" s="3001">
        <v>0</v>
      </c>
      <c r="AI13" s="3021" t="s">
        <v>32</v>
      </c>
      <c r="AJ13" s="3021">
        <f t="shared" si="10"/>
        <v>0</v>
      </c>
      <c r="AK13" s="2656" t="s">
        <v>32</v>
      </c>
      <c r="AL13" s="3001">
        <v>0</v>
      </c>
      <c r="AM13" s="3402" t="s">
        <v>32</v>
      </c>
      <c r="AN13" s="3402">
        <f t="shared" si="11"/>
        <v>0</v>
      </c>
      <c r="AO13" s="3021" t="s">
        <v>32</v>
      </c>
      <c r="AP13" s="3021">
        <f t="shared" si="0"/>
        <v>0</v>
      </c>
      <c r="AQ13" s="2656" t="s">
        <v>32</v>
      </c>
      <c r="AR13" s="3001">
        <v>0</v>
      </c>
      <c r="AS13" s="3021" t="s">
        <v>32</v>
      </c>
      <c r="AT13" s="3021">
        <f t="shared" si="12"/>
        <v>0</v>
      </c>
      <c r="AU13" s="2656" t="s">
        <v>32</v>
      </c>
      <c r="AV13" s="3001">
        <v>0</v>
      </c>
      <c r="AW13" s="3021" t="s">
        <v>32</v>
      </c>
      <c r="AX13" s="3021">
        <f t="shared" si="13"/>
        <v>0</v>
      </c>
      <c r="AY13" s="2656" t="s">
        <v>32</v>
      </c>
      <c r="AZ13" s="3001">
        <v>0</v>
      </c>
      <c r="BA13" s="3402" t="s">
        <v>32</v>
      </c>
      <c r="BB13" s="3402">
        <f t="shared" si="14"/>
        <v>0</v>
      </c>
      <c r="BC13" s="3403" t="s">
        <v>32</v>
      </c>
      <c r="BD13" s="3403">
        <f t="shared" si="15"/>
        <v>0</v>
      </c>
      <c r="BE13" s="3021" t="s">
        <v>32</v>
      </c>
      <c r="BF13" s="3216">
        <f t="shared" si="16"/>
        <v>0</v>
      </c>
      <c r="BG13" s="2534"/>
      <c r="BH13" s="2534"/>
      <c r="BI13" s="2534"/>
      <c r="BJ13" s="3763"/>
      <c r="BK13" s="3763"/>
      <c r="BL13" s="2534"/>
      <c r="BM13" s="3763"/>
      <c r="BN13" s="3763"/>
    </row>
    <row r="14" spans="1:66" ht="14.45" thickBot="1" x14ac:dyDescent="0.3">
      <c r="B14" s="3418" t="s">
        <v>119</v>
      </c>
      <c r="C14" s="749" t="s">
        <v>175</v>
      </c>
      <c r="D14" s="3419" t="s">
        <v>32</v>
      </c>
      <c r="E14" s="893" t="s">
        <v>32</v>
      </c>
      <c r="F14" s="2338">
        <f>+F10+F13-F11-F25</f>
        <v>1</v>
      </c>
      <c r="G14" s="893" t="s">
        <v>32</v>
      </c>
      <c r="H14" s="2338">
        <f>+H10+H13-H11-H25</f>
        <v>-2</v>
      </c>
      <c r="I14" s="3420" t="s">
        <v>32</v>
      </c>
      <c r="J14" s="3420">
        <f t="shared" si="5"/>
        <v>-1</v>
      </c>
      <c r="K14" s="893" t="s">
        <v>32</v>
      </c>
      <c r="L14" s="2338">
        <f>+L10+L13-L11-L25</f>
        <v>1</v>
      </c>
      <c r="M14" s="3421" t="s">
        <v>32</v>
      </c>
      <c r="N14" s="3421">
        <f t="shared" si="6"/>
        <v>0</v>
      </c>
      <c r="O14" s="893" t="s">
        <v>32</v>
      </c>
      <c r="P14" s="2338">
        <f>+P10+P13-P11-P25</f>
        <v>1</v>
      </c>
      <c r="Q14" s="3420" t="s">
        <v>32</v>
      </c>
      <c r="R14" s="3420">
        <f t="shared" si="7"/>
        <v>1</v>
      </c>
      <c r="S14" s="893" t="s">
        <v>32</v>
      </c>
      <c r="T14" s="2338">
        <f>+T10+T13-T11-T25</f>
        <v>0</v>
      </c>
      <c r="U14" s="3420" t="s">
        <v>32</v>
      </c>
      <c r="V14" s="3420">
        <f t="shared" si="8"/>
        <v>1</v>
      </c>
      <c r="W14" s="893" t="s">
        <v>32</v>
      </c>
      <c r="X14" s="2338">
        <f>+X10+X13-X11-X25</f>
        <v>0</v>
      </c>
      <c r="Y14" s="3421" t="s">
        <v>32</v>
      </c>
      <c r="Z14" s="3421">
        <f t="shared" si="2"/>
        <v>1</v>
      </c>
      <c r="AA14" s="3422" t="s">
        <v>32</v>
      </c>
      <c r="AB14" s="3422">
        <f>+Z14+N14</f>
        <v>1</v>
      </c>
      <c r="AC14" s="893" t="s">
        <v>32</v>
      </c>
      <c r="AD14" s="2338">
        <f>+AD10+AD13-AD11-AD25</f>
        <v>0</v>
      </c>
      <c r="AE14" s="3420" t="s">
        <v>32</v>
      </c>
      <c r="AF14" s="3420">
        <f t="shared" si="9"/>
        <v>1</v>
      </c>
      <c r="AG14" s="893" t="s">
        <v>32</v>
      </c>
      <c r="AH14" s="2338">
        <f>+AH10+AH13-AH11-AH25</f>
        <v>-4</v>
      </c>
      <c r="AI14" s="3420" t="s">
        <v>32</v>
      </c>
      <c r="AJ14" s="3420">
        <f t="shared" si="10"/>
        <v>-3</v>
      </c>
      <c r="AK14" s="893" t="s">
        <v>32</v>
      </c>
      <c r="AL14" s="2338">
        <f>+AL10+AL13-AL11-AL25</f>
        <v>4</v>
      </c>
      <c r="AM14" s="3421" t="s">
        <v>32</v>
      </c>
      <c r="AN14" s="3421">
        <f t="shared" si="11"/>
        <v>0</v>
      </c>
      <c r="AO14" s="3420" t="s">
        <v>32</v>
      </c>
      <c r="AP14" s="3420">
        <f t="shared" si="0"/>
        <v>1</v>
      </c>
      <c r="AQ14" s="893" t="s">
        <v>32</v>
      </c>
      <c r="AR14" s="2338">
        <f>+AR10+AR13-AR11-AR25</f>
        <v>-4</v>
      </c>
      <c r="AS14" s="3420" t="s">
        <v>32</v>
      </c>
      <c r="AT14" s="3420">
        <f t="shared" si="12"/>
        <v>-3</v>
      </c>
      <c r="AU14" s="893" t="s">
        <v>32</v>
      </c>
      <c r="AV14" s="2338">
        <f>+AV10+AV13-AV11-AV25</f>
        <v>3</v>
      </c>
      <c r="AW14" s="3420" t="s">
        <v>32</v>
      </c>
      <c r="AX14" s="3420">
        <f t="shared" si="13"/>
        <v>0</v>
      </c>
      <c r="AY14" s="893" t="s">
        <v>32</v>
      </c>
      <c r="AZ14" s="2338">
        <f>+AZ10+AZ13-AZ11-AZ25</f>
        <v>1</v>
      </c>
      <c r="BA14" s="3421" t="s">
        <v>32</v>
      </c>
      <c r="BB14" s="3421">
        <f t="shared" si="14"/>
        <v>0</v>
      </c>
      <c r="BC14" s="3422" t="s">
        <v>32</v>
      </c>
      <c r="BD14" s="3422">
        <f>+BB14+AN14</f>
        <v>0</v>
      </c>
      <c r="BE14" s="3420" t="s">
        <v>32</v>
      </c>
      <c r="BF14" s="3219">
        <f t="shared" si="16"/>
        <v>1</v>
      </c>
      <c r="BG14" s="2534"/>
      <c r="BH14" s="2534"/>
      <c r="BI14" s="2534"/>
      <c r="BJ14" s="3763"/>
      <c r="BK14" s="3763"/>
      <c r="BL14" s="2534"/>
      <c r="BM14" s="3763"/>
      <c r="BN14" s="3763"/>
    </row>
    <row r="15" spans="1:66" ht="13.9" x14ac:dyDescent="0.25">
      <c r="B15" s="3423" t="s">
        <v>820</v>
      </c>
      <c r="C15" s="758" t="s">
        <v>50</v>
      </c>
      <c r="D15" s="1125">
        <v>2933450</v>
      </c>
      <c r="E15" s="158">
        <v>251100</v>
      </c>
      <c r="F15" s="275">
        <v>219393.565</v>
      </c>
      <c r="G15" s="158">
        <v>259100</v>
      </c>
      <c r="H15" s="275">
        <v>252686.9</v>
      </c>
      <c r="I15" s="373">
        <f>+E15+G15</f>
        <v>510200</v>
      </c>
      <c r="J15" s="373">
        <f t="shared" si="5"/>
        <v>472080.46499999997</v>
      </c>
      <c r="K15" s="158">
        <v>251100</v>
      </c>
      <c r="L15" s="275">
        <v>258527.52499999999</v>
      </c>
      <c r="M15" s="618">
        <f>+K15+G15+E15</f>
        <v>761300</v>
      </c>
      <c r="N15" s="618">
        <f t="shared" si="6"/>
        <v>730607.99</v>
      </c>
      <c r="O15" s="158">
        <v>254100</v>
      </c>
      <c r="P15" s="275">
        <v>266778.07500000001</v>
      </c>
      <c r="Q15" s="373">
        <f>+M15+O15</f>
        <v>1015400</v>
      </c>
      <c r="R15" s="373">
        <f t="shared" si="7"/>
        <v>997386.06499999994</v>
      </c>
      <c r="S15" s="158">
        <v>254100</v>
      </c>
      <c r="T15" s="275">
        <v>251918.72</v>
      </c>
      <c r="U15" s="373">
        <f>+Q15+S15</f>
        <v>1269500</v>
      </c>
      <c r="V15" s="373">
        <f t="shared" si="8"/>
        <v>1249304.7849999999</v>
      </c>
      <c r="W15" s="158">
        <v>133350</v>
      </c>
      <c r="X15" s="275">
        <v>241323.3</v>
      </c>
      <c r="Y15" s="618">
        <f>+W15+S15+O15</f>
        <v>641550</v>
      </c>
      <c r="Z15" s="618">
        <f>+X15+T15+P15</f>
        <v>760020.09499999997</v>
      </c>
      <c r="AA15" s="1049">
        <f>+Y15+M15</f>
        <v>1402850</v>
      </c>
      <c r="AB15" s="1049">
        <f t="shared" ref="AB15:AB24" si="17">+Z15+N15</f>
        <v>1490628.085</v>
      </c>
      <c r="AC15" s="158">
        <v>249620</v>
      </c>
      <c r="AD15" s="275">
        <v>235736.8</v>
      </c>
      <c r="AE15" s="373">
        <f>+AA15+AC15</f>
        <v>1652470</v>
      </c>
      <c r="AF15" s="373">
        <f t="shared" si="9"/>
        <v>1726364.885</v>
      </c>
      <c r="AG15" s="158">
        <v>241620</v>
      </c>
      <c r="AH15" s="275">
        <v>8398.2000000000007</v>
      </c>
      <c r="AI15" s="373">
        <f>+AE15+AG15</f>
        <v>1894090</v>
      </c>
      <c r="AJ15" s="373">
        <f t="shared" si="10"/>
        <v>1734763.085</v>
      </c>
      <c r="AK15" s="158">
        <v>249620</v>
      </c>
      <c r="AL15" s="275">
        <v>249391.75</v>
      </c>
      <c r="AM15" s="618">
        <f>+AK15+AG15+AC15</f>
        <v>740860</v>
      </c>
      <c r="AN15" s="618">
        <f>+AL15+AH15+AD15</f>
        <v>493526.75</v>
      </c>
      <c r="AO15" s="373">
        <f>+AK15+AI15</f>
        <v>2143710</v>
      </c>
      <c r="AP15" s="373">
        <f>+AL15+AJ15</f>
        <v>1984154.835</v>
      </c>
      <c r="AQ15" s="158">
        <v>249620</v>
      </c>
      <c r="AR15" s="275">
        <v>261382.3</v>
      </c>
      <c r="AS15" s="373">
        <f>+AO15+AQ15</f>
        <v>2393330</v>
      </c>
      <c r="AT15" s="373">
        <f t="shared" si="12"/>
        <v>2245537.1349999998</v>
      </c>
      <c r="AU15" s="158">
        <v>224620</v>
      </c>
      <c r="AV15" s="275">
        <v>236601.12</v>
      </c>
      <c r="AW15" s="373">
        <f>+AS15+AU15</f>
        <v>2617950</v>
      </c>
      <c r="AX15" s="373">
        <f t="shared" si="13"/>
        <v>2482138.2549999999</v>
      </c>
      <c r="AY15" s="158">
        <v>249620</v>
      </c>
      <c r="AZ15" s="275">
        <v>257456.17499999999</v>
      </c>
      <c r="BA15" s="618">
        <f>+AY15+AU15+AQ15</f>
        <v>723860</v>
      </c>
      <c r="BB15" s="618">
        <f>+AZ15+AV15+AR15</f>
        <v>755439.59499999997</v>
      </c>
      <c r="BC15" s="1049">
        <f>+BA15+AM15</f>
        <v>1464720</v>
      </c>
      <c r="BD15" s="1049">
        <f>+BB15+AN15</f>
        <v>1248966.345</v>
      </c>
      <c r="BE15" s="373">
        <f>+AW15+AY15</f>
        <v>2867570</v>
      </c>
      <c r="BF15" s="43">
        <f t="shared" si="16"/>
        <v>2739594.4299999997</v>
      </c>
      <c r="BG15" s="2534"/>
      <c r="BH15" s="2534"/>
      <c r="BI15" s="2534"/>
      <c r="BJ15" s="3763"/>
      <c r="BK15" s="3763"/>
      <c r="BL15" s="2534"/>
      <c r="BM15" s="3763"/>
      <c r="BN15" s="3763"/>
    </row>
    <row r="16" spans="1:66" ht="13.9" x14ac:dyDescent="0.25">
      <c r="B16" s="1750" t="s">
        <v>808</v>
      </c>
      <c r="C16" s="2942" t="s">
        <v>50</v>
      </c>
      <c r="D16" s="2023"/>
      <c r="E16" s="2647"/>
      <c r="F16" s="2716">
        <v>3370</v>
      </c>
      <c r="G16" s="2647"/>
      <c r="H16" s="2716">
        <v>2255</v>
      </c>
      <c r="I16" s="2648"/>
      <c r="J16" s="3021">
        <f t="shared" si="5"/>
        <v>5625</v>
      </c>
      <c r="K16" s="2647"/>
      <c r="L16" s="2716">
        <v>2392</v>
      </c>
      <c r="M16" s="2649"/>
      <c r="N16" s="2649">
        <f t="shared" si="6"/>
        <v>8017</v>
      </c>
      <c r="O16" s="2647"/>
      <c r="P16" s="2716">
        <v>2490</v>
      </c>
      <c r="Q16" s="2648"/>
      <c r="R16" s="3021">
        <f t="shared" si="7"/>
        <v>10507</v>
      </c>
      <c r="S16" s="2647"/>
      <c r="T16" s="2716">
        <v>904</v>
      </c>
      <c r="U16" s="2648"/>
      <c r="V16" s="3021">
        <f t="shared" si="8"/>
        <v>11411</v>
      </c>
      <c r="W16" s="2647"/>
      <c r="X16" s="2716">
        <v>550</v>
      </c>
      <c r="Y16" s="2649"/>
      <c r="Z16" s="2649">
        <f t="shared" ref="Y16:Z24" si="18">+X16+T16+P16</f>
        <v>3944</v>
      </c>
      <c r="AA16" s="2693"/>
      <c r="AB16" s="2693">
        <f t="shared" si="17"/>
        <v>11961</v>
      </c>
      <c r="AC16" s="2647"/>
      <c r="AD16" s="2716">
        <v>4131</v>
      </c>
      <c r="AE16" s="2648"/>
      <c r="AF16" s="2648">
        <f t="shared" si="9"/>
        <v>16092</v>
      </c>
      <c r="AG16" s="2647"/>
      <c r="AH16" s="2716">
        <v>114</v>
      </c>
      <c r="AI16" s="2648"/>
      <c r="AJ16" s="2648">
        <f t="shared" si="10"/>
        <v>16206</v>
      </c>
      <c r="AK16" s="2647"/>
      <c r="AL16" s="2716">
        <v>2807</v>
      </c>
      <c r="AM16" s="2649"/>
      <c r="AN16" s="2649">
        <f t="shared" ref="AN16:AN20" si="19">+AL16+AH16+AD16</f>
        <v>7052</v>
      </c>
      <c r="AO16" s="2648"/>
      <c r="AP16" s="2648">
        <f t="shared" ref="AO16:AP24" si="20">+AL16+AJ16</f>
        <v>19013</v>
      </c>
      <c r="AQ16" s="2647"/>
      <c r="AR16" s="2716">
        <v>3957</v>
      </c>
      <c r="AS16" s="2648"/>
      <c r="AT16" s="2648">
        <f t="shared" si="12"/>
        <v>22970</v>
      </c>
      <c r="AU16" s="2647"/>
      <c r="AV16" s="2716">
        <v>3482</v>
      </c>
      <c r="AW16" s="2648"/>
      <c r="AX16" s="2648">
        <f t="shared" si="13"/>
        <v>26452</v>
      </c>
      <c r="AY16" s="2647"/>
      <c r="AZ16" s="2716">
        <v>7435</v>
      </c>
      <c r="BA16" s="2649"/>
      <c r="BB16" s="2649">
        <f t="shared" ref="BB16:BB20" si="21">+AZ16+AV16+AR16</f>
        <v>14874</v>
      </c>
      <c r="BC16" s="2693"/>
      <c r="BD16" s="2693">
        <f>+BB16+AN16</f>
        <v>21926</v>
      </c>
      <c r="BE16" s="2648"/>
      <c r="BF16" s="39">
        <f t="shared" si="16"/>
        <v>33887</v>
      </c>
      <c r="BG16" s="2534"/>
      <c r="BH16" s="2534"/>
      <c r="BI16" s="2534"/>
      <c r="BJ16" s="3763"/>
      <c r="BK16" s="3763"/>
      <c r="BL16" s="2534"/>
      <c r="BM16" s="3763"/>
      <c r="BN16" s="3763"/>
    </row>
    <row r="17" spans="1:66" ht="13.9" x14ac:dyDescent="0.25">
      <c r="B17" s="1750" t="s">
        <v>809</v>
      </c>
      <c r="C17" s="2942" t="s">
        <v>50</v>
      </c>
      <c r="D17" s="2023"/>
      <c r="E17" s="2647"/>
      <c r="F17" s="2716">
        <v>3462.8999999999996</v>
      </c>
      <c r="G17" s="2647"/>
      <c r="H17" s="2716">
        <v>3789.7999999999997</v>
      </c>
      <c r="I17" s="2648"/>
      <c r="J17" s="3021">
        <f t="shared" si="5"/>
        <v>7252.6999999999989</v>
      </c>
      <c r="K17" s="2647"/>
      <c r="L17" s="2716">
        <v>5415.2</v>
      </c>
      <c r="M17" s="2649"/>
      <c r="N17" s="2649">
        <f t="shared" si="6"/>
        <v>12667.9</v>
      </c>
      <c r="O17" s="2647"/>
      <c r="P17" s="2716">
        <v>8216.6</v>
      </c>
      <c r="Q17" s="2648"/>
      <c r="R17" s="3021">
        <f t="shared" si="7"/>
        <v>20884.5</v>
      </c>
      <c r="S17" s="2647"/>
      <c r="T17" s="2716">
        <v>7341.5999999999995</v>
      </c>
      <c r="U17" s="2648"/>
      <c r="V17" s="2648">
        <f t="shared" si="8"/>
        <v>28226.1</v>
      </c>
      <c r="W17" s="2647"/>
      <c r="X17" s="2716">
        <v>7070</v>
      </c>
      <c r="Y17" s="2649"/>
      <c r="Z17" s="2649">
        <f t="shared" si="18"/>
        <v>22628.199999999997</v>
      </c>
      <c r="AA17" s="2693"/>
      <c r="AB17" s="2693">
        <f t="shared" si="17"/>
        <v>35296.1</v>
      </c>
      <c r="AC17" s="2647"/>
      <c r="AD17" s="2716">
        <v>2691.5</v>
      </c>
      <c r="AE17" s="2648"/>
      <c r="AF17" s="2648">
        <f t="shared" si="9"/>
        <v>37987.599999999999</v>
      </c>
      <c r="AG17" s="2647"/>
      <c r="AH17" s="2716">
        <v>137.19999999999999</v>
      </c>
      <c r="AI17" s="2648"/>
      <c r="AJ17" s="2648">
        <f t="shared" si="10"/>
        <v>38124.799999999996</v>
      </c>
      <c r="AK17" s="2647"/>
      <c r="AL17" s="2716">
        <v>4830.7</v>
      </c>
      <c r="AM17" s="2649"/>
      <c r="AN17" s="2649">
        <f t="shared" si="19"/>
        <v>7659.4</v>
      </c>
      <c r="AO17" s="2648"/>
      <c r="AP17" s="2648">
        <f t="shared" si="20"/>
        <v>42955.499999999993</v>
      </c>
      <c r="AQ17" s="2647"/>
      <c r="AR17" s="2716">
        <v>4721.5</v>
      </c>
      <c r="AS17" s="2648"/>
      <c r="AT17" s="2648">
        <f t="shared" si="12"/>
        <v>47676.999999999993</v>
      </c>
      <c r="AU17" s="2647"/>
      <c r="AV17" s="2716">
        <v>3861.2</v>
      </c>
      <c r="AW17" s="2648"/>
      <c r="AX17" s="2648">
        <f t="shared" si="13"/>
        <v>51538.19999999999</v>
      </c>
      <c r="AY17" s="2647"/>
      <c r="AZ17" s="2716">
        <v>1838.1999999999998</v>
      </c>
      <c r="BA17" s="2649"/>
      <c r="BB17" s="2649">
        <f t="shared" si="21"/>
        <v>10420.9</v>
      </c>
      <c r="BC17" s="2693"/>
      <c r="BD17" s="2693">
        <f>+BB17+AN17</f>
        <v>18080.3</v>
      </c>
      <c r="BE17" s="2648"/>
      <c r="BF17" s="39">
        <f t="shared" si="16"/>
        <v>53376.399999999987</v>
      </c>
      <c r="BG17" s="2534"/>
      <c r="BH17" s="2534"/>
      <c r="BI17" s="2534"/>
      <c r="BJ17" s="3763"/>
      <c r="BK17" s="3763"/>
      <c r="BL17" s="2534"/>
      <c r="BM17" s="3763"/>
      <c r="BN17" s="3763"/>
    </row>
    <row r="18" spans="1:66" ht="13.9" x14ac:dyDescent="0.25">
      <c r="B18" s="1750" t="s">
        <v>1025</v>
      </c>
      <c r="C18" s="2942" t="s">
        <v>50</v>
      </c>
      <c r="D18" s="2023"/>
      <c r="E18" s="2647"/>
      <c r="F18" s="2716">
        <v>863</v>
      </c>
      <c r="G18" s="2647"/>
      <c r="H18" s="2716">
        <v>626</v>
      </c>
      <c r="I18" s="2648"/>
      <c r="J18" s="2648">
        <f t="shared" si="5"/>
        <v>1489</v>
      </c>
      <c r="K18" s="2647"/>
      <c r="L18" s="2716">
        <v>597</v>
      </c>
      <c r="M18" s="2649"/>
      <c r="N18" s="2649">
        <f t="shared" si="6"/>
        <v>2086</v>
      </c>
      <c r="O18" s="2647"/>
      <c r="P18" s="2716">
        <v>588</v>
      </c>
      <c r="Q18" s="2648"/>
      <c r="R18" s="3021">
        <f t="shared" si="7"/>
        <v>2674</v>
      </c>
      <c r="S18" s="2647"/>
      <c r="T18" s="2716">
        <v>352.5</v>
      </c>
      <c r="U18" s="2648"/>
      <c r="V18" s="2648">
        <f t="shared" si="8"/>
        <v>3026.5</v>
      </c>
      <c r="W18" s="2647"/>
      <c r="X18" s="2716">
        <v>102</v>
      </c>
      <c r="Y18" s="2649"/>
      <c r="Z18" s="2649">
        <f t="shared" si="18"/>
        <v>1042.5</v>
      </c>
      <c r="AA18" s="2693"/>
      <c r="AB18" s="2693">
        <f t="shared" si="17"/>
        <v>3128.5</v>
      </c>
      <c r="AC18" s="2647"/>
      <c r="AD18" s="2716">
        <v>732</v>
      </c>
      <c r="AE18" s="2648"/>
      <c r="AF18" s="2648">
        <f t="shared" si="9"/>
        <v>3860.5</v>
      </c>
      <c r="AG18" s="2647"/>
      <c r="AH18" s="2716">
        <v>75</v>
      </c>
      <c r="AI18" s="2648"/>
      <c r="AJ18" s="2648">
        <f t="shared" si="10"/>
        <v>3935.5</v>
      </c>
      <c r="AK18" s="2647"/>
      <c r="AL18" s="2716">
        <v>1208.5</v>
      </c>
      <c r="AM18" s="2649"/>
      <c r="AN18" s="2649">
        <f t="shared" si="19"/>
        <v>2015.5</v>
      </c>
      <c r="AO18" s="2648"/>
      <c r="AP18" s="2648">
        <f t="shared" si="20"/>
        <v>5144</v>
      </c>
      <c r="AQ18" s="2647"/>
      <c r="AR18" s="2716">
        <v>554</v>
      </c>
      <c r="AS18" s="2648"/>
      <c r="AT18" s="2648">
        <f t="shared" si="12"/>
        <v>5698</v>
      </c>
      <c r="AU18" s="2647"/>
      <c r="AV18" s="2716">
        <v>615</v>
      </c>
      <c r="AW18" s="2648"/>
      <c r="AX18" s="2648">
        <f t="shared" si="13"/>
        <v>6313</v>
      </c>
      <c r="AY18" s="2647"/>
      <c r="AZ18" s="2716">
        <v>70</v>
      </c>
      <c r="BA18" s="2649"/>
      <c r="BB18" s="2649">
        <f t="shared" si="21"/>
        <v>1239</v>
      </c>
      <c r="BC18" s="2693"/>
      <c r="BD18" s="2693">
        <f>+BB18+AN18</f>
        <v>3254.5</v>
      </c>
      <c r="BE18" s="2648"/>
      <c r="BF18" s="39">
        <f t="shared" si="16"/>
        <v>6383</v>
      </c>
      <c r="BG18" s="2534"/>
      <c r="BH18" s="2534"/>
      <c r="BI18" s="2534"/>
      <c r="BJ18" s="3763"/>
      <c r="BK18" s="3763"/>
      <c r="BL18" s="2534"/>
      <c r="BM18" s="3763"/>
      <c r="BN18" s="3763"/>
    </row>
    <row r="19" spans="1:66" ht="13.9" x14ac:dyDescent="0.25">
      <c r="A19" s="4" t="s">
        <v>470</v>
      </c>
      <c r="B19" s="3424" t="s">
        <v>281</v>
      </c>
      <c r="C19" s="2942" t="s">
        <v>50</v>
      </c>
      <c r="D19" s="155">
        <f>+D5*D90/1000</f>
        <v>105260.7176581681</v>
      </c>
      <c r="E19" s="2716">
        <f>+E5*E90/1000</f>
        <v>9010.1983002832749</v>
      </c>
      <c r="F19" s="2716">
        <f>SUM(F16:F18)</f>
        <v>7695.9</v>
      </c>
      <c r="G19" s="2716">
        <f>+G5*G90/1000</f>
        <v>9297.261567516518</v>
      </c>
      <c r="H19" s="2716">
        <f>SUM(H16:H18)</f>
        <v>6670.7999999999993</v>
      </c>
      <c r="I19" s="2648">
        <f>+E19+G19</f>
        <v>18307.459867799793</v>
      </c>
      <c r="J19" s="2648">
        <f t="shared" si="5"/>
        <v>14366.699999999999</v>
      </c>
      <c r="K19" s="2716">
        <f>+K5*K90/1000</f>
        <v>9010.1983002832749</v>
      </c>
      <c r="L19" s="2716">
        <f>SUM(L16:L18)</f>
        <v>8404.2000000000007</v>
      </c>
      <c r="M19" s="2649">
        <f>+K19+G19+E19</f>
        <v>27317.658168083068</v>
      </c>
      <c r="N19" s="2649">
        <f t="shared" si="6"/>
        <v>22770.9</v>
      </c>
      <c r="O19" s="2716">
        <f>+O5*O90/1000</f>
        <v>9117.847025495752</v>
      </c>
      <c r="P19" s="2716">
        <f>SUM(P16:P18)</f>
        <v>11294.6</v>
      </c>
      <c r="Q19" s="2648">
        <f>+M19+O19</f>
        <v>36435.505193578821</v>
      </c>
      <c r="R19" s="3021">
        <f t="shared" si="7"/>
        <v>34065.5</v>
      </c>
      <c r="S19" s="2716">
        <f>+S5*S90/1000</f>
        <v>9117.847025495752</v>
      </c>
      <c r="T19" s="2716">
        <f>SUM(T16:T18)</f>
        <v>8598.0999999999985</v>
      </c>
      <c r="U19" s="2648">
        <f>+Q19+S19</f>
        <v>45553.352219074572</v>
      </c>
      <c r="V19" s="2648">
        <f t="shared" si="8"/>
        <v>42663.6</v>
      </c>
      <c r="W19" s="2716">
        <f>+W5*W90/1000</f>
        <v>4784.9858356940686</v>
      </c>
      <c r="X19" s="2716">
        <f>SUM(X16:X18)</f>
        <v>7722</v>
      </c>
      <c r="Y19" s="2649">
        <f t="shared" si="18"/>
        <v>23020.679886685575</v>
      </c>
      <c r="Z19" s="2649">
        <f t="shared" si="18"/>
        <v>27614.699999999997</v>
      </c>
      <c r="AA19" s="2693">
        <f>+Y19+M19</f>
        <v>50338.338054768639</v>
      </c>
      <c r="AB19" s="2693">
        <f t="shared" si="17"/>
        <v>50385.599999999999</v>
      </c>
      <c r="AC19" s="2716">
        <f>+AC5*AC90/1000</f>
        <v>8948.6415094339682</v>
      </c>
      <c r="AD19" s="2716">
        <f>SUM(AD16:AD18)</f>
        <v>7554.5</v>
      </c>
      <c r="AE19" s="2648">
        <f>+AA19+AC19</f>
        <v>59286.979564202607</v>
      </c>
      <c r="AF19" s="2648">
        <f t="shared" si="9"/>
        <v>57940.1</v>
      </c>
      <c r="AG19" s="2716">
        <f>+AG5*AG90/1000</f>
        <v>8661.8490566037708</v>
      </c>
      <c r="AH19" s="2716">
        <f>SUM(AH16:AH18)</f>
        <v>326.2</v>
      </c>
      <c r="AI19" s="2648">
        <f>+AE19+AG19</f>
        <v>67948.82862080638</v>
      </c>
      <c r="AJ19" s="2648">
        <f t="shared" si="10"/>
        <v>58266.299999999996</v>
      </c>
      <c r="AK19" s="2716">
        <f>+AK5*AK90/1000</f>
        <v>8948.6415094339682</v>
      </c>
      <c r="AL19" s="2716">
        <f>SUM(AL16:AL18)</f>
        <v>8846.2000000000007</v>
      </c>
      <c r="AM19" s="2649">
        <f t="shared" ref="AM19:AM20" si="22">+AK19+AG19+AC19</f>
        <v>26559.132075471709</v>
      </c>
      <c r="AN19" s="2649">
        <f t="shared" si="19"/>
        <v>16726.900000000001</v>
      </c>
      <c r="AO19" s="2648">
        <f>+AK19+AI19</f>
        <v>76897.470130240341</v>
      </c>
      <c r="AP19" s="2648">
        <f t="shared" si="20"/>
        <v>67112.5</v>
      </c>
      <c r="AQ19" s="2716">
        <f>+AQ5*AQ90/1000</f>
        <v>8948.6415094339682</v>
      </c>
      <c r="AR19" s="2716">
        <f>SUM(AR16:AR18)</f>
        <v>9232.5</v>
      </c>
      <c r="AS19" s="2648">
        <f>+AO19+AQ19</f>
        <v>85846.111639674316</v>
      </c>
      <c r="AT19" s="2648">
        <f t="shared" si="12"/>
        <v>76345</v>
      </c>
      <c r="AU19" s="2716">
        <f>+AU5*AU90/1000</f>
        <v>8052.4150943396035</v>
      </c>
      <c r="AV19" s="2716">
        <f>SUM(AV16:AV18)</f>
        <v>7958.2</v>
      </c>
      <c r="AW19" s="2648">
        <f>+AS19+AU19</f>
        <v>93898.526734013925</v>
      </c>
      <c r="AX19" s="2648">
        <f t="shared" si="13"/>
        <v>84303.2</v>
      </c>
      <c r="AY19" s="2716">
        <f>+AY5*AY90/1000</f>
        <v>8948.6415094339682</v>
      </c>
      <c r="AZ19" s="2716">
        <f>SUM(AZ16:AZ18)</f>
        <v>9343.2000000000007</v>
      </c>
      <c r="BA19" s="2649">
        <f t="shared" ref="BA19:BA20" si="23">+AY19+AU19+AQ19</f>
        <v>25949.698113207538</v>
      </c>
      <c r="BB19" s="2649">
        <f t="shared" si="21"/>
        <v>26533.9</v>
      </c>
      <c r="BC19" s="2693">
        <f t="shared" ref="BC19:BC20" si="24">+BA19+AM19</f>
        <v>52508.830188679247</v>
      </c>
      <c r="BD19" s="2693">
        <f t="shared" ref="BD19:BD20" si="25">+BB19+AN19</f>
        <v>43260.800000000003</v>
      </c>
      <c r="BE19" s="2648">
        <f>+AW19+AY19</f>
        <v>102847.1682434479</v>
      </c>
      <c r="BF19" s="39">
        <f t="shared" si="16"/>
        <v>93646.399999999994</v>
      </c>
      <c r="BG19" s="2534"/>
      <c r="BH19" s="2534"/>
      <c r="BI19" s="2534"/>
      <c r="BJ19" s="3763"/>
      <c r="BK19" s="3763"/>
      <c r="BL19" s="2534"/>
      <c r="BM19" s="3763"/>
      <c r="BN19" s="3763"/>
    </row>
    <row r="20" spans="1:66" ht="14.45" thickBot="1" x14ac:dyDescent="0.3">
      <c r="A20" s="4" t="s">
        <v>470</v>
      </c>
      <c r="B20" s="1446" t="s">
        <v>282</v>
      </c>
      <c r="C20" s="749" t="s">
        <v>50</v>
      </c>
      <c r="D20" s="3425">
        <v>2841045.0110166827</v>
      </c>
      <c r="E20" s="109">
        <v>243190.23752451516</v>
      </c>
      <c r="F20" s="2338">
        <v>210019</v>
      </c>
      <c r="G20" s="109">
        <v>250938.23394106681</v>
      </c>
      <c r="H20" s="2338">
        <v>239902</v>
      </c>
      <c r="I20" s="589">
        <f>+E20+G20</f>
        <v>494128.47146558197</v>
      </c>
      <c r="J20" s="589">
        <f t="shared" si="5"/>
        <v>449921</v>
      </c>
      <c r="K20" s="109">
        <v>243190.23752451516</v>
      </c>
      <c r="L20" s="2338">
        <v>246853</v>
      </c>
      <c r="M20" s="488">
        <f>+K20+G20+E20</f>
        <v>737318.70899009716</v>
      </c>
      <c r="N20" s="488">
        <f t="shared" si="6"/>
        <v>696774</v>
      </c>
      <c r="O20" s="109">
        <v>246095.73618072201</v>
      </c>
      <c r="P20" s="2338">
        <v>257058</v>
      </c>
      <c r="Q20" s="589">
        <f>+M20+O20</f>
        <v>983414.44517081918</v>
      </c>
      <c r="R20" s="3420">
        <f t="shared" si="7"/>
        <v>953832</v>
      </c>
      <c r="S20" s="109">
        <v>246095.73618072201</v>
      </c>
      <c r="T20" s="2338">
        <v>240774</v>
      </c>
      <c r="U20" s="589">
        <f>+Q20+S20</f>
        <v>1229510.1813515411</v>
      </c>
      <c r="V20" s="589">
        <f t="shared" si="8"/>
        <v>1194606</v>
      </c>
      <c r="W20" s="109">
        <v>129149.41526839545</v>
      </c>
      <c r="X20" s="2338">
        <v>230197</v>
      </c>
      <c r="Y20" s="488">
        <f t="shared" si="18"/>
        <v>621340.88762983948</v>
      </c>
      <c r="Z20" s="488">
        <f t="shared" si="18"/>
        <v>728029</v>
      </c>
      <c r="AA20" s="1143">
        <f>+Y20+M20</f>
        <v>1358659.5966199366</v>
      </c>
      <c r="AB20" s="1143">
        <f t="shared" si="17"/>
        <v>1424803</v>
      </c>
      <c r="AC20" s="109">
        <v>242773.77942034623</v>
      </c>
      <c r="AD20" s="234">
        <v>224848.03</v>
      </c>
      <c r="AE20" s="589">
        <f>+AA20+AC20</f>
        <v>1601433.3760402829</v>
      </c>
      <c r="AF20" s="589">
        <f t="shared" si="9"/>
        <v>1649651.03</v>
      </c>
      <c r="AG20" s="109">
        <v>234993.19198599496</v>
      </c>
      <c r="AH20" s="234">
        <v>8072.66</v>
      </c>
      <c r="AI20" s="589">
        <f>+AE20+AG20</f>
        <v>1836426.5680262779</v>
      </c>
      <c r="AJ20" s="589">
        <f t="shared" si="10"/>
        <v>1657723.69</v>
      </c>
      <c r="AK20" s="109">
        <v>242773.77942034623</v>
      </c>
      <c r="AL20" s="234">
        <v>237849.71</v>
      </c>
      <c r="AM20" s="488">
        <f t="shared" si="22"/>
        <v>720540.75082668744</v>
      </c>
      <c r="AN20" s="488">
        <f t="shared" si="19"/>
        <v>470770.4</v>
      </c>
      <c r="AO20" s="589">
        <f>+AK20+AI20</f>
        <v>2079200.3474466242</v>
      </c>
      <c r="AP20" s="589">
        <f t="shared" si="20"/>
        <v>1895573.4</v>
      </c>
      <c r="AQ20" s="109">
        <v>242773.77942034623</v>
      </c>
      <c r="AR20" s="234">
        <v>249242</v>
      </c>
      <c r="AS20" s="589">
        <f>+AO20+AQ20</f>
        <v>2321974.1268669702</v>
      </c>
      <c r="AT20" s="589">
        <f t="shared" si="12"/>
        <v>2144815.4</v>
      </c>
      <c r="AU20" s="109">
        <v>218459.44368799846</v>
      </c>
      <c r="AV20" s="234">
        <v>225851</v>
      </c>
      <c r="AW20" s="589">
        <f>+AS20+AU20</f>
        <v>2540433.5705549689</v>
      </c>
      <c r="AX20" s="589">
        <f t="shared" si="13"/>
        <v>2370666.4</v>
      </c>
      <c r="AY20" s="109">
        <v>242773.77942034623</v>
      </c>
      <c r="AZ20" s="234">
        <v>246832</v>
      </c>
      <c r="BA20" s="488">
        <f t="shared" si="23"/>
        <v>704007.00252869097</v>
      </c>
      <c r="BB20" s="488">
        <f t="shared" si="21"/>
        <v>721925</v>
      </c>
      <c r="BC20" s="1143">
        <f t="shared" si="24"/>
        <v>1424547.7533553783</v>
      </c>
      <c r="BD20" s="1143">
        <f t="shared" si="25"/>
        <v>1192695.3999999999</v>
      </c>
      <c r="BE20" s="589">
        <f>+AW20+AY20</f>
        <v>2783207.3499753149</v>
      </c>
      <c r="BF20" s="44">
        <f t="shared" si="16"/>
        <v>2617498.4</v>
      </c>
      <c r="BG20" s="2534"/>
      <c r="BH20" s="2534"/>
      <c r="BI20" s="2534"/>
      <c r="BJ20" s="3763"/>
      <c r="BK20" s="3763"/>
      <c r="BL20" s="2534"/>
      <c r="BM20" s="3763"/>
      <c r="BN20" s="3763"/>
    </row>
    <row r="21" spans="1:66" ht="13.9" x14ac:dyDescent="0.25">
      <c r="A21" s="1274" t="s">
        <v>470</v>
      </c>
      <c r="B21" s="3400" t="s">
        <v>298</v>
      </c>
      <c r="C21" s="891"/>
      <c r="D21" s="890"/>
      <c r="E21" s="3401"/>
      <c r="F21" s="3401"/>
      <c r="G21" s="3401"/>
      <c r="H21" s="3401"/>
      <c r="I21" s="3401"/>
      <c r="J21" s="3401"/>
      <c r="K21" s="3401"/>
      <c r="L21" s="3401"/>
      <c r="M21" s="3401"/>
      <c r="N21" s="3401"/>
      <c r="O21" s="3401"/>
      <c r="P21" s="3401"/>
      <c r="Q21" s="3401"/>
      <c r="R21" s="3401"/>
      <c r="S21" s="3401"/>
      <c r="T21" s="3401"/>
      <c r="U21" s="3401"/>
      <c r="V21" s="3401"/>
      <c r="W21" s="3401"/>
      <c r="X21" s="3401"/>
      <c r="Y21" s="3401"/>
      <c r="Z21" s="3401"/>
      <c r="AA21" s="3401"/>
      <c r="AB21" s="3401"/>
      <c r="AC21" s="3401"/>
      <c r="AD21" s="3401"/>
      <c r="AE21" s="3401"/>
      <c r="AF21" s="3401"/>
      <c r="AG21" s="3401"/>
      <c r="AH21" s="3401"/>
      <c r="AI21" s="3401"/>
      <c r="AJ21" s="3401"/>
      <c r="AK21" s="3401"/>
      <c r="AL21" s="3401"/>
      <c r="AM21" s="3401"/>
      <c r="AN21" s="3401"/>
      <c r="AO21" s="3401"/>
      <c r="AP21" s="3401"/>
      <c r="AQ21" s="3401"/>
      <c r="AR21" s="3401"/>
      <c r="AS21" s="3401"/>
      <c r="AT21" s="3401"/>
      <c r="AU21" s="3401"/>
      <c r="AV21" s="3401"/>
      <c r="AW21" s="3401"/>
      <c r="AX21" s="3401"/>
      <c r="AY21" s="3401"/>
      <c r="AZ21" s="3401"/>
      <c r="BA21" s="3401"/>
      <c r="BB21" s="3401"/>
      <c r="BC21" s="3401"/>
      <c r="BD21" s="3401"/>
      <c r="BE21" s="3401"/>
      <c r="BF21" s="2537"/>
      <c r="BG21" s="2534"/>
      <c r="BH21" s="2534"/>
      <c r="BI21" s="2534"/>
      <c r="BJ21" s="3763"/>
      <c r="BK21" s="3763"/>
      <c r="BL21" s="2534"/>
      <c r="BM21" s="3763"/>
      <c r="BN21" s="3763"/>
    </row>
    <row r="22" spans="1:66" ht="15" x14ac:dyDescent="0.25">
      <c r="A22" s="4" t="s">
        <v>470</v>
      </c>
      <c r="B22" s="1760" t="s">
        <v>283</v>
      </c>
      <c r="C22" s="60" t="s">
        <v>175</v>
      </c>
      <c r="D22" s="5693">
        <f>+D29/150</f>
        <v>13189.747716727199</v>
      </c>
      <c r="E22" s="6081">
        <f>+E29/150</f>
        <v>1144.5008359058334</v>
      </c>
      <c r="F22" s="2716">
        <v>401</v>
      </c>
      <c r="G22" s="6081">
        <f>+G29/150</f>
        <v>1173.7546331938931</v>
      </c>
      <c r="H22" s="2716">
        <v>524</v>
      </c>
      <c r="I22" s="6082">
        <f>+E22+G22</f>
        <v>2318.2554690997267</v>
      </c>
      <c r="J22" s="3021">
        <f>+F22+H22</f>
        <v>925</v>
      </c>
      <c r="K22" s="6081">
        <f>+K29/150</f>
        <v>1140.9828060025734</v>
      </c>
      <c r="L22" s="2716">
        <v>541</v>
      </c>
      <c r="M22" s="6086">
        <f>+K22+G22+E22</f>
        <v>3459.2382751023001</v>
      </c>
      <c r="N22" s="2649">
        <f>+L22+H22+F22</f>
        <v>1466</v>
      </c>
      <c r="O22" s="6081">
        <f>+O29/150</f>
        <v>1142.2783977516533</v>
      </c>
      <c r="P22" s="2716">
        <v>587</v>
      </c>
      <c r="Q22" s="6082">
        <f>+M22+O22</f>
        <v>4601.5166728539534</v>
      </c>
      <c r="R22" s="3021">
        <f>+N22+P22</f>
        <v>2053</v>
      </c>
      <c r="S22" s="6081">
        <f>+S29/150</f>
        <v>1142.2783977516533</v>
      </c>
      <c r="T22" s="2716">
        <v>512</v>
      </c>
      <c r="U22" s="6082">
        <f>+Q22+S22</f>
        <v>5743.7950706056072</v>
      </c>
      <c r="V22" s="3021">
        <f>+R22+T22</f>
        <v>2565</v>
      </c>
      <c r="W22" s="6081">
        <f>+W29/150</f>
        <v>603.76319572653995</v>
      </c>
      <c r="X22" s="2716">
        <v>490</v>
      </c>
      <c r="Y22" s="6086">
        <f>+W22+S22+O22</f>
        <v>2888.3199912298464</v>
      </c>
      <c r="Z22" s="2649">
        <f t="shared" si="18"/>
        <v>1589</v>
      </c>
      <c r="AA22" s="6087">
        <f>+Y22+M22</f>
        <v>6347.5582663321466</v>
      </c>
      <c r="AB22" s="3403">
        <f t="shared" si="17"/>
        <v>3055</v>
      </c>
      <c r="AC22" s="6081">
        <f>+AC29/150</f>
        <v>1185</v>
      </c>
      <c r="AD22" s="2716">
        <v>486</v>
      </c>
      <c r="AE22" s="6082">
        <f>+AA22+AC22</f>
        <v>7532.5582663321466</v>
      </c>
      <c r="AF22" s="3021">
        <f>+AB22+AD22</f>
        <v>3541</v>
      </c>
      <c r="AG22" s="6081">
        <f>+AG29/150</f>
        <v>1145.5</v>
      </c>
      <c r="AH22" s="2716">
        <v>26</v>
      </c>
      <c r="AI22" s="6082">
        <f>+AE22+AG22</f>
        <v>8678.0582663321475</v>
      </c>
      <c r="AJ22" s="3021">
        <f>+AF22+AH22</f>
        <v>3567</v>
      </c>
      <c r="AK22" s="6081">
        <f>+AK29/150</f>
        <v>1185.6030000000001</v>
      </c>
      <c r="AL22" s="2716">
        <v>500</v>
      </c>
      <c r="AM22" s="6086">
        <f>+AK22+AG22+AC22</f>
        <v>3516.1030000000001</v>
      </c>
      <c r="AN22" s="2649">
        <f t="shared" ref="AN22:AN24" si="26">+AL22+AH22+AD22</f>
        <v>1012</v>
      </c>
      <c r="AO22" s="6082">
        <f>+AK22+AI22</f>
        <v>9863.6612663321466</v>
      </c>
      <c r="AP22" s="2648">
        <f t="shared" si="20"/>
        <v>4067</v>
      </c>
      <c r="AQ22" s="6081">
        <f>+AQ29/150</f>
        <v>1185</v>
      </c>
      <c r="AR22" s="2716">
        <v>585</v>
      </c>
      <c r="AS22" s="6082">
        <f>+AO22+AQ22</f>
        <v>11048.661266332147</v>
      </c>
      <c r="AT22" s="3021">
        <f>+AP22+AR22</f>
        <v>4652</v>
      </c>
      <c r="AU22" s="6081">
        <f>+AU29/150</f>
        <v>1066.5</v>
      </c>
      <c r="AV22" s="2716">
        <v>510</v>
      </c>
      <c r="AW22" s="6082">
        <f>+AS22+AU22</f>
        <v>12115.161266332147</v>
      </c>
      <c r="AX22" s="3021">
        <f>+AT22+AV22</f>
        <v>5162</v>
      </c>
      <c r="AY22" s="6081">
        <f>+AY29/150</f>
        <v>1185</v>
      </c>
      <c r="AZ22" s="2716">
        <v>509</v>
      </c>
      <c r="BA22" s="6086">
        <f>+AY22+AU22+AQ22</f>
        <v>3436.5</v>
      </c>
      <c r="BB22" s="2649">
        <f t="shared" ref="BB22:BB24" si="27">+AZ22+AV22+AR22</f>
        <v>1604</v>
      </c>
      <c r="BC22" s="6087">
        <f>+BA22+AM22</f>
        <v>6952.6030000000001</v>
      </c>
      <c r="BD22" s="2693">
        <f t="shared" ref="BD22:BD24" si="28">+BB22+AN22</f>
        <v>2616</v>
      </c>
      <c r="BE22" s="6082">
        <f>+AW22+AY22</f>
        <v>13300.161266332147</v>
      </c>
      <c r="BF22" s="3216">
        <f>+AX22+AZ22</f>
        <v>5671</v>
      </c>
      <c r="BG22" s="2534"/>
      <c r="BH22" s="2534"/>
      <c r="BI22" s="2534"/>
      <c r="BJ22" s="3763"/>
      <c r="BK22" s="3763"/>
      <c r="BL22" s="2534"/>
      <c r="BM22" s="3763"/>
      <c r="BN22" s="3763"/>
    </row>
    <row r="23" spans="1:66" ht="15" x14ac:dyDescent="0.25">
      <c r="A23" s="4" t="s">
        <v>470</v>
      </c>
      <c r="B23" s="1750" t="s">
        <v>284</v>
      </c>
      <c r="C23" s="2942" t="s">
        <v>175</v>
      </c>
      <c r="D23" s="5693"/>
      <c r="E23" s="6081"/>
      <c r="F23" s="2716">
        <v>553</v>
      </c>
      <c r="G23" s="6081"/>
      <c r="H23" s="2716">
        <v>599</v>
      </c>
      <c r="I23" s="6082"/>
      <c r="J23" s="3021">
        <f>+F23+H23</f>
        <v>1152</v>
      </c>
      <c r="K23" s="6081"/>
      <c r="L23" s="2716">
        <v>626</v>
      </c>
      <c r="M23" s="6086"/>
      <c r="N23" s="2649">
        <f>+L23+H23+F23</f>
        <v>1778</v>
      </c>
      <c r="O23" s="6081"/>
      <c r="P23" s="2716">
        <v>611</v>
      </c>
      <c r="Q23" s="6082"/>
      <c r="R23" s="3021">
        <f>+N23+P23</f>
        <v>2389</v>
      </c>
      <c r="S23" s="6081"/>
      <c r="T23" s="2716">
        <v>633</v>
      </c>
      <c r="U23" s="6082"/>
      <c r="V23" s="3021">
        <f>+R23+T23</f>
        <v>3022</v>
      </c>
      <c r="W23" s="6081"/>
      <c r="X23" s="2716">
        <v>612</v>
      </c>
      <c r="Y23" s="6086"/>
      <c r="Z23" s="2649">
        <f t="shared" si="18"/>
        <v>1856</v>
      </c>
      <c r="AA23" s="6087"/>
      <c r="AB23" s="3403">
        <f t="shared" si="17"/>
        <v>3634</v>
      </c>
      <c r="AC23" s="6081"/>
      <c r="AD23" s="2716">
        <v>606</v>
      </c>
      <c r="AE23" s="6082"/>
      <c r="AF23" s="3021">
        <f>+AB23+AD23</f>
        <v>4240</v>
      </c>
      <c r="AG23" s="6081"/>
      <c r="AH23" s="2716">
        <v>26</v>
      </c>
      <c r="AI23" s="6082"/>
      <c r="AJ23" s="3021">
        <f>+AF23+AH23</f>
        <v>4266</v>
      </c>
      <c r="AK23" s="6081"/>
      <c r="AL23" s="2716">
        <v>644</v>
      </c>
      <c r="AM23" s="6086"/>
      <c r="AN23" s="2649">
        <f t="shared" si="26"/>
        <v>1276</v>
      </c>
      <c r="AO23" s="6082"/>
      <c r="AP23" s="2648">
        <f t="shared" si="20"/>
        <v>4910</v>
      </c>
      <c r="AQ23" s="6081"/>
      <c r="AR23" s="2716">
        <v>604</v>
      </c>
      <c r="AS23" s="6082"/>
      <c r="AT23" s="3021">
        <f>+AP23+AR23</f>
        <v>5514</v>
      </c>
      <c r="AU23" s="6081"/>
      <c r="AV23" s="2716">
        <v>553</v>
      </c>
      <c r="AW23" s="6082"/>
      <c r="AX23" s="3021">
        <f>+AT23+AV23</f>
        <v>6067</v>
      </c>
      <c r="AY23" s="6081"/>
      <c r="AZ23" s="2716">
        <v>599</v>
      </c>
      <c r="BA23" s="6086"/>
      <c r="BB23" s="2649">
        <f t="shared" si="27"/>
        <v>1756</v>
      </c>
      <c r="BC23" s="6087"/>
      <c r="BD23" s="2693">
        <f t="shared" si="28"/>
        <v>3032</v>
      </c>
      <c r="BE23" s="6082"/>
      <c r="BF23" s="3216">
        <f>+AX23+AZ23</f>
        <v>6666</v>
      </c>
      <c r="BG23" s="2534"/>
      <c r="BH23" s="2534"/>
      <c r="BI23" s="2534"/>
      <c r="BJ23" s="3763"/>
      <c r="BK23" s="3763"/>
      <c r="BL23" s="2534"/>
      <c r="BM23" s="3763"/>
      <c r="BN23" s="3763"/>
    </row>
    <row r="24" spans="1:66" ht="14.45" thickBot="1" x14ac:dyDescent="0.3">
      <c r="A24" s="4" t="s">
        <v>470</v>
      </c>
      <c r="B24" s="1751" t="s">
        <v>285</v>
      </c>
      <c r="C24" s="749" t="s">
        <v>175</v>
      </c>
      <c r="D24" s="155">
        <f>+D38/150</f>
        <v>5277.0448548812665</v>
      </c>
      <c r="E24" s="2716">
        <f>+E38/150</f>
        <v>436.23570800351797</v>
      </c>
      <c r="F24" s="2716">
        <v>369</v>
      </c>
      <c r="G24" s="2716">
        <f>+G38/150</f>
        <v>457.34388742304327</v>
      </c>
      <c r="H24" s="2716">
        <v>393</v>
      </c>
      <c r="I24" s="2648">
        <f>+E24+G24</f>
        <v>893.57959542656124</v>
      </c>
      <c r="J24" s="3021">
        <f>+F24+H24</f>
        <v>762</v>
      </c>
      <c r="K24" s="2716">
        <f>+K38/150</f>
        <v>439.7537379067727</v>
      </c>
      <c r="L24" s="2716">
        <v>389</v>
      </c>
      <c r="M24" s="2649">
        <f>+K24+G24+E24</f>
        <v>1333.3333333333339</v>
      </c>
      <c r="N24" s="2649">
        <f>+L24+H24+F24</f>
        <v>1151</v>
      </c>
      <c r="O24" s="2716">
        <f>+O38/150</f>
        <v>457.3438874230427</v>
      </c>
      <c r="P24" s="2716">
        <v>412</v>
      </c>
      <c r="Q24" s="2648">
        <f>+M24+O24</f>
        <v>1790.6772207563768</v>
      </c>
      <c r="R24" s="3021">
        <f>+N24+P24</f>
        <v>1563</v>
      </c>
      <c r="S24" s="2716">
        <f>+S38/150</f>
        <v>457.3438874230427</v>
      </c>
      <c r="T24" s="2716">
        <v>370</v>
      </c>
      <c r="U24" s="2648">
        <f>+Q24+S24</f>
        <v>2248.0211081794196</v>
      </c>
      <c r="V24" s="3021">
        <f>+R24+T24</f>
        <v>1933</v>
      </c>
      <c r="W24" s="2716">
        <f>+W38/150</f>
        <v>235.70800351803064</v>
      </c>
      <c r="X24" s="2716">
        <v>346</v>
      </c>
      <c r="Y24" s="2649">
        <f t="shared" si="18"/>
        <v>1150.395778364116</v>
      </c>
      <c r="Z24" s="2649">
        <f t="shared" si="18"/>
        <v>1128</v>
      </c>
      <c r="AA24" s="2693">
        <f>+Y24+M24</f>
        <v>2483.7291116974502</v>
      </c>
      <c r="AB24" s="3403">
        <f t="shared" si="17"/>
        <v>2279</v>
      </c>
      <c r="AC24" s="2716">
        <f>+AC38/150</f>
        <v>384.93710691823895</v>
      </c>
      <c r="AD24" s="2716">
        <v>359</v>
      </c>
      <c r="AE24" s="2648">
        <f>+AA24+AC24</f>
        <v>2868.6662186156891</v>
      </c>
      <c r="AF24" s="3021">
        <f>+AB24+AD24</f>
        <v>2638</v>
      </c>
      <c r="AG24" s="2716">
        <f>+AG38/150</f>
        <v>374.122641509434</v>
      </c>
      <c r="AH24" s="2716">
        <v>0</v>
      </c>
      <c r="AI24" s="2648">
        <f>+AE24+AG24</f>
        <v>3242.7888601251229</v>
      </c>
      <c r="AJ24" s="3021">
        <f>+AF24+AH24</f>
        <v>2638</v>
      </c>
      <c r="AK24" s="2716">
        <f>+AK38/150</f>
        <v>384.33410691823866</v>
      </c>
      <c r="AL24" s="2716">
        <v>387</v>
      </c>
      <c r="AM24" s="2649">
        <f t="shared" ref="AM24" si="29">+AK24+AG24+AC24</f>
        <v>1143.3938553459116</v>
      </c>
      <c r="AN24" s="2649">
        <f t="shared" si="26"/>
        <v>746</v>
      </c>
      <c r="AO24" s="2648">
        <f t="shared" si="20"/>
        <v>3627.1229670433618</v>
      </c>
      <c r="AP24" s="2648">
        <f t="shared" si="20"/>
        <v>3025</v>
      </c>
      <c r="AQ24" s="2716">
        <f>+AQ38/150</f>
        <v>384.93710691823867</v>
      </c>
      <c r="AR24" s="2716">
        <v>410</v>
      </c>
      <c r="AS24" s="2648">
        <f>+AO24+AQ24</f>
        <v>4012.0600739616002</v>
      </c>
      <c r="AT24" s="3021">
        <f>+AP24+AR24</f>
        <v>3435</v>
      </c>
      <c r="AU24" s="2716">
        <f>+AU38/150</f>
        <v>346.20440251572336</v>
      </c>
      <c r="AV24" s="2716">
        <v>380</v>
      </c>
      <c r="AW24" s="2648">
        <f>+AS24+AU24</f>
        <v>4358.2644764773231</v>
      </c>
      <c r="AX24" s="3021">
        <f>+AT24+AV24</f>
        <v>3815</v>
      </c>
      <c r="AY24" s="2716">
        <f>+AY38/150</f>
        <v>384.93710691823867</v>
      </c>
      <c r="AZ24" s="2716">
        <v>464</v>
      </c>
      <c r="BA24" s="2649">
        <f t="shared" ref="BA24" si="30">+AY24+AU24+AQ24</f>
        <v>1116.0786163522007</v>
      </c>
      <c r="BB24" s="2649">
        <f t="shared" si="27"/>
        <v>1254</v>
      </c>
      <c r="BC24" s="2693">
        <f>+BA24+AM24</f>
        <v>2259.4724716981123</v>
      </c>
      <c r="BD24" s="2693">
        <f t="shared" si="28"/>
        <v>2000</v>
      </c>
      <c r="BE24" s="2648">
        <f>+AW24+AY24</f>
        <v>4743.201583395562</v>
      </c>
      <c r="BF24" s="3216">
        <f>+AX24+AZ24</f>
        <v>4279</v>
      </c>
      <c r="BG24" s="2534"/>
      <c r="BH24" s="2534"/>
      <c r="BI24" s="2534"/>
      <c r="BJ24" s="3763"/>
      <c r="BK24" s="3763"/>
      <c r="BL24" s="2534"/>
      <c r="BM24" s="3763"/>
      <c r="BN24" s="3763"/>
    </row>
    <row r="25" spans="1:66" ht="14.45" thickBot="1" x14ac:dyDescent="0.3">
      <c r="B25" s="2350" t="s">
        <v>286</v>
      </c>
      <c r="C25" s="3405" t="s">
        <v>175</v>
      </c>
      <c r="D25" s="3426">
        <f t="shared" ref="D25:J25" si="31">SUM(D22:D24)</f>
        <v>18466.792571608465</v>
      </c>
      <c r="E25" s="3427">
        <f t="shared" si="31"/>
        <v>1580.7365439093514</v>
      </c>
      <c r="F25" s="3258">
        <f t="shared" si="31"/>
        <v>1323</v>
      </c>
      <c r="G25" s="3427">
        <f t="shared" ref="G25:H25" si="32">SUM(G22:G24)</f>
        <v>1631.0985206169364</v>
      </c>
      <c r="H25" s="3258">
        <f t="shared" si="32"/>
        <v>1516</v>
      </c>
      <c r="I25" s="3428">
        <f t="shared" si="31"/>
        <v>3211.8350645262881</v>
      </c>
      <c r="J25" s="3256">
        <f t="shared" si="31"/>
        <v>2839</v>
      </c>
      <c r="K25" s="3427">
        <f t="shared" ref="K25:L25" si="33">SUM(K22:K24)</f>
        <v>1580.736543909346</v>
      </c>
      <c r="L25" s="3258">
        <f t="shared" si="33"/>
        <v>1556</v>
      </c>
      <c r="M25" s="3429">
        <f t="shared" ref="M25:R25" si="34">SUM(M22:M24)</f>
        <v>4792.5716084356336</v>
      </c>
      <c r="N25" s="3393">
        <f t="shared" si="34"/>
        <v>4395</v>
      </c>
      <c r="O25" s="3427">
        <f t="shared" si="34"/>
        <v>1599.6222851746961</v>
      </c>
      <c r="P25" s="3258">
        <f t="shared" si="34"/>
        <v>1610</v>
      </c>
      <c r="Q25" s="3428">
        <f t="shared" si="34"/>
        <v>6392.1938936103306</v>
      </c>
      <c r="R25" s="3256">
        <f t="shared" si="34"/>
        <v>6005</v>
      </c>
      <c r="S25" s="3427">
        <f t="shared" ref="S25:T25" si="35">SUM(S22:S24)</f>
        <v>1599.6222851746961</v>
      </c>
      <c r="T25" s="3258">
        <f t="shared" si="35"/>
        <v>1515</v>
      </c>
      <c r="U25" s="3428">
        <f t="shared" ref="U25:X25" si="36">SUM(U22:U24)</f>
        <v>7991.8161787850268</v>
      </c>
      <c r="V25" s="3256">
        <f t="shared" si="36"/>
        <v>7520</v>
      </c>
      <c r="W25" s="3427">
        <f t="shared" si="36"/>
        <v>839.47119924457058</v>
      </c>
      <c r="X25" s="3258">
        <f t="shared" si="36"/>
        <v>1448</v>
      </c>
      <c r="Y25" s="3429">
        <f t="shared" ref="Y25:AF25" si="37">SUM(Y22:Y24)</f>
        <v>4038.7157695939622</v>
      </c>
      <c r="Z25" s="3393">
        <f t="shared" si="37"/>
        <v>4573</v>
      </c>
      <c r="AA25" s="2680">
        <f t="shared" si="37"/>
        <v>8831.2873780295959</v>
      </c>
      <c r="AB25" s="3394">
        <f t="shared" si="37"/>
        <v>8968</v>
      </c>
      <c r="AC25" s="3427">
        <f>SUM(AC22:AC24)</f>
        <v>1569.9371069182389</v>
      </c>
      <c r="AD25" s="3258">
        <f>SUM(AD22:AD24)</f>
        <v>1451</v>
      </c>
      <c r="AE25" s="3428">
        <f t="shared" si="37"/>
        <v>10401.224484947836</v>
      </c>
      <c r="AF25" s="3256">
        <f t="shared" si="37"/>
        <v>10419</v>
      </c>
      <c r="AG25" s="3427">
        <f>SUM(AG22:AG24)</f>
        <v>1519.6226415094341</v>
      </c>
      <c r="AH25" s="3258">
        <f>SUM(AH22:AH24)</f>
        <v>52</v>
      </c>
      <c r="AI25" s="3428">
        <f t="shared" ref="AI25:AJ25" si="38">SUM(AI22:AI24)</f>
        <v>11920.847126457271</v>
      </c>
      <c r="AJ25" s="3256">
        <f t="shared" si="38"/>
        <v>10471</v>
      </c>
      <c r="AK25" s="3427">
        <f>SUM(AK22:AK24)</f>
        <v>1569.9371069182387</v>
      </c>
      <c r="AL25" s="3258">
        <f>SUM(AL22:AL24)</f>
        <v>1531</v>
      </c>
      <c r="AM25" s="3429">
        <f t="shared" ref="AM25:AT25" si="39">SUM(AM22:AM24)</f>
        <v>4659.4968553459112</v>
      </c>
      <c r="AN25" s="3393">
        <f t="shared" si="39"/>
        <v>3034</v>
      </c>
      <c r="AO25" s="3428">
        <f t="shared" si="39"/>
        <v>13490.784233375509</v>
      </c>
      <c r="AP25" s="3256">
        <f t="shared" si="39"/>
        <v>12002</v>
      </c>
      <c r="AQ25" s="3427">
        <f>SUM(AQ22:AQ24)</f>
        <v>1569.9371069182387</v>
      </c>
      <c r="AR25" s="3258">
        <f>SUM(AR22:AR24)</f>
        <v>1599</v>
      </c>
      <c r="AS25" s="3428">
        <f t="shared" si="39"/>
        <v>15060.721340293747</v>
      </c>
      <c r="AT25" s="3256">
        <f t="shared" si="39"/>
        <v>13601</v>
      </c>
      <c r="AU25" s="3427">
        <f>SUM(AU22:AU24)</f>
        <v>1412.7044025157234</v>
      </c>
      <c r="AV25" s="3258">
        <f>SUM(AV22:AV24)</f>
        <v>1443</v>
      </c>
      <c r="AW25" s="3428">
        <f t="shared" ref="AW25:AX25" si="40">SUM(AW22:AW24)</f>
        <v>16473.425742809472</v>
      </c>
      <c r="AX25" s="3256">
        <f t="shared" si="40"/>
        <v>15044</v>
      </c>
      <c r="AY25" s="3427">
        <f>SUM(AY22:AY24)</f>
        <v>1569.9371069182387</v>
      </c>
      <c r="AZ25" s="3258">
        <f>SUM(AZ22:AZ24)</f>
        <v>1572</v>
      </c>
      <c r="BA25" s="3429">
        <f t="shared" ref="BA25:BD25" si="41">SUM(BA22:BA24)</f>
        <v>4552.5786163522007</v>
      </c>
      <c r="BB25" s="3393">
        <f t="shared" si="41"/>
        <v>4614</v>
      </c>
      <c r="BC25" s="2680">
        <f t="shared" si="41"/>
        <v>9212.0754716981119</v>
      </c>
      <c r="BD25" s="3394">
        <f t="shared" si="41"/>
        <v>7648</v>
      </c>
      <c r="BE25" s="3428">
        <f t="shared" ref="BE25:BF25" si="42">SUM(BE22:BE24)</f>
        <v>18043.36284972771</v>
      </c>
      <c r="BF25" s="913">
        <f t="shared" si="42"/>
        <v>16616</v>
      </c>
      <c r="BG25" s="2534"/>
      <c r="BH25" s="2534"/>
      <c r="BI25" s="2534"/>
      <c r="BJ25" s="3763"/>
      <c r="BK25" s="3763"/>
      <c r="BL25" s="2534"/>
      <c r="BM25" s="3763"/>
      <c r="BN25" s="3763"/>
    </row>
    <row r="26" spans="1:66" ht="14.45" thickBot="1" x14ac:dyDescent="0.3">
      <c r="B26" s="3431" t="s">
        <v>557</v>
      </c>
      <c r="C26" s="3380" t="s">
        <v>353</v>
      </c>
      <c r="D26" s="3432">
        <f>+'Maj Production Summ'!D21</f>
        <v>54.152138305122264</v>
      </c>
      <c r="E26" s="3432">
        <f>+'Maj Production Summ'!E21</f>
        <v>54.508156686529361</v>
      </c>
      <c r="F26" s="3432">
        <f>+'Maj Production Summ'!F21</f>
        <v>49.612499999999997</v>
      </c>
      <c r="G26" s="3432">
        <f>+'Maj Production Summ'!G21</f>
        <v>54.369950687231139</v>
      </c>
      <c r="H26" s="3432">
        <f>+'Maj Production Summ'!H21</f>
        <v>50.886713286713288</v>
      </c>
      <c r="I26" s="2291">
        <f>+'Maj Production Summ'!I21</f>
        <v>54.437882449598057</v>
      </c>
      <c r="J26" s="2291">
        <f>+'Maj Production Summ'!J21</f>
        <v>50.284870848708486</v>
      </c>
      <c r="K26" s="3432">
        <f>+'Maj Production Summ'!K21</f>
        <v>54.508156686529261</v>
      </c>
      <c r="L26" s="3432">
        <f>+'Maj Production Summ'!L21</f>
        <v>52.547595930600707</v>
      </c>
      <c r="M26" s="2292">
        <f>+'Maj Production Summ'!M21</f>
        <v>54.461041004950381</v>
      </c>
      <c r="N26" s="2292">
        <f>+'Maj Production Summ'!N21</f>
        <v>51.063335382708765</v>
      </c>
      <c r="O26" s="3432">
        <f>+'Maj Production Summ'!O21</f>
        <v>53.320742839156438</v>
      </c>
      <c r="P26" s="3432">
        <f>+'Maj Production Summ'!P21</f>
        <v>51.935483870967744</v>
      </c>
      <c r="Q26" s="3432">
        <f>+'Maj Production Summ'!Q21</f>
        <v>54.171134691612941</v>
      </c>
      <c r="R26" s="3432">
        <f>+'Maj Production Summ'!R21</f>
        <v>51.29428011118744</v>
      </c>
      <c r="S26" s="3432">
        <f>+'Maj Production Summ'!S21</f>
        <v>53.320742839156438</v>
      </c>
      <c r="T26" s="3432">
        <f>+'Maj Production Summ'!T21</f>
        <v>50.459118769515442</v>
      </c>
      <c r="U26" s="3432">
        <f>+'Maj Production Summ'!U21</f>
        <v>53.998757964763648</v>
      </c>
      <c r="V26" s="3432">
        <f>+'Maj Production Summ'!V21</f>
        <v>51.123809811571604</v>
      </c>
      <c r="W26" s="3432">
        <f>+'Maj Production Summ'!W21</f>
        <v>49.331711652010291</v>
      </c>
      <c r="X26" s="3432">
        <f>+'Maj Production Summ'!X21</f>
        <v>48.797337714309791</v>
      </c>
      <c r="Y26" s="3432">
        <f>+'Maj Production Summ'!Y21</f>
        <v>52.439366885097684</v>
      </c>
      <c r="Z26" s="3432">
        <f>+'Maj Production Summ'!Z21</f>
        <v>50.420044531151902</v>
      </c>
      <c r="AA26" s="3432">
        <f>+'Maj Production Summ'!AA21</f>
        <v>53.517482869692472</v>
      </c>
      <c r="AB26" s="3432">
        <f>+'Maj Production Summ'!AB21</f>
        <v>50.733268014271722</v>
      </c>
      <c r="AC26" s="3432">
        <f>+'Maj Production Summ'!AC21</f>
        <v>52.331236897274628</v>
      </c>
      <c r="AD26" s="3432">
        <f>+'Maj Production Summ'!AD21</f>
        <v>48.422487033663806</v>
      </c>
      <c r="AE26" s="3432">
        <f>+'Maj Production Summ'!AE21</f>
        <v>53.334999274123334</v>
      </c>
      <c r="AF26" s="3432">
        <f>+'Maj Production Summ'!AF21</f>
        <v>50.398326344091082</v>
      </c>
      <c r="AG26" s="3432">
        <f>+'Maj Production Summ'!AG21</f>
        <v>52.400780741704615</v>
      </c>
      <c r="AH26" s="3432">
        <f>+'Maj Production Summ'!AH21</f>
        <v>52</v>
      </c>
      <c r="AI26" s="3432">
        <f>+'Maj Production Summ'!AI21</f>
        <v>53.214060445962161</v>
      </c>
      <c r="AJ26" s="3432">
        <f>+'Maj Production Summ'!AJ21</f>
        <v>50.406036593437896</v>
      </c>
      <c r="AK26" s="3432">
        <f>+'Maj Production Summ'!AK21</f>
        <v>52.331236897274628</v>
      </c>
      <c r="AL26" s="3432">
        <f>+'Maj Production Summ'!AL21</f>
        <v>49.788617886178862</v>
      </c>
      <c r="AM26" s="3432">
        <f>+'Maj Production Summ'!AM21</f>
        <v>52.353897251077655</v>
      </c>
      <c r="AN26" s="3432">
        <f>+'Maj Production Summ'!AN21</f>
        <v>49.161136128871092</v>
      </c>
      <c r="AO26" s="3432">
        <f>+'Maj Production Summ'!AO21</f>
        <v>53.109796871954565</v>
      </c>
      <c r="AP26" s="3432">
        <f>+'Maj Production Summ'!AP21</f>
        <v>50.326426638743264</v>
      </c>
      <c r="AQ26" s="3432">
        <f>+'Maj Production Summ'!AQ21</f>
        <v>52.331236897274628</v>
      </c>
      <c r="AR26" s="3432">
        <f>+'Maj Production Summ'!AR21</f>
        <v>53.523012552301253</v>
      </c>
      <c r="AS26" s="3432">
        <f>+'Maj Production Summ'!AS21</f>
        <v>53.027559505390848</v>
      </c>
      <c r="AT26" s="3432">
        <f>+'Maj Production Summ'!AT21</f>
        <v>50.682287035666484</v>
      </c>
      <c r="AU26" s="3432">
        <f>+'Maj Production Summ'!AU21</f>
        <v>52.322385278360123</v>
      </c>
      <c r="AV26" s="3432">
        <f>+'Maj Production Summ'!AV21</f>
        <v>53.07586206896552</v>
      </c>
      <c r="AW26" s="3432">
        <f>+'Maj Production Summ'!AW21</f>
        <v>52.966341912002044</v>
      </c>
      <c r="AX26" s="3432">
        <f>+'Maj Production Summ'!AX21</f>
        <v>50.902474143862008</v>
      </c>
      <c r="AY26" s="3432">
        <f>+'Maj Production Summ'!AY21</f>
        <v>52.331236897274628</v>
      </c>
      <c r="AZ26" s="3432">
        <f>+'Maj Production Summ'!AZ21</f>
        <v>52.002756719503786</v>
      </c>
      <c r="BA26" s="3432">
        <f>+'Maj Production Summ'!BA21</f>
        <v>52.328489843128743</v>
      </c>
      <c r="BB26" s="3432">
        <f>+'Maj Production Summ'!BB21</f>
        <v>52.857279236276845</v>
      </c>
      <c r="BC26" s="3432">
        <f>+'Maj Production Summ'!BC21</f>
        <v>52.341337907375639</v>
      </c>
      <c r="BD26" s="3432">
        <f>+'Maj Production Summ'!BD21</f>
        <v>51.326419046074427</v>
      </c>
      <c r="BE26" s="3432">
        <f>+'Maj Production Summ'!BE21</f>
        <v>52.910470334202429</v>
      </c>
      <c r="BF26" s="2551">
        <f>+'Maj Production Summ'!BF21</f>
        <v>51.00457115474309</v>
      </c>
      <c r="BG26" s="2534"/>
      <c r="BH26" s="2534"/>
      <c r="BI26" s="2534"/>
      <c r="BJ26" s="3763"/>
      <c r="BK26" s="3763"/>
      <c r="BL26" s="2534"/>
      <c r="BM26" s="3763"/>
      <c r="BN26" s="3763"/>
    </row>
    <row r="27" spans="1:66" ht="14.45" thickBot="1" x14ac:dyDescent="0.3">
      <c r="B27" s="1763" t="s">
        <v>448</v>
      </c>
      <c r="C27" s="836" t="s">
        <v>50</v>
      </c>
      <c r="D27" s="3381">
        <f>+D20-D5</f>
        <v>71026.125275417231</v>
      </c>
      <c r="E27" s="3433">
        <f>+E20-E5</f>
        <v>6079.7559381131723</v>
      </c>
      <c r="F27" s="3434">
        <v>2999</v>
      </c>
      <c r="G27" s="3433">
        <f>+G20-G5</f>
        <v>6273.4558485268208</v>
      </c>
      <c r="H27" s="3434">
        <v>3264</v>
      </c>
      <c r="I27" s="3435">
        <f>+E27+G27</f>
        <v>12353.211786639993</v>
      </c>
      <c r="J27" s="3435">
        <f>+F27+H27</f>
        <v>6263</v>
      </c>
      <c r="K27" s="3433">
        <f>+K20-K5</f>
        <v>6079.7559381131723</v>
      </c>
      <c r="L27" s="3434">
        <v>3400</v>
      </c>
      <c r="M27" s="3436">
        <f>+K27+G27+E27</f>
        <v>18432.967724753165</v>
      </c>
      <c r="N27" s="3436">
        <f>+L27+H27+F27</f>
        <v>9663</v>
      </c>
      <c r="O27" s="3433">
        <f>+O20-O5</f>
        <v>6152.3934045180213</v>
      </c>
      <c r="P27" s="3434">
        <v>3396</v>
      </c>
      <c r="Q27" s="3435">
        <f>+M27+O27</f>
        <v>24585.361129271187</v>
      </c>
      <c r="R27" s="3435">
        <f>+N27+P27</f>
        <v>13059</v>
      </c>
      <c r="S27" s="3433">
        <f>+S20-S5</f>
        <v>6152.3934045180213</v>
      </c>
      <c r="T27" s="3434">
        <v>3152</v>
      </c>
      <c r="U27" s="3435">
        <f>+Q27+S27</f>
        <v>30737.754533789208</v>
      </c>
      <c r="V27" s="3435">
        <f>+R27+T27</f>
        <v>16211</v>
      </c>
      <c r="W27" s="3433">
        <f>+W20-W5</f>
        <v>3228.7353817094408</v>
      </c>
      <c r="X27" s="3434">
        <v>3350</v>
      </c>
      <c r="Y27" s="3437">
        <f>+W27+S27+O27</f>
        <v>15533.522190745483</v>
      </c>
      <c r="Z27" s="3437">
        <f>+X27+T27+P27</f>
        <v>9898</v>
      </c>
      <c r="AA27" s="3379">
        <f>+Y27+M27</f>
        <v>33966.489915498649</v>
      </c>
      <c r="AB27" s="3379">
        <f t="shared" ref="AB27:AB33" si="43">+Z27+N27</f>
        <v>19561</v>
      </c>
      <c r="AC27" s="3433">
        <f>+AC20-AC5</f>
        <v>7283.2133826102363</v>
      </c>
      <c r="AD27" s="3434">
        <v>2710.03</v>
      </c>
      <c r="AE27" s="3435">
        <f>+AA27+AC27</f>
        <v>41249.703298108885</v>
      </c>
      <c r="AF27" s="3435">
        <f>+AB27+AD27</f>
        <v>22271.03</v>
      </c>
      <c r="AG27" s="3433">
        <f>+AG20-AG5</f>
        <v>7049.7957595799526</v>
      </c>
      <c r="AH27" s="3434">
        <v>137.66</v>
      </c>
      <c r="AI27" s="3435">
        <f>+AE27+AG27</f>
        <v>48299.499057688838</v>
      </c>
      <c r="AJ27" s="3435">
        <f>+AF27+AH27</f>
        <v>22408.69</v>
      </c>
      <c r="AK27" s="3433">
        <f>+AK20-AK5</f>
        <v>7283.2133826102363</v>
      </c>
      <c r="AL27" s="3434">
        <v>2919.71</v>
      </c>
      <c r="AM27" s="3437">
        <f>+AK27+AG27+AC27</f>
        <v>21616.222524800425</v>
      </c>
      <c r="AN27" s="3437">
        <f>+AL27+AH27+AD27</f>
        <v>5767.4</v>
      </c>
      <c r="AO27" s="3435">
        <f>+AK27+AI27</f>
        <v>55582.712440299074</v>
      </c>
      <c r="AP27" s="3435">
        <f>+AL27+AJ27</f>
        <v>25328.399999999998</v>
      </c>
      <c r="AQ27" s="3433">
        <f>+AQ20-AQ5</f>
        <v>7283.2133826102363</v>
      </c>
      <c r="AR27" s="3434">
        <v>3202</v>
      </c>
      <c r="AS27" s="3435">
        <f>+AO27+AQ27</f>
        <v>62865.92582290931</v>
      </c>
      <c r="AT27" s="3435">
        <f>+AP27+AR27</f>
        <v>28530.399999999998</v>
      </c>
      <c r="AU27" s="3433">
        <f>+AU20-AU5</f>
        <v>6553.7833106404578</v>
      </c>
      <c r="AV27" s="3434">
        <v>2956</v>
      </c>
      <c r="AW27" s="3435">
        <f>+AS27+AU27</f>
        <v>69419.709133549768</v>
      </c>
      <c r="AX27" s="3435">
        <f>+AT27+AV27</f>
        <v>31486.399999999998</v>
      </c>
      <c r="AY27" s="3433">
        <f>+AY20-AY5</f>
        <v>7283.2133826102363</v>
      </c>
      <c r="AZ27" s="3434">
        <v>3280</v>
      </c>
      <c r="BA27" s="3437">
        <f>+AY27+AU27+AQ27</f>
        <v>21120.21007586093</v>
      </c>
      <c r="BB27" s="3437">
        <f>+AZ27+AV27+AR27</f>
        <v>9438</v>
      </c>
      <c r="BC27" s="3379">
        <f t="shared" ref="BC27:BD33" si="44">+BA27+AM27</f>
        <v>42736.432600661356</v>
      </c>
      <c r="BD27" s="3379">
        <f t="shared" si="44"/>
        <v>15205.4</v>
      </c>
      <c r="BE27" s="3435">
        <f>+AW27+AY27</f>
        <v>76702.922516160004</v>
      </c>
      <c r="BF27" s="3438">
        <f>+AX27+AZ27</f>
        <v>34766.399999999994</v>
      </c>
      <c r="BG27" s="2534"/>
      <c r="BH27" s="2534"/>
      <c r="BI27" s="2534"/>
      <c r="BJ27" s="3763"/>
      <c r="BK27" s="3763"/>
      <c r="BL27" s="2534"/>
      <c r="BM27" s="3763"/>
      <c r="BN27" s="3763"/>
    </row>
    <row r="28" spans="1:66" ht="14.45" thickBot="1" x14ac:dyDescent="0.3">
      <c r="A28" s="1274"/>
      <c r="B28" s="1316" t="s">
        <v>270</v>
      </c>
      <c r="C28" s="490"/>
      <c r="D28" s="890"/>
      <c r="E28" s="3401"/>
      <c r="F28" s="1706"/>
      <c r="G28" s="3401"/>
      <c r="H28" s="1706"/>
      <c r="I28" s="3401"/>
      <c r="J28" s="3439"/>
      <c r="K28" s="3401"/>
      <c r="L28" s="1706"/>
      <c r="M28" s="3401"/>
      <c r="N28" s="1706"/>
      <c r="O28" s="3401"/>
      <c r="P28" s="1706"/>
      <c r="Q28" s="3401"/>
      <c r="R28" s="1706"/>
      <c r="S28" s="3401"/>
      <c r="T28" s="1706"/>
      <c r="U28" s="3401"/>
      <c r="V28" s="1706"/>
      <c r="W28" s="3401"/>
      <c r="X28" s="1706"/>
      <c r="Y28" s="3401"/>
      <c r="Z28" s="1706"/>
      <c r="AA28" s="3401"/>
      <c r="AB28" s="1706"/>
      <c r="AC28" s="3401"/>
      <c r="AD28" s="1706"/>
      <c r="AE28" s="3401"/>
      <c r="AF28" s="1706"/>
      <c r="AG28" s="3401"/>
      <c r="AH28" s="1706"/>
      <c r="AI28" s="3401"/>
      <c r="AJ28" s="1706"/>
      <c r="AK28" s="3401"/>
      <c r="AL28" s="1706"/>
      <c r="AM28" s="3401"/>
      <c r="AN28" s="1706"/>
      <c r="AO28" s="3401"/>
      <c r="AP28" s="1706"/>
      <c r="AQ28" s="3401"/>
      <c r="AR28" s="1706"/>
      <c r="AS28" s="3401"/>
      <c r="AT28" s="1706"/>
      <c r="AU28" s="3401"/>
      <c r="AV28" s="1706"/>
      <c r="AW28" s="3401"/>
      <c r="AX28" s="1706"/>
      <c r="AY28" s="3401"/>
      <c r="AZ28" s="1706"/>
      <c r="BA28" s="3401"/>
      <c r="BB28" s="1706"/>
      <c r="BC28" s="3401"/>
      <c r="BD28" s="1706"/>
      <c r="BE28" s="3401"/>
      <c r="BF28" s="3439"/>
      <c r="BG28" s="2534"/>
      <c r="BH28" s="2534"/>
      <c r="BI28" s="2534"/>
      <c r="BJ28" s="3763"/>
      <c r="BK28" s="3763"/>
      <c r="BL28" s="2534"/>
      <c r="BM28" s="3763"/>
      <c r="BN28" s="3763"/>
    </row>
    <row r="29" spans="1:66" ht="15" x14ac:dyDescent="0.25">
      <c r="B29" s="3410" t="s">
        <v>160</v>
      </c>
      <c r="C29" s="758" t="s">
        <v>50</v>
      </c>
      <c r="D29" s="6110">
        <v>1978462.1575090799</v>
      </c>
      <c r="E29" s="6101">
        <v>171675.125385875</v>
      </c>
      <c r="F29" s="2716">
        <v>62420</v>
      </c>
      <c r="G29" s="6101">
        <v>176063.19497908399</v>
      </c>
      <c r="H29" s="2716">
        <v>81452.42</v>
      </c>
      <c r="I29" s="6083">
        <f>+E29+G29</f>
        <v>347738.32036495896</v>
      </c>
      <c r="J29" s="39">
        <f>+F29+H29</f>
        <v>143872.41999999998</v>
      </c>
      <c r="K29" s="6101">
        <v>171147.420900386</v>
      </c>
      <c r="L29" s="2716">
        <v>84359</v>
      </c>
      <c r="M29" s="6088">
        <f>E29+G29+K29</f>
        <v>518885.74126534496</v>
      </c>
      <c r="N29" s="2649">
        <f>+L29+H29+F29</f>
        <v>228231.41999999998</v>
      </c>
      <c r="O29" s="6101">
        <v>171341.75966274799</v>
      </c>
      <c r="P29" s="2716">
        <v>92367</v>
      </c>
      <c r="Q29" s="6083">
        <f>+M29+O29</f>
        <v>690227.50092809298</v>
      </c>
      <c r="R29" s="2648">
        <f>+N29+P29</f>
        <v>320598.42</v>
      </c>
      <c r="S29" s="6101">
        <v>171341.75966274799</v>
      </c>
      <c r="T29" s="2716">
        <v>80201</v>
      </c>
      <c r="U29" s="6083">
        <f>+Q29+S29</f>
        <v>861569.26059084095</v>
      </c>
      <c r="V29" s="2648">
        <f>+R29+T29</f>
        <v>400799.42</v>
      </c>
      <c r="W29" s="6101">
        <v>90564.479358981</v>
      </c>
      <c r="X29" s="2716">
        <v>76461.27</v>
      </c>
      <c r="Y29" s="6088">
        <f>+W29+S29+O29</f>
        <v>433247.99868447694</v>
      </c>
      <c r="Z29" s="2649">
        <f>+X29+T29+P29</f>
        <v>249029.27000000002</v>
      </c>
      <c r="AA29" s="6089">
        <f>+Y29+M29</f>
        <v>952133.73994982196</v>
      </c>
      <c r="AB29" s="2693">
        <f t="shared" si="43"/>
        <v>477260.69</v>
      </c>
      <c r="AC29" s="6122">
        <v>177750</v>
      </c>
      <c r="AD29" s="2716">
        <v>74688</v>
      </c>
      <c r="AE29" s="6083">
        <f>AA29+AC29</f>
        <v>1129883.739949822</v>
      </c>
      <c r="AF29" s="2648">
        <f>+AB29+AD29</f>
        <v>551948.68999999994</v>
      </c>
      <c r="AG29" s="6122">
        <v>171825</v>
      </c>
      <c r="AH29" s="2716">
        <v>3947</v>
      </c>
      <c r="AI29" s="6083">
        <f>AE29+AG29</f>
        <v>1301708.739949822</v>
      </c>
      <c r="AJ29" s="2648">
        <f>+AF29+AH29</f>
        <v>555895.68999999994</v>
      </c>
      <c r="AK29" s="6101">
        <v>177840.45</v>
      </c>
      <c r="AL29" s="2716">
        <v>76819</v>
      </c>
      <c r="AM29" s="6088">
        <f>+AK29+AG29+AC29</f>
        <v>527415.44999999995</v>
      </c>
      <c r="AN29" s="2649">
        <f>+AL29+AH29+AD29</f>
        <v>155454</v>
      </c>
      <c r="AO29" s="6083">
        <f>AK29+AI29</f>
        <v>1479549.1899498219</v>
      </c>
      <c r="AP29" s="2648">
        <f t="shared" ref="AP29:AP33" si="45">+AL29+AJ29</f>
        <v>632714.68999999994</v>
      </c>
      <c r="AQ29" s="6101">
        <v>177750</v>
      </c>
      <c r="AR29" s="2716">
        <v>90255</v>
      </c>
      <c r="AS29" s="6083">
        <f>AO29+AQ29</f>
        <v>1657299.1899498219</v>
      </c>
      <c r="AT29" s="2648">
        <f>+AP29+AR29</f>
        <v>722969.69</v>
      </c>
      <c r="AU29" s="6101">
        <v>159975</v>
      </c>
      <c r="AV29" s="2716">
        <v>78506</v>
      </c>
      <c r="AW29" s="6083">
        <f>AS29+AU29</f>
        <v>1817274.1899498219</v>
      </c>
      <c r="AX29" s="2648">
        <f>+AT29+AV29</f>
        <v>801475.69</v>
      </c>
      <c r="AY29" s="6101">
        <v>177750</v>
      </c>
      <c r="AZ29" s="2716">
        <v>78732</v>
      </c>
      <c r="BA29" s="6088">
        <f>+AY29+AU29+AQ29</f>
        <v>515475</v>
      </c>
      <c r="BB29" s="2649">
        <f>+AZ29+AV29+AR29</f>
        <v>247493</v>
      </c>
      <c r="BC29" s="6089">
        <f>+BA29+AM29</f>
        <v>1042890.45</v>
      </c>
      <c r="BD29" s="2693">
        <f t="shared" si="44"/>
        <v>402947</v>
      </c>
      <c r="BE29" s="6083">
        <f>AW29+AY29</f>
        <v>1995024.1899498219</v>
      </c>
      <c r="BF29" s="39">
        <f t="shared" ref="BF29:BF49" si="46">+AX29+AZ29</f>
        <v>880207.69</v>
      </c>
      <c r="BG29" s="2534"/>
      <c r="BH29" s="2534"/>
      <c r="BI29" s="2534"/>
      <c r="BJ29" s="3763"/>
      <c r="BK29" s="3763"/>
      <c r="BL29" s="2534"/>
      <c r="BM29" s="3763"/>
      <c r="BN29" s="3763"/>
    </row>
    <row r="30" spans="1:66" ht="15.75" thickBot="1" x14ac:dyDescent="0.3">
      <c r="B30" s="3441" t="s">
        <v>1722</v>
      </c>
      <c r="C30" s="3047" t="s">
        <v>50</v>
      </c>
      <c r="D30" s="6111"/>
      <c r="E30" s="6099"/>
      <c r="F30" s="2716">
        <v>72</v>
      </c>
      <c r="G30" s="6099"/>
      <c r="H30" s="2716">
        <v>78</v>
      </c>
      <c r="I30" s="6083"/>
      <c r="J30" s="39">
        <f t="shared" ref="J30:J49" si="47">+F30+H30</f>
        <v>150</v>
      </c>
      <c r="K30" s="6099"/>
      <c r="L30" s="2716">
        <v>28</v>
      </c>
      <c r="M30" s="6088"/>
      <c r="N30" s="2649">
        <f>+L30+H30+F30</f>
        <v>178</v>
      </c>
      <c r="O30" s="6099"/>
      <c r="P30" s="2716">
        <v>13</v>
      </c>
      <c r="Q30" s="6083"/>
      <c r="R30" s="2648">
        <f t="shared" ref="R30:R49" si="48">+N30+P30</f>
        <v>191</v>
      </c>
      <c r="S30" s="6099"/>
      <c r="T30" s="2716">
        <v>33</v>
      </c>
      <c r="U30" s="6083"/>
      <c r="V30" s="2648">
        <f t="shared" ref="V30:V49" si="49">+R30+T30</f>
        <v>224</v>
      </c>
      <c r="W30" s="6099"/>
      <c r="X30" s="2716">
        <v>130</v>
      </c>
      <c r="Y30" s="6088"/>
      <c r="Z30" s="2649">
        <f>+X30+T30+P30</f>
        <v>176</v>
      </c>
      <c r="AA30" s="6089"/>
      <c r="AB30" s="3403">
        <f t="shared" si="43"/>
        <v>354</v>
      </c>
      <c r="AC30" s="6123"/>
      <c r="AD30" s="2716">
        <v>123</v>
      </c>
      <c r="AE30" s="6083"/>
      <c r="AF30" s="2648">
        <f t="shared" ref="AF30:AF49" si="50">+AB30+AD30</f>
        <v>477</v>
      </c>
      <c r="AG30" s="6123"/>
      <c r="AH30" s="2716">
        <v>9</v>
      </c>
      <c r="AI30" s="6083"/>
      <c r="AJ30" s="2648">
        <f t="shared" ref="AJ30:AJ49" si="51">+AF30+AH30</f>
        <v>486</v>
      </c>
      <c r="AK30" s="6099"/>
      <c r="AL30" s="2716">
        <v>227.5</v>
      </c>
      <c r="AM30" s="6088"/>
      <c r="AN30" s="2649">
        <f>+AL30+AH30+AD30</f>
        <v>359.5</v>
      </c>
      <c r="AO30" s="6083"/>
      <c r="AP30" s="2648">
        <f t="shared" si="45"/>
        <v>713.5</v>
      </c>
      <c r="AQ30" s="6099"/>
      <c r="AR30" s="2716">
        <v>247</v>
      </c>
      <c r="AS30" s="6083"/>
      <c r="AT30" s="2648">
        <f t="shared" ref="AT30:AT49" si="52">+AP30+AR30</f>
        <v>960.5</v>
      </c>
      <c r="AU30" s="6099"/>
      <c r="AV30" s="2716">
        <v>77</v>
      </c>
      <c r="AW30" s="6083"/>
      <c r="AX30" s="2648">
        <f t="shared" ref="AX30:AX49" si="53">+AT30+AV30</f>
        <v>1037.5</v>
      </c>
      <c r="AY30" s="6099"/>
      <c r="AZ30" s="2716">
        <v>0</v>
      </c>
      <c r="BA30" s="6088"/>
      <c r="BB30" s="2649">
        <f>+AZ30+AV30+AR30</f>
        <v>324</v>
      </c>
      <c r="BC30" s="6089"/>
      <c r="BD30" s="2693">
        <f t="shared" si="44"/>
        <v>683.5</v>
      </c>
      <c r="BE30" s="6083"/>
      <c r="BF30" s="39">
        <f t="shared" si="46"/>
        <v>1037.5</v>
      </c>
      <c r="BG30" s="2534"/>
      <c r="BH30" s="2534"/>
      <c r="BI30" s="2534"/>
      <c r="BJ30" s="3763"/>
      <c r="BK30" s="3763"/>
      <c r="BL30" s="2534"/>
      <c r="BM30" s="3763"/>
      <c r="BN30" s="3763"/>
    </row>
    <row r="31" spans="1:66" ht="15.75" thickBot="1" x14ac:dyDescent="0.3">
      <c r="B31" s="3442" t="s">
        <v>161</v>
      </c>
      <c r="C31" s="3405" t="s">
        <v>50</v>
      </c>
      <c r="D31" s="6111"/>
      <c r="E31" s="6099"/>
      <c r="F31" s="3430">
        <f>SUM(F29:F30)</f>
        <v>62492</v>
      </c>
      <c r="G31" s="6099"/>
      <c r="H31" s="3430">
        <f>SUM(H29:H30)</f>
        <v>81530.42</v>
      </c>
      <c r="I31" s="6083"/>
      <c r="J31" s="2045">
        <f t="shared" si="47"/>
        <v>144022.41999999998</v>
      </c>
      <c r="K31" s="6099"/>
      <c r="L31" s="3430">
        <f>SUM(L29:L30)</f>
        <v>84387</v>
      </c>
      <c r="M31" s="6088"/>
      <c r="N31" s="3429">
        <f>SUM(N29:N30)</f>
        <v>228409.41999999998</v>
      </c>
      <c r="O31" s="6099"/>
      <c r="P31" s="3430">
        <f>SUM(P29:P30)</f>
        <v>92380</v>
      </c>
      <c r="Q31" s="6083"/>
      <c r="R31" s="3428">
        <f t="shared" si="48"/>
        <v>320789.42</v>
      </c>
      <c r="S31" s="6099"/>
      <c r="T31" s="3430">
        <f>SUM(T29:T30)</f>
        <v>80234</v>
      </c>
      <c r="U31" s="6083"/>
      <c r="V31" s="3428">
        <f t="shared" si="49"/>
        <v>401023.42</v>
      </c>
      <c r="W31" s="6099"/>
      <c r="X31" s="3430">
        <f>SUM(X29:X30)</f>
        <v>76591.27</v>
      </c>
      <c r="Y31" s="6088"/>
      <c r="Z31" s="3429">
        <f>SUM(Z29:Z30)</f>
        <v>249205.27000000002</v>
      </c>
      <c r="AA31" s="6089"/>
      <c r="AB31" s="2680">
        <f>SUM(AB29:AB30)</f>
        <v>477614.69</v>
      </c>
      <c r="AC31" s="6123"/>
      <c r="AD31" s="3430">
        <f>SUM(AD29:AD30)</f>
        <v>74811</v>
      </c>
      <c r="AE31" s="6083"/>
      <c r="AF31" s="3428">
        <f t="shared" si="50"/>
        <v>552425.68999999994</v>
      </c>
      <c r="AG31" s="6123"/>
      <c r="AH31" s="3430">
        <f>SUM(AH29:AH30)</f>
        <v>3956</v>
      </c>
      <c r="AI31" s="6083"/>
      <c r="AJ31" s="3428">
        <f t="shared" si="51"/>
        <v>556381.68999999994</v>
      </c>
      <c r="AK31" s="6099"/>
      <c r="AL31" s="3430">
        <f>SUM(AL29:AL30)</f>
        <v>77046.5</v>
      </c>
      <c r="AM31" s="6088"/>
      <c r="AN31" s="3429">
        <f>SUM(AN29:AN30)</f>
        <v>155813.5</v>
      </c>
      <c r="AO31" s="6083"/>
      <c r="AP31" s="3428">
        <f>+AL31+AJ31</f>
        <v>633428.18999999994</v>
      </c>
      <c r="AQ31" s="6099"/>
      <c r="AR31" s="3430">
        <f>SUM(AR29:AR30)</f>
        <v>90502</v>
      </c>
      <c r="AS31" s="6083"/>
      <c r="AT31" s="3428">
        <f t="shared" si="52"/>
        <v>723930.19</v>
      </c>
      <c r="AU31" s="6099"/>
      <c r="AV31" s="3430">
        <f>SUM(AV29:AV30)</f>
        <v>78583</v>
      </c>
      <c r="AW31" s="6083"/>
      <c r="AX31" s="3428">
        <f t="shared" si="53"/>
        <v>802513.19</v>
      </c>
      <c r="AY31" s="6099"/>
      <c r="AZ31" s="3430">
        <f>SUM(AZ29:AZ30)</f>
        <v>78732</v>
      </c>
      <c r="BA31" s="6088"/>
      <c r="BB31" s="3429">
        <f>SUM(BB29:BB30)</f>
        <v>247817</v>
      </c>
      <c r="BC31" s="6089"/>
      <c r="BD31" s="2680">
        <f>SUM(BD29:BD30)</f>
        <v>403630.5</v>
      </c>
      <c r="BE31" s="6083"/>
      <c r="BF31" s="2045">
        <f t="shared" si="46"/>
        <v>881245.19</v>
      </c>
      <c r="BG31" s="2534"/>
      <c r="BH31" s="2534"/>
      <c r="BI31" s="2534"/>
      <c r="BJ31" s="3763"/>
      <c r="BK31" s="3763"/>
      <c r="BL31" s="2534"/>
      <c r="BM31" s="3763"/>
      <c r="BN31" s="3763"/>
    </row>
    <row r="32" spans="1:66" ht="15" x14ac:dyDescent="0.25">
      <c r="B32" s="1756" t="s">
        <v>162</v>
      </c>
      <c r="C32" s="60" t="s">
        <v>50</v>
      </c>
      <c r="D32" s="6111"/>
      <c r="E32" s="6099"/>
      <c r="F32" s="2716">
        <v>86697</v>
      </c>
      <c r="G32" s="6099"/>
      <c r="H32" s="2716">
        <v>93593.12</v>
      </c>
      <c r="I32" s="6083"/>
      <c r="J32" s="39">
        <f t="shared" si="47"/>
        <v>180290.12</v>
      </c>
      <c r="K32" s="6099"/>
      <c r="L32" s="2716">
        <v>98320</v>
      </c>
      <c r="M32" s="6088"/>
      <c r="N32" s="2649">
        <f>+L32+H32+F32</f>
        <v>278610.12</v>
      </c>
      <c r="O32" s="6099"/>
      <c r="P32" s="2716">
        <v>96684</v>
      </c>
      <c r="Q32" s="6083"/>
      <c r="R32" s="2648">
        <f t="shared" si="48"/>
        <v>375294.12</v>
      </c>
      <c r="S32" s="6099"/>
      <c r="T32" s="2716">
        <v>99276</v>
      </c>
      <c r="U32" s="6083"/>
      <c r="V32" s="2648">
        <f t="shared" si="49"/>
        <v>474570.12</v>
      </c>
      <c r="W32" s="6099"/>
      <c r="X32" s="2716">
        <v>95618.33</v>
      </c>
      <c r="Y32" s="6088"/>
      <c r="Z32" s="2649">
        <f>+X32+T32+P32</f>
        <v>291578.33</v>
      </c>
      <c r="AA32" s="6089"/>
      <c r="AB32" s="3403">
        <f t="shared" si="43"/>
        <v>570188.44999999995</v>
      </c>
      <c r="AC32" s="6123"/>
      <c r="AD32" s="2716">
        <v>93206</v>
      </c>
      <c r="AE32" s="6083"/>
      <c r="AF32" s="2648">
        <f t="shared" si="50"/>
        <v>663394.44999999995</v>
      </c>
      <c r="AG32" s="6123"/>
      <c r="AH32" s="2716">
        <v>3970</v>
      </c>
      <c r="AI32" s="6083"/>
      <c r="AJ32" s="2648">
        <f t="shared" si="51"/>
        <v>667364.44999999995</v>
      </c>
      <c r="AK32" s="6099"/>
      <c r="AL32" s="2716">
        <v>98941.37</v>
      </c>
      <c r="AM32" s="6088"/>
      <c r="AN32" s="2649">
        <f>+AL32+AH32+AD32</f>
        <v>196117.37</v>
      </c>
      <c r="AO32" s="6083"/>
      <c r="AP32" s="2648">
        <f t="shared" si="45"/>
        <v>766305.82</v>
      </c>
      <c r="AQ32" s="6099"/>
      <c r="AR32" s="2716">
        <v>92777</v>
      </c>
      <c r="AS32" s="6083"/>
      <c r="AT32" s="2648">
        <f t="shared" si="52"/>
        <v>859082.82</v>
      </c>
      <c r="AU32" s="6099"/>
      <c r="AV32" s="2716">
        <v>85264</v>
      </c>
      <c r="AW32" s="6083"/>
      <c r="AX32" s="2648">
        <f t="shared" si="53"/>
        <v>944346.82</v>
      </c>
      <c r="AY32" s="6099"/>
      <c r="AZ32" s="2716">
        <v>93134</v>
      </c>
      <c r="BA32" s="6088"/>
      <c r="BB32" s="2649">
        <f>+AZ32+AV32+AR32</f>
        <v>271175</v>
      </c>
      <c r="BC32" s="6089"/>
      <c r="BD32" s="2693">
        <f t="shared" si="44"/>
        <v>467292.37</v>
      </c>
      <c r="BE32" s="6083"/>
      <c r="BF32" s="39">
        <f t="shared" si="46"/>
        <v>1037480.82</v>
      </c>
      <c r="BG32" s="2534"/>
      <c r="BH32" s="2534"/>
      <c r="BI32" s="2534"/>
      <c r="BJ32" s="3763"/>
      <c r="BK32" s="3763"/>
      <c r="BL32" s="2534"/>
      <c r="BM32" s="3763"/>
      <c r="BN32" s="3763"/>
    </row>
    <row r="33" spans="1:66" ht="15.75" thickBot="1" x14ac:dyDescent="0.3">
      <c r="B33" s="3441" t="s">
        <v>1723</v>
      </c>
      <c r="C33" s="3047" t="s">
        <v>50</v>
      </c>
      <c r="D33" s="6111"/>
      <c r="E33" s="6099"/>
      <c r="F33" s="2716">
        <v>72</v>
      </c>
      <c r="G33" s="6099"/>
      <c r="H33" s="2716">
        <v>76</v>
      </c>
      <c r="I33" s="6083"/>
      <c r="J33" s="39">
        <f t="shared" si="47"/>
        <v>148</v>
      </c>
      <c r="K33" s="6099"/>
      <c r="L33" s="2716">
        <v>28</v>
      </c>
      <c r="M33" s="6088"/>
      <c r="N33" s="2649">
        <f>+L33+H33+F33</f>
        <v>176</v>
      </c>
      <c r="O33" s="6099"/>
      <c r="P33" s="2716">
        <v>13</v>
      </c>
      <c r="Q33" s="6083"/>
      <c r="R33" s="2648">
        <f t="shared" si="48"/>
        <v>189</v>
      </c>
      <c r="S33" s="6099"/>
      <c r="T33" s="2716">
        <v>33</v>
      </c>
      <c r="U33" s="6083"/>
      <c r="V33" s="2648">
        <f t="shared" si="49"/>
        <v>222</v>
      </c>
      <c r="W33" s="6099"/>
      <c r="X33" s="2716">
        <v>130</v>
      </c>
      <c r="Y33" s="6088"/>
      <c r="Z33" s="2649">
        <f>+X33+T33+P33</f>
        <v>176</v>
      </c>
      <c r="AA33" s="6089"/>
      <c r="AB33" s="3403">
        <f t="shared" si="43"/>
        <v>352</v>
      </c>
      <c r="AC33" s="6123"/>
      <c r="AD33" s="2716">
        <v>123</v>
      </c>
      <c r="AE33" s="6083"/>
      <c r="AF33" s="2648">
        <f t="shared" si="50"/>
        <v>475</v>
      </c>
      <c r="AG33" s="6123"/>
      <c r="AH33" s="2716">
        <v>9</v>
      </c>
      <c r="AI33" s="6083"/>
      <c r="AJ33" s="2648">
        <f t="shared" si="51"/>
        <v>484</v>
      </c>
      <c r="AK33" s="6099"/>
      <c r="AL33" s="2716">
        <v>227.5</v>
      </c>
      <c r="AM33" s="6088"/>
      <c r="AN33" s="2649">
        <f>+AL33+AH33+AD33</f>
        <v>359.5</v>
      </c>
      <c r="AO33" s="6083"/>
      <c r="AP33" s="2648">
        <f t="shared" si="45"/>
        <v>711.5</v>
      </c>
      <c r="AQ33" s="6099"/>
      <c r="AR33" s="2716">
        <v>247</v>
      </c>
      <c r="AS33" s="6083"/>
      <c r="AT33" s="2648">
        <f t="shared" si="52"/>
        <v>958.5</v>
      </c>
      <c r="AU33" s="6099"/>
      <c r="AV33" s="2716">
        <v>77</v>
      </c>
      <c r="AW33" s="6083"/>
      <c r="AX33" s="2648">
        <f t="shared" si="53"/>
        <v>1035.5</v>
      </c>
      <c r="AY33" s="6099"/>
      <c r="AZ33" s="2716">
        <v>0</v>
      </c>
      <c r="BA33" s="6088"/>
      <c r="BB33" s="2649">
        <f>+AZ33+AV33+AR33</f>
        <v>324</v>
      </c>
      <c r="BC33" s="6089"/>
      <c r="BD33" s="2693">
        <f t="shared" si="44"/>
        <v>683.5</v>
      </c>
      <c r="BE33" s="6083"/>
      <c r="BF33" s="39">
        <f t="shared" si="46"/>
        <v>1035.5</v>
      </c>
      <c r="BG33" s="2534"/>
      <c r="BH33" s="2534"/>
      <c r="BI33" s="2534"/>
      <c r="BJ33" s="3763"/>
      <c r="BK33" s="3763"/>
      <c r="BL33" s="2534"/>
      <c r="BM33" s="3763"/>
      <c r="BN33" s="3763"/>
    </row>
    <row r="34" spans="1:66" ht="15.75" thickBot="1" x14ac:dyDescent="0.3">
      <c r="B34" s="3442" t="s">
        <v>163</v>
      </c>
      <c r="C34" s="3405" t="s">
        <v>50</v>
      </c>
      <c r="D34" s="6111"/>
      <c r="E34" s="6099"/>
      <c r="F34" s="3430">
        <f>SUM(F32:F33)</f>
        <v>86769</v>
      </c>
      <c r="G34" s="6099"/>
      <c r="H34" s="3430">
        <f>SUM(H32:H33)</f>
        <v>93669.119999999995</v>
      </c>
      <c r="I34" s="6083"/>
      <c r="J34" s="2045">
        <f t="shared" si="47"/>
        <v>180438.12</v>
      </c>
      <c r="K34" s="6099"/>
      <c r="L34" s="3430">
        <f>SUM(L32:L33)</f>
        <v>98348</v>
      </c>
      <c r="M34" s="6088"/>
      <c r="N34" s="3429">
        <f>SUM(N32:N33)</f>
        <v>278786.12</v>
      </c>
      <c r="O34" s="6099"/>
      <c r="P34" s="3430">
        <f>SUM(P32:P33)</f>
        <v>96697</v>
      </c>
      <c r="Q34" s="6083"/>
      <c r="R34" s="3428">
        <f t="shared" si="48"/>
        <v>375483.12</v>
      </c>
      <c r="S34" s="6099"/>
      <c r="T34" s="3430">
        <f>SUM(T32:T33)</f>
        <v>99309</v>
      </c>
      <c r="U34" s="6083"/>
      <c r="V34" s="3428">
        <f t="shared" si="49"/>
        <v>474792.12</v>
      </c>
      <c r="W34" s="6099"/>
      <c r="X34" s="3430">
        <f>SUM(X32:X33)</f>
        <v>95748.33</v>
      </c>
      <c r="Y34" s="6088"/>
      <c r="Z34" s="3429">
        <f>SUM(Z32:Z33)</f>
        <v>291754.33</v>
      </c>
      <c r="AA34" s="6089"/>
      <c r="AB34" s="2680">
        <f>SUM(AB32:AB33)</f>
        <v>570540.44999999995</v>
      </c>
      <c r="AC34" s="6123"/>
      <c r="AD34" s="3430">
        <f>SUM(AD32:AD33)</f>
        <v>93329</v>
      </c>
      <c r="AE34" s="6083"/>
      <c r="AF34" s="3428">
        <f t="shared" si="50"/>
        <v>663869.44999999995</v>
      </c>
      <c r="AG34" s="6123"/>
      <c r="AH34" s="3430">
        <f>SUM(AH32:AH33)</f>
        <v>3979</v>
      </c>
      <c r="AI34" s="6083"/>
      <c r="AJ34" s="3428">
        <f t="shared" si="51"/>
        <v>667848.44999999995</v>
      </c>
      <c r="AK34" s="6099"/>
      <c r="AL34" s="3430">
        <f>SUM(AL32:AL33)</f>
        <v>99168.87</v>
      </c>
      <c r="AM34" s="6088"/>
      <c r="AN34" s="3429">
        <f>SUM(AN32:AN33)</f>
        <v>196476.87</v>
      </c>
      <c r="AO34" s="6083"/>
      <c r="AP34" s="3428">
        <f>+AL34+AJ34</f>
        <v>767017.32</v>
      </c>
      <c r="AQ34" s="6099"/>
      <c r="AR34" s="3430">
        <f>SUM(AR32:AR33)</f>
        <v>93024</v>
      </c>
      <c r="AS34" s="6083"/>
      <c r="AT34" s="3428">
        <f t="shared" si="52"/>
        <v>860041.32</v>
      </c>
      <c r="AU34" s="6099"/>
      <c r="AV34" s="3430">
        <f>SUM(AV32:AV33)</f>
        <v>85341</v>
      </c>
      <c r="AW34" s="6083"/>
      <c r="AX34" s="3428">
        <f t="shared" si="53"/>
        <v>945382.32</v>
      </c>
      <c r="AY34" s="6099"/>
      <c r="AZ34" s="3430">
        <f>SUM(AZ32:AZ33)</f>
        <v>93134</v>
      </c>
      <c r="BA34" s="6088"/>
      <c r="BB34" s="3429">
        <f>SUM(BB32:BB33)</f>
        <v>271499</v>
      </c>
      <c r="BC34" s="6089"/>
      <c r="BD34" s="2680">
        <f>SUM(BD32:BD33)</f>
        <v>467975.87</v>
      </c>
      <c r="BE34" s="6083"/>
      <c r="BF34" s="2045">
        <f t="shared" si="46"/>
        <v>1038516.32</v>
      </c>
      <c r="BG34" s="2534"/>
      <c r="BH34" s="2534"/>
      <c r="BI34" s="2534"/>
      <c r="BJ34" s="3763"/>
      <c r="BK34" s="3763"/>
      <c r="BL34" s="2534"/>
      <c r="BM34" s="3763"/>
      <c r="BN34" s="3763"/>
    </row>
    <row r="35" spans="1:66" ht="15" x14ac:dyDescent="0.25">
      <c r="B35" s="3443" t="s">
        <v>450</v>
      </c>
      <c r="C35" s="2280" t="s">
        <v>50</v>
      </c>
      <c r="D35" s="6111"/>
      <c r="E35" s="6099"/>
      <c r="F35" s="3430">
        <f>+F29+F32</f>
        <v>149117</v>
      </c>
      <c r="G35" s="6099"/>
      <c r="H35" s="3430">
        <f>+H29+H32</f>
        <v>175045.53999999998</v>
      </c>
      <c r="I35" s="6083"/>
      <c r="J35" s="2045">
        <f t="shared" si="47"/>
        <v>324162.53999999998</v>
      </c>
      <c r="K35" s="6099"/>
      <c r="L35" s="3430">
        <f>+L29+L32</f>
        <v>182679</v>
      </c>
      <c r="M35" s="6088"/>
      <c r="N35" s="3429">
        <f>+N29+N32</f>
        <v>506841.54</v>
      </c>
      <c r="O35" s="6099"/>
      <c r="P35" s="3430">
        <f>+P29+P32</f>
        <v>189051</v>
      </c>
      <c r="Q35" s="6083"/>
      <c r="R35" s="3428">
        <f t="shared" si="48"/>
        <v>695892.54</v>
      </c>
      <c r="S35" s="6099"/>
      <c r="T35" s="3430">
        <f>+T29+T32</f>
        <v>179477</v>
      </c>
      <c r="U35" s="6083"/>
      <c r="V35" s="3428">
        <f t="shared" si="49"/>
        <v>875369.54</v>
      </c>
      <c r="W35" s="6099"/>
      <c r="X35" s="3430">
        <f>+X29+X32</f>
        <v>172079.6</v>
      </c>
      <c r="Y35" s="6088"/>
      <c r="Z35" s="3429">
        <f>+Z29+Z32</f>
        <v>540607.60000000009</v>
      </c>
      <c r="AA35" s="6089"/>
      <c r="AB35" s="2680">
        <f>+AB29+AB32</f>
        <v>1047449.1399999999</v>
      </c>
      <c r="AC35" s="6123"/>
      <c r="AD35" s="3430">
        <f>+AD29+AD32</f>
        <v>167894</v>
      </c>
      <c r="AE35" s="6083"/>
      <c r="AF35" s="3428">
        <f t="shared" si="50"/>
        <v>1215343.1399999999</v>
      </c>
      <c r="AG35" s="6123"/>
      <c r="AH35" s="3430">
        <f>+AH29+AH32</f>
        <v>7917</v>
      </c>
      <c r="AI35" s="6083"/>
      <c r="AJ35" s="3428">
        <f t="shared" si="51"/>
        <v>1223260.1399999999</v>
      </c>
      <c r="AK35" s="6099"/>
      <c r="AL35" s="3430">
        <f>+AL29+AL32</f>
        <v>175760.37</v>
      </c>
      <c r="AM35" s="6088"/>
      <c r="AN35" s="3429">
        <f>+AN29+AN32</f>
        <v>351571.37</v>
      </c>
      <c r="AO35" s="6083"/>
      <c r="AP35" s="3428">
        <f t="shared" ref="AP35:AP49" si="54">+AL35+AJ35</f>
        <v>1399020.5099999998</v>
      </c>
      <c r="AQ35" s="6099"/>
      <c r="AR35" s="3430">
        <f>+AR29+AR32</f>
        <v>183032</v>
      </c>
      <c r="AS35" s="6083"/>
      <c r="AT35" s="3428">
        <f t="shared" si="52"/>
        <v>1582052.5099999998</v>
      </c>
      <c r="AU35" s="6099"/>
      <c r="AV35" s="3430">
        <f>+AV29+AV32</f>
        <v>163770</v>
      </c>
      <c r="AW35" s="6083"/>
      <c r="AX35" s="3428">
        <f t="shared" si="53"/>
        <v>1745822.5099999998</v>
      </c>
      <c r="AY35" s="6099"/>
      <c r="AZ35" s="3430">
        <f>+AZ29+AZ32</f>
        <v>171866</v>
      </c>
      <c r="BA35" s="6088"/>
      <c r="BB35" s="3429">
        <f>+BB29+BB32</f>
        <v>518668</v>
      </c>
      <c r="BC35" s="6089"/>
      <c r="BD35" s="2680">
        <f>+BD29+BD32</f>
        <v>870239.37</v>
      </c>
      <c r="BE35" s="6083"/>
      <c r="BF35" s="2045">
        <f t="shared" si="46"/>
        <v>1917688.5099999998</v>
      </c>
      <c r="BG35" s="2534"/>
      <c r="BH35" s="2534"/>
      <c r="BI35" s="2534"/>
      <c r="BJ35" s="3763"/>
      <c r="BK35" s="3763"/>
      <c r="BL35" s="2534"/>
      <c r="BM35" s="3763"/>
      <c r="BN35" s="3763"/>
    </row>
    <row r="36" spans="1:66" ht="15.75" thickBot="1" x14ac:dyDescent="0.3">
      <c r="B36" s="3444" t="s">
        <v>1724</v>
      </c>
      <c r="C36" s="3445" t="s">
        <v>50</v>
      </c>
      <c r="D36" s="6111"/>
      <c r="E36" s="6099"/>
      <c r="F36" s="3446">
        <f>+F30+F33</f>
        <v>144</v>
      </c>
      <c r="G36" s="6099"/>
      <c r="H36" s="3446">
        <f>+H30+H33</f>
        <v>154</v>
      </c>
      <c r="I36" s="6083"/>
      <c r="J36" s="2045">
        <f t="shared" si="47"/>
        <v>298</v>
      </c>
      <c r="K36" s="6099"/>
      <c r="L36" s="3446">
        <f>+L30+L33</f>
        <v>56</v>
      </c>
      <c r="M36" s="6088"/>
      <c r="N36" s="3429">
        <f>+N30+N33</f>
        <v>354</v>
      </c>
      <c r="O36" s="6099"/>
      <c r="P36" s="3446">
        <f>+P30+P33</f>
        <v>26</v>
      </c>
      <c r="Q36" s="6083"/>
      <c r="R36" s="3428">
        <f t="shared" si="48"/>
        <v>380</v>
      </c>
      <c r="S36" s="6099"/>
      <c r="T36" s="3446">
        <f>+T30+T33</f>
        <v>66</v>
      </c>
      <c r="U36" s="6083"/>
      <c r="V36" s="3428">
        <f t="shared" si="49"/>
        <v>446</v>
      </c>
      <c r="W36" s="6099"/>
      <c r="X36" s="3446">
        <f>+X30+X33</f>
        <v>260</v>
      </c>
      <c r="Y36" s="6088"/>
      <c r="Z36" s="3429">
        <f>+Z30+Z33</f>
        <v>352</v>
      </c>
      <c r="AA36" s="6089"/>
      <c r="AB36" s="2680">
        <f>+AB30+AB33</f>
        <v>706</v>
      </c>
      <c r="AC36" s="6123"/>
      <c r="AD36" s="3430">
        <f>+AD30+AD33</f>
        <v>246</v>
      </c>
      <c r="AE36" s="6083"/>
      <c r="AF36" s="3428">
        <f t="shared" si="50"/>
        <v>952</v>
      </c>
      <c r="AG36" s="6123"/>
      <c r="AH36" s="3430">
        <f>+AH30+AH33</f>
        <v>18</v>
      </c>
      <c r="AI36" s="6083"/>
      <c r="AJ36" s="3428">
        <f t="shared" si="51"/>
        <v>970</v>
      </c>
      <c r="AK36" s="6099"/>
      <c r="AL36" s="3430">
        <f>+AL30+AL33</f>
        <v>455</v>
      </c>
      <c r="AM36" s="6088"/>
      <c r="AN36" s="3429">
        <f>+AN30+AN33</f>
        <v>719</v>
      </c>
      <c r="AO36" s="6083"/>
      <c r="AP36" s="3428">
        <f t="shared" si="54"/>
        <v>1425</v>
      </c>
      <c r="AQ36" s="6099"/>
      <c r="AR36" s="3430">
        <f>+AR30+AR33</f>
        <v>494</v>
      </c>
      <c r="AS36" s="6083"/>
      <c r="AT36" s="3428">
        <f t="shared" si="52"/>
        <v>1919</v>
      </c>
      <c r="AU36" s="6099"/>
      <c r="AV36" s="3430">
        <f>+AV30+AV33</f>
        <v>154</v>
      </c>
      <c r="AW36" s="6083"/>
      <c r="AX36" s="3428">
        <f t="shared" si="53"/>
        <v>2073</v>
      </c>
      <c r="AY36" s="6099"/>
      <c r="AZ36" s="3430">
        <f>+AZ30+AZ33</f>
        <v>0</v>
      </c>
      <c r="BA36" s="6088"/>
      <c r="BB36" s="3429">
        <f>+BB30+BB33</f>
        <v>648</v>
      </c>
      <c r="BC36" s="6089"/>
      <c r="BD36" s="2680">
        <f>+BD30+BD33</f>
        <v>1367</v>
      </c>
      <c r="BE36" s="6083"/>
      <c r="BF36" s="2045">
        <f t="shared" si="46"/>
        <v>2073</v>
      </c>
      <c r="BG36" s="2534"/>
      <c r="BH36" s="2534"/>
      <c r="BI36" s="2534"/>
      <c r="BJ36" s="3763"/>
      <c r="BK36" s="3763"/>
      <c r="BL36" s="2534"/>
      <c r="BM36" s="3763"/>
      <c r="BN36" s="3763"/>
    </row>
    <row r="37" spans="1:66" ht="15" x14ac:dyDescent="0.25">
      <c r="B37" s="3447" t="s">
        <v>449</v>
      </c>
      <c r="C37" s="3448" t="s">
        <v>50</v>
      </c>
      <c r="D37" s="6112"/>
      <c r="E37" s="6100"/>
      <c r="F37" s="3430">
        <f>+F31+F34</f>
        <v>149261</v>
      </c>
      <c r="G37" s="6100"/>
      <c r="H37" s="3430">
        <f>+H31+H34</f>
        <v>175199.53999999998</v>
      </c>
      <c r="I37" s="6083"/>
      <c r="J37" s="2045">
        <f t="shared" si="47"/>
        <v>324460.53999999998</v>
      </c>
      <c r="K37" s="6100"/>
      <c r="L37" s="3430">
        <f>+L31+L34</f>
        <v>182735</v>
      </c>
      <c r="M37" s="6088"/>
      <c r="N37" s="3429">
        <f>+N31+N34</f>
        <v>507195.54</v>
      </c>
      <c r="O37" s="6100"/>
      <c r="P37" s="3430">
        <f>+P31+P34</f>
        <v>189077</v>
      </c>
      <c r="Q37" s="6083"/>
      <c r="R37" s="3428">
        <f t="shared" si="48"/>
        <v>696272.54</v>
      </c>
      <c r="S37" s="6100"/>
      <c r="T37" s="3430">
        <f>+T31+T34</f>
        <v>179543</v>
      </c>
      <c r="U37" s="6083"/>
      <c r="V37" s="3428">
        <f t="shared" si="49"/>
        <v>875815.54</v>
      </c>
      <c r="W37" s="6100"/>
      <c r="X37" s="3430">
        <f>+X31+X34</f>
        <v>172339.6</v>
      </c>
      <c r="Y37" s="6088"/>
      <c r="Z37" s="3429">
        <f>+Z31+Z34</f>
        <v>540959.60000000009</v>
      </c>
      <c r="AA37" s="6089"/>
      <c r="AB37" s="2680">
        <f>+AB31+AB34</f>
        <v>1048155.1399999999</v>
      </c>
      <c r="AC37" s="6124"/>
      <c r="AD37" s="3430">
        <f>+AD31+AD34</f>
        <v>168140</v>
      </c>
      <c r="AE37" s="6083"/>
      <c r="AF37" s="3428">
        <f t="shared" si="50"/>
        <v>1216295.1399999999</v>
      </c>
      <c r="AG37" s="6124"/>
      <c r="AH37" s="3430">
        <f>+AH31+AH34</f>
        <v>7935</v>
      </c>
      <c r="AI37" s="6083"/>
      <c r="AJ37" s="3428">
        <f t="shared" si="51"/>
        <v>1224230.1399999999</v>
      </c>
      <c r="AK37" s="6100"/>
      <c r="AL37" s="3430">
        <f>+AL31+AL34</f>
        <v>176215.37</v>
      </c>
      <c r="AM37" s="6088"/>
      <c r="AN37" s="3429">
        <f>+AN31+AN34</f>
        <v>352290.37</v>
      </c>
      <c r="AO37" s="6083"/>
      <c r="AP37" s="3428">
        <f t="shared" si="54"/>
        <v>1400445.5099999998</v>
      </c>
      <c r="AQ37" s="6100"/>
      <c r="AR37" s="3430">
        <f>+AR31+AR34</f>
        <v>183526</v>
      </c>
      <c r="AS37" s="6083"/>
      <c r="AT37" s="3428">
        <f t="shared" si="52"/>
        <v>1583971.5099999998</v>
      </c>
      <c r="AU37" s="6100"/>
      <c r="AV37" s="3430">
        <f>+AV31+AV34</f>
        <v>163924</v>
      </c>
      <c r="AW37" s="6083"/>
      <c r="AX37" s="3428">
        <f t="shared" si="53"/>
        <v>1747895.5099999998</v>
      </c>
      <c r="AY37" s="6100"/>
      <c r="AZ37" s="3430">
        <f>+AZ31+AZ34</f>
        <v>171866</v>
      </c>
      <c r="BA37" s="6088"/>
      <c r="BB37" s="3429">
        <f>+BB31+BB34</f>
        <v>519316</v>
      </c>
      <c r="BC37" s="6089"/>
      <c r="BD37" s="2680">
        <f>+BD31+BD34</f>
        <v>871606.37</v>
      </c>
      <c r="BE37" s="6083"/>
      <c r="BF37" s="2045">
        <f t="shared" si="46"/>
        <v>1919761.5099999998</v>
      </c>
      <c r="BG37" s="2534"/>
      <c r="BH37" s="2534"/>
      <c r="BI37" s="2534"/>
      <c r="BJ37" s="3763"/>
      <c r="BK37" s="3763"/>
      <c r="BL37" s="2534"/>
      <c r="BM37" s="3763"/>
      <c r="BN37" s="3763"/>
    </row>
    <row r="38" spans="1:66" ht="15" x14ac:dyDescent="0.25">
      <c r="B38" s="1928" t="s">
        <v>515</v>
      </c>
      <c r="C38" s="2942" t="s">
        <v>50</v>
      </c>
      <c r="D38" s="5703">
        <v>791556.72823219001</v>
      </c>
      <c r="E38" s="6103">
        <v>65435.356200527698</v>
      </c>
      <c r="F38" s="2716">
        <v>0</v>
      </c>
      <c r="G38" s="6103">
        <v>68601.583113456494</v>
      </c>
      <c r="H38" s="2716">
        <v>4718.04</v>
      </c>
      <c r="I38" s="6083">
        <f>+E38+G38</f>
        <v>134036.93931398418</v>
      </c>
      <c r="J38" s="39">
        <f t="shared" si="47"/>
        <v>4718.04</v>
      </c>
      <c r="K38" s="6103">
        <v>65963.060686015902</v>
      </c>
      <c r="L38" s="2716">
        <v>0</v>
      </c>
      <c r="M38" s="6088">
        <f>+K38+G38+E38</f>
        <v>200000.00000000009</v>
      </c>
      <c r="N38" s="2649">
        <f>+L38+H38+F38</f>
        <v>4718.04</v>
      </c>
      <c r="O38" s="6103">
        <v>68601.583113456407</v>
      </c>
      <c r="P38" s="2716">
        <v>0</v>
      </c>
      <c r="Q38" s="6083">
        <f>+M38+O38</f>
        <v>268601.58311345649</v>
      </c>
      <c r="R38" s="2648">
        <f t="shared" si="48"/>
        <v>4718.04</v>
      </c>
      <c r="S38" s="6103">
        <v>68601.583113456407</v>
      </c>
      <c r="T38" s="2716">
        <v>9565.49</v>
      </c>
      <c r="U38" s="6104">
        <f>+Q38+S38</f>
        <v>337203.16622691287</v>
      </c>
      <c r="V38" s="2648">
        <f t="shared" si="49"/>
        <v>14283.529999999999</v>
      </c>
      <c r="W38" s="6103">
        <v>35356.200527704597</v>
      </c>
      <c r="X38" s="2716">
        <v>0</v>
      </c>
      <c r="Y38" s="6088">
        <f>+W38+S38+O38</f>
        <v>172559.36675461743</v>
      </c>
      <c r="Z38" s="2649">
        <f t="shared" ref="Z38:Z45" si="55">+X38+T38+P38</f>
        <v>9565.49</v>
      </c>
      <c r="AA38" s="6089">
        <f>+Y38+M38</f>
        <v>372559.36675461754</v>
      </c>
      <c r="AB38" s="2693">
        <f t="shared" ref="AB38:AB45" si="56">+Z38+N38</f>
        <v>14283.529999999999</v>
      </c>
      <c r="AC38" s="6098">
        <v>57740.566037735844</v>
      </c>
      <c r="AD38" s="2716">
        <v>6870</v>
      </c>
      <c r="AE38" s="6083">
        <f>+AA38+AC38</f>
        <v>430299.93279235339</v>
      </c>
      <c r="AF38" s="2648">
        <f t="shared" si="50"/>
        <v>21153.53</v>
      </c>
      <c r="AG38" s="6098">
        <v>56118.396226415098</v>
      </c>
      <c r="AH38" s="2716">
        <v>0</v>
      </c>
      <c r="AI38" s="6083">
        <f>+AE38+AG38</f>
        <v>486418.32901876851</v>
      </c>
      <c r="AJ38" s="2648">
        <f t="shared" si="51"/>
        <v>21153.53</v>
      </c>
      <c r="AK38" s="6098">
        <v>57650.116037735803</v>
      </c>
      <c r="AL38" s="2716">
        <v>12542.63</v>
      </c>
      <c r="AM38" s="6088">
        <f>+AK38+AG38+AC38</f>
        <v>171509.07830188674</v>
      </c>
      <c r="AN38" s="2649">
        <f t="shared" ref="AN38:AN45" si="57">+AL38+AH38+AD38</f>
        <v>19412.629999999997</v>
      </c>
      <c r="AO38" s="6083">
        <f>+AK38+AI38</f>
        <v>544068.44505650434</v>
      </c>
      <c r="AP38" s="2648">
        <f t="shared" si="54"/>
        <v>33696.159999999996</v>
      </c>
      <c r="AQ38" s="6098">
        <v>57740.5660377358</v>
      </c>
      <c r="AR38" s="2716">
        <v>10907.68</v>
      </c>
      <c r="AS38" s="6083">
        <f>+AO38+AQ38</f>
        <v>601809.01109424012</v>
      </c>
      <c r="AT38" s="2648">
        <f t="shared" si="52"/>
        <v>44603.839999999997</v>
      </c>
      <c r="AU38" s="6098">
        <v>51930.660377358501</v>
      </c>
      <c r="AV38" s="2716">
        <v>0</v>
      </c>
      <c r="AW38" s="6083">
        <f>+AS38+AU38</f>
        <v>653739.67147159867</v>
      </c>
      <c r="AX38" s="2648">
        <f t="shared" si="53"/>
        <v>44603.839999999997</v>
      </c>
      <c r="AY38" s="6098">
        <v>57740.5660377358</v>
      </c>
      <c r="AZ38" s="2716">
        <v>0</v>
      </c>
      <c r="BA38" s="6088">
        <f>+AY38+AU38+AQ38</f>
        <v>167411.79245283012</v>
      </c>
      <c r="BB38" s="2649">
        <f t="shared" ref="BB38:BB45" si="58">+AZ38+AV38+AR38</f>
        <v>10907.68</v>
      </c>
      <c r="BC38" s="6089">
        <f>+BA38+AM38</f>
        <v>338920.87075471686</v>
      </c>
      <c r="BD38" s="2693">
        <f t="shared" ref="BD38:BD45" si="59">+BB38+AN38</f>
        <v>30320.309999999998</v>
      </c>
      <c r="BE38" s="6083">
        <f>+AW38+AY38</f>
        <v>711480.23750933446</v>
      </c>
      <c r="BF38" s="39">
        <f t="shared" si="46"/>
        <v>44603.839999999997</v>
      </c>
      <c r="BG38" s="2534"/>
      <c r="BH38" s="2534"/>
      <c r="BI38" s="2534"/>
      <c r="BJ38" s="3763"/>
      <c r="BK38" s="3763"/>
      <c r="BL38" s="2534"/>
      <c r="BM38" s="3763"/>
      <c r="BN38" s="3763"/>
    </row>
    <row r="39" spans="1:66" ht="15" x14ac:dyDescent="0.25">
      <c r="B39" s="1928" t="s">
        <v>1198</v>
      </c>
      <c r="C39" s="2942" t="s">
        <v>50</v>
      </c>
      <c r="D39" s="5703"/>
      <c r="E39" s="6103"/>
      <c r="F39" s="2716">
        <v>1877.01</v>
      </c>
      <c r="G39" s="6103"/>
      <c r="H39" s="2716">
        <v>4240.2</v>
      </c>
      <c r="I39" s="6083"/>
      <c r="J39" s="39">
        <f t="shared" si="47"/>
        <v>6117.21</v>
      </c>
      <c r="K39" s="6103"/>
      <c r="L39" s="2716">
        <v>5410.51</v>
      </c>
      <c r="M39" s="6088"/>
      <c r="N39" s="2649">
        <f t="shared" ref="N39:N45" si="60">+L39+H39+F39</f>
        <v>11527.72</v>
      </c>
      <c r="O39" s="6103"/>
      <c r="P39" s="2716">
        <v>5924.69</v>
      </c>
      <c r="Q39" s="6083"/>
      <c r="R39" s="2648">
        <f t="shared" si="48"/>
        <v>17452.41</v>
      </c>
      <c r="S39" s="6103"/>
      <c r="T39" s="2716">
        <v>4826.59</v>
      </c>
      <c r="U39" s="6105"/>
      <c r="V39" s="2648">
        <f t="shared" si="49"/>
        <v>22279</v>
      </c>
      <c r="W39" s="6103"/>
      <c r="X39" s="2716">
        <v>6252.37</v>
      </c>
      <c r="Y39" s="6088"/>
      <c r="Z39" s="2649">
        <f t="shared" si="55"/>
        <v>17003.649999999998</v>
      </c>
      <c r="AA39" s="6089"/>
      <c r="AB39" s="2693">
        <f t="shared" si="56"/>
        <v>28531.369999999995</v>
      </c>
      <c r="AC39" s="6099"/>
      <c r="AD39" s="2716">
        <v>1201.28</v>
      </c>
      <c r="AE39" s="6083"/>
      <c r="AF39" s="2648">
        <f t="shared" si="50"/>
        <v>29732.649999999994</v>
      </c>
      <c r="AG39" s="6099"/>
      <c r="AH39" s="2716">
        <v>0</v>
      </c>
      <c r="AI39" s="6083"/>
      <c r="AJ39" s="2648">
        <f t="shared" si="51"/>
        <v>29732.649999999994</v>
      </c>
      <c r="AK39" s="6099"/>
      <c r="AL39" s="2716">
        <v>3426.03</v>
      </c>
      <c r="AM39" s="6088"/>
      <c r="AN39" s="2649">
        <f t="shared" si="57"/>
        <v>4627.3100000000004</v>
      </c>
      <c r="AO39" s="6083"/>
      <c r="AP39" s="2648">
        <f t="shared" si="54"/>
        <v>33158.679999999993</v>
      </c>
      <c r="AQ39" s="6099"/>
      <c r="AR39" s="2716">
        <v>3614.57</v>
      </c>
      <c r="AS39" s="6083"/>
      <c r="AT39" s="2648">
        <f t="shared" si="52"/>
        <v>36773.249999999993</v>
      </c>
      <c r="AU39" s="6099"/>
      <c r="AV39" s="2716">
        <v>3235.6</v>
      </c>
      <c r="AW39" s="6083"/>
      <c r="AX39" s="2648">
        <f t="shared" si="53"/>
        <v>40008.849999999991</v>
      </c>
      <c r="AY39" s="6099"/>
      <c r="AZ39" s="2716">
        <v>5098.3</v>
      </c>
      <c r="BA39" s="6088"/>
      <c r="BB39" s="2649">
        <f t="shared" si="58"/>
        <v>11948.47</v>
      </c>
      <c r="BC39" s="6089"/>
      <c r="BD39" s="2693">
        <f t="shared" si="59"/>
        <v>16575.78</v>
      </c>
      <c r="BE39" s="6083"/>
      <c r="BF39" s="39">
        <f t="shared" si="46"/>
        <v>45107.149999999994</v>
      </c>
      <c r="BG39" s="2534"/>
      <c r="BH39" s="2534"/>
      <c r="BI39" s="2534"/>
      <c r="BJ39" s="3763"/>
      <c r="BK39" s="3763"/>
      <c r="BL39" s="2534"/>
      <c r="BM39" s="3763"/>
      <c r="BN39" s="3763"/>
    </row>
    <row r="40" spans="1:66" ht="15" x14ac:dyDescent="0.25">
      <c r="B40" s="1928" t="s">
        <v>1199</v>
      </c>
      <c r="C40" s="2942" t="s">
        <v>50</v>
      </c>
      <c r="D40" s="5703"/>
      <c r="E40" s="6103"/>
      <c r="F40" s="2716">
        <v>39956.639999999999</v>
      </c>
      <c r="G40" s="6103"/>
      <c r="H40" s="2716">
        <v>40263.629999999997</v>
      </c>
      <c r="I40" s="6083"/>
      <c r="J40" s="39">
        <f t="shared" si="47"/>
        <v>80220.26999999999</v>
      </c>
      <c r="K40" s="6103"/>
      <c r="L40" s="2716">
        <v>50304.05</v>
      </c>
      <c r="M40" s="6088"/>
      <c r="N40" s="2649">
        <f t="shared" si="60"/>
        <v>130524.31999999999</v>
      </c>
      <c r="O40" s="6103"/>
      <c r="P40" s="2716">
        <v>48455.39</v>
      </c>
      <c r="Q40" s="6083"/>
      <c r="R40" s="2648">
        <f t="shared" si="48"/>
        <v>178979.71</v>
      </c>
      <c r="S40" s="6103"/>
      <c r="T40" s="2716">
        <v>38287.4</v>
      </c>
      <c r="U40" s="6105"/>
      <c r="V40" s="2648">
        <f t="shared" si="49"/>
        <v>217267.11</v>
      </c>
      <c r="W40" s="6103"/>
      <c r="X40" s="2716">
        <v>38145.660000000003</v>
      </c>
      <c r="Y40" s="6088"/>
      <c r="Z40" s="2649">
        <f t="shared" si="55"/>
        <v>124888.45</v>
      </c>
      <c r="AA40" s="6089"/>
      <c r="AB40" s="2693">
        <f t="shared" si="56"/>
        <v>255412.77</v>
      </c>
      <c r="AC40" s="6099"/>
      <c r="AD40" s="2716">
        <v>38862.85</v>
      </c>
      <c r="AE40" s="6083"/>
      <c r="AF40" s="2648">
        <f t="shared" si="50"/>
        <v>294275.62</v>
      </c>
      <c r="AG40" s="6099"/>
      <c r="AH40" s="2716">
        <v>0</v>
      </c>
      <c r="AI40" s="6083"/>
      <c r="AJ40" s="2648">
        <f t="shared" si="51"/>
        <v>294275.62</v>
      </c>
      <c r="AK40" s="6099"/>
      <c r="AL40" s="2716">
        <v>32597.78</v>
      </c>
      <c r="AM40" s="6088"/>
      <c r="AN40" s="2649">
        <f t="shared" si="57"/>
        <v>71460.63</v>
      </c>
      <c r="AO40" s="6083"/>
      <c r="AP40" s="2648">
        <f t="shared" si="54"/>
        <v>326873.40000000002</v>
      </c>
      <c r="AQ40" s="6099"/>
      <c r="AR40" s="2716">
        <v>47811.86</v>
      </c>
      <c r="AS40" s="6083"/>
      <c r="AT40" s="2648">
        <f t="shared" si="52"/>
        <v>374685.26</v>
      </c>
      <c r="AU40" s="6099"/>
      <c r="AV40" s="2716">
        <v>46767.55</v>
      </c>
      <c r="AW40" s="6083"/>
      <c r="AX40" s="2648">
        <f t="shared" si="53"/>
        <v>421452.81</v>
      </c>
      <c r="AY40" s="6099"/>
      <c r="AZ40" s="2716">
        <v>54368.98</v>
      </c>
      <c r="BA40" s="6088"/>
      <c r="BB40" s="2649">
        <f t="shared" si="58"/>
        <v>148948.39000000001</v>
      </c>
      <c r="BC40" s="6089"/>
      <c r="BD40" s="2693">
        <f t="shared" si="59"/>
        <v>220409.02000000002</v>
      </c>
      <c r="BE40" s="6083"/>
      <c r="BF40" s="39">
        <f t="shared" si="46"/>
        <v>475821.79</v>
      </c>
      <c r="BG40" s="2534"/>
      <c r="BH40" s="2534"/>
      <c r="BI40" s="2534"/>
      <c r="BJ40" s="3763"/>
      <c r="BK40" s="3763"/>
      <c r="BL40" s="2534"/>
      <c r="BM40" s="3763"/>
      <c r="BN40" s="3763"/>
    </row>
    <row r="41" spans="1:66" ht="15" x14ac:dyDescent="0.25">
      <c r="A41" s="2534">
        <f>+J38+J39+J40+J41</f>
        <v>119023.12999999999</v>
      </c>
      <c r="B41" s="1928" t="s">
        <v>1200</v>
      </c>
      <c r="C41" s="2942" t="s">
        <v>50</v>
      </c>
      <c r="D41" s="5703"/>
      <c r="E41" s="6103"/>
      <c r="F41" s="2716">
        <v>15818.92</v>
      </c>
      <c r="G41" s="6103"/>
      <c r="H41" s="2716">
        <v>12148.69</v>
      </c>
      <c r="I41" s="6083"/>
      <c r="J41" s="39">
        <f t="shared" si="47"/>
        <v>27967.61</v>
      </c>
      <c r="K41" s="6103"/>
      <c r="L41" s="2716">
        <v>4969.74</v>
      </c>
      <c r="M41" s="6088"/>
      <c r="N41" s="2649">
        <f t="shared" si="60"/>
        <v>32937.35</v>
      </c>
      <c r="O41" s="6103"/>
      <c r="P41" s="2716">
        <v>10197.709999999999</v>
      </c>
      <c r="Q41" s="6083"/>
      <c r="R41" s="2648">
        <f t="shared" si="48"/>
        <v>43135.06</v>
      </c>
      <c r="S41" s="6103"/>
      <c r="T41" s="2716">
        <v>5371.31</v>
      </c>
      <c r="U41" s="6105"/>
      <c r="V41" s="2648">
        <f t="shared" si="49"/>
        <v>48506.369999999995</v>
      </c>
      <c r="W41" s="6103"/>
      <c r="X41" s="2716">
        <v>9948.9699999999993</v>
      </c>
      <c r="Y41" s="6088"/>
      <c r="Z41" s="2649">
        <f t="shared" si="55"/>
        <v>25517.989999999998</v>
      </c>
      <c r="AA41" s="6089"/>
      <c r="AB41" s="2693">
        <f t="shared" si="56"/>
        <v>58455.34</v>
      </c>
      <c r="AC41" s="6099"/>
      <c r="AD41" s="2716">
        <v>6976.83</v>
      </c>
      <c r="AE41" s="6083"/>
      <c r="AF41" s="2648">
        <f t="shared" si="50"/>
        <v>65432.17</v>
      </c>
      <c r="AG41" s="6099"/>
      <c r="AH41" s="2716">
        <v>0</v>
      </c>
      <c r="AI41" s="6083"/>
      <c r="AJ41" s="2648">
        <f t="shared" si="51"/>
        <v>65432.17</v>
      </c>
      <c r="AK41" s="6099"/>
      <c r="AL41" s="2716">
        <v>9962.92</v>
      </c>
      <c r="AM41" s="6088"/>
      <c r="AN41" s="2649">
        <f t="shared" si="57"/>
        <v>16939.75</v>
      </c>
      <c r="AO41" s="6083"/>
      <c r="AP41" s="2648">
        <f t="shared" si="54"/>
        <v>75395.09</v>
      </c>
      <c r="AQ41" s="6099"/>
      <c r="AR41" s="2716">
        <v>0</v>
      </c>
      <c r="AS41" s="6083"/>
      <c r="AT41" s="2648">
        <f t="shared" si="52"/>
        <v>75395.09</v>
      </c>
      <c r="AU41" s="6099"/>
      <c r="AV41" s="2716">
        <v>8902.66</v>
      </c>
      <c r="AW41" s="6083"/>
      <c r="AX41" s="2648">
        <f t="shared" si="53"/>
        <v>84297.75</v>
      </c>
      <c r="AY41" s="6099"/>
      <c r="AZ41" s="2716">
        <v>12218.42</v>
      </c>
      <c r="BA41" s="6088"/>
      <c r="BB41" s="2649">
        <f t="shared" si="58"/>
        <v>21121.08</v>
      </c>
      <c r="BC41" s="6089"/>
      <c r="BD41" s="2693">
        <f t="shared" si="59"/>
        <v>38060.83</v>
      </c>
      <c r="BE41" s="6083"/>
      <c r="BF41" s="39">
        <f t="shared" si="46"/>
        <v>96516.17</v>
      </c>
      <c r="BG41" s="2534"/>
      <c r="BH41" s="2534"/>
      <c r="BI41" s="2534"/>
      <c r="BJ41" s="3763"/>
      <c r="BK41" s="3763"/>
      <c r="BL41" s="2534"/>
      <c r="BM41" s="3763"/>
      <c r="BN41" s="3763"/>
    </row>
    <row r="42" spans="1:66" ht="15" x14ac:dyDescent="0.25">
      <c r="B42" s="1928" t="s">
        <v>1725</v>
      </c>
      <c r="C42" s="2942" t="s">
        <v>50</v>
      </c>
      <c r="D42" s="5703"/>
      <c r="E42" s="6103"/>
      <c r="F42" s="2716">
        <v>0</v>
      </c>
      <c r="G42" s="6103"/>
      <c r="H42" s="2716">
        <v>0</v>
      </c>
      <c r="I42" s="6083"/>
      <c r="J42" s="39">
        <f t="shared" si="47"/>
        <v>0</v>
      </c>
      <c r="K42" s="6103"/>
      <c r="L42" s="2716">
        <v>0</v>
      </c>
      <c r="M42" s="6088"/>
      <c r="N42" s="2649">
        <f t="shared" si="60"/>
        <v>0</v>
      </c>
      <c r="O42" s="6103"/>
      <c r="P42" s="2716">
        <v>0</v>
      </c>
      <c r="Q42" s="6083"/>
      <c r="R42" s="2648">
        <f t="shared" si="48"/>
        <v>0</v>
      </c>
      <c r="S42" s="6103"/>
      <c r="T42" s="2716">
        <v>0</v>
      </c>
      <c r="U42" s="6105"/>
      <c r="V42" s="2648">
        <f t="shared" si="49"/>
        <v>0</v>
      </c>
      <c r="W42" s="6103"/>
      <c r="X42" s="2716">
        <v>0</v>
      </c>
      <c r="Y42" s="6088"/>
      <c r="Z42" s="2649">
        <f t="shared" si="55"/>
        <v>0</v>
      </c>
      <c r="AA42" s="6089"/>
      <c r="AB42" s="2693">
        <f t="shared" si="56"/>
        <v>0</v>
      </c>
      <c r="AC42" s="6099"/>
      <c r="AD42" s="2716">
        <v>13</v>
      </c>
      <c r="AE42" s="6083"/>
      <c r="AF42" s="2648">
        <f t="shared" si="50"/>
        <v>13</v>
      </c>
      <c r="AG42" s="6099"/>
      <c r="AH42" s="2716">
        <v>0</v>
      </c>
      <c r="AI42" s="6083"/>
      <c r="AJ42" s="2648">
        <f t="shared" si="51"/>
        <v>13</v>
      </c>
      <c r="AK42" s="6099"/>
      <c r="AL42" s="2716">
        <v>22</v>
      </c>
      <c r="AM42" s="6088"/>
      <c r="AN42" s="2649">
        <f t="shared" si="57"/>
        <v>35</v>
      </c>
      <c r="AO42" s="6083"/>
      <c r="AP42" s="2648">
        <f t="shared" si="54"/>
        <v>35</v>
      </c>
      <c r="AQ42" s="6099"/>
      <c r="AR42" s="2716">
        <v>12</v>
      </c>
      <c r="AS42" s="6083"/>
      <c r="AT42" s="2648">
        <f t="shared" si="52"/>
        <v>47</v>
      </c>
      <c r="AU42" s="6099"/>
      <c r="AV42" s="2716">
        <v>0</v>
      </c>
      <c r="AW42" s="6083"/>
      <c r="AX42" s="2648">
        <f t="shared" si="53"/>
        <v>47</v>
      </c>
      <c r="AY42" s="6099"/>
      <c r="AZ42" s="2716">
        <v>0</v>
      </c>
      <c r="BA42" s="6088"/>
      <c r="BB42" s="2649">
        <f t="shared" si="58"/>
        <v>12</v>
      </c>
      <c r="BC42" s="6089"/>
      <c r="BD42" s="2693">
        <f t="shared" si="59"/>
        <v>47</v>
      </c>
      <c r="BE42" s="6083"/>
      <c r="BF42" s="39">
        <f t="shared" si="46"/>
        <v>47</v>
      </c>
      <c r="BG42" s="2534"/>
      <c r="BH42" s="2534"/>
      <c r="BI42" s="2534"/>
      <c r="BJ42" s="3763"/>
      <c r="BK42" s="3763"/>
      <c r="BL42" s="2534"/>
      <c r="BM42" s="3763"/>
      <c r="BN42" s="3763"/>
    </row>
    <row r="43" spans="1:66" ht="15" x14ac:dyDescent="0.25">
      <c r="B43" s="1928" t="s">
        <v>1726</v>
      </c>
      <c r="C43" s="2942" t="s">
        <v>50</v>
      </c>
      <c r="D43" s="5703"/>
      <c r="E43" s="6103"/>
      <c r="F43" s="2716">
        <v>0</v>
      </c>
      <c r="G43" s="6103"/>
      <c r="H43" s="2716">
        <v>0</v>
      </c>
      <c r="I43" s="6083"/>
      <c r="J43" s="39">
        <f t="shared" si="47"/>
        <v>0</v>
      </c>
      <c r="K43" s="6103"/>
      <c r="L43" s="2716">
        <v>0</v>
      </c>
      <c r="M43" s="6088"/>
      <c r="N43" s="2649">
        <f t="shared" si="60"/>
        <v>0</v>
      </c>
      <c r="O43" s="6103"/>
      <c r="P43" s="2716">
        <v>0</v>
      </c>
      <c r="Q43" s="6083"/>
      <c r="R43" s="2648">
        <f t="shared" si="48"/>
        <v>0</v>
      </c>
      <c r="S43" s="6103"/>
      <c r="T43" s="2716">
        <v>11</v>
      </c>
      <c r="U43" s="6105"/>
      <c r="V43" s="2648">
        <f t="shared" si="49"/>
        <v>11</v>
      </c>
      <c r="W43" s="6103"/>
      <c r="X43" s="2716">
        <v>25</v>
      </c>
      <c r="Y43" s="6088"/>
      <c r="Z43" s="2649">
        <f t="shared" si="55"/>
        <v>36</v>
      </c>
      <c r="AA43" s="6089"/>
      <c r="AB43" s="2693">
        <f t="shared" si="56"/>
        <v>36</v>
      </c>
      <c r="AC43" s="6099"/>
      <c r="AD43" s="2716">
        <v>0</v>
      </c>
      <c r="AE43" s="6083"/>
      <c r="AF43" s="2648">
        <f t="shared" si="50"/>
        <v>36</v>
      </c>
      <c r="AG43" s="6099"/>
      <c r="AH43" s="2716">
        <v>0</v>
      </c>
      <c r="AI43" s="6083"/>
      <c r="AJ43" s="2648">
        <f t="shared" si="51"/>
        <v>36</v>
      </c>
      <c r="AK43" s="6099"/>
      <c r="AL43" s="2716">
        <v>28</v>
      </c>
      <c r="AM43" s="6088"/>
      <c r="AN43" s="2649">
        <f t="shared" si="57"/>
        <v>28</v>
      </c>
      <c r="AO43" s="6083"/>
      <c r="AP43" s="2648">
        <f t="shared" si="54"/>
        <v>64</v>
      </c>
      <c r="AQ43" s="6099"/>
      <c r="AR43" s="2716">
        <v>8</v>
      </c>
      <c r="AS43" s="6083"/>
      <c r="AT43" s="2648">
        <f t="shared" si="52"/>
        <v>72</v>
      </c>
      <c r="AU43" s="6099"/>
      <c r="AV43" s="2716">
        <v>6</v>
      </c>
      <c r="AW43" s="6083"/>
      <c r="AX43" s="2648">
        <f t="shared" si="53"/>
        <v>78</v>
      </c>
      <c r="AY43" s="6099"/>
      <c r="AZ43" s="2716">
        <v>0</v>
      </c>
      <c r="BA43" s="6088"/>
      <c r="BB43" s="2649">
        <f t="shared" si="58"/>
        <v>14</v>
      </c>
      <c r="BC43" s="6089"/>
      <c r="BD43" s="2693">
        <f t="shared" si="59"/>
        <v>42</v>
      </c>
      <c r="BE43" s="6083"/>
      <c r="BF43" s="39">
        <f t="shared" si="46"/>
        <v>78</v>
      </c>
      <c r="BG43" s="2534"/>
      <c r="BH43" s="2534"/>
      <c r="BI43" s="2534"/>
      <c r="BJ43" s="3763"/>
      <c r="BK43" s="3763"/>
      <c r="BL43" s="2534"/>
      <c r="BM43" s="3763"/>
      <c r="BN43" s="3763"/>
    </row>
    <row r="44" spans="1:66" ht="15" x14ac:dyDescent="0.25">
      <c r="B44" s="1928" t="s">
        <v>1727</v>
      </c>
      <c r="C44" s="2942" t="s">
        <v>50</v>
      </c>
      <c r="D44" s="5703"/>
      <c r="E44" s="6103"/>
      <c r="F44" s="2716">
        <v>60</v>
      </c>
      <c r="G44" s="6103"/>
      <c r="H44" s="2716">
        <v>68</v>
      </c>
      <c r="I44" s="6083"/>
      <c r="J44" s="39">
        <f t="shared" si="47"/>
        <v>128</v>
      </c>
      <c r="K44" s="6103"/>
      <c r="L44" s="2716">
        <v>34</v>
      </c>
      <c r="M44" s="6088"/>
      <c r="N44" s="2649">
        <f t="shared" si="60"/>
        <v>162</v>
      </c>
      <c r="O44" s="6103"/>
      <c r="P44" s="2716">
        <v>0</v>
      </c>
      <c r="Q44" s="6083"/>
      <c r="R44" s="2648">
        <f t="shared" si="48"/>
        <v>162</v>
      </c>
      <c r="S44" s="6103"/>
      <c r="T44" s="2716">
        <v>17</v>
      </c>
      <c r="U44" s="6105"/>
      <c r="V44" s="2648">
        <f t="shared" si="49"/>
        <v>179</v>
      </c>
      <c r="W44" s="6103"/>
      <c r="X44" s="2716">
        <v>82</v>
      </c>
      <c r="Y44" s="6088"/>
      <c r="Z44" s="2649">
        <f t="shared" si="55"/>
        <v>99</v>
      </c>
      <c r="AA44" s="6089"/>
      <c r="AB44" s="2693">
        <f t="shared" si="56"/>
        <v>261</v>
      </c>
      <c r="AC44" s="6099"/>
      <c r="AD44" s="2716">
        <v>41</v>
      </c>
      <c r="AE44" s="6083"/>
      <c r="AF44" s="2648">
        <f t="shared" si="50"/>
        <v>302</v>
      </c>
      <c r="AG44" s="6099"/>
      <c r="AH44" s="2716">
        <v>0</v>
      </c>
      <c r="AI44" s="6083"/>
      <c r="AJ44" s="2648">
        <f t="shared" si="51"/>
        <v>302</v>
      </c>
      <c r="AK44" s="6099"/>
      <c r="AL44" s="2716">
        <v>103</v>
      </c>
      <c r="AM44" s="6088"/>
      <c r="AN44" s="2649">
        <f t="shared" si="57"/>
        <v>144</v>
      </c>
      <c r="AO44" s="6083"/>
      <c r="AP44" s="2648">
        <f t="shared" si="54"/>
        <v>405</v>
      </c>
      <c r="AQ44" s="6099"/>
      <c r="AR44" s="2716">
        <v>160</v>
      </c>
      <c r="AS44" s="6083"/>
      <c r="AT44" s="2648">
        <f t="shared" si="52"/>
        <v>565</v>
      </c>
      <c r="AU44" s="6099"/>
      <c r="AV44" s="2716">
        <v>45</v>
      </c>
      <c r="AW44" s="6083"/>
      <c r="AX44" s="2648">
        <f t="shared" si="53"/>
        <v>610</v>
      </c>
      <c r="AY44" s="6099"/>
      <c r="AZ44" s="2716">
        <v>0</v>
      </c>
      <c r="BA44" s="6088"/>
      <c r="BB44" s="2649">
        <f t="shared" si="58"/>
        <v>205</v>
      </c>
      <c r="BC44" s="6089"/>
      <c r="BD44" s="2693">
        <f t="shared" si="59"/>
        <v>349</v>
      </c>
      <c r="BE44" s="6083"/>
      <c r="BF44" s="39">
        <f t="shared" si="46"/>
        <v>610</v>
      </c>
      <c r="BG44" s="2534"/>
      <c r="BH44" s="2534"/>
      <c r="BI44" s="2534"/>
      <c r="BJ44" s="3763"/>
      <c r="BK44" s="3763"/>
      <c r="BL44" s="2534"/>
      <c r="BM44" s="3763"/>
      <c r="BN44" s="3763"/>
    </row>
    <row r="45" spans="1:66" ht="15" x14ac:dyDescent="0.25">
      <c r="A45" s="2534"/>
      <c r="B45" s="1928" t="s">
        <v>1728</v>
      </c>
      <c r="C45" s="2942" t="s">
        <v>50</v>
      </c>
      <c r="D45" s="5703"/>
      <c r="E45" s="6103"/>
      <c r="F45" s="2716">
        <v>46</v>
      </c>
      <c r="G45" s="6103"/>
      <c r="H45" s="2716">
        <v>0</v>
      </c>
      <c r="I45" s="6083"/>
      <c r="J45" s="39">
        <f t="shared" si="47"/>
        <v>46</v>
      </c>
      <c r="K45" s="6103"/>
      <c r="L45" s="2716">
        <v>0</v>
      </c>
      <c r="M45" s="6088"/>
      <c r="N45" s="2649">
        <f t="shared" si="60"/>
        <v>46</v>
      </c>
      <c r="O45" s="6103"/>
      <c r="P45" s="2716">
        <v>7</v>
      </c>
      <c r="Q45" s="6083"/>
      <c r="R45" s="2648">
        <f t="shared" si="48"/>
        <v>53</v>
      </c>
      <c r="S45" s="6103"/>
      <c r="T45" s="2716">
        <v>0</v>
      </c>
      <c r="U45" s="6105"/>
      <c r="V45" s="2648">
        <f t="shared" si="49"/>
        <v>53</v>
      </c>
      <c r="W45" s="6103"/>
      <c r="X45" s="2716">
        <v>53</v>
      </c>
      <c r="Y45" s="6088"/>
      <c r="Z45" s="2649">
        <f t="shared" si="55"/>
        <v>60</v>
      </c>
      <c r="AA45" s="6089"/>
      <c r="AB45" s="2693">
        <f t="shared" si="56"/>
        <v>106</v>
      </c>
      <c r="AC45" s="6099"/>
      <c r="AD45" s="2716">
        <v>33</v>
      </c>
      <c r="AE45" s="6083"/>
      <c r="AF45" s="2648">
        <f t="shared" si="50"/>
        <v>139</v>
      </c>
      <c r="AG45" s="6099"/>
      <c r="AH45" s="2716">
        <v>0</v>
      </c>
      <c r="AI45" s="6083"/>
      <c r="AJ45" s="2648">
        <f t="shared" si="51"/>
        <v>139</v>
      </c>
      <c r="AK45" s="6099"/>
      <c r="AL45" s="2716">
        <v>32</v>
      </c>
      <c r="AM45" s="6088"/>
      <c r="AN45" s="2649">
        <f t="shared" si="57"/>
        <v>65</v>
      </c>
      <c r="AO45" s="6083"/>
      <c r="AP45" s="2648">
        <f t="shared" si="54"/>
        <v>171</v>
      </c>
      <c r="AQ45" s="6099"/>
      <c r="AR45" s="2716">
        <v>0</v>
      </c>
      <c r="AS45" s="6083"/>
      <c r="AT45" s="2648">
        <f t="shared" si="52"/>
        <v>171</v>
      </c>
      <c r="AU45" s="6099"/>
      <c r="AV45" s="2716">
        <v>15</v>
      </c>
      <c r="AW45" s="6083"/>
      <c r="AX45" s="2648">
        <f t="shared" si="53"/>
        <v>186</v>
      </c>
      <c r="AY45" s="6099"/>
      <c r="AZ45" s="2716">
        <v>0</v>
      </c>
      <c r="BA45" s="6088"/>
      <c r="BB45" s="2649">
        <f t="shared" si="58"/>
        <v>15</v>
      </c>
      <c r="BC45" s="6089"/>
      <c r="BD45" s="2693">
        <f t="shared" si="59"/>
        <v>80</v>
      </c>
      <c r="BE45" s="6083"/>
      <c r="BF45" s="39">
        <f t="shared" si="46"/>
        <v>186</v>
      </c>
      <c r="BG45" s="2534"/>
      <c r="BH45" s="2534"/>
      <c r="BI45" s="2534"/>
      <c r="BJ45" s="3763"/>
      <c r="BK45" s="3763"/>
      <c r="BL45" s="2534"/>
      <c r="BM45" s="3763"/>
      <c r="BN45" s="3763"/>
    </row>
    <row r="46" spans="1:66" ht="16.5" customHeight="1" thickBot="1" x14ac:dyDescent="0.3">
      <c r="A46" s="2534"/>
      <c r="B46" s="3450" t="s">
        <v>164</v>
      </c>
      <c r="C46" s="3451" t="s">
        <v>50</v>
      </c>
      <c r="D46" s="5703"/>
      <c r="E46" s="6103"/>
      <c r="F46" s="3430">
        <f>SUM(F38:F45)</f>
        <v>57758.57</v>
      </c>
      <c r="G46" s="6103"/>
      <c r="H46" s="3430">
        <f>SUM(H38:H45)</f>
        <v>61438.559999999998</v>
      </c>
      <c r="I46" s="6083"/>
      <c r="J46" s="2045">
        <f t="shared" si="47"/>
        <v>119197.13</v>
      </c>
      <c r="K46" s="6103"/>
      <c r="L46" s="3430">
        <f>SUM(L38:L45)</f>
        <v>60718.3</v>
      </c>
      <c r="M46" s="6088"/>
      <c r="N46" s="3429">
        <f>SUM(N38:N45)</f>
        <v>179915.43</v>
      </c>
      <c r="O46" s="6103"/>
      <c r="P46" s="3430">
        <f>SUM(P38:P45)</f>
        <v>64584.79</v>
      </c>
      <c r="Q46" s="6083"/>
      <c r="R46" s="3428">
        <f t="shared" si="48"/>
        <v>244500.22</v>
      </c>
      <c r="S46" s="6103"/>
      <c r="T46" s="3430">
        <f>SUM(T38:T45)</f>
        <v>58078.79</v>
      </c>
      <c r="U46" s="6106"/>
      <c r="V46" s="3428">
        <f t="shared" si="49"/>
        <v>302579.01</v>
      </c>
      <c r="W46" s="6103"/>
      <c r="X46" s="3430">
        <f>SUM(X38:X45)</f>
        <v>54507.000000000007</v>
      </c>
      <c r="Y46" s="6088"/>
      <c r="Z46" s="3429">
        <f>SUM(Z38:Z45)</f>
        <v>177170.58</v>
      </c>
      <c r="AA46" s="6089"/>
      <c r="AB46" s="2680">
        <f>SUM(AB38:AB45)</f>
        <v>357086.01</v>
      </c>
      <c r="AC46" s="6100"/>
      <c r="AD46" s="3430">
        <f>SUM(AD38:AD45)</f>
        <v>53997.96</v>
      </c>
      <c r="AE46" s="6083"/>
      <c r="AF46" s="3428">
        <f t="shared" si="50"/>
        <v>411083.97000000003</v>
      </c>
      <c r="AG46" s="6100"/>
      <c r="AH46" s="3430">
        <f>SUM(AH38:AH45)</f>
        <v>0</v>
      </c>
      <c r="AI46" s="6083"/>
      <c r="AJ46" s="3428">
        <f t="shared" si="51"/>
        <v>411083.97000000003</v>
      </c>
      <c r="AK46" s="6100"/>
      <c r="AL46" s="3430">
        <f>SUM(AL38:AL45)</f>
        <v>58714.36</v>
      </c>
      <c r="AM46" s="6088"/>
      <c r="AN46" s="3429">
        <f>SUM(AN38:AN45)</f>
        <v>112712.32000000001</v>
      </c>
      <c r="AO46" s="6083"/>
      <c r="AP46" s="3428">
        <f t="shared" si="54"/>
        <v>469798.33</v>
      </c>
      <c r="AQ46" s="6100"/>
      <c r="AR46" s="3430">
        <f>SUM(AR38:AR45)</f>
        <v>62514.11</v>
      </c>
      <c r="AS46" s="6083"/>
      <c r="AT46" s="3428">
        <f t="shared" si="52"/>
        <v>532312.44000000006</v>
      </c>
      <c r="AU46" s="6100"/>
      <c r="AV46" s="3430">
        <f>SUM(AV38:AV45)</f>
        <v>58971.81</v>
      </c>
      <c r="AW46" s="6083"/>
      <c r="AX46" s="3428">
        <f t="shared" si="53"/>
        <v>591284.25</v>
      </c>
      <c r="AY46" s="6100"/>
      <c r="AZ46" s="3430">
        <f>SUM(AZ38:AZ45)</f>
        <v>71685.700000000012</v>
      </c>
      <c r="BA46" s="6088"/>
      <c r="BB46" s="3429">
        <f>SUM(BB38:BB45)</f>
        <v>193171.62</v>
      </c>
      <c r="BC46" s="6089"/>
      <c r="BD46" s="2680">
        <f>SUM(BD38:BD45)</f>
        <v>305883.94</v>
      </c>
      <c r="BE46" s="6083"/>
      <c r="BF46" s="2045">
        <f t="shared" si="46"/>
        <v>662969.94999999995</v>
      </c>
      <c r="BG46" s="2534"/>
      <c r="BH46" s="2534"/>
      <c r="BI46" s="2534"/>
      <c r="BJ46" s="3763"/>
      <c r="BK46" s="3763"/>
      <c r="BL46" s="2534"/>
      <c r="BM46" s="3763"/>
      <c r="BN46" s="3763"/>
    </row>
    <row r="47" spans="1:66" ht="15" x14ac:dyDescent="0.25">
      <c r="A47" s="6109"/>
      <c r="B47" s="1756" t="s">
        <v>165</v>
      </c>
      <c r="C47" s="60" t="s">
        <v>50</v>
      </c>
      <c r="D47" s="6120">
        <f>+D29+D38</f>
        <v>2770018.8857412701</v>
      </c>
      <c r="E47" s="6092">
        <f>+E29+E38</f>
        <v>237110.48158640269</v>
      </c>
      <c r="F47" s="2716">
        <f>+F35+F38+F39+F40+F41</f>
        <v>206769.57000000004</v>
      </c>
      <c r="G47" s="6092">
        <f>+G29+G38</f>
        <v>244664.77809254048</v>
      </c>
      <c r="H47" s="2716">
        <f>+H35+H38+H39+H40+H41</f>
        <v>236416.1</v>
      </c>
      <c r="I47" s="6107">
        <f>+E47+G47</f>
        <v>481775.2596789432</v>
      </c>
      <c r="J47" s="39">
        <f t="shared" si="47"/>
        <v>443185.67000000004</v>
      </c>
      <c r="K47" s="6092">
        <f>+K29+K38</f>
        <v>237110.4815864019</v>
      </c>
      <c r="L47" s="2716">
        <f>+L35+L38+L39+L40+L41</f>
        <v>243363.3</v>
      </c>
      <c r="M47" s="6096">
        <f>+K47+G47+E47</f>
        <v>718885.74126534513</v>
      </c>
      <c r="N47" s="2649">
        <f>+L47+H47+F47</f>
        <v>686548.97000000009</v>
      </c>
      <c r="O47" s="6092">
        <f>+O29+O38</f>
        <v>239943.3427762044</v>
      </c>
      <c r="P47" s="2716">
        <f>+P35+P38+P39+P40+P41</f>
        <v>253628.79</v>
      </c>
      <c r="Q47" s="6079">
        <f>+M47+O47</f>
        <v>958829.08404154959</v>
      </c>
      <c r="R47" s="2648">
        <f t="shared" si="48"/>
        <v>940177.76000000013</v>
      </c>
      <c r="S47" s="6092">
        <f>+S29+S38</f>
        <v>239943.3427762044</v>
      </c>
      <c r="T47" s="2716">
        <f>+T35+T38+T39+T40+T41</f>
        <v>237527.78999999998</v>
      </c>
      <c r="U47" s="6079">
        <f>+Q47+S47</f>
        <v>1198772.4268177541</v>
      </c>
      <c r="V47" s="2648">
        <f t="shared" si="49"/>
        <v>1177705.55</v>
      </c>
      <c r="W47" s="6092">
        <f>+W29+W38</f>
        <v>125920.6798866856</v>
      </c>
      <c r="X47" s="2716">
        <f>+X35+X38+X39+X40+X41</f>
        <v>226426.6</v>
      </c>
      <c r="Y47" s="6088">
        <f>+W47+S47+O47</f>
        <v>605807.36543909437</v>
      </c>
      <c r="Z47" s="2649">
        <f>+X47+T47+P47</f>
        <v>717583.18</v>
      </c>
      <c r="AA47" s="6089">
        <f>+Y47+M47</f>
        <v>1324693.1067044395</v>
      </c>
      <c r="AB47" s="2693">
        <f>+Z47+N47</f>
        <v>1404132.1500000001</v>
      </c>
      <c r="AC47" s="6092">
        <f>+AC29+AC38</f>
        <v>235490.56603773584</v>
      </c>
      <c r="AD47" s="2716">
        <f>+AD35+AD38+AD39+AD40+AD41</f>
        <v>221804.96</v>
      </c>
      <c r="AE47" s="6079">
        <f>+AA47+AC47</f>
        <v>1560183.6727421754</v>
      </c>
      <c r="AF47" s="2648">
        <f t="shared" si="50"/>
        <v>1625937.11</v>
      </c>
      <c r="AG47" s="6092">
        <f>+AG29+AG38</f>
        <v>227943.39622641509</v>
      </c>
      <c r="AH47" s="2716">
        <f>+AH35+AH38+AH39+AH40+AH41</f>
        <v>7917</v>
      </c>
      <c r="AI47" s="6079">
        <f>+AE47+AG47</f>
        <v>1788127.0689685906</v>
      </c>
      <c r="AJ47" s="2648">
        <f t="shared" si="51"/>
        <v>1633854.11</v>
      </c>
      <c r="AK47" s="6092">
        <f>+AK29+AK38</f>
        <v>235490.56603773581</v>
      </c>
      <c r="AL47" s="2716">
        <f>+AL35+AL38+AL39+AL40+AL41</f>
        <v>234289.73</v>
      </c>
      <c r="AM47" s="6088">
        <f>+AK47+AG47+AC47</f>
        <v>698924.52830188675</v>
      </c>
      <c r="AN47" s="2649">
        <f>+AL47+AH47+AD47</f>
        <v>464011.69</v>
      </c>
      <c r="AO47" s="6079">
        <f>+AK47+AI47</f>
        <v>2023617.6350063265</v>
      </c>
      <c r="AP47" s="2648">
        <f t="shared" si="54"/>
        <v>1868143.84</v>
      </c>
      <c r="AQ47" s="6092">
        <f>+AQ29+AQ38</f>
        <v>235490.56603773579</v>
      </c>
      <c r="AR47" s="2716">
        <f>+AR35+AR38+AR39+AR40+AR41</f>
        <v>245366.11</v>
      </c>
      <c r="AS47" s="6079">
        <f>+AO47+AQ47</f>
        <v>2259108.2010440622</v>
      </c>
      <c r="AT47" s="2648">
        <f t="shared" si="52"/>
        <v>2113509.9500000002</v>
      </c>
      <c r="AU47" s="6092">
        <f>+AU29+AU38</f>
        <v>211905.66037735849</v>
      </c>
      <c r="AV47" s="2716">
        <f>+AV35+AV38+AV39+AV40+AV41</f>
        <v>222675.81000000003</v>
      </c>
      <c r="AW47" s="6079">
        <f>+AS47+AU47</f>
        <v>2471013.8614214207</v>
      </c>
      <c r="AX47" s="2648">
        <f t="shared" si="53"/>
        <v>2336185.7600000002</v>
      </c>
      <c r="AY47" s="6092">
        <f>+AY29+AY38</f>
        <v>235490.56603773579</v>
      </c>
      <c r="AZ47" s="2716">
        <f>+AZ35+AZ38+AZ39+AZ40+AZ41</f>
        <v>243551.7</v>
      </c>
      <c r="BA47" s="6088">
        <f>+AY47+AU47+AQ47</f>
        <v>682886.79245283012</v>
      </c>
      <c r="BB47" s="2649">
        <f>+AZ47+AV47+AR47</f>
        <v>711593.62</v>
      </c>
      <c r="BC47" s="6089">
        <f>+BA47+AM47</f>
        <v>1381811.3207547169</v>
      </c>
      <c r="BD47" s="2693">
        <f t="shared" ref="BD47:BD48" si="61">+BB47+AN47</f>
        <v>1175605.31</v>
      </c>
      <c r="BE47" s="6079">
        <f>+AW47+AY47</f>
        <v>2706504.4274591566</v>
      </c>
      <c r="BF47" s="39">
        <f t="shared" si="46"/>
        <v>2579737.4600000004</v>
      </c>
      <c r="BG47" s="2534"/>
      <c r="BH47" s="2534"/>
      <c r="BI47" s="2534"/>
      <c r="BJ47" s="3763"/>
      <c r="BK47" s="3763"/>
      <c r="BL47" s="2534"/>
      <c r="BM47" s="3763"/>
      <c r="BN47" s="3763"/>
    </row>
    <row r="48" spans="1:66" ht="15.75" thickBot="1" x14ac:dyDescent="0.3">
      <c r="A48" s="6109"/>
      <c r="B48" s="3441" t="s">
        <v>1729</v>
      </c>
      <c r="C48" s="3047" t="s">
        <v>50</v>
      </c>
      <c r="D48" s="6120"/>
      <c r="E48" s="6092"/>
      <c r="F48" s="2716">
        <f>+F36+F42+F43+F44+F45</f>
        <v>250</v>
      </c>
      <c r="G48" s="6092"/>
      <c r="H48" s="2716">
        <f>+H36+H42+H43+H44+H45</f>
        <v>222</v>
      </c>
      <c r="I48" s="5913"/>
      <c r="J48" s="39">
        <f t="shared" si="47"/>
        <v>472</v>
      </c>
      <c r="K48" s="6092"/>
      <c r="L48" s="2716">
        <f>+L36+L42+L43+L44+L45</f>
        <v>90</v>
      </c>
      <c r="M48" s="6096"/>
      <c r="N48" s="2649">
        <f>+L48+H48+F48</f>
        <v>562</v>
      </c>
      <c r="O48" s="6092"/>
      <c r="P48" s="2716">
        <f>+P36+P42+P43+P44+P45</f>
        <v>33</v>
      </c>
      <c r="Q48" s="6079"/>
      <c r="R48" s="2648">
        <f t="shared" si="48"/>
        <v>595</v>
      </c>
      <c r="S48" s="6092"/>
      <c r="T48" s="2716">
        <f>+T36+T42+T43+T44+T45</f>
        <v>94</v>
      </c>
      <c r="U48" s="6079"/>
      <c r="V48" s="2648">
        <f t="shared" si="49"/>
        <v>689</v>
      </c>
      <c r="W48" s="6092"/>
      <c r="X48" s="2716">
        <f>+X36+X42+X43+X44+X45</f>
        <v>420</v>
      </c>
      <c r="Y48" s="6088"/>
      <c r="Z48" s="2649">
        <f>+X48+T48+P48</f>
        <v>547</v>
      </c>
      <c r="AA48" s="6089"/>
      <c r="AB48" s="2693">
        <f>+Z48+N48</f>
        <v>1109</v>
      </c>
      <c r="AC48" s="6092"/>
      <c r="AD48" s="2716">
        <f>+AD36+AD42+AD43+AD44+AD45</f>
        <v>333</v>
      </c>
      <c r="AE48" s="6079"/>
      <c r="AF48" s="2648">
        <f t="shared" si="50"/>
        <v>1442</v>
      </c>
      <c r="AG48" s="6092"/>
      <c r="AH48" s="2716">
        <f>+AH36+AH42+AH43+AH44+AH45</f>
        <v>18</v>
      </c>
      <c r="AI48" s="6079"/>
      <c r="AJ48" s="2648">
        <f t="shared" si="51"/>
        <v>1460</v>
      </c>
      <c r="AK48" s="6092"/>
      <c r="AL48" s="2716">
        <f>+AL36+AL42+AL43+AL44+AL45</f>
        <v>640</v>
      </c>
      <c r="AM48" s="6088"/>
      <c r="AN48" s="2649">
        <f>+AL48+AH48+AD48</f>
        <v>991</v>
      </c>
      <c r="AO48" s="6079"/>
      <c r="AP48" s="2648">
        <f t="shared" si="54"/>
        <v>2100</v>
      </c>
      <c r="AQ48" s="6092"/>
      <c r="AR48" s="2716">
        <f>+AR36+AR42+AR43+AR44+AR45</f>
        <v>674</v>
      </c>
      <c r="AS48" s="6079"/>
      <c r="AT48" s="2648">
        <f t="shared" si="52"/>
        <v>2774</v>
      </c>
      <c r="AU48" s="6092"/>
      <c r="AV48" s="2716">
        <f>+AV36+AV42+AV43+AV44+AV45</f>
        <v>220</v>
      </c>
      <c r="AW48" s="6079"/>
      <c r="AX48" s="2648">
        <f t="shared" si="53"/>
        <v>2994</v>
      </c>
      <c r="AY48" s="6092"/>
      <c r="AZ48" s="2716">
        <f>+AZ36+AZ42+AZ43+AZ44+AZ45</f>
        <v>0</v>
      </c>
      <c r="BA48" s="6088"/>
      <c r="BB48" s="2649">
        <f>+AZ48+AV48+AR48</f>
        <v>894</v>
      </c>
      <c r="BC48" s="6089"/>
      <c r="BD48" s="2693">
        <f t="shared" si="61"/>
        <v>1885</v>
      </c>
      <c r="BE48" s="6079"/>
      <c r="BF48" s="39">
        <f t="shared" si="46"/>
        <v>2994</v>
      </c>
      <c r="BG48" s="2534"/>
      <c r="BH48" s="2534"/>
      <c r="BI48" s="2534"/>
      <c r="BJ48" s="3763"/>
      <c r="BK48" s="3763"/>
      <c r="BL48" s="2534"/>
      <c r="BM48" s="3763"/>
      <c r="BN48" s="3763"/>
    </row>
    <row r="49" spans="1:66" ht="15.75" thickBot="1" x14ac:dyDescent="0.3">
      <c r="A49" s="6109"/>
      <c r="B49" s="3442" t="s">
        <v>297</v>
      </c>
      <c r="C49" s="3405" t="s">
        <v>50</v>
      </c>
      <c r="D49" s="6121"/>
      <c r="E49" s="6093"/>
      <c r="F49" s="3432">
        <f>SUM(F47:F48)</f>
        <v>207019.57000000004</v>
      </c>
      <c r="G49" s="6093"/>
      <c r="H49" s="3432">
        <f>SUM(H47:H48)</f>
        <v>236638.1</v>
      </c>
      <c r="I49" s="6108"/>
      <c r="J49" s="1964">
        <f t="shared" si="47"/>
        <v>443657.67000000004</v>
      </c>
      <c r="K49" s="6093"/>
      <c r="L49" s="3432">
        <f>SUM(L47:L48)</f>
        <v>243453.3</v>
      </c>
      <c r="M49" s="6097"/>
      <c r="N49" s="2292">
        <f>SUM(N47:N48)</f>
        <v>687110.97000000009</v>
      </c>
      <c r="O49" s="6093"/>
      <c r="P49" s="3432">
        <f>SUM(P47:P48)</f>
        <v>253661.79</v>
      </c>
      <c r="Q49" s="6080"/>
      <c r="R49" s="2291">
        <f t="shared" si="48"/>
        <v>940772.76000000013</v>
      </c>
      <c r="S49" s="6093"/>
      <c r="T49" s="3432">
        <f>SUM(T47:T48)</f>
        <v>237621.78999999998</v>
      </c>
      <c r="U49" s="6080"/>
      <c r="V49" s="2291">
        <f t="shared" si="49"/>
        <v>1178394.55</v>
      </c>
      <c r="W49" s="6093"/>
      <c r="X49" s="3432">
        <f>SUM(X47:X48)</f>
        <v>226846.6</v>
      </c>
      <c r="Y49" s="6090"/>
      <c r="Z49" s="2292">
        <f>SUM(Z47:Z48)</f>
        <v>718130.18</v>
      </c>
      <c r="AA49" s="6091"/>
      <c r="AB49" s="2293">
        <f>SUM(AB47:AB48)</f>
        <v>1405241.1500000001</v>
      </c>
      <c r="AC49" s="6093"/>
      <c r="AD49" s="3432">
        <f>SUM(AD47:AD48)</f>
        <v>222137.96</v>
      </c>
      <c r="AE49" s="6080"/>
      <c r="AF49" s="2291">
        <f t="shared" si="50"/>
        <v>1627379.11</v>
      </c>
      <c r="AG49" s="6093"/>
      <c r="AH49" s="3432">
        <f>SUM(AH47:AH48)</f>
        <v>7935</v>
      </c>
      <c r="AI49" s="6080"/>
      <c r="AJ49" s="2291">
        <f t="shared" si="51"/>
        <v>1635314.11</v>
      </c>
      <c r="AK49" s="6093"/>
      <c r="AL49" s="3432">
        <f>SUM(AL47:AL48)</f>
        <v>234929.73</v>
      </c>
      <c r="AM49" s="6090"/>
      <c r="AN49" s="2292">
        <f>SUM(AN47:AN48)</f>
        <v>465002.69</v>
      </c>
      <c r="AO49" s="6080"/>
      <c r="AP49" s="2291">
        <f t="shared" si="54"/>
        <v>1870243.8400000001</v>
      </c>
      <c r="AQ49" s="6093"/>
      <c r="AR49" s="3432">
        <f>SUM(AR47:AR48)</f>
        <v>246040.11</v>
      </c>
      <c r="AS49" s="6080"/>
      <c r="AT49" s="2291">
        <f t="shared" si="52"/>
        <v>2116283.9500000002</v>
      </c>
      <c r="AU49" s="6093"/>
      <c r="AV49" s="3432">
        <f>SUM(AV47:AV48)</f>
        <v>222895.81000000003</v>
      </c>
      <c r="AW49" s="6080"/>
      <c r="AX49" s="2291">
        <f t="shared" si="53"/>
        <v>2339179.7600000002</v>
      </c>
      <c r="AY49" s="6093"/>
      <c r="AZ49" s="3432">
        <f>SUM(AZ47:AZ48)</f>
        <v>243551.7</v>
      </c>
      <c r="BA49" s="6090"/>
      <c r="BB49" s="2292">
        <f>SUM(BB47:BB48)</f>
        <v>712487.62</v>
      </c>
      <c r="BC49" s="6091"/>
      <c r="BD49" s="2293">
        <f>SUM(BD47:BD48)</f>
        <v>1177490.31</v>
      </c>
      <c r="BE49" s="6080"/>
      <c r="BF49" s="1964">
        <f t="shared" si="46"/>
        <v>2582731.4600000004</v>
      </c>
      <c r="BG49" s="2534"/>
      <c r="BH49" s="2534"/>
      <c r="BI49" s="2534"/>
      <c r="BJ49" s="3763"/>
      <c r="BK49" s="3763"/>
      <c r="BL49" s="2534"/>
      <c r="BM49" s="3763"/>
      <c r="BN49" s="3763"/>
    </row>
    <row r="50" spans="1:66" ht="15" x14ac:dyDescent="0.25">
      <c r="A50" s="2711"/>
      <c r="B50" s="3452" t="s">
        <v>268</v>
      </c>
      <c r="C50" s="3453"/>
      <c r="D50" s="3454"/>
      <c r="E50" s="3455"/>
      <c r="F50" s="4085"/>
      <c r="G50" s="3455"/>
      <c r="H50" s="4085"/>
      <c r="I50" s="3455"/>
      <c r="J50" s="3456"/>
      <c r="K50" s="3455"/>
      <c r="L50" s="4085"/>
      <c r="M50" s="3457"/>
      <c r="N50" s="3457"/>
      <c r="O50" s="3455"/>
      <c r="P50" s="4085"/>
      <c r="Q50" s="3457"/>
      <c r="R50" s="3457"/>
      <c r="S50" s="3455"/>
      <c r="T50" s="4085"/>
      <c r="U50" s="3457"/>
      <c r="V50" s="3457"/>
      <c r="W50" s="3455"/>
      <c r="X50" s="4085"/>
      <c r="Y50" s="3457"/>
      <c r="Z50" s="3457"/>
      <c r="AA50" s="3457"/>
      <c r="AB50" s="3457"/>
      <c r="AC50" s="3455"/>
      <c r="AD50" s="4085"/>
      <c r="AE50" s="3457"/>
      <c r="AF50" s="3457"/>
      <c r="AG50" s="3455"/>
      <c r="AH50" s="4085"/>
      <c r="AI50" s="3457"/>
      <c r="AJ50" s="3457"/>
      <c r="AK50" s="3455"/>
      <c r="AL50" s="4085"/>
      <c r="AM50" s="3457"/>
      <c r="AN50" s="3457"/>
      <c r="AO50" s="3457"/>
      <c r="AP50" s="3457"/>
      <c r="AQ50" s="3455"/>
      <c r="AR50" s="4085"/>
      <c r="AS50" s="3457"/>
      <c r="AT50" s="3457"/>
      <c r="AU50" s="3455"/>
      <c r="AV50" s="4085"/>
      <c r="AW50" s="3457"/>
      <c r="AX50" s="3457"/>
      <c r="AY50" s="3455"/>
      <c r="AZ50" s="4085"/>
      <c r="BA50" s="3457"/>
      <c r="BB50" s="3457"/>
      <c r="BC50" s="3457"/>
      <c r="BD50" s="3457"/>
      <c r="BE50" s="3457"/>
      <c r="BF50" s="3458"/>
      <c r="BG50" s="2534"/>
      <c r="BH50" s="2534"/>
      <c r="BI50" s="2534"/>
      <c r="BJ50" s="3763"/>
      <c r="BK50" s="3763"/>
      <c r="BL50" s="2534"/>
      <c r="BM50" s="3763"/>
      <c r="BN50" s="3763"/>
    </row>
    <row r="51" spans="1:66" ht="15" x14ac:dyDescent="0.25">
      <c r="A51" s="3386"/>
      <c r="B51" s="3424" t="s">
        <v>275</v>
      </c>
      <c r="C51" s="2942" t="s">
        <v>49</v>
      </c>
      <c r="D51" s="1353">
        <v>91</v>
      </c>
      <c r="E51" s="2732">
        <v>91</v>
      </c>
      <c r="F51" s="2732">
        <v>91.5368481043987</v>
      </c>
      <c r="G51" s="2732">
        <v>91</v>
      </c>
      <c r="H51" s="2732">
        <v>91.702888177306576</v>
      </c>
      <c r="I51" s="3202">
        <f>+((E51*E15)+(G15*G51))/I15</f>
        <v>91</v>
      </c>
      <c r="J51" s="107">
        <f>+((F51*F15)+(H15*H51))/J15</f>
        <v>91.625723104339372</v>
      </c>
      <c r="K51" s="2936">
        <v>91</v>
      </c>
      <c r="L51" s="2936">
        <v>91.478019092307079</v>
      </c>
      <c r="M51" s="2649">
        <f>+$D$51</f>
        <v>91</v>
      </c>
      <c r="N51" s="3459">
        <f>+((F51*F15)+(H51*H15)+(L15*L51))/N15</f>
        <v>91.573457658045413</v>
      </c>
      <c r="O51" s="2936">
        <v>91</v>
      </c>
      <c r="P51" s="2936">
        <v>91.096502143164116</v>
      </c>
      <c r="Q51" s="3202">
        <f>+((M51*M15)+(O15*O51))/Q15</f>
        <v>91</v>
      </c>
      <c r="R51" s="3202">
        <f>+((N51*N15)+(P15*P51))/R15</f>
        <v>91.445882911830523</v>
      </c>
      <c r="S51" s="2936">
        <v>91</v>
      </c>
      <c r="T51" s="2936">
        <v>91.196842369840709</v>
      </c>
      <c r="U51" s="3202">
        <f>+((Q51*Q15)+(S15*S51))/U15</f>
        <v>91</v>
      </c>
      <c r="V51" s="3202">
        <f>+((R51*R15)+(T15*T51))/V15</f>
        <v>91.395664602159854</v>
      </c>
      <c r="W51" s="2936">
        <v>91</v>
      </c>
      <c r="X51" s="2936">
        <v>91.283791205631914</v>
      </c>
      <c r="Y51" s="3459">
        <f>+((O51*O15)+(S51*S15)+(W15*W51))/Y15</f>
        <v>91</v>
      </c>
      <c r="Z51" s="3459">
        <f>+((P51*P15)+(T51*T15)+(X15*X51))/Z15</f>
        <v>91.189229686213508</v>
      </c>
      <c r="AA51" s="3460">
        <f>+((Y51*Y15)+(M15*M51))/AA15</f>
        <v>91</v>
      </c>
      <c r="AB51" s="3460">
        <f>+((Z51*Z15)+(N15*N51))/AB15</f>
        <v>91.377553003764504</v>
      </c>
      <c r="AC51" s="2732">
        <f>+$D$51</f>
        <v>91</v>
      </c>
      <c r="AD51" s="2732">
        <v>91.708526255339009</v>
      </c>
      <c r="AE51" s="3202">
        <f>+((AA51*AA15)+(AC15*AC51))/AE15</f>
        <v>91</v>
      </c>
      <c r="AF51" s="3202">
        <f>+((AB51*AB15)+(AD15*AD51))/AF15</f>
        <v>91.422747722383775</v>
      </c>
      <c r="AG51" s="2732">
        <f>+$D$51</f>
        <v>91</v>
      </c>
      <c r="AH51" s="2732">
        <v>91.132058431735558</v>
      </c>
      <c r="AI51" s="3202">
        <f>+((AE51*AE15)+(AG15*AG51))/AI15</f>
        <v>91</v>
      </c>
      <c r="AJ51" s="3202">
        <f>+((AF51*AF15)+(AH15*AH51))/AJ15</f>
        <v>91.421340460019351</v>
      </c>
      <c r="AK51" s="2732">
        <f>+$D$51</f>
        <v>91</v>
      </c>
      <c r="AL51" s="2732">
        <v>90.950086371140657</v>
      </c>
      <c r="AM51" s="3459">
        <f>+((AC51*AC15)+(AG51*AG15)+(AK15*AK51))/AM15</f>
        <v>91</v>
      </c>
      <c r="AN51" s="3459">
        <f>+((AD51*AD15)+(AH51*AH15)+(AL15*AL51))/AN15</f>
        <v>91.315457506651697</v>
      </c>
      <c r="AO51" s="3202">
        <f>+((AK51*AK15)+(AI15*AI51))/AO15</f>
        <v>91</v>
      </c>
      <c r="AP51" s="3202">
        <f>+((AL51*AL15)+(AJ15*AJ51))/AP15</f>
        <v>91.362107742971773</v>
      </c>
      <c r="AQ51" s="2732">
        <f>+$D$51</f>
        <v>91</v>
      </c>
      <c r="AR51" s="2732">
        <v>91.233171652348915</v>
      </c>
      <c r="AS51" s="3202">
        <f>+((AO51*AO15)+(AQ15*AQ51))/AS15</f>
        <v>91</v>
      </c>
      <c r="AT51" s="3202">
        <f>+((AP51*AP15)+(AR15*AR51))/AT15</f>
        <v>91.347099479962139</v>
      </c>
      <c r="AU51" s="2716">
        <f>+$D$51</f>
        <v>91</v>
      </c>
      <c r="AV51" s="2936">
        <v>91.500954182391453</v>
      </c>
      <c r="AW51" s="3202">
        <f>+((AS51*AS15)+(AU15*AU51))/AW15</f>
        <v>91</v>
      </c>
      <c r="AX51" s="3202">
        <f>+((AT51*AT15)+(AV15*AV51))/AX15</f>
        <v>91.36176513963629</v>
      </c>
      <c r="AY51" s="2716">
        <f>+$D$51</f>
        <v>91</v>
      </c>
      <c r="AZ51" s="2936">
        <v>92.219459463397541</v>
      </c>
      <c r="BA51" s="3459">
        <f>+((AQ51*AQ15)+(AU51*AU15)+(AY15*AY51))/BA15</f>
        <v>91</v>
      </c>
      <c r="BB51" s="3459">
        <f>+((AR51*AR15)+(AV51*AV15)+(AZ15*AZ51))/BB15</f>
        <v>91.653170201413857</v>
      </c>
      <c r="BC51" s="3460">
        <f>+((BA51*BA15)+(AM15*AM51))/BC15</f>
        <v>91</v>
      </c>
      <c r="BD51" s="3460">
        <f>+((BB51*BB15)+(AN15*AN51))/BD15</f>
        <v>91.519723652315918</v>
      </c>
      <c r="BE51" s="3202">
        <f>+((AW51*AW15)+(AY15*AY51))/BE15</f>
        <v>91</v>
      </c>
      <c r="BF51" s="107">
        <f>+((AX51*AX15)+(AZ15*AZ51))/BF15</f>
        <v>91.44236783669858</v>
      </c>
      <c r="BG51" s="2534"/>
      <c r="BH51" s="2534"/>
      <c r="BI51" s="2534"/>
      <c r="BJ51" s="3763"/>
      <c r="BK51" s="3763"/>
      <c r="BL51" s="2534"/>
      <c r="BM51" s="3763"/>
      <c r="BN51" s="3763"/>
    </row>
    <row r="52" spans="1:66" ht="15" x14ac:dyDescent="0.25">
      <c r="B52" s="3424" t="s">
        <v>537</v>
      </c>
      <c r="C52" s="2942" t="s">
        <v>538</v>
      </c>
      <c r="D52" s="769">
        <v>150</v>
      </c>
      <c r="E52" s="2933">
        <f>+$D$52</f>
        <v>150</v>
      </c>
      <c r="F52" s="2936">
        <f>+F49/F25</f>
        <v>156.4773771730915</v>
      </c>
      <c r="G52" s="2933">
        <f>+$D$52</f>
        <v>150</v>
      </c>
      <c r="H52" s="2936">
        <f>+H49/H25</f>
        <v>156.09373350923482</v>
      </c>
      <c r="I52" s="2648">
        <f>+I47/I25</f>
        <v>150</v>
      </c>
      <c r="J52" s="107">
        <f>+J49/J25</f>
        <v>156.27251497005989</v>
      </c>
      <c r="K52" s="2933">
        <f>+$D$52</f>
        <v>150</v>
      </c>
      <c r="L52" s="2936">
        <f>+L49/L25</f>
        <v>156.46098971722364</v>
      </c>
      <c r="M52" s="3402">
        <f>+$D$52</f>
        <v>150</v>
      </c>
      <c r="N52" s="3459">
        <f>+N49/N25</f>
        <v>156.33924232081912</v>
      </c>
      <c r="O52" s="2933">
        <f>+$D$52</f>
        <v>150</v>
      </c>
      <c r="P52" s="2936">
        <f>+P49/P25</f>
        <v>157.55390683229814</v>
      </c>
      <c r="Q52" s="2648">
        <f>+Q47/Q25</f>
        <v>150</v>
      </c>
      <c r="R52" s="3202">
        <f>+R49/R25</f>
        <v>156.66490591174025</v>
      </c>
      <c r="S52" s="2933">
        <f>+$D$52</f>
        <v>150</v>
      </c>
      <c r="T52" s="2936">
        <f>+T49/T25</f>
        <v>156.84606600660064</v>
      </c>
      <c r="U52" s="2648">
        <f>+U47/U25</f>
        <v>150</v>
      </c>
      <c r="V52" s="3202">
        <f>+V49/V25</f>
        <v>156.70140292553191</v>
      </c>
      <c r="W52" s="2933">
        <f>+$D$52</f>
        <v>150</v>
      </c>
      <c r="X52" s="2936">
        <f>+X49/X25</f>
        <v>156.66201657458564</v>
      </c>
      <c r="Y52" s="2649">
        <f>+Y47/Y25</f>
        <v>150</v>
      </c>
      <c r="Z52" s="3459">
        <f>+Z49/Z25</f>
        <v>157.03699540782856</v>
      </c>
      <c r="AA52" s="2693">
        <f>+AA47/AA25</f>
        <v>150</v>
      </c>
      <c r="AB52" s="3460">
        <f>+AB49/AB25</f>
        <v>156.69504348795721</v>
      </c>
      <c r="AC52" s="2933">
        <f>+$D$52</f>
        <v>150</v>
      </c>
      <c r="AD52" s="2933">
        <f>+AD49/AD25</f>
        <v>153.09301171605787</v>
      </c>
      <c r="AE52" s="2648">
        <f>+AE47/AE25</f>
        <v>150</v>
      </c>
      <c r="AF52" s="3202">
        <f>+AF49/AF25</f>
        <v>156.19340723677897</v>
      </c>
      <c r="AG52" s="2933">
        <f>+$D$52</f>
        <v>150</v>
      </c>
      <c r="AH52" s="2933">
        <f>+AH49/AH25</f>
        <v>152.59615384615384</v>
      </c>
      <c r="AI52" s="2648">
        <f>+AI47/AI25</f>
        <v>150</v>
      </c>
      <c r="AJ52" s="3202">
        <f>+AJ49/AJ25</f>
        <v>156.17554292808711</v>
      </c>
      <c r="AK52" s="2933">
        <f>+$D$52</f>
        <v>150</v>
      </c>
      <c r="AL52" s="2933">
        <f>+AL49/AL25</f>
        <v>153.44854996734162</v>
      </c>
      <c r="AM52" s="2649">
        <f>+AM47/AM25</f>
        <v>150.00000000000003</v>
      </c>
      <c r="AN52" s="3459">
        <f>+AN49/AN25</f>
        <v>153.26390573500331</v>
      </c>
      <c r="AO52" s="2648">
        <f>+AO47/AO25</f>
        <v>150</v>
      </c>
      <c r="AP52" s="3202">
        <f>+AP49/AP25</f>
        <v>155.82768205299118</v>
      </c>
      <c r="AQ52" s="2933">
        <f>+$D$52</f>
        <v>150</v>
      </c>
      <c r="AR52" s="2933">
        <f>+AR49/AR25</f>
        <v>153.87123827392119</v>
      </c>
      <c r="AS52" s="2648">
        <f>+AS47/AS25</f>
        <v>150</v>
      </c>
      <c r="AT52" s="3202">
        <f>+AT49/AT25</f>
        <v>155.59767296522315</v>
      </c>
      <c r="AU52" s="2647">
        <f>+$D$52</f>
        <v>150</v>
      </c>
      <c r="AV52" s="2933">
        <f>+AV49/AV25</f>
        <v>154.46695079695081</v>
      </c>
      <c r="AW52" s="2648">
        <f>+AW47/AW25</f>
        <v>150</v>
      </c>
      <c r="AX52" s="3202">
        <f>+AX49/AX25</f>
        <v>155.48921563413987</v>
      </c>
      <c r="AY52" s="2647">
        <f>+$D$52</f>
        <v>150</v>
      </c>
      <c r="AZ52" s="2933">
        <f>+AZ49/AZ25</f>
        <v>154.931106870229</v>
      </c>
      <c r="BA52" s="2649">
        <f>+BA47/BA25</f>
        <v>150</v>
      </c>
      <c r="BB52" s="3459">
        <f>+BB49/BB25</f>
        <v>154.41864325964457</v>
      </c>
      <c r="BC52" s="2693">
        <f>+BC47/BC25</f>
        <v>150</v>
      </c>
      <c r="BD52" s="3460">
        <f>+BD49/BD25</f>
        <v>153.96055308577405</v>
      </c>
      <c r="BE52" s="2648">
        <f>+BE47/BE25</f>
        <v>150</v>
      </c>
      <c r="BF52" s="107">
        <f>+BF49/BF25</f>
        <v>155.43641429947041</v>
      </c>
      <c r="BG52" s="2534"/>
      <c r="BH52" s="2534"/>
      <c r="BI52" s="2534"/>
      <c r="BJ52" s="3763"/>
      <c r="BK52" s="3763"/>
      <c r="BL52" s="2534"/>
      <c r="BM52" s="3763"/>
      <c r="BN52" s="3763"/>
    </row>
    <row r="53" spans="1:66" ht="15" x14ac:dyDescent="0.25">
      <c r="B53" s="3424" t="s">
        <v>276</v>
      </c>
      <c r="C53" s="2942" t="s">
        <v>49</v>
      </c>
      <c r="D53" s="1353">
        <v>97.5</v>
      </c>
      <c r="E53" s="2934">
        <f>+$D$53</f>
        <v>97.5</v>
      </c>
      <c r="F53" s="2732">
        <f>+F49/F20*100</f>
        <v>98.571829215451956</v>
      </c>
      <c r="G53" s="2934">
        <f>+$D$53</f>
        <v>97.5</v>
      </c>
      <c r="H53" s="2732">
        <f>+H49/H20*100</f>
        <v>98.639486123500433</v>
      </c>
      <c r="I53" s="3202">
        <f>+I47/I20*100</f>
        <v>97.500000000000156</v>
      </c>
      <c r="J53" s="107">
        <f>+J49/J20*100</f>
        <v>98.607904498789793</v>
      </c>
      <c r="K53" s="2933">
        <f>+$D$53</f>
        <v>97.5</v>
      </c>
      <c r="L53" s="2936">
        <f>+L49/L20*100</f>
        <v>98.62278359995625</v>
      </c>
      <c r="M53" s="3459">
        <f>+$D$53</f>
        <v>97.5</v>
      </c>
      <c r="N53" s="3459">
        <f>+N49/N20*100</f>
        <v>98.61317586477108</v>
      </c>
      <c r="O53" s="2933">
        <f>+$D$53</f>
        <v>97.5</v>
      </c>
      <c r="P53" s="2936">
        <f>+P49/P20*100</f>
        <v>98.678815675839687</v>
      </c>
      <c r="Q53" s="2648">
        <f>+Q47/Q20*100</f>
        <v>97.500000000000085</v>
      </c>
      <c r="R53" s="3202">
        <f>+R49/R20*100</f>
        <v>98.63086581284756</v>
      </c>
      <c r="S53" s="2933">
        <f>+$D$53</f>
        <v>97.5</v>
      </c>
      <c r="T53" s="2936">
        <f>+T49/T20*100</f>
        <v>98.690801332369773</v>
      </c>
      <c r="U53" s="2648">
        <f>+U47/U20*100</f>
        <v>97.500000000000114</v>
      </c>
      <c r="V53" s="3202">
        <f>+V49/V20*100</f>
        <v>98.642945875041647</v>
      </c>
      <c r="W53" s="2933">
        <f>+$D$53</f>
        <v>97.5</v>
      </c>
      <c r="X53" s="2936">
        <f>+X49/X20*100</f>
        <v>98.544550971559147</v>
      </c>
      <c r="Y53" s="2649">
        <f>+Y47/Y20*100</f>
        <v>97.500000000000142</v>
      </c>
      <c r="Z53" s="3459">
        <f>+Z49/Z20*100</f>
        <v>98.640326140854285</v>
      </c>
      <c r="AA53" s="2693">
        <f>+AA47/AA20*100</f>
        <v>97.500000000000099</v>
      </c>
      <c r="AB53" s="3460">
        <f>+AB49/AB20*100</f>
        <v>98.627048792008452</v>
      </c>
      <c r="AC53" s="2934">
        <f>+$D$53</f>
        <v>97.5</v>
      </c>
      <c r="AD53" s="2934">
        <f>+AD49/AD20*100</f>
        <v>98.794710365040771</v>
      </c>
      <c r="AE53" s="2648">
        <f>+AE47/AE20*100</f>
        <v>97.424201099136468</v>
      </c>
      <c r="AF53" s="3202">
        <f>+AF49/AF20*100</f>
        <v>98.649901124845783</v>
      </c>
      <c r="AG53" s="2934">
        <f>+$D$53</f>
        <v>97.5</v>
      </c>
      <c r="AH53" s="2934">
        <f>+AH49/AH20*100</f>
        <v>98.29473804173594</v>
      </c>
      <c r="AI53" s="2648">
        <f>+AI47/AI20*100</f>
        <v>97.369919391353733</v>
      </c>
      <c r="AJ53" s="3202">
        <f>+AJ49/AJ20*100</f>
        <v>98.648171577978729</v>
      </c>
      <c r="AK53" s="2934">
        <f>+$D$53</f>
        <v>97.5</v>
      </c>
      <c r="AL53" s="2934">
        <f>+AL49/AL20*100</f>
        <v>98.772342417402996</v>
      </c>
      <c r="AM53" s="2649">
        <f>+AM47/AM20*100</f>
        <v>96.999999999999986</v>
      </c>
      <c r="AN53" s="3459">
        <f>+AN49/AN20*100</f>
        <v>98.774835886028512</v>
      </c>
      <c r="AO53" s="2648">
        <f>+AO47/AO20*100</f>
        <v>97.326726474023701</v>
      </c>
      <c r="AP53" s="3202">
        <f>+AP49/AP20*100</f>
        <v>98.663752086835572</v>
      </c>
      <c r="AQ53" s="2934">
        <f>+$D$53</f>
        <v>97.5</v>
      </c>
      <c r="AR53" s="2934">
        <f>+AR49/AR20*100</f>
        <v>98.715348937979954</v>
      </c>
      <c r="AS53" s="2648">
        <f>+AS47/AS20*100</f>
        <v>97.29256561925034</v>
      </c>
      <c r="AT53" s="3202">
        <f>+AT49/AT20*100</f>
        <v>98.669747988568162</v>
      </c>
      <c r="AU53" s="2647">
        <f>+$D$53</f>
        <v>97.5</v>
      </c>
      <c r="AV53" s="2933">
        <f>+AV49/AV20*100</f>
        <v>98.691531142213236</v>
      </c>
      <c r="AW53" s="2648">
        <f>+AW47/AW20*100</f>
        <v>97.267407030903669</v>
      </c>
      <c r="AX53" s="3202">
        <f>+AX49/AX20*100</f>
        <v>98.671823247674169</v>
      </c>
      <c r="AY53" s="2647">
        <f>+$D$53</f>
        <v>97.5</v>
      </c>
      <c r="AZ53" s="2933">
        <f>+AZ49/AZ20*100</f>
        <v>98.671039411421532</v>
      </c>
      <c r="BA53" s="2649">
        <f>+BA47/BA20*100</f>
        <v>96.999999999999986</v>
      </c>
      <c r="BB53" s="3459">
        <f>+BB49/BB20*100</f>
        <v>98.692747861619978</v>
      </c>
      <c r="BC53" s="2693">
        <f>+BC47/BC20*100</f>
        <v>97</v>
      </c>
      <c r="BD53" s="3460">
        <f>+BD49/BD20*100</f>
        <v>98.725148935763499</v>
      </c>
      <c r="BE53" s="2648">
        <f>+BE47/BE20*100</f>
        <v>97.244081634203837</v>
      </c>
      <c r="BF53" s="107">
        <f>+BF49/BF20*100</f>
        <v>98.671749331346319</v>
      </c>
      <c r="BG53" s="2534"/>
      <c r="BH53" s="2534"/>
      <c r="BI53" s="2534"/>
      <c r="BJ53" s="3763"/>
      <c r="BK53" s="3763"/>
      <c r="BL53" s="2534"/>
      <c r="BM53" s="3763"/>
      <c r="BN53" s="3763"/>
    </row>
    <row r="54" spans="1:66" ht="15" x14ac:dyDescent="0.25">
      <c r="A54" s="1274"/>
      <c r="B54" s="1000" t="s">
        <v>277</v>
      </c>
      <c r="C54" s="414"/>
      <c r="D54" s="3461"/>
      <c r="E54" s="3462"/>
      <c r="F54" s="3462"/>
      <c r="G54" s="3462"/>
      <c r="H54" s="3462"/>
      <c r="I54" s="3462"/>
      <c r="J54" s="3463"/>
      <c r="K54" s="3462"/>
      <c r="L54" s="3462"/>
      <c r="M54" s="3462"/>
      <c r="N54" s="3462"/>
      <c r="O54" s="3462"/>
      <c r="P54" s="3462"/>
      <c r="Q54" s="3462"/>
      <c r="R54" s="3462"/>
      <c r="S54" s="3462"/>
      <c r="T54" s="3462"/>
      <c r="U54" s="3462"/>
      <c r="V54" s="3462"/>
      <c r="W54" s="3462"/>
      <c r="X54" s="3462"/>
      <c r="Y54" s="3462"/>
      <c r="Z54" s="3462"/>
      <c r="AA54" s="3462"/>
      <c r="AB54" s="3462"/>
      <c r="AC54" s="3462"/>
      <c r="AD54" s="3462"/>
      <c r="AE54" s="3462"/>
      <c r="AF54" s="3462"/>
      <c r="AG54" s="3462"/>
      <c r="AH54" s="3462"/>
      <c r="AI54" s="3462"/>
      <c r="AJ54" s="3462"/>
      <c r="AK54" s="3462"/>
      <c r="AL54" s="3462"/>
      <c r="AM54" s="3462"/>
      <c r="AN54" s="3462"/>
      <c r="AO54" s="3462"/>
      <c r="AP54" s="3462"/>
      <c r="AQ54" s="3462"/>
      <c r="AR54" s="3462"/>
      <c r="AS54" s="3462"/>
      <c r="AT54" s="3462"/>
      <c r="AU54" s="3462"/>
      <c r="AV54" s="3462"/>
      <c r="AW54" s="3462"/>
      <c r="AX54" s="3462"/>
      <c r="AY54" s="3462"/>
      <c r="AZ54" s="3462"/>
      <c r="BA54" s="3462"/>
      <c r="BB54" s="3462"/>
      <c r="BC54" s="3462"/>
      <c r="BD54" s="3462"/>
      <c r="BE54" s="3462"/>
      <c r="BF54" s="3463"/>
      <c r="BG54" s="2534"/>
      <c r="BH54" s="2534"/>
      <c r="BI54" s="2534"/>
      <c r="BJ54" s="3763"/>
      <c r="BK54" s="3763"/>
      <c r="BL54" s="2534"/>
      <c r="BM54" s="3763"/>
      <c r="BN54" s="3763"/>
    </row>
    <row r="55" spans="1:66" ht="15" x14ac:dyDescent="0.25">
      <c r="B55" s="741" t="s">
        <v>83</v>
      </c>
      <c r="C55" s="2942" t="s">
        <v>50</v>
      </c>
      <c r="D55" s="155">
        <f>+(D72*D$5/1000)</f>
        <v>4535.1641842747895</v>
      </c>
      <c r="E55" s="2716">
        <f>+E72*E$5/1000</f>
        <v>394.50038410815114</v>
      </c>
      <c r="F55" s="2716">
        <v>365</v>
      </c>
      <c r="G55" s="2716">
        <f>+G72*G$5/1000</f>
        <v>400.57305907569491</v>
      </c>
      <c r="H55" s="2716">
        <v>297</v>
      </c>
      <c r="I55" s="2648">
        <f t="shared" ref="I55:I70" si="62">+E55+G55</f>
        <v>795.07344318384605</v>
      </c>
      <c r="J55" s="39">
        <f t="shared" ref="J55:J70" si="63">+F55+H55</f>
        <v>662</v>
      </c>
      <c r="K55" s="2716">
        <f>+K72*K$5/1000</f>
        <v>388.20492139678475</v>
      </c>
      <c r="L55" s="2716">
        <v>405</v>
      </c>
      <c r="M55" s="2649">
        <f t="shared" ref="M55:M70" si="64">+K55+G55+E55</f>
        <v>1183.2783645806308</v>
      </c>
      <c r="N55" s="2649">
        <f t="shared" ref="N55:N70" si="65">+L55+H55+F55</f>
        <v>1067</v>
      </c>
      <c r="O55" s="2716">
        <f>+O72*O$5/1000</f>
        <v>392.84297302637651</v>
      </c>
      <c r="P55" s="2716">
        <v>383</v>
      </c>
      <c r="Q55" s="2648">
        <f>+M55+O55</f>
        <v>1576.1213376070073</v>
      </c>
      <c r="R55" s="2648">
        <f>+N55+P55</f>
        <v>1450</v>
      </c>
      <c r="S55" s="2716">
        <f>+S72*S$5/1000</f>
        <v>392.84297302637651</v>
      </c>
      <c r="T55" s="2716">
        <v>300</v>
      </c>
      <c r="U55" s="2648">
        <f>+Q55+S55</f>
        <v>1968.9643106333838</v>
      </c>
      <c r="V55" s="2648">
        <f>+R55+T55</f>
        <v>1750</v>
      </c>
      <c r="W55" s="2716">
        <f>+W72*W$5/1000</f>
        <v>206.16139493533055</v>
      </c>
      <c r="X55" s="2716">
        <v>293</v>
      </c>
      <c r="Y55" s="2649">
        <f t="shared" ref="Y55:Y70" si="66">+W55+S55+O55</f>
        <v>991.8473409880836</v>
      </c>
      <c r="Z55" s="2649">
        <f t="shared" ref="Z55:Z70" si="67">+X55+T55+P55</f>
        <v>976</v>
      </c>
      <c r="AA55" s="2693">
        <f>+Y55+M55</f>
        <v>2175.1257055687142</v>
      </c>
      <c r="AB55" s="2693">
        <f>+Z55+N55</f>
        <v>2043</v>
      </c>
      <c r="AC55" s="2716">
        <f>+AC72*AC$5/1000</f>
        <v>388.55943396226439</v>
      </c>
      <c r="AD55" s="2716">
        <v>291</v>
      </c>
      <c r="AE55" s="2648">
        <f>+AA55+AC55</f>
        <v>2563.6851395309786</v>
      </c>
      <c r="AF55" s="2648">
        <f>+AB55+AD55</f>
        <v>2334</v>
      </c>
      <c r="AG55" s="2716">
        <f>+AG72*AG$5/1000</f>
        <v>376.10660377358477</v>
      </c>
      <c r="AH55" s="2716">
        <v>2</v>
      </c>
      <c r="AI55" s="2648">
        <f>+AE55+AG55</f>
        <v>2939.7917433045632</v>
      </c>
      <c r="AJ55" s="2648">
        <f>+AF55+AH55</f>
        <v>2336</v>
      </c>
      <c r="AK55" s="2716">
        <f>+AK72*AK$5/1000</f>
        <v>388.55943396226439</v>
      </c>
      <c r="AL55" s="2716">
        <v>421</v>
      </c>
      <c r="AM55" s="2649">
        <f t="shared" ref="AM55:AM70" si="68">+AK55+AG55+AC55</f>
        <v>1153.2254716981136</v>
      </c>
      <c r="AN55" s="2649">
        <f t="shared" ref="AN55:AN70" si="69">+AL55+AH55+AD55</f>
        <v>714</v>
      </c>
      <c r="AO55" s="2648">
        <f t="shared" ref="AO55" si="70">+AK55+AI55</f>
        <v>3328.3511772668276</v>
      </c>
      <c r="AP55" s="2648">
        <f t="shared" ref="AP55" si="71">+AL55+AJ55</f>
        <v>2757</v>
      </c>
      <c r="AQ55" s="2716">
        <f>+AQ72*AQ$5/1000</f>
        <v>388.55943396226439</v>
      </c>
      <c r="AR55" s="2716">
        <v>443</v>
      </c>
      <c r="AS55" s="2648">
        <f>+AO55+AQ55</f>
        <v>3716.910611229092</v>
      </c>
      <c r="AT55" s="2648">
        <f>+AP55+AR55</f>
        <v>3200</v>
      </c>
      <c r="AU55" s="2716">
        <f>+AU72*AU$5/1000</f>
        <v>349.6443396226407</v>
      </c>
      <c r="AV55" s="2716">
        <v>330</v>
      </c>
      <c r="AW55" s="2648">
        <f>+AS55+AU55</f>
        <v>4066.5549508517324</v>
      </c>
      <c r="AX55" s="2648">
        <f>+AT55+AV55</f>
        <v>3530</v>
      </c>
      <c r="AY55" s="2716">
        <f>+AY72*AY$5/1000</f>
        <v>388.55943396226439</v>
      </c>
      <c r="AZ55" s="2716">
        <v>328</v>
      </c>
      <c r="BA55" s="2649">
        <f t="shared" ref="BA55:BA70" si="72">+AY55+AU55+AQ55</f>
        <v>1126.7632075471695</v>
      </c>
      <c r="BB55" s="2649">
        <f t="shared" ref="BB55:BB70" si="73">+AZ55+AV55+AR55</f>
        <v>1101</v>
      </c>
      <c r="BC55" s="2693">
        <f t="shared" ref="BC55:BD56" si="74">+BA55+AM55</f>
        <v>2279.988679245283</v>
      </c>
      <c r="BD55" s="2693">
        <f t="shared" si="74"/>
        <v>1815</v>
      </c>
      <c r="BE55" s="2648">
        <f t="shared" ref="BE55:BE70" si="75">+AW55+AY55</f>
        <v>4455.1143848139964</v>
      </c>
      <c r="BF55" s="39">
        <f t="shared" ref="BF55:BF70" si="76">+AX55+AZ55</f>
        <v>3858</v>
      </c>
      <c r="BG55" s="2534"/>
      <c r="BH55" s="2534"/>
      <c r="BI55" s="2534"/>
      <c r="BJ55" s="3763"/>
      <c r="BK55" s="3763"/>
      <c r="BL55" s="2534"/>
      <c r="BM55" s="3763"/>
      <c r="BN55" s="3763"/>
    </row>
    <row r="56" spans="1:66" ht="15" x14ac:dyDescent="0.25">
      <c r="B56" s="741" t="s">
        <v>838</v>
      </c>
      <c r="C56" s="2942" t="s">
        <v>50</v>
      </c>
      <c r="D56" s="155">
        <f>+D73*D$5/1000</f>
        <v>2327.1642288886505</v>
      </c>
      <c r="E56" s="2716">
        <f>+E73*E$5/1000</f>
        <v>191.46683458737897</v>
      </c>
      <c r="F56" s="2716">
        <v>105</v>
      </c>
      <c r="G56" s="2716">
        <f>+G73*G$5/1000</f>
        <v>205.54918328420422</v>
      </c>
      <c r="H56" s="2716">
        <v>178</v>
      </c>
      <c r="I56" s="2648">
        <f t="shared" si="62"/>
        <v>397.01601787158319</v>
      </c>
      <c r="J56" s="39">
        <f t="shared" si="63"/>
        <v>283</v>
      </c>
      <c r="K56" s="2716">
        <f>+K73*K$5/1000</f>
        <v>199.20262417083617</v>
      </c>
      <c r="L56" s="2716">
        <v>105</v>
      </c>
      <c r="M56" s="2649">
        <f t="shared" si="64"/>
        <v>596.21864204241933</v>
      </c>
      <c r="N56" s="2649">
        <f t="shared" si="65"/>
        <v>388</v>
      </c>
      <c r="O56" s="2716">
        <f>+O73*O$5/1000</f>
        <v>201.58258383834942</v>
      </c>
      <c r="P56" s="2716">
        <v>137</v>
      </c>
      <c r="Q56" s="2648">
        <f t="shared" ref="Q56:Q62" si="77">+M56+O56</f>
        <v>797.8012258807687</v>
      </c>
      <c r="R56" s="2648">
        <f t="shared" ref="R56:R62" si="78">+N56+P56</f>
        <v>525</v>
      </c>
      <c r="S56" s="2716">
        <f>+S73*S$5/1000</f>
        <v>201.58258383834942</v>
      </c>
      <c r="T56" s="2716">
        <v>131</v>
      </c>
      <c r="U56" s="2648">
        <f t="shared" ref="U56:U70" si="79">+Q56+S56</f>
        <v>999.38380971911806</v>
      </c>
      <c r="V56" s="2648">
        <f t="shared" ref="V56:V70" si="80">+R56+T56</f>
        <v>656</v>
      </c>
      <c r="W56" s="2716">
        <f>+W73*W$5/1000</f>
        <v>105.78920722095233</v>
      </c>
      <c r="X56" s="2716">
        <v>129</v>
      </c>
      <c r="Y56" s="2649">
        <f t="shared" si="66"/>
        <v>508.95437489765118</v>
      </c>
      <c r="Z56" s="2649">
        <f t="shared" si="67"/>
        <v>397</v>
      </c>
      <c r="AA56" s="2693">
        <f>+Y56+M56</f>
        <v>1105.1730169400705</v>
      </c>
      <c r="AB56" s="2693">
        <f>+Z56+N56</f>
        <v>785</v>
      </c>
      <c r="AC56" s="2716">
        <f>+AC73*AC$5/1000</f>
        <v>200.16698113207559</v>
      </c>
      <c r="AD56" s="2716">
        <v>155</v>
      </c>
      <c r="AE56" s="2648">
        <f t="shared" ref="AE56:AE70" si="81">+AA56+AC56</f>
        <v>1305.339998072146</v>
      </c>
      <c r="AF56" s="2648">
        <f t="shared" ref="AF56:AF70" si="82">+AB56+AD56</f>
        <v>940</v>
      </c>
      <c r="AG56" s="2716">
        <f>+AG73*AG$5/1000</f>
        <v>193.75188679245275</v>
      </c>
      <c r="AH56" s="2716">
        <v>9</v>
      </c>
      <c r="AI56" s="2648">
        <f t="shared" ref="AI56:AI70" si="83">+AE56+AG56</f>
        <v>1499.0918848645988</v>
      </c>
      <c r="AJ56" s="2648">
        <f t="shared" ref="AJ56:AJ70" si="84">+AF56+AH56</f>
        <v>949</v>
      </c>
      <c r="AK56" s="2716">
        <f>+AK73*AK$5/1000</f>
        <v>200.16698113207559</v>
      </c>
      <c r="AL56" s="2716">
        <v>123</v>
      </c>
      <c r="AM56" s="2649">
        <f t="shared" si="68"/>
        <v>594.08584905660393</v>
      </c>
      <c r="AN56" s="2649">
        <f t="shared" si="69"/>
        <v>287</v>
      </c>
      <c r="AO56" s="2648">
        <f t="shared" ref="AO56:AO70" si="85">+AK56+AI56</f>
        <v>1699.2588659966743</v>
      </c>
      <c r="AP56" s="2648">
        <f t="shared" ref="AP56:AP70" si="86">+AL56+AJ56</f>
        <v>1072</v>
      </c>
      <c r="AQ56" s="2716">
        <f>+AQ73*AQ$5/1000</f>
        <v>200.16698113207559</v>
      </c>
      <c r="AR56" s="2716">
        <v>116</v>
      </c>
      <c r="AS56" s="2648">
        <f t="shared" ref="AS56:AS70" si="87">+AO56+AQ56</f>
        <v>1899.4258471287499</v>
      </c>
      <c r="AT56" s="2648">
        <f t="shared" ref="AT56:AT70" si="88">+AP56+AR56</f>
        <v>1188</v>
      </c>
      <c r="AU56" s="2716">
        <f>+AU73*AU$5/1000</f>
        <v>180.11981132075428</v>
      </c>
      <c r="AV56" s="2716">
        <v>149</v>
      </c>
      <c r="AW56" s="2648">
        <f t="shared" ref="AW56:AW70" si="89">+AS56+AU56</f>
        <v>2079.5456584495041</v>
      </c>
      <c r="AX56" s="2648">
        <f t="shared" ref="AX56:AX70" si="90">+AT56+AV56</f>
        <v>1337</v>
      </c>
      <c r="AY56" s="2716">
        <f>+AY73*AY$5/1000</f>
        <v>200.16698113207559</v>
      </c>
      <c r="AZ56" s="2716">
        <v>78</v>
      </c>
      <c r="BA56" s="2649">
        <f t="shared" si="72"/>
        <v>580.45377358490555</v>
      </c>
      <c r="BB56" s="2649">
        <f t="shared" si="73"/>
        <v>343</v>
      </c>
      <c r="BC56" s="2693">
        <f t="shared" si="74"/>
        <v>1174.5396226415096</v>
      </c>
      <c r="BD56" s="2693">
        <f t="shared" si="74"/>
        <v>630</v>
      </c>
      <c r="BE56" s="2648">
        <f t="shared" si="75"/>
        <v>2279.7126395815799</v>
      </c>
      <c r="BF56" s="39">
        <f t="shared" si="76"/>
        <v>1415</v>
      </c>
      <c r="BG56" s="2534"/>
      <c r="BH56" s="2534"/>
      <c r="BI56" s="2534"/>
      <c r="BJ56" s="3763"/>
      <c r="BK56" s="3763"/>
      <c r="BL56" s="2534"/>
      <c r="BM56" s="3763"/>
      <c r="BN56" s="3763"/>
    </row>
    <row r="57" spans="1:66" ht="15" x14ac:dyDescent="0.25">
      <c r="B57" s="743" t="s">
        <v>880</v>
      </c>
      <c r="C57" s="3464" t="s">
        <v>50</v>
      </c>
      <c r="D57" s="1339">
        <f>SUM(D55:D56)</f>
        <v>6862.32841316344</v>
      </c>
      <c r="E57" s="3430">
        <f>SUM(E55:E56)</f>
        <v>585.96721869553016</v>
      </c>
      <c r="F57" s="3430">
        <f>SUM(F55:F56)</f>
        <v>470</v>
      </c>
      <c r="G57" s="3430">
        <f>SUM(G55:G56)</f>
        <v>606.12224235989913</v>
      </c>
      <c r="H57" s="3430">
        <f>SUM(H55:H56)</f>
        <v>475</v>
      </c>
      <c r="I57" s="2648">
        <f t="shared" si="62"/>
        <v>1192.0894610554292</v>
      </c>
      <c r="J57" s="39">
        <f t="shared" si="63"/>
        <v>945</v>
      </c>
      <c r="K57" s="3430">
        <f>SUM(K55:K56)</f>
        <v>587.4075455676209</v>
      </c>
      <c r="L57" s="3430">
        <f>SUM(L55:L56)</f>
        <v>510</v>
      </c>
      <c r="M57" s="2649">
        <f t="shared" si="64"/>
        <v>1779.4970066230501</v>
      </c>
      <c r="N57" s="2649">
        <f t="shared" si="65"/>
        <v>1455</v>
      </c>
      <c r="O57" s="3430">
        <f>SUM(O55:O56)</f>
        <v>594.42555686472588</v>
      </c>
      <c r="P57" s="3430">
        <f>SUM(P55:P56)</f>
        <v>520</v>
      </c>
      <c r="Q57" s="2648">
        <f t="shared" si="77"/>
        <v>2373.9225634877757</v>
      </c>
      <c r="R57" s="2648">
        <f t="shared" si="78"/>
        <v>1975</v>
      </c>
      <c r="S57" s="3430">
        <f>SUM(S55:S56)</f>
        <v>594.42555686472588</v>
      </c>
      <c r="T57" s="3430">
        <f>SUM(T55:T56)</f>
        <v>431</v>
      </c>
      <c r="U57" s="2648">
        <f t="shared" si="79"/>
        <v>2968.3481203525016</v>
      </c>
      <c r="V57" s="2648">
        <f t="shared" si="80"/>
        <v>2406</v>
      </c>
      <c r="W57" s="3430">
        <f>SUM(W55:W56)</f>
        <v>311.95060215628291</v>
      </c>
      <c r="X57" s="3430">
        <f>SUM(X55:X56)</f>
        <v>422</v>
      </c>
      <c r="Y57" s="3429">
        <f t="shared" si="66"/>
        <v>1500.8017158857347</v>
      </c>
      <c r="Z57" s="3429">
        <f t="shared" si="67"/>
        <v>1373</v>
      </c>
      <c r="AA57" s="3465">
        <f t="shared" ref="AA57:AB57" si="91">SUM(AA55:AA56)</f>
        <v>3280.2987225087845</v>
      </c>
      <c r="AB57" s="3465">
        <f t="shared" si="91"/>
        <v>2828</v>
      </c>
      <c r="AC57" s="3430">
        <f>SUM(AC55:AC56)</f>
        <v>588.72641509433993</v>
      </c>
      <c r="AD57" s="3430">
        <f>SUM(AD55:AD56)</f>
        <v>446</v>
      </c>
      <c r="AE57" s="2648">
        <f t="shared" si="81"/>
        <v>3869.0251376031247</v>
      </c>
      <c r="AF57" s="2648">
        <f t="shared" si="82"/>
        <v>3274</v>
      </c>
      <c r="AG57" s="3430">
        <f>SUM(AG55:AG56)</f>
        <v>569.85849056603752</v>
      </c>
      <c r="AH57" s="3430">
        <f>SUM(AH55:AH56)</f>
        <v>11</v>
      </c>
      <c r="AI57" s="2648">
        <f t="shared" si="83"/>
        <v>4438.883628169162</v>
      </c>
      <c r="AJ57" s="2648">
        <f t="shared" si="84"/>
        <v>3285</v>
      </c>
      <c r="AK57" s="3430">
        <f>SUM(AK55:AK56)</f>
        <v>588.72641509433993</v>
      </c>
      <c r="AL57" s="3430">
        <f>SUM(AL55:AL56)</f>
        <v>544</v>
      </c>
      <c r="AM57" s="3429">
        <f t="shared" si="68"/>
        <v>1747.3113207547174</v>
      </c>
      <c r="AN57" s="3429">
        <f t="shared" si="69"/>
        <v>1001</v>
      </c>
      <c r="AO57" s="2648">
        <f t="shared" si="85"/>
        <v>5027.6100432635021</v>
      </c>
      <c r="AP57" s="2648">
        <f t="shared" si="86"/>
        <v>3829</v>
      </c>
      <c r="AQ57" s="3430">
        <f>SUM(AQ55:AQ56)</f>
        <v>588.72641509433993</v>
      </c>
      <c r="AR57" s="3430">
        <f>SUM(AR55:AR56)</f>
        <v>559</v>
      </c>
      <c r="AS57" s="2648">
        <f t="shared" si="87"/>
        <v>5616.3364583578423</v>
      </c>
      <c r="AT57" s="2648">
        <f t="shared" si="88"/>
        <v>4388</v>
      </c>
      <c r="AU57" s="3430">
        <f>SUM(AU55:AU56)</f>
        <v>529.76415094339495</v>
      </c>
      <c r="AV57" s="3430">
        <f>SUM(AV55:AV56)</f>
        <v>479</v>
      </c>
      <c r="AW57" s="2648">
        <f t="shared" si="89"/>
        <v>6146.1006093012375</v>
      </c>
      <c r="AX57" s="2648">
        <f t="shared" si="90"/>
        <v>4867</v>
      </c>
      <c r="AY57" s="3430">
        <f>SUM(AY55:AY56)</f>
        <v>588.72641509433993</v>
      </c>
      <c r="AZ57" s="3430">
        <f>SUM(AZ55:AZ56)</f>
        <v>406</v>
      </c>
      <c r="BA57" s="3429">
        <f t="shared" si="72"/>
        <v>1707.2169811320748</v>
      </c>
      <c r="BB57" s="3429">
        <f t="shared" si="73"/>
        <v>1444</v>
      </c>
      <c r="BC57" s="3465">
        <f t="shared" ref="BC57:BD57" si="92">SUM(BC55:BC56)</f>
        <v>3454.5283018867926</v>
      </c>
      <c r="BD57" s="3465">
        <f t="shared" si="92"/>
        <v>2445</v>
      </c>
      <c r="BE57" s="2648">
        <f t="shared" si="75"/>
        <v>6734.8270243955776</v>
      </c>
      <c r="BF57" s="39">
        <f t="shared" si="76"/>
        <v>5273</v>
      </c>
      <c r="BG57" s="2534"/>
      <c r="BH57" s="2534"/>
      <c r="BI57" s="2534"/>
      <c r="BJ57" s="3763"/>
      <c r="BK57" s="3763"/>
      <c r="BL57" s="2534"/>
      <c r="BM57" s="3763"/>
      <c r="BN57" s="3763"/>
    </row>
    <row r="58" spans="1:66" ht="15" x14ac:dyDescent="0.25">
      <c r="B58" s="741" t="s">
        <v>84</v>
      </c>
      <c r="C58" s="2942" t="s">
        <v>50</v>
      </c>
      <c r="D58" s="155">
        <f>+D75*D$5/1000</f>
        <v>48123.44947497479</v>
      </c>
      <c r="E58" s="2716">
        <f>+E75*E$5/1000</f>
        <v>4119.9845127353037</v>
      </c>
      <c r="F58" s="2716">
        <v>3332</v>
      </c>
      <c r="G58" s="2716">
        <f>+G75*G$5/1000</f>
        <v>4250.5533617296896</v>
      </c>
      <c r="H58" s="2716">
        <v>3570</v>
      </c>
      <c r="I58" s="2648">
        <f t="shared" si="62"/>
        <v>8370.5378744649934</v>
      </c>
      <c r="J58" s="39">
        <f t="shared" si="63"/>
        <v>6902</v>
      </c>
      <c r="K58" s="2716">
        <f>+K75*K$5/1000</f>
        <v>4119.3128102289647</v>
      </c>
      <c r="L58" s="2716">
        <v>3768</v>
      </c>
      <c r="M58" s="2649">
        <f t="shared" si="64"/>
        <v>12489.850684693958</v>
      </c>
      <c r="N58" s="2649">
        <f t="shared" si="65"/>
        <v>10670</v>
      </c>
      <c r="O58" s="2716">
        <f>+O75*O$5/1000</f>
        <v>4168.5280170417409</v>
      </c>
      <c r="P58" s="2716">
        <v>4098</v>
      </c>
      <c r="Q58" s="2648">
        <f t="shared" si="77"/>
        <v>16658.378701735699</v>
      </c>
      <c r="R58" s="2648">
        <f t="shared" si="78"/>
        <v>14768</v>
      </c>
      <c r="S58" s="2716">
        <f>+S75*S$5/1000</f>
        <v>4168.5280170417409</v>
      </c>
      <c r="T58" s="2716">
        <v>3587.02</v>
      </c>
      <c r="U58" s="2648">
        <f t="shared" si="79"/>
        <v>20826.906718777442</v>
      </c>
      <c r="V58" s="2648">
        <f t="shared" si="80"/>
        <v>18355.02</v>
      </c>
      <c r="W58" s="2716">
        <f>+W75*W$5/1000</f>
        <v>2187.6159428276978</v>
      </c>
      <c r="X58" s="2716">
        <v>3011.1099999999997</v>
      </c>
      <c r="Y58" s="2649">
        <f t="shared" si="66"/>
        <v>10524.671976911181</v>
      </c>
      <c r="Z58" s="2649">
        <f t="shared" si="67"/>
        <v>10696.13</v>
      </c>
      <c r="AA58" s="2693">
        <f t="shared" ref="AA58:AB70" si="93">+Y58+M58</f>
        <v>23014.522661605137</v>
      </c>
      <c r="AB58" s="2693">
        <f t="shared" si="93"/>
        <v>21366.129999999997</v>
      </c>
      <c r="AC58" s="2716">
        <f>+AC75*AC$5/1000</f>
        <v>4321.2518867924555</v>
      </c>
      <c r="AD58" s="2716">
        <v>3276</v>
      </c>
      <c r="AE58" s="2648">
        <f t="shared" si="81"/>
        <v>27335.774548397592</v>
      </c>
      <c r="AF58" s="2648">
        <f t="shared" si="82"/>
        <v>24642.129999999997</v>
      </c>
      <c r="AG58" s="2716">
        <f>+AG75*AG$5/1000</f>
        <v>4182.7613207547156</v>
      </c>
      <c r="AH58" s="2716">
        <v>110</v>
      </c>
      <c r="AI58" s="2648">
        <f t="shared" si="83"/>
        <v>31518.535869152307</v>
      </c>
      <c r="AJ58" s="2648">
        <f t="shared" si="84"/>
        <v>24752.129999999997</v>
      </c>
      <c r="AK58" s="2716">
        <f>+AK75*AK$5/1000</f>
        <v>4321.2518867924555</v>
      </c>
      <c r="AL58" s="2716">
        <v>3928</v>
      </c>
      <c r="AM58" s="2649">
        <f t="shared" si="68"/>
        <v>12825.265094339626</v>
      </c>
      <c r="AN58" s="2649">
        <f t="shared" si="69"/>
        <v>7314</v>
      </c>
      <c r="AO58" s="2648">
        <f t="shared" si="85"/>
        <v>35839.787755944766</v>
      </c>
      <c r="AP58" s="2648">
        <f t="shared" si="86"/>
        <v>28680.129999999997</v>
      </c>
      <c r="AQ58" s="2716">
        <f>+AQ75*AQ$5/1000</f>
        <v>4321.2518867924555</v>
      </c>
      <c r="AR58" s="2716">
        <v>4040</v>
      </c>
      <c r="AS58" s="2648">
        <f t="shared" si="87"/>
        <v>40161.039642737218</v>
      </c>
      <c r="AT58" s="2648">
        <f t="shared" si="88"/>
        <v>32720.129999999997</v>
      </c>
      <c r="AU58" s="2716">
        <f>+AU75*AU$5/1000</f>
        <v>3888.4688679245196</v>
      </c>
      <c r="AV58" s="2716">
        <v>3626</v>
      </c>
      <c r="AW58" s="2648">
        <f t="shared" si="89"/>
        <v>44049.508510661741</v>
      </c>
      <c r="AX58" s="2648">
        <f t="shared" si="90"/>
        <v>36346.129999999997</v>
      </c>
      <c r="AY58" s="2716">
        <f>+AY75*AY$5/1000</f>
        <v>4321.2518867924555</v>
      </c>
      <c r="AZ58" s="2716">
        <v>4060</v>
      </c>
      <c r="BA58" s="2649">
        <f t="shared" si="72"/>
        <v>12530.97264150943</v>
      </c>
      <c r="BB58" s="2649">
        <f t="shared" si="73"/>
        <v>11726</v>
      </c>
      <c r="BC58" s="2693">
        <f t="shared" ref="BC58:BD59" si="94">+BA58+AM58</f>
        <v>25356.237735849056</v>
      </c>
      <c r="BD58" s="2693">
        <f t="shared" si="94"/>
        <v>19040</v>
      </c>
      <c r="BE58" s="2648">
        <f t="shared" si="75"/>
        <v>48370.7603974542</v>
      </c>
      <c r="BF58" s="39">
        <f t="shared" si="76"/>
        <v>40406.129999999997</v>
      </c>
      <c r="BG58" s="2534"/>
      <c r="BH58" s="2534"/>
      <c r="BI58" s="2534"/>
      <c r="BJ58" s="3763"/>
      <c r="BK58" s="3763"/>
      <c r="BL58" s="2534"/>
      <c r="BM58" s="3763"/>
      <c r="BN58" s="3763"/>
    </row>
    <row r="59" spans="1:66" ht="15" x14ac:dyDescent="0.25">
      <c r="B59" s="741" t="s">
        <v>1573</v>
      </c>
      <c r="C59" s="2942" t="s">
        <v>50</v>
      </c>
      <c r="D59" s="155">
        <f>+D76*D$5/1000</f>
        <v>0</v>
      </c>
      <c r="E59" s="2716">
        <f>+E76*E$5/1000</f>
        <v>0</v>
      </c>
      <c r="F59" s="2716">
        <v>0</v>
      </c>
      <c r="G59" s="2716">
        <f>+G76*G$5/1000</f>
        <v>0</v>
      </c>
      <c r="H59" s="2716"/>
      <c r="I59" s="2648">
        <f t="shared" si="62"/>
        <v>0</v>
      </c>
      <c r="J59" s="39">
        <f t="shared" si="63"/>
        <v>0</v>
      </c>
      <c r="K59" s="2716">
        <f>+K76*K$5/1000</f>
        <v>0</v>
      </c>
      <c r="L59" s="2716">
        <v>0</v>
      </c>
      <c r="M59" s="2649">
        <f t="shared" si="64"/>
        <v>0</v>
      </c>
      <c r="N59" s="2649">
        <f t="shared" si="65"/>
        <v>0</v>
      </c>
      <c r="O59" s="2716">
        <f>+O76*O$5/1000</f>
        <v>0</v>
      </c>
      <c r="P59" s="2716">
        <v>0</v>
      </c>
      <c r="Q59" s="2648">
        <f t="shared" si="77"/>
        <v>0</v>
      </c>
      <c r="R59" s="2648">
        <f t="shared" si="78"/>
        <v>0</v>
      </c>
      <c r="S59" s="2716">
        <f>+S76*S$5/1000</f>
        <v>0</v>
      </c>
      <c r="T59" s="2716">
        <v>0</v>
      </c>
      <c r="U59" s="2648">
        <f t="shared" si="79"/>
        <v>0</v>
      </c>
      <c r="V59" s="2648">
        <f t="shared" si="80"/>
        <v>0</v>
      </c>
      <c r="W59" s="2716">
        <f>+W76*W$5/1000</f>
        <v>0</v>
      </c>
      <c r="X59" s="2716">
        <v>0</v>
      </c>
      <c r="Y59" s="2649">
        <f t="shared" si="66"/>
        <v>0</v>
      </c>
      <c r="Z59" s="2649">
        <f t="shared" si="67"/>
        <v>0</v>
      </c>
      <c r="AA59" s="2693">
        <f t="shared" si="93"/>
        <v>0</v>
      </c>
      <c r="AB59" s="2693">
        <f t="shared" si="93"/>
        <v>0</v>
      </c>
      <c r="AC59" s="2716">
        <f>+AC76*AC$5/1000</f>
        <v>0</v>
      </c>
      <c r="AD59" s="2716">
        <v>0</v>
      </c>
      <c r="AE59" s="2648">
        <f t="shared" si="81"/>
        <v>0</v>
      </c>
      <c r="AF59" s="2648">
        <f t="shared" si="82"/>
        <v>0</v>
      </c>
      <c r="AG59" s="2716">
        <f>+AG76*AG$5/1000</f>
        <v>0</v>
      </c>
      <c r="AH59" s="2716">
        <v>0</v>
      </c>
      <c r="AI59" s="2648">
        <f t="shared" si="83"/>
        <v>0</v>
      </c>
      <c r="AJ59" s="2648">
        <f t="shared" si="84"/>
        <v>0</v>
      </c>
      <c r="AK59" s="2716">
        <f>+AK76*AK$5/1000</f>
        <v>0</v>
      </c>
      <c r="AL59" s="2716">
        <v>0</v>
      </c>
      <c r="AM59" s="2649">
        <f t="shared" si="68"/>
        <v>0</v>
      </c>
      <c r="AN59" s="2649">
        <f t="shared" si="69"/>
        <v>0</v>
      </c>
      <c r="AO59" s="2648">
        <f t="shared" si="85"/>
        <v>0</v>
      </c>
      <c r="AP59" s="2648">
        <f t="shared" si="86"/>
        <v>0</v>
      </c>
      <c r="AQ59" s="2716">
        <f>+AQ76*AQ$5/1000</f>
        <v>0</v>
      </c>
      <c r="AR59" s="2716">
        <v>0</v>
      </c>
      <c r="AS59" s="2648">
        <f t="shared" si="87"/>
        <v>0</v>
      </c>
      <c r="AT59" s="2648">
        <f t="shared" si="88"/>
        <v>0</v>
      </c>
      <c r="AU59" s="2716">
        <f>+AU76*AU$5/1000</f>
        <v>0</v>
      </c>
      <c r="AV59" s="2716">
        <v>0</v>
      </c>
      <c r="AW59" s="2648">
        <f t="shared" si="89"/>
        <v>0</v>
      </c>
      <c r="AX59" s="2648">
        <f t="shared" si="90"/>
        <v>0</v>
      </c>
      <c r="AY59" s="2716">
        <f>+AY76*AY$5/1000</f>
        <v>0</v>
      </c>
      <c r="AZ59" s="2716">
        <v>0</v>
      </c>
      <c r="BA59" s="2649">
        <f t="shared" si="72"/>
        <v>0</v>
      </c>
      <c r="BB59" s="2649">
        <f t="shared" si="73"/>
        <v>0</v>
      </c>
      <c r="BC59" s="2693">
        <f t="shared" si="94"/>
        <v>0</v>
      </c>
      <c r="BD59" s="2693">
        <f t="shared" si="94"/>
        <v>0</v>
      </c>
      <c r="BE59" s="2648">
        <f t="shared" si="75"/>
        <v>0</v>
      </c>
      <c r="BF59" s="39">
        <f t="shared" si="76"/>
        <v>0</v>
      </c>
      <c r="BG59" s="2534"/>
      <c r="BH59" s="2534"/>
      <c r="BI59" s="2534"/>
      <c r="BJ59" s="3763"/>
      <c r="BK59" s="3763"/>
      <c r="BL59" s="2534"/>
      <c r="BM59" s="3763"/>
      <c r="BN59" s="3763"/>
    </row>
    <row r="60" spans="1:66" ht="15" x14ac:dyDescent="0.25">
      <c r="A60" s="3387"/>
      <c r="B60" s="743" t="s">
        <v>1574</v>
      </c>
      <c r="C60" s="3466" t="s">
        <v>50</v>
      </c>
      <c r="D60" s="1339">
        <f>SUM(D58:D59)</f>
        <v>48123.44947497479</v>
      </c>
      <c r="E60" s="3430">
        <f>SUM(E58:E59)</f>
        <v>4119.9845127353037</v>
      </c>
      <c r="F60" s="3430">
        <f>+F58+F59</f>
        <v>3332</v>
      </c>
      <c r="G60" s="3430">
        <f>SUM(G58:G59)</f>
        <v>4250.5533617296896</v>
      </c>
      <c r="H60" s="3430">
        <f>+H58+H59</f>
        <v>3570</v>
      </c>
      <c r="I60" s="2648">
        <f t="shared" si="62"/>
        <v>8370.5378744649934</v>
      </c>
      <c r="J60" s="39">
        <f t="shared" si="63"/>
        <v>6902</v>
      </c>
      <c r="K60" s="3430">
        <f>SUM(K58:K59)</f>
        <v>4119.3128102289647</v>
      </c>
      <c r="L60" s="3430">
        <f>+L58+L59</f>
        <v>3768</v>
      </c>
      <c r="M60" s="3429">
        <f t="shared" si="64"/>
        <v>12489.850684693958</v>
      </c>
      <c r="N60" s="3429">
        <f t="shared" si="65"/>
        <v>10670</v>
      </c>
      <c r="O60" s="3430">
        <f>SUM(O58:O59)</f>
        <v>4168.5280170417409</v>
      </c>
      <c r="P60" s="3430">
        <f>+P58+P59</f>
        <v>4098</v>
      </c>
      <c r="Q60" s="2648">
        <f t="shared" si="77"/>
        <v>16658.378701735699</v>
      </c>
      <c r="R60" s="2648">
        <f t="shared" si="78"/>
        <v>14768</v>
      </c>
      <c r="S60" s="3430">
        <f>SUM(S58:S59)</f>
        <v>4168.5280170417409</v>
      </c>
      <c r="T60" s="3430">
        <f>+T58+T59</f>
        <v>3587.02</v>
      </c>
      <c r="U60" s="2648">
        <f t="shared" si="79"/>
        <v>20826.906718777442</v>
      </c>
      <c r="V60" s="2648">
        <f t="shared" si="80"/>
        <v>18355.02</v>
      </c>
      <c r="W60" s="3430">
        <f>SUM(W58:W59)</f>
        <v>2187.6159428276978</v>
      </c>
      <c r="X60" s="3430">
        <f>+X58+X59</f>
        <v>3011.1099999999997</v>
      </c>
      <c r="Y60" s="3429">
        <f t="shared" si="66"/>
        <v>10524.671976911181</v>
      </c>
      <c r="Z60" s="3429">
        <f t="shared" si="67"/>
        <v>10696.13</v>
      </c>
      <c r="AA60" s="2680">
        <f t="shared" si="93"/>
        <v>23014.522661605137</v>
      </c>
      <c r="AB60" s="2680">
        <f t="shared" si="93"/>
        <v>21366.129999999997</v>
      </c>
      <c r="AC60" s="3430">
        <f>SUM(AC58:AC59)</f>
        <v>4321.2518867924555</v>
      </c>
      <c r="AD60" s="3430">
        <f t="shared" ref="AD60" si="95">+AD58+AD59</f>
        <v>3276</v>
      </c>
      <c r="AE60" s="2648">
        <f t="shared" si="81"/>
        <v>27335.774548397592</v>
      </c>
      <c r="AF60" s="2648">
        <f t="shared" si="82"/>
        <v>24642.129999999997</v>
      </c>
      <c r="AG60" s="3430">
        <f>SUM(AG58:AG59)</f>
        <v>4182.7613207547156</v>
      </c>
      <c r="AH60" s="3430">
        <f t="shared" ref="AH60" si="96">+AH58+AH59</f>
        <v>110</v>
      </c>
      <c r="AI60" s="2648">
        <f t="shared" si="83"/>
        <v>31518.535869152307</v>
      </c>
      <c r="AJ60" s="2648">
        <f t="shared" si="84"/>
        <v>24752.129999999997</v>
      </c>
      <c r="AK60" s="3430">
        <f>SUM(AK58:AK59)</f>
        <v>4321.2518867924555</v>
      </c>
      <c r="AL60" s="3430">
        <f t="shared" ref="AL60" si="97">+AL58+AL59</f>
        <v>3928</v>
      </c>
      <c r="AM60" s="3429">
        <f t="shared" si="68"/>
        <v>12825.265094339626</v>
      </c>
      <c r="AN60" s="3429">
        <f t="shared" si="69"/>
        <v>7314</v>
      </c>
      <c r="AO60" s="2648">
        <f t="shared" si="85"/>
        <v>35839.787755944766</v>
      </c>
      <c r="AP60" s="2648">
        <f t="shared" si="86"/>
        <v>28680.129999999997</v>
      </c>
      <c r="AQ60" s="3430">
        <f>SUM(AQ58:AQ59)</f>
        <v>4321.2518867924555</v>
      </c>
      <c r="AR60" s="3430">
        <f t="shared" ref="AR60" si="98">+AR58+AR59</f>
        <v>4040</v>
      </c>
      <c r="AS60" s="2648">
        <f t="shared" si="87"/>
        <v>40161.039642737218</v>
      </c>
      <c r="AT60" s="2648">
        <f t="shared" si="88"/>
        <v>32720.129999999997</v>
      </c>
      <c r="AU60" s="3430">
        <f>SUM(AU58:AU59)</f>
        <v>3888.4688679245196</v>
      </c>
      <c r="AV60" s="3430">
        <f t="shared" ref="AV60" si="99">+AV58+AV59</f>
        <v>3626</v>
      </c>
      <c r="AW60" s="2648">
        <f t="shared" si="89"/>
        <v>44049.508510661741</v>
      </c>
      <c r="AX60" s="2648">
        <f t="shared" si="90"/>
        <v>36346.129999999997</v>
      </c>
      <c r="AY60" s="3430">
        <f>SUM(AY58:AY59)</f>
        <v>4321.2518867924555</v>
      </c>
      <c r="AZ60" s="3430">
        <f t="shared" ref="AZ60" si="100">+AZ58+AZ59</f>
        <v>4060</v>
      </c>
      <c r="BA60" s="3429">
        <f t="shared" si="72"/>
        <v>12530.97264150943</v>
      </c>
      <c r="BB60" s="3429">
        <f t="shared" si="73"/>
        <v>11726</v>
      </c>
      <c r="BC60" s="2680">
        <f>+BA60+AM60</f>
        <v>25356.237735849056</v>
      </c>
      <c r="BD60" s="2680">
        <f>+BB60+AN60</f>
        <v>19040</v>
      </c>
      <c r="BE60" s="2648">
        <f t="shared" si="75"/>
        <v>48370.7603974542</v>
      </c>
      <c r="BF60" s="39">
        <f t="shared" si="76"/>
        <v>40406.129999999997</v>
      </c>
      <c r="BG60" s="2534"/>
      <c r="BH60" s="2534"/>
      <c r="BI60" s="2534"/>
      <c r="BJ60" s="3763"/>
      <c r="BK60" s="3763"/>
      <c r="BL60" s="2534"/>
      <c r="BM60" s="3763"/>
      <c r="BN60" s="3763"/>
    </row>
    <row r="61" spans="1:66" ht="15" x14ac:dyDescent="0.25">
      <c r="A61" s="3387"/>
      <c r="B61" s="743" t="s">
        <v>85</v>
      </c>
      <c r="C61" s="3466" t="s">
        <v>50</v>
      </c>
      <c r="D61" s="1339">
        <f>+D78*D$5/1000</f>
        <v>6002.5358622615822</v>
      </c>
      <c r="E61" s="3430">
        <f>+E78*E$5/1000</f>
        <v>515.71146989808574</v>
      </c>
      <c r="F61" s="3430">
        <v>467</v>
      </c>
      <c r="G61" s="3430">
        <f>+G78*G$5/1000</f>
        <v>530.18017757656514</v>
      </c>
      <c r="H61" s="3430">
        <v>551</v>
      </c>
      <c r="I61" s="2648">
        <f t="shared" si="62"/>
        <v>1045.8916474746509</v>
      </c>
      <c r="J61" s="39">
        <f t="shared" si="63"/>
        <v>1018</v>
      </c>
      <c r="K61" s="3430">
        <f>+K78*K$5/1000</f>
        <v>513.81027630056133</v>
      </c>
      <c r="L61" s="3430">
        <v>526.21</v>
      </c>
      <c r="M61" s="3429">
        <f t="shared" si="64"/>
        <v>1559.7019237752124</v>
      </c>
      <c r="N61" s="3429">
        <f t="shared" si="65"/>
        <v>1544.21</v>
      </c>
      <c r="O61" s="3430">
        <f>+O78*O$5/1000</f>
        <v>519.94898927906331</v>
      </c>
      <c r="P61" s="3430">
        <v>485.89400000000001</v>
      </c>
      <c r="Q61" s="2648">
        <f t="shared" si="77"/>
        <v>2079.6509130542759</v>
      </c>
      <c r="R61" s="2648">
        <f t="shared" si="78"/>
        <v>2030.104</v>
      </c>
      <c r="S61" s="3430">
        <f>+S78*S$5/1000</f>
        <v>519.94898927906331</v>
      </c>
      <c r="T61" s="3430">
        <v>516</v>
      </c>
      <c r="U61" s="2648">
        <f t="shared" si="79"/>
        <v>2599.5999023333393</v>
      </c>
      <c r="V61" s="2648">
        <f t="shared" si="80"/>
        <v>2546.1040000000003</v>
      </c>
      <c r="W61" s="3430">
        <f>+W78*W$5/1000</f>
        <v>272.86579189438544</v>
      </c>
      <c r="X61" s="3430">
        <v>481</v>
      </c>
      <c r="Y61" s="3429">
        <f t="shared" si="66"/>
        <v>1312.7637704525121</v>
      </c>
      <c r="Z61" s="3429">
        <f t="shared" si="67"/>
        <v>1482.894</v>
      </c>
      <c r="AA61" s="2680">
        <f t="shared" si="93"/>
        <v>2872.4656942277243</v>
      </c>
      <c r="AB61" s="2680">
        <f t="shared" si="93"/>
        <v>3027.1040000000003</v>
      </c>
      <c r="AC61" s="3430">
        <f>+AC78*AC$5/1000</f>
        <v>506.30471698113234</v>
      </c>
      <c r="AD61" s="3430">
        <v>614</v>
      </c>
      <c r="AE61" s="2648">
        <f t="shared" si="81"/>
        <v>3378.7704112088568</v>
      </c>
      <c r="AF61" s="2648">
        <f t="shared" si="82"/>
        <v>3641.1040000000003</v>
      </c>
      <c r="AG61" s="3430">
        <f>+AG78*AG$5/1000</f>
        <v>490.07830188679225</v>
      </c>
      <c r="AH61" s="3430">
        <v>19</v>
      </c>
      <c r="AI61" s="2648">
        <f t="shared" si="83"/>
        <v>3868.8487130956491</v>
      </c>
      <c r="AJ61" s="2648">
        <f t="shared" si="84"/>
        <v>3660.1040000000003</v>
      </c>
      <c r="AK61" s="3430">
        <f>+AK78*AK$5/1000</f>
        <v>506.30471698113234</v>
      </c>
      <c r="AL61" s="3430">
        <v>538</v>
      </c>
      <c r="AM61" s="3429">
        <f t="shared" si="68"/>
        <v>1502.6877358490569</v>
      </c>
      <c r="AN61" s="3429">
        <f t="shared" si="69"/>
        <v>1171</v>
      </c>
      <c r="AO61" s="2648">
        <f t="shared" si="85"/>
        <v>4375.1534300767817</v>
      </c>
      <c r="AP61" s="2648">
        <f t="shared" si="86"/>
        <v>4198.1040000000003</v>
      </c>
      <c r="AQ61" s="3430">
        <f>+AQ78*AQ$5/1000</f>
        <v>506.30471698113234</v>
      </c>
      <c r="AR61" s="3430">
        <v>540</v>
      </c>
      <c r="AS61" s="2648">
        <f t="shared" si="87"/>
        <v>4881.4581470579142</v>
      </c>
      <c r="AT61" s="2648">
        <f t="shared" si="88"/>
        <v>4738.1040000000003</v>
      </c>
      <c r="AU61" s="3430">
        <f>+AU78*AU$5/1000</f>
        <v>455.5971698113197</v>
      </c>
      <c r="AV61" s="3430">
        <v>495</v>
      </c>
      <c r="AW61" s="2648">
        <f t="shared" si="89"/>
        <v>5337.055316869234</v>
      </c>
      <c r="AX61" s="2648">
        <f t="shared" si="90"/>
        <v>5233.1040000000003</v>
      </c>
      <c r="AY61" s="3430">
        <f>+AY78*AY$5/1000</f>
        <v>506.30471698113234</v>
      </c>
      <c r="AZ61" s="3430">
        <v>510</v>
      </c>
      <c r="BA61" s="3429">
        <f t="shared" si="72"/>
        <v>1468.2066037735844</v>
      </c>
      <c r="BB61" s="3429">
        <f t="shared" si="73"/>
        <v>1545</v>
      </c>
      <c r="BC61" s="2680">
        <f t="shared" ref="BC61:BC70" si="101">+BA61+AM61</f>
        <v>2970.8943396226414</v>
      </c>
      <c r="BD61" s="2680">
        <f t="shared" ref="BD61:BD70" si="102">+BB61+AN61</f>
        <v>2716</v>
      </c>
      <c r="BE61" s="2648">
        <f t="shared" si="75"/>
        <v>5843.3600338503666</v>
      </c>
      <c r="BF61" s="39">
        <f t="shared" si="76"/>
        <v>5743.1040000000003</v>
      </c>
      <c r="BG61" s="2534"/>
      <c r="BH61" s="2534"/>
      <c r="BI61" s="2534"/>
      <c r="BJ61" s="3763"/>
      <c r="BK61" s="3763"/>
      <c r="BL61" s="2534"/>
      <c r="BM61" s="3763"/>
      <c r="BN61" s="3763"/>
    </row>
    <row r="62" spans="1:66" ht="15" x14ac:dyDescent="0.25">
      <c r="A62" s="3387"/>
      <c r="B62" s="3467" t="str">
        <f>+'Maj Techno Summ'!B19</f>
        <v>Ferro Alloys (FeMn+LCFeMn+SiMn+FeSi)</v>
      </c>
      <c r="C62" s="3466" t="s">
        <v>50</v>
      </c>
      <c r="D62" s="1339">
        <f>+D57+D60+D61</f>
        <v>60988.313750399815</v>
      </c>
      <c r="E62" s="3430">
        <f>+E57+E60+E61</f>
        <v>5221.66320132892</v>
      </c>
      <c r="F62" s="3430">
        <f>+F57+F60+F61</f>
        <v>4269</v>
      </c>
      <c r="G62" s="3430">
        <f>+G57+G60+G61</f>
        <v>5386.8557816661541</v>
      </c>
      <c r="H62" s="3430">
        <f>+H57+H60+H61</f>
        <v>4596</v>
      </c>
      <c r="I62" s="2648">
        <f t="shared" si="62"/>
        <v>10608.518982995074</v>
      </c>
      <c r="J62" s="39">
        <f t="shared" si="63"/>
        <v>8865</v>
      </c>
      <c r="K62" s="3430">
        <f>+K57+K60+K61</f>
        <v>5220.5306320971467</v>
      </c>
      <c r="L62" s="3430">
        <f>+L57+L60+L61</f>
        <v>4804.21</v>
      </c>
      <c r="M62" s="3429">
        <f t="shared" si="64"/>
        <v>15829.049615092221</v>
      </c>
      <c r="N62" s="3429">
        <f t="shared" si="65"/>
        <v>13669.21</v>
      </c>
      <c r="O62" s="3430">
        <f>+O57+O60+O61</f>
        <v>5282.9025631855302</v>
      </c>
      <c r="P62" s="3430">
        <f>+P57+P60+P61</f>
        <v>5103.8940000000002</v>
      </c>
      <c r="Q62" s="2648">
        <f t="shared" si="77"/>
        <v>21111.952178277752</v>
      </c>
      <c r="R62" s="2648">
        <f t="shared" si="78"/>
        <v>18773.103999999999</v>
      </c>
      <c r="S62" s="3430">
        <f>+S57+S60+S61</f>
        <v>5282.9025631855302</v>
      </c>
      <c r="T62" s="3430">
        <f>+T57+T60+T61</f>
        <v>4534.0200000000004</v>
      </c>
      <c r="U62" s="2648">
        <f t="shared" si="79"/>
        <v>26394.854741463281</v>
      </c>
      <c r="V62" s="2648">
        <f t="shared" si="80"/>
        <v>23307.124</v>
      </c>
      <c r="W62" s="3430">
        <f>+W57+W60+W61</f>
        <v>2772.4323368783662</v>
      </c>
      <c r="X62" s="3430">
        <f>+X57+X60+X61</f>
        <v>3914.1099999999997</v>
      </c>
      <c r="Y62" s="3429">
        <f t="shared" si="66"/>
        <v>13338.237463249427</v>
      </c>
      <c r="Z62" s="3429">
        <f t="shared" si="67"/>
        <v>13552.024000000001</v>
      </c>
      <c r="AA62" s="2680">
        <f t="shared" si="93"/>
        <v>29167.287078341647</v>
      </c>
      <c r="AB62" s="2680">
        <f t="shared" si="93"/>
        <v>27221.234</v>
      </c>
      <c r="AC62" s="3430">
        <f>+AC57+AC60+AC61</f>
        <v>5416.2830188679281</v>
      </c>
      <c r="AD62" s="3430">
        <f>+AD57+AD60+AD61</f>
        <v>4336</v>
      </c>
      <c r="AE62" s="2648">
        <f t="shared" si="81"/>
        <v>34583.570097209573</v>
      </c>
      <c r="AF62" s="2648">
        <f t="shared" si="82"/>
        <v>31557.234</v>
      </c>
      <c r="AG62" s="3430">
        <f>+AG57+AG60+AG61</f>
        <v>5242.6981132075452</v>
      </c>
      <c r="AH62" s="3430">
        <f>+AH57+AH60+AH61</f>
        <v>140</v>
      </c>
      <c r="AI62" s="2648">
        <f t="shared" si="83"/>
        <v>39826.268210417118</v>
      </c>
      <c r="AJ62" s="2648">
        <f t="shared" si="84"/>
        <v>31697.234</v>
      </c>
      <c r="AK62" s="3430">
        <f>+AK57+AK60+AK61</f>
        <v>5416.2830188679281</v>
      </c>
      <c r="AL62" s="3430">
        <f>+AL57+AL60+AL61</f>
        <v>5010</v>
      </c>
      <c r="AM62" s="3429">
        <f t="shared" si="68"/>
        <v>16075.264150943403</v>
      </c>
      <c r="AN62" s="3429">
        <f t="shared" si="69"/>
        <v>9486</v>
      </c>
      <c r="AO62" s="2648">
        <f t="shared" si="85"/>
        <v>45242.551229285047</v>
      </c>
      <c r="AP62" s="2648">
        <f t="shared" si="86"/>
        <v>36707.233999999997</v>
      </c>
      <c r="AQ62" s="3430">
        <f>+AQ57+AQ60+AQ61</f>
        <v>5416.2830188679281</v>
      </c>
      <c r="AR62" s="3430">
        <f>+AR57+AR60+AR61</f>
        <v>5139</v>
      </c>
      <c r="AS62" s="2648">
        <f t="shared" si="87"/>
        <v>50658.834248152976</v>
      </c>
      <c r="AT62" s="2648">
        <f t="shared" si="88"/>
        <v>41846.233999999997</v>
      </c>
      <c r="AU62" s="3430">
        <f>+AU57+AU60+AU61</f>
        <v>4873.8301886792342</v>
      </c>
      <c r="AV62" s="3430">
        <f>+AV57+AV60+AV61</f>
        <v>4600</v>
      </c>
      <c r="AW62" s="2648">
        <f t="shared" si="89"/>
        <v>55532.664436832209</v>
      </c>
      <c r="AX62" s="2648">
        <f t="shared" si="90"/>
        <v>46446.233999999997</v>
      </c>
      <c r="AY62" s="3430">
        <f>+AY57+AY60+AY61</f>
        <v>5416.2830188679281</v>
      </c>
      <c r="AZ62" s="3430">
        <f>+AZ57+AZ60+AZ61</f>
        <v>4976</v>
      </c>
      <c r="BA62" s="3429">
        <f t="shared" si="72"/>
        <v>15706.39622641509</v>
      </c>
      <c r="BB62" s="3429">
        <f t="shared" si="73"/>
        <v>14715</v>
      </c>
      <c r="BC62" s="2680">
        <f t="shared" si="101"/>
        <v>31781.660377358494</v>
      </c>
      <c r="BD62" s="2680">
        <f t="shared" si="102"/>
        <v>24201</v>
      </c>
      <c r="BE62" s="2648">
        <f t="shared" si="75"/>
        <v>60948.947455700138</v>
      </c>
      <c r="BF62" s="39">
        <f t="shared" si="76"/>
        <v>51422.233999999997</v>
      </c>
      <c r="BG62" s="2534"/>
      <c r="BH62" s="2534"/>
      <c r="BI62" s="2534"/>
      <c r="BJ62" s="3763"/>
      <c r="BK62" s="3763"/>
      <c r="BL62" s="2534"/>
      <c r="BM62" s="3763"/>
      <c r="BN62" s="3763"/>
    </row>
    <row r="63" spans="1:66" ht="15" x14ac:dyDescent="0.25">
      <c r="B63" s="741" t="s">
        <v>86</v>
      </c>
      <c r="C63" s="2942" t="s">
        <v>50</v>
      </c>
      <c r="D63" s="155">
        <f t="shared" ref="D63:E70" si="103">+D80*D$5/1000</f>
        <v>5526.7416808309736</v>
      </c>
      <c r="E63" s="2716">
        <f t="shared" si="103"/>
        <v>473.08283286118927</v>
      </c>
      <c r="F63" s="2716">
        <v>212</v>
      </c>
      <c r="G63" s="2716">
        <f t="shared" ref="G63" si="104">+G80*G$5/1000</f>
        <v>488.15516525023583</v>
      </c>
      <c r="H63" s="2716">
        <v>280</v>
      </c>
      <c r="I63" s="2648">
        <f t="shared" si="62"/>
        <v>961.2379981114251</v>
      </c>
      <c r="J63" s="107">
        <f t="shared" si="63"/>
        <v>492</v>
      </c>
      <c r="K63" s="2716">
        <f t="shared" ref="K63:K70" si="105">+K80*K$5/1000</f>
        <v>473.08283286118927</v>
      </c>
      <c r="L63" s="2716">
        <v>254.5</v>
      </c>
      <c r="M63" s="2649">
        <f t="shared" si="64"/>
        <v>1434.3208309726144</v>
      </c>
      <c r="N63" s="2649">
        <f t="shared" si="65"/>
        <v>746.5</v>
      </c>
      <c r="O63" s="2716">
        <f t="shared" ref="O63:O70" si="106">+O80*O$5/1000</f>
        <v>478.73495750708219</v>
      </c>
      <c r="P63" s="2716">
        <v>257</v>
      </c>
      <c r="Q63" s="2648">
        <f t="shared" ref="Q63:Q70" si="107">+M63+O63</f>
        <v>1913.0557884796967</v>
      </c>
      <c r="R63" s="2648">
        <f t="shared" ref="R63:R70" si="108">+N63+P63</f>
        <v>1003.5</v>
      </c>
      <c r="S63" s="2716">
        <f t="shared" ref="S63:S70" si="109">+S80*S$5/1000</f>
        <v>478.73495750708219</v>
      </c>
      <c r="T63" s="2716">
        <v>267</v>
      </c>
      <c r="U63" s="2648">
        <f t="shared" si="79"/>
        <v>2391.7907459867788</v>
      </c>
      <c r="V63" s="2648">
        <f t="shared" si="80"/>
        <v>1270.5</v>
      </c>
      <c r="W63" s="2716">
        <f t="shared" ref="W63:W70" si="110">+W80*W$5/1000</f>
        <v>251.23694050991594</v>
      </c>
      <c r="X63" s="2716">
        <v>295.5</v>
      </c>
      <c r="Y63" s="2649">
        <f t="shared" si="66"/>
        <v>1208.7068555240803</v>
      </c>
      <c r="Z63" s="2649">
        <f t="shared" si="67"/>
        <v>819.5</v>
      </c>
      <c r="AA63" s="2693">
        <f t="shared" si="93"/>
        <v>2643.0276864966945</v>
      </c>
      <c r="AB63" s="2693">
        <f t="shared" si="93"/>
        <v>1566</v>
      </c>
      <c r="AC63" s="2716">
        <f t="shared" ref="AC63:AC70" si="111">+AC80*AC$5/1000</f>
        <v>503.26168020082048</v>
      </c>
      <c r="AD63" s="2716">
        <v>456.6</v>
      </c>
      <c r="AE63" s="2648">
        <f t="shared" si="81"/>
        <v>3146.2893666975151</v>
      </c>
      <c r="AF63" s="2648">
        <f t="shared" si="82"/>
        <v>2022.6</v>
      </c>
      <c r="AG63" s="2716">
        <f t="shared" ref="AG63:AG70" si="112">+AG80*AG$5/1000</f>
        <v>487.13279052208208</v>
      </c>
      <c r="AH63" s="2716">
        <v>8</v>
      </c>
      <c r="AI63" s="2648">
        <f t="shared" si="83"/>
        <v>3633.422157219597</v>
      </c>
      <c r="AJ63" s="2648">
        <f t="shared" si="84"/>
        <v>2030.6</v>
      </c>
      <c r="AK63" s="2716">
        <f t="shared" ref="AK63:AK70" si="113">+AK80*AK$5/1000</f>
        <v>503.26168020082048</v>
      </c>
      <c r="AL63" s="2716">
        <v>371</v>
      </c>
      <c r="AM63" s="2649">
        <f t="shared" si="68"/>
        <v>1493.6561509237231</v>
      </c>
      <c r="AN63" s="2649">
        <f t="shared" si="69"/>
        <v>835.6</v>
      </c>
      <c r="AO63" s="2648">
        <f t="shared" si="85"/>
        <v>4136.6838374204171</v>
      </c>
      <c r="AP63" s="2648">
        <f t="shared" si="86"/>
        <v>2401.6</v>
      </c>
      <c r="AQ63" s="2716">
        <f t="shared" ref="AQ63:AQ70" si="114">+AQ80*AQ$5/1000</f>
        <v>503.26168020082048</v>
      </c>
      <c r="AR63" s="2716">
        <v>449</v>
      </c>
      <c r="AS63" s="2648">
        <f t="shared" si="87"/>
        <v>4639.9455176212377</v>
      </c>
      <c r="AT63" s="2648">
        <f t="shared" si="88"/>
        <v>2850.6</v>
      </c>
      <c r="AU63" s="2716">
        <f t="shared" ref="AU63:AU70" si="115">+AU80*AU$5/1000</f>
        <v>452.8588999547631</v>
      </c>
      <c r="AV63" s="2716">
        <v>294</v>
      </c>
      <c r="AW63" s="2648">
        <f t="shared" si="89"/>
        <v>5092.8044175760006</v>
      </c>
      <c r="AX63" s="2648">
        <f t="shared" si="90"/>
        <v>3144.6</v>
      </c>
      <c r="AY63" s="2716">
        <f t="shared" ref="AY63:AY70" si="116">+AY80*AY$5/1000</f>
        <v>503.26168020082048</v>
      </c>
      <c r="AZ63" s="2716">
        <v>241</v>
      </c>
      <c r="BA63" s="2649">
        <f t="shared" si="72"/>
        <v>1459.382260356404</v>
      </c>
      <c r="BB63" s="2649">
        <f t="shared" si="73"/>
        <v>984</v>
      </c>
      <c r="BC63" s="2693">
        <f t="shared" si="101"/>
        <v>2953.0384112801271</v>
      </c>
      <c r="BD63" s="2693">
        <f t="shared" si="102"/>
        <v>1819.6</v>
      </c>
      <c r="BE63" s="2648">
        <f t="shared" si="75"/>
        <v>5596.0660977768212</v>
      </c>
      <c r="BF63" s="39">
        <f t="shared" si="76"/>
        <v>3385.6</v>
      </c>
      <c r="BG63" s="2534"/>
      <c r="BH63" s="2534"/>
      <c r="BI63" s="2534"/>
      <c r="BJ63" s="3763"/>
      <c r="BK63" s="3763"/>
      <c r="BL63" s="2534"/>
      <c r="BM63" s="3763"/>
      <c r="BN63" s="3763"/>
    </row>
    <row r="64" spans="1:66" ht="15" x14ac:dyDescent="0.25">
      <c r="B64" s="741" t="s">
        <v>848</v>
      </c>
      <c r="C64" s="2942" t="s">
        <v>50</v>
      </c>
      <c r="D64" s="1126">
        <f t="shared" si="103"/>
        <v>1862.4048565201583</v>
      </c>
      <c r="E64" s="2716">
        <f t="shared" si="103"/>
        <v>156.8892028100299</v>
      </c>
      <c r="F64" s="2716">
        <v>138.047</v>
      </c>
      <c r="G64" s="2716">
        <f t="shared" ref="G64" si="117">+G81*G$5/1000</f>
        <v>164.49883186158709</v>
      </c>
      <c r="H64" s="2716">
        <v>160.51899999999998</v>
      </c>
      <c r="I64" s="2648">
        <f t="shared" si="62"/>
        <v>321.38803467161699</v>
      </c>
      <c r="J64" s="39">
        <f t="shared" si="63"/>
        <v>298.56599999999997</v>
      </c>
      <c r="K64" s="2716">
        <f t="shared" si="105"/>
        <v>159.41974789828058</v>
      </c>
      <c r="L64" s="2716">
        <v>143.19</v>
      </c>
      <c r="M64" s="2649">
        <f t="shared" si="64"/>
        <v>480.80778256989754</v>
      </c>
      <c r="N64" s="2649">
        <f t="shared" si="65"/>
        <v>441.75599999999997</v>
      </c>
      <c r="O64" s="2716">
        <f t="shared" si="106"/>
        <v>161.3244043845207</v>
      </c>
      <c r="P64" s="2716">
        <v>136.78199999999998</v>
      </c>
      <c r="Q64" s="2648">
        <f t="shared" si="107"/>
        <v>642.13218695441822</v>
      </c>
      <c r="R64" s="2648">
        <f t="shared" si="108"/>
        <v>578.53800000000001</v>
      </c>
      <c r="S64" s="2716">
        <f t="shared" si="109"/>
        <v>161.3244043845207</v>
      </c>
      <c r="T64" s="2716">
        <v>140.16299999999998</v>
      </c>
      <c r="U64" s="2648">
        <f t="shared" si="79"/>
        <v>803.45659133893889</v>
      </c>
      <c r="V64" s="2648">
        <f t="shared" si="80"/>
        <v>718.70100000000002</v>
      </c>
      <c r="W64" s="2716">
        <f t="shared" si="110"/>
        <v>84.661980813364451</v>
      </c>
      <c r="X64" s="2716">
        <v>121.396</v>
      </c>
      <c r="Y64" s="2649">
        <f t="shared" si="66"/>
        <v>407.31078958240585</v>
      </c>
      <c r="Z64" s="2649">
        <f t="shared" si="67"/>
        <v>398.34099999999995</v>
      </c>
      <c r="AA64" s="2693">
        <f t="shared" si="93"/>
        <v>888.11857215230339</v>
      </c>
      <c r="AB64" s="2693">
        <f t="shared" si="93"/>
        <v>840.09699999999998</v>
      </c>
      <c r="AC64" s="2716">
        <f t="shared" si="111"/>
        <v>166.58146520100459</v>
      </c>
      <c r="AD64" s="2716">
        <v>136.37</v>
      </c>
      <c r="AE64" s="2648">
        <f t="shared" si="81"/>
        <v>1054.7000373533081</v>
      </c>
      <c r="AF64" s="2648">
        <f t="shared" si="82"/>
        <v>976.46699999999998</v>
      </c>
      <c r="AG64" s="2716">
        <f t="shared" si="112"/>
        <v>161.24274345752218</v>
      </c>
      <c r="AH64" s="2716">
        <v>5.4</v>
      </c>
      <c r="AI64" s="2648">
        <f t="shared" si="83"/>
        <v>1215.9427808108303</v>
      </c>
      <c r="AJ64" s="2648">
        <f t="shared" si="84"/>
        <v>981.86699999999996</v>
      </c>
      <c r="AK64" s="2716">
        <f t="shared" si="113"/>
        <v>166.58146520100459</v>
      </c>
      <c r="AL64" s="2716">
        <v>132.04900000000001</v>
      </c>
      <c r="AM64" s="2649">
        <f t="shared" si="68"/>
        <v>494.40567385953136</v>
      </c>
      <c r="AN64" s="2649">
        <f t="shared" si="69"/>
        <v>273.81900000000002</v>
      </c>
      <c r="AO64" s="2648">
        <f t="shared" si="85"/>
        <v>1382.524246011835</v>
      </c>
      <c r="AP64" s="2648">
        <f t="shared" si="86"/>
        <v>1113.9159999999999</v>
      </c>
      <c r="AQ64" s="2716">
        <f t="shared" si="114"/>
        <v>166.58146520100459</v>
      </c>
      <c r="AR64" s="2716">
        <v>134.53800000000001</v>
      </c>
      <c r="AS64" s="2648">
        <f t="shared" si="87"/>
        <v>1549.1057112128397</v>
      </c>
      <c r="AT64" s="2648">
        <f t="shared" si="88"/>
        <v>1248.454</v>
      </c>
      <c r="AU64" s="2716">
        <f t="shared" si="115"/>
        <v>149.89795975262214</v>
      </c>
      <c r="AV64" s="2716">
        <v>125.142</v>
      </c>
      <c r="AW64" s="2648">
        <f t="shared" si="89"/>
        <v>1699.0036709654619</v>
      </c>
      <c r="AX64" s="2648">
        <f t="shared" si="90"/>
        <v>1373.596</v>
      </c>
      <c r="AY64" s="2716">
        <f t="shared" si="116"/>
        <v>166.58146520100459</v>
      </c>
      <c r="AZ64" s="2716">
        <v>114.828</v>
      </c>
      <c r="BA64" s="2649">
        <f t="shared" si="72"/>
        <v>483.06089015463135</v>
      </c>
      <c r="BB64" s="2649">
        <f t="shared" si="73"/>
        <v>374.50800000000004</v>
      </c>
      <c r="BC64" s="2693">
        <f t="shared" si="101"/>
        <v>977.46656401416271</v>
      </c>
      <c r="BD64" s="2693">
        <f t="shared" si="102"/>
        <v>648.327</v>
      </c>
      <c r="BE64" s="2648">
        <f t="shared" si="75"/>
        <v>1865.5851361664666</v>
      </c>
      <c r="BF64" s="39">
        <f t="shared" si="76"/>
        <v>1488.424</v>
      </c>
      <c r="BG64" s="2534"/>
      <c r="BH64" s="2534"/>
      <c r="BI64" s="2534"/>
      <c r="BJ64" s="3763"/>
      <c r="BK64" s="3763"/>
      <c r="BL64" s="2534"/>
      <c r="BM64" s="3763"/>
      <c r="BN64" s="3763"/>
    </row>
    <row r="65" spans="1:66" ht="15" x14ac:dyDescent="0.25">
      <c r="B65" s="741" t="s">
        <v>129</v>
      </c>
      <c r="C65" s="2942" t="s">
        <v>50</v>
      </c>
      <c r="D65" s="1126">
        <f t="shared" si="103"/>
        <v>66480.453257790374</v>
      </c>
      <c r="E65" s="2716">
        <f t="shared" si="103"/>
        <v>5690.6515580736477</v>
      </c>
      <c r="F65" s="2716">
        <v>5058.3090000000002</v>
      </c>
      <c r="G65" s="2716">
        <f t="shared" ref="G65" si="118">+G82*G$5/1000</f>
        <v>5871.9546742209595</v>
      </c>
      <c r="H65" s="2716">
        <v>5465.9269999999997</v>
      </c>
      <c r="I65" s="2648">
        <f t="shared" si="62"/>
        <v>11562.606232294607</v>
      </c>
      <c r="J65" s="2945">
        <f t="shared" si="63"/>
        <v>10524.236000000001</v>
      </c>
      <c r="K65" s="2716">
        <f t="shared" si="105"/>
        <v>5690.6515580736477</v>
      </c>
      <c r="L65" s="2716">
        <v>5370.6959999999999</v>
      </c>
      <c r="M65" s="2649">
        <f t="shared" si="64"/>
        <v>17253.257790368254</v>
      </c>
      <c r="N65" s="2649">
        <f t="shared" si="65"/>
        <v>15894.932000000001</v>
      </c>
      <c r="O65" s="2716">
        <f t="shared" si="106"/>
        <v>5758.640226628896</v>
      </c>
      <c r="P65" s="2716">
        <v>5399.335</v>
      </c>
      <c r="Q65" s="2648">
        <f t="shared" si="107"/>
        <v>23011.898016997151</v>
      </c>
      <c r="R65" s="2648">
        <f t="shared" si="108"/>
        <v>21294.267</v>
      </c>
      <c r="S65" s="2716">
        <f t="shared" si="109"/>
        <v>5758.640226628896</v>
      </c>
      <c r="T65" s="2716">
        <v>4868.924</v>
      </c>
      <c r="U65" s="2648">
        <f t="shared" si="79"/>
        <v>28770.538243626048</v>
      </c>
      <c r="V65" s="2648">
        <f t="shared" si="80"/>
        <v>26163.190999999999</v>
      </c>
      <c r="W65" s="2716">
        <f t="shared" si="110"/>
        <v>3022.0963172804641</v>
      </c>
      <c r="X65" s="2716">
        <v>4874.7340000000004</v>
      </c>
      <c r="Y65" s="2649">
        <f t="shared" si="66"/>
        <v>14539.376770538256</v>
      </c>
      <c r="Z65" s="2649">
        <f t="shared" si="67"/>
        <v>15142.992999999999</v>
      </c>
      <c r="AA65" s="2693">
        <f t="shared" si="93"/>
        <v>31792.63456090651</v>
      </c>
      <c r="AB65" s="2693">
        <f t="shared" si="93"/>
        <v>31037.924999999999</v>
      </c>
      <c r="AC65" s="2716">
        <f t="shared" si="111"/>
        <v>4709.8113207547203</v>
      </c>
      <c r="AD65" s="2716">
        <v>5055.3999999999996</v>
      </c>
      <c r="AE65" s="2648">
        <f t="shared" si="81"/>
        <v>36502.445881661231</v>
      </c>
      <c r="AF65" s="2648">
        <f t="shared" si="82"/>
        <v>36093.324999999997</v>
      </c>
      <c r="AG65" s="2716">
        <f t="shared" si="112"/>
        <v>4558.8679245283001</v>
      </c>
      <c r="AH65" s="2716">
        <v>178</v>
      </c>
      <c r="AI65" s="2648">
        <f t="shared" si="83"/>
        <v>41061.31380618953</v>
      </c>
      <c r="AJ65" s="2648">
        <f t="shared" si="84"/>
        <v>36271.324999999997</v>
      </c>
      <c r="AK65" s="2716">
        <f t="shared" si="113"/>
        <v>4709.8113207547203</v>
      </c>
      <c r="AL65" s="2716">
        <v>4035.5</v>
      </c>
      <c r="AM65" s="2649">
        <f t="shared" si="68"/>
        <v>13978.490566037741</v>
      </c>
      <c r="AN65" s="2649">
        <f t="shared" si="69"/>
        <v>9268.9</v>
      </c>
      <c r="AO65" s="2648">
        <f t="shared" si="85"/>
        <v>45771.125126944251</v>
      </c>
      <c r="AP65" s="2648">
        <f t="shared" si="86"/>
        <v>40306.824999999997</v>
      </c>
      <c r="AQ65" s="2716">
        <f t="shared" si="114"/>
        <v>4709.8113207547203</v>
      </c>
      <c r="AR65" s="2716">
        <v>6031.09</v>
      </c>
      <c r="AS65" s="2648">
        <f t="shared" si="87"/>
        <v>50480.936447698972</v>
      </c>
      <c r="AT65" s="2648">
        <f t="shared" si="88"/>
        <v>46337.914999999994</v>
      </c>
      <c r="AU65" s="2716">
        <f t="shared" si="115"/>
        <v>4238.1132075471596</v>
      </c>
      <c r="AV65" s="2716">
        <v>5637.9830000000002</v>
      </c>
      <c r="AW65" s="2648">
        <f t="shared" si="89"/>
        <v>54719.049655246134</v>
      </c>
      <c r="AX65" s="2648">
        <f t="shared" si="90"/>
        <v>51975.897999999994</v>
      </c>
      <c r="AY65" s="2716">
        <f t="shared" si="116"/>
        <v>4709.8113207547203</v>
      </c>
      <c r="AZ65" s="2716">
        <v>6487.634</v>
      </c>
      <c r="BA65" s="2649">
        <f t="shared" si="72"/>
        <v>13657.7358490566</v>
      </c>
      <c r="BB65" s="2649">
        <f t="shared" si="73"/>
        <v>18156.707000000002</v>
      </c>
      <c r="BC65" s="2693">
        <f t="shared" si="101"/>
        <v>27636.226415094341</v>
      </c>
      <c r="BD65" s="2693">
        <f t="shared" si="102"/>
        <v>27425.607000000004</v>
      </c>
      <c r="BE65" s="2648">
        <f t="shared" si="75"/>
        <v>59428.860976000855</v>
      </c>
      <c r="BF65" s="39">
        <f t="shared" si="76"/>
        <v>58463.531999999992</v>
      </c>
      <c r="BG65" s="2534"/>
      <c r="BH65" s="2534"/>
      <c r="BI65" s="2534"/>
      <c r="BJ65" s="3763"/>
      <c r="BK65" s="3763"/>
      <c r="BL65" s="2534"/>
      <c r="BM65" s="3763"/>
      <c r="BN65" s="3763"/>
    </row>
    <row r="66" spans="1:66" ht="15" x14ac:dyDescent="0.25">
      <c r="B66" s="741" t="s">
        <v>544</v>
      </c>
      <c r="C66" s="2942" t="s">
        <v>50</v>
      </c>
      <c r="D66" s="1126">
        <f t="shared" si="103"/>
        <v>0</v>
      </c>
      <c r="E66" s="2716">
        <f t="shared" si="103"/>
        <v>0</v>
      </c>
      <c r="F66" s="2716">
        <v>0</v>
      </c>
      <c r="G66" s="2716">
        <f t="shared" ref="G66" si="119">+G83*G$5/1000</f>
        <v>0</v>
      </c>
      <c r="H66" s="2716">
        <v>0</v>
      </c>
      <c r="I66" s="2648">
        <f t="shared" si="62"/>
        <v>0</v>
      </c>
      <c r="J66" s="39">
        <f t="shared" si="63"/>
        <v>0</v>
      </c>
      <c r="K66" s="2716">
        <f t="shared" si="105"/>
        <v>0</v>
      </c>
      <c r="L66" s="2716">
        <v>0</v>
      </c>
      <c r="M66" s="2649">
        <f t="shared" si="64"/>
        <v>0</v>
      </c>
      <c r="N66" s="2649">
        <f t="shared" si="65"/>
        <v>0</v>
      </c>
      <c r="O66" s="2716">
        <f t="shared" si="106"/>
        <v>0</v>
      </c>
      <c r="P66" s="2716">
        <v>0</v>
      </c>
      <c r="Q66" s="2648">
        <f t="shared" si="107"/>
        <v>0</v>
      </c>
      <c r="R66" s="2648">
        <f t="shared" si="108"/>
        <v>0</v>
      </c>
      <c r="S66" s="2716">
        <f t="shared" si="109"/>
        <v>0</v>
      </c>
      <c r="T66" s="2716">
        <v>0</v>
      </c>
      <c r="U66" s="2648">
        <f t="shared" si="79"/>
        <v>0</v>
      </c>
      <c r="V66" s="2648">
        <f t="shared" si="80"/>
        <v>0</v>
      </c>
      <c r="W66" s="2716">
        <f t="shared" si="110"/>
        <v>0</v>
      </c>
      <c r="X66" s="2716">
        <v>0</v>
      </c>
      <c r="Y66" s="2649">
        <f t="shared" si="66"/>
        <v>0</v>
      </c>
      <c r="Z66" s="2649">
        <f t="shared" si="67"/>
        <v>0</v>
      </c>
      <c r="AA66" s="2693">
        <f t="shared" si="93"/>
        <v>0</v>
      </c>
      <c r="AB66" s="2693">
        <f t="shared" si="93"/>
        <v>0</v>
      </c>
      <c r="AC66" s="2716">
        <f t="shared" si="111"/>
        <v>0</v>
      </c>
      <c r="AD66" s="2716">
        <v>0</v>
      </c>
      <c r="AE66" s="2648">
        <f t="shared" si="81"/>
        <v>0</v>
      </c>
      <c r="AF66" s="2648">
        <f t="shared" si="82"/>
        <v>0</v>
      </c>
      <c r="AG66" s="2716">
        <f t="shared" si="112"/>
        <v>0</v>
      </c>
      <c r="AH66" s="2716">
        <v>0</v>
      </c>
      <c r="AI66" s="2648">
        <f t="shared" si="83"/>
        <v>0</v>
      </c>
      <c r="AJ66" s="2648">
        <f t="shared" si="84"/>
        <v>0</v>
      </c>
      <c r="AK66" s="2716">
        <f t="shared" si="113"/>
        <v>0</v>
      </c>
      <c r="AL66" s="2716">
        <v>0</v>
      </c>
      <c r="AM66" s="2649">
        <f t="shared" si="68"/>
        <v>0</v>
      </c>
      <c r="AN66" s="2649">
        <f t="shared" si="69"/>
        <v>0</v>
      </c>
      <c r="AO66" s="2648">
        <f t="shared" si="85"/>
        <v>0</v>
      </c>
      <c r="AP66" s="2648">
        <f t="shared" si="86"/>
        <v>0</v>
      </c>
      <c r="AQ66" s="2716">
        <f t="shared" si="114"/>
        <v>0</v>
      </c>
      <c r="AR66" s="2716">
        <v>0</v>
      </c>
      <c r="AS66" s="2648">
        <f t="shared" si="87"/>
        <v>0</v>
      </c>
      <c r="AT66" s="2648">
        <f t="shared" si="88"/>
        <v>0</v>
      </c>
      <c r="AU66" s="2716">
        <f t="shared" si="115"/>
        <v>0</v>
      </c>
      <c r="AV66" s="2716">
        <v>0</v>
      </c>
      <c r="AW66" s="2648">
        <f t="shared" si="89"/>
        <v>0</v>
      </c>
      <c r="AX66" s="2648">
        <f t="shared" si="90"/>
        <v>0</v>
      </c>
      <c r="AY66" s="2716">
        <f t="shared" si="116"/>
        <v>0</v>
      </c>
      <c r="AZ66" s="2716">
        <v>0</v>
      </c>
      <c r="BA66" s="2649">
        <f t="shared" si="72"/>
        <v>0</v>
      </c>
      <c r="BB66" s="2649">
        <f t="shared" si="73"/>
        <v>0</v>
      </c>
      <c r="BC66" s="2693">
        <f t="shared" si="101"/>
        <v>0</v>
      </c>
      <c r="BD66" s="2693">
        <f t="shared" si="102"/>
        <v>0</v>
      </c>
      <c r="BE66" s="2648">
        <f t="shared" si="75"/>
        <v>0</v>
      </c>
      <c r="BF66" s="39">
        <f t="shared" si="76"/>
        <v>0</v>
      </c>
      <c r="BG66" s="2534"/>
      <c r="BH66" s="2534"/>
      <c r="BI66" s="2534"/>
      <c r="BJ66" s="3763"/>
      <c r="BK66" s="3763"/>
      <c r="BL66" s="2534"/>
      <c r="BM66" s="3763"/>
      <c r="BN66" s="3763"/>
    </row>
    <row r="67" spans="1:66" ht="15" x14ac:dyDescent="0.25">
      <c r="B67" s="741" t="s">
        <v>130</v>
      </c>
      <c r="C67" s="2942" t="s">
        <v>50</v>
      </c>
      <c r="D67" s="1126">
        <f t="shared" si="103"/>
        <v>16620.113314447593</v>
      </c>
      <c r="E67" s="2716">
        <f t="shared" si="103"/>
        <v>1422.6628895184119</v>
      </c>
      <c r="F67" s="2716">
        <v>0</v>
      </c>
      <c r="G67" s="2716">
        <f t="shared" ref="G67" si="120">+G84*G$5/1000</f>
        <v>1467.9886685552399</v>
      </c>
      <c r="H67" s="2716">
        <v>0</v>
      </c>
      <c r="I67" s="2648">
        <f t="shared" si="62"/>
        <v>2890.6515580736518</v>
      </c>
      <c r="J67" s="39">
        <f t="shared" si="63"/>
        <v>0</v>
      </c>
      <c r="K67" s="2716">
        <f t="shared" si="105"/>
        <v>1422.6628895184119</v>
      </c>
      <c r="L67" s="2716">
        <v>0</v>
      </c>
      <c r="M67" s="2649">
        <f t="shared" si="64"/>
        <v>4313.3144475920635</v>
      </c>
      <c r="N67" s="2649">
        <f t="shared" si="65"/>
        <v>0</v>
      </c>
      <c r="O67" s="2716">
        <f t="shared" si="106"/>
        <v>1439.660056657224</v>
      </c>
      <c r="P67" s="2716">
        <v>0</v>
      </c>
      <c r="Q67" s="2648">
        <f t="shared" si="107"/>
        <v>5752.9745042492877</v>
      </c>
      <c r="R67" s="2648">
        <f t="shared" si="108"/>
        <v>0</v>
      </c>
      <c r="S67" s="2716">
        <f t="shared" si="109"/>
        <v>1439.660056657224</v>
      </c>
      <c r="T67" s="2716">
        <v>0</v>
      </c>
      <c r="U67" s="2648">
        <f t="shared" si="79"/>
        <v>7192.634560906512</v>
      </c>
      <c r="V67" s="2648">
        <f t="shared" si="80"/>
        <v>0</v>
      </c>
      <c r="W67" s="2716">
        <f t="shared" si="110"/>
        <v>755.52407932011602</v>
      </c>
      <c r="X67" s="2716">
        <v>0</v>
      </c>
      <c r="Y67" s="2649">
        <f t="shared" si="66"/>
        <v>3634.844192634564</v>
      </c>
      <c r="Z67" s="2649">
        <f t="shared" si="67"/>
        <v>0</v>
      </c>
      <c r="AA67" s="2693">
        <f t="shared" si="93"/>
        <v>7948.1586402266275</v>
      </c>
      <c r="AB67" s="2693">
        <f t="shared" si="93"/>
        <v>0</v>
      </c>
      <c r="AC67" s="2716">
        <f t="shared" si="111"/>
        <v>2354.9056603773602</v>
      </c>
      <c r="AD67" s="2716">
        <v>0</v>
      </c>
      <c r="AE67" s="2648">
        <f t="shared" si="81"/>
        <v>10303.064300603988</v>
      </c>
      <c r="AF67" s="2648">
        <f t="shared" si="82"/>
        <v>0</v>
      </c>
      <c r="AG67" s="2716">
        <f t="shared" si="112"/>
        <v>2279.4339622641501</v>
      </c>
      <c r="AH67" s="2716">
        <v>0</v>
      </c>
      <c r="AI67" s="2648">
        <f t="shared" si="83"/>
        <v>12582.498262868139</v>
      </c>
      <c r="AJ67" s="2648">
        <f t="shared" si="84"/>
        <v>0</v>
      </c>
      <c r="AK67" s="2716">
        <f t="shared" si="113"/>
        <v>2354.9056603773602</v>
      </c>
      <c r="AL67" s="2716">
        <v>1532</v>
      </c>
      <c r="AM67" s="2649">
        <f t="shared" si="68"/>
        <v>6989.2452830188704</v>
      </c>
      <c r="AN67" s="2649">
        <f t="shared" si="69"/>
        <v>1532</v>
      </c>
      <c r="AO67" s="2648">
        <f t="shared" si="85"/>
        <v>14937.4039232455</v>
      </c>
      <c r="AP67" s="2648">
        <f t="shared" si="86"/>
        <v>1532</v>
      </c>
      <c r="AQ67" s="2716">
        <f t="shared" si="114"/>
        <v>2354.9056603773602</v>
      </c>
      <c r="AR67" s="2716">
        <v>0</v>
      </c>
      <c r="AS67" s="2648">
        <f t="shared" si="87"/>
        <v>17292.30958362286</v>
      </c>
      <c r="AT67" s="2648">
        <f t="shared" si="88"/>
        <v>1532</v>
      </c>
      <c r="AU67" s="2716">
        <f t="shared" si="115"/>
        <v>2119.0566037735798</v>
      </c>
      <c r="AV67" s="2716">
        <v>0</v>
      </c>
      <c r="AW67" s="2648">
        <f t="shared" si="89"/>
        <v>19411.366187396441</v>
      </c>
      <c r="AX67" s="2648">
        <f t="shared" si="90"/>
        <v>1532</v>
      </c>
      <c r="AY67" s="2716">
        <f t="shared" si="116"/>
        <v>2354.9056603773602</v>
      </c>
      <c r="AZ67" s="2716">
        <v>0</v>
      </c>
      <c r="BA67" s="2649">
        <f t="shared" si="72"/>
        <v>6828.8679245283001</v>
      </c>
      <c r="BB67" s="2649">
        <f t="shared" si="73"/>
        <v>0</v>
      </c>
      <c r="BC67" s="2693">
        <f t="shared" si="101"/>
        <v>13818.113207547171</v>
      </c>
      <c r="BD67" s="2693">
        <f t="shared" si="102"/>
        <v>1532</v>
      </c>
      <c r="BE67" s="2648">
        <f t="shared" si="75"/>
        <v>21766.271847773802</v>
      </c>
      <c r="BF67" s="39">
        <f t="shared" si="76"/>
        <v>1532</v>
      </c>
      <c r="BG67" s="2534"/>
      <c r="BH67" s="2534"/>
      <c r="BI67" s="2534"/>
      <c r="BJ67" s="3763"/>
      <c r="BK67" s="3763"/>
      <c r="BL67" s="2534"/>
      <c r="BM67" s="3763"/>
      <c r="BN67" s="3763"/>
    </row>
    <row r="68" spans="1:66" ht="15" x14ac:dyDescent="0.25">
      <c r="B68" s="741" t="s">
        <v>1201</v>
      </c>
      <c r="C68" s="2942" t="s">
        <v>50</v>
      </c>
      <c r="D68" s="1126">
        <f t="shared" si="103"/>
        <v>0</v>
      </c>
      <c r="E68" s="2716">
        <f t="shared" si="103"/>
        <v>0</v>
      </c>
      <c r="F68" s="2716">
        <v>0</v>
      </c>
      <c r="G68" s="2716">
        <f t="shared" ref="G68" si="121">+G85*G$5/1000</f>
        <v>0</v>
      </c>
      <c r="H68" s="2716">
        <v>0</v>
      </c>
      <c r="I68" s="2648">
        <f t="shared" si="62"/>
        <v>0</v>
      </c>
      <c r="J68" s="39">
        <f t="shared" si="63"/>
        <v>0</v>
      </c>
      <c r="K68" s="2716">
        <f t="shared" si="105"/>
        <v>0</v>
      </c>
      <c r="L68" s="2716">
        <v>0</v>
      </c>
      <c r="M68" s="2649">
        <f t="shared" si="64"/>
        <v>0</v>
      </c>
      <c r="N68" s="2649">
        <f t="shared" si="65"/>
        <v>0</v>
      </c>
      <c r="O68" s="2716">
        <f t="shared" si="106"/>
        <v>0</v>
      </c>
      <c r="P68" s="2716">
        <v>0</v>
      </c>
      <c r="Q68" s="2648">
        <f t="shared" si="107"/>
        <v>0</v>
      </c>
      <c r="R68" s="2648">
        <f t="shared" si="108"/>
        <v>0</v>
      </c>
      <c r="S68" s="2716">
        <f t="shared" si="109"/>
        <v>0</v>
      </c>
      <c r="T68" s="2716">
        <v>0</v>
      </c>
      <c r="U68" s="2648">
        <f t="shared" si="79"/>
        <v>0</v>
      </c>
      <c r="V68" s="2648">
        <f t="shared" si="80"/>
        <v>0</v>
      </c>
      <c r="W68" s="2716">
        <f t="shared" si="110"/>
        <v>0</v>
      </c>
      <c r="X68" s="2716">
        <v>0</v>
      </c>
      <c r="Y68" s="2649">
        <f t="shared" si="66"/>
        <v>0</v>
      </c>
      <c r="Z68" s="2649">
        <f t="shared" si="67"/>
        <v>0</v>
      </c>
      <c r="AA68" s="2693">
        <f t="shared" si="93"/>
        <v>0</v>
      </c>
      <c r="AB68" s="2693">
        <f t="shared" si="93"/>
        <v>0</v>
      </c>
      <c r="AC68" s="2716">
        <f t="shared" si="111"/>
        <v>0</v>
      </c>
      <c r="AD68" s="2716">
        <v>400</v>
      </c>
      <c r="AE68" s="2648">
        <f t="shared" si="81"/>
        <v>0</v>
      </c>
      <c r="AF68" s="2648">
        <f t="shared" si="82"/>
        <v>400</v>
      </c>
      <c r="AG68" s="2716">
        <f t="shared" si="112"/>
        <v>0</v>
      </c>
      <c r="AH68" s="2716">
        <v>0</v>
      </c>
      <c r="AI68" s="2648">
        <f t="shared" si="83"/>
        <v>0</v>
      </c>
      <c r="AJ68" s="2648">
        <f t="shared" si="84"/>
        <v>400</v>
      </c>
      <c r="AK68" s="2716">
        <f t="shared" si="113"/>
        <v>0</v>
      </c>
      <c r="AL68" s="2716">
        <v>0</v>
      </c>
      <c r="AM68" s="2649">
        <f t="shared" si="68"/>
        <v>0</v>
      </c>
      <c r="AN68" s="2649">
        <f t="shared" si="69"/>
        <v>400</v>
      </c>
      <c r="AO68" s="2648">
        <f t="shared" si="85"/>
        <v>0</v>
      </c>
      <c r="AP68" s="2648">
        <f t="shared" si="86"/>
        <v>400</v>
      </c>
      <c r="AQ68" s="2716">
        <f t="shared" si="114"/>
        <v>0</v>
      </c>
      <c r="AR68" s="2716">
        <v>0</v>
      </c>
      <c r="AS68" s="2648">
        <f t="shared" si="87"/>
        <v>0</v>
      </c>
      <c r="AT68" s="2648">
        <f t="shared" si="88"/>
        <v>400</v>
      </c>
      <c r="AU68" s="2716">
        <f t="shared" si="115"/>
        <v>0</v>
      </c>
      <c r="AV68" s="2716">
        <v>0</v>
      </c>
      <c r="AW68" s="2648">
        <f t="shared" si="89"/>
        <v>0</v>
      </c>
      <c r="AX68" s="2648">
        <f t="shared" si="90"/>
        <v>400</v>
      </c>
      <c r="AY68" s="2716">
        <f t="shared" si="116"/>
        <v>0</v>
      </c>
      <c r="AZ68" s="2716">
        <v>0</v>
      </c>
      <c r="BA68" s="2649">
        <f t="shared" si="72"/>
        <v>0</v>
      </c>
      <c r="BB68" s="2649">
        <f t="shared" si="73"/>
        <v>0</v>
      </c>
      <c r="BC68" s="2693">
        <f t="shared" si="101"/>
        <v>0</v>
      </c>
      <c r="BD68" s="2693">
        <f t="shared" si="102"/>
        <v>400</v>
      </c>
      <c r="BE68" s="2648">
        <f t="shared" si="75"/>
        <v>0</v>
      </c>
      <c r="BF68" s="39">
        <f t="shared" si="76"/>
        <v>400</v>
      </c>
      <c r="BG68" s="2534"/>
      <c r="BH68" s="2534"/>
      <c r="BI68" s="2534"/>
      <c r="BJ68" s="3763"/>
      <c r="BK68" s="3763"/>
      <c r="BL68" s="2534"/>
      <c r="BM68" s="3763"/>
      <c r="BN68" s="3763"/>
    </row>
    <row r="69" spans="1:66" ht="15" x14ac:dyDescent="0.25">
      <c r="B69" s="741" t="s">
        <v>131</v>
      </c>
      <c r="C69" s="2942" t="s">
        <v>50</v>
      </c>
      <c r="D69" s="1126">
        <f t="shared" si="103"/>
        <v>41550.283286118967</v>
      </c>
      <c r="E69" s="2716">
        <f t="shared" si="103"/>
        <v>3556.6572237960286</v>
      </c>
      <c r="F69" s="2716">
        <v>4545.46</v>
      </c>
      <c r="G69" s="2716">
        <f t="shared" ref="G69" si="122">+G86*G$5/1000</f>
        <v>3669.9716713880985</v>
      </c>
      <c r="H69" s="2716">
        <v>4272.8</v>
      </c>
      <c r="I69" s="2648">
        <f t="shared" si="62"/>
        <v>7226.628895184127</v>
      </c>
      <c r="J69" s="39">
        <f t="shared" si="63"/>
        <v>8818.26</v>
      </c>
      <c r="K69" s="2716">
        <f t="shared" si="105"/>
        <v>3556.6572237960299</v>
      </c>
      <c r="L69" s="2716">
        <v>4275.8</v>
      </c>
      <c r="M69" s="2649">
        <f t="shared" si="64"/>
        <v>10783.286118980157</v>
      </c>
      <c r="N69" s="2649">
        <f t="shared" si="65"/>
        <v>13094.060000000001</v>
      </c>
      <c r="O69" s="2716">
        <f t="shared" si="106"/>
        <v>3599.1501416430601</v>
      </c>
      <c r="P69" s="2716">
        <v>3451.2</v>
      </c>
      <c r="Q69" s="2648">
        <f t="shared" si="107"/>
        <v>14382.436260623217</v>
      </c>
      <c r="R69" s="2648">
        <f t="shared" si="108"/>
        <v>16545.260000000002</v>
      </c>
      <c r="S69" s="2716">
        <f t="shared" si="109"/>
        <v>3599.1501416430601</v>
      </c>
      <c r="T69" s="2716">
        <v>1721.75</v>
      </c>
      <c r="U69" s="2648">
        <f t="shared" si="79"/>
        <v>17981.586402266279</v>
      </c>
      <c r="V69" s="2648">
        <f t="shared" si="80"/>
        <v>18267.010000000002</v>
      </c>
      <c r="W69" s="2716">
        <f t="shared" si="110"/>
        <v>1888.8101983002903</v>
      </c>
      <c r="X69" s="2716">
        <v>879.2</v>
      </c>
      <c r="Y69" s="2649">
        <f t="shared" si="66"/>
        <v>9087.110481586411</v>
      </c>
      <c r="Z69" s="2649">
        <f t="shared" si="67"/>
        <v>6052.15</v>
      </c>
      <c r="AA69" s="2693">
        <f t="shared" si="93"/>
        <v>19870.396600566568</v>
      </c>
      <c r="AB69" s="2693">
        <f t="shared" si="93"/>
        <v>19146.21</v>
      </c>
      <c r="AC69" s="2716">
        <f t="shared" si="111"/>
        <v>3532.35849056604</v>
      </c>
      <c r="AD69" s="2716">
        <v>3044</v>
      </c>
      <c r="AE69" s="2648">
        <f t="shared" si="81"/>
        <v>23402.755091132607</v>
      </c>
      <c r="AF69" s="2648">
        <f t="shared" si="82"/>
        <v>22190.21</v>
      </c>
      <c r="AG69" s="2716">
        <f t="shared" si="112"/>
        <v>3419.1509433962251</v>
      </c>
      <c r="AH69" s="2716">
        <v>98.9</v>
      </c>
      <c r="AI69" s="2648">
        <f t="shared" si="83"/>
        <v>26821.906034528831</v>
      </c>
      <c r="AJ69" s="2648">
        <f t="shared" si="84"/>
        <v>22289.11</v>
      </c>
      <c r="AK69" s="2716">
        <f t="shared" si="113"/>
        <v>3532.35849056604</v>
      </c>
      <c r="AL69" s="2716">
        <v>4152.55</v>
      </c>
      <c r="AM69" s="2649">
        <f t="shared" si="68"/>
        <v>10483.867924528306</v>
      </c>
      <c r="AN69" s="2649">
        <f t="shared" si="69"/>
        <v>7295.45</v>
      </c>
      <c r="AO69" s="2648">
        <f t="shared" si="85"/>
        <v>30354.26452509487</v>
      </c>
      <c r="AP69" s="2648">
        <f t="shared" si="86"/>
        <v>26441.66</v>
      </c>
      <c r="AQ69" s="2716">
        <f t="shared" si="114"/>
        <v>3532.35849056604</v>
      </c>
      <c r="AR69" s="2716">
        <v>4314.7</v>
      </c>
      <c r="AS69" s="2648">
        <f t="shared" si="87"/>
        <v>33886.623015660909</v>
      </c>
      <c r="AT69" s="2648">
        <f t="shared" si="88"/>
        <v>30756.36</v>
      </c>
      <c r="AU69" s="2716">
        <f t="shared" si="115"/>
        <v>3178.5849056603697</v>
      </c>
      <c r="AV69" s="2716">
        <v>2599.9</v>
      </c>
      <c r="AW69" s="2648">
        <f t="shared" si="89"/>
        <v>37065.207921321278</v>
      </c>
      <c r="AX69" s="2648">
        <f t="shared" si="90"/>
        <v>33356.26</v>
      </c>
      <c r="AY69" s="2716">
        <f t="shared" si="116"/>
        <v>3532.35849056604</v>
      </c>
      <c r="AZ69" s="2716">
        <v>5923.9</v>
      </c>
      <c r="BA69" s="2649">
        <f t="shared" si="72"/>
        <v>10243.301886792451</v>
      </c>
      <c r="BB69" s="2649">
        <f t="shared" si="73"/>
        <v>12838.5</v>
      </c>
      <c r="BC69" s="2693">
        <f t="shared" si="101"/>
        <v>20727.169811320757</v>
      </c>
      <c r="BD69" s="2693">
        <f t="shared" si="102"/>
        <v>20133.95</v>
      </c>
      <c r="BE69" s="2648">
        <f t="shared" si="75"/>
        <v>40597.566411887317</v>
      </c>
      <c r="BF69" s="39">
        <f t="shared" si="76"/>
        <v>39280.160000000003</v>
      </c>
      <c r="BG69" s="2534"/>
      <c r="BH69" s="2534"/>
      <c r="BI69" s="2534"/>
      <c r="BJ69" s="3763"/>
      <c r="BK69" s="3763"/>
      <c r="BL69" s="2534"/>
      <c r="BM69" s="3763"/>
      <c r="BN69" s="3763"/>
    </row>
    <row r="70" spans="1:66" ht="15" x14ac:dyDescent="0.25">
      <c r="B70" s="741" t="s">
        <v>1873</v>
      </c>
      <c r="C70" s="2942" t="s">
        <v>50</v>
      </c>
      <c r="D70" s="1126">
        <f t="shared" si="103"/>
        <v>185591.26534466477</v>
      </c>
      <c r="E70" s="2716">
        <f t="shared" si="103"/>
        <v>15886.402266288935</v>
      </c>
      <c r="F70" s="2716">
        <v>13904.931</v>
      </c>
      <c r="G70" s="2716">
        <f t="shared" ref="G70" si="123">+G87*G$5/1000</f>
        <v>16392.540132200178</v>
      </c>
      <c r="H70" s="2716">
        <v>15703.071</v>
      </c>
      <c r="I70" s="2648">
        <f t="shared" si="62"/>
        <v>32278.942398489111</v>
      </c>
      <c r="J70" s="39">
        <f t="shared" si="63"/>
        <v>29608.002</v>
      </c>
      <c r="K70" s="2716">
        <f t="shared" si="105"/>
        <v>15886.402266288935</v>
      </c>
      <c r="L70" s="2716">
        <v>15937.584999999999</v>
      </c>
      <c r="M70" s="2649">
        <f t="shared" si="64"/>
        <v>48165.344664778044</v>
      </c>
      <c r="N70" s="2649">
        <f t="shared" si="65"/>
        <v>45545.587</v>
      </c>
      <c r="O70" s="2716">
        <f t="shared" si="106"/>
        <v>16076.203966005669</v>
      </c>
      <c r="P70" s="2716">
        <v>17069.062000000002</v>
      </c>
      <c r="Q70" s="2648">
        <f t="shared" si="107"/>
        <v>64241.548630783713</v>
      </c>
      <c r="R70" s="2648">
        <f t="shared" si="108"/>
        <v>62614.649000000005</v>
      </c>
      <c r="S70" s="2716">
        <f t="shared" si="109"/>
        <v>16076.203966005669</v>
      </c>
      <c r="T70" s="2716">
        <v>15781.566000000001</v>
      </c>
      <c r="U70" s="2648">
        <f t="shared" si="79"/>
        <v>80317.752596789389</v>
      </c>
      <c r="V70" s="2648">
        <f t="shared" si="80"/>
        <v>78396.215000000011</v>
      </c>
      <c r="W70" s="2716">
        <f t="shared" si="110"/>
        <v>8436.6855524079638</v>
      </c>
      <c r="X70" s="2716">
        <v>15556.172</v>
      </c>
      <c r="Y70" s="2649">
        <f t="shared" si="66"/>
        <v>40589.093484419303</v>
      </c>
      <c r="Z70" s="2649">
        <f t="shared" si="67"/>
        <v>48406.8</v>
      </c>
      <c r="AA70" s="2693">
        <f t="shared" si="93"/>
        <v>88754.438149197347</v>
      </c>
      <c r="AB70" s="2693">
        <f t="shared" si="93"/>
        <v>93952.387000000002</v>
      </c>
      <c r="AC70" s="2716">
        <f t="shared" si="111"/>
        <v>16484.339622641517</v>
      </c>
      <c r="AD70" s="2716">
        <v>15137.236999999999</v>
      </c>
      <c r="AE70" s="2648">
        <f t="shared" si="81"/>
        <v>105238.77777183887</v>
      </c>
      <c r="AF70" s="2648">
        <f t="shared" si="82"/>
        <v>109089.624</v>
      </c>
      <c r="AG70" s="2716">
        <f t="shared" si="112"/>
        <v>15956.037735849051</v>
      </c>
      <c r="AH70" s="2716">
        <v>632.63900000000001</v>
      </c>
      <c r="AI70" s="2648">
        <f t="shared" si="83"/>
        <v>121194.81550768792</v>
      </c>
      <c r="AJ70" s="2648">
        <f t="shared" si="84"/>
        <v>109722.26299999999</v>
      </c>
      <c r="AK70" s="2716">
        <f t="shared" si="113"/>
        <v>16484.339622641517</v>
      </c>
      <c r="AL70" s="2716">
        <v>15548.223</v>
      </c>
      <c r="AM70" s="2649">
        <f t="shared" si="68"/>
        <v>48924.716981132085</v>
      </c>
      <c r="AN70" s="2649">
        <f t="shared" si="69"/>
        <v>31318.098999999998</v>
      </c>
      <c r="AO70" s="2648">
        <f t="shared" si="85"/>
        <v>137679.15513032943</v>
      </c>
      <c r="AP70" s="2648">
        <f t="shared" si="86"/>
        <v>125270.48599999999</v>
      </c>
      <c r="AQ70" s="2716">
        <f t="shared" si="114"/>
        <v>16484.339622641517</v>
      </c>
      <c r="AR70" s="2716">
        <v>16241.035</v>
      </c>
      <c r="AS70" s="2648">
        <f t="shared" si="87"/>
        <v>154163.49475297093</v>
      </c>
      <c r="AT70" s="2648">
        <f t="shared" si="88"/>
        <v>141511.52099999998</v>
      </c>
      <c r="AU70" s="2716">
        <f t="shared" si="115"/>
        <v>14833.39622641506</v>
      </c>
      <c r="AV70" s="2716">
        <v>15058.151</v>
      </c>
      <c r="AW70" s="2648">
        <f t="shared" si="89"/>
        <v>168996.89097938599</v>
      </c>
      <c r="AX70" s="2648">
        <f t="shared" si="90"/>
        <v>156569.67199999999</v>
      </c>
      <c r="AY70" s="2716">
        <f t="shared" si="116"/>
        <v>16484.339622641517</v>
      </c>
      <c r="AZ70" s="2716">
        <v>16163.255999999999</v>
      </c>
      <c r="BA70" s="2649">
        <f t="shared" si="72"/>
        <v>47802.075471698088</v>
      </c>
      <c r="BB70" s="2649">
        <f t="shared" si="73"/>
        <v>47462.441999999995</v>
      </c>
      <c r="BC70" s="2693">
        <f t="shared" si="101"/>
        <v>96726.792452830181</v>
      </c>
      <c r="BD70" s="2693">
        <f t="shared" si="102"/>
        <v>78780.540999999997</v>
      </c>
      <c r="BE70" s="2648">
        <f t="shared" si="75"/>
        <v>185481.2306020275</v>
      </c>
      <c r="BF70" s="39">
        <f t="shared" si="76"/>
        <v>172732.92799999999</v>
      </c>
      <c r="BG70" s="2534"/>
      <c r="BH70" s="2534"/>
      <c r="BI70" s="2534"/>
      <c r="BJ70" s="3763"/>
      <c r="BK70" s="3763"/>
      <c r="BL70" s="2534"/>
      <c r="BM70" s="3763"/>
      <c r="BN70" s="3763"/>
    </row>
    <row r="71" spans="1:66" ht="15" x14ac:dyDescent="0.25">
      <c r="A71" s="1274"/>
      <c r="B71" s="1000" t="s">
        <v>287</v>
      </c>
      <c r="C71" s="414"/>
      <c r="D71" s="3461"/>
      <c r="E71" s="3462"/>
      <c r="F71" s="3462"/>
      <c r="G71" s="3462"/>
      <c r="H71" s="3462"/>
      <c r="I71" s="3462"/>
      <c r="J71" s="3463"/>
      <c r="K71" s="3462"/>
      <c r="L71" s="3462"/>
      <c r="M71" s="3462"/>
      <c r="N71" s="3462"/>
      <c r="O71" s="3462"/>
      <c r="P71" s="3462"/>
      <c r="Q71" s="3462"/>
      <c r="R71" s="3462"/>
      <c r="S71" s="3462"/>
      <c r="T71" s="3462"/>
      <c r="U71" s="3462"/>
      <c r="V71" s="3462"/>
      <c r="W71" s="3462"/>
      <c r="X71" s="3462"/>
      <c r="Y71" s="3462"/>
      <c r="Z71" s="3462"/>
      <c r="AA71" s="3462"/>
      <c r="AB71" s="3462"/>
      <c r="AC71" s="3462"/>
      <c r="AD71" s="3462"/>
      <c r="AE71" s="3462"/>
      <c r="AF71" s="3462"/>
      <c r="AG71" s="3462"/>
      <c r="AH71" s="3462"/>
      <c r="AI71" s="3462"/>
      <c r="AJ71" s="3462"/>
      <c r="AK71" s="3462"/>
      <c r="AL71" s="3462"/>
      <c r="AM71" s="3462"/>
      <c r="AN71" s="3462"/>
      <c r="AO71" s="3462"/>
      <c r="AP71" s="3462"/>
      <c r="AQ71" s="3462"/>
      <c r="AR71" s="3462"/>
      <c r="AS71" s="3462"/>
      <c r="AT71" s="3462"/>
      <c r="AU71" s="3462"/>
      <c r="AV71" s="3462"/>
      <c r="AW71" s="3462"/>
      <c r="AX71" s="3462"/>
      <c r="AY71" s="3462"/>
      <c r="AZ71" s="3462"/>
      <c r="BA71" s="3462"/>
      <c r="BB71" s="3462"/>
      <c r="BC71" s="3462"/>
      <c r="BD71" s="3462"/>
      <c r="BE71" s="3462"/>
      <c r="BF71" s="3463"/>
      <c r="BG71" s="2534"/>
      <c r="BH71" s="2534"/>
      <c r="BI71" s="2534"/>
      <c r="BJ71" s="3763"/>
      <c r="BK71" s="3763"/>
      <c r="BL71" s="2534"/>
      <c r="BM71" s="3763"/>
      <c r="BN71" s="3763"/>
    </row>
    <row r="72" spans="1:66" ht="15" x14ac:dyDescent="0.25">
      <c r="B72" s="741" t="s">
        <v>83</v>
      </c>
      <c r="C72" s="2942" t="s">
        <v>271</v>
      </c>
      <c r="D72" s="1353">
        <v>1.6372322252457012</v>
      </c>
      <c r="E72" s="2934">
        <v>1.6637829819614995</v>
      </c>
      <c r="F72" s="2934">
        <f>+F55/F$49*1000</f>
        <v>1.7631183370731567</v>
      </c>
      <c r="G72" s="2934">
        <v>1.6372322252457012</v>
      </c>
      <c r="H72" s="2934">
        <f>+H55/H$49*1000</f>
        <v>1.2550810710532241</v>
      </c>
      <c r="I72" s="3202">
        <f t="shared" ref="I72:J72" si="124">+I55/I$5*1000</f>
        <v>1.6502994440056717</v>
      </c>
      <c r="J72" s="2945">
        <f t="shared" si="124"/>
        <v>1.4921403423357631</v>
      </c>
      <c r="K72" s="2934">
        <v>1.6372322252457012</v>
      </c>
      <c r="L72" s="2934">
        <f>+L55/L$49*1000</f>
        <v>1.6635634020980614</v>
      </c>
      <c r="M72" s="3477">
        <f>+M55/M$5*1000</f>
        <v>1.6459894760158797</v>
      </c>
      <c r="N72" s="3477">
        <f>+N55/N$5*1000</f>
        <v>1.5528786469726144</v>
      </c>
      <c r="O72" s="2934">
        <v>1.6372322252457012</v>
      </c>
      <c r="P72" s="2934">
        <f>+P55/P$49*1000</f>
        <v>1.5098844804335725</v>
      </c>
      <c r="Q72" s="3012">
        <f t="shared" ref="Q72:R72" si="125">+Q55/Q$5*1000</f>
        <v>1.6437980072147154</v>
      </c>
      <c r="R72" s="3012">
        <f t="shared" si="125"/>
        <v>1.5412857299263478</v>
      </c>
      <c r="S72" s="2934">
        <v>1.6372322252457012</v>
      </c>
      <c r="T72" s="2934">
        <f>+T55/T$49*1000</f>
        <v>1.2625104793630249</v>
      </c>
      <c r="U72" s="3202">
        <f t="shared" ref="U72:V72" si="126">+U55/U$5*1000</f>
        <v>1.6424838164322602</v>
      </c>
      <c r="V72" s="3202">
        <f t="shared" si="126"/>
        <v>1.4850707954463485</v>
      </c>
      <c r="W72" s="2934">
        <v>1.6372322252457012</v>
      </c>
      <c r="X72" s="2934">
        <f>+X55/X$49*1000</f>
        <v>1.2916217390959353</v>
      </c>
      <c r="Y72" s="3459">
        <f>+Y55/Y$5*1000</f>
        <v>1.6372322252457012</v>
      </c>
      <c r="Z72" s="3459">
        <f>+Z55/Z$5*1000</f>
        <v>1.3590835098331639</v>
      </c>
      <c r="AA72" s="3460">
        <f>+AA55/AA$47*1000</f>
        <v>1.6419846185959055</v>
      </c>
      <c r="AB72" s="3460">
        <f>+AB55/AB$49*1000</f>
        <v>1.4538429934250072</v>
      </c>
      <c r="AC72" s="2934">
        <v>1.65</v>
      </c>
      <c r="AD72" s="2934">
        <f>+AD55/AD$49*1000</f>
        <v>1.309996724558018</v>
      </c>
      <c r="AE72" s="3202">
        <f t="shared" ref="AE72:AF72" si="127">+AE55/AE$5*1000</f>
        <v>1.6431944419883933</v>
      </c>
      <c r="AF72" s="3202">
        <f t="shared" si="127"/>
        <v>1.4342071304796666</v>
      </c>
      <c r="AG72" s="2934">
        <v>1.65</v>
      </c>
      <c r="AH72" s="2934">
        <f>+AH55/AH$49*1000</f>
        <v>0.25204788909892878</v>
      </c>
      <c r="AI72" s="3202">
        <f t="shared" ref="AI72:AJ72" si="128">+AI55/AI$5*1000</f>
        <v>1.6440619877200711</v>
      </c>
      <c r="AJ72" s="3202">
        <f t="shared" si="128"/>
        <v>1.4284709673671432</v>
      </c>
      <c r="AK72" s="2934">
        <v>1.65</v>
      </c>
      <c r="AL72" s="2934">
        <f>+AL55/AL$49*1000</f>
        <v>1.7920252153697194</v>
      </c>
      <c r="AM72" s="3459">
        <f>+AM55/AM$5*1000</f>
        <v>1.65</v>
      </c>
      <c r="AN72" s="3459">
        <f>+AN55/AN$5*1000</f>
        <v>1.5354739646840987</v>
      </c>
      <c r="AO72" s="3202">
        <f t="shared" ref="AO72:AP72" si="129">+AO55/AO$5*1000</f>
        <v>1.6447530006114148</v>
      </c>
      <c r="AP72" s="3202">
        <f t="shared" si="129"/>
        <v>1.4741384150204919</v>
      </c>
      <c r="AQ72" s="2933">
        <v>1.65</v>
      </c>
      <c r="AR72" s="2933">
        <f>+AR55/AR$49*1000</f>
        <v>1.800519435631857</v>
      </c>
      <c r="AS72" s="3202">
        <f t="shared" ref="AS72:AT72" si="130">+AS55/AS$5*1000</f>
        <v>1.6452999504456223</v>
      </c>
      <c r="AT72" s="3202">
        <f t="shared" si="130"/>
        <v>1.5120836749303614</v>
      </c>
      <c r="AU72" s="2933">
        <v>1.65</v>
      </c>
      <c r="AV72" s="2933">
        <f>+AV55/AV$49*1000</f>
        <v>1.4805123523856278</v>
      </c>
      <c r="AW72" s="3202">
        <f t="shared" ref="AW72:AX72" si="131">+AW55/AW$5*1000</f>
        <v>1.645703010549888</v>
      </c>
      <c r="AX72" s="3202">
        <f t="shared" si="131"/>
        <v>1.5090758299917066</v>
      </c>
      <c r="AY72" s="2933">
        <v>1.65</v>
      </c>
      <c r="AZ72" s="2933">
        <f>+AZ55/AZ$49*1000</f>
        <v>1.3467366477014941</v>
      </c>
      <c r="BA72" s="3459">
        <f>+BA55/BA$5*1000</f>
        <v>1.65</v>
      </c>
      <c r="BB72" s="3459">
        <f>+BB55/BB$5*1000</f>
        <v>1.5452913526843297</v>
      </c>
      <c r="BC72" s="3460">
        <f>+BC55/BC$47*1000</f>
        <v>1.6500000000000001</v>
      </c>
      <c r="BD72" s="3460">
        <f>+BD55/BD$49*1000</f>
        <v>1.5414139586422584</v>
      </c>
      <c r="BE72" s="3202">
        <f t="shared" ref="BE72:BF72" si="132">+BE55/BE$5*1000</f>
        <v>1.6460768878166672</v>
      </c>
      <c r="BF72" s="107">
        <f t="shared" si="132"/>
        <v>1.4937670652626753</v>
      </c>
      <c r="BG72" s="2534"/>
      <c r="BH72" s="2534"/>
      <c r="BI72" s="2534"/>
      <c r="BJ72" s="3763"/>
      <c r="BK72" s="3763"/>
      <c r="BL72" s="2534"/>
      <c r="BM72" s="3763"/>
      <c r="BN72" s="3763"/>
    </row>
    <row r="73" spans="1:66" ht="15" x14ac:dyDescent="0.25">
      <c r="B73" s="741" t="s">
        <v>838</v>
      </c>
      <c r="C73" s="2942" t="s">
        <v>271</v>
      </c>
      <c r="D73" s="1353">
        <v>0.84012576263208183</v>
      </c>
      <c r="E73" s="2934">
        <v>0.80750050907222048</v>
      </c>
      <c r="F73" s="2934">
        <f>+F56/F$49*1000</f>
        <v>0.50719842573337381</v>
      </c>
      <c r="G73" s="2934">
        <v>0.84012576263208183</v>
      </c>
      <c r="H73" s="2934">
        <f>+H56/H$49*1000</f>
        <v>0.75220347019351486</v>
      </c>
      <c r="I73" s="3202">
        <f t="shared" ref="I73:J73" si="133">+I56/I$5*1000</f>
        <v>0.8240689198863328</v>
      </c>
      <c r="J73" s="2945">
        <f t="shared" si="133"/>
        <v>0.63787872640637611</v>
      </c>
      <c r="K73" s="2934">
        <v>0.84012576263208183</v>
      </c>
      <c r="L73" s="2934">
        <f>+L56/L$49*1000</f>
        <v>0.43129421535875667</v>
      </c>
      <c r="M73" s="3459">
        <f t="shared" ref="M73:N79" si="134">+M56/M$5*1000</f>
        <v>0.82936495720862036</v>
      </c>
      <c r="N73" s="3477">
        <f t="shared" si="134"/>
        <v>0.56468314435367795</v>
      </c>
      <c r="O73" s="2934">
        <v>0.84012576263208183</v>
      </c>
      <c r="P73" s="2934">
        <f>+P56/P$49*1000</f>
        <v>0.54008922668250503</v>
      </c>
      <c r="Q73" s="3012">
        <f t="shared" ref="Q73:R73" si="135">+Q56/Q$5*1000</f>
        <v>0.83205780796507256</v>
      </c>
      <c r="R73" s="3012">
        <f t="shared" si="135"/>
        <v>0.55805172980091911</v>
      </c>
      <c r="S73" s="2934">
        <v>0.84012576263208183</v>
      </c>
      <c r="T73" s="2934">
        <f>+T56/T$49*1000</f>
        <v>0.55129624265518751</v>
      </c>
      <c r="U73" s="3202">
        <f t="shared" ref="U73:V73" si="136">+U56/U$5*1000</f>
        <v>0.83367266994292755</v>
      </c>
      <c r="V73" s="3202">
        <f t="shared" si="136"/>
        <v>0.55668939532160266</v>
      </c>
      <c r="W73" s="2934">
        <v>0.84012576263208183</v>
      </c>
      <c r="X73" s="2934">
        <f>+X56/X$49*1000</f>
        <v>0.56866622642790321</v>
      </c>
      <c r="Y73" s="3459">
        <f t="shared" ref="Y73:Z73" si="137">+Y56/Y$5*1000</f>
        <v>0.84012576263208194</v>
      </c>
      <c r="Z73" s="3459">
        <f t="shared" si="137"/>
        <v>0.5528239276677932</v>
      </c>
      <c r="AA73" s="3460">
        <f>+AA56/AA$47*1000</f>
        <v>0.83428607829741841</v>
      </c>
      <c r="AB73" s="3460">
        <f>+AB56/AB$49*1000</f>
        <v>0.55862298083143946</v>
      </c>
      <c r="AC73" s="2934">
        <v>0.85</v>
      </c>
      <c r="AD73" s="2933">
        <f>+AD56/AD$49*1000</f>
        <v>0.69776457837282746</v>
      </c>
      <c r="AE73" s="3202">
        <f t="shared" ref="AE73:AF73" si="138">+AE56/AE$5*1000</f>
        <v>0.8366579018083713</v>
      </c>
      <c r="AF73" s="3202">
        <f t="shared" si="138"/>
        <v>0.57761555383499852</v>
      </c>
      <c r="AG73" s="2934">
        <v>0.85</v>
      </c>
      <c r="AH73" s="2933">
        <f>+AH56/AH$49*1000</f>
        <v>1.1342155009451795</v>
      </c>
      <c r="AI73" s="3202">
        <f t="shared" ref="AI73:AJ73" si="139">+AI56/AI$5*1000</f>
        <v>0.83835869993808165</v>
      </c>
      <c r="AJ73" s="3202">
        <f t="shared" si="139"/>
        <v>0.58031633049290199</v>
      </c>
      <c r="AK73" s="2934">
        <v>0.85</v>
      </c>
      <c r="AL73" s="2933">
        <f>+AL56/AL$49*1000</f>
        <v>0.52356081114127184</v>
      </c>
      <c r="AM73" s="3459">
        <f t="shared" ref="AM73:AP73" si="140">+AM56/AM$5*1000</f>
        <v>0.85</v>
      </c>
      <c r="AN73" s="3459">
        <f t="shared" si="140"/>
        <v>0.61720031913772599</v>
      </c>
      <c r="AO73" s="3202">
        <f t="shared" si="140"/>
        <v>0.83971341057786508</v>
      </c>
      <c r="AP73" s="3202">
        <f t="shared" si="140"/>
        <v>0.57318693540151167</v>
      </c>
      <c r="AQ73" s="2933">
        <v>0.85</v>
      </c>
      <c r="AR73" s="2933">
        <f>+AR56/AR$49*1000</f>
        <v>0.47146784319028312</v>
      </c>
      <c r="AS73" s="3202">
        <f t="shared" ref="AS73:AT73" si="141">+AS56/AS$5*1000</f>
        <v>0.84078568979162593</v>
      </c>
      <c r="AT73" s="3202">
        <f t="shared" si="141"/>
        <v>0.56136106431789679</v>
      </c>
      <c r="AU73" s="2933">
        <v>0.85</v>
      </c>
      <c r="AV73" s="2933">
        <f>+AV56/AV$49*1000</f>
        <v>0.66847375910745011</v>
      </c>
      <c r="AW73" s="3202">
        <f t="shared" ref="AW73:AX73" si="142">+AW56/AW$5*1000</f>
        <v>0.84157587738227912</v>
      </c>
      <c r="AX73" s="3202">
        <f t="shared" si="142"/>
        <v>0.57156781436229787</v>
      </c>
      <c r="AY73" s="2933">
        <v>0.85</v>
      </c>
      <c r="AZ73" s="2933">
        <f>+AZ56/AZ$49*1000</f>
        <v>0.32026054427047729</v>
      </c>
      <c r="BA73" s="3459">
        <f t="shared" ref="BA73:BB73" si="143">+BA56/BA$5*1000</f>
        <v>0.85000000000000009</v>
      </c>
      <c r="BB73" s="3459">
        <f t="shared" si="143"/>
        <v>0.48141229243480937</v>
      </c>
      <c r="BC73" s="3460">
        <f>+BC56/BC$47*1000</f>
        <v>0.8500000000000002</v>
      </c>
      <c r="BD73" s="3460">
        <f>+BD56/BD$49*1000</f>
        <v>0.53503625010723022</v>
      </c>
      <c r="BE73" s="3202">
        <f t="shared" ref="BE73:BF73" si="144">+BE56/BE$5*1000</f>
        <v>0.84230885287032631</v>
      </c>
      <c r="BF73" s="107">
        <f t="shared" si="144"/>
        <v>0.54786946535683922</v>
      </c>
      <c r="BG73" s="2534"/>
      <c r="BH73" s="2534"/>
      <c r="BI73" s="2534"/>
      <c r="BJ73" s="3763"/>
      <c r="BK73" s="3763"/>
      <c r="BL73" s="2534"/>
      <c r="BM73" s="3763"/>
      <c r="BN73" s="3763"/>
    </row>
    <row r="74" spans="1:66" ht="15" x14ac:dyDescent="0.25">
      <c r="B74" s="743" t="s">
        <v>880</v>
      </c>
      <c r="C74" s="3466" t="s">
        <v>271</v>
      </c>
      <c r="D74" s="3468">
        <f>SUM(D72:D73)</f>
        <v>2.4773579878777832</v>
      </c>
      <c r="E74" s="3469">
        <f>SUM(E72:E73)</f>
        <v>2.47128349103372</v>
      </c>
      <c r="F74" s="3469">
        <f>SUM(F72:F73)</f>
        <v>2.2703167628065306</v>
      </c>
      <c r="G74" s="3469">
        <f>SUM(G72:G73)</f>
        <v>2.4773579878777832</v>
      </c>
      <c r="H74" s="3469">
        <f>SUM(H72:H73)</f>
        <v>2.0072845412467388</v>
      </c>
      <c r="I74" s="3470">
        <f t="shared" ref="I74:J74" si="145">+I57/I$5*1000</f>
        <v>2.4743683638920047</v>
      </c>
      <c r="J74" s="3471">
        <f t="shared" si="145"/>
        <v>2.130019068742139</v>
      </c>
      <c r="K74" s="3469">
        <f>SUM(K72:K73)</f>
        <v>2.4773579878777832</v>
      </c>
      <c r="L74" s="3469">
        <f>SUM(L72:L73)</f>
        <v>2.0948576174568183</v>
      </c>
      <c r="M74" s="3473">
        <f t="shared" si="134"/>
        <v>2.4753544332245001</v>
      </c>
      <c r="N74" s="3484">
        <f t="shared" si="134"/>
        <v>2.1175617913262923</v>
      </c>
      <c r="O74" s="3469">
        <f>SUM(O72:O73)</f>
        <v>2.4773579878777832</v>
      </c>
      <c r="P74" s="3469">
        <f>SUM(P72:P73)</f>
        <v>2.0499737071160773</v>
      </c>
      <c r="Q74" s="3470">
        <f t="shared" ref="Q74:R74" si="146">+Q57/Q$5*1000</f>
        <v>2.4758558151797878</v>
      </c>
      <c r="R74" s="3470">
        <f t="shared" si="146"/>
        <v>2.0993374597272667</v>
      </c>
      <c r="S74" s="3469">
        <f>SUM(S72:S73)</f>
        <v>2.4773579878777832</v>
      </c>
      <c r="T74" s="3469">
        <f>SUM(T72:T73)</f>
        <v>1.8138067220182124</v>
      </c>
      <c r="U74" s="3474">
        <f t="shared" ref="U74:V74" si="147">+U57/U$5*1000</f>
        <v>2.4761564863751877</v>
      </c>
      <c r="V74" s="3474">
        <f t="shared" si="147"/>
        <v>2.0417601907679512</v>
      </c>
      <c r="W74" s="3469">
        <f>SUM(W72:W73)</f>
        <v>2.4773579878777832</v>
      </c>
      <c r="X74" s="3469">
        <f>SUM(X72:X73)</f>
        <v>1.8602879655238385</v>
      </c>
      <c r="Y74" s="3473">
        <f t="shared" ref="Y74:Z74" si="148">+Y57/Y$5*1000</f>
        <v>2.4773579878777832</v>
      </c>
      <c r="Z74" s="3473">
        <f t="shared" si="148"/>
        <v>1.9119074375009573</v>
      </c>
      <c r="AA74" s="3475">
        <f>+AA57/AA$47*1000</f>
        <v>2.4762706968933239</v>
      </c>
      <c r="AB74" s="3475">
        <f>+AB57/AB$49*1000</f>
        <v>2.0124659742564468</v>
      </c>
      <c r="AC74" s="3469">
        <f t="shared" ref="AC74" si="149">SUM(AC72:AC73)</f>
        <v>2.5</v>
      </c>
      <c r="AD74" s="3469">
        <f>SUM(AD72:AD73)</f>
        <v>2.0077613029308452</v>
      </c>
      <c r="AE74" s="3474">
        <f t="shared" ref="AE74:AF74" si="150">+AE57/AE$5*1000</f>
        <v>2.4798523437967646</v>
      </c>
      <c r="AF74" s="3474">
        <f t="shared" si="150"/>
        <v>2.0118226843146654</v>
      </c>
      <c r="AG74" s="3469">
        <f t="shared" ref="AG74" si="151">SUM(AG72:AG73)</f>
        <v>2.5</v>
      </c>
      <c r="AH74" s="3469">
        <f>SUM(AH72:AH73)</f>
        <v>1.3862633900441084</v>
      </c>
      <c r="AI74" s="3474">
        <f t="shared" ref="AI74:AJ74" si="152">+AI57/AI$5*1000</f>
        <v>2.4824206876581529</v>
      </c>
      <c r="AJ74" s="3474">
        <f t="shared" si="152"/>
        <v>2.0087872978600454</v>
      </c>
      <c r="AK74" s="3469">
        <f t="shared" ref="AK74" si="153">SUM(AK72:AK73)</f>
        <v>2.5</v>
      </c>
      <c r="AL74" s="3469">
        <f>SUM(AL72:AL73)</f>
        <v>2.3155860265109913</v>
      </c>
      <c r="AM74" s="3473">
        <f t="shared" ref="AM74:AP74" si="154">+AM57/AM$5*1000</f>
        <v>2.5</v>
      </c>
      <c r="AN74" s="3473">
        <f t="shared" si="154"/>
        <v>2.1526742838218249</v>
      </c>
      <c r="AO74" s="3474">
        <f t="shared" si="154"/>
        <v>2.4844664111892798</v>
      </c>
      <c r="AP74" s="3474">
        <f t="shared" si="154"/>
        <v>2.0473253504220037</v>
      </c>
      <c r="AQ74" s="3472">
        <f t="shared" ref="AQ74" si="155">SUM(AQ72:AQ73)</f>
        <v>2.5</v>
      </c>
      <c r="AR74" s="3472">
        <f>SUM(AR72:AR73)</f>
        <v>2.2719872788221402</v>
      </c>
      <c r="AS74" s="3474">
        <f t="shared" ref="AS74:AT74" si="156">+AS57/AS$5*1000</f>
        <v>2.4860856402372487</v>
      </c>
      <c r="AT74" s="3474">
        <f t="shared" si="156"/>
        <v>2.0734447392482585</v>
      </c>
      <c r="AU74" s="3472">
        <f t="shared" ref="AU74" si="157">SUM(AU72:AU73)</f>
        <v>2.5</v>
      </c>
      <c r="AV74" s="3472">
        <f>SUM(AV72:AV73)</f>
        <v>2.1489861114930777</v>
      </c>
      <c r="AW74" s="3474">
        <f t="shared" ref="AW74:AX74" si="158">+AW57/AW$5*1000</f>
        <v>2.4872788879321672</v>
      </c>
      <c r="AX74" s="3474">
        <f t="shared" si="158"/>
        <v>2.0806436443540042</v>
      </c>
      <c r="AY74" s="3472">
        <f t="shared" ref="AY74" si="159">SUM(AY72:AY73)</f>
        <v>2.5</v>
      </c>
      <c r="AZ74" s="3472">
        <f>SUM(AZ72:AZ73)</f>
        <v>1.6669971919719715</v>
      </c>
      <c r="BA74" s="3473">
        <f t="shared" ref="BA74:BB74" si="160">+BA57/BA$5*1000</f>
        <v>2.4999999999999996</v>
      </c>
      <c r="BB74" s="3473">
        <f t="shared" si="160"/>
        <v>2.0267036451191389</v>
      </c>
      <c r="BC74" s="3475">
        <f>+BC57/BC$47*1000</f>
        <v>2.5000000000000004</v>
      </c>
      <c r="BD74" s="3475">
        <f>+BD57/BD$49*1000</f>
        <v>2.0764502087494883</v>
      </c>
      <c r="BE74" s="3474">
        <f t="shared" ref="BE74:BF74" si="161">+BE57/BE$5*1000</f>
        <v>2.488385740686994</v>
      </c>
      <c r="BF74" s="3476">
        <f t="shared" si="161"/>
        <v>2.0416365306195146</v>
      </c>
      <c r="BG74" s="2534"/>
      <c r="BH74" s="2534"/>
      <c r="BI74" s="2534"/>
      <c r="BJ74" s="3763"/>
      <c r="BK74" s="3763"/>
      <c r="BL74" s="2534"/>
      <c r="BM74" s="3763"/>
      <c r="BN74" s="3763"/>
    </row>
    <row r="75" spans="1:66" ht="15" x14ac:dyDescent="0.25">
      <c r="B75" s="741" t="s">
        <v>84</v>
      </c>
      <c r="C75" s="2942" t="s">
        <v>271</v>
      </c>
      <c r="D75" s="1353">
        <f>'Maj Techno Summ'!D51</f>
        <v>17.372968004908316</v>
      </c>
      <c r="E75" s="2934">
        <v>17.375800872109483</v>
      </c>
      <c r="F75" s="2934">
        <f>+F58/F$49*1000</f>
        <v>16.095096709939064</v>
      </c>
      <c r="G75" s="2934">
        <v>17.372968004908316</v>
      </c>
      <c r="H75" s="2934">
        <f>+H58/H$49*1000</f>
        <v>15.086328025791282</v>
      </c>
      <c r="I75" s="3202">
        <f t="shared" ref="I75:J75" si="162">+I58/I$5*1000</f>
        <v>17.374362228652362</v>
      </c>
      <c r="J75" s="2945">
        <f t="shared" si="162"/>
        <v>15.557028161331477</v>
      </c>
      <c r="K75" s="2934">
        <v>17.372968004908316</v>
      </c>
      <c r="L75" s="2934">
        <f>+L58/L$49*1000</f>
        <v>15.47730098544567</v>
      </c>
      <c r="M75" s="3459">
        <f t="shared" si="134"/>
        <v>17.373902371063856</v>
      </c>
      <c r="N75" s="3459">
        <f t="shared" si="134"/>
        <v>15.528786469726143</v>
      </c>
      <c r="O75" s="2934">
        <v>17.372968004908316</v>
      </c>
      <c r="P75" s="2934">
        <f>+P58/P$49*1000</f>
        <v>16.155369714926319</v>
      </c>
      <c r="Q75" s="3012">
        <f t="shared" ref="Q75:R75" si="163">+Q58/Q$5*1000</f>
        <v>17.373668549476186</v>
      </c>
      <c r="R75" s="3012">
        <f t="shared" si="163"/>
        <v>15.697729420380901</v>
      </c>
      <c r="S75" s="2934">
        <v>17.372968004908316</v>
      </c>
      <c r="T75" s="2934">
        <f>+T58/T$49*1000</f>
        <v>15.095501132282525</v>
      </c>
      <c r="U75" s="3202">
        <f t="shared" ref="U75:V75" si="164">+U58/U$5*1000</f>
        <v>17.373528330197182</v>
      </c>
      <c r="V75" s="3202">
        <f t="shared" si="164"/>
        <v>15.576288086762078</v>
      </c>
      <c r="W75" s="2934">
        <v>17.372968004908316</v>
      </c>
      <c r="X75" s="2934">
        <f>+X58/X$49*1000</f>
        <v>13.273771791157548</v>
      </c>
      <c r="Y75" s="3477">
        <f t="shared" ref="Y75:Z75" si="165">+Y58/Y$5*1000</f>
        <v>17.372968004908316</v>
      </c>
      <c r="Z75" s="3459">
        <f t="shared" si="165"/>
        <v>14.89439948978668</v>
      </c>
      <c r="AA75" s="3478">
        <f>+AA58/AA$47*1000</f>
        <v>17.373475067640744</v>
      </c>
      <c r="AB75" s="3460">
        <f>+AB58/AB$49*1000</f>
        <v>15.204600292270117</v>
      </c>
      <c r="AC75" s="2933">
        <v>18.350000000000001</v>
      </c>
      <c r="AD75" s="2934">
        <f>+AD58/AD$49*1000</f>
        <v>14.747591991931502</v>
      </c>
      <c r="AE75" s="3202">
        <f t="shared" ref="AE75:AF75" si="166">+AE58/AE$5*1000</f>
        <v>17.520869514261946</v>
      </c>
      <c r="AF75" s="3202">
        <f t="shared" si="166"/>
        <v>15.142210178323438</v>
      </c>
      <c r="AG75" s="2933">
        <v>18.350000000000001</v>
      </c>
      <c r="AH75" s="2934">
        <f>+AH58/AH$49*1000</f>
        <v>13.862633900441084</v>
      </c>
      <c r="AI75" s="3202">
        <f t="shared" ref="AI75:AJ75" si="167">+AI58/AI$5*1000</f>
        <v>17.626563803059334</v>
      </c>
      <c r="AJ75" s="3202">
        <f t="shared" si="167"/>
        <v>15.136001320846441</v>
      </c>
      <c r="AK75" s="2933">
        <v>18.350000000000001</v>
      </c>
      <c r="AL75" s="2934">
        <f>+AL58/AL$49*1000</f>
        <v>16.719893220836717</v>
      </c>
      <c r="AM75" s="3459">
        <f t="shared" ref="AM75:AP75" si="168">+AM58/AM$5*1000</f>
        <v>18.349999999999998</v>
      </c>
      <c r="AN75" s="3459">
        <f t="shared" si="168"/>
        <v>15.728930781091735</v>
      </c>
      <c r="AO75" s="3202">
        <f t="shared" si="168"/>
        <v>17.710750853301764</v>
      </c>
      <c r="AP75" s="3202">
        <f t="shared" si="168"/>
        <v>15.334958788821783</v>
      </c>
      <c r="AQ75" s="2933">
        <v>18.350000000000001</v>
      </c>
      <c r="AR75" s="2933">
        <f>+AR58/AR$49*1000</f>
        <v>16.420086952489171</v>
      </c>
      <c r="AS75" s="3202">
        <f t="shared" ref="AS75:AT75" si="169">+AS58/AS$5*1000</f>
        <v>17.777386503300971</v>
      </c>
      <c r="AT75" s="3202">
        <f t="shared" si="169"/>
        <v>15.46111700456224</v>
      </c>
      <c r="AU75" s="2933">
        <v>18.350000000000001</v>
      </c>
      <c r="AV75" s="2933">
        <f>+AV58/AV$49*1000</f>
        <v>16.267690271970565</v>
      </c>
      <c r="AW75" s="3202">
        <f t="shared" ref="AW75:AX75" si="170">+AW58/AW$5*1000</f>
        <v>17.826491869747272</v>
      </c>
      <c r="AX75" s="3202">
        <f t="shared" si="170"/>
        <v>15.537979120888515</v>
      </c>
      <c r="AY75" s="2934">
        <v>18.350000000000001</v>
      </c>
      <c r="AZ75" s="2933">
        <f>+AZ58/AZ$49*1000</f>
        <v>16.669971919719714</v>
      </c>
      <c r="BA75" s="3459">
        <f t="shared" ref="BA75:BB75" si="171">+BA58/BA$5*1000</f>
        <v>18.349999999999998</v>
      </c>
      <c r="BB75" s="3459">
        <f t="shared" si="171"/>
        <v>16.457844143121207</v>
      </c>
      <c r="BC75" s="3460">
        <f>+BC58/BC$47*1000</f>
        <v>18.350000000000001</v>
      </c>
      <c r="BD75" s="3460">
        <f>+BD58/BD$49*1000</f>
        <v>16.169984447685177</v>
      </c>
      <c r="BE75" s="3202">
        <f t="shared" ref="BE75:BF75" si="172">+BE58/BE$5*1000</f>
        <v>17.872041850995341</v>
      </c>
      <c r="BF75" s="107">
        <f t="shared" si="172"/>
        <v>15.644724268720097</v>
      </c>
      <c r="BG75" s="2534"/>
      <c r="BH75" s="2534"/>
      <c r="BI75" s="2534"/>
      <c r="BJ75" s="3763"/>
      <c r="BK75" s="3763"/>
      <c r="BL75" s="2534"/>
      <c r="BM75" s="3763"/>
      <c r="BN75" s="3763"/>
    </row>
    <row r="76" spans="1:66" ht="15" x14ac:dyDescent="0.25">
      <c r="B76" s="741" t="s">
        <v>1573</v>
      </c>
      <c r="C76" s="2942" t="s">
        <v>271</v>
      </c>
      <c r="D76" s="1126">
        <v>0</v>
      </c>
      <c r="E76" s="2647">
        <f>+$D$76</f>
        <v>0</v>
      </c>
      <c r="F76" s="2647">
        <f>+F59/F$49*1000</f>
        <v>0</v>
      </c>
      <c r="G76" s="2647">
        <f>+$D$76</f>
        <v>0</v>
      </c>
      <c r="H76" s="2647">
        <f>+H59/H$49*1000</f>
        <v>0</v>
      </c>
      <c r="I76" s="2648">
        <f t="shared" ref="I76:J76" si="173">+I59/I$5*1000</f>
        <v>0</v>
      </c>
      <c r="J76" s="39">
        <f t="shared" si="173"/>
        <v>0</v>
      </c>
      <c r="K76" s="2647">
        <f>+$D$76</f>
        <v>0</v>
      </c>
      <c r="L76" s="2647">
        <f>+L59/L$49*1000</f>
        <v>0</v>
      </c>
      <c r="M76" s="3459">
        <f t="shared" si="134"/>
        <v>0</v>
      </c>
      <c r="N76" s="3459">
        <f t="shared" si="134"/>
        <v>0</v>
      </c>
      <c r="O76" s="2647">
        <f>+$D$76</f>
        <v>0</v>
      </c>
      <c r="P76" s="2647">
        <f>+P59/P$49*1000</f>
        <v>0</v>
      </c>
      <c r="Q76" s="3012">
        <f t="shared" ref="Q76:R76" si="174">+Q59/Q$5*1000</f>
        <v>0</v>
      </c>
      <c r="R76" s="3012">
        <f t="shared" si="174"/>
        <v>0</v>
      </c>
      <c r="S76" s="2647">
        <f>+$D$76</f>
        <v>0</v>
      </c>
      <c r="T76" s="2647">
        <f>+T59/T$49*1000</f>
        <v>0</v>
      </c>
      <c r="U76" s="3202">
        <f t="shared" ref="U76:V76" si="175">+U59/U$5*1000</f>
        <v>0</v>
      </c>
      <c r="V76" s="3202">
        <f t="shared" si="175"/>
        <v>0</v>
      </c>
      <c r="W76" s="2647">
        <f>+$D$76</f>
        <v>0</v>
      </c>
      <c r="X76" s="2647">
        <f>+X59/X$49*1000</f>
        <v>0</v>
      </c>
      <c r="Y76" s="3459">
        <f t="shared" ref="Y76:Z76" si="176">+Y59/Y$5*1000</f>
        <v>0</v>
      </c>
      <c r="Z76" s="3459">
        <f t="shared" si="176"/>
        <v>0</v>
      </c>
      <c r="AA76" s="3460">
        <f t="shared" ref="AA76" si="177">+AA59/AA$5*1000</f>
        <v>0</v>
      </c>
      <c r="AB76" s="3460">
        <f t="shared" ref="AB76" si="178">+AB59/AB$5*1000</f>
        <v>0</v>
      </c>
      <c r="AC76" s="2647">
        <f>+$D$76</f>
        <v>0</v>
      </c>
      <c r="AD76" s="2647">
        <f>+AD59/AD$49*1000</f>
        <v>0</v>
      </c>
      <c r="AE76" s="3202">
        <f t="shared" ref="AE76:AF76" si="179">+AE59/AE$5*1000</f>
        <v>0</v>
      </c>
      <c r="AF76" s="3202">
        <f t="shared" si="179"/>
        <v>0</v>
      </c>
      <c r="AG76" s="2647">
        <f>+$D$76</f>
        <v>0</v>
      </c>
      <c r="AH76" s="2647">
        <f>+AH59/AH$49*1000</f>
        <v>0</v>
      </c>
      <c r="AI76" s="3202">
        <f t="shared" ref="AI76:AJ76" si="180">+AI59/AI$5*1000</f>
        <v>0</v>
      </c>
      <c r="AJ76" s="3202">
        <f t="shared" si="180"/>
        <v>0</v>
      </c>
      <c r="AK76" s="2647">
        <f>+$D$76</f>
        <v>0</v>
      </c>
      <c r="AL76" s="2647">
        <f>+AL59/AL$49*1000</f>
        <v>0</v>
      </c>
      <c r="AM76" s="3459">
        <f t="shared" ref="AM76:AP76" si="181">+AM59/AM$5*1000</f>
        <v>0</v>
      </c>
      <c r="AN76" s="3459">
        <f t="shared" si="181"/>
        <v>0</v>
      </c>
      <c r="AO76" s="3202">
        <f t="shared" si="181"/>
        <v>0</v>
      </c>
      <c r="AP76" s="3202">
        <f t="shared" si="181"/>
        <v>0</v>
      </c>
      <c r="AQ76" s="2933">
        <f>+$D$76</f>
        <v>0</v>
      </c>
      <c r="AR76" s="2933">
        <f>+AR59/AR$49*1000</f>
        <v>0</v>
      </c>
      <c r="AS76" s="3202">
        <f t="shared" ref="AS76:AT76" si="182">+AS59/AS$5*1000</f>
        <v>0</v>
      </c>
      <c r="AT76" s="3202">
        <f t="shared" si="182"/>
        <v>0</v>
      </c>
      <c r="AU76" s="2933">
        <f>+$D$76</f>
        <v>0</v>
      </c>
      <c r="AV76" s="2933">
        <f>+AV59/AV$49*1000</f>
        <v>0</v>
      </c>
      <c r="AW76" s="3202">
        <f t="shared" ref="AW76:AX76" si="183">+AW59/AW$5*1000</f>
        <v>0</v>
      </c>
      <c r="AX76" s="3202">
        <f t="shared" si="183"/>
        <v>0</v>
      </c>
      <c r="AY76" s="2933">
        <f>+$D$76</f>
        <v>0</v>
      </c>
      <c r="AZ76" s="2933">
        <f>+AZ59/AZ$49*1000</f>
        <v>0</v>
      </c>
      <c r="BA76" s="3459">
        <f t="shared" ref="BA76:BD79" si="184">+BA59/BA$5*1000</f>
        <v>0</v>
      </c>
      <c r="BB76" s="3459">
        <f t="shared" si="184"/>
        <v>0</v>
      </c>
      <c r="BC76" s="3460">
        <f t="shared" si="184"/>
        <v>0</v>
      </c>
      <c r="BD76" s="3460">
        <f t="shared" si="184"/>
        <v>0</v>
      </c>
      <c r="BE76" s="3202">
        <f t="shared" ref="BE76:BF76" si="185">+BE59/BE$5*1000</f>
        <v>0</v>
      </c>
      <c r="BF76" s="107">
        <f t="shared" si="185"/>
        <v>0</v>
      </c>
      <c r="BG76" s="2534"/>
      <c r="BH76" s="2534"/>
      <c r="BI76" s="2534"/>
      <c r="BJ76" s="3763"/>
      <c r="BK76" s="3763"/>
      <c r="BL76" s="2534"/>
      <c r="BM76" s="3763"/>
      <c r="BN76" s="3763"/>
    </row>
    <row r="77" spans="1:66" ht="15" x14ac:dyDescent="0.25">
      <c r="B77" s="743" t="s">
        <v>1574</v>
      </c>
      <c r="C77" s="3466" t="s">
        <v>271</v>
      </c>
      <c r="D77" s="3468">
        <f>SUM(D75:D76)</f>
        <v>17.372968004908316</v>
      </c>
      <c r="E77" s="3469">
        <f>SUM(E75:E76)</f>
        <v>17.375800872109483</v>
      </c>
      <c r="F77" s="3469">
        <f>SUM(F75:F76)</f>
        <v>16.095096709939064</v>
      </c>
      <c r="G77" s="3469">
        <f>SUM(G75:G76)</f>
        <v>17.372968004908316</v>
      </c>
      <c r="H77" s="3469">
        <f>SUM(H75:H76)</f>
        <v>15.086328025791282</v>
      </c>
      <c r="I77" s="3470">
        <f t="shared" ref="I77:J77" si="186">+I60/I$5*1000</f>
        <v>17.374362228652362</v>
      </c>
      <c r="J77" s="3471">
        <f t="shared" si="186"/>
        <v>15.557028161331477</v>
      </c>
      <c r="K77" s="3469">
        <f>SUM(K75:K76)</f>
        <v>17.372968004908316</v>
      </c>
      <c r="L77" s="3469">
        <f>SUM(L75:L76)</f>
        <v>15.47730098544567</v>
      </c>
      <c r="M77" s="3473">
        <f t="shared" si="134"/>
        <v>17.373902371063856</v>
      </c>
      <c r="N77" s="3473">
        <f t="shared" si="134"/>
        <v>15.528786469726143</v>
      </c>
      <c r="O77" s="3469">
        <f>SUM(O75:O76)</f>
        <v>17.372968004908316</v>
      </c>
      <c r="P77" s="3469">
        <f>SUM(P75:P76)</f>
        <v>16.155369714926319</v>
      </c>
      <c r="Q77" s="3474">
        <f t="shared" ref="Q77:R77" si="187">+Q60/Q$5*1000</f>
        <v>17.373668549476186</v>
      </c>
      <c r="R77" s="3474">
        <f t="shared" si="187"/>
        <v>15.697729420380901</v>
      </c>
      <c r="S77" s="3469">
        <f>SUM(S75:S76)</f>
        <v>17.372968004908316</v>
      </c>
      <c r="T77" s="3469">
        <f>SUM(T75:T76)</f>
        <v>15.095501132282525</v>
      </c>
      <c r="U77" s="3474">
        <f t="shared" ref="U77:V77" si="188">+U60/U$5*1000</f>
        <v>17.373528330197182</v>
      </c>
      <c r="V77" s="3474">
        <f t="shared" si="188"/>
        <v>15.576288086762078</v>
      </c>
      <c r="W77" s="3469">
        <f>SUM(W75:W76)</f>
        <v>17.372968004908316</v>
      </c>
      <c r="X77" s="3469">
        <f>SUM(X75:X76)</f>
        <v>13.273771791157548</v>
      </c>
      <c r="Y77" s="3473">
        <f t="shared" ref="Y77:Z77" si="189">+Y60/Y$5*1000</f>
        <v>17.372968004908316</v>
      </c>
      <c r="Z77" s="3473">
        <f t="shared" si="189"/>
        <v>14.89439948978668</v>
      </c>
      <c r="AA77" s="3475">
        <f t="shared" ref="AA77" si="190">+AA60/AA$5*1000</f>
        <v>17.373475067640761</v>
      </c>
      <c r="AB77" s="3475">
        <f t="shared" ref="AB77" si="191">+AB60/AB$5*1000</f>
        <v>15.204591095341584</v>
      </c>
      <c r="AC77" s="3469">
        <f t="shared" ref="AC77:AD77" si="192">SUM(AC75:AC76)</f>
        <v>18.350000000000001</v>
      </c>
      <c r="AD77" s="3469">
        <f t="shared" si="192"/>
        <v>14.747591991931502</v>
      </c>
      <c r="AE77" s="3474">
        <f t="shared" ref="AE77:AF77" si="193">+AE60/AE$5*1000</f>
        <v>17.520869514261946</v>
      </c>
      <c r="AF77" s="3474">
        <f t="shared" si="193"/>
        <v>15.142210178323438</v>
      </c>
      <c r="AG77" s="3469">
        <f t="shared" ref="AG77:AH77" si="194">SUM(AG75:AG76)</f>
        <v>18.350000000000001</v>
      </c>
      <c r="AH77" s="3469">
        <f t="shared" si="194"/>
        <v>13.862633900441084</v>
      </c>
      <c r="AI77" s="3474">
        <f t="shared" ref="AI77:AJ77" si="195">+AI60/AI$5*1000</f>
        <v>17.626563803059334</v>
      </c>
      <c r="AJ77" s="3474">
        <f t="shared" si="195"/>
        <v>15.136001320846441</v>
      </c>
      <c r="AK77" s="3469">
        <f t="shared" ref="AK77:AL77" si="196">SUM(AK75:AK76)</f>
        <v>18.350000000000001</v>
      </c>
      <c r="AL77" s="3469">
        <f t="shared" si="196"/>
        <v>16.719893220836717</v>
      </c>
      <c r="AM77" s="3473">
        <f t="shared" ref="AM77:AP77" si="197">+AM60/AM$5*1000</f>
        <v>18.349999999999998</v>
      </c>
      <c r="AN77" s="3473">
        <f t="shared" si="197"/>
        <v>15.728930781091735</v>
      </c>
      <c r="AO77" s="3474">
        <f t="shared" si="197"/>
        <v>17.710750853301764</v>
      </c>
      <c r="AP77" s="3474">
        <f t="shared" si="197"/>
        <v>15.334958788821783</v>
      </c>
      <c r="AQ77" s="3472">
        <f t="shared" ref="AQ77:AR77" si="198">SUM(AQ75:AQ76)</f>
        <v>18.350000000000001</v>
      </c>
      <c r="AR77" s="3472">
        <f t="shared" si="198"/>
        <v>16.420086952489171</v>
      </c>
      <c r="AS77" s="3474">
        <f t="shared" ref="AS77:AT77" si="199">+AS60/AS$5*1000</f>
        <v>17.777386503300971</v>
      </c>
      <c r="AT77" s="3474">
        <f t="shared" si="199"/>
        <v>15.46111700456224</v>
      </c>
      <c r="AU77" s="3472">
        <f t="shared" ref="AU77:AV77" si="200">SUM(AU75:AU76)</f>
        <v>18.350000000000001</v>
      </c>
      <c r="AV77" s="3472">
        <f t="shared" si="200"/>
        <v>16.267690271970565</v>
      </c>
      <c r="AW77" s="3474">
        <f t="shared" ref="AW77:AX77" si="201">+AW60/AW$5*1000</f>
        <v>17.826491869747272</v>
      </c>
      <c r="AX77" s="3474">
        <f t="shared" si="201"/>
        <v>15.537979120888515</v>
      </c>
      <c r="AY77" s="3469">
        <f t="shared" ref="AY77:AZ77" si="202">SUM(AY75:AY76)</f>
        <v>18.350000000000001</v>
      </c>
      <c r="AZ77" s="3472">
        <f t="shared" si="202"/>
        <v>16.669971919719714</v>
      </c>
      <c r="BA77" s="3473">
        <f t="shared" ref="BA77:BB77" si="203">+BA60/BA$5*1000</f>
        <v>18.349999999999998</v>
      </c>
      <c r="BB77" s="3473">
        <f t="shared" si="203"/>
        <v>16.457844143121207</v>
      </c>
      <c r="BC77" s="3475">
        <f t="shared" si="184"/>
        <v>18.349999999999998</v>
      </c>
      <c r="BD77" s="3475">
        <f t="shared" si="184"/>
        <v>16.169988704787301</v>
      </c>
      <c r="BE77" s="3474">
        <f t="shared" ref="BE77:BF77" si="204">+BE60/BE$5*1000</f>
        <v>17.872041850995341</v>
      </c>
      <c r="BF77" s="3476">
        <f t="shared" si="204"/>
        <v>15.644724268720097</v>
      </c>
      <c r="BG77" s="2534"/>
      <c r="BH77" s="2534"/>
      <c r="BI77" s="2534"/>
      <c r="BJ77" s="3763"/>
      <c r="BK77" s="3763"/>
      <c r="BL77" s="2534"/>
      <c r="BM77" s="3763"/>
      <c r="BN77" s="3763"/>
    </row>
    <row r="78" spans="1:66" ht="15" x14ac:dyDescent="0.25">
      <c r="A78" s="3387"/>
      <c r="B78" s="743" t="s">
        <v>85</v>
      </c>
      <c r="C78" s="3466" t="s">
        <v>271</v>
      </c>
      <c r="D78" s="3468">
        <f>'Maj Techno Summ'!D54</f>
        <v>2.1669656814109719</v>
      </c>
      <c r="E78" s="3469">
        <v>2.1749838575152265</v>
      </c>
      <c r="F78" s="2934">
        <f>+F61/F$49*1000</f>
        <v>2.2558253792141483</v>
      </c>
      <c r="G78" s="3469">
        <v>2.1669656814109719</v>
      </c>
      <c r="H78" s="2934">
        <f>+H61/H$49*1000</f>
        <v>2.3284500678462177</v>
      </c>
      <c r="I78" s="3202">
        <f t="shared" ref="I78:J78" si="205">+I61/I$5*1000</f>
        <v>2.1709119064595379</v>
      </c>
      <c r="J78" s="107">
        <f t="shared" si="205"/>
        <v>2.2945602243169287</v>
      </c>
      <c r="K78" s="3469">
        <v>2.1669656814109719</v>
      </c>
      <c r="L78" s="2934">
        <f>+L61/L$49*1000</f>
        <v>2.1614412291802991</v>
      </c>
      <c r="M78" s="3459">
        <f t="shared" si="134"/>
        <v>2.1696103208695017</v>
      </c>
      <c r="N78" s="3459">
        <f t="shared" si="134"/>
        <v>2.2473952534597759</v>
      </c>
      <c r="O78" s="3469">
        <v>2.1669656814109719</v>
      </c>
      <c r="P78" s="2934">
        <f>+P61/P$49*1000</f>
        <v>1.9155190854720372</v>
      </c>
      <c r="Q78" s="3202">
        <f t="shared" ref="Q78:R78" si="206">+Q61/Q$5*1000</f>
        <v>2.1689485098724441</v>
      </c>
      <c r="R78" s="3202">
        <f t="shared" si="206"/>
        <v>2.1579105692871714</v>
      </c>
      <c r="S78" s="3469">
        <v>2.1669656814109719</v>
      </c>
      <c r="T78" s="2934">
        <f>+T61/T$49*1000</f>
        <v>2.1715180245044028</v>
      </c>
      <c r="U78" s="3202">
        <f t="shared" ref="U78:V78" si="207">+U61/U$5*1000</f>
        <v>2.1685516318007148</v>
      </c>
      <c r="V78" s="3202">
        <f t="shared" si="207"/>
        <v>2.1606541100395034</v>
      </c>
      <c r="W78" s="3469">
        <v>2.1669656814109719</v>
      </c>
      <c r="X78" s="2934">
        <f>+X61/X$49*1000</f>
        <v>2.1203756194714845</v>
      </c>
      <c r="Y78" s="3473">
        <f t="shared" ref="Y78:Z78" si="208">+Y61/Y$5*1000</f>
        <v>2.1669656814109719</v>
      </c>
      <c r="Z78" s="3473">
        <f t="shared" si="208"/>
        <v>2.0649352276952255</v>
      </c>
      <c r="AA78" s="3475">
        <f t="shared" ref="AA78" si="209">+AA61/AA$5*1000</f>
        <v>2.1684008769199559</v>
      </c>
      <c r="AB78" s="3475">
        <f t="shared" ref="AB78" si="210">+AB61/AB$5*1000</f>
        <v>2.1541513846013713</v>
      </c>
      <c r="AC78" s="3469">
        <v>2.15</v>
      </c>
      <c r="AD78" s="2934">
        <f>+AD61/AD$49*1000</f>
        <v>2.7640480717478453</v>
      </c>
      <c r="AE78" s="3202">
        <f t="shared" ref="AE78:AF78" si="211">+AE61/AE$5*1000</f>
        <v>2.1656234905152805</v>
      </c>
      <c r="AF78" s="3202">
        <f t="shared" si="211"/>
        <v>2.2374024505647117</v>
      </c>
      <c r="AG78" s="3469">
        <v>2.15</v>
      </c>
      <c r="AH78" s="2934">
        <f>+AH61/AH$49*1000</f>
        <v>2.3944549464398235</v>
      </c>
      <c r="AI78" s="3202">
        <f t="shared" ref="AI78:AJ78" si="212">+AI61/AI$5*1000</f>
        <v>2.1636318694773986</v>
      </c>
      <c r="AJ78" s="3202">
        <f t="shared" si="212"/>
        <v>2.2381645126474106</v>
      </c>
      <c r="AK78" s="3469">
        <v>2.15</v>
      </c>
      <c r="AL78" s="2934">
        <f>+AL61/AL$49*1000</f>
        <v>2.290046474748002</v>
      </c>
      <c r="AM78" s="3473">
        <f t="shared" ref="AM78:AP78" si="213">+AM61/AM$5*1000</f>
        <v>2.15</v>
      </c>
      <c r="AN78" s="3473">
        <f t="shared" si="213"/>
        <v>2.5182633230323246</v>
      </c>
      <c r="AO78" s="3202">
        <f t="shared" si="213"/>
        <v>2.1620455141285162</v>
      </c>
      <c r="AP78" s="3202">
        <f t="shared" si="213"/>
        <v>2.2446813118067421</v>
      </c>
      <c r="AQ78" s="3472">
        <v>2.15</v>
      </c>
      <c r="AR78" s="2933">
        <f>+AR61/AR$49*1000</f>
        <v>2.1947640976099385</v>
      </c>
      <c r="AS78" s="3202">
        <f t="shared" ref="AS78:AT78" si="214">+AS61/AS$5*1000</f>
        <v>2.1607898837257635</v>
      </c>
      <c r="AT78" s="3202">
        <f t="shared" si="214"/>
        <v>2.2388780339132017</v>
      </c>
      <c r="AU78" s="3472">
        <v>2.15</v>
      </c>
      <c r="AV78" s="2933">
        <f>+AV61/AV$49*1000</f>
        <v>2.220768528578442</v>
      </c>
      <c r="AW78" s="3202">
        <f t="shared" ref="AW78:AX78" si="215">+AW61/AW$5*1000</f>
        <v>2.1598645803626377</v>
      </c>
      <c r="AX78" s="3202">
        <f t="shared" si="215"/>
        <v>2.2371531904342548</v>
      </c>
      <c r="AY78" s="3472">
        <v>2.15</v>
      </c>
      <c r="AZ78" s="2933">
        <f>+AZ61/AZ$49*1000</f>
        <v>2.0940112509992743</v>
      </c>
      <c r="BA78" s="3473">
        <f t="shared" ref="BA78:BB78" si="216">+BA61/BA$5*1000</f>
        <v>2.15</v>
      </c>
      <c r="BB78" s="3473">
        <f t="shared" si="216"/>
        <v>2.1684606175270567</v>
      </c>
      <c r="BC78" s="3475">
        <f t="shared" si="184"/>
        <v>2.1499999999999995</v>
      </c>
      <c r="BD78" s="3475">
        <f t="shared" si="184"/>
        <v>2.3066013299476</v>
      </c>
      <c r="BE78" s="3202">
        <f t="shared" ref="BE78:BF78" si="217">+BE61/BE$5*1000</f>
        <v>2.159006271915124</v>
      </c>
      <c r="BF78" s="107">
        <f t="shared" si="217"/>
        <v>2.2236546416740106</v>
      </c>
      <c r="BG78" s="2534"/>
      <c r="BH78" s="2534"/>
      <c r="BI78" s="2534"/>
      <c r="BJ78" s="3763"/>
      <c r="BK78" s="3763"/>
      <c r="BL78" s="2534"/>
      <c r="BM78" s="3763"/>
      <c r="BN78" s="3763"/>
    </row>
    <row r="79" spans="1:66" ht="15" x14ac:dyDescent="0.25">
      <c r="A79" s="3387"/>
      <c r="B79" s="3467" t="str">
        <f>+'Maj Techno Summ'!B19</f>
        <v>Ferro Alloys (FeMn+LCFeMn+SiMn+FeSi)</v>
      </c>
      <c r="C79" s="3466" t="s">
        <v>271</v>
      </c>
      <c r="D79" s="3468">
        <f>+D74+D77+D78</f>
        <v>22.017291674197072</v>
      </c>
      <c r="E79" s="3469">
        <f>+$D$79</f>
        <v>22.017291674197072</v>
      </c>
      <c r="F79" s="3469">
        <f>+F74+F77+F78</f>
        <v>20.621238851959742</v>
      </c>
      <c r="G79" s="3469">
        <f>+$D$79</f>
        <v>22.017291674197072</v>
      </c>
      <c r="H79" s="3469">
        <f>+H74+H77+H78</f>
        <v>19.422062634884242</v>
      </c>
      <c r="I79" s="3470">
        <f t="shared" ref="I79:J79" si="218">+I62/I$5*1000</f>
        <v>22.019642499003908</v>
      </c>
      <c r="J79" s="3471">
        <f t="shared" si="218"/>
        <v>19.981607454390545</v>
      </c>
      <c r="K79" s="3469">
        <f>+$D$79</f>
        <v>22.017291674197072</v>
      </c>
      <c r="L79" s="3469">
        <f>+L74+L77+L78</f>
        <v>19.733599832082785</v>
      </c>
      <c r="M79" s="3473">
        <f t="shared" si="134"/>
        <v>22.018867125157861</v>
      </c>
      <c r="N79" s="3473">
        <f t="shared" si="134"/>
        <v>19.893743514512209</v>
      </c>
      <c r="O79" s="3469">
        <f>+$D$79</f>
        <v>22.017291674197072</v>
      </c>
      <c r="P79" s="3469">
        <f>+P74+P77+P78</f>
        <v>20.120862507514435</v>
      </c>
      <c r="Q79" s="3202">
        <f t="shared" ref="Q79:R79" si="219">+Q62/Q$5*1000</f>
        <v>22.018472874528417</v>
      </c>
      <c r="R79" s="3202">
        <f t="shared" si="219"/>
        <v>19.954977449395336</v>
      </c>
      <c r="S79" s="3469">
        <f>+$D$79</f>
        <v>22.017291674197072</v>
      </c>
      <c r="T79" s="3469">
        <f>+T74+T77+T78</f>
        <v>19.080825878805143</v>
      </c>
      <c r="U79" s="3202">
        <f t="shared" ref="U79:V79" si="220">+U62/U$5*1000</f>
        <v>22.018236448373084</v>
      </c>
      <c r="V79" s="3202">
        <f t="shared" si="220"/>
        <v>19.778702387569535</v>
      </c>
      <c r="W79" s="3469">
        <f>+$D$79</f>
        <v>22.017291674197072</v>
      </c>
      <c r="X79" s="3469">
        <f>+X74+X77+X78</f>
        <v>17.25443537615287</v>
      </c>
      <c r="Y79" s="3473">
        <f t="shared" ref="Y79:Z79" si="221">+Y62/Y$5*1000</f>
        <v>22.017291674197072</v>
      </c>
      <c r="Z79" s="3473">
        <f t="shared" si="221"/>
        <v>18.871242154982866</v>
      </c>
      <c r="AA79" s="3475">
        <f t="shared" ref="AA79" si="222">+AA62/AA$5*1000</f>
        <v>22.018146641454045</v>
      </c>
      <c r="AB79" s="3475">
        <f t="shared" ref="AB79" si="223">+AB62/AB$5*1000</f>
        <v>19.371207236902968</v>
      </c>
      <c r="AC79" s="3469">
        <f>+$D$79</f>
        <v>22.017291674197072</v>
      </c>
      <c r="AD79" s="3469">
        <f>+AD74+AD77+AD78</f>
        <v>19.51940136661019</v>
      </c>
      <c r="AE79" s="3202">
        <f t="shared" ref="AE79:AF79" si="224">+AE62/AE$5*1000</f>
        <v>22.166345348573991</v>
      </c>
      <c r="AF79" s="3202">
        <f t="shared" si="224"/>
        <v>19.391435313202816</v>
      </c>
      <c r="AG79" s="3469">
        <f>+$D$79</f>
        <v>22.017291674197072</v>
      </c>
      <c r="AH79" s="3469">
        <f>+AH74+AH77+AH78</f>
        <v>17.643352236925015</v>
      </c>
      <c r="AI79" s="3202">
        <f t="shared" ref="AI79:AJ79" si="225">+AI62/AI$5*1000</f>
        <v>22.272616360194881</v>
      </c>
      <c r="AJ79" s="3202">
        <f t="shared" si="225"/>
        <v>19.382953131353897</v>
      </c>
      <c r="AK79" s="3469">
        <f>+$D$79</f>
        <v>22.017291674197072</v>
      </c>
      <c r="AL79" s="3469">
        <f>+AL74+AL77+AL78</f>
        <v>21.325525722095712</v>
      </c>
      <c r="AM79" s="3473">
        <f t="shared" ref="AM79:AP79" si="226">+AM62/AM$5*1000</f>
        <v>23.000000000000004</v>
      </c>
      <c r="AN79" s="3473">
        <f t="shared" si="226"/>
        <v>20.399868387945887</v>
      </c>
      <c r="AO79" s="3202">
        <f t="shared" si="226"/>
        <v>22.35726277861956</v>
      </c>
      <c r="AP79" s="3202">
        <f t="shared" si="226"/>
        <v>19.62696545105053</v>
      </c>
      <c r="AQ79" s="3472">
        <f>+$D$79</f>
        <v>22.017291674197072</v>
      </c>
      <c r="AR79" s="3472">
        <f>+AR74+AR77+AR78</f>
        <v>20.88683832892125</v>
      </c>
      <c r="AS79" s="3202">
        <f t="shared" ref="AS79:AT79" si="227">+AS62/AS$5*1000</f>
        <v>22.424262027263982</v>
      </c>
      <c r="AT79" s="3202">
        <f t="shared" si="227"/>
        <v>19.773439777723699</v>
      </c>
      <c r="AU79" s="3472">
        <f>+$D$79</f>
        <v>22.017291674197072</v>
      </c>
      <c r="AV79" s="3472">
        <f>+AV74+AV77+AV78</f>
        <v>20.637444912042085</v>
      </c>
      <c r="AW79" s="3202">
        <f t="shared" ref="AW79:AX79" si="228">+AW62/AW$5*1000</f>
        <v>22.473635338042079</v>
      </c>
      <c r="AX79" s="3202">
        <f t="shared" si="228"/>
        <v>19.855775955676773</v>
      </c>
      <c r="AY79" s="3472">
        <f>+$D$79</f>
        <v>22.017291674197072</v>
      </c>
      <c r="AZ79" s="3472">
        <f>+AZ74+AZ77+AZ78</f>
        <v>20.43098036269096</v>
      </c>
      <c r="BA79" s="3473">
        <f t="shared" ref="BA79:BB79" si="229">+BA62/BA$5*1000</f>
        <v>23</v>
      </c>
      <c r="BB79" s="3473">
        <f t="shared" si="229"/>
        <v>20.653008405767402</v>
      </c>
      <c r="BC79" s="3475">
        <f t="shared" si="184"/>
        <v>23</v>
      </c>
      <c r="BD79" s="3475">
        <f t="shared" si="184"/>
        <v>20.553040790155332</v>
      </c>
      <c r="BE79" s="3202">
        <f t="shared" ref="BE79:BF79" si="230">+BE62/BE$5*1000</f>
        <v>22.519433863597456</v>
      </c>
      <c r="BF79" s="107">
        <f t="shared" si="230"/>
        <v>19.910015441013623</v>
      </c>
      <c r="BG79" s="2534"/>
      <c r="BH79" s="2534"/>
      <c r="BI79" s="2534"/>
      <c r="BJ79" s="3763"/>
      <c r="BK79" s="3763"/>
      <c r="BL79" s="2534"/>
      <c r="BM79" s="3763"/>
      <c r="BN79" s="3763"/>
    </row>
    <row r="80" spans="1:66" ht="15" x14ac:dyDescent="0.25">
      <c r="B80" s="8" t="s">
        <v>86</v>
      </c>
      <c r="C80" s="2942" t="s">
        <v>271</v>
      </c>
      <c r="D80" s="1353">
        <v>1.9952000000000001</v>
      </c>
      <c r="E80" s="2934">
        <v>1.9952000000000001</v>
      </c>
      <c r="F80" s="2934">
        <f t="shared" ref="F80:H87" si="231">+F63/F$49*1000</f>
        <v>1.024057773861669</v>
      </c>
      <c r="G80" s="2934">
        <v>1.9952000000000001</v>
      </c>
      <c r="H80" s="2934">
        <f t="shared" si="231"/>
        <v>1.1832414137875515</v>
      </c>
      <c r="I80" s="3202">
        <f t="shared" ref="I80:I87" si="232">+I63/I$47*1000</f>
        <v>1.9951999999999952</v>
      </c>
      <c r="J80" s="2945">
        <f t="shared" ref="J80:J87" si="233">+J63/J$49*1000</f>
        <v>1.108963133670156</v>
      </c>
      <c r="K80" s="2934">
        <v>1.9952000000000001</v>
      </c>
      <c r="L80" s="2934">
        <f t="shared" ref="L80" si="234">+L63/L$49*1000</f>
        <v>1.0453750267505104</v>
      </c>
      <c r="M80" s="3459">
        <f t="shared" ref="M80:M87" si="235">+M63/M$47*1000</f>
        <v>1.995199999999997</v>
      </c>
      <c r="N80" s="3459">
        <f t="shared" ref="N80:N87" si="236">+N63/N$49*1000</f>
        <v>1.0864329527441543</v>
      </c>
      <c r="O80" s="2934">
        <v>1.9952000000000001</v>
      </c>
      <c r="P80" s="2934">
        <f t="shared" ref="P80:P87" si="237">+P63/P$49*1000</f>
        <v>1.0131600821708306</v>
      </c>
      <c r="Q80" s="3202">
        <f t="shared" ref="Q80:Q87" si="238">+Q63/Q$47*1000</f>
        <v>1.995199999999997</v>
      </c>
      <c r="R80" s="3202">
        <f t="shared" ref="R80:R87" si="239">+R63/R$49*1000</f>
        <v>1.0666762927957225</v>
      </c>
      <c r="S80" s="2934">
        <v>1.9952000000000001</v>
      </c>
      <c r="T80" s="2934">
        <f t="shared" ref="T80:T87" si="240">+T63/T$49*1000</f>
        <v>1.1236343266330922</v>
      </c>
      <c r="U80" s="3202">
        <f t="shared" ref="U80:U87" si="241">+U63/U$47*1000</f>
        <v>1.9951999999999965</v>
      </c>
      <c r="V80" s="3202">
        <f t="shared" ref="V80:V87" si="242">+V63/V$49*1000</f>
        <v>1.0781618092174645</v>
      </c>
      <c r="W80" s="2934">
        <v>1.9952000000000001</v>
      </c>
      <c r="X80" s="2934">
        <f t="shared" ref="X80:X87" si="243">+X63/X$49*1000</f>
        <v>1.3026424023988017</v>
      </c>
      <c r="Y80" s="3459">
        <f t="shared" ref="Y80:Y87" si="244">+Y63/Y$47*1000</f>
        <v>1.9951999999999985</v>
      </c>
      <c r="Z80" s="3459">
        <f t="shared" ref="Z80:Z87" si="245">+Z63/Z$49*1000</f>
        <v>1.1411580000717976</v>
      </c>
      <c r="AA80" s="3460">
        <f t="shared" ref="AA80:AA87" si="246">+AA63/AA$47*1000</f>
        <v>1.9951999999999979</v>
      </c>
      <c r="AB80" s="3460">
        <f t="shared" ref="AB80:AB87" si="247">+AB63/AB$49*1000</f>
        <v>1.1143994751363491</v>
      </c>
      <c r="AC80" s="2934">
        <v>2.1370778824327754</v>
      </c>
      <c r="AD80" s="2934">
        <f t="shared" ref="AD80:AD87" si="248">+AD63/AD$49*1000</f>
        <v>2.0554793966776326</v>
      </c>
      <c r="AE80" s="3202">
        <f t="shared" ref="AE80:AE87" si="249">+AE63/AE$47*1000</f>
        <v>2.0166147240648944</v>
      </c>
      <c r="AF80" s="3202">
        <f t="shared" ref="AF80:AF87" si="250">+AF63/AF$49*1000</f>
        <v>1.2428572958638997</v>
      </c>
      <c r="AG80" s="2934">
        <v>2.1370778824327754</v>
      </c>
      <c r="AH80" s="2934">
        <f t="shared" ref="AH80:AH87" si="251">+AH63/AH$49*1000</f>
        <v>1.0081915563957151</v>
      </c>
      <c r="AI80" s="3202">
        <f t="shared" ref="AI80:AI87" si="252">+AI63/AI$47*1000</f>
        <v>2.0319708930503415</v>
      </c>
      <c r="AJ80" s="3202">
        <f t="shared" ref="AJ80:AJ87" si="253">+AJ63/AJ$49*1000</f>
        <v>1.2417186322693685</v>
      </c>
      <c r="AK80" s="2934">
        <v>2.1370778824327754</v>
      </c>
      <c r="AL80" s="2934">
        <f t="shared" ref="AL80:AL87" si="254">+AL63/AL$49*1000</f>
        <v>1.5791956173448121</v>
      </c>
      <c r="AM80" s="3459">
        <f t="shared" ref="AM80:AM87" si="255">+AM63/AM$47*1000</f>
        <v>2.1370778824327763</v>
      </c>
      <c r="AN80" s="3459">
        <f t="shared" ref="AN80:AN87" si="256">+AN63/AN$49*1000</f>
        <v>1.7969788518857817</v>
      </c>
      <c r="AO80" s="3202">
        <f t="shared" ref="AO80:AO87" si="257">+AO63/AO$47*1000</f>
        <v>2.0442023067304826</v>
      </c>
      <c r="AP80" s="3202">
        <f t="shared" ref="AP80:AP87" si="258">+AP63/AP$49*1000</f>
        <v>1.2841106323333751</v>
      </c>
      <c r="AQ80" s="2933">
        <v>2.1370778824327754</v>
      </c>
      <c r="AR80" s="2933">
        <f t="shared" ref="AR80:AR87" si="259">+AR63/AR$49*1000</f>
        <v>1.8249057033830784</v>
      </c>
      <c r="AS80" s="3202">
        <f t="shared" ref="AS80:AS87" si="260">+AS63/AS$47*1000</f>
        <v>2.0538837030810897</v>
      </c>
      <c r="AT80" s="3202">
        <f t="shared" ref="AT80:AT87" si="261">+AT63/AT$49*1000</f>
        <v>1.3469837069831765</v>
      </c>
      <c r="AU80" s="2933">
        <v>2.1370778824327754</v>
      </c>
      <c r="AV80" s="2933">
        <f t="shared" ref="AV80:AV87" si="262">+AV63/AV$49*1000</f>
        <v>1.3190019139435596</v>
      </c>
      <c r="AW80" s="3202">
        <f t="shared" ref="AW80:AW87" si="263">+AW63/AW$47*1000</f>
        <v>2.061018150115284</v>
      </c>
      <c r="AX80" s="3202">
        <f t="shared" ref="AX80:AX87" si="264">+AX63/AX$49*1000</f>
        <v>1.3443173773015202</v>
      </c>
      <c r="AY80" s="2933">
        <v>2.1370778824327754</v>
      </c>
      <c r="AZ80" s="2933">
        <f t="shared" ref="AZ80:AZ87" si="265">+AZ63/AZ$49*1000</f>
        <v>0.98952296370750015</v>
      </c>
      <c r="BA80" s="3459">
        <f t="shared" ref="BA80:BA87" si="266">+BA63/BA$47*1000</f>
        <v>2.1370778824327745</v>
      </c>
      <c r="BB80" s="3459">
        <f t="shared" ref="BB80:BB87" si="267">+BB63/BB$49*1000</f>
        <v>1.3810766283911011</v>
      </c>
      <c r="BC80" s="3460">
        <f t="shared" ref="BC80:BC87" si="268">+BC63/BC$47*1000</f>
        <v>2.1370778824327754</v>
      </c>
      <c r="BD80" s="3460">
        <f t="shared" ref="BD80:BD87" si="269">+BD63/BD$49*1000</f>
        <v>1.5453205725319301</v>
      </c>
      <c r="BE80" s="3202">
        <f t="shared" ref="BE80:BE87" si="270">+BE63/BE$47*1000</f>
        <v>2.0676360404222063</v>
      </c>
      <c r="BF80" s="107">
        <f t="shared" ref="BF80:BF87" si="271">+BF63/BF$49*1000</f>
        <v>1.3108602471586417</v>
      </c>
      <c r="BG80" s="2534"/>
      <c r="BH80" s="2534"/>
      <c r="BI80" s="2534"/>
      <c r="BJ80" s="3763"/>
      <c r="BK80" s="3763"/>
      <c r="BL80" s="2534"/>
      <c r="BM80" s="3763"/>
      <c r="BN80" s="3763"/>
    </row>
    <row r="81" spans="1:66" ht="15" x14ac:dyDescent="0.25">
      <c r="B81" s="741" t="s">
        <v>848</v>
      </c>
      <c r="C81" s="2942" t="s">
        <v>271</v>
      </c>
      <c r="D81" s="1353">
        <v>0.67234373964268945</v>
      </c>
      <c r="E81" s="2934">
        <v>0.66167130934218188</v>
      </c>
      <c r="F81" s="2934">
        <f t="shared" si="231"/>
        <v>0.66683067692585773</v>
      </c>
      <c r="G81" s="2934">
        <v>0.67234373964268945</v>
      </c>
      <c r="H81" s="2934">
        <f t="shared" si="231"/>
        <v>0.67833117321344272</v>
      </c>
      <c r="I81" s="3012">
        <f t="shared" si="232"/>
        <v>0.66709119701537012</v>
      </c>
      <c r="J81" s="2945">
        <f t="shared" si="233"/>
        <v>0.67296481090927585</v>
      </c>
      <c r="K81" s="2934">
        <v>0.67234373964268945</v>
      </c>
      <c r="L81" s="2934">
        <f t="shared" ref="L81" si="272">+L64/L$49*1000</f>
        <v>0.58816208283067017</v>
      </c>
      <c r="M81" s="3477">
        <f t="shared" si="235"/>
        <v>0.6688236460548026</v>
      </c>
      <c r="N81" s="3477">
        <f t="shared" si="236"/>
        <v>0.64291798455786542</v>
      </c>
      <c r="O81" s="2934">
        <v>0.67234373964268945</v>
      </c>
      <c r="P81" s="2934">
        <f t="shared" si="237"/>
        <v>0.53922981462836794</v>
      </c>
      <c r="Q81" s="3012">
        <f t="shared" si="238"/>
        <v>0.66970453612835157</v>
      </c>
      <c r="R81" s="3012">
        <f t="shared" si="239"/>
        <v>0.61496040765466031</v>
      </c>
      <c r="S81" s="2934">
        <v>0.67234373964268945</v>
      </c>
      <c r="T81" s="2934">
        <f t="shared" si="240"/>
        <v>0.58985752106319866</v>
      </c>
      <c r="U81" s="3012">
        <f t="shared" si="241"/>
        <v>0.67023279261751501</v>
      </c>
      <c r="V81" s="3012">
        <f t="shared" si="242"/>
        <v>0.60989844190980014</v>
      </c>
      <c r="W81" s="2934">
        <v>0.67234373964268945</v>
      </c>
      <c r="X81" s="2934">
        <f t="shared" si="243"/>
        <v>0.53514577692590504</v>
      </c>
      <c r="Y81" s="3477">
        <f t="shared" si="244"/>
        <v>0.67234373964268901</v>
      </c>
      <c r="Z81" s="3477">
        <f t="shared" si="245"/>
        <v>0.55469190836680882</v>
      </c>
      <c r="AA81" s="3478">
        <f t="shared" si="246"/>
        <v>0.67043345183682379</v>
      </c>
      <c r="AB81" s="3478">
        <f t="shared" si="247"/>
        <v>0.59783119786949013</v>
      </c>
      <c r="AC81" s="2934">
        <v>0.70738063101139637</v>
      </c>
      <c r="AD81" s="2934">
        <f t="shared" si="248"/>
        <v>0.61389777775937082</v>
      </c>
      <c r="AE81" s="3012">
        <f t="shared" si="249"/>
        <v>0.67601017481459069</v>
      </c>
      <c r="AF81" s="3012">
        <f t="shared" si="250"/>
        <v>0.60002429304871685</v>
      </c>
      <c r="AG81" s="2934">
        <v>0.70738063101139637</v>
      </c>
      <c r="AH81" s="2934">
        <f t="shared" si="251"/>
        <v>0.68052930056710781</v>
      </c>
      <c r="AI81" s="3012">
        <f t="shared" si="252"/>
        <v>0.68000915701824149</v>
      </c>
      <c r="AJ81" s="3012">
        <f t="shared" si="253"/>
        <v>0.60041492579061762</v>
      </c>
      <c r="AK81" s="2934">
        <v>0.70738063101139637</v>
      </c>
      <c r="AL81" s="2934">
        <f t="shared" si="254"/>
        <v>0.56207871179181967</v>
      </c>
      <c r="AM81" s="3477">
        <f t="shared" si="255"/>
        <v>0.70738063101139659</v>
      </c>
      <c r="AN81" s="3477">
        <f t="shared" si="256"/>
        <v>0.58885465802359127</v>
      </c>
      <c r="AO81" s="3012">
        <f t="shared" si="257"/>
        <v>0.68319440495857942</v>
      </c>
      <c r="AP81" s="3012">
        <f t="shared" si="258"/>
        <v>0.59559934174144902</v>
      </c>
      <c r="AQ81" s="2933">
        <v>0.70738063101139637</v>
      </c>
      <c r="AR81" s="2933">
        <f t="shared" si="259"/>
        <v>0.5468132817856407</v>
      </c>
      <c r="AS81" s="3012">
        <f t="shared" si="260"/>
        <v>0.68571558922981646</v>
      </c>
      <c r="AT81" s="3202">
        <f t="shared" si="261"/>
        <v>0.58992745278817604</v>
      </c>
      <c r="AU81" s="2933">
        <v>0.70738063101139637</v>
      </c>
      <c r="AV81" s="2933">
        <f t="shared" si="262"/>
        <v>0.56143720243103712</v>
      </c>
      <c r="AW81" s="3012">
        <f t="shared" si="263"/>
        <v>0.68757350878967982</v>
      </c>
      <c r="AX81" s="3202">
        <f t="shared" si="264"/>
        <v>0.58721267321499049</v>
      </c>
      <c r="AY81" s="2933">
        <v>0.70738063101139637</v>
      </c>
      <c r="AZ81" s="2933">
        <f t="shared" si="265"/>
        <v>0.47147279201910719</v>
      </c>
      <c r="BA81" s="3477">
        <f t="shared" si="266"/>
        <v>0.70738063101139625</v>
      </c>
      <c r="BB81" s="3477">
        <f t="shared" si="267"/>
        <v>0.52563439628607167</v>
      </c>
      <c r="BC81" s="3478">
        <f t="shared" si="268"/>
        <v>0.70738063101139637</v>
      </c>
      <c r="BD81" s="3478">
        <f t="shared" si="269"/>
        <v>0.55060070940201622</v>
      </c>
      <c r="BE81" s="3012">
        <f t="shared" si="270"/>
        <v>0.68929690904583596</v>
      </c>
      <c r="BF81" s="107">
        <f t="shared" si="271"/>
        <v>0.57629839689179296</v>
      </c>
      <c r="BG81" s="2534"/>
      <c r="BH81" s="2534"/>
      <c r="BI81" s="2534"/>
      <c r="BJ81" s="3763"/>
      <c r="BK81" s="3763"/>
      <c r="BL81" s="2534"/>
      <c r="BM81" s="3763"/>
      <c r="BN81" s="3763"/>
    </row>
    <row r="82" spans="1:66" ht="15" x14ac:dyDescent="0.25">
      <c r="B82" s="8" t="s">
        <v>129</v>
      </c>
      <c r="C82" s="2942" t="s">
        <v>271</v>
      </c>
      <c r="D82" s="1353">
        <v>24</v>
      </c>
      <c r="E82" s="2934">
        <v>24</v>
      </c>
      <c r="F82" s="2934">
        <f t="shared" si="231"/>
        <v>24.433965349266252</v>
      </c>
      <c r="G82" s="2934">
        <v>24</v>
      </c>
      <c r="H82" s="2934">
        <f t="shared" si="231"/>
        <v>23.098254254069818</v>
      </c>
      <c r="I82" s="3202">
        <f t="shared" si="232"/>
        <v>23.99999999999994</v>
      </c>
      <c r="J82" s="107">
        <f t="shared" si="233"/>
        <v>23.721523849683475</v>
      </c>
      <c r="K82" s="2934">
        <v>24</v>
      </c>
      <c r="L82" s="2933">
        <f t="shared" ref="L82" si="273">+L65/L$49*1000</f>
        <v>22.060477307146794</v>
      </c>
      <c r="M82" s="2649">
        <f t="shared" si="235"/>
        <v>23.999999999999957</v>
      </c>
      <c r="N82" s="3459">
        <f t="shared" si="236"/>
        <v>23.13299116735103</v>
      </c>
      <c r="O82" s="2934">
        <v>24</v>
      </c>
      <c r="P82" s="2933">
        <f t="shared" si="237"/>
        <v>21.28556689598382</v>
      </c>
      <c r="Q82" s="3202">
        <f t="shared" si="238"/>
        <v>23.999999999999957</v>
      </c>
      <c r="R82" s="3202">
        <f t="shared" si="239"/>
        <v>22.634867744257388</v>
      </c>
      <c r="S82" s="2934">
        <v>24</v>
      </c>
      <c r="T82" s="2933">
        <f t="shared" si="240"/>
        <v>20.490225244073791</v>
      </c>
      <c r="U82" s="3202">
        <f t="shared" si="241"/>
        <v>23.999999999999957</v>
      </c>
      <c r="V82" s="3202">
        <f t="shared" si="242"/>
        <v>22.202403261284601</v>
      </c>
      <c r="W82" s="2934">
        <v>24</v>
      </c>
      <c r="X82" s="2933">
        <f t="shared" si="243"/>
        <v>21.489120842013946</v>
      </c>
      <c r="Y82" s="3459">
        <f t="shared" si="244"/>
        <v>23.999999999999986</v>
      </c>
      <c r="Z82" s="3459">
        <f t="shared" si="245"/>
        <v>21.086696286737315</v>
      </c>
      <c r="AA82" s="3460">
        <f t="shared" si="246"/>
        <v>23.999999999999972</v>
      </c>
      <c r="AB82" s="3460">
        <f t="shared" si="247"/>
        <v>22.087258830984272</v>
      </c>
      <c r="AC82" s="2934">
        <v>20</v>
      </c>
      <c r="AD82" s="2934">
        <f t="shared" si="248"/>
        <v>22.757929351651558</v>
      </c>
      <c r="AE82" s="3202">
        <f t="shared" si="249"/>
        <v>23.396249120787562</v>
      </c>
      <c r="AF82" s="3202">
        <f t="shared" si="250"/>
        <v>22.178805650270387</v>
      </c>
      <c r="AG82" s="2934">
        <v>20</v>
      </c>
      <c r="AH82" s="2934">
        <f t="shared" si="251"/>
        <v>22.432262129804663</v>
      </c>
      <c r="AI82" s="3202">
        <f t="shared" si="252"/>
        <v>22.963308658972487</v>
      </c>
      <c r="AJ82" s="3202">
        <f t="shared" si="253"/>
        <v>22.180035491774721</v>
      </c>
      <c r="AK82" s="2934">
        <v>20</v>
      </c>
      <c r="AL82" s="2934">
        <f t="shared" si="254"/>
        <v>17.177476856590264</v>
      </c>
      <c r="AM82" s="3459">
        <f t="shared" si="255"/>
        <v>20.000000000000007</v>
      </c>
      <c r="AN82" s="3459">
        <f t="shared" si="256"/>
        <v>19.933002968219387</v>
      </c>
      <c r="AO82" s="3202">
        <f t="shared" si="257"/>
        <v>22.618465235306747</v>
      </c>
      <c r="AP82" s="3202">
        <f t="shared" si="258"/>
        <v>21.551641629788762</v>
      </c>
      <c r="AQ82" s="2933">
        <v>20</v>
      </c>
      <c r="AR82" s="2933">
        <f t="shared" si="259"/>
        <v>24.512629261952455</v>
      </c>
      <c r="AS82" s="3202">
        <f t="shared" si="260"/>
        <v>22.345515112719642</v>
      </c>
      <c r="AT82" s="3202">
        <f t="shared" si="261"/>
        <v>21.895887364264134</v>
      </c>
      <c r="AU82" s="2933">
        <v>20</v>
      </c>
      <c r="AV82" s="2933">
        <f t="shared" si="262"/>
        <v>25.294252951636906</v>
      </c>
      <c r="AW82" s="3202">
        <f t="shared" si="263"/>
        <v>22.144371793920111</v>
      </c>
      <c r="AX82" s="3202">
        <f t="shared" si="264"/>
        <v>22.219710895583326</v>
      </c>
      <c r="AY82" s="2933">
        <v>20</v>
      </c>
      <c r="AZ82" s="2933">
        <f t="shared" si="265"/>
        <v>26.637605075226325</v>
      </c>
      <c r="BA82" s="3459">
        <f t="shared" si="266"/>
        <v>19.999999999999996</v>
      </c>
      <c r="BB82" s="3459">
        <f t="shared" si="267"/>
        <v>25.483540331549904</v>
      </c>
      <c r="BC82" s="3460">
        <f t="shared" si="268"/>
        <v>20.000000000000004</v>
      </c>
      <c r="BD82" s="3460">
        <f t="shared" si="269"/>
        <v>23.291577660626356</v>
      </c>
      <c r="BE82" s="3202">
        <f t="shared" si="270"/>
        <v>21.957791893136552</v>
      </c>
      <c r="BF82" s="107">
        <f t="shared" si="271"/>
        <v>22.636318527672241</v>
      </c>
      <c r="BG82" s="2534"/>
      <c r="BH82" s="2534"/>
      <c r="BI82" s="2534"/>
      <c r="BJ82" s="3763"/>
      <c r="BK82" s="3763"/>
      <c r="BL82" s="2534"/>
      <c r="BM82" s="3763"/>
      <c r="BN82" s="3763"/>
    </row>
    <row r="83" spans="1:66" ht="15" x14ac:dyDescent="0.25">
      <c r="B83" s="8" t="s">
        <v>544</v>
      </c>
      <c r="C83" s="2942" t="s">
        <v>271</v>
      </c>
      <c r="D83" s="1126">
        <v>0</v>
      </c>
      <c r="E83" s="2647">
        <v>0</v>
      </c>
      <c r="F83" s="2647">
        <f t="shared" si="231"/>
        <v>0</v>
      </c>
      <c r="G83" s="2647">
        <v>0</v>
      </c>
      <c r="H83" s="2647">
        <f t="shared" si="231"/>
        <v>0</v>
      </c>
      <c r="I83" s="2648">
        <f t="shared" si="232"/>
        <v>0</v>
      </c>
      <c r="J83" s="39">
        <f t="shared" si="233"/>
        <v>0</v>
      </c>
      <c r="K83" s="2647">
        <v>0</v>
      </c>
      <c r="L83" s="2647">
        <f t="shared" ref="L83" si="274">+L66/L$49*1000</f>
        <v>0</v>
      </c>
      <c r="M83" s="3459">
        <f t="shared" si="235"/>
        <v>0</v>
      </c>
      <c r="N83" s="3459">
        <f t="shared" si="236"/>
        <v>0</v>
      </c>
      <c r="O83" s="2647">
        <v>0</v>
      </c>
      <c r="P83" s="2647">
        <f t="shared" si="237"/>
        <v>0</v>
      </c>
      <c r="Q83" s="3202">
        <f t="shared" si="238"/>
        <v>0</v>
      </c>
      <c r="R83" s="3202">
        <f t="shared" si="239"/>
        <v>0</v>
      </c>
      <c r="S83" s="2647">
        <v>0</v>
      </c>
      <c r="T83" s="2647">
        <f t="shared" si="240"/>
        <v>0</v>
      </c>
      <c r="U83" s="3202">
        <f t="shared" si="241"/>
        <v>0</v>
      </c>
      <c r="V83" s="3202">
        <f t="shared" si="242"/>
        <v>0</v>
      </c>
      <c r="W83" s="2647">
        <v>0</v>
      </c>
      <c r="X83" s="2647">
        <f t="shared" si="243"/>
        <v>0</v>
      </c>
      <c r="Y83" s="3459">
        <f t="shared" si="244"/>
        <v>0</v>
      </c>
      <c r="Z83" s="3459">
        <f t="shared" si="245"/>
        <v>0</v>
      </c>
      <c r="AA83" s="3460">
        <f t="shared" si="246"/>
        <v>0</v>
      </c>
      <c r="AB83" s="3460">
        <f t="shared" si="247"/>
        <v>0</v>
      </c>
      <c r="AC83" s="2647">
        <v>0</v>
      </c>
      <c r="AD83" s="2647">
        <f t="shared" si="248"/>
        <v>0</v>
      </c>
      <c r="AE83" s="3202">
        <f t="shared" si="249"/>
        <v>0</v>
      </c>
      <c r="AF83" s="3202">
        <f t="shared" si="250"/>
        <v>0</v>
      </c>
      <c r="AG83" s="2647">
        <v>0</v>
      </c>
      <c r="AH83" s="2647">
        <f t="shared" si="251"/>
        <v>0</v>
      </c>
      <c r="AI83" s="3202">
        <f t="shared" si="252"/>
        <v>0</v>
      </c>
      <c r="AJ83" s="3202">
        <f t="shared" si="253"/>
        <v>0</v>
      </c>
      <c r="AK83" s="2647">
        <v>0</v>
      </c>
      <c r="AL83" s="2647">
        <f t="shared" si="254"/>
        <v>0</v>
      </c>
      <c r="AM83" s="3459">
        <f t="shared" si="255"/>
        <v>0</v>
      </c>
      <c r="AN83" s="3459">
        <f t="shared" si="256"/>
        <v>0</v>
      </c>
      <c r="AO83" s="3202">
        <f t="shared" si="257"/>
        <v>0</v>
      </c>
      <c r="AP83" s="3202">
        <f t="shared" si="258"/>
        <v>0</v>
      </c>
      <c r="AQ83" s="2933">
        <v>0</v>
      </c>
      <c r="AR83" s="2933">
        <f t="shared" si="259"/>
        <v>0</v>
      </c>
      <c r="AS83" s="3202">
        <f t="shared" si="260"/>
        <v>0</v>
      </c>
      <c r="AT83" s="3202">
        <f t="shared" si="261"/>
        <v>0</v>
      </c>
      <c r="AU83" s="2933">
        <v>0</v>
      </c>
      <c r="AV83" s="2933">
        <f t="shared" si="262"/>
        <v>0</v>
      </c>
      <c r="AW83" s="3202">
        <f t="shared" si="263"/>
        <v>0</v>
      </c>
      <c r="AX83" s="3202">
        <f t="shared" si="264"/>
        <v>0</v>
      </c>
      <c r="AY83" s="2933">
        <v>0</v>
      </c>
      <c r="AZ83" s="2933">
        <f t="shared" si="265"/>
        <v>0</v>
      </c>
      <c r="BA83" s="3459">
        <f t="shared" si="266"/>
        <v>0</v>
      </c>
      <c r="BB83" s="3459">
        <f t="shared" si="267"/>
        <v>0</v>
      </c>
      <c r="BC83" s="3460">
        <f t="shared" si="268"/>
        <v>0</v>
      </c>
      <c r="BD83" s="3460">
        <f t="shared" si="269"/>
        <v>0</v>
      </c>
      <c r="BE83" s="3202">
        <f t="shared" si="270"/>
        <v>0</v>
      </c>
      <c r="BF83" s="107">
        <f t="shared" si="271"/>
        <v>0</v>
      </c>
      <c r="BG83" s="2534"/>
      <c r="BH83" s="2534"/>
      <c r="BI83" s="2534"/>
      <c r="BJ83" s="3763"/>
      <c r="BK83" s="3763"/>
      <c r="BL83" s="2534"/>
      <c r="BM83" s="3763"/>
      <c r="BN83" s="3763"/>
    </row>
    <row r="84" spans="1:66" ht="15" x14ac:dyDescent="0.25">
      <c r="A84" s="4">
        <f>5021-2500</f>
        <v>2521</v>
      </c>
      <c r="B84" s="8" t="s">
        <v>130</v>
      </c>
      <c r="C84" s="2942" t="s">
        <v>271</v>
      </c>
      <c r="D84" s="1353">
        <v>6</v>
      </c>
      <c r="E84" s="2934">
        <v>6</v>
      </c>
      <c r="F84" s="2934">
        <f t="shared" si="231"/>
        <v>0</v>
      </c>
      <c r="G84" s="2934">
        <v>6</v>
      </c>
      <c r="H84" s="2934">
        <f t="shared" si="231"/>
        <v>0</v>
      </c>
      <c r="I84" s="3202">
        <f t="shared" si="232"/>
        <v>5.9999999999999849</v>
      </c>
      <c r="J84" s="107">
        <f t="shared" si="233"/>
        <v>0</v>
      </c>
      <c r="K84" s="2934">
        <v>6</v>
      </c>
      <c r="L84" s="2934">
        <f t="shared" ref="L84" si="275">+L67/L$49*1000</f>
        <v>0</v>
      </c>
      <c r="M84" s="3459">
        <f t="shared" si="235"/>
        <v>5.9999999999999893</v>
      </c>
      <c r="N84" s="3459">
        <f t="shared" si="236"/>
        <v>0</v>
      </c>
      <c r="O84" s="2934">
        <v>6</v>
      </c>
      <c r="P84" s="2934">
        <f t="shared" si="237"/>
        <v>0</v>
      </c>
      <c r="Q84" s="3202">
        <f t="shared" si="238"/>
        <v>5.9999999999999893</v>
      </c>
      <c r="R84" s="3202">
        <f t="shared" si="239"/>
        <v>0</v>
      </c>
      <c r="S84" s="2934">
        <v>6</v>
      </c>
      <c r="T84" s="2934">
        <f t="shared" si="240"/>
        <v>0</v>
      </c>
      <c r="U84" s="3202">
        <f t="shared" si="241"/>
        <v>5.9999999999999893</v>
      </c>
      <c r="V84" s="3202">
        <f t="shared" si="242"/>
        <v>0</v>
      </c>
      <c r="W84" s="2934">
        <v>6</v>
      </c>
      <c r="X84" s="2934">
        <f t="shared" si="243"/>
        <v>0</v>
      </c>
      <c r="Y84" s="3459">
        <f t="shared" si="244"/>
        <v>5.9999999999999964</v>
      </c>
      <c r="Z84" s="3459">
        <f t="shared" si="245"/>
        <v>0</v>
      </c>
      <c r="AA84" s="3460">
        <f t="shared" si="246"/>
        <v>5.9999999999999929</v>
      </c>
      <c r="AB84" s="3460">
        <f t="shared" si="247"/>
        <v>0</v>
      </c>
      <c r="AC84" s="2934">
        <v>10</v>
      </c>
      <c r="AD84" s="2934">
        <f t="shared" si="248"/>
        <v>0</v>
      </c>
      <c r="AE84" s="3202">
        <f t="shared" si="249"/>
        <v>6.6037508792124102</v>
      </c>
      <c r="AF84" s="3202">
        <f t="shared" si="250"/>
        <v>0</v>
      </c>
      <c r="AG84" s="2934">
        <v>10</v>
      </c>
      <c r="AH84" s="2934">
        <f t="shared" si="251"/>
        <v>0</v>
      </c>
      <c r="AI84" s="3202">
        <f t="shared" si="252"/>
        <v>7.0366913410274865</v>
      </c>
      <c r="AJ84" s="3202">
        <f t="shared" si="253"/>
        <v>0</v>
      </c>
      <c r="AK84" s="2934">
        <v>10</v>
      </c>
      <c r="AL84" s="2934">
        <f t="shared" si="254"/>
        <v>6.5210988834831589</v>
      </c>
      <c r="AM84" s="3459">
        <f t="shared" si="255"/>
        <v>10.000000000000004</v>
      </c>
      <c r="AN84" s="3459">
        <f t="shared" si="256"/>
        <v>3.2946045968035151</v>
      </c>
      <c r="AO84" s="3202">
        <f t="shared" si="257"/>
        <v>7.3815347646932326</v>
      </c>
      <c r="AP84" s="3202">
        <f t="shared" si="258"/>
        <v>0.81914452395683324</v>
      </c>
      <c r="AQ84" s="2933">
        <v>10</v>
      </c>
      <c r="AR84" s="2933">
        <f t="shared" si="259"/>
        <v>0</v>
      </c>
      <c r="AS84" s="3202">
        <f t="shared" si="260"/>
        <v>7.6544848872803444</v>
      </c>
      <c r="AT84" s="3202">
        <f t="shared" si="261"/>
        <v>0.72391041854284244</v>
      </c>
      <c r="AU84" s="2933">
        <v>10</v>
      </c>
      <c r="AV84" s="2933">
        <f t="shared" si="262"/>
        <v>0</v>
      </c>
      <c r="AW84" s="3202">
        <f t="shared" si="263"/>
        <v>7.8556282060798663</v>
      </c>
      <c r="AX84" s="3202">
        <f t="shared" si="264"/>
        <v>0.65493042740759688</v>
      </c>
      <c r="AY84" s="2933">
        <v>10</v>
      </c>
      <c r="AZ84" s="2933">
        <f t="shared" si="265"/>
        <v>0</v>
      </c>
      <c r="BA84" s="3459">
        <f t="shared" si="266"/>
        <v>9.9999999999999982</v>
      </c>
      <c r="BB84" s="3459">
        <f t="shared" si="267"/>
        <v>0</v>
      </c>
      <c r="BC84" s="3460">
        <f t="shared" si="268"/>
        <v>10.000000000000002</v>
      </c>
      <c r="BD84" s="3460">
        <f t="shared" si="269"/>
        <v>1.3010722780385344</v>
      </c>
      <c r="BE84" s="3202">
        <f t="shared" si="270"/>
        <v>8.0422081068634323</v>
      </c>
      <c r="BF84" s="107">
        <f t="shared" si="271"/>
        <v>0.59317045683100156</v>
      </c>
      <c r="BG84" s="2534"/>
      <c r="BH84" s="2534"/>
      <c r="BI84" s="2534"/>
      <c r="BJ84" s="3763"/>
      <c r="BK84" s="3763"/>
      <c r="BL84" s="2534"/>
      <c r="BM84" s="3763"/>
      <c r="BN84" s="3763"/>
    </row>
    <row r="85" spans="1:66" ht="15" x14ac:dyDescent="0.25">
      <c r="B85" s="8" t="s">
        <v>1201</v>
      </c>
      <c r="C85" s="2942" t="s">
        <v>271</v>
      </c>
      <c r="D85" s="1126">
        <v>0</v>
      </c>
      <c r="E85" s="2647">
        <v>0</v>
      </c>
      <c r="F85" s="2647">
        <f t="shared" si="231"/>
        <v>0</v>
      </c>
      <c r="G85" s="2647">
        <v>0</v>
      </c>
      <c r="H85" s="2647">
        <f t="shared" si="231"/>
        <v>0</v>
      </c>
      <c r="I85" s="2648">
        <f t="shared" si="232"/>
        <v>0</v>
      </c>
      <c r="J85" s="39">
        <f t="shared" si="233"/>
        <v>0</v>
      </c>
      <c r="K85" s="2647">
        <v>0</v>
      </c>
      <c r="L85" s="2647">
        <f t="shared" ref="L85" si="276">+L68/L$49*1000</f>
        <v>0</v>
      </c>
      <c r="M85" s="3459">
        <f t="shared" si="235"/>
        <v>0</v>
      </c>
      <c r="N85" s="3459">
        <f t="shared" si="236"/>
        <v>0</v>
      </c>
      <c r="O85" s="2647">
        <v>0</v>
      </c>
      <c r="P85" s="2647">
        <f t="shared" si="237"/>
        <v>0</v>
      </c>
      <c r="Q85" s="3202">
        <f t="shared" si="238"/>
        <v>0</v>
      </c>
      <c r="R85" s="3202">
        <f t="shared" si="239"/>
        <v>0</v>
      </c>
      <c r="S85" s="2647">
        <v>0</v>
      </c>
      <c r="T85" s="2647">
        <f t="shared" si="240"/>
        <v>0</v>
      </c>
      <c r="U85" s="3202">
        <f t="shared" si="241"/>
        <v>0</v>
      </c>
      <c r="V85" s="3202">
        <f t="shared" si="242"/>
        <v>0</v>
      </c>
      <c r="W85" s="2647">
        <v>0</v>
      </c>
      <c r="X85" s="2647">
        <f t="shared" si="243"/>
        <v>0</v>
      </c>
      <c r="Y85" s="3459">
        <f t="shared" si="244"/>
        <v>0</v>
      </c>
      <c r="Z85" s="3459">
        <f t="shared" si="245"/>
        <v>0</v>
      </c>
      <c r="AA85" s="3460">
        <f t="shared" si="246"/>
        <v>0</v>
      </c>
      <c r="AB85" s="3460">
        <f t="shared" si="247"/>
        <v>0</v>
      </c>
      <c r="AC85" s="2647">
        <v>0</v>
      </c>
      <c r="AD85" s="2933">
        <f t="shared" si="248"/>
        <v>1.8006827828976193</v>
      </c>
      <c r="AE85" s="3202">
        <f t="shared" si="249"/>
        <v>0</v>
      </c>
      <c r="AF85" s="3202">
        <f t="shared" si="250"/>
        <v>0.24579398711834269</v>
      </c>
      <c r="AG85" s="2647">
        <v>0</v>
      </c>
      <c r="AH85" s="2933">
        <f t="shared" si="251"/>
        <v>0</v>
      </c>
      <c r="AI85" s="3202">
        <f t="shared" si="252"/>
        <v>0</v>
      </c>
      <c r="AJ85" s="3202">
        <f t="shared" si="253"/>
        <v>0.24460132616357108</v>
      </c>
      <c r="AK85" s="2647">
        <v>0</v>
      </c>
      <c r="AL85" s="2933">
        <f t="shared" si="254"/>
        <v>0</v>
      </c>
      <c r="AM85" s="3459">
        <f t="shared" si="255"/>
        <v>0</v>
      </c>
      <c r="AN85" s="3459">
        <f t="shared" si="256"/>
        <v>0.86021007749439038</v>
      </c>
      <c r="AO85" s="3202">
        <f t="shared" si="257"/>
        <v>0</v>
      </c>
      <c r="AP85" s="3202">
        <f t="shared" si="258"/>
        <v>0.21387585481901653</v>
      </c>
      <c r="AQ85" s="2933">
        <v>0</v>
      </c>
      <c r="AR85" s="2933">
        <f t="shared" si="259"/>
        <v>0</v>
      </c>
      <c r="AS85" s="3202">
        <f t="shared" si="260"/>
        <v>0</v>
      </c>
      <c r="AT85" s="3202">
        <f t="shared" si="261"/>
        <v>0.18901055314434528</v>
      </c>
      <c r="AU85" s="2933">
        <v>0</v>
      </c>
      <c r="AV85" s="2933">
        <f t="shared" si="262"/>
        <v>0</v>
      </c>
      <c r="AW85" s="3202">
        <f t="shared" si="263"/>
        <v>0</v>
      </c>
      <c r="AX85" s="3202">
        <f t="shared" si="264"/>
        <v>0.17100011159467279</v>
      </c>
      <c r="AY85" s="2933">
        <v>0</v>
      </c>
      <c r="AZ85" s="2933">
        <f t="shared" si="265"/>
        <v>0</v>
      </c>
      <c r="BA85" s="3459">
        <f t="shared" si="266"/>
        <v>0</v>
      </c>
      <c r="BB85" s="3459">
        <f t="shared" si="267"/>
        <v>0</v>
      </c>
      <c r="BC85" s="3460">
        <f t="shared" si="268"/>
        <v>0</v>
      </c>
      <c r="BD85" s="3460">
        <f t="shared" si="269"/>
        <v>0.33970555562363819</v>
      </c>
      <c r="BE85" s="3202">
        <f t="shared" si="270"/>
        <v>0</v>
      </c>
      <c r="BF85" s="107">
        <f t="shared" si="271"/>
        <v>0.15487479290626674</v>
      </c>
      <c r="BG85" s="2534"/>
      <c r="BH85" s="2534"/>
      <c r="BI85" s="2534"/>
      <c r="BJ85" s="3763"/>
      <c r="BK85" s="3763"/>
      <c r="BL85" s="2534"/>
      <c r="BM85" s="3763"/>
      <c r="BN85" s="3763"/>
    </row>
    <row r="86" spans="1:66" ht="15" x14ac:dyDescent="0.25">
      <c r="B86" s="8" t="s">
        <v>131</v>
      </c>
      <c r="C86" s="2942" t="s">
        <v>271</v>
      </c>
      <c r="D86" s="1353">
        <v>14.999999999999995</v>
      </c>
      <c r="E86" s="2934">
        <v>14.999999999999995</v>
      </c>
      <c r="F86" s="2934">
        <f t="shared" si="231"/>
        <v>21.956668154609726</v>
      </c>
      <c r="G86" s="2934">
        <v>14.999999999999995</v>
      </c>
      <c r="H86" s="2934">
        <f t="shared" si="231"/>
        <v>18.056263974398039</v>
      </c>
      <c r="I86" s="3202">
        <f t="shared" si="232"/>
        <v>14.999999999999956</v>
      </c>
      <c r="J86" s="107">
        <f t="shared" si="233"/>
        <v>19.876270819345915</v>
      </c>
      <c r="K86" s="2934">
        <v>15</v>
      </c>
      <c r="L86" s="2933">
        <f t="shared" ref="L86" si="277">+L69/L$49*1000</f>
        <v>17.563121962199734</v>
      </c>
      <c r="M86" s="3459">
        <f t="shared" si="235"/>
        <v>14.999999999999972</v>
      </c>
      <c r="N86" s="3459">
        <f t="shared" si="236"/>
        <v>19.056688907178998</v>
      </c>
      <c r="O86" s="2934">
        <v>15</v>
      </c>
      <c r="P86" s="2933">
        <f t="shared" si="237"/>
        <v>13.605517803844243</v>
      </c>
      <c r="Q86" s="3202">
        <f t="shared" si="238"/>
        <v>14.999999999999972</v>
      </c>
      <c r="R86" s="3202">
        <f t="shared" si="239"/>
        <v>17.586882511351625</v>
      </c>
      <c r="S86" s="2934">
        <v>15</v>
      </c>
      <c r="T86" s="2933">
        <f t="shared" si="240"/>
        <v>7.2457580594776267</v>
      </c>
      <c r="U86" s="3202">
        <f t="shared" si="241"/>
        <v>14.999999999999973</v>
      </c>
      <c r="V86" s="3202">
        <f t="shared" si="242"/>
        <v>15.501607674611192</v>
      </c>
      <c r="W86" s="2934">
        <v>15</v>
      </c>
      <c r="X86" s="2933">
        <f t="shared" si="243"/>
        <v>3.8757468703520352</v>
      </c>
      <c r="Y86" s="3459">
        <f t="shared" si="244"/>
        <v>14.999999999999993</v>
      </c>
      <c r="Z86" s="3459">
        <f t="shared" si="245"/>
        <v>8.4276502625192542</v>
      </c>
      <c r="AA86" s="3460">
        <f t="shared" si="246"/>
        <v>14.999999999999982</v>
      </c>
      <c r="AB86" s="3460">
        <f t="shared" si="247"/>
        <v>13.624857199776706</v>
      </c>
      <c r="AC86" s="2934">
        <v>15</v>
      </c>
      <c r="AD86" s="2934">
        <f t="shared" si="248"/>
        <v>13.703195977850882</v>
      </c>
      <c r="AE86" s="3202">
        <f t="shared" si="249"/>
        <v>14.999999999999984</v>
      </c>
      <c r="AF86" s="3202">
        <f t="shared" si="250"/>
        <v>13.635550477233297</v>
      </c>
      <c r="AG86" s="2934">
        <v>15</v>
      </c>
      <c r="AH86" s="2934">
        <f t="shared" si="251"/>
        <v>12.463768115942031</v>
      </c>
      <c r="AI86" s="3202">
        <f t="shared" si="252"/>
        <v>14.999999999999984</v>
      </c>
      <c r="AJ86" s="3202">
        <f t="shared" si="253"/>
        <v>13.629864662514285</v>
      </c>
      <c r="AK86" s="2934">
        <v>15</v>
      </c>
      <c r="AL86" s="2934">
        <f t="shared" si="254"/>
        <v>17.675710945566575</v>
      </c>
      <c r="AM86" s="3459">
        <f t="shared" si="255"/>
        <v>15.000000000000007</v>
      </c>
      <c r="AN86" s="3459">
        <f t="shared" si="256"/>
        <v>15.689049024641125</v>
      </c>
      <c r="AO86" s="3202">
        <f t="shared" si="257"/>
        <v>14.999999999999988</v>
      </c>
      <c r="AP86" s="3202">
        <f t="shared" si="258"/>
        <v>14.13808158833449</v>
      </c>
      <c r="AQ86" s="2933">
        <v>15</v>
      </c>
      <c r="AR86" s="2933">
        <f t="shared" si="259"/>
        <v>17.536571577699259</v>
      </c>
      <c r="AS86" s="3202">
        <f t="shared" si="260"/>
        <v>14.999999999999989</v>
      </c>
      <c r="AT86" s="3202">
        <f t="shared" si="261"/>
        <v>14.53319154076654</v>
      </c>
      <c r="AU86" s="2933">
        <v>15</v>
      </c>
      <c r="AV86" s="2933">
        <f t="shared" si="262"/>
        <v>11.664194136264831</v>
      </c>
      <c r="AW86" s="3202">
        <f t="shared" si="263"/>
        <v>14.999999999999988</v>
      </c>
      <c r="AX86" s="3202">
        <f t="shared" si="264"/>
        <v>14.259810455952303</v>
      </c>
      <c r="AY86" s="2933">
        <v>15</v>
      </c>
      <c r="AZ86" s="2933">
        <f t="shared" si="265"/>
        <v>24.322967156460003</v>
      </c>
      <c r="BA86" s="3459">
        <f t="shared" si="266"/>
        <v>15</v>
      </c>
      <c r="BB86" s="3459">
        <f t="shared" si="267"/>
        <v>18.019260460974746</v>
      </c>
      <c r="BC86" s="3460">
        <f t="shared" si="268"/>
        <v>15.000000000000004</v>
      </c>
      <c r="BD86" s="3460">
        <f t="shared" si="269"/>
        <v>17.099036679121376</v>
      </c>
      <c r="BE86" s="3202">
        <f t="shared" si="270"/>
        <v>14.999999999999989</v>
      </c>
      <c r="BF86" s="107">
        <f t="shared" si="271"/>
        <v>15.208766613312557</v>
      </c>
      <c r="BG86" s="2534"/>
      <c r="BH86" s="2534"/>
      <c r="BI86" s="2534"/>
      <c r="BJ86" s="3763"/>
      <c r="BK86" s="3763"/>
      <c r="BL86" s="2534"/>
      <c r="BM86" s="3763"/>
      <c r="BN86" s="3763"/>
    </row>
    <row r="87" spans="1:66" ht="15" x14ac:dyDescent="0.25">
      <c r="B87" s="8" t="s">
        <v>118</v>
      </c>
      <c r="C87" s="2942" t="s">
        <v>271</v>
      </c>
      <c r="D87" s="1353">
        <v>67</v>
      </c>
      <c r="E87" s="2934">
        <v>67</v>
      </c>
      <c r="F87" s="2934">
        <f t="shared" si="231"/>
        <v>67.167229648868457</v>
      </c>
      <c r="G87" s="2934">
        <v>67</v>
      </c>
      <c r="H87" s="2934">
        <f t="shared" si="231"/>
        <v>66.359014038736788</v>
      </c>
      <c r="I87" s="3202">
        <f t="shared" si="232"/>
        <v>66.999999999999829</v>
      </c>
      <c r="J87" s="107">
        <f t="shared" si="233"/>
        <v>66.736143657789114</v>
      </c>
      <c r="K87" s="2933">
        <v>67</v>
      </c>
      <c r="L87" s="2933">
        <f t="shared" ref="L87" si="278">+L70/L$49*1000</f>
        <v>65.464649688461819</v>
      </c>
      <c r="M87" s="3459">
        <f t="shared" si="235"/>
        <v>66.999999999999886</v>
      </c>
      <c r="N87" s="3459">
        <f t="shared" si="236"/>
        <v>66.28563505542634</v>
      </c>
      <c r="O87" s="2933">
        <v>67</v>
      </c>
      <c r="P87" s="2933">
        <f t="shared" si="237"/>
        <v>67.290631356027248</v>
      </c>
      <c r="Q87" s="3202">
        <f t="shared" si="238"/>
        <v>66.999999999999872</v>
      </c>
      <c r="R87" s="3202">
        <f t="shared" si="239"/>
        <v>66.556613522695955</v>
      </c>
      <c r="S87" s="2933">
        <v>67</v>
      </c>
      <c r="T87" s="2933">
        <f t="shared" si="240"/>
        <v>66.414641519197389</v>
      </c>
      <c r="U87" s="3202">
        <f t="shared" si="241"/>
        <v>66.999999999999886</v>
      </c>
      <c r="V87" s="3202">
        <f t="shared" si="242"/>
        <v>66.527985045416258</v>
      </c>
      <c r="W87" s="2933">
        <v>67</v>
      </c>
      <c r="X87" s="2933">
        <f t="shared" si="243"/>
        <v>68.575733557390777</v>
      </c>
      <c r="Y87" s="3459">
        <f t="shared" si="244"/>
        <v>66.999999999999957</v>
      </c>
      <c r="Z87" s="3459">
        <f t="shared" si="245"/>
        <v>67.406720046217799</v>
      </c>
      <c r="AA87" s="3460">
        <f t="shared" si="246"/>
        <v>66.999999999999915</v>
      </c>
      <c r="AB87" s="3460">
        <f t="shared" si="247"/>
        <v>66.85855093269933</v>
      </c>
      <c r="AC87" s="2934">
        <v>70</v>
      </c>
      <c r="AD87" s="2934">
        <f t="shared" si="248"/>
        <v>68.143405116352014</v>
      </c>
      <c r="AE87" s="3202">
        <f t="shared" si="249"/>
        <v>67.452813159409246</v>
      </c>
      <c r="AF87" s="3202">
        <f t="shared" si="250"/>
        <v>67.033934090502115</v>
      </c>
      <c r="AG87" s="2934">
        <v>70</v>
      </c>
      <c r="AH87" s="2934">
        <f t="shared" si="251"/>
        <v>79.727662255828619</v>
      </c>
      <c r="AI87" s="3202">
        <f t="shared" si="252"/>
        <v>67.777518505770558</v>
      </c>
      <c r="AJ87" s="3202">
        <f t="shared" si="253"/>
        <v>67.095527598670316</v>
      </c>
      <c r="AK87" s="2934">
        <v>70</v>
      </c>
      <c r="AL87" s="2934">
        <f t="shared" si="254"/>
        <v>66.182441021832346</v>
      </c>
      <c r="AM87" s="3459">
        <f t="shared" si="255"/>
        <v>70.000000000000014</v>
      </c>
      <c r="AN87" s="3459">
        <f t="shared" si="256"/>
        <v>67.350360919417469</v>
      </c>
      <c r="AO87" s="3202">
        <f t="shared" si="257"/>
        <v>68.036151073519875</v>
      </c>
      <c r="AP87" s="3202">
        <f t="shared" si="258"/>
        <v>66.980830692109095</v>
      </c>
      <c r="AQ87" s="2933">
        <v>70</v>
      </c>
      <c r="AR87" s="2933">
        <f t="shared" si="259"/>
        <v>66.009704677826718</v>
      </c>
      <c r="AS87" s="3202">
        <f t="shared" si="260"/>
        <v>68.240863665460211</v>
      </c>
      <c r="AT87" s="3202">
        <f t="shared" si="261"/>
        <v>66.867927151269072</v>
      </c>
      <c r="AU87" s="2933">
        <v>70</v>
      </c>
      <c r="AV87" s="2933">
        <f t="shared" si="262"/>
        <v>67.556904726024229</v>
      </c>
      <c r="AW87" s="3202">
        <f t="shared" si="263"/>
        <v>68.39172115455986</v>
      </c>
      <c r="AX87" s="3202">
        <f t="shared" si="264"/>
        <v>66.933578460853298</v>
      </c>
      <c r="AY87" s="2933">
        <v>70</v>
      </c>
      <c r="AZ87" s="2933">
        <f t="shared" si="265"/>
        <v>66.364784150552012</v>
      </c>
      <c r="BA87" s="3459">
        <f t="shared" si="266"/>
        <v>69.999999999999972</v>
      </c>
      <c r="BB87" s="3459">
        <f t="shared" si="267"/>
        <v>66.615111150983921</v>
      </c>
      <c r="BC87" s="3460">
        <f t="shared" si="268"/>
        <v>70</v>
      </c>
      <c r="BD87" s="3460">
        <f t="shared" si="269"/>
        <v>66.905468631839526</v>
      </c>
      <c r="BE87" s="3202">
        <f t="shared" si="270"/>
        <v>68.531656080147528</v>
      </c>
      <c r="BF87" s="107">
        <f t="shared" si="271"/>
        <v>66.879941130232694</v>
      </c>
      <c r="BG87" s="2534"/>
      <c r="BH87" s="2534"/>
      <c r="BI87" s="2534"/>
      <c r="BJ87" s="3763"/>
      <c r="BK87" s="3763"/>
      <c r="BL87" s="2534"/>
      <c r="BM87" s="3763"/>
      <c r="BN87" s="3763"/>
    </row>
    <row r="88" spans="1:66" ht="15" x14ac:dyDescent="0.25">
      <c r="B88" s="3479" t="s">
        <v>558</v>
      </c>
      <c r="C88" s="2942" t="s">
        <v>175</v>
      </c>
      <c r="D88" s="1126">
        <f>12*D7</f>
        <v>221601.51085930123</v>
      </c>
      <c r="E88" s="2647">
        <f>12*E25</f>
        <v>18968.838526912215</v>
      </c>
      <c r="F88" s="2656">
        <v>11328</v>
      </c>
      <c r="G88" s="2647">
        <f>12*G25</f>
        <v>19573.182247403238</v>
      </c>
      <c r="H88" s="2656">
        <v>11446</v>
      </c>
      <c r="I88" s="2648">
        <f>12*I25</f>
        <v>38542.020774315461</v>
      </c>
      <c r="J88" s="3216">
        <f>+F88+H88</f>
        <v>22774</v>
      </c>
      <c r="K88" s="2647">
        <f>12*K25</f>
        <v>18968.83852691215</v>
      </c>
      <c r="L88" s="2656">
        <v>12140</v>
      </c>
      <c r="M88" s="2649">
        <f>12*M25</f>
        <v>57510.859301227603</v>
      </c>
      <c r="N88" s="2649">
        <f>+L88+H88+F88</f>
        <v>34914</v>
      </c>
      <c r="O88" s="2647">
        <f>12*O25</f>
        <v>19195.467422096353</v>
      </c>
      <c r="P88" s="2656">
        <v>12992</v>
      </c>
      <c r="Q88" s="2648">
        <f>12*Q25</f>
        <v>76706.32672332396</v>
      </c>
      <c r="R88" s="3021">
        <f>+N88+P88</f>
        <v>47906</v>
      </c>
      <c r="S88" s="2647">
        <f>12*S25</f>
        <v>19195.467422096353</v>
      </c>
      <c r="T88" s="2656">
        <v>12999</v>
      </c>
      <c r="U88" s="2648">
        <f>12*U25</f>
        <v>95901.794145420325</v>
      </c>
      <c r="V88" s="3021">
        <f>+R88+T88</f>
        <v>60905</v>
      </c>
      <c r="W88" s="2647">
        <f>12*W25</f>
        <v>10073.654390934847</v>
      </c>
      <c r="X88" s="2656">
        <v>11367</v>
      </c>
      <c r="Y88" s="2649">
        <f>12*Y25</f>
        <v>48464.589235127547</v>
      </c>
      <c r="Z88" s="2649">
        <f>P88+T88+X88</f>
        <v>37358</v>
      </c>
      <c r="AA88" s="2693">
        <f>12*AA25</f>
        <v>105975.44853635515</v>
      </c>
      <c r="AB88" s="2693">
        <f>+Z88+N88</f>
        <v>72272</v>
      </c>
      <c r="AC88" s="2647">
        <f>12*AC25</f>
        <v>18839.245283018867</v>
      </c>
      <c r="AD88" s="2656">
        <v>11104</v>
      </c>
      <c r="AE88" s="2648">
        <f>12*AE25</f>
        <v>124814.69381937402</v>
      </c>
      <c r="AF88" s="3021">
        <f>+AB88+AD88</f>
        <v>83376</v>
      </c>
      <c r="AG88" s="2647">
        <f>12*AG25</f>
        <v>18235.471698113208</v>
      </c>
      <c r="AH88" s="2656">
        <v>402</v>
      </c>
      <c r="AI88" s="2648">
        <f>12*AI25</f>
        <v>143050.16551748724</v>
      </c>
      <c r="AJ88" s="3021">
        <f>+AF88+AH88</f>
        <v>83778</v>
      </c>
      <c r="AK88" s="2647">
        <f>12*AK25</f>
        <v>18839.245283018863</v>
      </c>
      <c r="AL88" s="2656">
        <v>12824</v>
      </c>
      <c r="AM88" s="2649">
        <f>12*AM25</f>
        <v>55913.962264150934</v>
      </c>
      <c r="AN88" s="2649">
        <f>AD88+AH88+AL88</f>
        <v>24330</v>
      </c>
      <c r="AO88" s="2648">
        <f>12*AO25</f>
        <v>161889.4108005061</v>
      </c>
      <c r="AP88" s="2648">
        <f t="shared" ref="AP88" si="279">+AL88+AJ88</f>
        <v>96602</v>
      </c>
      <c r="AQ88" s="2647">
        <f>12*AQ25</f>
        <v>18839.245283018863</v>
      </c>
      <c r="AR88" s="2656">
        <v>11944</v>
      </c>
      <c r="AS88" s="2648">
        <f>12*AS25</f>
        <v>180728.65608352495</v>
      </c>
      <c r="AT88" s="3021">
        <f>+AP88+AR88</f>
        <v>108546</v>
      </c>
      <c r="AU88" s="2647">
        <f>12*AU25</f>
        <v>16952.452830188682</v>
      </c>
      <c r="AV88" s="2656">
        <v>11346</v>
      </c>
      <c r="AW88" s="2648">
        <f>12*AW25</f>
        <v>197681.10891371366</v>
      </c>
      <c r="AX88" s="3021">
        <f>+AT88+AV88</f>
        <v>119892</v>
      </c>
      <c r="AY88" s="2647">
        <f>12*AY25</f>
        <v>18839.245283018863</v>
      </c>
      <c r="AZ88" s="2656">
        <v>11668</v>
      </c>
      <c r="BA88" s="2649">
        <f>12*BA25</f>
        <v>54630.943396226408</v>
      </c>
      <c r="BB88" s="2649">
        <f>AR88+AV88+AZ88</f>
        <v>34958</v>
      </c>
      <c r="BC88" s="2693">
        <f>12*BC25</f>
        <v>110544.90566037735</v>
      </c>
      <c r="BD88" s="2693">
        <f t="shared" ref="BD88" si="280">+BB88+AN88</f>
        <v>59288</v>
      </c>
      <c r="BE88" s="2648">
        <f>12*BE25</f>
        <v>216520.35419673251</v>
      </c>
      <c r="BF88" s="3216">
        <f>+AX88+AZ88</f>
        <v>131560</v>
      </c>
      <c r="BG88" s="2534"/>
      <c r="BH88" s="2534"/>
      <c r="BI88" s="2534"/>
      <c r="BJ88" s="3763"/>
      <c r="BK88" s="3763"/>
      <c r="BL88" s="2534"/>
      <c r="BM88" s="3763"/>
      <c r="BN88" s="3763"/>
    </row>
    <row r="89" spans="1:66" ht="15" x14ac:dyDescent="0.25">
      <c r="B89" s="3383" t="s">
        <v>299</v>
      </c>
      <c r="C89" s="3466" t="s">
        <v>271</v>
      </c>
      <c r="D89" s="1310">
        <f>+'Maj Techno Summ'!D16</f>
        <v>1059</v>
      </c>
      <c r="E89" s="3427">
        <f>+'Maj Techno Summ'!E16</f>
        <v>1059</v>
      </c>
      <c r="F89" s="3430">
        <f>+(F15*1000)/F5</f>
        <v>1059.7699014587963</v>
      </c>
      <c r="G89" s="3427">
        <f>+'Maj Techno Summ'!G16</f>
        <v>1059</v>
      </c>
      <c r="H89" s="3430">
        <f>+(H15*1000)/H5</f>
        <v>1067.8204683947633</v>
      </c>
      <c r="I89" s="3428">
        <f>+(I15*1000)/I5</f>
        <v>1059.0000000000009</v>
      </c>
      <c r="J89" s="2045">
        <f>+(J15*1000)/J5</f>
        <v>1064.0639073340274</v>
      </c>
      <c r="K89" s="3427">
        <f>+'Maj Techno Summ'!K16</f>
        <v>1059</v>
      </c>
      <c r="L89" s="3430">
        <f>+(L15*1000)/L5</f>
        <v>1061.9196518424501</v>
      </c>
      <c r="M89" s="3429">
        <f>+(M15*1000)/M5</f>
        <v>1059.0000000000011</v>
      </c>
      <c r="N89" s="3429">
        <f>+(N15*1000)/N5</f>
        <v>1063.3041677400013</v>
      </c>
      <c r="O89" s="3427">
        <f>+'Maj Techno Summ'!O16</f>
        <v>1059</v>
      </c>
      <c r="P89" s="3430">
        <f>+(P15*1000)/P5</f>
        <v>1051.7068973673629</v>
      </c>
      <c r="Q89" s="3428">
        <f>+(Q15*1000)/Q5</f>
        <v>1059.0000000000007</v>
      </c>
      <c r="R89" s="3428">
        <f>+(R15*1000)/R5</f>
        <v>1060.1771787668226</v>
      </c>
      <c r="S89" s="3427">
        <f>+'Maj Techno Summ'!S16</f>
        <v>1059</v>
      </c>
      <c r="T89" s="3430">
        <f>+(T15*1000)/T5</f>
        <v>1060.1658095630876</v>
      </c>
      <c r="U89" s="3428">
        <f>+(U15*1000)/U5</f>
        <v>1059.0000000000005</v>
      </c>
      <c r="V89" s="3428">
        <f>+(V15*1000)/V5</f>
        <v>1060.1748861799313</v>
      </c>
      <c r="W89" s="3427">
        <f>+'Maj Techno Summ'!W16</f>
        <v>1059</v>
      </c>
      <c r="X89" s="3430">
        <f>+(X15*1000)/X5</f>
        <v>1063.8152587426769</v>
      </c>
      <c r="Y89" s="3429">
        <f>Y15/Y5*1000</f>
        <v>1058.9999999999991</v>
      </c>
      <c r="Z89" s="3429">
        <f>+(Z15*1000)/Z5</f>
        <v>1058.3307154265726</v>
      </c>
      <c r="AA89" s="2680">
        <f>+(AA15*1000)/AA5</f>
        <v>1059</v>
      </c>
      <c r="AB89" s="2680">
        <f>+(AB15*1000)/AB5</f>
        <v>1060.7625483724512</v>
      </c>
      <c r="AC89" s="3427">
        <f>+'Maj Techno Summ'!AC16</f>
        <v>1059</v>
      </c>
      <c r="AD89" s="3430">
        <f>+(AD15*1000)/AD5</f>
        <v>1061.2178015467862</v>
      </c>
      <c r="AE89" s="3428">
        <f>+(AE15*1000)/AE5</f>
        <v>1059.1509377198031</v>
      </c>
      <c r="AF89" s="3428">
        <f>+(AF15*1000)/AF5</f>
        <v>1060.8246906069878</v>
      </c>
      <c r="AG89" s="3427">
        <f>+'Maj Techno Summ'!AG16</f>
        <v>1059</v>
      </c>
      <c r="AH89" s="3430">
        <f>+(AH15*1000)/AH5</f>
        <v>1058.374291115312</v>
      </c>
      <c r="AI89" s="3428">
        <f>+(AI15*1000)/AI5</f>
        <v>1059.259172835257</v>
      </c>
      <c r="AJ89" s="3474">
        <f>+(AJ15*1000)/AJ5</f>
        <v>1060.8128005919348</v>
      </c>
      <c r="AK89" s="3427">
        <f>+'Maj Techno Summ'!AK16</f>
        <v>1059</v>
      </c>
      <c r="AL89" s="3430">
        <f>+(AL15*1000)/AL5</f>
        <v>1061.5576980377134</v>
      </c>
      <c r="AM89" s="3429">
        <f>AM15/AM5*1000</f>
        <v>1059.9999999999995</v>
      </c>
      <c r="AN89" s="3429">
        <f>+(AN15*1000)/AN5</f>
        <v>1061.3410021010618</v>
      </c>
      <c r="AO89" s="3428">
        <f>+(AO15*1000)/AO5</f>
        <v>1059.3453836911733</v>
      </c>
      <c r="AP89" s="3428">
        <f>+(AP15*1000)/AP5</f>
        <v>1060.9063705557294</v>
      </c>
      <c r="AQ89" s="3427">
        <f>+'Maj Techno Summ'!AQ16</f>
        <v>1059</v>
      </c>
      <c r="AR89" s="3430">
        <f>+(AR15*1000)/AR5</f>
        <v>1062.3569338318973</v>
      </c>
      <c r="AS89" s="3428">
        <f>+(AS15*1000)/AS5</f>
        <v>1059.41362122182</v>
      </c>
      <c r="AT89" s="3428">
        <f>+(AT15*1000)/AT5</f>
        <v>1061.075013526061</v>
      </c>
      <c r="AU89" s="3427">
        <f>+'Maj Techno Summ'!AU16</f>
        <v>1059</v>
      </c>
      <c r="AV89" s="3430">
        <f>+(AV15*1000)/AV5</f>
        <v>1061.4913748626034</v>
      </c>
      <c r="AW89" s="3428">
        <f>+(AW15*1000)/AW5</f>
        <v>1059.4639070515202</v>
      </c>
      <c r="AX89" s="3428">
        <f>+(AX15*1000)/AX5</f>
        <v>1061.1146876255782</v>
      </c>
      <c r="AY89" s="3427">
        <f>+'Maj Techno Summ'!AY16</f>
        <v>1059</v>
      </c>
      <c r="AZ89" s="3430">
        <f>+(AZ15*1000)/AZ5</f>
        <v>1057.0891431809223</v>
      </c>
      <c r="BA89" s="3429">
        <f>BA15/BA5*1000</f>
        <v>1060.0000000000002</v>
      </c>
      <c r="BB89" s="3429">
        <f>+(BB15*1000)/BB5</f>
        <v>1060.2854438045888</v>
      </c>
      <c r="BC89" s="2680">
        <f>+(BC15*1000)/BC5</f>
        <v>1060</v>
      </c>
      <c r="BD89" s="2680">
        <f>+(BD15*1000)/BD5</f>
        <v>1060.7022947116325</v>
      </c>
      <c r="BE89" s="3428">
        <f>+(BE15*1000)/BE5</f>
        <v>1059.5105520267159</v>
      </c>
      <c r="BF89" s="2045">
        <f>+(BF15*1000)/BF5</f>
        <v>1060.7350782040101</v>
      </c>
      <c r="BG89" s="2534"/>
      <c r="BH89" s="2534"/>
      <c r="BI89" s="2534"/>
      <c r="BJ89" s="3763"/>
      <c r="BK89" s="3763"/>
      <c r="BL89" s="2534"/>
      <c r="BM89" s="3763"/>
      <c r="BN89" s="3763"/>
    </row>
    <row r="90" spans="1:66" ht="15.75" thickBot="1" x14ac:dyDescent="0.3">
      <c r="B90" s="3480" t="s">
        <v>821</v>
      </c>
      <c r="C90" s="3466" t="s">
        <v>271</v>
      </c>
      <c r="D90" s="1310">
        <f>+'Maj Techno Summ'!D17</f>
        <v>38</v>
      </c>
      <c r="E90" s="3427">
        <f>+'Maj Techno Summ'!E17</f>
        <v>38</v>
      </c>
      <c r="F90" s="3430">
        <f>+(F19*1000)/F5</f>
        <v>37.174669114095259</v>
      </c>
      <c r="G90" s="3427">
        <f>+'Maj Techno Summ'!G17</f>
        <v>38</v>
      </c>
      <c r="H90" s="3430">
        <f>+(H19*1000)/H5</f>
        <v>28.189893423710473</v>
      </c>
      <c r="I90" s="3428">
        <f>+(I19*1000)/I5</f>
        <v>37.999999999999993</v>
      </c>
      <c r="J90" s="2045">
        <f>+(J19*1000)/J5</f>
        <v>32.38237561364835</v>
      </c>
      <c r="K90" s="3427">
        <f>+'Maj Techno Summ'!K17</f>
        <v>38</v>
      </c>
      <c r="L90" s="3430">
        <f>+(L19*1000)/L5</f>
        <v>34.520831536271885</v>
      </c>
      <c r="M90" s="3429">
        <f>+(M19*1000)/M5</f>
        <v>37.999999999999993</v>
      </c>
      <c r="N90" s="3429">
        <f>+(N19*1000)/N5</f>
        <v>33.140060339595784</v>
      </c>
      <c r="O90" s="3427">
        <f>+'Maj Techno Summ'!O17</f>
        <v>38</v>
      </c>
      <c r="P90" s="3430">
        <f>+(P19*1000)/P5</f>
        <v>44.526180507919989</v>
      </c>
      <c r="Q90" s="3428">
        <f>+(Q19*1000)/Q5</f>
        <v>38</v>
      </c>
      <c r="R90" s="3428">
        <f>+(R19*1000)/R5</f>
        <v>36.210116574348966</v>
      </c>
      <c r="S90" s="3427">
        <f>+'Maj Techno Summ'!S17</f>
        <v>38</v>
      </c>
      <c r="T90" s="3430">
        <f>+(T19*1000)/T5</f>
        <v>36.183939197549037</v>
      </c>
      <c r="U90" s="3428">
        <f>+(U19*1000)/U5</f>
        <v>37.999999999999993</v>
      </c>
      <c r="V90" s="3428">
        <f>+(V19*1000)/V5</f>
        <v>36.204837936345619</v>
      </c>
      <c r="W90" s="3427">
        <f>+'Maj Techno Summ'!W17</f>
        <v>38</v>
      </c>
      <c r="X90" s="3430">
        <f>+(X19*1000)/X5</f>
        <v>34.040564785957052</v>
      </c>
      <c r="Y90" s="3429">
        <f>+(Y19*1000)/Y5</f>
        <v>38.000000000000007</v>
      </c>
      <c r="Z90" s="3429">
        <f>+(Z19*1000)/Z5</f>
        <v>38.453569056342083</v>
      </c>
      <c r="AA90" s="2680">
        <f>+(AA19*1000)/AA5</f>
        <v>37.999999999999993</v>
      </c>
      <c r="AB90" s="2680">
        <f>+(AB19*1000)/AB5</f>
        <v>35.855461194584279</v>
      </c>
      <c r="AC90" s="3427">
        <f>+'Maj Techno Summ'!AC17</f>
        <v>38</v>
      </c>
      <c r="AD90" s="3430">
        <f>+(AD19*1000)/AD5</f>
        <v>34.008139084713108</v>
      </c>
      <c r="AE90" s="3428">
        <f>+(AE19*1000)/AE5</f>
        <v>37.999999999999993</v>
      </c>
      <c r="AF90" s="3428">
        <f>+(AF19*1000)/AF5</f>
        <v>35.603301011441701</v>
      </c>
      <c r="AG90" s="3427">
        <f>+'Maj Techno Summ'!AG17</f>
        <v>38</v>
      </c>
      <c r="AH90" s="3430">
        <f>+(AH19*1000)/AH5</f>
        <v>41.109010712035285</v>
      </c>
      <c r="AI90" s="3428">
        <f>+(AI19*1000)/AI5</f>
        <v>38</v>
      </c>
      <c r="AJ90" s="3474">
        <f>+(AJ19*1000)/AJ5</f>
        <v>35.630016235404184</v>
      </c>
      <c r="AK90" s="3427">
        <f>+'Maj Techno Summ'!AK17</f>
        <v>38</v>
      </c>
      <c r="AL90" s="3430">
        <f>+(AL19*1000)/AL5</f>
        <v>37.654620525262843</v>
      </c>
      <c r="AM90" s="3429">
        <f>+(AM19*1000)/AM5</f>
        <v>38.000000000000007</v>
      </c>
      <c r="AN90" s="3429">
        <f>+(AN19*1000)/AN5</f>
        <v>35.971595882177105</v>
      </c>
      <c r="AO90" s="3428">
        <f>+(AO19*1000)/AO5</f>
        <v>37.999999999999993</v>
      </c>
      <c r="AP90" s="3428">
        <f>+(AP19*1000)/AP5</f>
        <v>35.884336009453307</v>
      </c>
      <c r="AQ90" s="3427">
        <f>+'Maj Techno Summ'!AQ17</f>
        <v>38</v>
      </c>
      <c r="AR90" s="3430">
        <f>+(AR19*1000)/AR5</f>
        <v>37.524386278653878</v>
      </c>
      <c r="AS90" s="3428">
        <f>+(AS19*1000)/AS5</f>
        <v>38.000000000000007</v>
      </c>
      <c r="AT90" s="3428">
        <f>+(AT19*1000)/AT5</f>
        <v>36.075008800799516</v>
      </c>
      <c r="AU90" s="3427">
        <f>+'Maj Techno Summ'!AU17</f>
        <v>38</v>
      </c>
      <c r="AV90" s="3430">
        <f>+(AV19*1000)/AV5</f>
        <v>35.703806725139643</v>
      </c>
      <c r="AW90" s="3428">
        <f>+(AW19*1000)/AW5</f>
        <v>38.000000000000007</v>
      </c>
      <c r="AX90" s="3428">
        <f>+(AX19*1000)/AX5</f>
        <v>36.039637821800802</v>
      </c>
      <c r="AY90" s="3427">
        <f>+'Maj Techno Summ'!AY17</f>
        <v>38</v>
      </c>
      <c r="AZ90" s="3430">
        <f>+(AZ19*1000)/AZ5</f>
        <v>38.362238864800943</v>
      </c>
      <c r="BA90" s="3429">
        <f t="shared" ref="BA90:BF90" si="281">+(BA19*1000)/BA5</f>
        <v>37.999999999999993</v>
      </c>
      <c r="BB90" s="3429">
        <f t="shared" si="281"/>
        <v>37.241240892816293</v>
      </c>
      <c r="BC90" s="2680">
        <f t="shared" si="281"/>
        <v>38</v>
      </c>
      <c r="BD90" s="2680">
        <f t="shared" si="281"/>
        <v>36.739844924373031</v>
      </c>
      <c r="BE90" s="3428">
        <f t="shared" si="281"/>
        <v>38.000000000000007</v>
      </c>
      <c r="BF90" s="2045">
        <f t="shared" si="281"/>
        <v>36.258659435047846</v>
      </c>
      <c r="BG90" s="2534"/>
      <c r="BH90" s="2534"/>
      <c r="BI90" s="2534"/>
      <c r="BJ90" s="3763"/>
      <c r="BK90" s="3763"/>
      <c r="BL90" s="2534"/>
      <c r="BM90" s="3763"/>
      <c r="BN90" s="3763"/>
    </row>
    <row r="91" spans="1:66" ht="15" x14ac:dyDescent="0.25">
      <c r="B91" s="3382" t="s">
        <v>288</v>
      </c>
      <c r="C91" s="3448" t="s">
        <v>271</v>
      </c>
      <c r="D91" s="1310">
        <f t="shared" ref="D91:J91" si="282">SUM(D89:D90)</f>
        <v>1097</v>
      </c>
      <c r="E91" s="3427">
        <f t="shared" si="282"/>
        <v>1097</v>
      </c>
      <c r="F91" s="3430">
        <f t="shared" si="282"/>
        <v>1096.9445705728915</v>
      </c>
      <c r="G91" s="3427">
        <f t="shared" ref="G91:H91" si="283">SUM(G89:G90)</f>
        <v>1097</v>
      </c>
      <c r="H91" s="3430">
        <f t="shared" si="283"/>
        <v>1096.0103618184737</v>
      </c>
      <c r="I91" s="3428">
        <f t="shared" si="282"/>
        <v>1097.0000000000009</v>
      </c>
      <c r="J91" s="2045">
        <f t="shared" si="282"/>
        <v>1096.4462829476756</v>
      </c>
      <c r="K91" s="3427">
        <f t="shared" ref="K91:L91" si="284">SUM(K89:K90)</f>
        <v>1097</v>
      </c>
      <c r="L91" s="3430">
        <f t="shared" si="284"/>
        <v>1096.4404833787221</v>
      </c>
      <c r="M91" s="3429">
        <f t="shared" ref="M91:AF91" si="285">SUM(M89:M90)</f>
        <v>1097.0000000000011</v>
      </c>
      <c r="N91" s="3429">
        <f t="shared" si="285"/>
        <v>1096.444228079597</v>
      </c>
      <c r="O91" s="3427">
        <f t="shared" si="285"/>
        <v>1097</v>
      </c>
      <c r="P91" s="3430">
        <f t="shared" si="285"/>
        <v>1096.2330778752828</v>
      </c>
      <c r="Q91" s="3428">
        <f t="shared" si="285"/>
        <v>1097.0000000000007</v>
      </c>
      <c r="R91" s="3428">
        <f t="shared" si="285"/>
        <v>1096.3872953411717</v>
      </c>
      <c r="S91" s="3427">
        <f t="shared" ref="S91:T91" si="286">SUM(S89:S90)</f>
        <v>1097</v>
      </c>
      <c r="T91" s="3430">
        <f t="shared" si="286"/>
        <v>1096.3497487606367</v>
      </c>
      <c r="U91" s="3428">
        <f t="shared" ref="U91:X91" si="287">SUM(U89:U90)</f>
        <v>1097.0000000000005</v>
      </c>
      <c r="V91" s="3428">
        <f t="shared" si="287"/>
        <v>1096.379724116277</v>
      </c>
      <c r="W91" s="3427">
        <f t="shared" si="287"/>
        <v>1097</v>
      </c>
      <c r="X91" s="3430">
        <f t="shared" si="287"/>
        <v>1097.8558235286339</v>
      </c>
      <c r="Y91" s="3429">
        <f t="shared" si="285"/>
        <v>1096.9999999999991</v>
      </c>
      <c r="Z91" s="3429">
        <f t="shared" si="285"/>
        <v>1096.7842844829147</v>
      </c>
      <c r="AA91" s="2680">
        <f t="shared" si="285"/>
        <v>1097</v>
      </c>
      <c r="AB91" s="2680">
        <f t="shared" si="285"/>
        <v>1096.6180095670354</v>
      </c>
      <c r="AC91" s="3427">
        <f t="shared" si="285"/>
        <v>1097</v>
      </c>
      <c r="AD91" s="3430">
        <f t="shared" si="285"/>
        <v>1095.2259406314993</v>
      </c>
      <c r="AE91" s="3428">
        <f t="shared" si="285"/>
        <v>1097.1509377198031</v>
      </c>
      <c r="AF91" s="3428">
        <f t="shared" si="285"/>
        <v>1096.4279916184296</v>
      </c>
      <c r="AG91" s="3427">
        <f t="shared" ref="AG91:AJ91" si="288">SUM(AG89:AG90)</f>
        <v>1097</v>
      </c>
      <c r="AH91" s="3430">
        <f t="shared" si="288"/>
        <v>1099.4833018273473</v>
      </c>
      <c r="AI91" s="3428">
        <f t="shared" si="288"/>
        <v>1097.259172835257</v>
      </c>
      <c r="AJ91" s="3428">
        <f t="shared" si="288"/>
        <v>1096.4428168273389</v>
      </c>
      <c r="AK91" s="3427">
        <f t="shared" ref="AK91:AL91" si="289">SUM(AK89:AK90)</f>
        <v>1097</v>
      </c>
      <c r="AL91" s="3430">
        <f t="shared" si="289"/>
        <v>1099.2123185629762</v>
      </c>
      <c r="AM91" s="3429">
        <f t="shared" ref="AM91:AT91" si="290">SUM(AM89:AM90)</f>
        <v>1097.9999999999995</v>
      </c>
      <c r="AN91" s="3429">
        <f t="shared" si="290"/>
        <v>1097.3125979832389</v>
      </c>
      <c r="AO91" s="3428">
        <f t="shared" si="290"/>
        <v>1097.3453836911733</v>
      </c>
      <c r="AP91" s="3428">
        <f t="shared" si="290"/>
        <v>1096.7907065651827</v>
      </c>
      <c r="AQ91" s="3427">
        <f t="shared" si="290"/>
        <v>1097</v>
      </c>
      <c r="AR91" s="3430">
        <f t="shared" si="290"/>
        <v>1099.8813201105513</v>
      </c>
      <c r="AS91" s="3428">
        <f t="shared" si="290"/>
        <v>1097.41362122182</v>
      </c>
      <c r="AT91" s="3428">
        <f t="shared" si="290"/>
        <v>1097.1500223268604</v>
      </c>
      <c r="AU91" s="3427">
        <f t="shared" ref="AU91:AX91" si="291">SUM(AU89:AU90)</f>
        <v>1097</v>
      </c>
      <c r="AV91" s="3430">
        <f t="shared" si="291"/>
        <v>1097.195181587743</v>
      </c>
      <c r="AW91" s="3428">
        <f t="shared" si="291"/>
        <v>1097.4639070515202</v>
      </c>
      <c r="AX91" s="3428">
        <f t="shared" si="291"/>
        <v>1097.1543254473791</v>
      </c>
      <c r="AY91" s="3427">
        <f t="shared" ref="AY91:AZ91" si="292">SUM(AY89:AY90)</f>
        <v>1097</v>
      </c>
      <c r="AZ91" s="3430">
        <f t="shared" si="292"/>
        <v>1095.4513820457232</v>
      </c>
      <c r="BA91" s="3429">
        <f t="shared" ref="BA91:BD91" si="293">SUM(BA89:BA90)</f>
        <v>1098.0000000000002</v>
      </c>
      <c r="BB91" s="3429">
        <f t="shared" si="293"/>
        <v>1097.526684697405</v>
      </c>
      <c r="BC91" s="2680">
        <f t="shared" si="293"/>
        <v>1098</v>
      </c>
      <c r="BD91" s="2680">
        <f t="shared" si="293"/>
        <v>1097.4421396360055</v>
      </c>
      <c r="BE91" s="3428">
        <f t="shared" ref="BE91:BF91" si="294">SUM(BE89:BE90)</f>
        <v>1097.5105520267159</v>
      </c>
      <c r="BF91" s="2045">
        <f t="shared" si="294"/>
        <v>1096.9937376390578</v>
      </c>
      <c r="BG91" s="2534"/>
      <c r="BH91" s="2534"/>
      <c r="BI91" s="2534"/>
      <c r="BJ91" s="3763"/>
      <c r="BK91" s="3763"/>
      <c r="BL91" s="2534"/>
      <c r="BM91" s="3763"/>
      <c r="BN91" s="3763"/>
    </row>
    <row r="92" spans="1:66" ht="15" x14ac:dyDescent="0.25">
      <c r="B92" s="3479" t="s">
        <v>452</v>
      </c>
      <c r="C92" s="2942" t="s">
        <v>50</v>
      </c>
      <c r="D92" s="1126">
        <f>+D94*D5/1000</f>
        <v>349022.37960339943</v>
      </c>
      <c r="E92" s="2647">
        <f>+E94*E5/1000</f>
        <v>29875.920679886651</v>
      </c>
      <c r="F92" s="2647">
        <v>26838.328010000001</v>
      </c>
      <c r="G92" s="2647">
        <f>+G94*G5/1000</f>
        <v>30827.762039660036</v>
      </c>
      <c r="H92" s="2647">
        <v>30280.43044</v>
      </c>
      <c r="I92" s="2648">
        <f>+E92+G92</f>
        <v>60703.68271954669</v>
      </c>
      <c r="J92" s="39">
        <f>+F92+H92</f>
        <v>57118.758450000001</v>
      </c>
      <c r="K92" s="2647">
        <f>+K94*K5/1000</f>
        <v>29875.920679886651</v>
      </c>
      <c r="L92" s="2647">
        <v>30254.303680000001</v>
      </c>
      <c r="M92" s="2649">
        <f>+K92+G92+E92</f>
        <v>90579.603399433341</v>
      </c>
      <c r="N92" s="2649">
        <f>+L92+H92+F92</f>
        <v>87373.062130000006</v>
      </c>
      <c r="O92" s="2647">
        <f>+O94*O5/1000</f>
        <v>30232.861189801704</v>
      </c>
      <c r="P92" s="2647">
        <v>31564.151819999999</v>
      </c>
      <c r="Q92" s="2648">
        <f>+M92+O92</f>
        <v>120812.46458923505</v>
      </c>
      <c r="R92" s="2648">
        <f>+N92+P92</f>
        <v>118937.21395</v>
      </c>
      <c r="S92" s="2647">
        <f>+S94*S5/1000</f>
        <v>30232.861189801704</v>
      </c>
      <c r="T92" s="2647">
        <v>29126.430780000002</v>
      </c>
      <c r="U92" s="2648">
        <f>+Q92+S92</f>
        <v>151045.32577903676</v>
      </c>
      <c r="V92" s="2648">
        <f>+R92+T92</f>
        <v>148063.64473</v>
      </c>
      <c r="W92" s="2647">
        <f>+W94*W5/1000</f>
        <v>15866.005665722438</v>
      </c>
      <c r="X92" s="2647">
        <v>28595.071339999999</v>
      </c>
      <c r="Y92" s="2649">
        <f>+W92+S92+O92</f>
        <v>76331.728045325843</v>
      </c>
      <c r="Z92" s="2649">
        <f>+X92+T92+P92</f>
        <v>89285.653940000004</v>
      </c>
      <c r="AA92" s="2693">
        <f>+Y92+M92</f>
        <v>166911.33144475918</v>
      </c>
      <c r="AB92" s="2693">
        <f>+Z92+N92</f>
        <v>176658.71607000002</v>
      </c>
      <c r="AC92" s="2647">
        <f>+AC94*AC5/1000</f>
        <v>29671.811320754732</v>
      </c>
      <c r="AD92" s="2647">
        <v>31015.537258200002</v>
      </c>
      <c r="AE92" s="2648">
        <f>+AA92+AC92</f>
        <v>196583.14276551391</v>
      </c>
      <c r="AF92" s="2648">
        <f>+AB92+AD92</f>
        <v>207674.25332820002</v>
      </c>
      <c r="AG92" s="2647">
        <f>+AG94*AG5/1000</f>
        <v>28720.867924528291</v>
      </c>
      <c r="AH92" s="2647">
        <v>1264.4207357999999</v>
      </c>
      <c r="AI92" s="2648">
        <f>+AE92+AG92</f>
        <v>225304.0106900422</v>
      </c>
      <c r="AJ92" s="2648">
        <f>+AF92+AH92</f>
        <v>208938.67406400002</v>
      </c>
      <c r="AK92" s="2647">
        <f>+AK94*AK5/1000</f>
        <v>29671.811320754732</v>
      </c>
      <c r="AL92" s="2647">
        <v>31783.8567473</v>
      </c>
      <c r="AM92" s="2649">
        <f>+AK92+AG92+AC92</f>
        <v>88064.490566037755</v>
      </c>
      <c r="AN92" s="2649">
        <f>+AL92+AH92+AD92</f>
        <v>64063.814741299997</v>
      </c>
      <c r="AO92" s="2648">
        <f t="shared" ref="AO92:AP92" si="295">+AK92+AI92</f>
        <v>254975.82201079692</v>
      </c>
      <c r="AP92" s="2648">
        <f t="shared" si="295"/>
        <v>240722.53081130004</v>
      </c>
      <c r="AQ92" s="2647">
        <f>+AQ94*AQ5/1000</f>
        <v>29671.811320754732</v>
      </c>
      <c r="AR92" s="2647">
        <v>31840.665499999999</v>
      </c>
      <c r="AS92" s="2648">
        <f>+AO92+AQ92</f>
        <v>284647.63333155168</v>
      </c>
      <c r="AT92" s="2648">
        <f>+AP92+AR92</f>
        <v>272563.19631130004</v>
      </c>
      <c r="AU92" s="2647">
        <f>+AU94*AU5/1000</f>
        <v>26700.113207547111</v>
      </c>
      <c r="AV92" s="2647">
        <v>29399.024669999999</v>
      </c>
      <c r="AW92" s="2648">
        <f>+AS92+AU92</f>
        <v>311347.74653909879</v>
      </c>
      <c r="AX92" s="2648">
        <f>+AT92+AV92</f>
        <v>301962.22098130005</v>
      </c>
      <c r="AY92" s="2647">
        <f>+AY94*AY5/1000</f>
        <v>29671.811320754732</v>
      </c>
      <c r="AZ92" s="2647">
        <v>32502.837760000002</v>
      </c>
      <c r="BA92" s="2649">
        <f>+AY92+AU92+AQ92</f>
        <v>86043.735849056568</v>
      </c>
      <c r="BB92" s="2649">
        <f>+AZ92+AV92+AR92</f>
        <v>93742.527929999997</v>
      </c>
      <c r="BC92" s="2693">
        <f t="shared" ref="BC92" si="296">+BA92+AM92</f>
        <v>174108.22641509434</v>
      </c>
      <c r="BD92" s="2693">
        <f t="shared" ref="BD92" si="297">+BB92+AN92</f>
        <v>157806.34267129999</v>
      </c>
      <c r="BE92" s="2648">
        <f>+AW92+AY92</f>
        <v>341019.55785985355</v>
      </c>
      <c r="BF92" s="39">
        <f>+AX92+AZ92</f>
        <v>334465.05874130008</v>
      </c>
      <c r="BG92" s="2534"/>
      <c r="BH92" s="2534"/>
      <c r="BI92" s="2534"/>
      <c r="BJ92" s="3763"/>
      <c r="BK92" s="3763"/>
      <c r="BL92" s="2534"/>
      <c r="BM92" s="3763"/>
      <c r="BN92" s="3763"/>
    </row>
    <row r="93" spans="1:66" ht="15" x14ac:dyDescent="0.25">
      <c r="B93" s="3479" t="s">
        <v>289</v>
      </c>
      <c r="C93" s="2942" t="s">
        <v>272</v>
      </c>
      <c r="D93" s="1126">
        <v>122.84999999999997</v>
      </c>
      <c r="E93" s="2647">
        <v>122.84999999999997</v>
      </c>
      <c r="F93" s="2647">
        <f>+F92/F20*1000</f>
        <v>127.79000000000002</v>
      </c>
      <c r="G93" s="2647">
        <v>122.84999999999998</v>
      </c>
      <c r="H93" s="2647">
        <f>+H92/H20*1000</f>
        <v>126.22</v>
      </c>
      <c r="I93" s="2648">
        <f>+I92/I20*1000</f>
        <v>122.84999999999989</v>
      </c>
      <c r="J93" s="39">
        <f>+J92/J20*1000</f>
        <v>126.95286161348326</v>
      </c>
      <c r="K93" s="2647">
        <v>122.85</v>
      </c>
      <c r="L93" s="2647">
        <f>+L92/L20*1000</f>
        <v>122.56</v>
      </c>
      <c r="M93" s="2649">
        <f>+M92/M20*1000</f>
        <v>122.84999999999988</v>
      </c>
      <c r="N93" s="2649">
        <f>+N92/N20*1000</f>
        <v>125.39655918561829</v>
      </c>
      <c r="O93" s="2647">
        <v>122.85</v>
      </c>
      <c r="P93" s="2647">
        <f>+P92/P20*1000</f>
        <v>122.78999999999999</v>
      </c>
      <c r="Q93" s="2648">
        <f>+Q92/Q20*1000</f>
        <v>122.84999999999992</v>
      </c>
      <c r="R93" s="2648">
        <f>+R92/R20*1000</f>
        <v>124.69409073086246</v>
      </c>
      <c r="S93" s="2647">
        <v>122.85</v>
      </c>
      <c r="T93" s="2647">
        <f>+T92/T20*1000</f>
        <v>120.97000000000001</v>
      </c>
      <c r="U93" s="2648">
        <f>+U92/U20*1000</f>
        <v>122.84999999999997</v>
      </c>
      <c r="V93" s="2648">
        <f>+V92/V20*1000</f>
        <v>123.9434966256657</v>
      </c>
      <c r="W93" s="2647">
        <v>122.84999999999998</v>
      </c>
      <c r="X93" s="2647">
        <f>+X92/X20*1000</f>
        <v>124.22</v>
      </c>
      <c r="Y93" s="2649">
        <f>+Y92/Y20*1000</f>
        <v>122.85000000000009</v>
      </c>
      <c r="Z93" s="2649">
        <f>+Z92/Z20*1000</f>
        <v>122.64024364414055</v>
      </c>
      <c r="AA93" s="2693">
        <f>+AA92/AA20*1000</f>
        <v>122.84999999999998</v>
      </c>
      <c r="AB93" s="2693">
        <f>+AB92/AB20*1000</f>
        <v>123.98816964169785</v>
      </c>
      <c r="AC93" s="2647">
        <v>122.22</v>
      </c>
      <c r="AD93" s="2647">
        <f>+AD92/AD20*1000</f>
        <v>137.94</v>
      </c>
      <c r="AE93" s="2648">
        <f>+AE92/AE20*1000</f>
        <v>122.75449338491181</v>
      </c>
      <c r="AF93" s="2648">
        <f>+AF92/AF20*1000</f>
        <v>125.88980914842335</v>
      </c>
      <c r="AG93" s="2647">
        <v>122.22</v>
      </c>
      <c r="AH93" s="2647">
        <f>+AH92/AH20*1000</f>
        <v>156.63</v>
      </c>
      <c r="AI93" s="2648">
        <f>+AI92/AI20*1000</f>
        <v>122.68609843310558</v>
      </c>
      <c r="AJ93" s="2648">
        <f>+AJ92/AJ20*1000</f>
        <v>126.03950545220235</v>
      </c>
      <c r="AK93" s="2647">
        <v>122</v>
      </c>
      <c r="AL93" s="2647">
        <f>+AL92/AL20*1000</f>
        <v>133.63</v>
      </c>
      <c r="AM93" s="2649">
        <f>+AM92/AM20*1000</f>
        <v>122.22000000000003</v>
      </c>
      <c r="AN93" s="2649">
        <f>+AN92/AN20*1000</f>
        <v>136.0829286235923</v>
      </c>
      <c r="AO93" s="2648">
        <f>+AO92/AO20*1000</f>
        <v>122.63167535726977</v>
      </c>
      <c r="AP93" s="2648">
        <f>+AP92/AP20*1000</f>
        <v>126.99193331753867</v>
      </c>
      <c r="AQ93" s="2647">
        <v>122</v>
      </c>
      <c r="AR93" s="2647">
        <f>+AR92/AR20*1000</f>
        <v>127.75</v>
      </c>
      <c r="AS93" s="2648">
        <f>+AS92/AS20*1000</f>
        <v>122.58863268025537</v>
      </c>
      <c r="AT93" s="2648">
        <f>+AT92/AT20*1000</f>
        <v>127.08002577345354</v>
      </c>
      <c r="AU93" s="2647">
        <v>122.21999999999998</v>
      </c>
      <c r="AV93" s="2647">
        <f>+AV92/AV20*1000</f>
        <v>130.17000000000002</v>
      </c>
      <c r="AW93" s="2648">
        <f>+AW92/AW20*1000</f>
        <v>122.55693285893852</v>
      </c>
      <c r="AX93" s="2648">
        <f>+AX92/AX20*1000</f>
        <v>127.37440450554327</v>
      </c>
      <c r="AY93" s="2647">
        <v>122</v>
      </c>
      <c r="AZ93" s="2647">
        <f>+AZ92/AZ20*1000</f>
        <v>131.68</v>
      </c>
      <c r="BA93" s="2649">
        <f t="shared" ref="BA93:BF93" si="298">+BA92/BA20*1000</f>
        <v>122.21999999999994</v>
      </c>
      <c r="BB93" s="2649">
        <f t="shared" si="298"/>
        <v>129.85078495688609</v>
      </c>
      <c r="BC93" s="2693">
        <f t="shared" si="298"/>
        <v>122.22000000000001</v>
      </c>
      <c r="BD93" s="2693">
        <f t="shared" si="298"/>
        <v>132.31068273701734</v>
      </c>
      <c r="BE93" s="2648">
        <f t="shared" si="298"/>
        <v>122.52754285909677</v>
      </c>
      <c r="BF93" s="39">
        <f t="shared" si="298"/>
        <v>127.78042528748063</v>
      </c>
      <c r="BG93" s="2534"/>
      <c r="BH93" s="2534"/>
      <c r="BI93" s="2534"/>
      <c r="BJ93" s="3763"/>
      <c r="BK93" s="3763"/>
      <c r="BL93" s="2534"/>
      <c r="BM93" s="3763"/>
      <c r="BN93" s="3763"/>
    </row>
    <row r="94" spans="1:66" ht="15" x14ac:dyDescent="0.25">
      <c r="B94" s="3479" t="s">
        <v>289</v>
      </c>
      <c r="C94" s="2942" t="s">
        <v>271</v>
      </c>
      <c r="D94" s="2023">
        <v>126</v>
      </c>
      <c r="E94" s="2656">
        <v>126</v>
      </c>
      <c r="F94" s="2647">
        <f>+F92/F5*1000</f>
        <v>129.64123277944162</v>
      </c>
      <c r="G94" s="2656">
        <v>126</v>
      </c>
      <c r="H94" s="2647">
        <f>+H92/H5*1000</f>
        <v>127.96098023140831</v>
      </c>
      <c r="I94" s="2648">
        <f>+I92/I5*1000</f>
        <v>126</v>
      </c>
      <c r="J94" s="39">
        <f>+J92/J5*1000</f>
        <v>128.74502082685314</v>
      </c>
      <c r="K94" s="2656">
        <v>126</v>
      </c>
      <c r="L94" s="2647">
        <f>+L92/L5*1000</f>
        <v>124.27164043983849</v>
      </c>
      <c r="M94" s="2649">
        <f>+M92/M5*1000</f>
        <v>126</v>
      </c>
      <c r="N94" s="2649">
        <f>+N92/N5*1000</f>
        <v>127.1600398334476</v>
      </c>
      <c r="O94" s="2656">
        <v>126</v>
      </c>
      <c r="P94" s="2647">
        <f>+P92/P5*1000</f>
        <v>124.43389951983349</v>
      </c>
      <c r="Q94" s="2648">
        <f>+Q92/Q5*1000</f>
        <v>126</v>
      </c>
      <c r="R94" s="2648">
        <f>+R92/R5*1000</f>
        <v>126.42498663333238</v>
      </c>
      <c r="S94" s="2656">
        <v>126</v>
      </c>
      <c r="T94" s="2647">
        <f>+T92/T5*1000</f>
        <v>122.5746386277365</v>
      </c>
      <c r="U94" s="2648">
        <f>+U92/U5*1000</f>
        <v>126.00000000000003</v>
      </c>
      <c r="V94" s="2648">
        <f>+V92/V5*1000</f>
        <v>125.64856837478095</v>
      </c>
      <c r="W94" s="2656">
        <v>126</v>
      </c>
      <c r="X94" s="2647">
        <f>+X92/X5*1000</f>
        <v>126.05443907126829</v>
      </c>
      <c r="Y94" s="2649">
        <f>+Y92/Y5*1000</f>
        <v>126</v>
      </c>
      <c r="Z94" s="2649">
        <f>+Z92/Z5*1000</f>
        <v>124.33059419520951</v>
      </c>
      <c r="AA94" s="2693">
        <f>+AA92/AA5*1000</f>
        <v>125.99999999999997</v>
      </c>
      <c r="AB94" s="2693">
        <f>+AB92/AB5*1000</f>
        <v>125.71408773008494</v>
      </c>
      <c r="AC94" s="2656">
        <v>126</v>
      </c>
      <c r="AD94" s="2647">
        <f>+AD92/AD5*1000</f>
        <v>139.62283471625747</v>
      </c>
      <c r="AE94" s="2648">
        <f>+AE92/AE5*1000</f>
        <v>126</v>
      </c>
      <c r="AF94" s="2648">
        <f>+AF92/AF5*1000</f>
        <v>127.61263707812559</v>
      </c>
      <c r="AG94" s="2656">
        <v>126</v>
      </c>
      <c r="AH94" s="2647">
        <f>+AH92/AH5*1000</f>
        <v>159.34728869565214</v>
      </c>
      <c r="AI94" s="2648">
        <f>+AI92/AI5*1000</f>
        <v>126</v>
      </c>
      <c r="AJ94" s="2648">
        <f>+AJ92/AJ5*1000</f>
        <v>127.76662237183665</v>
      </c>
      <c r="AK94" s="2656">
        <v>126</v>
      </c>
      <c r="AL94" s="2647">
        <f>+AL92/AL5*1000</f>
        <v>135.29075361724767</v>
      </c>
      <c r="AM94" s="2649">
        <f>+AM92/AM5*1000</f>
        <v>126</v>
      </c>
      <c r="AN94" s="2649">
        <f>+AN92/AN5*1000</f>
        <v>137.77075576136068</v>
      </c>
      <c r="AO94" s="2648">
        <f>+AO92/AO5*1000</f>
        <v>126</v>
      </c>
      <c r="AP94" s="2648">
        <f>+AP92/AP5*1000</f>
        <v>128.71176279647855</v>
      </c>
      <c r="AQ94" s="2656">
        <v>126</v>
      </c>
      <c r="AR94" s="2647">
        <f>+AR92/AR5*1000</f>
        <v>129.41255690131686</v>
      </c>
      <c r="AS94" s="2648">
        <f>+AS92/AS5*1000</f>
        <v>126</v>
      </c>
      <c r="AT94" s="2648">
        <f>+AT92/AT5*1000</f>
        <v>128.79323735286127</v>
      </c>
      <c r="AU94" s="2647">
        <v>126</v>
      </c>
      <c r="AV94" s="2647">
        <f>+AV92/AV5*1000</f>
        <v>131.89629498194216</v>
      </c>
      <c r="AW94" s="2648">
        <f>+AW92/AW5*1000</f>
        <v>126</v>
      </c>
      <c r="AX94" s="2648">
        <f>+AX92/AX5*1000</f>
        <v>129.08892046841203</v>
      </c>
      <c r="AY94" s="2647">
        <v>126</v>
      </c>
      <c r="AZ94" s="2647">
        <f>+AZ92/AZ5*1000</f>
        <v>133.45338063329393</v>
      </c>
      <c r="BA94" s="2649">
        <f t="shared" ref="BA94:BF94" si="299">+BA92/BA5*1000</f>
        <v>125.99999999999997</v>
      </c>
      <c r="BB94" s="2649">
        <f t="shared" si="299"/>
        <v>131.57086084377679</v>
      </c>
      <c r="BC94" s="2693">
        <f t="shared" si="299"/>
        <v>126</v>
      </c>
      <c r="BD94" s="2693">
        <f t="shared" si="299"/>
        <v>134.01926357871406</v>
      </c>
      <c r="BE94" s="2648">
        <f t="shared" si="299"/>
        <v>126.00000000000003</v>
      </c>
      <c r="BF94" s="39">
        <f t="shared" si="299"/>
        <v>129.50048969126493</v>
      </c>
      <c r="BG94" s="2534"/>
      <c r="BH94" s="2534"/>
      <c r="BI94" s="2534"/>
      <c r="BJ94" s="3763"/>
      <c r="BK94" s="3763"/>
      <c r="BL94" s="2534"/>
      <c r="BM94" s="3763"/>
      <c r="BN94" s="3763"/>
    </row>
    <row r="95" spans="1:66" ht="15" x14ac:dyDescent="0.25">
      <c r="B95" s="3479" t="s">
        <v>290</v>
      </c>
      <c r="C95" s="2942" t="s">
        <v>451</v>
      </c>
      <c r="D95" s="1126">
        <f>+D96*D5/1000</f>
        <v>141270.96317280454</v>
      </c>
      <c r="E95" s="2716">
        <f>+E96*E5/1000</f>
        <v>12092.634560906501</v>
      </c>
      <c r="F95" s="2716">
        <f>10479086/1000</f>
        <v>10479.085999999999</v>
      </c>
      <c r="G95" s="2716">
        <f>+G96*G5/1000</f>
        <v>12477.90368271954</v>
      </c>
      <c r="H95" s="2716">
        <v>11942.972</v>
      </c>
      <c r="I95" s="2648">
        <f>+E95+G95</f>
        <v>24570.538243626041</v>
      </c>
      <c r="J95" s="39">
        <f>+F95+H95</f>
        <v>22422.057999999997</v>
      </c>
      <c r="K95" s="2716">
        <f>+K96*K5/1000</f>
        <v>12092.634560906501</v>
      </c>
      <c r="L95" s="2716">
        <v>12438.977000000001</v>
      </c>
      <c r="M95" s="2649">
        <f>+K95+G95+E95</f>
        <v>36663.172804532544</v>
      </c>
      <c r="N95" s="2649">
        <f>+L95+H95+F95</f>
        <v>34861.035000000003</v>
      </c>
      <c r="O95" s="2716">
        <f>+O96*O5/1000</f>
        <v>12237.110481586404</v>
      </c>
      <c r="P95" s="2716">
        <v>13341.602000000001</v>
      </c>
      <c r="Q95" s="2648">
        <f>+M95+O95</f>
        <v>48900.283286118945</v>
      </c>
      <c r="R95" s="2648">
        <f>+N95+P95</f>
        <v>48202.637000000002</v>
      </c>
      <c r="S95" s="2716">
        <f>+S96*S5/1000</f>
        <v>12237.110481586404</v>
      </c>
      <c r="T95" s="2716">
        <v>12537.81</v>
      </c>
      <c r="U95" s="2648">
        <f>+Q95+S95</f>
        <v>61137.393767705347</v>
      </c>
      <c r="V95" s="2648">
        <f>+R95+T95</f>
        <v>60740.447</v>
      </c>
      <c r="W95" s="2716">
        <f>+W96*W5/1000</f>
        <v>6421.9546742209868</v>
      </c>
      <c r="X95" s="2716">
        <f>11751865/1000</f>
        <v>11751.865</v>
      </c>
      <c r="Y95" s="2649">
        <f>+W95+S95+O95</f>
        <v>30896.175637393797</v>
      </c>
      <c r="Z95" s="2649">
        <f>+X95+T95+P95</f>
        <v>37631.277000000002</v>
      </c>
      <c r="AA95" s="2693">
        <f>+Y95+M95</f>
        <v>67559.34844192634</v>
      </c>
      <c r="AB95" s="2693">
        <f>+Z95+N95</f>
        <v>72492.312000000005</v>
      </c>
      <c r="AC95" s="2716">
        <f>+AC96*AC5/1000</f>
        <v>12245.50943396227</v>
      </c>
      <c r="AD95" s="2716">
        <v>11146.437</v>
      </c>
      <c r="AE95" s="2648">
        <f>+AA95+AC95</f>
        <v>79804.857875888614</v>
      </c>
      <c r="AF95" s="2648">
        <f>+AB95+AD95</f>
        <v>83638.749000000011</v>
      </c>
      <c r="AG95" s="2716">
        <f>+AG96*AG5/1000</f>
        <v>11853.056603773581</v>
      </c>
      <c r="AH95" s="2716">
        <v>403.18299999999999</v>
      </c>
      <c r="AI95" s="2648">
        <f>+AE95+AG95</f>
        <v>91657.914479662199</v>
      </c>
      <c r="AJ95" s="2648">
        <f>+AF95+AH95</f>
        <v>84041.932000000015</v>
      </c>
      <c r="AK95" s="2716">
        <f>+AK96*AK5/1000</f>
        <v>12245.50943396227</v>
      </c>
      <c r="AL95" s="2716">
        <v>11753.767</v>
      </c>
      <c r="AM95" s="2649">
        <f>+AK95+AG95+AC95</f>
        <v>36344.075471698117</v>
      </c>
      <c r="AN95" s="2649">
        <f>+AL95+AH95+AD95</f>
        <v>23303.387000000002</v>
      </c>
      <c r="AO95" s="2648">
        <f t="shared" ref="AO95:AP95" si="300">+AK95+AI95</f>
        <v>103903.42391362447</v>
      </c>
      <c r="AP95" s="2648">
        <f t="shared" si="300"/>
        <v>95795.699000000022</v>
      </c>
      <c r="AQ95" s="2716">
        <f>+AQ96*AQ5/1000</f>
        <v>12245.50943396227</v>
      </c>
      <c r="AR95" s="2716">
        <f>12400179/1000</f>
        <v>12400.179</v>
      </c>
      <c r="AS95" s="2648">
        <f>+AO95+AQ95</f>
        <v>116148.93334758675</v>
      </c>
      <c r="AT95" s="2648">
        <f>+AP95+AR95</f>
        <v>108195.87800000003</v>
      </c>
      <c r="AU95" s="2716">
        <f>+AU96*AU5/1000</f>
        <v>11019.094339622618</v>
      </c>
      <c r="AV95" s="2716">
        <v>11341.94</v>
      </c>
      <c r="AW95" s="2648">
        <f>+AS95+AU95</f>
        <v>127168.02768720937</v>
      </c>
      <c r="AX95" s="2648">
        <f>+AT95+AV95</f>
        <v>119537.81800000003</v>
      </c>
      <c r="AY95" s="2716">
        <f>+AY96*AY5/1000</f>
        <v>12245.50943396227</v>
      </c>
      <c r="AZ95" s="2716">
        <f>12255937/1000</f>
        <v>12255.937</v>
      </c>
      <c r="BA95" s="2649">
        <f>+AY95+AU95+AQ95</f>
        <v>35510.113207547154</v>
      </c>
      <c r="BB95" s="2649">
        <f>+AZ95+AV95+AR95</f>
        <v>35998.055999999997</v>
      </c>
      <c r="BC95" s="2693">
        <f t="shared" ref="BC95" si="301">+BA95+AM95</f>
        <v>71854.188679245271</v>
      </c>
      <c r="BD95" s="2693">
        <f t="shared" ref="BD95" si="302">+BB95+AN95</f>
        <v>59301.442999999999</v>
      </c>
      <c r="BE95" s="2648">
        <f>+AW95+AY95</f>
        <v>139413.53712117163</v>
      </c>
      <c r="BF95" s="39">
        <f>+AX95+AZ95</f>
        <v>131793.75500000003</v>
      </c>
      <c r="BG95" s="2534"/>
      <c r="BH95" s="2534"/>
      <c r="BI95" s="2534"/>
      <c r="BJ95" s="3763"/>
      <c r="BK95" s="3763"/>
      <c r="BL95" s="2534"/>
      <c r="BM95" s="3763"/>
      <c r="BN95" s="3763"/>
    </row>
    <row r="96" spans="1:66" ht="15" x14ac:dyDescent="0.25">
      <c r="B96" s="3479" t="s">
        <v>291</v>
      </c>
      <c r="C96" s="2942" t="s">
        <v>273</v>
      </c>
      <c r="D96" s="2023">
        <v>51</v>
      </c>
      <c r="E96" s="2656">
        <v>51</v>
      </c>
      <c r="F96" s="2647">
        <f>+(F95*1000)/F5</f>
        <v>50.618713167809872</v>
      </c>
      <c r="G96" s="2656">
        <v>51</v>
      </c>
      <c r="H96" s="2647">
        <f>+(H95*1000)/H5</f>
        <v>50.469375163752233</v>
      </c>
      <c r="I96" s="3202">
        <f>+(I95*1000)/I5</f>
        <v>51</v>
      </c>
      <c r="J96" s="107">
        <f>+(J95*1000)/J5</f>
        <v>50.539059365547331</v>
      </c>
      <c r="K96" s="2933">
        <v>51</v>
      </c>
      <c r="L96" s="2933">
        <f>+(L95*1000)/L5</f>
        <v>51.093956533704656</v>
      </c>
      <c r="M96" s="3459">
        <f>+(M95*1000)/M5</f>
        <v>51</v>
      </c>
      <c r="N96" s="3459">
        <f>+(N95*1000)/N5</f>
        <v>50.735667162947472</v>
      </c>
      <c r="O96" s="2933">
        <v>51</v>
      </c>
      <c r="P96" s="2933">
        <f>+(P95*1000)/P5</f>
        <v>52.595982054860407</v>
      </c>
      <c r="Q96" s="3012">
        <f>+(Q95*1000)/Q5</f>
        <v>51</v>
      </c>
      <c r="R96" s="3012">
        <f>+(R95*1000)/R5</f>
        <v>51.237266588220535</v>
      </c>
      <c r="S96" s="2933">
        <v>51</v>
      </c>
      <c r="T96" s="2933">
        <f>+(T95*1000)/T5</f>
        <v>52.763675080590183</v>
      </c>
      <c r="U96" s="3012">
        <f>+(U95*1000)/U5</f>
        <v>50.999999999999993</v>
      </c>
      <c r="V96" s="3012">
        <f>+(V95*1000)/V5</f>
        <v>51.54506510974673</v>
      </c>
      <c r="W96" s="2933">
        <v>51</v>
      </c>
      <c r="X96" s="2933">
        <f>+(X95*1000)/X5</f>
        <v>51.805247589785182</v>
      </c>
      <c r="Y96" s="2649">
        <f>+(Y95*1000)/Y5</f>
        <v>51.000000000000007</v>
      </c>
      <c r="Z96" s="3477">
        <f>+(Z95*1000)/Z5</f>
        <v>52.40168854986068</v>
      </c>
      <c r="AA96" s="2693">
        <f>+(AA95*1000)/AA5</f>
        <v>51</v>
      </c>
      <c r="AB96" s="3478">
        <f>+(AB95*1000)/AB5</f>
        <v>51.587066142344163</v>
      </c>
      <c r="AC96" s="2656">
        <v>52</v>
      </c>
      <c r="AD96" s="2647">
        <f>+(AD95*1000)/AD5</f>
        <v>50.177983955919295</v>
      </c>
      <c r="AE96" s="3012">
        <f>+(AE95*1000)/AE5</f>
        <v>51.15093771980311</v>
      </c>
      <c r="AF96" s="3012">
        <f>+(AF95*1000)/AF5</f>
        <v>51.394725878405794</v>
      </c>
      <c r="AG96" s="2656">
        <v>52</v>
      </c>
      <c r="AH96" s="2647">
        <f>+(AH95*1000)/AH5</f>
        <v>50.810712035286706</v>
      </c>
      <c r="AI96" s="3012">
        <f>+(AI95*1000)/AI5</f>
        <v>51.259172835256877</v>
      </c>
      <c r="AJ96" s="3012">
        <f>+(AJ95*1000)/AJ5</f>
        <v>51.391892081953635</v>
      </c>
      <c r="AK96" s="2656">
        <v>52</v>
      </c>
      <c r="AL96" s="2647">
        <f>+(AL95*1000)/AL5</f>
        <v>50.030932618226707</v>
      </c>
      <c r="AM96" s="2649">
        <f>+(AM95*1000)/AM5</f>
        <v>51.999999999999993</v>
      </c>
      <c r="AN96" s="3477">
        <f>+(AN95*1000)/AN5</f>
        <v>50.114487433414418</v>
      </c>
      <c r="AO96" s="3012">
        <f>+(AO95*1000)/AO5</f>
        <v>51.345383691173318</v>
      </c>
      <c r="AP96" s="3012">
        <f>+(AP95*1000)/AP5</f>
        <v>51.220935759753417</v>
      </c>
      <c r="AQ96" s="2656">
        <v>52</v>
      </c>
      <c r="AR96" s="2647">
        <f>+(AR95*1000)/AR5</f>
        <v>50.399036741993172</v>
      </c>
      <c r="AS96" s="3202">
        <f>+(AS95*1000)/AS5</f>
        <v>51.413621221820101</v>
      </c>
      <c r="AT96" s="3202">
        <f>+(AT95*1000)/AT5</f>
        <v>51.125381505799091</v>
      </c>
      <c r="AU96" s="2933">
        <v>52</v>
      </c>
      <c r="AV96" s="2933">
        <f>+(AV95*1000)/AV5</f>
        <v>50.884676641467955</v>
      </c>
      <c r="AW96" s="3202">
        <f>+(AW95*1000)/AW5</f>
        <v>51.463907051519982</v>
      </c>
      <c r="AX96" s="3202">
        <f>+(AX95*1000)/AX5</f>
        <v>51.102445301344929</v>
      </c>
      <c r="AY96" s="2933">
        <v>52</v>
      </c>
      <c r="AZ96" s="2933">
        <f>+(AZ95*1000)/AZ5</f>
        <v>50.321643837866247</v>
      </c>
      <c r="BA96" s="2649">
        <f t="shared" ref="BA96:BF96" si="303">+(BA95*1000)/BA5</f>
        <v>51.999999999999986</v>
      </c>
      <c r="BB96" s="3477">
        <f t="shared" si="303"/>
        <v>50.524509219115579</v>
      </c>
      <c r="BC96" s="2693">
        <f t="shared" si="303"/>
        <v>51.999999999999993</v>
      </c>
      <c r="BD96" s="3478">
        <f t="shared" si="303"/>
        <v>50.362587368045588</v>
      </c>
      <c r="BE96" s="3012">
        <f t="shared" si="303"/>
        <v>51.510552026715864</v>
      </c>
      <c r="BF96" s="2945">
        <f t="shared" si="303"/>
        <v>51.028815610756375</v>
      </c>
      <c r="BG96" s="2534"/>
      <c r="BH96" s="2534"/>
      <c r="BI96" s="2534"/>
      <c r="BJ96" s="3763"/>
      <c r="BK96" s="3763"/>
      <c r="BL96" s="2534"/>
      <c r="BM96" s="3763"/>
      <c r="BN96" s="3763"/>
    </row>
    <row r="97" spans="2:66" ht="15" x14ac:dyDescent="0.25">
      <c r="B97" s="9" t="s">
        <v>292</v>
      </c>
      <c r="C97" s="2942" t="s">
        <v>301</v>
      </c>
      <c r="D97" s="1353">
        <v>4.922221487324034</v>
      </c>
      <c r="E97" s="2934">
        <f>+(EMD!D31+EMD!D33)/24/E$2</f>
        <v>5.1580767490048887</v>
      </c>
      <c r="F97" s="2934">
        <f>+(EMD!E31+EMD!E33)/24/F$2</f>
        <v>4.9763888888888888</v>
      </c>
      <c r="G97" s="2934">
        <f>+(EMD!F31+EMD!F33)/24/G$2</f>
        <v>5.1486119720548036</v>
      </c>
      <c r="H97" s="2934">
        <f>+(EMD!G31+EMD!G33)/24/H$2</f>
        <v>5.028225806451613</v>
      </c>
      <c r="I97" s="3012">
        <f>+((E97*E2)+(G97*G2))/I2</f>
        <v>5.1532667803909114</v>
      </c>
      <c r="J97" s="2945">
        <f>+((F97*F2)+(H97*H2))/J2</f>
        <v>5.0027322404371581</v>
      </c>
      <c r="K97" s="2934">
        <f>+(EMD!J31+EMD!J33)/24/K$2</f>
        <v>5.1580767490048887</v>
      </c>
      <c r="L97" s="2934">
        <f>+(EMD!K31+EMD!K33)/24/L$2</f>
        <v>4.9874999999999998</v>
      </c>
      <c r="M97" s="3477">
        <f>+((E97*E2)+(G97*G2)+(K97*K2))/M2</f>
        <v>5.1548524843295844</v>
      </c>
      <c r="N97" s="3477">
        <f>+((F97*F2)+(H97*H2)+(L97*L2))/N2</f>
        <v>4.9977106227106223</v>
      </c>
      <c r="O97" s="2934">
        <f>+(EMD!N31+EMD!N33)/24/O$2</f>
        <v>5.0207095808374529</v>
      </c>
      <c r="P97" s="2934">
        <f>+(EMD!O31+EMD!O33)/24/P$2</f>
        <v>5.000013440860215</v>
      </c>
      <c r="Q97" s="3012">
        <f>+((M97*M2)+(O97*O2))/Q2</f>
        <v>5.1207669924586332</v>
      </c>
      <c r="R97" s="3012">
        <f>+((N97*N2)+(P97*P2))/R2</f>
        <v>4.9982957650273221</v>
      </c>
      <c r="S97" s="2934">
        <f>+(EMD!R31+EMD!R33)/24/S$2</f>
        <v>5.0207095808374529</v>
      </c>
      <c r="T97" s="2934">
        <f>+(EMD!S31+EMD!S33)/24/T$2</f>
        <v>4.8797580645161291</v>
      </c>
      <c r="U97" s="3012">
        <f>+((Q97*Q2)+(S97*S2))/U2</f>
        <v>5.1004939221301582</v>
      </c>
      <c r="V97" s="3012">
        <f>+((R97*R2)+(T97*T2))/V2</f>
        <v>4.9742783224400871</v>
      </c>
      <c r="W97" s="2934">
        <f>+(EMD!V31+EMD!V33)/24/W$2</f>
        <v>2.4242702835826866</v>
      </c>
      <c r="X97" s="2934">
        <f>+(EMD!W31+EMD!W33)/24/X$2</f>
        <v>4.9930972222222225</v>
      </c>
      <c r="Y97" s="3477">
        <f>+((O97*O2)+(S97*S2)+(W97*W2))/Y2</f>
        <v>4.1740445926022032</v>
      </c>
      <c r="Z97" s="3477">
        <f>+((P97*P2)+(T97*T2)+(X97*X2))/Z2</f>
        <v>4.9572373188405798</v>
      </c>
      <c r="AA97" s="3478">
        <f>+((Y97*Y2)+(M97*M2))/AA2</f>
        <v>4.6617687354830322</v>
      </c>
      <c r="AB97" s="3478">
        <f>+((Z97*Z2)+(N97*N2))/AB2</f>
        <v>4.9773633879781416</v>
      </c>
      <c r="AC97" s="2934">
        <f>+(EMD!AB31+EMD!AB33)/24/AC$2</f>
        <v>4.7016439516904081</v>
      </c>
      <c r="AD97" s="2934">
        <f>+(EMD!AC31+EMD!AC33)/24/AD$2</f>
        <v>4.9792920614037719</v>
      </c>
      <c r="AE97" s="3012">
        <f>+((AA97*AA2)+(AC97*AC2))/AE2</f>
        <v>4.6675450518495216</v>
      </c>
      <c r="AF97" s="3012">
        <f>+((AB97*AB2)+(AD97*AD2))/AF2</f>
        <v>4.9776427752500787</v>
      </c>
      <c r="AG97" s="2934">
        <f>+(EMD!AF31+EMD!AF33)/24/AG$2</f>
        <v>4.7029772256681133</v>
      </c>
      <c r="AH97" s="2934">
        <f>+(EMD!AG31+EMD!AG33)/24/AH$2</f>
        <v>0.37083333333333351</v>
      </c>
      <c r="AI97" s="3012">
        <f>+((AE97*AE2)+(AG97*AG2))/AI2</f>
        <v>4.6719014666632832</v>
      </c>
      <c r="AJ97" s="3012">
        <f>+((AF97*AF2)+(AH97*AH2))/AJ2</f>
        <v>4.4112317782931019</v>
      </c>
      <c r="AK97" s="2934">
        <f>+(EMD!AJ31+EMD!AJ33)/24/AK$2</f>
        <v>4.7016439516904081</v>
      </c>
      <c r="AL97" s="2934">
        <f>+(EMD!AK31+EMD!AK33)/24/AL$2</f>
        <v>4.7662010839496061</v>
      </c>
      <c r="AM97" s="3477">
        <f>+((AC97*AC2)+(AG97*AG2)+(AK97*AK2))/AM2</f>
        <v>4.7020787149440082</v>
      </c>
      <c r="AN97" s="3477">
        <f>+((AD97*AD2)+(AH97*AH2)+(AL97*AL2))/AN2</f>
        <v>3.4047313859342903</v>
      </c>
      <c r="AO97" s="3012">
        <f>+((AK97*AK2)+(AI97*AI2))/AO2</f>
        <v>4.6752542558845231</v>
      </c>
      <c r="AP97" s="3012">
        <f>+((AL97*AL2)+(AJ97*AJ2))/AP2</f>
        <v>4.4512465000216537</v>
      </c>
      <c r="AQ97" s="2934">
        <f>+(EMD!AP31+EMD!AP33)/24/AQ$2</f>
        <v>4.7016439516904081</v>
      </c>
      <c r="AR97" s="2934">
        <f>+(EMD!AQ31+EMD!AQ33)/24/AR$2</f>
        <v>5.1354704301075262</v>
      </c>
      <c r="AS97" s="3012">
        <f>+((AO97*AO2)+(AQ97*AQ2))/AS2</f>
        <v>4.6779277217994988</v>
      </c>
      <c r="AT97" s="3012">
        <f>+((AP97*AP2)+(AR97*AR2))/AT2</f>
        <v>4.5205633033963659</v>
      </c>
      <c r="AU97" s="2934">
        <f>+(EMD!AT31+EMD!AT33)/24/AU$2</f>
        <v>4.6785938314674116</v>
      </c>
      <c r="AV97" s="2934">
        <f>+(EMD!AU31+EMD!AU33)/24/AV$2</f>
        <v>5.000059523809524</v>
      </c>
      <c r="AW97" s="3012">
        <f>+((AS97*AS2)+(AU97*AU2))/AW2</f>
        <v>4.6779835633285449</v>
      </c>
      <c r="AX97" s="3012">
        <f>+((AT97*AT2)+(AV97*AV2))/AX2</f>
        <v>4.5607605913351943</v>
      </c>
      <c r="AY97" s="2934">
        <f>+(EMD!AX31+EMD!AX33)/24/AY$2</f>
        <v>4.7016439516904081</v>
      </c>
      <c r="AZ97" s="2934">
        <f>+(EMD!AY31+EMD!AY33)/24/AZ$2</f>
        <v>4.9839247311827952</v>
      </c>
      <c r="BA97" s="3477">
        <f>+((AQ97*AQ2)+(AU97*AU2)+(AY97*AY2))/BA2</f>
        <v>4.6944728031765877</v>
      </c>
      <c r="BB97" s="3477">
        <f>+((AR97*AR2)+(AV97*AV2)+(AZ97*AZ2))/BB2</f>
        <v>5.0411435185185178</v>
      </c>
      <c r="BC97" s="3478">
        <f>+((BA97*BA2)+(AM97*AM2))/BC2</f>
        <v>4.6983175497842948</v>
      </c>
      <c r="BD97" s="3478">
        <f>+((BB97*BB2)+(AN97*AN2))/BD2</f>
        <v>4.2139461767726445</v>
      </c>
      <c r="BE97" s="3012">
        <f>+((AW97*AW2)+(AY97*AY2))/BE2</f>
        <v>4.6799930757647576</v>
      </c>
      <c r="BF97" s="2945">
        <f>+((AX97*AX2)+(AZ97*AZ2))/BF2</f>
        <v>4.5967005593770462</v>
      </c>
      <c r="BG97" s="2534"/>
      <c r="BH97" s="2534"/>
      <c r="BI97" s="2534"/>
      <c r="BJ97" s="3763"/>
      <c r="BK97" s="3763"/>
      <c r="BL97" s="2534"/>
      <c r="BM97" s="3763"/>
      <c r="BN97" s="3763"/>
    </row>
    <row r="98" spans="2:66" ht="15" x14ac:dyDescent="0.25">
      <c r="B98" s="9" t="s">
        <v>518</v>
      </c>
      <c r="C98" s="2942" t="s">
        <v>625</v>
      </c>
      <c r="D98" s="1353">
        <v>0.53776671032800039</v>
      </c>
      <c r="E98" s="2934">
        <f>+(EMD!D102)/24/E$2</f>
        <v>0.6</v>
      </c>
      <c r="F98" s="2934">
        <f>+(EMD!E102)/24/F$2</f>
        <v>0.62955132722574558</v>
      </c>
      <c r="G98" s="2934">
        <f>+(EMD!F102)/24/G$2</f>
        <v>0.6</v>
      </c>
      <c r="H98" s="2934">
        <f>+(EMD!G102)/24/H$2</f>
        <v>0.62913455636636406</v>
      </c>
      <c r="I98" s="3012">
        <f>+((E98*E2)+(G98*G2))/I2</f>
        <v>0.59999999999999987</v>
      </c>
      <c r="J98" s="2945">
        <f>+((F98*F2)+(H98*H2))/J2</f>
        <v>0.62933952564146978</v>
      </c>
      <c r="K98" s="2934">
        <f>+(EMD!J102)/24/K$2</f>
        <v>0.6</v>
      </c>
      <c r="L98" s="2934">
        <f>+(EMD!K102)/24/L$2</f>
        <v>0.62682424242424217</v>
      </c>
      <c r="M98" s="3477">
        <f>+((E98*E2)+(G98*G2)+(K98*K2))/M2</f>
        <v>0.6</v>
      </c>
      <c r="N98" s="3477">
        <f>+((F98*F2)+(H98*H2)+(L98*L2))/N2</f>
        <v>0.62851031139403213</v>
      </c>
      <c r="O98" s="2934">
        <f>+(EMD!N102)/24/O$2</f>
        <v>0.6</v>
      </c>
      <c r="P98" s="2934">
        <f>+(EMD!O102)/24/P$2</f>
        <v>0.63333504682988906</v>
      </c>
      <c r="Q98" s="3202">
        <f>+((M98*M2)+(O98*O2))/Q2</f>
        <v>0.6</v>
      </c>
      <c r="R98" s="3202">
        <f>+((N98*N2)+(P98*P2))/R2</f>
        <v>0.629736268758881</v>
      </c>
      <c r="S98" s="2934">
        <f>+(EMD!R102)/24/S$2</f>
        <v>0.6</v>
      </c>
      <c r="T98" s="2934">
        <f>+(EMD!S102)/24/T$2</f>
        <v>0.62669780513310136</v>
      </c>
      <c r="U98" s="3012">
        <f>+((Q98*Q2)+(S98*S2))/U2</f>
        <v>0.6</v>
      </c>
      <c r="V98" s="3012">
        <f>+((R98*R2)+(T98*T2))/V2</f>
        <v>0.62912063233797144</v>
      </c>
      <c r="W98" s="2934">
        <f>+(EMD!V102)/24/W$2</f>
        <v>0.4</v>
      </c>
      <c r="X98" s="2934">
        <f>+(EMD!W102)/24/X$2</f>
        <v>0.63647638888888891</v>
      </c>
      <c r="Y98" s="3477">
        <f>+((O98*O2)+(S98*S2)+(W98*W2))/Y2</f>
        <v>0.53478260869565208</v>
      </c>
      <c r="Z98" s="3477">
        <f>+((P98*P2)+(T98*T2)+(X98*X2))/Z2</f>
        <v>0.6321229356252106</v>
      </c>
      <c r="AA98" s="3478">
        <f>+((Y98*Y2)+(M98*M2))/AA2</f>
        <v>0.5672131147540983</v>
      </c>
      <c r="AB98" s="3478">
        <f>+((Z98*Z2)+(N98*N2))/AB2</f>
        <v>0.63032649406763008</v>
      </c>
      <c r="AC98" s="2934">
        <f>+(EMD!AB102)/24/AC$2</f>
        <v>0.6</v>
      </c>
      <c r="AD98" s="2934">
        <f>+(EMD!AC102)/24/AD$2</f>
        <v>0.63424947145877353</v>
      </c>
      <c r="AE98" s="3012">
        <f>+((AA98*AA2)+(AC98*AC2))/AE2</f>
        <v>0.57196261682242977</v>
      </c>
      <c r="AF98" s="3012">
        <f>+((AB98*AB2)+(AD98*AD2))/AF2</f>
        <v>0.63089477583924436</v>
      </c>
      <c r="AG98" s="2934">
        <f>+(EMD!AF102)/24/AG$2</f>
        <v>0.6</v>
      </c>
      <c r="AH98" s="2934">
        <f>+(EMD!AG102)/24/AH$2</f>
        <v>4.7890239605355829E-2</v>
      </c>
      <c r="AI98" s="3012">
        <f>+((AE98*AE2)+(AG98*AG2))/AI2</f>
        <v>0.57540983606557372</v>
      </c>
      <c r="AJ98" s="3012">
        <f>+((AF98*AF2)+(AH98*AH2))/AJ2</f>
        <v>0.55921389023671708</v>
      </c>
      <c r="AK98" s="2934">
        <f>+(EMD!AJ102)/24/AK$2</f>
        <v>0.6</v>
      </c>
      <c r="AL98" s="2934">
        <f>+(EMD!AK102)/24/AL$2</f>
        <v>0.63424947145877342</v>
      </c>
      <c r="AM98" s="3477">
        <f>+((AC98*AC2)+(AG98*AG2)+(AK98*AK2))/AM2</f>
        <v>0.59999999999999987</v>
      </c>
      <c r="AN98" s="3477">
        <f>+((AD98*AD2)+(AH98*AH2)+(AL98*AL2))/AN2</f>
        <v>0.44304537411526779</v>
      </c>
      <c r="AO98" s="3202">
        <f>+((AK98*AK2)+(AI98*AI2))/AO2</f>
        <v>0.57818181818181813</v>
      </c>
      <c r="AP98" s="3202">
        <f>+((AL98*AL2)+(AJ98*AJ2))/AP2</f>
        <v>0.56767244666538519</v>
      </c>
      <c r="AQ98" s="2934">
        <f>+(EMD!AP102)/24/AQ$2</f>
        <v>0.6</v>
      </c>
      <c r="AR98" s="2934">
        <f>+(EMD!AQ102)/24/AR$2</f>
        <v>0.61379032258064514</v>
      </c>
      <c r="AS98" s="3202">
        <f>+((AO98*AO2)+(AQ98*AQ2))/AS2</f>
        <v>0.58039215686274503</v>
      </c>
      <c r="AT98" s="3202">
        <f>+((AP98*AP2)+(AR98*AR2))/AT2</f>
        <v>0.5723445190620291</v>
      </c>
      <c r="AU98" s="2934">
        <f>+(EMD!AT102)/24/AU$2</f>
        <v>0.6</v>
      </c>
      <c r="AV98" s="2934">
        <f>+(EMD!AU102)/24/AV$2</f>
        <v>0.63937670832074878</v>
      </c>
      <c r="AW98" s="3202">
        <f>+((AS98*AS2)+(AU98*AU2))/AW2</f>
        <v>0.58203592814371263</v>
      </c>
      <c r="AX98" s="3202">
        <f>+((AT98*AT2)+(AV98*AV2))/AX2</f>
        <v>0.57796398402982596</v>
      </c>
      <c r="AY98" s="2934">
        <f>+(EMD!AX102)/24/AY$2</f>
        <v>0.6</v>
      </c>
      <c r="AZ98" s="2934">
        <f>+(EMD!AY102)/24/AZ$2</f>
        <v>0.63518607776944214</v>
      </c>
      <c r="BA98" s="3477">
        <f>+((AQ98*AQ2)+(AU98*AU2)+(AY98*AY2))/BA2</f>
        <v>0.6</v>
      </c>
      <c r="BB98" s="3477">
        <f>+((AR98*AR2)+(AV98*AV2)+(AZ98*AZ2))/BB2</f>
        <v>0.62912018048704077</v>
      </c>
      <c r="BC98" s="3478">
        <f>+((BA98*BA2)+(AM98*AM2))/BC2</f>
        <v>0.6</v>
      </c>
      <c r="BD98" s="3478">
        <f>+((BB98*BB2)+(AN98*AN2))/BD2</f>
        <v>0.53506038825515556</v>
      </c>
      <c r="BE98" s="3202">
        <f>+((AW98*AW2)+(AY98*AY2))/BE2</f>
        <v>0.58356164383561648</v>
      </c>
      <c r="BF98" s="107">
        <f>+((AX98*AX2)+(AZ98*AZ2))/BF2</f>
        <v>0.5828239426762043</v>
      </c>
      <c r="BG98" s="2534"/>
      <c r="BH98" s="2534"/>
      <c r="BI98" s="2534"/>
      <c r="BJ98" s="3763"/>
      <c r="BK98" s="3763"/>
      <c r="BL98" s="2534"/>
      <c r="BM98" s="3763"/>
      <c r="BN98" s="3763"/>
    </row>
    <row r="99" spans="2:66" ht="15" x14ac:dyDescent="0.25">
      <c r="B99" s="9" t="s">
        <v>293</v>
      </c>
      <c r="C99" s="2942" t="s">
        <v>213</v>
      </c>
      <c r="D99" s="155">
        <f>28.8482416884123*365*24*1000</f>
        <v>252710597.19049174</v>
      </c>
      <c r="E99" s="2716">
        <f>+'POWER DISTRIBUTION'!I24</f>
        <v>21577053.824362602</v>
      </c>
      <c r="F99" s="2716">
        <f>+'POWER DISTRIBUTION'!J24</f>
        <v>19132360.000000007</v>
      </c>
      <c r="G99" s="2716">
        <f>+'POWER DISTRIBUTION'!K24</f>
        <v>22264494.80642115</v>
      </c>
      <c r="H99" s="2716">
        <f>+'POWER DISTRIBUTION'!L24</f>
        <v>20855320.000000004</v>
      </c>
      <c r="I99" s="2648">
        <f>+E99+G99</f>
        <v>43841548.630783752</v>
      </c>
      <c r="J99" s="39">
        <f>+F99+H99</f>
        <v>39987680.000000015</v>
      </c>
      <c r="K99" s="2716">
        <f>+'POWER DISTRIBUTION'!O24</f>
        <v>21577053.824362602</v>
      </c>
      <c r="L99" s="2716">
        <f>+'POWER DISTRIBUTION'!P24</f>
        <v>19860070</v>
      </c>
      <c r="M99" s="2649">
        <f>+K99+G99+E99</f>
        <v>65418602.455146357</v>
      </c>
      <c r="N99" s="2649">
        <f>+L99+H99+F99</f>
        <v>59847750.000000007</v>
      </c>
      <c r="O99" s="2716">
        <f>+'POWER DISTRIBUTION'!S24</f>
        <v>21834844.192634564</v>
      </c>
      <c r="P99" s="2716">
        <f>+'POWER DISTRIBUTION'!T24</f>
        <v>20412479.999999993</v>
      </c>
      <c r="Q99" s="2648">
        <f>+M99+O99</f>
        <v>87253446.647780925</v>
      </c>
      <c r="R99" s="2648">
        <f>+N99+P99</f>
        <v>80260230</v>
      </c>
      <c r="S99" s="2716">
        <f>+'POWER DISTRIBUTION'!W24</f>
        <v>21834844.192634564</v>
      </c>
      <c r="T99" s="2716">
        <f>+'POWER DISTRIBUTION'!X24</f>
        <v>19977985.000000007</v>
      </c>
      <c r="U99" s="2648">
        <f>+Q99+S99</f>
        <v>109088290.84041549</v>
      </c>
      <c r="V99" s="2648">
        <f>+R99+T99</f>
        <v>100238215</v>
      </c>
      <c r="W99" s="2716">
        <f>+'POWER DISTRIBUTION'!AA24</f>
        <v>12214781.869688384</v>
      </c>
      <c r="X99" s="2716">
        <f>+'POWER DISTRIBUTION'!AB24</f>
        <v>19075500</v>
      </c>
      <c r="Y99" s="2649">
        <f>+W99+S99+O99</f>
        <v>55884470.254957512</v>
      </c>
      <c r="Z99" s="2649">
        <f>+X99+T99+P99</f>
        <v>59465965</v>
      </c>
      <c r="AA99" s="2693">
        <f>+Y99+M99</f>
        <v>121303072.71010387</v>
      </c>
      <c r="AB99" s="2693">
        <f>+Z99+N99</f>
        <v>119313715</v>
      </c>
      <c r="AC99" s="2716">
        <f>+'POWER DISTRIBUTION'!AG24</f>
        <v>22110209.245283019</v>
      </c>
      <c r="AD99" s="2716">
        <f>+'POWER DISTRIBUTION'!AH24</f>
        <v>20599819.999999993</v>
      </c>
      <c r="AE99" s="2648">
        <f>+AA99+AC99</f>
        <v>143413281.95538688</v>
      </c>
      <c r="AF99" s="2648">
        <f>+AB99+AD99</f>
        <v>139913535</v>
      </c>
      <c r="AG99" s="2716">
        <f>+'POWER DISTRIBUTION'!AK24</f>
        <v>21401605.471698113</v>
      </c>
      <c r="AH99" s="2716">
        <f>+'POWER DISTRIBUTION'!AL24</f>
        <v>2763370.0000000028</v>
      </c>
      <c r="AI99" s="2648">
        <f>+AE99+AG99</f>
        <v>164814887.42708498</v>
      </c>
      <c r="AJ99" s="2648">
        <f>+AF99+AH99</f>
        <v>142676905</v>
      </c>
      <c r="AK99" s="2716">
        <f>+'POWER DISTRIBUTION'!AO24</f>
        <v>22110209.245283019</v>
      </c>
      <c r="AL99" s="2716">
        <f>+'POWER DISTRIBUTION'!AP24</f>
        <v>19993462.999999993</v>
      </c>
      <c r="AM99" s="2649">
        <f>+AK99+AG99+AC99</f>
        <v>65622023.96226415</v>
      </c>
      <c r="AN99" s="2649">
        <f>+AL99+AH99+AD99</f>
        <v>43356652.999999985</v>
      </c>
      <c r="AO99" s="2648">
        <f t="shared" ref="AO99:AP99" si="304">+AK99+AI99</f>
        <v>186925096.67236799</v>
      </c>
      <c r="AP99" s="2648">
        <f t="shared" si="304"/>
        <v>162670368</v>
      </c>
      <c r="AQ99" s="2716">
        <f>+'POWER DISTRIBUTION'!AU24</f>
        <v>22110209.245283019</v>
      </c>
      <c r="AR99" s="2716">
        <f>+'POWER DISTRIBUTION'!AV24</f>
        <v>20402077</v>
      </c>
      <c r="AS99" s="2648">
        <f>+AO99+AQ99</f>
        <v>209035305.917651</v>
      </c>
      <c r="AT99" s="2648">
        <f>+AP99+AR99</f>
        <v>183072445</v>
      </c>
      <c r="AU99" s="2716">
        <f>+'POWER DISTRIBUTION'!AY24</f>
        <v>19895822.452830188</v>
      </c>
      <c r="AV99" s="2716">
        <f>+'POWER DISTRIBUTION'!AZ24</f>
        <v>18292260.000000015</v>
      </c>
      <c r="AW99" s="2648">
        <f>+AS99+AU99</f>
        <v>228931128.37048119</v>
      </c>
      <c r="AX99" s="2648">
        <f>+AT99+AV99</f>
        <v>201364705</v>
      </c>
      <c r="AY99" s="2716">
        <f>+'POWER DISTRIBUTION'!BC24</f>
        <v>22110209.245283019</v>
      </c>
      <c r="AZ99" s="2716">
        <f>+'POWER DISTRIBUTION'!BD24</f>
        <v>19940999.999999989</v>
      </c>
      <c r="BA99" s="2649">
        <f>+'POWER DISTRIBUTION'!BE24</f>
        <v>64116240.943396226</v>
      </c>
      <c r="BB99" s="2649">
        <f>+'POWER DISTRIBUTION'!BF24</f>
        <v>58635337</v>
      </c>
      <c r="BC99" s="2693">
        <f>+'POWER DISTRIBUTION'!BG24</f>
        <v>129738264.90566038</v>
      </c>
      <c r="BD99" s="2693">
        <f>+'POWER DISTRIBUTION'!BH24</f>
        <v>101991989.99999999</v>
      </c>
      <c r="BE99" s="2648">
        <f>+'POWER DISTRIBUTION'!BI24</f>
        <v>251041337.6157642</v>
      </c>
      <c r="BF99" s="39">
        <f>+'POWER DISTRIBUTION'!BJ24</f>
        <v>221305705</v>
      </c>
      <c r="BG99" s="2534"/>
      <c r="BH99" s="2534"/>
      <c r="BI99" s="2534"/>
      <c r="BJ99" s="3763"/>
      <c r="BK99" s="3763"/>
      <c r="BL99" s="2534"/>
      <c r="BM99" s="3763"/>
      <c r="BN99" s="3763"/>
    </row>
    <row r="100" spans="2:66" ht="15" x14ac:dyDescent="0.25">
      <c r="B100" s="9" t="s">
        <v>294</v>
      </c>
      <c r="C100" s="2942" t="s">
        <v>274</v>
      </c>
      <c r="D100" s="769">
        <f t="shared" ref="D100:N100" si="305">+D99/D5</f>
        <v>91.230640517046737</v>
      </c>
      <c r="E100" s="2732">
        <f t="shared" si="305"/>
        <v>91.000000000000085</v>
      </c>
      <c r="F100" s="2933">
        <f t="shared" si="305"/>
        <v>92.417930634721316</v>
      </c>
      <c r="G100" s="2732">
        <f t="shared" ref="G100:H100" si="306">+G99/G5</f>
        <v>91.000000000000043</v>
      </c>
      <c r="H100" s="2933">
        <f t="shared" si="306"/>
        <v>88.131745535374719</v>
      </c>
      <c r="I100" s="3202">
        <f t="shared" si="305"/>
        <v>91.000000000000071</v>
      </c>
      <c r="J100" s="107">
        <f t="shared" si="305"/>
        <v>90.131768163765813</v>
      </c>
      <c r="K100" s="2732">
        <f t="shared" si="305"/>
        <v>91.000000000000085</v>
      </c>
      <c r="L100" s="2933">
        <f t="shared" si="305"/>
        <v>81.576608215959553</v>
      </c>
      <c r="M100" s="3459">
        <f t="shared" si="305"/>
        <v>91.000000000000085</v>
      </c>
      <c r="N100" s="3459">
        <f t="shared" si="305"/>
        <v>87.100555805393896</v>
      </c>
      <c r="O100" s="2732">
        <f t="shared" ref="O100:P100" si="307">+O99/O5</f>
        <v>91</v>
      </c>
      <c r="P100" s="2933">
        <f t="shared" si="307"/>
        <v>80.471178181990183</v>
      </c>
      <c r="Q100" s="3202">
        <f>+Q99/Q5</f>
        <v>91.000000000000057</v>
      </c>
      <c r="R100" s="3202">
        <f>+R99/R5</f>
        <v>85.313067020418316</v>
      </c>
      <c r="S100" s="2732">
        <f t="shared" ref="S100:T100" si="308">+S99/S5</f>
        <v>91</v>
      </c>
      <c r="T100" s="2933">
        <f t="shared" si="308"/>
        <v>84.07464376194126</v>
      </c>
      <c r="U100" s="3202">
        <f t="shared" ref="U100:X100" si="309">+U99/U5</f>
        <v>91.000000000000057</v>
      </c>
      <c r="V100" s="3202">
        <f t="shared" si="309"/>
        <v>85.063340390955489</v>
      </c>
      <c r="W100" s="2732">
        <f t="shared" si="309"/>
        <v>97.003779527558692</v>
      </c>
      <c r="X100" s="2933">
        <f t="shared" si="309"/>
        <v>84.089716857617688</v>
      </c>
      <c r="Y100" s="3477">
        <f t="shared" ref="Y100:AF100" si="310">+Y99/Y5</f>
        <v>92.247921440261791</v>
      </c>
      <c r="Z100" s="3477">
        <f t="shared" si="310"/>
        <v>82.806570110467305</v>
      </c>
      <c r="AA100" s="3478">
        <f t="shared" si="310"/>
        <v>91.570698221477713</v>
      </c>
      <c r="AB100" s="3478">
        <f t="shared" si="310"/>
        <v>84.906169186517346</v>
      </c>
      <c r="AC100" s="2732">
        <f t="shared" si="310"/>
        <v>93.889999999999944</v>
      </c>
      <c r="AD100" s="2933">
        <f t="shared" si="310"/>
        <v>92.734336313462762</v>
      </c>
      <c r="AE100" s="3202">
        <f t="shared" si="310"/>
        <v>91.920768343463138</v>
      </c>
      <c r="AF100" s="3202">
        <f t="shared" si="310"/>
        <v>85.97471702982709</v>
      </c>
      <c r="AG100" s="2732">
        <f t="shared" ref="AG100:AJ100" si="311">+AG99/AG5</f>
        <v>93.890000000000029</v>
      </c>
      <c r="AH100" s="2933">
        <f t="shared" si="311"/>
        <v>348.25078764965377</v>
      </c>
      <c r="AI100" s="3202">
        <f t="shared" si="311"/>
        <v>92.171798239233638</v>
      </c>
      <c r="AJ100" s="3202">
        <f t="shared" si="311"/>
        <v>87.247352956464042</v>
      </c>
      <c r="AK100" s="2732">
        <f t="shared" ref="AK100:AL100" si="312">+AK99/AK5</f>
        <v>93.889999999999944</v>
      </c>
      <c r="AL100" s="2933">
        <f t="shared" si="312"/>
        <v>85.103916060102975</v>
      </c>
      <c r="AM100" s="3477">
        <f t="shared" ref="AM100:BF100" si="313">+AM99/AM5</f>
        <v>93.889999999999972</v>
      </c>
      <c r="AN100" s="3477">
        <f t="shared" si="313"/>
        <v>93.239512433253083</v>
      </c>
      <c r="AO100" s="3202">
        <f t="shared" si="313"/>
        <v>92.371747230688541</v>
      </c>
      <c r="AP100" s="3202">
        <f t="shared" si="313"/>
        <v>86.978106077011304</v>
      </c>
      <c r="AQ100" s="2732">
        <f t="shared" si="313"/>
        <v>93.889999999999944</v>
      </c>
      <c r="AR100" s="2933">
        <f t="shared" si="313"/>
        <v>82.921789139977236</v>
      </c>
      <c r="AS100" s="3202">
        <f t="shared" si="313"/>
        <v>92.530010656879583</v>
      </c>
      <c r="AT100" s="3202">
        <f t="shared" si="313"/>
        <v>86.50651731690202</v>
      </c>
      <c r="AU100" s="2732">
        <f t="shared" ref="AU100:AX100" si="314">+AU99/AU5</f>
        <v>93.890000000000214</v>
      </c>
      <c r="AV100" s="2933">
        <f t="shared" si="314"/>
        <v>82.066713026312911</v>
      </c>
      <c r="AW100" s="3202">
        <f t="shared" si="314"/>
        <v>92.646638671136998</v>
      </c>
      <c r="AX100" s="3202">
        <f t="shared" si="314"/>
        <v>86.08345873340231</v>
      </c>
      <c r="AY100" s="2732">
        <f t="shared" ref="AY100:AZ100" si="315">+AY99/AY5</f>
        <v>93.889999999999944</v>
      </c>
      <c r="AZ100" s="2933">
        <f t="shared" si="315"/>
        <v>81.875739061884076</v>
      </c>
      <c r="BA100" s="3477">
        <f t="shared" si="313"/>
        <v>93.890000000000029</v>
      </c>
      <c r="BB100" s="3477">
        <f t="shared" si="313"/>
        <v>82.296711378593571</v>
      </c>
      <c r="BC100" s="3478">
        <f t="shared" si="313"/>
        <v>93.889999999999986</v>
      </c>
      <c r="BD100" s="3478">
        <f t="shared" si="313"/>
        <v>86.618136884389671</v>
      </c>
      <c r="BE100" s="3202">
        <f t="shared" si="313"/>
        <v>92.754822445067958</v>
      </c>
      <c r="BF100" s="107">
        <f t="shared" si="313"/>
        <v>85.68667016167376</v>
      </c>
      <c r="BG100" s="2534"/>
      <c r="BH100" s="2534"/>
      <c r="BI100" s="2534"/>
      <c r="BJ100" s="3763"/>
      <c r="BK100" s="3763"/>
      <c r="BL100" s="2534"/>
      <c r="BM100" s="3763"/>
      <c r="BN100" s="3763"/>
    </row>
    <row r="101" spans="2:66" ht="15" x14ac:dyDescent="0.25">
      <c r="B101" s="9" t="s">
        <v>295</v>
      </c>
      <c r="C101" s="2942" t="s">
        <v>1879</v>
      </c>
      <c r="D101" s="2023">
        <v>4.4999999999999998E-2</v>
      </c>
      <c r="E101" s="2736">
        <f>+$D$101</f>
        <v>4.4999999999999998E-2</v>
      </c>
      <c r="F101" s="2736">
        <v>5.0999999999999997E-2</v>
      </c>
      <c r="G101" s="2736">
        <f>+$D$101</f>
        <v>4.4999999999999998E-2</v>
      </c>
      <c r="H101" s="2736">
        <v>4.5999999999999999E-2</v>
      </c>
      <c r="I101" s="3215">
        <f>+((E101*E20)+(G101*G20))/I20</f>
        <v>4.4999999999999998E-2</v>
      </c>
      <c r="J101" s="2944">
        <f>+((F101*F20)+(H101*H20))/J20</f>
        <v>4.8333954183067691E-2</v>
      </c>
      <c r="K101" s="2736">
        <f>+$D$101</f>
        <v>4.4999999999999998E-2</v>
      </c>
      <c r="L101" s="2736">
        <v>4.3400000000000001E-2</v>
      </c>
      <c r="M101" s="3481">
        <f>+((E101*E20)+(G101*G20)+(K101*K20))/M20</f>
        <v>4.4999999999999998E-2</v>
      </c>
      <c r="N101" s="3481">
        <f>+((F101*F20)+(H101*H20)+(L101*L20))/N20</f>
        <v>4.6585953551653764E-2</v>
      </c>
      <c r="O101" s="2736">
        <f>+$D$101</f>
        <v>4.4999999999999998E-2</v>
      </c>
      <c r="P101" s="2736">
        <v>4.2999999999999997E-2</v>
      </c>
      <c r="Q101" s="3215">
        <f>+((M101*M20)+(O101*O20))/Q20</f>
        <v>4.4999999999999998E-2</v>
      </c>
      <c r="R101" s="3215">
        <f>+((N101*N20)+(P101*P20))/R20</f>
        <v>4.5619538031854659E-2</v>
      </c>
      <c r="S101" s="2736">
        <f>+$D$101</f>
        <v>4.4999999999999998E-2</v>
      </c>
      <c r="T101" s="2736">
        <v>4.4999999999999998E-2</v>
      </c>
      <c r="U101" s="3215">
        <f>+((Q101*Q20)+(S101*S20))/U20</f>
        <v>4.5000000000000005E-2</v>
      </c>
      <c r="V101" s="3215">
        <f>+((R101*R20)+(T101*T20))/V20</f>
        <v>4.549466953958041E-2</v>
      </c>
      <c r="W101" s="2736">
        <f>+$D$101</f>
        <v>4.4999999999999998E-2</v>
      </c>
      <c r="X101" s="2736">
        <v>4.5999999999999999E-2</v>
      </c>
      <c r="Y101" s="3481">
        <f>+((O101*O20)+(S101*S20)+(W101*W20))/Y20</f>
        <v>4.4999999999999998E-2</v>
      </c>
      <c r="Z101" s="3481">
        <f>+((P101*P20)+(T101*T20)+(X101*X20))/Z20</f>
        <v>4.4610016908667095E-2</v>
      </c>
      <c r="AA101" s="3482">
        <f>+((Y101*Y20)+(M101*M20))/AA20</f>
        <v>4.4999999999999998E-2</v>
      </c>
      <c r="AB101" s="3482">
        <f>+((Z101*Z20)+(N101*N20))/AB20</f>
        <v>4.5576312795523308E-2</v>
      </c>
      <c r="AC101" s="2736">
        <f>+$D$101</f>
        <v>4.4999999999999998E-2</v>
      </c>
      <c r="AD101" s="2736">
        <v>4.9399999999999999E-2</v>
      </c>
      <c r="AE101" s="3215">
        <f>+((AA101*AA20)+(AC101*AC20))/AE20</f>
        <v>4.4999999999999998E-2</v>
      </c>
      <c r="AF101" s="3215">
        <f>+((AB101*AB20)+(AD101*AD20))/AF20</f>
        <v>4.6097482739728288E-2</v>
      </c>
      <c r="AG101" s="2736">
        <f>+$D$101</f>
        <v>4.4999999999999998E-2</v>
      </c>
      <c r="AH101" s="2736">
        <v>9.9000000000000005E-2</v>
      </c>
      <c r="AI101" s="3215">
        <f>+((AE101*AE20)+(AG101*AG20))/AI20</f>
        <v>4.4999999999999991E-2</v>
      </c>
      <c r="AJ101" s="3215">
        <f>+((AF101*AF20)+(AH101*AH20))/AJ20</f>
        <v>4.635510349858124E-2</v>
      </c>
      <c r="AK101" s="2736">
        <f>+$D$101</f>
        <v>4.4999999999999998E-2</v>
      </c>
      <c r="AL101" s="2736">
        <v>4.4999999999999998E-2</v>
      </c>
      <c r="AM101" s="3481">
        <f>+((AC101*AC20)+(AG101*AG20)+(AK101*AK20))/AM20</f>
        <v>4.4999999999999998E-2</v>
      </c>
      <c r="AN101" s="3481">
        <f>+((AD101*AD20)+(AH101*AH20)+(AL101*AL20))/AN20</f>
        <v>4.8027494872234955E-2</v>
      </c>
      <c r="AO101" s="3215">
        <f>+((AK101*AK20)+(AI101*AI20))/AO20</f>
        <v>4.4999999999999991E-2</v>
      </c>
      <c r="AP101" s="3215">
        <f>+((AL101*AL20)+(AJ101*AJ20))/AP20</f>
        <v>4.6185070001509836E-2</v>
      </c>
      <c r="AQ101" s="2736">
        <f>+$D$101</f>
        <v>4.4999999999999998E-2</v>
      </c>
      <c r="AR101" s="2736">
        <v>4.5999999999999999E-2</v>
      </c>
      <c r="AS101" s="3215">
        <f>+((AO101*AO20)+(AQ101*AQ20))/AS20</f>
        <v>4.4999999999999998E-2</v>
      </c>
      <c r="AT101" s="3215">
        <f>+((AP101*AP20)+(AR101*AR20))/AT20</f>
        <v>4.6163563620440252E-2</v>
      </c>
      <c r="AU101" s="2736">
        <f>+$D$101</f>
        <v>4.4999999999999998E-2</v>
      </c>
      <c r="AV101" s="2736">
        <v>4.3999999999999997E-2</v>
      </c>
      <c r="AW101" s="3215">
        <f>+((AS101*AS20)+(AU101*AU20))/AW20</f>
        <v>4.4999999999999991E-2</v>
      </c>
      <c r="AX101" s="3215">
        <f>+((AT101*AT20)+(AV101*AV20))/AX20</f>
        <v>4.5957443093638146E-2</v>
      </c>
      <c r="AY101" s="2736">
        <f>+$D$101</f>
        <v>4.4999999999999998E-2</v>
      </c>
      <c r="AZ101" s="2736">
        <v>4.4999999999999998E-2</v>
      </c>
      <c r="BA101" s="3481">
        <f>+((AQ101*AQ20)+(AU101*AU20)+(AY101*AY20))/BA20</f>
        <v>4.4999999999999998E-2</v>
      </c>
      <c r="BB101" s="3481">
        <f>+((AR101*AR20)+(AV101*AV20)+(AZ101*AZ20))/BB20</f>
        <v>4.5032400872666828E-2</v>
      </c>
      <c r="BC101" s="3482">
        <f>+((BA101*BA20)+(AM101*AM20))/BC20</f>
        <v>4.5000000000000005E-2</v>
      </c>
      <c r="BD101" s="3482">
        <f>+((BB101*BB20)+(AN101*AN20))/BD20</f>
        <v>4.6214598439802829E-2</v>
      </c>
      <c r="BE101" s="3215">
        <f>+((AW101*AW20)+(AY101*AY20))/BE20</f>
        <v>4.4999999999999998E-2</v>
      </c>
      <c r="BF101" s="2944">
        <f>+((AX101*AX20)+(AZ101*AZ20))/BF20</f>
        <v>4.5867155514593631E-2</v>
      </c>
      <c r="BG101" s="2534"/>
      <c r="BH101" s="2534"/>
      <c r="BI101" s="2534"/>
      <c r="BJ101" s="3763"/>
      <c r="BK101" s="3763"/>
      <c r="BL101" s="2534"/>
      <c r="BM101" s="3763"/>
      <c r="BN101" s="3763"/>
    </row>
    <row r="102" spans="2:66" ht="15" x14ac:dyDescent="0.25">
      <c r="B102" s="9" t="s">
        <v>296</v>
      </c>
      <c r="C102" s="2942" t="s">
        <v>1880</v>
      </c>
      <c r="D102" s="3483">
        <v>3.7884654285546548E-2</v>
      </c>
      <c r="E102" s="2736">
        <v>3.8999999999999993E-2</v>
      </c>
      <c r="F102" s="2736">
        <v>4.3999999999999997E-2</v>
      </c>
      <c r="G102" s="2736">
        <v>3.8999999999999993E-2</v>
      </c>
      <c r="H102" s="2736">
        <v>0.04</v>
      </c>
      <c r="I102" s="3215">
        <f>+((E102*E5)+(G102*G5))/I5</f>
        <v>3.9E-2</v>
      </c>
      <c r="J102" s="2944">
        <f>+((F102*F5)+(H102*H5))/J5</f>
        <v>4.1866482741210576E-2</v>
      </c>
      <c r="K102" s="2736">
        <v>3.8999999999999993E-2</v>
      </c>
      <c r="L102" s="2736">
        <v>3.7999999999999999E-2</v>
      </c>
      <c r="M102" s="3481">
        <f>+((E102*E5)+(G102*G5)+(K102*K5))/M5</f>
        <v>3.9E-2</v>
      </c>
      <c r="N102" s="3481">
        <f>+((F102*F5)+(H102*H5)+(L102*L5))/N5</f>
        <v>4.0496534038896193E-2</v>
      </c>
      <c r="O102" s="2736">
        <v>3.9E-2</v>
      </c>
      <c r="P102" s="2736">
        <v>3.6999999999999998E-2</v>
      </c>
      <c r="Q102" s="3215">
        <f>+((M102*M5)+(O102*O5))/Q5</f>
        <v>3.9E-2</v>
      </c>
      <c r="R102" s="3215">
        <f>+((N102*N5)+(P102*P5))/R5</f>
        <v>3.9553758451826321E-2</v>
      </c>
      <c r="S102" s="2736">
        <v>3.9E-2</v>
      </c>
      <c r="T102" s="2736">
        <v>3.9E-2</v>
      </c>
      <c r="U102" s="3215">
        <f>+((Q102*Q5)+(S102*S5))/U5</f>
        <v>3.9E-2</v>
      </c>
      <c r="V102" s="3215">
        <f>+((R102*R5)+(T102*T5))/V5</f>
        <v>3.9442093695238017E-2</v>
      </c>
      <c r="W102" s="2736">
        <v>3.9E-2</v>
      </c>
      <c r="X102" s="2736">
        <v>0.04</v>
      </c>
      <c r="Y102" s="3481">
        <f>+((O102*O5)+(S102*S5)+(W102*W5))/Y5</f>
        <v>3.9E-2</v>
      </c>
      <c r="Z102" s="3481">
        <f>+((P102*P5)+(T102*T5)+(X102*X5))/Z5</f>
        <v>3.8609434768865296E-2</v>
      </c>
      <c r="AA102" s="3482">
        <f>+((Y102*Y5)+(M102*M5))/AA5</f>
        <v>3.9E-2</v>
      </c>
      <c r="AB102" s="3482">
        <f>+((Z102*Z5)+(N102*N5))/AB5</f>
        <v>3.9532156027218095E-2</v>
      </c>
      <c r="AC102" s="2736">
        <f>+$D$102</f>
        <v>3.7884654285546548E-2</v>
      </c>
      <c r="AD102" s="2736">
        <v>4.2000000000000003E-2</v>
      </c>
      <c r="AE102" s="3215">
        <f>+((AA102*AA5)+(AC102*AC5))/AE5</f>
        <v>3.8831652261068231E-2</v>
      </c>
      <c r="AF102" s="3215">
        <f>+((AB102*AB5)+(AD102*AD5))/AF5</f>
        <v>3.9869017684867704E-2</v>
      </c>
      <c r="AG102" s="2736">
        <f>+$D$102</f>
        <v>3.7884654285546548E-2</v>
      </c>
      <c r="AH102" s="2736">
        <v>0.08</v>
      </c>
      <c r="AI102" s="3215">
        <f>+((AE102*AE5)+(AG102*AG5))/AI5</f>
        <v>3.8710932688893501E-2</v>
      </c>
      <c r="AJ102" s="3215">
        <f>+((AF102*AF5)+(AH102*AH5))/AJ5</f>
        <v>4.0063744293912795E-2</v>
      </c>
      <c r="AK102" s="2736">
        <f>+$D$102</f>
        <v>3.7884654285546548E-2</v>
      </c>
      <c r="AL102" s="2736">
        <v>3.9E-2</v>
      </c>
      <c r="AM102" s="3481">
        <f>+((AC102*AC5)+(AG102*AG5)+(AK102*AK5))/AM5</f>
        <v>3.7884654285546548E-2</v>
      </c>
      <c r="AN102" s="3481">
        <f>+((AD102*AD5)+(AH102*AH5)+(AL102*AL5))/AN5</f>
        <v>4.1132779788517496E-2</v>
      </c>
      <c r="AO102" s="3215">
        <f>+((AK102*AK5)+(AI102*AI5))/AO5</f>
        <v>3.8614777780207735E-2</v>
      </c>
      <c r="AP102" s="3215">
        <f>+((AL102*AL5)+(AJ102*AJ5))/AP5</f>
        <v>3.993012252405434E-2</v>
      </c>
      <c r="AQ102" s="2736">
        <f>+$D$102</f>
        <v>3.7884654285546548E-2</v>
      </c>
      <c r="AR102" s="2736">
        <v>3.9E-2</v>
      </c>
      <c r="AS102" s="3215">
        <f>+((AO102*AO5)+(AQ102*AQ5))/AS5</f>
        <v>3.8538669342835966E-2</v>
      </c>
      <c r="AT102" s="3215">
        <f>+((AP102*AP5)+(AR102*AR5))/AT5</f>
        <v>3.9821986169159641E-2</v>
      </c>
      <c r="AU102" s="2736">
        <f>+$D$102</f>
        <v>3.7884654285546548E-2</v>
      </c>
      <c r="AV102" s="2736">
        <v>3.7999999999999999E-2</v>
      </c>
      <c r="AW102" s="3215">
        <f>+((AS102*AS5)+(AU102*AU5))/AW5</f>
        <v>3.8482583258182469E-2</v>
      </c>
      <c r="AX102" s="3215">
        <f>+((AT102*AT5)+(AV102*AV5))/AX5</f>
        <v>3.964837336160535E-2</v>
      </c>
      <c r="AY102" s="2736">
        <f>+$D$102</f>
        <v>3.7884654285546548E-2</v>
      </c>
      <c r="AZ102" s="2736">
        <v>3.9E-2</v>
      </c>
      <c r="BA102" s="3481">
        <f>+((AQ102*AQ5)+(AU102*AU5)+(AY102*AY5))/BA5</f>
        <v>3.7884654285546542E-2</v>
      </c>
      <c r="BB102" s="3481">
        <f>+((AR102*AR5)+(AV102*AV5)+(AZ102*AZ5))/BB5</f>
        <v>3.8687159204308284E-2</v>
      </c>
      <c r="BC102" s="3482">
        <f>+((BA102*BA5)+(AM102*AM5))/BC5</f>
        <v>3.7884654285546542E-2</v>
      </c>
      <c r="BD102" s="3482">
        <f>+((BB102*BB5)+(AN102*AN5))/BD5</f>
        <v>3.9652960110064632E-2</v>
      </c>
      <c r="BE102" s="3215">
        <f>+((AW102*AW5)+(AY102*AY5))/BE5</f>
        <v>3.8430557984996942E-2</v>
      </c>
      <c r="BF102" s="2944">
        <f>+((AX102*AX5)+(AZ102*AZ5))/BF5</f>
        <v>3.9587231660118051E-2</v>
      </c>
      <c r="BG102" s="2534"/>
      <c r="BH102" s="2534"/>
      <c r="BI102" s="2534"/>
      <c r="BJ102" s="3763"/>
      <c r="BK102" s="3763"/>
      <c r="BL102" s="2534"/>
      <c r="BM102" s="3763"/>
      <c r="BN102" s="3763"/>
    </row>
    <row r="103" spans="2:66" ht="15" x14ac:dyDescent="0.25">
      <c r="B103" s="3217" t="s">
        <v>581</v>
      </c>
      <c r="C103" s="2942" t="s">
        <v>626</v>
      </c>
      <c r="D103" s="3483">
        <v>6.0416666666666667E-2</v>
      </c>
      <c r="E103" s="2736">
        <v>6.0416666666666667E-2</v>
      </c>
      <c r="F103" s="2736">
        <f>34.3825/(F2*24)</f>
        <v>4.7753472222222225E-2</v>
      </c>
      <c r="G103" s="2736">
        <v>6.041666666666666E-2</v>
      </c>
      <c r="H103" s="4444">
        <f>40.9605/(H2*24)</f>
        <v>5.505443548387097E-2</v>
      </c>
      <c r="I103" s="3215">
        <f>+((E103*E2)+(G103*G2))/I2</f>
        <v>6.0416666666666667E-2</v>
      </c>
      <c r="J103" s="2944">
        <f>+((F103*F2)+(H103*H2))/J2</f>
        <v>5.1463797814207651E-2</v>
      </c>
      <c r="K103" s="2736">
        <v>6.041666666666666E-2</v>
      </c>
      <c r="L103" s="4444">
        <f>38.225/(L2*24)</f>
        <v>5.3090277777777778E-2</v>
      </c>
      <c r="M103" s="3481">
        <f>+((E103*E2)+(G103*G2)+(K103*K2))/M2</f>
        <v>6.0416666666666667E-2</v>
      </c>
      <c r="N103" s="3481">
        <f>+((F103*F2)+(H103*H2)+(L103*L2))/N2</f>
        <v>5.2000000000000005E-2</v>
      </c>
      <c r="O103" s="2736">
        <v>6.041666666666666E-2</v>
      </c>
      <c r="P103" s="2736">
        <f>40.7/(P2*24)</f>
        <v>5.4704301075268823E-2</v>
      </c>
      <c r="Q103" s="3215">
        <f>+((M103*M2)+(O103*O2))/Q2</f>
        <v>6.0416666666666667E-2</v>
      </c>
      <c r="R103" s="3215">
        <f>+((N103*N2)+(P103*P2))/R2</f>
        <v>5.2687158469945358E-2</v>
      </c>
      <c r="S103" s="2736">
        <v>6.041666666666666E-2</v>
      </c>
      <c r="T103" s="2943">
        <f>37.4965/(T2*24)</f>
        <v>5.039852150537634E-2</v>
      </c>
      <c r="U103" s="3215">
        <f>+((Q103*Q2)+(S103*S2))/U2</f>
        <v>6.0416666666666667E-2</v>
      </c>
      <c r="V103" s="3215">
        <f>+((R103*R2)+(T103*T2))/V2</f>
        <v>5.2223447712418304E-2</v>
      </c>
      <c r="W103" s="2736">
        <v>6.0416666666666667E-2</v>
      </c>
      <c r="X103" s="2943">
        <f>35.7/(X2*24)</f>
        <v>4.958333333333334E-2</v>
      </c>
      <c r="Y103" s="3481">
        <f>+((O103*O2)+(S103*S2)+(W103*W2))/Y2</f>
        <v>6.0416666666666667E-2</v>
      </c>
      <c r="Z103" s="3481">
        <f>+((P103*P2)+(T103*T2)+(X103*X2))/Z2</f>
        <v>5.1583559782608701E-2</v>
      </c>
      <c r="AA103" s="3482">
        <f>+((Y103*Y2)+(M103*M2))/AA2</f>
        <v>6.0416666666666667E-2</v>
      </c>
      <c r="AB103" s="3482">
        <f>+((Z103*Z2)+(N103*N2))/AB2</f>
        <v>5.1790642076502739E-2</v>
      </c>
      <c r="AC103" s="2736">
        <v>5.7291666666666671E-2</v>
      </c>
      <c r="AD103" s="2736">
        <f>36.5/(AD2*24)</f>
        <v>4.9059139784946235E-2</v>
      </c>
      <c r="AE103" s="3215">
        <f>+((AA103*AA2)+(AC103*AC2))/AE2</f>
        <v>5.9963979750778815E-2</v>
      </c>
      <c r="AF103" s="3215">
        <f>+((AB103*AB2)+(AD103*AD2))/AF2</f>
        <v>5.1394957165109043E-2</v>
      </c>
      <c r="AG103" s="2736">
        <v>5.7291666666666671E-2</v>
      </c>
      <c r="AH103" s="4444">
        <f>1.25/(AH2*24)</f>
        <v>1.736111111111111E-3</v>
      </c>
      <c r="AI103" s="3215">
        <f>+((AE103*AE2)+(AG103*AG2))/AI2</f>
        <v>5.9635416666666663E-2</v>
      </c>
      <c r="AJ103" s="3215">
        <f>+((AF103*AF2)+(AH103*AH2))/AJ2</f>
        <v>4.5289361338797823E-2</v>
      </c>
      <c r="AK103" s="2736">
        <v>5.7291666666666671E-2</v>
      </c>
      <c r="AL103" s="4444">
        <f>37.06/(AL2*24)</f>
        <v>4.9811827956989248E-2</v>
      </c>
      <c r="AM103" s="3481">
        <f>+((AC103*AC2)+(AG103*AG2)+(AK103*AK2))/AM2</f>
        <v>5.7291666666666671E-2</v>
      </c>
      <c r="AN103" s="3481">
        <f>+((AD103*AD2)+(AH103*AH2)+(AL103*AL2))/AN2</f>
        <v>3.3881340579710144E-2</v>
      </c>
      <c r="AO103" s="3215">
        <f>+((AK103*AK2)+(AI103*AI2))/AO2</f>
        <v>5.9371212121212123E-2</v>
      </c>
      <c r="AP103" s="3215">
        <f>+((AL103*AL2)+(AJ103*AJ2))/AP2</f>
        <v>4.5799166666666682E-2</v>
      </c>
      <c r="AQ103" s="2736">
        <v>5.7291666666666671E-2</v>
      </c>
      <c r="AR103" s="2736">
        <f>41.5/(AR2*24)</f>
        <v>5.5779569892473117E-2</v>
      </c>
      <c r="AS103" s="3215">
        <f>+((AO103*AO2)+(AQ103*AQ2))/AS2</f>
        <v>5.9160539215686279E-2</v>
      </c>
      <c r="AT103" s="3215">
        <f>+((AP103*AP2)+(AR103*AR2))/AT2</f>
        <v>4.6810253267973868E-2</v>
      </c>
      <c r="AU103" s="2736">
        <v>5.7291666666666671E-2</v>
      </c>
      <c r="AV103" s="2736">
        <f>34.3/(AV2*24)</f>
        <v>5.1041666666666666E-2</v>
      </c>
      <c r="AW103" s="3215">
        <f>+((AS103*AS2)+(AU103*AU2))/AW2</f>
        <v>5.9003867265469072E-2</v>
      </c>
      <c r="AX103" s="3215">
        <f>+((AT103*AT2)+(AV103*AV2))/AX2</f>
        <v>4.716498253493015E-2</v>
      </c>
      <c r="AY103" s="2736">
        <v>5.7291666666666671E-2</v>
      </c>
      <c r="AZ103" s="2736">
        <f>39.8/(AZ2*24)</f>
        <v>5.3494623655913974E-2</v>
      </c>
      <c r="BA103" s="3481">
        <f>+((AQ103*AQ2)+(AU103*AU2)+(AY103*AY2))/BA2</f>
        <v>5.7291666666666664E-2</v>
      </c>
      <c r="BB103" s="3481">
        <f>+((AR103*AR2)+(AV103*AV2)+(AZ103*AZ2))/BB2</f>
        <v>5.3518518518518514E-2</v>
      </c>
      <c r="BC103" s="3482">
        <f>+((BA103*BA2)+(AM103*AM2))/BC2</f>
        <v>5.7291666666666671E-2</v>
      </c>
      <c r="BD103" s="3482">
        <f>+((BB103*BB2)+(AN103*AN2))/BD2</f>
        <v>4.3592032967032963E-2</v>
      </c>
      <c r="BE103" s="3215">
        <f>+((AW103*AW2)+(AY103*AY2))/BE2</f>
        <v>5.8858447488584487E-2</v>
      </c>
      <c r="BF103" s="2944">
        <f>+((AX103*AX2)+(AZ103*AZ2))/BF2</f>
        <v>4.7702568493150702E-2</v>
      </c>
      <c r="BG103" s="2534"/>
      <c r="BH103" s="2534"/>
      <c r="BI103" s="2534"/>
      <c r="BJ103" s="3763"/>
      <c r="BK103" s="3763"/>
      <c r="BL103" s="2534"/>
      <c r="BM103" s="3763"/>
      <c r="BN103" s="3763"/>
    </row>
    <row r="104" spans="2:66" ht="15" x14ac:dyDescent="0.25">
      <c r="B104" s="3217" t="s">
        <v>545</v>
      </c>
      <c r="C104" s="2942" t="s">
        <v>271</v>
      </c>
      <c r="D104" s="1353">
        <v>9</v>
      </c>
      <c r="E104" s="2732">
        <v>9</v>
      </c>
      <c r="F104" s="2934">
        <v>7.4</v>
      </c>
      <c r="G104" s="2732">
        <v>9</v>
      </c>
      <c r="H104" s="2934">
        <v>7.5</v>
      </c>
      <c r="I104" s="3012">
        <f>+((E5*E104)+(G5*G104))/I5</f>
        <v>9</v>
      </c>
      <c r="J104" s="2945">
        <f>+((F5*F104)+(H5*H104))/J5</f>
        <v>7.4533379314697354</v>
      </c>
      <c r="K104" s="2732">
        <v>9</v>
      </c>
      <c r="L104" s="2934">
        <v>6.4</v>
      </c>
      <c r="M104" s="3477">
        <f>+((E5*E104)+(G5*G104)+(K5*K104))/M5</f>
        <v>9</v>
      </c>
      <c r="N104" s="3477">
        <f>+((F5*F104)+(H5*H104)+(L5*L104))/N5</f>
        <v>7.0801256274459297</v>
      </c>
      <c r="O104" s="2732">
        <v>9</v>
      </c>
      <c r="P104" s="2934">
        <v>6.46</v>
      </c>
      <c r="Q104" s="3215">
        <f>+((M5*M104)+(O5*O104))/Q5</f>
        <v>8.9999999999999982</v>
      </c>
      <c r="R104" s="3215">
        <f>+((N5*N104)+(P5*P104))/R5</f>
        <v>6.9129202474986</v>
      </c>
      <c r="S104" s="2732">
        <v>9</v>
      </c>
      <c r="T104" s="2934">
        <v>7.3</v>
      </c>
      <c r="U104" s="3215">
        <f>+((Q5*Q104)+(S5*S104))/U5</f>
        <v>8.9999999999999982</v>
      </c>
      <c r="V104" s="3215">
        <f>+((R5*R104)+(T5*T104))/V5</f>
        <v>6.9909744355670211</v>
      </c>
      <c r="W104" s="2732">
        <v>9</v>
      </c>
      <c r="X104" s="2934">
        <v>6.6</v>
      </c>
      <c r="Y104" s="3477">
        <f>+((O5*O104)+(S5*S104)+(W5*W104))/Y5</f>
        <v>9</v>
      </c>
      <c r="Z104" s="3484">
        <f>+((P5*P104)+(T5*T104)+(X5*X104))/Z5</f>
        <v>6.7821711080568869</v>
      </c>
      <c r="AA104" s="3478">
        <f>+((Y104*Y5)+(M104*M5))/AA5</f>
        <v>8.9999999999999982</v>
      </c>
      <c r="AB104" s="3478">
        <f>+((Z104*Z5)+(N104*N5))/AB5</f>
        <v>6.927859770772578</v>
      </c>
      <c r="AC104" s="2732">
        <f>+$D$104</f>
        <v>9</v>
      </c>
      <c r="AD104" s="2934">
        <v>7.04</v>
      </c>
      <c r="AE104" s="3215">
        <f>+((AA5*AA104)+(AC5*AC104))/AE5</f>
        <v>9</v>
      </c>
      <c r="AF104" s="3012">
        <f>+((AB5*AB104)+(AD5*AD104))/AF5</f>
        <v>6.9431669554744433</v>
      </c>
      <c r="AG104" s="2732">
        <f>+$D$104</f>
        <v>9</v>
      </c>
      <c r="AH104" s="2934">
        <v>5.23</v>
      </c>
      <c r="AI104" s="3215">
        <f>+((AE5*AE104)+(AG5*AG104))/AI5</f>
        <v>9</v>
      </c>
      <c r="AJ104" s="3012">
        <f>+((AF5*AF104)+(AH5*AH104))/AJ5</f>
        <v>6.9348541962863424</v>
      </c>
      <c r="AK104" s="2732">
        <f>+$D$104</f>
        <v>9</v>
      </c>
      <c r="AL104" s="2934">
        <v>7.54</v>
      </c>
      <c r="AM104" s="3477">
        <f>+((AC5*AC104)+(AG5*AG104)+(AK5*AK104))/AM5</f>
        <v>9</v>
      </c>
      <c r="AN104" s="3484">
        <f>+((AD5*AD104)+(AH5*AH104)+(AL5*AL104))/AN5</f>
        <v>7.2617246985503323</v>
      </c>
      <c r="AO104" s="3215">
        <f>+((AK5*AK104)+(AI5*AI104))/AO5</f>
        <v>9.0000000000000018</v>
      </c>
      <c r="AP104" s="3215">
        <f>+((AL5*AL104)+(AJ5*AJ104))/AP5</f>
        <v>7.0108693192603102</v>
      </c>
      <c r="AQ104" s="2732">
        <f>+$D$104</f>
        <v>9</v>
      </c>
      <c r="AR104" s="2934">
        <v>6.3</v>
      </c>
      <c r="AS104" s="3215">
        <f>+((AO5*AO104)+(AQ5*AQ104))/AS5</f>
        <v>9.0000000000000018</v>
      </c>
      <c r="AT104" s="3215">
        <f>+((AP5*AP104)+(AR5*AR104))/AT5</f>
        <v>6.9282234150882323</v>
      </c>
      <c r="AU104" s="2732">
        <f>+$D$104</f>
        <v>9</v>
      </c>
      <c r="AV104" s="2934">
        <v>6.2</v>
      </c>
      <c r="AW104" s="3215">
        <f>+((AS5*AS104)+(AU5*AU104))/AW5</f>
        <v>9.0000000000000018</v>
      </c>
      <c r="AX104" s="3215">
        <f>+((AT5*AT104)+(AV5*AV104))/AX5</f>
        <v>6.8588327063329881</v>
      </c>
      <c r="AY104" s="2732">
        <f>+$D$104</f>
        <v>9</v>
      </c>
      <c r="AZ104" s="2934">
        <v>6.03</v>
      </c>
      <c r="BA104" s="3477">
        <f>+((AQ5*AQ104)+(AU5*AU104)+(AY5*AY104))/BA5</f>
        <v>9</v>
      </c>
      <c r="BB104" s="3484">
        <f>+((AR5*AR104)+(AV5*AV104)+(AZ5*AZ104))/BB5</f>
        <v>6.1764208469768578</v>
      </c>
      <c r="BC104" s="3478">
        <f>+((BA104*BA5)+(AM104*AM5))/BC5</f>
        <v>9</v>
      </c>
      <c r="BD104" s="3478">
        <f>+((BB104*BB5)+(AN104*AN5))/BD5</f>
        <v>6.6050185818987845</v>
      </c>
      <c r="BE104" s="3215">
        <f>+((AW5*AW104)+(AY5*AY104))/BE5</f>
        <v>9.0000000000000018</v>
      </c>
      <c r="BF104" s="2944">
        <f>+((AX5*AX104)+(AZ5*AZ104))/BF5</f>
        <v>6.7806736626177235</v>
      </c>
      <c r="BG104" s="2534"/>
      <c r="BH104" s="2534"/>
      <c r="BI104" s="2534"/>
      <c r="BJ104" s="3763"/>
      <c r="BK104" s="3763"/>
      <c r="BL104" s="2534"/>
      <c r="BM104" s="3763"/>
      <c r="BN104" s="3763"/>
    </row>
    <row r="105" spans="2:66" ht="15" x14ac:dyDescent="0.25">
      <c r="B105" s="3485" t="s">
        <v>1509</v>
      </c>
      <c r="C105" s="3466" t="s">
        <v>680</v>
      </c>
      <c r="D105" s="3486"/>
      <c r="E105" s="3430"/>
      <c r="F105" s="3430">
        <v>27</v>
      </c>
      <c r="G105" s="3430"/>
      <c r="H105" s="3430">
        <v>15</v>
      </c>
      <c r="I105" s="3428"/>
      <c r="J105" s="2045">
        <f t="shared" ref="J105:J108" si="316">+F105+H105</f>
        <v>42</v>
      </c>
      <c r="K105" s="3430"/>
      <c r="L105" s="3430">
        <v>9</v>
      </c>
      <c r="M105" s="3429"/>
      <c r="N105" s="3429">
        <f t="shared" ref="N105:N108" si="317">+L105+H105+F105</f>
        <v>51</v>
      </c>
      <c r="O105" s="3430"/>
      <c r="P105" s="3430">
        <v>11</v>
      </c>
      <c r="Q105" s="2648"/>
      <c r="R105" s="3428">
        <f>+N105+P105</f>
        <v>62</v>
      </c>
      <c r="S105" s="3430"/>
      <c r="T105" s="3430">
        <v>2</v>
      </c>
      <c r="U105" s="2648"/>
      <c r="V105" s="3428">
        <f>+R105+T105</f>
        <v>64</v>
      </c>
      <c r="W105" s="3430"/>
      <c r="X105" s="3430">
        <v>9</v>
      </c>
      <c r="Y105" s="2649"/>
      <c r="Z105" s="3429">
        <f>+X105+T105+P105</f>
        <v>22</v>
      </c>
      <c r="AA105" s="2693"/>
      <c r="AB105" s="2680">
        <f>Z105+N105</f>
        <v>73</v>
      </c>
      <c r="AC105" s="3430"/>
      <c r="AD105" s="3430">
        <v>10</v>
      </c>
      <c r="AE105" s="2648"/>
      <c r="AF105" s="3428">
        <f>+AB105+AD105</f>
        <v>83</v>
      </c>
      <c r="AG105" s="3430"/>
      <c r="AH105" s="3430">
        <v>0</v>
      </c>
      <c r="AI105" s="2648"/>
      <c r="AJ105" s="3428">
        <f>+AF105+AH105</f>
        <v>83</v>
      </c>
      <c r="AK105" s="3430"/>
      <c r="AL105" s="3430">
        <v>27</v>
      </c>
      <c r="AM105" s="2649"/>
      <c r="AN105" s="3429">
        <f>+AL105+AH105+AD105</f>
        <v>37</v>
      </c>
      <c r="AO105" s="2648"/>
      <c r="AP105" s="3428">
        <f t="shared" ref="AP105:AP109" si="318">+AL105+AJ105</f>
        <v>110</v>
      </c>
      <c r="AQ105" s="3430"/>
      <c r="AR105" s="3430">
        <v>33</v>
      </c>
      <c r="AS105" s="2648"/>
      <c r="AT105" s="3428">
        <f>+AP105+AR105</f>
        <v>143</v>
      </c>
      <c r="AU105" s="3430"/>
      <c r="AV105" s="3430">
        <v>17</v>
      </c>
      <c r="AW105" s="2648"/>
      <c r="AX105" s="3428">
        <f>+AT105+AV105</f>
        <v>160</v>
      </c>
      <c r="AY105" s="3430"/>
      <c r="AZ105" s="3430">
        <v>0</v>
      </c>
      <c r="BA105" s="2649"/>
      <c r="BB105" s="3429">
        <f>+AZ105+AV105+AR105</f>
        <v>50</v>
      </c>
      <c r="BC105" s="2693"/>
      <c r="BD105" s="2680">
        <f>BB105+AN105</f>
        <v>87</v>
      </c>
      <c r="BE105" s="2648"/>
      <c r="BF105" s="2045">
        <f>+AX105+AZ105</f>
        <v>160</v>
      </c>
      <c r="BG105" s="2534"/>
      <c r="BH105" s="2534"/>
      <c r="BI105" s="2534"/>
      <c r="BJ105" s="3763"/>
      <c r="BK105" s="3763"/>
      <c r="BL105" s="2534"/>
      <c r="BM105" s="3763"/>
      <c r="BN105" s="3763"/>
    </row>
    <row r="106" spans="2:66" ht="15" x14ac:dyDescent="0.25">
      <c r="B106" s="3485" t="s">
        <v>1510</v>
      </c>
      <c r="C106" s="3466" t="s">
        <v>680</v>
      </c>
      <c r="D106" s="3486"/>
      <c r="E106" s="3430"/>
      <c r="F106" s="3430">
        <v>471</v>
      </c>
      <c r="G106" s="3430"/>
      <c r="H106" s="3430">
        <v>556</v>
      </c>
      <c r="I106" s="3428"/>
      <c r="J106" s="2045">
        <f t="shared" si="316"/>
        <v>1027</v>
      </c>
      <c r="K106" s="3430"/>
      <c r="L106" s="3430">
        <v>541</v>
      </c>
      <c r="M106" s="3429"/>
      <c r="N106" s="3429">
        <f t="shared" si="317"/>
        <v>1568</v>
      </c>
      <c r="O106" s="3430"/>
      <c r="P106" s="3430">
        <v>403</v>
      </c>
      <c r="Q106" s="2648"/>
      <c r="R106" s="3428">
        <f t="shared" ref="R106:R108" si="319">+N106+P106</f>
        <v>1971</v>
      </c>
      <c r="S106" s="3430"/>
      <c r="T106" s="3430">
        <v>481</v>
      </c>
      <c r="U106" s="2648"/>
      <c r="V106" s="3428">
        <f t="shared" ref="V106:V108" si="320">+R106+T106</f>
        <v>2452</v>
      </c>
      <c r="W106" s="3430"/>
      <c r="X106" s="3430">
        <v>476</v>
      </c>
      <c r="Y106" s="2649"/>
      <c r="Z106" s="3429">
        <f t="shared" ref="Z106:Z108" si="321">+X106+T106+P106</f>
        <v>1360</v>
      </c>
      <c r="AA106" s="2693"/>
      <c r="AB106" s="2680">
        <f t="shared" ref="AB106:AB108" si="322">Z106+N106</f>
        <v>2928</v>
      </c>
      <c r="AC106" s="3430"/>
      <c r="AD106" s="3427">
        <v>488</v>
      </c>
      <c r="AE106" s="2648"/>
      <c r="AF106" s="3428">
        <f t="shared" ref="AF106:AF109" si="323">+AB106+AD106</f>
        <v>3416</v>
      </c>
      <c r="AG106" s="3430"/>
      <c r="AH106" s="3427">
        <v>20</v>
      </c>
      <c r="AI106" s="2648"/>
      <c r="AJ106" s="3428">
        <f t="shared" ref="AJ106:AJ109" si="324">+AF106+AH106</f>
        <v>3436</v>
      </c>
      <c r="AK106" s="3430"/>
      <c r="AL106" s="3427">
        <v>386</v>
      </c>
      <c r="AM106" s="2649"/>
      <c r="AN106" s="3429">
        <f t="shared" ref="AN106:AN108" si="325">+AL106+AH106+AD106</f>
        <v>894</v>
      </c>
      <c r="AO106" s="2648"/>
      <c r="AP106" s="3428">
        <f t="shared" si="318"/>
        <v>3822</v>
      </c>
      <c r="AQ106" s="3430"/>
      <c r="AR106" s="3427">
        <v>370</v>
      </c>
      <c r="AS106" s="2648"/>
      <c r="AT106" s="3428">
        <f t="shared" ref="AT106:AT109" si="326">+AP106+AR106</f>
        <v>4192</v>
      </c>
      <c r="AU106" s="3430"/>
      <c r="AV106" s="3427">
        <v>393</v>
      </c>
      <c r="AW106" s="2648"/>
      <c r="AX106" s="3428">
        <f t="shared" ref="AX106:AX108" si="327">+AT106+AV106</f>
        <v>4585</v>
      </c>
      <c r="AY106" s="3430"/>
      <c r="AZ106" s="3427">
        <v>295</v>
      </c>
      <c r="BA106" s="2649"/>
      <c r="BB106" s="3429">
        <f t="shared" ref="BB106:BB108" si="328">+AZ106+AV106+AR106</f>
        <v>1058</v>
      </c>
      <c r="BC106" s="2693"/>
      <c r="BD106" s="2680">
        <f t="shared" ref="BD106:BD108" si="329">BB106+AN106</f>
        <v>1952</v>
      </c>
      <c r="BE106" s="2648"/>
      <c r="BF106" s="2045">
        <f t="shared" ref="BF106:BF108" si="330">+AX106+AZ106</f>
        <v>4880</v>
      </c>
      <c r="BG106" s="2534"/>
      <c r="BH106" s="2534"/>
      <c r="BI106" s="2534"/>
      <c r="BJ106" s="3763"/>
      <c r="BK106" s="3763"/>
      <c r="BL106" s="2534"/>
      <c r="BM106" s="3763"/>
      <c r="BN106" s="3763"/>
    </row>
    <row r="107" spans="2:66" ht="15" x14ac:dyDescent="0.25">
      <c r="B107" s="3485" t="s">
        <v>1511</v>
      </c>
      <c r="C107" s="3466" t="s">
        <v>680</v>
      </c>
      <c r="D107" s="3486"/>
      <c r="E107" s="3430"/>
      <c r="F107" s="3430">
        <v>190</v>
      </c>
      <c r="G107" s="3430"/>
      <c r="H107" s="3430">
        <v>200</v>
      </c>
      <c r="I107" s="3428"/>
      <c r="J107" s="2045">
        <f t="shared" si="316"/>
        <v>390</v>
      </c>
      <c r="K107" s="3430"/>
      <c r="L107" s="3430">
        <v>140</v>
      </c>
      <c r="M107" s="3429"/>
      <c r="N107" s="3429">
        <f t="shared" si="317"/>
        <v>530</v>
      </c>
      <c r="O107" s="3430"/>
      <c r="P107" s="3430">
        <v>134</v>
      </c>
      <c r="Q107" s="2648"/>
      <c r="R107" s="3428">
        <f t="shared" si="319"/>
        <v>664</v>
      </c>
      <c r="S107" s="3430"/>
      <c r="T107" s="3430">
        <v>142</v>
      </c>
      <c r="U107" s="2648"/>
      <c r="V107" s="3428">
        <f t="shared" si="320"/>
        <v>806</v>
      </c>
      <c r="W107" s="3430"/>
      <c r="X107" s="3430">
        <v>121</v>
      </c>
      <c r="Y107" s="2649"/>
      <c r="Z107" s="3429">
        <f t="shared" si="321"/>
        <v>397</v>
      </c>
      <c r="AA107" s="2693"/>
      <c r="AB107" s="2680">
        <f t="shared" si="322"/>
        <v>927</v>
      </c>
      <c r="AC107" s="3430"/>
      <c r="AD107" s="3427">
        <v>262</v>
      </c>
      <c r="AE107" s="2648"/>
      <c r="AF107" s="3428">
        <f t="shared" si="323"/>
        <v>1189</v>
      </c>
      <c r="AG107" s="3430"/>
      <c r="AH107" s="3427">
        <v>6</v>
      </c>
      <c r="AI107" s="2648"/>
      <c r="AJ107" s="3428">
        <f t="shared" si="324"/>
        <v>1195</v>
      </c>
      <c r="AK107" s="3430"/>
      <c r="AL107" s="3427">
        <v>228</v>
      </c>
      <c r="AM107" s="2649"/>
      <c r="AN107" s="3429">
        <f t="shared" si="325"/>
        <v>496</v>
      </c>
      <c r="AO107" s="2648"/>
      <c r="AP107" s="3428">
        <f t="shared" si="318"/>
        <v>1423</v>
      </c>
      <c r="AQ107" s="3430"/>
      <c r="AR107" s="3427">
        <v>259</v>
      </c>
      <c r="AS107" s="2648"/>
      <c r="AT107" s="3428">
        <f t="shared" si="326"/>
        <v>1682</v>
      </c>
      <c r="AU107" s="3430"/>
      <c r="AV107" s="3427">
        <v>98</v>
      </c>
      <c r="AW107" s="2648"/>
      <c r="AX107" s="3428">
        <f t="shared" si="327"/>
        <v>1780</v>
      </c>
      <c r="AY107" s="3430"/>
      <c r="AZ107" s="3427">
        <v>93</v>
      </c>
      <c r="BA107" s="2649"/>
      <c r="BB107" s="3429">
        <f t="shared" si="328"/>
        <v>450</v>
      </c>
      <c r="BC107" s="2693"/>
      <c r="BD107" s="2680">
        <f t="shared" si="329"/>
        <v>946</v>
      </c>
      <c r="BE107" s="2648"/>
      <c r="BF107" s="2045">
        <f t="shared" si="330"/>
        <v>1873</v>
      </c>
      <c r="BG107" s="2534"/>
      <c r="BH107" s="2534"/>
      <c r="BI107" s="2534"/>
      <c r="BJ107" s="3763"/>
      <c r="BK107" s="3763"/>
      <c r="BL107" s="2534"/>
      <c r="BM107" s="3763"/>
      <c r="BN107" s="3763"/>
    </row>
    <row r="108" spans="2:66" ht="21" customHeight="1" x14ac:dyDescent="0.25">
      <c r="B108" s="3487" t="s">
        <v>1512</v>
      </c>
      <c r="C108" s="3445" t="s">
        <v>50</v>
      </c>
      <c r="D108" s="1998"/>
      <c r="E108" s="3488"/>
      <c r="F108" s="3488">
        <v>29606.6</v>
      </c>
      <c r="G108" s="3488"/>
      <c r="H108" s="3488">
        <v>31301.989999999998</v>
      </c>
      <c r="I108" s="3490"/>
      <c r="J108" s="2045">
        <f t="shared" si="316"/>
        <v>60908.59</v>
      </c>
      <c r="K108" s="3488"/>
      <c r="L108" s="3488">
        <v>22004.6</v>
      </c>
      <c r="M108" s="3429"/>
      <c r="N108" s="3429">
        <f t="shared" si="317"/>
        <v>82913.19</v>
      </c>
      <c r="O108" s="3488"/>
      <c r="P108" s="3488">
        <v>21209.759999999998</v>
      </c>
      <c r="Q108" s="2648"/>
      <c r="R108" s="3428">
        <f t="shared" si="319"/>
        <v>104122.95</v>
      </c>
      <c r="S108" s="3488"/>
      <c r="T108" s="3488">
        <v>22497.17</v>
      </c>
      <c r="U108" s="2648"/>
      <c r="V108" s="3428">
        <f t="shared" si="320"/>
        <v>126620.12</v>
      </c>
      <c r="W108" s="3488"/>
      <c r="X108" s="3488">
        <v>18935.099999999999</v>
      </c>
      <c r="Y108" s="2649"/>
      <c r="Z108" s="3429">
        <f t="shared" si="321"/>
        <v>62642.03</v>
      </c>
      <c r="AA108" s="2693"/>
      <c r="AB108" s="2680">
        <f t="shared" si="322"/>
        <v>145555.22</v>
      </c>
      <c r="AC108" s="3488"/>
      <c r="AD108" s="3489">
        <v>41836.017999999996</v>
      </c>
      <c r="AE108" s="2648"/>
      <c r="AF108" s="3428">
        <f t="shared" si="323"/>
        <v>187391.23800000001</v>
      </c>
      <c r="AG108" s="3488"/>
      <c r="AH108" s="3489">
        <v>921.7</v>
      </c>
      <c r="AI108" s="2648"/>
      <c r="AJ108" s="3428">
        <f t="shared" si="324"/>
        <v>188312.93800000002</v>
      </c>
      <c r="AK108" s="3488"/>
      <c r="AL108" s="3489">
        <v>35312.127999999997</v>
      </c>
      <c r="AM108" s="2649"/>
      <c r="AN108" s="3429">
        <f t="shared" si="325"/>
        <v>78069.84599999999</v>
      </c>
      <c r="AO108" s="2648"/>
      <c r="AP108" s="3428">
        <f t="shared" si="318"/>
        <v>223625.06600000002</v>
      </c>
      <c r="AQ108" s="3488"/>
      <c r="AR108" s="3489">
        <v>40278</v>
      </c>
      <c r="AS108" s="2648"/>
      <c r="AT108" s="3428">
        <f t="shared" si="326"/>
        <v>263903.06599999999</v>
      </c>
      <c r="AU108" s="3488"/>
      <c r="AV108" s="3489">
        <v>15347.629999999997</v>
      </c>
      <c r="AW108" s="2648"/>
      <c r="AX108" s="3428">
        <f t="shared" si="327"/>
        <v>279250.696</v>
      </c>
      <c r="AY108" s="3488"/>
      <c r="AZ108" s="3489">
        <v>14468.21</v>
      </c>
      <c r="BA108" s="2649"/>
      <c r="BB108" s="3429">
        <f t="shared" si="328"/>
        <v>70093.84</v>
      </c>
      <c r="BC108" s="2693"/>
      <c r="BD108" s="2680">
        <f t="shared" si="329"/>
        <v>148163.68599999999</v>
      </c>
      <c r="BE108" s="2648"/>
      <c r="BF108" s="2045">
        <f t="shared" si="330"/>
        <v>293718.90600000002</v>
      </c>
      <c r="BG108" s="2534"/>
      <c r="BH108" s="2534"/>
      <c r="BI108" s="2534"/>
      <c r="BJ108" s="3763"/>
      <c r="BK108" s="3763"/>
      <c r="BL108" s="2534"/>
      <c r="BM108" s="3763"/>
      <c r="BN108" s="3763"/>
    </row>
    <row r="109" spans="2:66" ht="21" customHeight="1" thickBot="1" x14ac:dyDescent="0.3">
      <c r="B109" s="3485" t="s">
        <v>1953</v>
      </c>
      <c r="C109" s="3466"/>
      <c r="D109" s="3486"/>
      <c r="E109" s="3430"/>
      <c r="F109" s="5305">
        <v>82.9</v>
      </c>
      <c r="G109" s="3430"/>
      <c r="H109" s="5305">
        <v>88.37</v>
      </c>
      <c r="I109" s="3428"/>
      <c r="J109" s="3476">
        <f>AVERAGE(F109,H109)</f>
        <v>85.635000000000005</v>
      </c>
      <c r="K109" s="3430"/>
      <c r="L109" s="5305">
        <v>86</v>
      </c>
      <c r="M109" s="3429"/>
      <c r="N109" s="3429">
        <f>+AVERAGE(F109,H109,L109)</f>
        <v>85.756666666666661</v>
      </c>
      <c r="O109" s="3430"/>
      <c r="P109" s="5305">
        <v>86.2</v>
      </c>
      <c r="Q109" s="2648"/>
      <c r="R109" s="3428">
        <f>AVERAGE(F109,H109,L109,P109)</f>
        <v>85.867499999999993</v>
      </c>
      <c r="S109" s="3430"/>
      <c r="T109" s="5305">
        <v>92.2</v>
      </c>
      <c r="U109" s="2648"/>
      <c r="V109" s="3202">
        <f>+AVERAGE(F109,H109,L109,P109,T109)</f>
        <v>87.133999999999986</v>
      </c>
      <c r="W109" s="3430"/>
      <c r="X109" s="5305">
        <v>89.47</v>
      </c>
      <c r="Y109" s="2649"/>
      <c r="Z109" s="3429">
        <f>+AVERAGE(P109,T109,X109)</f>
        <v>89.29</v>
      </c>
      <c r="AA109" s="2693"/>
      <c r="AB109" s="2680">
        <f>+AVERAGE(N109,Z109)</f>
        <v>87.523333333333341</v>
      </c>
      <c r="AC109" s="3430"/>
      <c r="AD109" s="3472">
        <v>83.8</v>
      </c>
      <c r="AE109" s="4206"/>
      <c r="AF109" s="4207">
        <f t="shared" si="323"/>
        <v>171.32333333333332</v>
      </c>
      <c r="AG109" s="3430"/>
      <c r="AH109" s="3472">
        <v>83.8</v>
      </c>
      <c r="AI109" s="4206"/>
      <c r="AJ109" s="4207">
        <f t="shared" si="324"/>
        <v>255.12333333333333</v>
      </c>
      <c r="AK109" s="3430"/>
      <c r="AL109" s="3472">
        <v>75</v>
      </c>
      <c r="AM109" s="4208"/>
      <c r="AN109" s="4205">
        <f>+AVERAGE(AD109,AH109,AL109)</f>
        <v>80.86666666666666</v>
      </c>
      <c r="AO109" s="4206"/>
      <c r="AP109" s="4207">
        <f t="shared" si="318"/>
        <v>330.12333333333333</v>
      </c>
      <c r="AQ109" s="3430"/>
      <c r="AR109" s="3472">
        <v>89.2</v>
      </c>
      <c r="AS109" s="4206"/>
      <c r="AT109" s="4207">
        <f t="shared" si="326"/>
        <v>419.32333333333332</v>
      </c>
      <c r="AU109" s="3430"/>
      <c r="AV109" s="3472">
        <v>84.5</v>
      </c>
      <c r="AW109" s="4206"/>
      <c r="AX109" s="4784">
        <v>80.8</v>
      </c>
      <c r="AY109" s="3430"/>
      <c r="AZ109" s="3472">
        <v>87.4</v>
      </c>
      <c r="BA109" s="4208"/>
      <c r="BB109" s="4906">
        <f>+AVERAGE(AR109,AV109,AZ109)</f>
        <v>87.033333333333346</v>
      </c>
      <c r="BC109" s="4209"/>
      <c r="BD109" s="4210">
        <f>+AVERAGE(BB109,AN109)</f>
        <v>83.95</v>
      </c>
      <c r="BE109" s="4206"/>
      <c r="BF109" s="3476">
        <v>81.400000000000006</v>
      </c>
      <c r="BG109" s="2534"/>
      <c r="BH109" s="2534"/>
      <c r="BI109" s="2534"/>
      <c r="BJ109" s="3763"/>
      <c r="BK109" s="3763"/>
      <c r="BL109" s="2534"/>
      <c r="BM109" s="3763"/>
      <c r="BN109" s="3763"/>
    </row>
    <row r="110" spans="2:66" ht="21" customHeight="1" x14ac:dyDescent="0.25">
      <c r="B110" s="890" t="s">
        <v>1556</v>
      </c>
      <c r="C110" s="758"/>
      <c r="D110" s="2051"/>
      <c r="E110" s="2123"/>
      <c r="F110" s="1449"/>
      <c r="G110" s="2123"/>
      <c r="H110" s="1449"/>
      <c r="I110" s="3491"/>
      <c r="J110" s="3492"/>
      <c r="K110" s="2123"/>
      <c r="L110" s="1449"/>
      <c r="M110" s="3481"/>
      <c r="N110" s="3481"/>
      <c r="O110" s="2123"/>
      <c r="P110" s="1449"/>
      <c r="Q110" s="3215"/>
      <c r="R110" s="3215"/>
      <c r="S110" s="2123"/>
      <c r="T110" s="1449"/>
      <c r="U110" s="3215"/>
      <c r="V110" s="3215"/>
      <c r="W110" s="2123"/>
      <c r="X110" s="1449"/>
      <c r="Y110" s="3481"/>
      <c r="Z110" s="3481"/>
      <c r="AA110" s="3482"/>
      <c r="AB110" s="3482"/>
      <c r="AC110" s="2123"/>
      <c r="AD110" s="1449"/>
      <c r="AE110" s="3215"/>
      <c r="AF110" s="3215"/>
      <c r="AG110" s="2123"/>
      <c r="AH110" s="1449"/>
      <c r="AI110" s="3215"/>
      <c r="AJ110" s="3215"/>
      <c r="AK110" s="2123"/>
      <c r="AL110" s="1449"/>
      <c r="AM110" s="3481"/>
      <c r="AN110" s="3481"/>
      <c r="AO110" s="3215"/>
      <c r="AP110" s="3215"/>
      <c r="AQ110" s="2123"/>
      <c r="AR110" s="1449"/>
      <c r="AS110" s="3215"/>
      <c r="AT110" s="3215"/>
      <c r="AU110" s="2123"/>
      <c r="AV110" s="1449"/>
      <c r="AW110" s="3215"/>
      <c r="AX110" s="3215"/>
      <c r="AY110" s="2123"/>
      <c r="AZ110" s="1449"/>
      <c r="BA110" s="3481"/>
      <c r="BB110" s="3481"/>
      <c r="BC110" s="3482"/>
      <c r="BD110" s="3482"/>
      <c r="BE110" s="3215"/>
      <c r="BF110" s="2944"/>
      <c r="BG110" s="2534"/>
      <c r="BH110" s="2534"/>
      <c r="BI110" s="2534"/>
      <c r="BJ110" s="3763"/>
      <c r="BK110" s="3763"/>
      <c r="BL110" s="2534"/>
      <c r="BM110" s="3763"/>
      <c r="BN110" s="3763"/>
    </row>
    <row r="111" spans="2:66" ht="15" x14ac:dyDescent="0.25">
      <c r="B111" s="1757" t="s">
        <v>573</v>
      </c>
      <c r="C111" s="2942" t="s">
        <v>50</v>
      </c>
      <c r="D111" s="155"/>
      <c r="E111" s="2732"/>
      <c r="F111" s="2933">
        <v>0.33200000000000002</v>
      </c>
      <c r="G111" s="2732"/>
      <c r="H111" s="2933"/>
      <c r="I111" s="3202"/>
      <c r="J111" s="107">
        <f>+F111+H111</f>
        <v>0.33200000000000002</v>
      </c>
      <c r="K111" s="2732"/>
      <c r="L111" s="2933"/>
      <c r="M111" s="3481"/>
      <c r="N111" s="2649">
        <f t="shared" ref="N111:N132" si="331">+L111+H111+F111</f>
        <v>0.33200000000000002</v>
      </c>
      <c r="O111" s="2732"/>
      <c r="P111" s="2933">
        <v>0.72499999999999998</v>
      </c>
      <c r="Q111" s="3215"/>
      <c r="R111" s="3202">
        <f>+N111+P111</f>
        <v>1.0569999999999999</v>
      </c>
      <c r="S111" s="2732"/>
      <c r="T111" s="2933"/>
      <c r="U111" s="3215"/>
      <c r="V111" s="3202">
        <f>+R111+T111</f>
        <v>1.0569999999999999</v>
      </c>
      <c r="W111" s="2732"/>
      <c r="X111" s="2933"/>
      <c r="Y111" s="3481"/>
      <c r="Z111" s="2649">
        <f t="shared" ref="Z111:Z132" si="332">+X111+T111+P111</f>
        <v>0.72499999999999998</v>
      </c>
      <c r="AA111" s="3482"/>
      <c r="AB111" s="2693">
        <f t="shared" ref="AB111:AB132" si="333">+Z111+N111</f>
        <v>1.0569999999999999</v>
      </c>
      <c r="AC111" s="2936"/>
      <c r="AD111" s="2933">
        <v>2.68</v>
      </c>
      <c r="AE111" s="3215"/>
      <c r="AF111" s="3202">
        <f>+AB111+AD111</f>
        <v>3.7370000000000001</v>
      </c>
      <c r="AG111" s="2936"/>
      <c r="AH111" s="2933"/>
      <c r="AI111" s="3215"/>
      <c r="AJ111" s="3202">
        <f>+AF111+AH111</f>
        <v>3.7370000000000001</v>
      </c>
      <c r="AK111" s="2936"/>
      <c r="AL111" s="2933">
        <v>0.33600000000000002</v>
      </c>
      <c r="AM111" s="3481"/>
      <c r="AN111" s="2649">
        <f t="shared" ref="AN111:AN132" si="334">+AL111+AH111+AD111</f>
        <v>3.016</v>
      </c>
      <c r="AO111" s="3215"/>
      <c r="AP111" s="2648">
        <f t="shared" ref="AP111:AP132" si="335">+AL111+AJ111</f>
        <v>4.0730000000000004</v>
      </c>
      <c r="AQ111" s="2936"/>
      <c r="AR111" s="2647">
        <v>5.73</v>
      </c>
      <c r="AS111" s="3215"/>
      <c r="AT111" s="2648">
        <f>+AP111+AR111</f>
        <v>9.8030000000000008</v>
      </c>
      <c r="AU111" s="2936"/>
      <c r="AV111" s="2647">
        <v>3.4390000000000001</v>
      </c>
      <c r="AW111" s="3215"/>
      <c r="AX111" s="2648">
        <f>+AT111+AV111</f>
        <v>13.242000000000001</v>
      </c>
      <c r="AY111" s="2936"/>
      <c r="AZ111" s="2647">
        <v>0.88</v>
      </c>
      <c r="BA111" s="3481"/>
      <c r="BB111" s="2649">
        <f t="shared" ref="BB111:BB132" si="336">+AZ111+AV111+AR111</f>
        <v>10.048999999999999</v>
      </c>
      <c r="BC111" s="3482"/>
      <c r="BD111" s="2693">
        <f t="shared" ref="BD111:BD132" si="337">+BB111+AN111</f>
        <v>13.065</v>
      </c>
      <c r="BE111" s="3215"/>
      <c r="BF111" s="39">
        <f>+AX111+AZ111</f>
        <v>14.122000000000002</v>
      </c>
      <c r="BG111" s="2534"/>
      <c r="BH111" s="2534"/>
      <c r="BI111" s="2534"/>
      <c r="BJ111" s="3763"/>
      <c r="BK111" s="3763"/>
      <c r="BL111" s="2534"/>
      <c r="BM111" s="3763"/>
      <c r="BN111" s="3763"/>
    </row>
    <row r="112" spans="2:66" ht="15" x14ac:dyDescent="0.25">
      <c r="B112" s="1757" t="s">
        <v>800</v>
      </c>
      <c r="C112" s="2942" t="s">
        <v>50</v>
      </c>
      <c r="D112" s="155"/>
      <c r="E112" s="2732"/>
      <c r="F112" s="2933">
        <v>3.9220000000000002</v>
      </c>
      <c r="G112" s="2732"/>
      <c r="H112" s="2933">
        <v>3.64</v>
      </c>
      <c r="I112" s="3202"/>
      <c r="J112" s="107">
        <f t="shared" ref="J112:J131" si="338">+F112+H112</f>
        <v>7.5620000000000003</v>
      </c>
      <c r="K112" s="2732"/>
      <c r="L112" s="2933">
        <v>7.0609999999999999</v>
      </c>
      <c r="M112" s="3481"/>
      <c r="N112" s="2649">
        <f t="shared" si="331"/>
        <v>14.623000000000001</v>
      </c>
      <c r="O112" s="2732"/>
      <c r="P112" s="2933">
        <v>4.2640000000000002</v>
      </c>
      <c r="Q112" s="3215"/>
      <c r="R112" s="3202">
        <f t="shared" ref="R112:R132" si="339">+N112+P112</f>
        <v>18.887</v>
      </c>
      <c r="S112" s="2732"/>
      <c r="T112" s="2933">
        <v>12.468999999999999</v>
      </c>
      <c r="U112" s="3215"/>
      <c r="V112" s="3202">
        <f t="shared" ref="V112:V132" si="340">+R112+T112</f>
        <v>31.356000000000002</v>
      </c>
      <c r="W112" s="2732"/>
      <c r="X112" s="2933">
        <v>5.367</v>
      </c>
      <c r="Y112" s="3481"/>
      <c r="Z112" s="2649">
        <f t="shared" si="332"/>
        <v>22.099999999999998</v>
      </c>
      <c r="AA112" s="3482"/>
      <c r="AB112" s="2693">
        <f t="shared" si="333"/>
        <v>36.722999999999999</v>
      </c>
      <c r="AC112" s="2936"/>
      <c r="AD112" s="2943">
        <v>2.4</v>
      </c>
      <c r="AE112" s="3215"/>
      <c r="AF112" s="3202">
        <f t="shared" ref="AF112:AF132" si="341">+AB112+AD112</f>
        <v>39.122999999999998</v>
      </c>
      <c r="AG112" s="2936"/>
      <c r="AH112" s="2943"/>
      <c r="AI112" s="3215"/>
      <c r="AJ112" s="3202">
        <f t="shared" ref="AJ112:AJ132" si="342">+AF112+AH112</f>
        <v>39.122999999999998</v>
      </c>
      <c r="AK112" s="2936"/>
      <c r="AL112" s="2943">
        <v>4.9400000000000004</v>
      </c>
      <c r="AM112" s="3481"/>
      <c r="AN112" s="2649">
        <f t="shared" si="334"/>
        <v>7.34</v>
      </c>
      <c r="AO112" s="3215"/>
      <c r="AP112" s="2648">
        <f t="shared" si="335"/>
        <v>44.062999999999995</v>
      </c>
      <c r="AQ112" s="2936"/>
      <c r="AR112" s="2647">
        <v>4.665</v>
      </c>
      <c r="AS112" s="3215"/>
      <c r="AT112" s="2648">
        <f t="shared" ref="AT112:AT132" si="343">+AP112+AR112</f>
        <v>48.727999999999994</v>
      </c>
      <c r="AU112" s="2936"/>
      <c r="AV112" s="2647">
        <v>5.9980000000000002</v>
      </c>
      <c r="AW112" s="3215"/>
      <c r="AX112" s="2648">
        <f t="shared" ref="AX112:AX132" si="344">+AT112+AV112</f>
        <v>54.725999999999992</v>
      </c>
      <c r="AY112" s="2936"/>
      <c r="AZ112" s="2647">
        <v>7.2080000000000002</v>
      </c>
      <c r="BA112" s="3481"/>
      <c r="BB112" s="2649">
        <f t="shared" si="336"/>
        <v>17.870999999999999</v>
      </c>
      <c r="BC112" s="3482"/>
      <c r="BD112" s="2693">
        <f t="shared" si="337"/>
        <v>25.210999999999999</v>
      </c>
      <c r="BE112" s="3215"/>
      <c r="BF112" s="39">
        <f t="shared" ref="BF112:BF132" si="345">+AX112+AZ112</f>
        <v>61.93399999999999</v>
      </c>
      <c r="BG112" s="2534"/>
      <c r="BH112" s="2534"/>
      <c r="BI112" s="2534"/>
      <c r="BJ112" s="3763"/>
      <c r="BK112" s="3763"/>
      <c r="BL112" s="2534"/>
      <c r="BM112" s="3763"/>
      <c r="BN112" s="3763"/>
    </row>
    <row r="113" spans="2:66" ht="15" x14ac:dyDescent="0.25">
      <c r="B113" s="1757" t="s">
        <v>572</v>
      </c>
      <c r="C113" s="2942" t="s">
        <v>50</v>
      </c>
      <c r="D113" s="155"/>
      <c r="E113" s="2732"/>
      <c r="F113" s="2933">
        <v>83</v>
      </c>
      <c r="G113" s="2732"/>
      <c r="H113" s="2933">
        <v>43</v>
      </c>
      <c r="I113" s="3202"/>
      <c r="J113" s="107">
        <f t="shared" si="338"/>
        <v>126</v>
      </c>
      <c r="K113" s="2732"/>
      <c r="L113" s="2933">
        <v>42</v>
      </c>
      <c r="M113" s="3481"/>
      <c r="N113" s="2649">
        <f t="shared" si="331"/>
        <v>168</v>
      </c>
      <c r="O113" s="2732"/>
      <c r="P113" s="2933">
        <v>30</v>
      </c>
      <c r="Q113" s="3215"/>
      <c r="R113" s="3202">
        <f t="shared" si="339"/>
        <v>198</v>
      </c>
      <c r="S113" s="2732"/>
      <c r="T113" s="2933">
        <v>76</v>
      </c>
      <c r="U113" s="3215"/>
      <c r="V113" s="3202">
        <f t="shared" si="340"/>
        <v>274</v>
      </c>
      <c r="W113" s="2732"/>
      <c r="X113" s="2933">
        <v>109</v>
      </c>
      <c r="Y113" s="3481"/>
      <c r="Z113" s="2649">
        <f t="shared" si="332"/>
        <v>215</v>
      </c>
      <c r="AA113" s="3482"/>
      <c r="AB113" s="2693">
        <f t="shared" si="333"/>
        <v>383</v>
      </c>
      <c r="AC113" s="2936"/>
      <c r="AD113" s="2943">
        <v>81</v>
      </c>
      <c r="AE113" s="3215"/>
      <c r="AF113" s="3202">
        <f t="shared" si="341"/>
        <v>464</v>
      </c>
      <c r="AG113" s="2936"/>
      <c r="AH113" s="2943"/>
      <c r="AI113" s="3215"/>
      <c r="AJ113" s="3202">
        <f t="shared" si="342"/>
        <v>464</v>
      </c>
      <c r="AK113" s="2936"/>
      <c r="AL113" s="2943">
        <v>37</v>
      </c>
      <c r="AM113" s="3481"/>
      <c r="AN113" s="2649">
        <f t="shared" si="334"/>
        <v>118</v>
      </c>
      <c r="AO113" s="3215"/>
      <c r="AP113" s="2648">
        <f t="shared" si="335"/>
        <v>501</v>
      </c>
      <c r="AQ113" s="2936"/>
      <c r="AR113" s="2647">
        <v>120</v>
      </c>
      <c r="AS113" s="3215"/>
      <c r="AT113" s="2648">
        <f t="shared" si="343"/>
        <v>621</v>
      </c>
      <c r="AU113" s="2936"/>
      <c r="AV113" s="2647">
        <v>86</v>
      </c>
      <c r="AW113" s="3215"/>
      <c r="AX113" s="2648">
        <f t="shared" si="344"/>
        <v>707</v>
      </c>
      <c r="AY113" s="2936"/>
      <c r="AZ113" s="2647">
        <v>30</v>
      </c>
      <c r="BA113" s="3481"/>
      <c r="BB113" s="2649">
        <f t="shared" si="336"/>
        <v>236</v>
      </c>
      <c r="BC113" s="3482"/>
      <c r="BD113" s="2693">
        <f t="shared" si="337"/>
        <v>354</v>
      </c>
      <c r="BE113" s="3215"/>
      <c r="BF113" s="39">
        <f t="shared" si="345"/>
        <v>737</v>
      </c>
      <c r="BG113" s="2534"/>
      <c r="BH113" s="2534"/>
      <c r="BI113" s="2534"/>
      <c r="BJ113" s="3763"/>
      <c r="BK113" s="3763"/>
      <c r="BL113" s="2534"/>
      <c r="BM113" s="3763"/>
      <c r="BN113" s="3763"/>
    </row>
    <row r="114" spans="2:66" ht="15" x14ac:dyDescent="0.25">
      <c r="B114" s="1757" t="s">
        <v>704</v>
      </c>
      <c r="C114" s="2942" t="s">
        <v>50</v>
      </c>
      <c r="D114" s="155"/>
      <c r="E114" s="2732"/>
      <c r="F114" s="2933">
        <v>11</v>
      </c>
      <c r="G114" s="2732"/>
      <c r="H114" s="2933">
        <v>5.05</v>
      </c>
      <c r="I114" s="3202"/>
      <c r="J114" s="107">
        <f t="shared" si="338"/>
        <v>16.05</v>
      </c>
      <c r="K114" s="2732"/>
      <c r="L114" s="2933">
        <v>11.63</v>
      </c>
      <c r="M114" s="3481"/>
      <c r="N114" s="2649">
        <f t="shared" si="331"/>
        <v>27.68</v>
      </c>
      <c r="O114" s="2732"/>
      <c r="P114" s="2933">
        <v>7.3</v>
      </c>
      <c r="Q114" s="3215"/>
      <c r="R114" s="3202">
        <f t="shared" si="339"/>
        <v>34.979999999999997</v>
      </c>
      <c r="S114" s="2732"/>
      <c r="T114" s="2933">
        <v>2.02</v>
      </c>
      <c r="U114" s="3215"/>
      <c r="V114" s="3202">
        <f t="shared" si="340"/>
        <v>37</v>
      </c>
      <c r="W114" s="2732"/>
      <c r="X114" s="2933">
        <v>2.6949999999999998</v>
      </c>
      <c r="Y114" s="3481"/>
      <c r="Z114" s="2649">
        <f t="shared" si="332"/>
        <v>12.015000000000001</v>
      </c>
      <c r="AA114" s="3482"/>
      <c r="AB114" s="2693">
        <f t="shared" si="333"/>
        <v>39.695</v>
      </c>
      <c r="AC114" s="2936"/>
      <c r="AD114" s="2943">
        <v>4.9000000000000004</v>
      </c>
      <c r="AE114" s="3215"/>
      <c r="AF114" s="3202">
        <f t="shared" si="341"/>
        <v>44.594999999999999</v>
      </c>
      <c r="AG114" s="2936"/>
      <c r="AH114" s="2943"/>
      <c r="AI114" s="3215"/>
      <c r="AJ114" s="3202">
        <f t="shared" si="342"/>
        <v>44.594999999999999</v>
      </c>
      <c r="AK114" s="2936"/>
      <c r="AL114" s="2943">
        <v>17.62</v>
      </c>
      <c r="AM114" s="3481"/>
      <c r="AN114" s="2649">
        <f t="shared" si="334"/>
        <v>22.520000000000003</v>
      </c>
      <c r="AO114" s="3215"/>
      <c r="AP114" s="2648">
        <f t="shared" si="335"/>
        <v>62.215000000000003</v>
      </c>
      <c r="AQ114" s="2936"/>
      <c r="AR114" s="2647">
        <v>14.14</v>
      </c>
      <c r="AS114" s="3215"/>
      <c r="AT114" s="2648">
        <f t="shared" si="343"/>
        <v>76.355000000000004</v>
      </c>
      <c r="AU114" s="2936"/>
      <c r="AV114" s="2647">
        <v>14.13</v>
      </c>
      <c r="AW114" s="3215"/>
      <c r="AX114" s="2648">
        <f t="shared" si="344"/>
        <v>90.484999999999999</v>
      </c>
      <c r="AY114" s="2936"/>
      <c r="AZ114" s="2647">
        <v>9.93</v>
      </c>
      <c r="BA114" s="3481"/>
      <c r="BB114" s="2649">
        <f t="shared" si="336"/>
        <v>38.200000000000003</v>
      </c>
      <c r="BC114" s="3482"/>
      <c r="BD114" s="2693">
        <f t="shared" si="337"/>
        <v>60.720000000000006</v>
      </c>
      <c r="BE114" s="3215"/>
      <c r="BF114" s="39">
        <f t="shared" si="345"/>
        <v>100.41499999999999</v>
      </c>
      <c r="BG114" s="2534"/>
      <c r="BH114" s="2534"/>
      <c r="BI114" s="2534"/>
      <c r="BJ114" s="3763"/>
      <c r="BK114" s="3763"/>
      <c r="BL114" s="2534"/>
      <c r="BM114" s="3763"/>
      <c r="BN114" s="3763"/>
    </row>
    <row r="115" spans="2:66" ht="15" x14ac:dyDescent="0.25">
      <c r="B115" s="1757" t="s">
        <v>1743</v>
      </c>
      <c r="C115" s="2942" t="s">
        <v>50</v>
      </c>
      <c r="D115" s="155"/>
      <c r="E115" s="2732"/>
      <c r="F115" s="2933"/>
      <c r="G115" s="2732"/>
      <c r="H115" s="2933"/>
      <c r="I115" s="3202"/>
      <c r="J115" s="107">
        <f t="shared" si="338"/>
        <v>0</v>
      </c>
      <c r="K115" s="2732"/>
      <c r="L115" s="2933"/>
      <c r="M115" s="3481"/>
      <c r="N115" s="2649">
        <f t="shared" si="331"/>
        <v>0</v>
      </c>
      <c r="O115" s="2732"/>
      <c r="P115" s="2933"/>
      <c r="Q115" s="3215"/>
      <c r="R115" s="3202">
        <f t="shared" si="339"/>
        <v>0</v>
      </c>
      <c r="S115" s="2732"/>
      <c r="T115" s="2933"/>
      <c r="U115" s="3215"/>
      <c r="V115" s="3202">
        <f t="shared" si="340"/>
        <v>0</v>
      </c>
      <c r="W115" s="2732"/>
      <c r="X115" s="2933"/>
      <c r="Y115" s="3481"/>
      <c r="Z115" s="2649">
        <f t="shared" si="332"/>
        <v>0</v>
      </c>
      <c r="AA115" s="3482"/>
      <c r="AB115" s="2693">
        <f t="shared" si="333"/>
        <v>0</v>
      </c>
      <c r="AC115" s="2936"/>
      <c r="AD115" s="2943"/>
      <c r="AE115" s="3215"/>
      <c r="AF115" s="3202">
        <f t="shared" si="341"/>
        <v>0</v>
      </c>
      <c r="AG115" s="2936"/>
      <c r="AH115" s="2943"/>
      <c r="AI115" s="3215"/>
      <c r="AJ115" s="3202">
        <f t="shared" si="342"/>
        <v>0</v>
      </c>
      <c r="AK115" s="2936"/>
      <c r="AL115" s="2943"/>
      <c r="AM115" s="3481"/>
      <c r="AN115" s="2649">
        <f t="shared" si="334"/>
        <v>0</v>
      </c>
      <c r="AO115" s="3215"/>
      <c r="AP115" s="2648">
        <f t="shared" si="335"/>
        <v>0</v>
      </c>
      <c r="AQ115" s="2936"/>
      <c r="AR115" s="2647"/>
      <c r="AS115" s="3215"/>
      <c r="AT115" s="2648">
        <f t="shared" si="343"/>
        <v>0</v>
      </c>
      <c r="AU115" s="2936"/>
      <c r="AV115" s="2647"/>
      <c r="AW115" s="3215"/>
      <c r="AX115" s="2648">
        <f t="shared" si="344"/>
        <v>0</v>
      </c>
      <c r="AY115" s="2936"/>
      <c r="AZ115" s="2647"/>
      <c r="BA115" s="3481"/>
      <c r="BB115" s="2649">
        <f t="shared" si="336"/>
        <v>0</v>
      </c>
      <c r="BC115" s="3482"/>
      <c r="BD115" s="2693">
        <f t="shared" si="337"/>
        <v>0</v>
      </c>
      <c r="BE115" s="3215"/>
      <c r="BF115" s="39">
        <f t="shared" si="345"/>
        <v>0</v>
      </c>
      <c r="BG115" s="2534"/>
      <c r="BH115" s="2534"/>
      <c r="BI115" s="2534"/>
      <c r="BJ115" s="3763"/>
      <c r="BK115" s="3763"/>
      <c r="BL115" s="2534"/>
      <c r="BM115" s="3763"/>
      <c r="BN115" s="3763"/>
    </row>
    <row r="116" spans="2:66" ht="15" x14ac:dyDescent="0.25">
      <c r="B116" s="1757" t="s">
        <v>19</v>
      </c>
      <c r="C116" s="2942" t="s">
        <v>50</v>
      </c>
      <c r="D116" s="155"/>
      <c r="E116" s="2732"/>
      <c r="F116" s="2933"/>
      <c r="G116" s="2732"/>
      <c r="H116" s="2933">
        <v>773.1</v>
      </c>
      <c r="I116" s="3202"/>
      <c r="J116" s="107">
        <f t="shared" si="338"/>
        <v>773.1</v>
      </c>
      <c r="K116" s="2732"/>
      <c r="L116" s="2933"/>
      <c r="M116" s="3481"/>
      <c r="N116" s="2649">
        <f t="shared" si="331"/>
        <v>773.1</v>
      </c>
      <c r="O116" s="2732"/>
      <c r="P116" s="2933">
        <v>899.6</v>
      </c>
      <c r="Q116" s="3215"/>
      <c r="R116" s="3202">
        <f t="shared" si="339"/>
        <v>1672.7</v>
      </c>
      <c r="S116" s="2732"/>
      <c r="T116" s="2933">
        <v>1809.45</v>
      </c>
      <c r="U116" s="3215"/>
      <c r="V116" s="3202">
        <f t="shared" si="340"/>
        <v>3482.15</v>
      </c>
      <c r="W116" s="2732"/>
      <c r="X116" s="2933">
        <v>2628.8</v>
      </c>
      <c r="Y116" s="3481"/>
      <c r="Z116" s="2649">
        <f t="shared" si="332"/>
        <v>5337.85</v>
      </c>
      <c r="AA116" s="3482"/>
      <c r="AB116" s="2693">
        <f t="shared" si="333"/>
        <v>6110.9500000000007</v>
      </c>
      <c r="AC116" s="2936"/>
      <c r="AD116" s="2933">
        <v>749.4</v>
      </c>
      <c r="AE116" s="3215"/>
      <c r="AF116" s="3202">
        <f t="shared" si="341"/>
        <v>6860.35</v>
      </c>
      <c r="AG116" s="2936"/>
      <c r="AH116" s="2933">
        <v>50</v>
      </c>
      <c r="AI116" s="3215"/>
      <c r="AJ116" s="3202">
        <f t="shared" si="342"/>
        <v>6910.35</v>
      </c>
      <c r="AK116" s="2936"/>
      <c r="AL116" s="2933">
        <v>125</v>
      </c>
      <c r="AM116" s="3481"/>
      <c r="AN116" s="2649">
        <f t="shared" si="334"/>
        <v>924.4</v>
      </c>
      <c r="AO116" s="3215"/>
      <c r="AP116" s="2648">
        <f t="shared" si="335"/>
        <v>7035.35</v>
      </c>
      <c r="AQ116" s="2936"/>
      <c r="AR116" s="2647">
        <v>50</v>
      </c>
      <c r="AS116" s="3215"/>
      <c r="AT116" s="2648">
        <f t="shared" si="343"/>
        <v>7085.35</v>
      </c>
      <c r="AU116" s="2936"/>
      <c r="AV116" s="2647">
        <v>1650.8</v>
      </c>
      <c r="AW116" s="3215"/>
      <c r="AX116" s="2648">
        <f t="shared" si="344"/>
        <v>8736.15</v>
      </c>
      <c r="AY116" s="2936"/>
      <c r="AZ116" s="2647">
        <v>134</v>
      </c>
      <c r="BA116" s="3481"/>
      <c r="BB116" s="2649">
        <f t="shared" si="336"/>
        <v>1834.8</v>
      </c>
      <c r="BC116" s="3482"/>
      <c r="BD116" s="2693">
        <f t="shared" si="337"/>
        <v>2759.2</v>
      </c>
      <c r="BE116" s="3215"/>
      <c r="BF116" s="39">
        <f t="shared" si="345"/>
        <v>8870.15</v>
      </c>
      <c r="BG116" s="2534"/>
      <c r="BH116" s="2534"/>
      <c r="BI116" s="2534"/>
      <c r="BJ116" s="3763"/>
      <c r="BK116" s="3763"/>
      <c r="BL116" s="2534"/>
      <c r="BM116" s="3763"/>
      <c r="BN116" s="3763"/>
    </row>
    <row r="117" spans="2:66" ht="15" x14ac:dyDescent="0.25">
      <c r="B117" s="1757" t="s">
        <v>614</v>
      </c>
      <c r="C117" s="2942" t="s">
        <v>50</v>
      </c>
      <c r="D117" s="155"/>
      <c r="E117" s="2732"/>
      <c r="F117" s="2933">
        <v>71.221999999999994</v>
      </c>
      <c r="G117" s="2732"/>
      <c r="H117" s="2933">
        <v>83.968000000000004</v>
      </c>
      <c r="I117" s="3202"/>
      <c r="J117" s="107">
        <f t="shared" si="338"/>
        <v>155.19</v>
      </c>
      <c r="K117" s="2732"/>
      <c r="L117" s="2933">
        <v>76.239000000000004</v>
      </c>
      <c r="M117" s="3481"/>
      <c r="N117" s="2649">
        <f t="shared" si="331"/>
        <v>231.42899999999997</v>
      </c>
      <c r="O117" s="2732"/>
      <c r="P117" s="2933">
        <v>76.820999999999998</v>
      </c>
      <c r="Q117" s="3215"/>
      <c r="R117" s="3202">
        <f t="shared" si="339"/>
        <v>308.25</v>
      </c>
      <c r="S117" s="2732"/>
      <c r="T117" s="2933">
        <v>78.066999999999993</v>
      </c>
      <c r="U117" s="3215"/>
      <c r="V117" s="3202">
        <f t="shared" si="340"/>
        <v>386.31700000000001</v>
      </c>
      <c r="W117" s="2732"/>
      <c r="X117" s="2933">
        <v>73.569000000000003</v>
      </c>
      <c r="Y117" s="3481"/>
      <c r="Z117" s="2649">
        <f t="shared" si="332"/>
        <v>228.45699999999999</v>
      </c>
      <c r="AA117" s="3482"/>
      <c r="AB117" s="2680">
        <f t="shared" si="333"/>
        <v>459.88599999999997</v>
      </c>
      <c r="AC117" s="2936"/>
      <c r="AD117" s="2943">
        <v>78.554000000000002</v>
      </c>
      <c r="AE117" s="3215"/>
      <c r="AF117" s="3202">
        <f t="shared" si="341"/>
        <v>538.43999999999994</v>
      </c>
      <c r="AG117" s="2936"/>
      <c r="AH117" s="2943">
        <v>2.5</v>
      </c>
      <c r="AI117" s="3215"/>
      <c r="AJ117" s="3202">
        <f t="shared" si="342"/>
        <v>540.93999999999994</v>
      </c>
      <c r="AK117" s="2936"/>
      <c r="AL117" s="2943">
        <v>75.176000000000002</v>
      </c>
      <c r="AM117" s="3481"/>
      <c r="AN117" s="2649">
        <f t="shared" si="334"/>
        <v>156.23000000000002</v>
      </c>
      <c r="AO117" s="3215"/>
      <c r="AP117" s="2648">
        <f t="shared" si="335"/>
        <v>616.11599999999999</v>
      </c>
      <c r="AQ117" s="2936"/>
      <c r="AR117" s="2647">
        <v>82.22</v>
      </c>
      <c r="AS117" s="3215"/>
      <c r="AT117" s="2648">
        <f t="shared" si="343"/>
        <v>698.33600000000001</v>
      </c>
      <c r="AU117" s="2936"/>
      <c r="AV117" s="2647">
        <v>72.302000000000007</v>
      </c>
      <c r="AW117" s="3215"/>
      <c r="AX117" s="2648">
        <f t="shared" si="344"/>
        <v>770.63800000000003</v>
      </c>
      <c r="AY117" s="2936"/>
      <c r="AZ117" s="2647">
        <v>73.171000000000006</v>
      </c>
      <c r="BA117" s="3481"/>
      <c r="BB117" s="2649">
        <f t="shared" si="336"/>
        <v>227.69300000000001</v>
      </c>
      <c r="BC117" s="3482"/>
      <c r="BD117" s="2693">
        <f t="shared" si="337"/>
        <v>383.923</v>
      </c>
      <c r="BE117" s="3215"/>
      <c r="BF117" s="39">
        <f t="shared" si="345"/>
        <v>843.80900000000008</v>
      </c>
      <c r="BG117" s="2534"/>
      <c r="BH117" s="2534"/>
      <c r="BI117" s="2534"/>
      <c r="BJ117" s="3763"/>
      <c r="BK117" s="3763"/>
      <c r="BL117" s="2534"/>
      <c r="BM117" s="3763"/>
      <c r="BN117" s="3763"/>
    </row>
    <row r="118" spans="2:66" ht="15" x14ac:dyDescent="0.25">
      <c r="B118" s="1757" t="s">
        <v>1943</v>
      </c>
      <c r="C118" s="2942" t="s">
        <v>50</v>
      </c>
      <c r="D118" s="155"/>
      <c r="E118" s="2732"/>
      <c r="F118" s="2933">
        <v>64.45</v>
      </c>
      <c r="G118" s="2732"/>
      <c r="H118" s="2933">
        <v>58.99</v>
      </c>
      <c r="I118" s="3202"/>
      <c r="J118" s="107">
        <f t="shared" si="338"/>
        <v>123.44</v>
      </c>
      <c r="K118" s="2732"/>
      <c r="L118" s="2933">
        <v>77.239999999999995</v>
      </c>
      <c r="M118" s="3481"/>
      <c r="N118" s="2649">
        <f t="shared" si="331"/>
        <v>200.68</v>
      </c>
      <c r="O118" s="2732"/>
      <c r="P118" s="2933">
        <v>80.7</v>
      </c>
      <c r="Q118" s="3215"/>
      <c r="R118" s="3202">
        <f t="shared" si="339"/>
        <v>281.38</v>
      </c>
      <c r="S118" s="2732"/>
      <c r="T118" s="2933">
        <v>95.5</v>
      </c>
      <c r="U118" s="3215"/>
      <c r="V118" s="3202">
        <f t="shared" si="340"/>
        <v>376.88</v>
      </c>
      <c r="W118" s="2732"/>
      <c r="X118" s="2933">
        <v>119.7</v>
      </c>
      <c r="Y118" s="3481"/>
      <c r="Z118" s="2649">
        <f t="shared" si="332"/>
        <v>295.89999999999998</v>
      </c>
      <c r="AA118" s="3482"/>
      <c r="AB118" s="2693">
        <f t="shared" si="333"/>
        <v>496.58</v>
      </c>
      <c r="AC118" s="2936"/>
      <c r="AD118" s="2943">
        <v>2.7</v>
      </c>
      <c r="AE118" s="3215"/>
      <c r="AF118" s="3202">
        <f t="shared" si="341"/>
        <v>499.28</v>
      </c>
      <c r="AG118" s="2936"/>
      <c r="AH118" s="2943"/>
      <c r="AI118" s="3215"/>
      <c r="AJ118" s="3202">
        <f t="shared" si="342"/>
        <v>499.28</v>
      </c>
      <c r="AK118" s="2936"/>
      <c r="AL118" s="2943">
        <v>13.5</v>
      </c>
      <c r="AM118" s="3481"/>
      <c r="AN118" s="2649">
        <f t="shared" si="334"/>
        <v>16.2</v>
      </c>
      <c r="AO118" s="3215"/>
      <c r="AP118" s="2648">
        <f t="shared" si="335"/>
        <v>512.78</v>
      </c>
      <c r="AQ118" s="2936"/>
      <c r="AR118" s="2647"/>
      <c r="AS118" s="3215"/>
      <c r="AT118" s="2648">
        <f t="shared" si="343"/>
        <v>512.78</v>
      </c>
      <c r="AU118" s="2936"/>
      <c r="AV118" s="2647">
        <v>13.5</v>
      </c>
      <c r="AW118" s="3215"/>
      <c r="AX118" s="2648">
        <f t="shared" si="344"/>
        <v>526.28</v>
      </c>
      <c r="AY118" s="2936"/>
      <c r="AZ118" s="2647">
        <v>42.360999999999997</v>
      </c>
      <c r="BA118" s="3481"/>
      <c r="BB118" s="2649">
        <f t="shared" si="336"/>
        <v>55.860999999999997</v>
      </c>
      <c r="BC118" s="3482"/>
      <c r="BD118" s="2693">
        <f t="shared" si="337"/>
        <v>72.060999999999993</v>
      </c>
      <c r="BE118" s="3215"/>
      <c r="BF118" s="39">
        <f t="shared" si="345"/>
        <v>568.64099999999996</v>
      </c>
      <c r="BG118" s="2534"/>
      <c r="BH118" s="2534"/>
      <c r="BI118" s="2534"/>
      <c r="BJ118" s="3763"/>
      <c r="BK118" s="3763"/>
      <c r="BL118" s="2534"/>
      <c r="BM118" s="3763"/>
      <c r="BN118" s="3763"/>
    </row>
    <row r="119" spans="2:66" ht="15" x14ac:dyDescent="0.25">
      <c r="B119" s="1757" t="s">
        <v>705</v>
      </c>
      <c r="C119" s="2942" t="s">
        <v>50</v>
      </c>
      <c r="D119" s="155"/>
      <c r="E119" s="2732"/>
      <c r="F119" s="2933">
        <v>5.05</v>
      </c>
      <c r="G119" s="2732"/>
      <c r="H119" s="2933">
        <v>5.1440000000000001</v>
      </c>
      <c r="I119" s="3202"/>
      <c r="J119" s="107">
        <f t="shared" si="338"/>
        <v>10.193999999999999</v>
      </c>
      <c r="K119" s="2732"/>
      <c r="L119" s="2933">
        <v>6.1219999999999999</v>
      </c>
      <c r="M119" s="3481"/>
      <c r="N119" s="2649">
        <f t="shared" si="331"/>
        <v>16.315999999999999</v>
      </c>
      <c r="O119" s="2732"/>
      <c r="P119" s="2933">
        <v>6.16</v>
      </c>
      <c r="Q119" s="3215"/>
      <c r="R119" s="3202">
        <f t="shared" si="339"/>
        <v>22.475999999999999</v>
      </c>
      <c r="S119" s="2732"/>
      <c r="T119" s="2933">
        <v>7.95</v>
      </c>
      <c r="U119" s="3215"/>
      <c r="V119" s="3202">
        <f t="shared" si="340"/>
        <v>30.425999999999998</v>
      </c>
      <c r="W119" s="2732"/>
      <c r="X119" s="2933">
        <v>6.1420000000000003</v>
      </c>
      <c r="Y119" s="3481"/>
      <c r="Z119" s="2649">
        <f t="shared" si="332"/>
        <v>20.252000000000002</v>
      </c>
      <c r="AA119" s="3482"/>
      <c r="AB119" s="2693">
        <f t="shared" si="333"/>
        <v>36.567999999999998</v>
      </c>
      <c r="AC119" s="2936"/>
      <c r="AD119" s="2943">
        <v>1.7</v>
      </c>
      <c r="AE119" s="3215"/>
      <c r="AF119" s="3202">
        <f t="shared" si="341"/>
        <v>38.268000000000001</v>
      </c>
      <c r="AG119" s="2936"/>
      <c r="AH119" s="2943"/>
      <c r="AI119" s="3215"/>
      <c r="AJ119" s="3202">
        <f t="shared" si="342"/>
        <v>38.268000000000001</v>
      </c>
      <c r="AK119" s="2936"/>
      <c r="AL119" s="2943">
        <v>9.5500000000000007</v>
      </c>
      <c r="AM119" s="3481"/>
      <c r="AN119" s="2649">
        <f t="shared" si="334"/>
        <v>11.25</v>
      </c>
      <c r="AO119" s="3215"/>
      <c r="AP119" s="2648">
        <f t="shared" si="335"/>
        <v>47.817999999999998</v>
      </c>
      <c r="AQ119" s="2936"/>
      <c r="AR119" s="2647">
        <v>10.35</v>
      </c>
      <c r="AS119" s="3215"/>
      <c r="AT119" s="2648">
        <f t="shared" si="343"/>
        <v>58.167999999999999</v>
      </c>
      <c r="AU119" s="2936"/>
      <c r="AV119" s="2647">
        <v>5.45</v>
      </c>
      <c r="AW119" s="3215"/>
      <c r="AX119" s="2648">
        <f t="shared" si="344"/>
        <v>63.618000000000002</v>
      </c>
      <c r="AY119" s="2936"/>
      <c r="AZ119" s="2647">
        <v>5.55</v>
      </c>
      <c r="BA119" s="3481"/>
      <c r="BB119" s="2649">
        <f t="shared" si="336"/>
        <v>21.35</v>
      </c>
      <c r="BC119" s="3482"/>
      <c r="BD119" s="2693">
        <f t="shared" si="337"/>
        <v>32.6</v>
      </c>
      <c r="BE119" s="3215"/>
      <c r="BF119" s="39">
        <f t="shared" si="345"/>
        <v>69.168000000000006</v>
      </c>
      <c r="BG119" s="2534"/>
      <c r="BH119" s="2534"/>
      <c r="BI119" s="2534"/>
      <c r="BJ119" s="3763"/>
      <c r="BK119" s="3763"/>
      <c r="BL119" s="2534"/>
      <c r="BM119" s="3763"/>
      <c r="BN119" s="3763"/>
    </row>
    <row r="120" spans="2:66" ht="15" x14ac:dyDescent="0.25">
      <c r="B120" s="1757" t="s">
        <v>571</v>
      </c>
      <c r="C120" s="2942" t="s">
        <v>50</v>
      </c>
      <c r="D120" s="155"/>
      <c r="E120" s="2732"/>
      <c r="F120" s="2933">
        <v>0.245</v>
      </c>
      <c r="G120" s="2732"/>
      <c r="H120" s="2933">
        <v>0.185</v>
      </c>
      <c r="I120" s="3202"/>
      <c r="J120" s="107">
        <f t="shared" si="338"/>
        <v>0.43</v>
      </c>
      <c r="K120" s="2732"/>
      <c r="L120" s="2933">
        <v>4.4999999999999998E-2</v>
      </c>
      <c r="M120" s="3481"/>
      <c r="N120" s="2649">
        <f t="shared" si="331"/>
        <v>0.47499999999999998</v>
      </c>
      <c r="O120" s="2732"/>
      <c r="P120" s="2933">
        <v>0.06</v>
      </c>
      <c r="Q120" s="3215"/>
      <c r="R120" s="3202">
        <f t="shared" si="339"/>
        <v>0.53499999999999992</v>
      </c>
      <c r="S120" s="2732"/>
      <c r="T120" s="2933">
        <v>1.4999999999999999E-2</v>
      </c>
      <c r="U120" s="3215"/>
      <c r="V120" s="3202">
        <f t="shared" si="340"/>
        <v>0.54999999999999993</v>
      </c>
      <c r="W120" s="2732"/>
      <c r="X120" s="2933">
        <v>0.105</v>
      </c>
      <c r="Y120" s="3481"/>
      <c r="Z120" s="2649">
        <f t="shared" si="332"/>
        <v>0.18</v>
      </c>
      <c r="AA120" s="3482"/>
      <c r="AB120" s="2693">
        <f t="shared" si="333"/>
        <v>0.65500000000000003</v>
      </c>
      <c r="AC120" s="2936"/>
      <c r="AD120" s="2943">
        <v>0.15</v>
      </c>
      <c r="AE120" s="3215"/>
      <c r="AF120" s="3202">
        <f t="shared" si="341"/>
        <v>0.80500000000000005</v>
      </c>
      <c r="AG120" s="2936"/>
      <c r="AH120" s="2943"/>
      <c r="AI120" s="3215"/>
      <c r="AJ120" s="3202">
        <f t="shared" si="342"/>
        <v>0.80500000000000005</v>
      </c>
      <c r="AK120" s="2936"/>
      <c r="AL120" s="2943">
        <v>0.33</v>
      </c>
      <c r="AM120" s="3481"/>
      <c r="AN120" s="2649">
        <f t="shared" si="334"/>
        <v>0.48</v>
      </c>
      <c r="AO120" s="3215"/>
      <c r="AP120" s="2648">
        <f t="shared" si="335"/>
        <v>1.135</v>
      </c>
      <c r="AQ120" s="2936"/>
      <c r="AR120" s="2647">
        <v>0.54</v>
      </c>
      <c r="AS120" s="3215"/>
      <c r="AT120" s="2648">
        <f t="shared" si="343"/>
        <v>1.675</v>
      </c>
      <c r="AU120" s="2936"/>
      <c r="AV120" s="2647">
        <v>0.21</v>
      </c>
      <c r="AW120" s="3215"/>
      <c r="AX120" s="2648">
        <f t="shared" si="344"/>
        <v>1.885</v>
      </c>
      <c r="AY120" s="2936"/>
      <c r="AZ120" s="2647"/>
      <c r="BA120" s="3481"/>
      <c r="BB120" s="2649">
        <f t="shared" si="336"/>
        <v>0.75</v>
      </c>
      <c r="BC120" s="3482"/>
      <c r="BD120" s="2693">
        <f t="shared" si="337"/>
        <v>1.23</v>
      </c>
      <c r="BE120" s="3215"/>
      <c r="BF120" s="39">
        <f t="shared" si="345"/>
        <v>1.885</v>
      </c>
      <c r="BG120" s="2534"/>
      <c r="BH120" s="2534"/>
      <c r="BI120" s="2534"/>
      <c r="BJ120" s="3763"/>
      <c r="BK120" s="3763"/>
      <c r="BL120" s="2534"/>
      <c r="BM120" s="3763"/>
      <c r="BN120" s="3763"/>
    </row>
    <row r="121" spans="2:66" ht="15" x14ac:dyDescent="0.25">
      <c r="B121" s="1757" t="s">
        <v>1373</v>
      </c>
      <c r="C121" s="2942" t="s">
        <v>50</v>
      </c>
      <c r="D121" s="155"/>
      <c r="E121" s="2732"/>
      <c r="F121" s="2933"/>
      <c r="G121" s="2732"/>
      <c r="H121" s="2933"/>
      <c r="I121" s="3202"/>
      <c r="J121" s="107">
        <f t="shared" si="338"/>
        <v>0</v>
      </c>
      <c r="K121" s="2732"/>
      <c r="L121" s="2933"/>
      <c r="M121" s="3481"/>
      <c r="N121" s="2649">
        <f t="shared" si="331"/>
        <v>0</v>
      </c>
      <c r="O121" s="2732"/>
      <c r="P121" s="2933"/>
      <c r="Q121" s="3215"/>
      <c r="R121" s="3202">
        <f t="shared" si="339"/>
        <v>0</v>
      </c>
      <c r="S121" s="2732"/>
      <c r="T121" s="2933"/>
      <c r="U121" s="3215"/>
      <c r="V121" s="3202">
        <f t="shared" si="340"/>
        <v>0</v>
      </c>
      <c r="W121" s="2732"/>
      <c r="X121" s="2933"/>
      <c r="Y121" s="3481"/>
      <c r="Z121" s="2649">
        <f t="shared" si="332"/>
        <v>0</v>
      </c>
      <c r="AA121" s="3482"/>
      <c r="AB121" s="2693">
        <f t="shared" si="333"/>
        <v>0</v>
      </c>
      <c r="AC121" s="2936"/>
      <c r="AD121" s="2943"/>
      <c r="AE121" s="3215"/>
      <c r="AF121" s="3202">
        <f t="shared" si="341"/>
        <v>0</v>
      </c>
      <c r="AG121" s="2936"/>
      <c r="AH121" s="2943"/>
      <c r="AI121" s="3215"/>
      <c r="AJ121" s="3202">
        <f t="shared" si="342"/>
        <v>0</v>
      </c>
      <c r="AK121" s="2936"/>
      <c r="AL121" s="2943"/>
      <c r="AM121" s="3481"/>
      <c r="AN121" s="2649">
        <f t="shared" si="334"/>
        <v>0</v>
      </c>
      <c r="AO121" s="3215"/>
      <c r="AP121" s="2648">
        <f t="shared" si="335"/>
        <v>0</v>
      </c>
      <c r="AQ121" s="2936"/>
      <c r="AR121" s="2647"/>
      <c r="AS121" s="3215"/>
      <c r="AT121" s="2648">
        <f t="shared" si="343"/>
        <v>0</v>
      </c>
      <c r="AU121" s="2936"/>
      <c r="AV121" s="2647"/>
      <c r="AW121" s="3215"/>
      <c r="AX121" s="2648">
        <f t="shared" si="344"/>
        <v>0</v>
      </c>
      <c r="AY121" s="2936"/>
      <c r="AZ121" s="2647"/>
      <c r="BA121" s="3481"/>
      <c r="BB121" s="2649">
        <f t="shared" si="336"/>
        <v>0</v>
      </c>
      <c r="BC121" s="3482"/>
      <c r="BD121" s="2693">
        <f t="shared" si="337"/>
        <v>0</v>
      </c>
      <c r="BE121" s="3215"/>
      <c r="BF121" s="39">
        <f t="shared" si="345"/>
        <v>0</v>
      </c>
      <c r="BG121" s="2534"/>
      <c r="BH121" s="2534"/>
      <c r="BI121" s="2534"/>
      <c r="BJ121" s="3763"/>
      <c r="BK121" s="3763"/>
      <c r="BL121" s="2534"/>
      <c r="BM121" s="3763"/>
      <c r="BN121" s="3763"/>
    </row>
    <row r="122" spans="2:66" ht="15" x14ac:dyDescent="0.25">
      <c r="B122" s="1757" t="s">
        <v>925</v>
      </c>
      <c r="C122" s="2942" t="s">
        <v>50</v>
      </c>
      <c r="D122" s="155"/>
      <c r="E122" s="2732"/>
      <c r="F122" s="2933"/>
      <c r="G122" s="2732"/>
      <c r="H122" s="2933"/>
      <c r="I122" s="3202"/>
      <c r="J122" s="107">
        <f t="shared" si="338"/>
        <v>0</v>
      </c>
      <c r="K122" s="2732"/>
      <c r="L122" s="2933"/>
      <c r="M122" s="3481"/>
      <c r="N122" s="2649">
        <f t="shared" si="331"/>
        <v>0</v>
      </c>
      <c r="O122" s="2732"/>
      <c r="P122" s="2933"/>
      <c r="Q122" s="3215"/>
      <c r="R122" s="3202">
        <f t="shared" si="339"/>
        <v>0</v>
      </c>
      <c r="S122" s="2732"/>
      <c r="T122" s="2933"/>
      <c r="U122" s="3215"/>
      <c r="V122" s="3202">
        <f t="shared" si="340"/>
        <v>0</v>
      </c>
      <c r="W122" s="2732"/>
      <c r="X122" s="2933"/>
      <c r="Y122" s="3481"/>
      <c r="Z122" s="2649">
        <f t="shared" si="332"/>
        <v>0</v>
      </c>
      <c r="AA122" s="3482"/>
      <c r="AB122" s="2693">
        <f t="shared" si="333"/>
        <v>0</v>
      </c>
      <c r="AC122" s="2936"/>
      <c r="AD122" s="2943"/>
      <c r="AE122" s="3215"/>
      <c r="AF122" s="3202">
        <f t="shared" si="341"/>
        <v>0</v>
      </c>
      <c r="AG122" s="2936"/>
      <c r="AH122" s="2943"/>
      <c r="AI122" s="3215"/>
      <c r="AJ122" s="3202">
        <f t="shared" si="342"/>
        <v>0</v>
      </c>
      <c r="AK122" s="2936"/>
      <c r="AL122" s="2943"/>
      <c r="AM122" s="3481"/>
      <c r="AN122" s="2649">
        <f t="shared" si="334"/>
        <v>0</v>
      </c>
      <c r="AO122" s="3215"/>
      <c r="AP122" s="2648">
        <f t="shared" si="335"/>
        <v>0</v>
      </c>
      <c r="AQ122" s="2936"/>
      <c r="AR122" s="2647"/>
      <c r="AS122" s="3215"/>
      <c r="AT122" s="2648">
        <f t="shared" si="343"/>
        <v>0</v>
      </c>
      <c r="AU122" s="2936"/>
      <c r="AV122" s="2647"/>
      <c r="AW122" s="3215"/>
      <c r="AX122" s="2648">
        <f t="shared" si="344"/>
        <v>0</v>
      </c>
      <c r="AY122" s="2936"/>
      <c r="AZ122" s="2647"/>
      <c r="BA122" s="3481"/>
      <c r="BB122" s="2649">
        <f t="shared" si="336"/>
        <v>0</v>
      </c>
      <c r="BC122" s="3482"/>
      <c r="BD122" s="2693">
        <f t="shared" si="337"/>
        <v>0</v>
      </c>
      <c r="BE122" s="3215"/>
      <c r="BF122" s="39">
        <f t="shared" si="345"/>
        <v>0</v>
      </c>
      <c r="BG122" s="2534"/>
      <c r="BH122" s="2534"/>
      <c r="BI122" s="2534"/>
      <c r="BJ122" s="3763"/>
      <c r="BK122" s="3763"/>
      <c r="BL122" s="2534"/>
      <c r="BM122" s="3763"/>
      <c r="BN122" s="3763"/>
    </row>
    <row r="123" spans="2:66" ht="15" x14ac:dyDescent="0.25">
      <c r="B123" s="1757" t="s">
        <v>1026</v>
      </c>
      <c r="C123" s="2942" t="s">
        <v>50</v>
      </c>
      <c r="D123" s="1126"/>
      <c r="E123" s="2732"/>
      <c r="F123" s="2933">
        <v>8.0890000000000004</v>
      </c>
      <c r="G123" s="2732"/>
      <c r="H123" s="2933">
        <v>9.9410000000000007</v>
      </c>
      <c r="I123" s="3202"/>
      <c r="J123" s="107">
        <f t="shared" si="338"/>
        <v>18.03</v>
      </c>
      <c r="K123" s="2732"/>
      <c r="L123" s="2933">
        <v>8.7230000000000008</v>
      </c>
      <c r="M123" s="3481"/>
      <c r="N123" s="2649">
        <f t="shared" si="331"/>
        <v>26.753</v>
      </c>
      <c r="O123" s="2732"/>
      <c r="P123" s="2933">
        <v>8.1560000000000006</v>
      </c>
      <c r="Q123" s="3215"/>
      <c r="R123" s="3202">
        <f t="shared" si="339"/>
        <v>34.908999999999999</v>
      </c>
      <c r="S123" s="2732"/>
      <c r="T123" s="2933">
        <v>7.8070000000000004</v>
      </c>
      <c r="U123" s="3215"/>
      <c r="V123" s="3202">
        <f t="shared" si="340"/>
        <v>42.716000000000001</v>
      </c>
      <c r="W123" s="2732"/>
      <c r="X123" s="2933">
        <v>7.6319999999999997</v>
      </c>
      <c r="Y123" s="3481"/>
      <c r="Z123" s="2649">
        <f t="shared" si="332"/>
        <v>23.594999999999999</v>
      </c>
      <c r="AA123" s="3482"/>
      <c r="AB123" s="2693">
        <f t="shared" si="333"/>
        <v>50.347999999999999</v>
      </c>
      <c r="AC123" s="2936"/>
      <c r="AD123" s="2943">
        <v>7.29</v>
      </c>
      <c r="AE123" s="3215"/>
      <c r="AF123" s="3202">
        <f t="shared" si="341"/>
        <v>57.637999999999998</v>
      </c>
      <c r="AG123" s="2936"/>
      <c r="AH123" s="2943">
        <v>0.42</v>
      </c>
      <c r="AI123" s="3215"/>
      <c r="AJ123" s="3202">
        <f t="shared" si="342"/>
        <v>58.058</v>
      </c>
      <c r="AK123" s="2936"/>
      <c r="AL123" s="2943">
        <v>8.2309999999999999</v>
      </c>
      <c r="AM123" s="3481"/>
      <c r="AN123" s="2649">
        <f t="shared" si="334"/>
        <v>15.940999999999999</v>
      </c>
      <c r="AO123" s="3215"/>
      <c r="AP123" s="2648">
        <f t="shared" si="335"/>
        <v>66.289000000000001</v>
      </c>
      <c r="AQ123" s="2936"/>
      <c r="AR123" s="2647">
        <v>8.0739999999999998</v>
      </c>
      <c r="AS123" s="3215"/>
      <c r="AT123" s="2648">
        <f t="shared" si="343"/>
        <v>74.363</v>
      </c>
      <c r="AU123" s="2936"/>
      <c r="AV123" s="2647">
        <v>6.6230000000000002</v>
      </c>
      <c r="AW123" s="3215"/>
      <c r="AX123" s="2648">
        <f t="shared" si="344"/>
        <v>80.986000000000004</v>
      </c>
      <c r="AY123" s="2936"/>
      <c r="AZ123" s="2647">
        <v>6.0179999999999998</v>
      </c>
      <c r="BA123" s="3481"/>
      <c r="BB123" s="2649">
        <f t="shared" si="336"/>
        <v>20.715</v>
      </c>
      <c r="BC123" s="3482"/>
      <c r="BD123" s="2693">
        <f t="shared" si="337"/>
        <v>36.655999999999999</v>
      </c>
      <c r="BE123" s="3215"/>
      <c r="BF123" s="39">
        <f t="shared" si="345"/>
        <v>87.004000000000005</v>
      </c>
      <c r="BG123" s="2534"/>
      <c r="BH123" s="2534"/>
      <c r="BI123" s="2534"/>
      <c r="BJ123" s="3763"/>
      <c r="BK123" s="3763"/>
      <c r="BL123" s="2534"/>
      <c r="BM123" s="3763"/>
      <c r="BN123" s="3763"/>
    </row>
    <row r="124" spans="2:66" ht="15" x14ac:dyDescent="0.25">
      <c r="B124" s="1757" t="s">
        <v>1375</v>
      </c>
      <c r="C124" s="2942" t="s">
        <v>50</v>
      </c>
      <c r="D124" s="1126"/>
      <c r="E124" s="2732"/>
      <c r="F124" s="2933"/>
      <c r="G124" s="2732"/>
      <c r="H124" s="2933"/>
      <c r="I124" s="3202"/>
      <c r="J124" s="107">
        <f t="shared" si="338"/>
        <v>0</v>
      </c>
      <c r="K124" s="2732"/>
      <c r="L124" s="2933"/>
      <c r="M124" s="3481"/>
      <c r="N124" s="2649">
        <f t="shared" si="331"/>
        <v>0</v>
      </c>
      <c r="O124" s="2732"/>
      <c r="P124" s="2933"/>
      <c r="Q124" s="3215"/>
      <c r="R124" s="3202">
        <f t="shared" si="339"/>
        <v>0</v>
      </c>
      <c r="S124" s="2732"/>
      <c r="T124" s="2933"/>
      <c r="U124" s="3215"/>
      <c r="V124" s="3202">
        <f t="shared" si="340"/>
        <v>0</v>
      </c>
      <c r="W124" s="2732"/>
      <c r="X124" s="2933"/>
      <c r="Y124" s="3481"/>
      <c r="Z124" s="2649">
        <f t="shared" si="332"/>
        <v>0</v>
      </c>
      <c r="AA124" s="3482"/>
      <c r="AB124" s="2693">
        <f t="shared" si="333"/>
        <v>0</v>
      </c>
      <c r="AC124" s="2936"/>
      <c r="AD124" s="2943"/>
      <c r="AE124" s="3215"/>
      <c r="AF124" s="3202">
        <f t="shared" si="341"/>
        <v>0</v>
      </c>
      <c r="AG124" s="2936"/>
      <c r="AH124" s="2943"/>
      <c r="AI124" s="3215"/>
      <c r="AJ124" s="3202">
        <f t="shared" si="342"/>
        <v>0</v>
      </c>
      <c r="AK124" s="2936"/>
      <c r="AL124" s="2943"/>
      <c r="AM124" s="3481"/>
      <c r="AN124" s="2649">
        <f t="shared" si="334"/>
        <v>0</v>
      </c>
      <c r="AO124" s="3215"/>
      <c r="AP124" s="2648">
        <f t="shared" si="335"/>
        <v>0</v>
      </c>
      <c r="AQ124" s="2936"/>
      <c r="AR124" s="2647"/>
      <c r="AS124" s="3215"/>
      <c r="AT124" s="2648">
        <f t="shared" si="343"/>
        <v>0</v>
      </c>
      <c r="AU124" s="2936"/>
      <c r="AV124" s="2647"/>
      <c r="AW124" s="3215"/>
      <c r="AX124" s="2648">
        <f t="shared" si="344"/>
        <v>0</v>
      </c>
      <c r="AY124" s="2936"/>
      <c r="AZ124" s="2647"/>
      <c r="BA124" s="3481"/>
      <c r="BB124" s="2649">
        <f t="shared" si="336"/>
        <v>0</v>
      </c>
      <c r="BC124" s="3482"/>
      <c r="BD124" s="2693">
        <f t="shared" si="337"/>
        <v>0</v>
      </c>
      <c r="BE124" s="3215"/>
      <c r="BF124" s="39">
        <f t="shared" si="345"/>
        <v>0</v>
      </c>
      <c r="BG124" s="2534"/>
      <c r="BH124" s="2534"/>
      <c r="BI124" s="2534"/>
      <c r="BJ124" s="3763"/>
      <c r="BK124" s="3763"/>
      <c r="BL124" s="2534"/>
      <c r="BM124" s="3763"/>
      <c r="BN124" s="3763"/>
    </row>
    <row r="125" spans="2:66" ht="15" x14ac:dyDescent="0.25">
      <c r="B125" s="1757" t="s">
        <v>1146</v>
      </c>
      <c r="C125" s="2942" t="s">
        <v>50</v>
      </c>
      <c r="D125" s="1126"/>
      <c r="E125" s="2732"/>
      <c r="F125" s="2933">
        <v>551.15300000000002</v>
      </c>
      <c r="G125" s="2732"/>
      <c r="H125" s="2933">
        <v>696.69899999999996</v>
      </c>
      <c r="I125" s="3202"/>
      <c r="J125" s="107">
        <f t="shared" si="338"/>
        <v>1247.8519999999999</v>
      </c>
      <c r="K125" s="2732"/>
      <c r="L125" s="2933">
        <v>418.88499999999999</v>
      </c>
      <c r="M125" s="3481"/>
      <c r="N125" s="2649">
        <f t="shared" si="331"/>
        <v>1666.7369999999999</v>
      </c>
      <c r="O125" s="2732"/>
      <c r="P125" s="2933">
        <v>401.20400000000001</v>
      </c>
      <c r="Q125" s="3215"/>
      <c r="R125" s="3202">
        <f t="shared" si="339"/>
        <v>2067.9409999999998</v>
      </c>
      <c r="S125" s="2732"/>
      <c r="T125" s="2933">
        <v>386.86900000000003</v>
      </c>
      <c r="U125" s="3215"/>
      <c r="V125" s="3202">
        <f t="shared" si="340"/>
        <v>2454.81</v>
      </c>
      <c r="W125" s="2732"/>
      <c r="X125" s="2933">
        <v>386.40699999999998</v>
      </c>
      <c r="Y125" s="3481"/>
      <c r="Z125" s="2649">
        <f t="shared" si="332"/>
        <v>1174.48</v>
      </c>
      <c r="AA125" s="3482"/>
      <c r="AB125" s="2693">
        <f t="shared" si="333"/>
        <v>2841.2169999999996</v>
      </c>
      <c r="AC125" s="2936"/>
      <c r="AD125" s="2943">
        <v>425.65899999999999</v>
      </c>
      <c r="AE125" s="3215"/>
      <c r="AF125" s="3202">
        <f t="shared" si="341"/>
        <v>3266.8759999999997</v>
      </c>
      <c r="AG125" s="2936"/>
      <c r="AH125" s="2943">
        <v>13</v>
      </c>
      <c r="AI125" s="3215"/>
      <c r="AJ125" s="3202">
        <f t="shared" si="342"/>
        <v>3279.8759999999997</v>
      </c>
      <c r="AK125" s="2936"/>
      <c r="AL125" s="2943">
        <v>385.65600000000001</v>
      </c>
      <c r="AM125" s="3481"/>
      <c r="AN125" s="2649">
        <f t="shared" si="334"/>
        <v>824.31500000000005</v>
      </c>
      <c r="AO125" s="3215"/>
      <c r="AP125" s="2648">
        <f t="shared" si="335"/>
        <v>3665.5319999999997</v>
      </c>
      <c r="AQ125" s="2936"/>
      <c r="AR125" s="2647">
        <v>599.77300000000002</v>
      </c>
      <c r="AS125" s="3215"/>
      <c r="AT125" s="2648">
        <f t="shared" si="343"/>
        <v>4265.3049999999994</v>
      </c>
      <c r="AU125" s="2936"/>
      <c r="AV125" s="2647">
        <v>482.75900000000001</v>
      </c>
      <c r="AW125" s="3215"/>
      <c r="AX125" s="2648">
        <f t="shared" si="344"/>
        <v>4748.0639999999994</v>
      </c>
      <c r="AY125" s="2936"/>
      <c r="AZ125" s="2647">
        <v>388.55799999999999</v>
      </c>
      <c r="BA125" s="3481"/>
      <c r="BB125" s="2649">
        <f t="shared" si="336"/>
        <v>1471.0900000000001</v>
      </c>
      <c r="BC125" s="3482"/>
      <c r="BD125" s="2693">
        <f t="shared" si="337"/>
        <v>2295.4050000000002</v>
      </c>
      <c r="BE125" s="3215"/>
      <c r="BF125" s="39">
        <f t="shared" si="345"/>
        <v>5136.6219999999994</v>
      </c>
      <c r="BG125" s="2534"/>
      <c r="BH125" s="2534"/>
      <c r="BI125" s="2534"/>
      <c r="BJ125" s="3763"/>
      <c r="BK125" s="3763"/>
      <c r="BL125" s="2534"/>
      <c r="BM125" s="3763"/>
      <c r="BN125" s="3763"/>
    </row>
    <row r="126" spans="2:66" ht="15" x14ac:dyDescent="0.25">
      <c r="B126" s="1757" t="s">
        <v>1</v>
      </c>
      <c r="C126" s="2942" t="s">
        <v>50</v>
      </c>
      <c r="D126" s="1126"/>
      <c r="E126" s="2732"/>
      <c r="F126" s="2933">
        <v>85</v>
      </c>
      <c r="G126" s="2732"/>
      <c r="H126" s="2933">
        <v>50</v>
      </c>
      <c r="I126" s="3202"/>
      <c r="J126" s="107">
        <f t="shared" si="338"/>
        <v>135</v>
      </c>
      <c r="K126" s="2732"/>
      <c r="L126" s="2933">
        <v>106</v>
      </c>
      <c r="M126" s="3481"/>
      <c r="N126" s="2649">
        <f t="shared" si="331"/>
        <v>241</v>
      </c>
      <c r="O126" s="2732"/>
      <c r="P126" s="2933">
        <v>109</v>
      </c>
      <c r="Q126" s="3215"/>
      <c r="R126" s="3202">
        <f t="shared" si="339"/>
        <v>350</v>
      </c>
      <c r="S126" s="2732"/>
      <c r="T126" s="2933">
        <v>114.65</v>
      </c>
      <c r="U126" s="3215"/>
      <c r="V126" s="3202">
        <f t="shared" si="340"/>
        <v>464.65</v>
      </c>
      <c r="W126" s="2732"/>
      <c r="X126" s="2933">
        <v>95</v>
      </c>
      <c r="Y126" s="3481"/>
      <c r="Z126" s="2649">
        <f t="shared" si="332"/>
        <v>318.64999999999998</v>
      </c>
      <c r="AA126" s="3482"/>
      <c r="AB126" s="2693">
        <f t="shared" si="333"/>
        <v>559.65</v>
      </c>
      <c r="AC126" s="2936"/>
      <c r="AD126" s="2943">
        <v>40</v>
      </c>
      <c r="AE126" s="3215"/>
      <c r="AF126" s="3202">
        <f t="shared" si="341"/>
        <v>599.65</v>
      </c>
      <c r="AG126" s="2936"/>
      <c r="AH126" s="2943"/>
      <c r="AI126" s="3215"/>
      <c r="AJ126" s="3202">
        <f t="shared" si="342"/>
        <v>599.65</v>
      </c>
      <c r="AK126" s="2936"/>
      <c r="AL126" s="2943">
        <v>105</v>
      </c>
      <c r="AM126" s="3481"/>
      <c r="AN126" s="2649">
        <f t="shared" si="334"/>
        <v>145</v>
      </c>
      <c r="AO126" s="3215"/>
      <c r="AP126" s="2648">
        <f t="shared" si="335"/>
        <v>704.65</v>
      </c>
      <c r="AQ126" s="2936"/>
      <c r="AR126" s="2647">
        <v>201</v>
      </c>
      <c r="AS126" s="3215"/>
      <c r="AT126" s="2648">
        <f t="shared" si="343"/>
        <v>905.65</v>
      </c>
      <c r="AU126" s="2936"/>
      <c r="AV126" s="2647">
        <v>130</v>
      </c>
      <c r="AW126" s="3215"/>
      <c r="AX126" s="2648">
        <f t="shared" si="344"/>
        <v>1035.6500000000001</v>
      </c>
      <c r="AY126" s="2936"/>
      <c r="AZ126" s="2647">
        <v>115</v>
      </c>
      <c r="BA126" s="3481"/>
      <c r="BB126" s="2649">
        <f t="shared" si="336"/>
        <v>446</v>
      </c>
      <c r="BC126" s="3482"/>
      <c r="BD126" s="2693">
        <f t="shared" si="337"/>
        <v>591</v>
      </c>
      <c r="BE126" s="3215"/>
      <c r="BF126" s="39">
        <f t="shared" si="345"/>
        <v>1150.6500000000001</v>
      </c>
      <c r="BG126" s="2534"/>
      <c r="BH126" s="2534"/>
      <c r="BI126" s="2534"/>
      <c r="BJ126" s="3763"/>
      <c r="BK126" s="3763"/>
      <c r="BL126" s="2534"/>
      <c r="BM126" s="3763"/>
      <c r="BN126" s="3763"/>
    </row>
    <row r="127" spans="2:66" ht="15" x14ac:dyDescent="0.25">
      <c r="B127" s="1757" t="s">
        <v>1872</v>
      </c>
      <c r="C127" s="2942" t="s">
        <v>50</v>
      </c>
      <c r="D127" s="1126"/>
      <c r="E127" s="2732"/>
      <c r="F127" s="2933">
        <v>686</v>
      </c>
      <c r="G127" s="2732"/>
      <c r="H127" s="2933">
        <v>759</v>
      </c>
      <c r="I127" s="3202"/>
      <c r="J127" s="107">
        <f t="shared" si="338"/>
        <v>1445</v>
      </c>
      <c r="K127" s="2732"/>
      <c r="L127" s="2933">
        <v>777</v>
      </c>
      <c r="M127" s="3481"/>
      <c r="N127" s="2649">
        <f t="shared" si="331"/>
        <v>2222</v>
      </c>
      <c r="O127" s="2732"/>
      <c r="P127" s="2933">
        <v>707</v>
      </c>
      <c r="Q127" s="3215"/>
      <c r="R127" s="3202">
        <f t="shared" si="339"/>
        <v>2929</v>
      </c>
      <c r="S127" s="2732"/>
      <c r="T127" s="2933">
        <v>710.5</v>
      </c>
      <c r="U127" s="3215"/>
      <c r="V127" s="3202">
        <f t="shared" si="340"/>
        <v>3639.5</v>
      </c>
      <c r="W127" s="2732"/>
      <c r="X127" s="2933">
        <v>717.5</v>
      </c>
      <c r="Y127" s="3481"/>
      <c r="Z127" s="2649">
        <f t="shared" si="332"/>
        <v>2135</v>
      </c>
      <c r="AA127" s="3482"/>
      <c r="AB127" s="2693">
        <f t="shared" si="333"/>
        <v>4357</v>
      </c>
      <c r="AC127" s="2936"/>
      <c r="AD127" s="2943">
        <v>735</v>
      </c>
      <c r="AE127" s="3215"/>
      <c r="AF127" s="3202">
        <f t="shared" si="341"/>
        <v>5092</v>
      </c>
      <c r="AG127" s="2936"/>
      <c r="AH127" s="2943">
        <v>24.5</v>
      </c>
      <c r="AI127" s="3215"/>
      <c r="AJ127" s="3202">
        <f t="shared" si="342"/>
        <v>5116.5</v>
      </c>
      <c r="AK127" s="2936"/>
      <c r="AL127" s="2943">
        <v>794.5</v>
      </c>
      <c r="AM127" s="3481"/>
      <c r="AN127" s="2649">
        <f t="shared" si="334"/>
        <v>1554</v>
      </c>
      <c r="AO127" s="3215"/>
      <c r="AP127" s="2648">
        <f t="shared" si="335"/>
        <v>5911</v>
      </c>
      <c r="AQ127" s="2936"/>
      <c r="AR127" s="2647">
        <v>861</v>
      </c>
      <c r="AS127" s="3215"/>
      <c r="AT127" s="2648">
        <f t="shared" si="343"/>
        <v>6772</v>
      </c>
      <c r="AU127" s="2936"/>
      <c r="AV127" s="2647">
        <v>728</v>
      </c>
      <c r="AW127" s="3215"/>
      <c r="AX127" s="2648">
        <f t="shared" si="344"/>
        <v>7500</v>
      </c>
      <c r="AY127" s="2936"/>
      <c r="AZ127" s="2647">
        <v>801.5</v>
      </c>
      <c r="BA127" s="3481"/>
      <c r="BB127" s="2649">
        <f t="shared" si="336"/>
        <v>2390.5</v>
      </c>
      <c r="BC127" s="3482"/>
      <c r="BD127" s="2693">
        <f t="shared" si="337"/>
        <v>3944.5</v>
      </c>
      <c r="BE127" s="3215"/>
      <c r="BF127" s="39">
        <f t="shared" si="345"/>
        <v>8301.5</v>
      </c>
      <c r="BG127" s="2534"/>
      <c r="BH127" s="2534"/>
      <c r="BI127" s="2534"/>
      <c r="BJ127" s="3763"/>
      <c r="BK127" s="3763"/>
      <c r="BL127" s="2534"/>
      <c r="BM127" s="3763"/>
      <c r="BN127" s="3763"/>
    </row>
    <row r="128" spans="2:66" ht="15" x14ac:dyDescent="0.25">
      <c r="B128" s="1757" t="s">
        <v>706</v>
      </c>
      <c r="C128" s="2942" t="s">
        <v>50</v>
      </c>
      <c r="D128" s="1126"/>
      <c r="E128" s="2732"/>
      <c r="F128" s="2933"/>
      <c r="G128" s="2732"/>
      <c r="H128" s="2933"/>
      <c r="I128" s="3202"/>
      <c r="J128" s="107">
        <f t="shared" si="338"/>
        <v>0</v>
      </c>
      <c r="K128" s="2732"/>
      <c r="L128" s="2933"/>
      <c r="M128" s="3481"/>
      <c r="N128" s="2649">
        <f t="shared" si="331"/>
        <v>0</v>
      </c>
      <c r="O128" s="2732"/>
      <c r="P128" s="2933"/>
      <c r="Q128" s="3215"/>
      <c r="R128" s="3202">
        <f t="shared" si="339"/>
        <v>0</v>
      </c>
      <c r="S128" s="2732"/>
      <c r="T128" s="2933"/>
      <c r="U128" s="3215"/>
      <c r="V128" s="3202">
        <f t="shared" si="340"/>
        <v>0</v>
      </c>
      <c r="W128" s="2732"/>
      <c r="X128" s="2933"/>
      <c r="Y128" s="3481"/>
      <c r="Z128" s="2649">
        <f t="shared" si="332"/>
        <v>0</v>
      </c>
      <c r="AA128" s="3482"/>
      <c r="AB128" s="2693">
        <f t="shared" si="333"/>
        <v>0</v>
      </c>
      <c r="AC128" s="2936"/>
      <c r="AD128" s="2943"/>
      <c r="AE128" s="3215"/>
      <c r="AF128" s="3202">
        <f t="shared" si="341"/>
        <v>0</v>
      </c>
      <c r="AG128" s="2936"/>
      <c r="AH128" s="2943"/>
      <c r="AI128" s="3215"/>
      <c r="AJ128" s="3202">
        <f t="shared" si="342"/>
        <v>0</v>
      </c>
      <c r="AK128" s="2936"/>
      <c r="AL128" s="2943"/>
      <c r="AM128" s="3481"/>
      <c r="AN128" s="2649">
        <f t="shared" si="334"/>
        <v>0</v>
      </c>
      <c r="AO128" s="3215"/>
      <c r="AP128" s="2648">
        <f t="shared" si="335"/>
        <v>0</v>
      </c>
      <c r="AQ128" s="2936"/>
      <c r="AR128" s="2647"/>
      <c r="AS128" s="3215"/>
      <c r="AT128" s="2648">
        <f t="shared" si="343"/>
        <v>0</v>
      </c>
      <c r="AU128" s="2936"/>
      <c r="AV128" s="2647"/>
      <c r="AW128" s="3215"/>
      <c r="AX128" s="2648">
        <f t="shared" si="344"/>
        <v>0</v>
      </c>
      <c r="AY128" s="2936"/>
      <c r="AZ128" s="2647"/>
      <c r="BA128" s="3481"/>
      <c r="BB128" s="2649">
        <f t="shared" si="336"/>
        <v>0</v>
      </c>
      <c r="BC128" s="3482"/>
      <c r="BD128" s="2693">
        <f t="shared" si="337"/>
        <v>0</v>
      </c>
      <c r="BE128" s="3215"/>
      <c r="BF128" s="39">
        <f t="shared" si="345"/>
        <v>0</v>
      </c>
      <c r="BG128" s="2534"/>
      <c r="BH128" s="2534"/>
      <c r="BI128" s="2534"/>
      <c r="BJ128" s="3763"/>
      <c r="BK128" s="3763"/>
      <c r="BL128" s="2534"/>
      <c r="BM128" s="3763"/>
      <c r="BN128" s="3763"/>
    </row>
    <row r="129" spans="2:66" ht="15" x14ac:dyDescent="0.25">
      <c r="B129" s="1757" t="s">
        <v>617</v>
      </c>
      <c r="C129" s="2942" t="s">
        <v>50</v>
      </c>
      <c r="D129" s="1126"/>
      <c r="E129" s="2732"/>
      <c r="F129" s="2933">
        <v>0.51</v>
      </c>
      <c r="G129" s="2732"/>
      <c r="H129" s="2933">
        <v>0.433</v>
      </c>
      <c r="I129" s="3202"/>
      <c r="J129" s="107">
        <f t="shared" si="338"/>
        <v>0.94300000000000006</v>
      </c>
      <c r="K129" s="2732"/>
      <c r="L129" s="2933"/>
      <c r="M129" s="3481"/>
      <c r="N129" s="2649">
        <f t="shared" si="331"/>
        <v>0.94300000000000006</v>
      </c>
      <c r="O129" s="2732"/>
      <c r="P129" s="2933"/>
      <c r="Q129" s="3215"/>
      <c r="R129" s="3202">
        <f t="shared" si="339"/>
        <v>0.94300000000000006</v>
      </c>
      <c r="S129" s="2732"/>
      <c r="T129" s="2933"/>
      <c r="U129" s="3215"/>
      <c r="V129" s="3202">
        <f t="shared" si="340"/>
        <v>0.94300000000000006</v>
      </c>
      <c r="W129" s="2732"/>
      <c r="X129" s="2933"/>
      <c r="Y129" s="3481"/>
      <c r="Z129" s="2649">
        <f t="shared" si="332"/>
        <v>0</v>
      </c>
      <c r="AA129" s="3482"/>
      <c r="AB129" s="2693">
        <f t="shared" si="333"/>
        <v>0.94300000000000006</v>
      </c>
      <c r="AC129" s="2936"/>
      <c r="AD129" s="2943">
        <v>0.61199999999999999</v>
      </c>
      <c r="AE129" s="3215"/>
      <c r="AF129" s="3202">
        <f t="shared" si="341"/>
        <v>1.5550000000000002</v>
      </c>
      <c r="AG129" s="2936"/>
      <c r="AH129" s="2943"/>
      <c r="AI129" s="3215"/>
      <c r="AJ129" s="3202">
        <f t="shared" si="342"/>
        <v>1.5550000000000002</v>
      </c>
      <c r="AK129" s="2936"/>
      <c r="AL129" s="2943">
        <v>1.355</v>
      </c>
      <c r="AM129" s="3481"/>
      <c r="AN129" s="2649">
        <f t="shared" si="334"/>
        <v>1.9670000000000001</v>
      </c>
      <c r="AO129" s="3215"/>
      <c r="AP129" s="2648">
        <f t="shared" si="335"/>
        <v>2.91</v>
      </c>
      <c r="AQ129" s="2936"/>
      <c r="AR129" s="2647">
        <v>1.81</v>
      </c>
      <c r="AS129" s="3215"/>
      <c r="AT129" s="2648">
        <f t="shared" si="343"/>
        <v>4.7200000000000006</v>
      </c>
      <c r="AU129" s="2936"/>
      <c r="AV129" s="2647"/>
      <c r="AW129" s="3215"/>
      <c r="AX129" s="2648">
        <f t="shared" si="344"/>
        <v>4.7200000000000006</v>
      </c>
      <c r="AY129" s="2936"/>
      <c r="AZ129" s="2647"/>
      <c r="BA129" s="3481"/>
      <c r="BB129" s="2649">
        <f t="shared" si="336"/>
        <v>1.81</v>
      </c>
      <c r="BC129" s="3482"/>
      <c r="BD129" s="2693">
        <f t="shared" si="337"/>
        <v>3.7770000000000001</v>
      </c>
      <c r="BE129" s="3215"/>
      <c r="BF129" s="39">
        <f t="shared" si="345"/>
        <v>4.7200000000000006</v>
      </c>
      <c r="BG129" s="2534"/>
      <c r="BH129" s="2534"/>
      <c r="BI129" s="2534"/>
      <c r="BJ129" s="3763"/>
      <c r="BK129" s="3763"/>
      <c r="BL129" s="2534"/>
      <c r="BM129" s="3763"/>
      <c r="BN129" s="3763"/>
    </row>
    <row r="130" spans="2:66" ht="15" x14ac:dyDescent="0.25">
      <c r="B130" s="1757" t="s">
        <v>1355</v>
      </c>
      <c r="C130" s="2942" t="s">
        <v>50</v>
      </c>
      <c r="D130" s="1126"/>
      <c r="E130" s="2732"/>
      <c r="F130" s="2933"/>
      <c r="G130" s="2732"/>
      <c r="H130" s="2933"/>
      <c r="I130" s="3202"/>
      <c r="J130" s="107">
        <f t="shared" si="338"/>
        <v>0</v>
      </c>
      <c r="K130" s="2732"/>
      <c r="L130" s="2933"/>
      <c r="M130" s="3481"/>
      <c r="N130" s="2649">
        <f t="shared" si="331"/>
        <v>0</v>
      </c>
      <c r="O130" s="2732"/>
      <c r="P130" s="2933"/>
      <c r="Q130" s="3215"/>
      <c r="R130" s="3202">
        <f t="shared" si="339"/>
        <v>0</v>
      </c>
      <c r="S130" s="2732"/>
      <c r="T130" s="2933"/>
      <c r="U130" s="3215"/>
      <c r="V130" s="3202">
        <f t="shared" si="340"/>
        <v>0</v>
      </c>
      <c r="W130" s="2732"/>
      <c r="X130" s="2933"/>
      <c r="Y130" s="3481"/>
      <c r="Z130" s="2649">
        <f t="shared" si="332"/>
        <v>0</v>
      </c>
      <c r="AA130" s="3482"/>
      <c r="AB130" s="2693">
        <f t="shared" si="333"/>
        <v>0</v>
      </c>
      <c r="AC130" s="2936"/>
      <c r="AD130" s="2943"/>
      <c r="AE130" s="3215"/>
      <c r="AF130" s="3202">
        <f t="shared" si="341"/>
        <v>0</v>
      </c>
      <c r="AG130" s="2936"/>
      <c r="AH130" s="2943"/>
      <c r="AI130" s="3215"/>
      <c r="AJ130" s="3202">
        <f t="shared" si="342"/>
        <v>0</v>
      </c>
      <c r="AK130" s="2936"/>
      <c r="AL130" s="2943"/>
      <c r="AM130" s="3481"/>
      <c r="AN130" s="2649">
        <f t="shared" si="334"/>
        <v>0</v>
      </c>
      <c r="AO130" s="3215"/>
      <c r="AP130" s="2648">
        <f t="shared" si="335"/>
        <v>0</v>
      </c>
      <c r="AQ130" s="2936"/>
      <c r="AR130" s="2647"/>
      <c r="AS130" s="3215"/>
      <c r="AT130" s="2648">
        <f t="shared" si="343"/>
        <v>0</v>
      </c>
      <c r="AU130" s="2936"/>
      <c r="AV130" s="2647"/>
      <c r="AW130" s="3215"/>
      <c r="AX130" s="2648">
        <f t="shared" si="344"/>
        <v>0</v>
      </c>
      <c r="AY130" s="2936"/>
      <c r="AZ130" s="2647"/>
      <c r="BA130" s="3481"/>
      <c r="BB130" s="2649">
        <f t="shared" si="336"/>
        <v>0</v>
      </c>
      <c r="BC130" s="3482"/>
      <c r="BD130" s="2693">
        <f t="shared" si="337"/>
        <v>0</v>
      </c>
      <c r="BE130" s="3215"/>
      <c r="BF130" s="39">
        <f t="shared" si="345"/>
        <v>0</v>
      </c>
      <c r="BG130" s="2534"/>
      <c r="BH130" s="2534"/>
      <c r="BI130" s="2534"/>
      <c r="BJ130" s="3763"/>
      <c r="BK130" s="3763"/>
      <c r="BL130" s="2534"/>
      <c r="BM130" s="3763"/>
      <c r="BN130" s="3763"/>
    </row>
    <row r="131" spans="2:66" ht="15" x14ac:dyDescent="0.25">
      <c r="B131" s="1757" t="s">
        <v>707</v>
      </c>
      <c r="C131" s="2942" t="s">
        <v>50</v>
      </c>
      <c r="D131" s="2023"/>
      <c r="E131" s="2732"/>
      <c r="F131" s="2933">
        <v>50.2</v>
      </c>
      <c r="G131" s="2732"/>
      <c r="H131" s="2933">
        <v>58.09</v>
      </c>
      <c r="I131" s="3202"/>
      <c r="J131" s="107">
        <f t="shared" si="338"/>
        <v>108.29</v>
      </c>
      <c r="K131" s="2732"/>
      <c r="L131" s="2933">
        <v>64.3</v>
      </c>
      <c r="M131" s="3481"/>
      <c r="N131" s="2649">
        <f t="shared" si="331"/>
        <v>172.59</v>
      </c>
      <c r="O131" s="2732"/>
      <c r="P131" s="2933">
        <v>60.26</v>
      </c>
      <c r="Q131" s="3215"/>
      <c r="R131" s="3202">
        <f t="shared" si="339"/>
        <v>232.85</v>
      </c>
      <c r="S131" s="2732"/>
      <c r="T131" s="2933">
        <v>64.337000000000003</v>
      </c>
      <c r="U131" s="3215"/>
      <c r="V131" s="3202">
        <f t="shared" si="340"/>
        <v>297.18700000000001</v>
      </c>
      <c r="W131" s="2732"/>
      <c r="X131" s="2933">
        <v>58.1</v>
      </c>
      <c r="Y131" s="3481"/>
      <c r="Z131" s="2649">
        <f t="shared" si="332"/>
        <v>182.697</v>
      </c>
      <c r="AA131" s="3482"/>
      <c r="AB131" s="2693">
        <f t="shared" si="333"/>
        <v>355.28700000000003</v>
      </c>
      <c r="AC131" s="2936"/>
      <c r="AD131" s="2943">
        <v>54.21</v>
      </c>
      <c r="AE131" s="3215"/>
      <c r="AF131" s="3202">
        <f t="shared" si="341"/>
        <v>409.49700000000001</v>
      </c>
      <c r="AG131" s="2936"/>
      <c r="AH131" s="2943">
        <v>2.1219999999999999</v>
      </c>
      <c r="AI131" s="3215"/>
      <c r="AJ131" s="3202">
        <f t="shared" si="342"/>
        <v>411.61900000000003</v>
      </c>
      <c r="AK131" s="2936"/>
      <c r="AL131" s="2943">
        <v>58.908000000000001</v>
      </c>
      <c r="AM131" s="3481"/>
      <c r="AN131" s="2649">
        <f t="shared" si="334"/>
        <v>115.24000000000001</v>
      </c>
      <c r="AO131" s="3215"/>
      <c r="AP131" s="2648">
        <f t="shared" si="335"/>
        <v>470.52700000000004</v>
      </c>
      <c r="AQ131" s="2936"/>
      <c r="AR131" s="2647">
        <v>64.778000000000006</v>
      </c>
      <c r="AS131" s="3215"/>
      <c r="AT131" s="2648">
        <f t="shared" si="343"/>
        <v>535.30500000000006</v>
      </c>
      <c r="AU131" s="2936"/>
      <c r="AV131" s="2647">
        <v>57.396000000000001</v>
      </c>
      <c r="AW131" s="3215"/>
      <c r="AX131" s="2648">
        <f t="shared" si="344"/>
        <v>592.70100000000002</v>
      </c>
      <c r="AY131" s="2936"/>
      <c r="AZ131" s="2647">
        <v>63.6</v>
      </c>
      <c r="BA131" s="3481"/>
      <c r="BB131" s="2649">
        <f t="shared" si="336"/>
        <v>185.774</v>
      </c>
      <c r="BC131" s="3482"/>
      <c r="BD131" s="2693">
        <f t="shared" si="337"/>
        <v>301.01400000000001</v>
      </c>
      <c r="BE131" s="3215"/>
      <c r="BF131" s="39">
        <f t="shared" si="345"/>
        <v>656.30100000000004</v>
      </c>
      <c r="BG131" s="2534"/>
      <c r="BH131" s="2534"/>
      <c r="BI131" s="2534"/>
      <c r="BJ131" s="3763"/>
      <c r="BK131" s="3763"/>
      <c r="BL131" s="2534"/>
      <c r="BM131" s="3763"/>
      <c r="BN131" s="3763"/>
    </row>
    <row r="132" spans="2:66" ht="15.75" thickBot="1" x14ac:dyDescent="0.3">
      <c r="B132" s="1751" t="s">
        <v>1374</v>
      </c>
      <c r="C132" s="749" t="s">
        <v>50</v>
      </c>
      <c r="D132" s="3419"/>
      <c r="E132" s="892"/>
      <c r="F132" s="1451"/>
      <c r="G132" s="892"/>
      <c r="H132" s="1451"/>
      <c r="I132" s="3493"/>
      <c r="J132" s="131">
        <f t="shared" ref="J132" si="346">+F132+H132</f>
        <v>0</v>
      </c>
      <c r="K132" s="892"/>
      <c r="L132" s="1451"/>
      <c r="M132" s="3494"/>
      <c r="N132" s="2649">
        <f t="shared" si="331"/>
        <v>0</v>
      </c>
      <c r="O132" s="892"/>
      <c r="P132" s="1451"/>
      <c r="Q132" s="3495"/>
      <c r="R132" s="3202">
        <f t="shared" si="339"/>
        <v>0</v>
      </c>
      <c r="S132" s="892"/>
      <c r="T132" s="1451"/>
      <c r="U132" s="3495"/>
      <c r="V132" s="3202">
        <f t="shared" si="340"/>
        <v>0</v>
      </c>
      <c r="W132" s="892"/>
      <c r="X132" s="1451"/>
      <c r="Y132" s="3494"/>
      <c r="Z132" s="2649">
        <f t="shared" si="332"/>
        <v>0</v>
      </c>
      <c r="AA132" s="3496"/>
      <c r="AB132" s="2693">
        <f t="shared" si="333"/>
        <v>0</v>
      </c>
      <c r="AC132" s="892"/>
      <c r="AD132" s="4091"/>
      <c r="AE132" s="3495"/>
      <c r="AF132" s="3202">
        <f t="shared" si="341"/>
        <v>0</v>
      </c>
      <c r="AG132" s="892"/>
      <c r="AH132" s="4091"/>
      <c r="AI132" s="3495"/>
      <c r="AJ132" s="3202">
        <f t="shared" si="342"/>
        <v>0</v>
      </c>
      <c r="AK132" s="892"/>
      <c r="AL132" s="4091"/>
      <c r="AM132" s="3494"/>
      <c r="AN132" s="2649">
        <f t="shared" si="334"/>
        <v>0</v>
      </c>
      <c r="AO132" s="3495"/>
      <c r="AP132" s="2648">
        <f t="shared" si="335"/>
        <v>0</v>
      </c>
      <c r="AQ132" s="892"/>
      <c r="AR132" s="4091"/>
      <c r="AS132" s="3495"/>
      <c r="AT132" s="2648">
        <f t="shared" si="343"/>
        <v>0</v>
      </c>
      <c r="AU132" s="892"/>
      <c r="AV132" s="4091"/>
      <c r="AW132" s="3495"/>
      <c r="AX132" s="2648">
        <f t="shared" si="344"/>
        <v>0</v>
      </c>
      <c r="AY132" s="892"/>
      <c r="AZ132" s="4091"/>
      <c r="BA132" s="3494"/>
      <c r="BB132" s="2649">
        <f t="shared" si="336"/>
        <v>0</v>
      </c>
      <c r="BC132" s="3496"/>
      <c r="BD132" s="2693">
        <f t="shared" si="337"/>
        <v>0</v>
      </c>
      <c r="BE132" s="3495"/>
      <c r="BF132" s="39">
        <f t="shared" si="345"/>
        <v>0</v>
      </c>
      <c r="BG132" s="2534"/>
      <c r="BH132" s="2534"/>
      <c r="BI132" s="2534"/>
      <c r="BJ132" s="3763"/>
      <c r="BK132" s="3763"/>
      <c r="BL132" s="2534"/>
      <c r="BM132" s="3763"/>
      <c r="BN132" s="3763"/>
    </row>
    <row r="133" spans="2:66" ht="15.75" thickBot="1" x14ac:dyDescent="0.3">
      <c r="B133" s="3497"/>
      <c r="C133" s="600"/>
      <c r="D133" s="3498"/>
      <c r="E133" s="3499"/>
      <c r="F133" s="3499"/>
      <c r="G133" s="3499"/>
      <c r="H133" s="3499"/>
      <c r="I133" s="3499"/>
      <c r="J133" s="3500"/>
      <c r="K133" s="3499"/>
      <c r="L133" s="3499"/>
      <c r="M133" s="3440"/>
      <c r="N133" s="3440"/>
      <c r="O133" s="3499"/>
      <c r="P133" s="3499"/>
      <c r="Q133" s="3440"/>
      <c r="R133" s="3440"/>
      <c r="S133" s="3499"/>
      <c r="T133" s="3499"/>
      <c r="U133" s="3440"/>
      <c r="V133" s="3440"/>
      <c r="W133" s="3499"/>
      <c r="X133" s="3499"/>
      <c r="Y133" s="3440"/>
      <c r="Z133" s="3440"/>
      <c r="AA133" s="3440"/>
      <c r="AB133" s="3440"/>
      <c r="AC133" s="3499"/>
      <c r="AD133" s="3499"/>
      <c r="AE133" s="3440"/>
      <c r="AF133" s="3440"/>
      <c r="AG133" s="3499"/>
      <c r="AH133" s="3499"/>
      <c r="AI133" s="3440"/>
      <c r="AJ133" s="3440"/>
      <c r="AK133" s="3499"/>
      <c r="AL133" s="3499"/>
      <c r="AM133" s="3440"/>
      <c r="AN133" s="3440"/>
      <c r="AO133" s="3440"/>
      <c r="AP133" s="3440"/>
      <c r="AQ133" s="3499"/>
      <c r="AR133" s="3499"/>
      <c r="AS133" s="3440"/>
      <c r="AT133" s="3440"/>
      <c r="AU133" s="3499"/>
      <c r="AV133" s="3499"/>
      <c r="AW133" s="3440"/>
      <c r="AX133" s="3440"/>
      <c r="AY133" s="3499"/>
      <c r="AZ133" s="3499"/>
      <c r="BA133" s="3440"/>
      <c r="BB133" s="3440"/>
      <c r="BC133" s="3440"/>
      <c r="BD133" s="3440"/>
      <c r="BE133" s="3440"/>
      <c r="BF133" s="3501"/>
      <c r="BH133" s="3763"/>
      <c r="BI133" s="2534"/>
      <c r="BJ133" s="2534"/>
      <c r="BK133" s="2534"/>
      <c r="BL133" s="2534"/>
      <c r="BM133" s="3763"/>
      <c r="BN133" s="3763"/>
    </row>
    <row r="134" spans="2:66" ht="15" x14ac:dyDescent="0.25">
      <c r="B134" s="3502" t="s">
        <v>566</v>
      </c>
      <c r="C134" s="2110" t="s">
        <v>49</v>
      </c>
      <c r="D134" s="1310"/>
      <c r="E134" s="6094"/>
      <c r="F134" s="3503">
        <v>83.1</v>
      </c>
      <c r="G134" s="6094"/>
      <c r="H134" s="3503">
        <v>91.36</v>
      </c>
      <c r="I134" s="6095"/>
      <c r="J134" s="3471">
        <f>+((F134*F7)+(H134*H7))/J7</f>
        <v>87.346338028169015</v>
      </c>
      <c r="K134" s="6094"/>
      <c r="L134" s="3503">
        <v>95.59</v>
      </c>
      <c r="M134" s="6102"/>
      <c r="N134" s="3484">
        <f>+((F134*F7)+(H134*H7)+(L134*L7))/N7</f>
        <v>89.689054820415876</v>
      </c>
      <c r="O134" s="6094"/>
      <c r="P134" s="3503">
        <v>96.82</v>
      </c>
      <c r="Q134" s="6095"/>
      <c r="R134" s="3470">
        <f>+((N134*N7)+(P134*P7))/R7</f>
        <v>91.471791115311902</v>
      </c>
      <c r="S134" s="6094"/>
      <c r="T134" s="3503">
        <v>92.98</v>
      </c>
      <c r="U134" s="6095"/>
      <c r="V134" s="3470">
        <f>+((R134*R7)+(T134*T7))/V7</f>
        <v>91.75349346656418</v>
      </c>
      <c r="W134" s="6094"/>
      <c r="X134" s="3503">
        <v>95.77</v>
      </c>
      <c r="Y134" s="6102"/>
      <c r="Z134" s="3484">
        <f>+((P134*P7)+(T134*T7)+(X134*X7))/Z7</f>
        <v>95.234913101604278</v>
      </c>
      <c r="AA134" s="6075"/>
      <c r="AB134" s="3504">
        <f>+((Z134*Z7)+(N134*N7))/AB7</f>
        <v>92.380136230943876</v>
      </c>
      <c r="AC134" s="6094"/>
      <c r="AD134" s="3503">
        <v>93.38</v>
      </c>
      <c r="AE134" s="6095"/>
      <c r="AF134" s="3470">
        <f>+((AB134*AB7)+(AD134*AD7))/AF7</f>
        <v>92.52420322043308</v>
      </c>
      <c r="AG134" s="6094"/>
      <c r="AH134" s="3503">
        <v>100</v>
      </c>
      <c r="AI134" s="6095"/>
      <c r="AJ134" s="3470">
        <f>+((AF134*AF7)+(AH134*AH7))/AJ7</f>
        <v>92.563429991714983</v>
      </c>
      <c r="AK134" s="6094"/>
      <c r="AL134" s="3503">
        <v>98.297872340425513</v>
      </c>
      <c r="AM134" s="6102"/>
      <c r="AN134" s="3484">
        <f>+((AD134*AD7)+(AH134*AH7)+(AL134*AL7))/AN7</f>
        <v>95.933861722086931</v>
      </c>
      <c r="AO134" s="6095"/>
      <c r="AP134" s="3470">
        <f>+((AL134*AL7)+(AJ134*AJ7))/AP7</f>
        <v>93.293192720111975</v>
      </c>
      <c r="AQ134" s="6094"/>
      <c r="AR134" s="3503">
        <v>94.42</v>
      </c>
      <c r="AS134" s="6095"/>
      <c r="AT134" s="3470">
        <f>+((AP134*AP7)+(AR134*AR7))/AT7</f>
        <v>93.422746714109337</v>
      </c>
      <c r="AU134" s="6094"/>
      <c r="AV134" s="3503">
        <v>94.01</v>
      </c>
      <c r="AW134" s="6095"/>
      <c r="AX134" s="3470">
        <f>+((AT134*AT7)+(AV134*AV7))/AX7</f>
        <v>93.481280314143376</v>
      </c>
      <c r="AY134" s="6094"/>
      <c r="AZ134" s="3503">
        <v>96.09</v>
      </c>
      <c r="BA134" s="6102"/>
      <c r="BB134" s="3484">
        <f>+((AR134*AR7)+(AV134*AV7)+(AZ134*AZ7))/BB7</f>
        <v>94.969020385050968</v>
      </c>
      <c r="BC134" s="6075"/>
      <c r="BD134" s="3504">
        <f>+((BB134*BB7)+(AN134*AN7))/BD7</f>
        <v>95.332198656689499</v>
      </c>
      <c r="BE134" s="6095"/>
      <c r="BF134" s="3471">
        <f>+((AX134*AX7)+(AZ134*AZ7))/BF7</f>
        <v>93.793532814157984</v>
      </c>
      <c r="BH134" s="3763"/>
      <c r="BI134" s="2534"/>
      <c r="BJ134" s="2534"/>
      <c r="BK134" s="2534"/>
      <c r="BL134" s="2534"/>
      <c r="BM134" s="3763"/>
      <c r="BN134" s="3763"/>
    </row>
    <row r="135" spans="2:66" ht="15" x14ac:dyDescent="0.25">
      <c r="B135" s="3505" t="s">
        <v>565</v>
      </c>
      <c r="C135" s="3466" t="s">
        <v>49</v>
      </c>
      <c r="D135" s="1310"/>
      <c r="E135" s="6094"/>
      <c r="F135" s="3503">
        <v>67.3</v>
      </c>
      <c r="G135" s="6094"/>
      <c r="H135" s="3503">
        <v>89.16</v>
      </c>
      <c r="I135" s="6095"/>
      <c r="J135" s="3471">
        <f>+((F135*F8)+(H135*H8))/J8</f>
        <v>81.861580645161297</v>
      </c>
      <c r="K135" s="6094"/>
      <c r="L135" s="3503">
        <v>95.79</v>
      </c>
      <c r="M135" s="6102"/>
      <c r="N135" s="3484">
        <f>+((F135*F8)+(H135*H8)+(L135*L8))/N8</f>
        <v>88.605623960066566</v>
      </c>
      <c r="O135" s="6094"/>
      <c r="P135" s="3503">
        <v>98.07</v>
      </c>
      <c r="Q135" s="6095"/>
      <c r="R135" s="3470">
        <f>+((N135*N8)+(P135*P8))/R8</f>
        <v>91.620918367346931</v>
      </c>
      <c r="S135" s="6094"/>
      <c r="T135" s="3503">
        <v>94.4</v>
      </c>
      <c r="U135" s="6095"/>
      <c r="V135" s="3470">
        <f>+((R135*R8)+(T135*T8))/V8</f>
        <v>92.26578145407052</v>
      </c>
      <c r="W135" s="6094"/>
      <c r="X135" s="3503">
        <v>95.79</v>
      </c>
      <c r="Y135" s="6102"/>
      <c r="Z135" s="3484">
        <f>+((P135*P8)+(T135*T8)+(X135*X8))/Z8</f>
        <v>96.125291563275439</v>
      </c>
      <c r="AA135" s="6075"/>
      <c r="AB135" s="3504">
        <f>+((Z135*Z8)+(N135*N8))/AB8</f>
        <v>92.9132658137882</v>
      </c>
      <c r="AC135" s="6094"/>
      <c r="AD135" s="3503">
        <v>91.95</v>
      </c>
      <c r="AE135" s="6095"/>
      <c r="AF135" s="3470">
        <f>+((AB135*AB8)+(AD135*AD8))/AF8</f>
        <v>92.760837571043965</v>
      </c>
      <c r="AG135" s="6094"/>
      <c r="AH135" s="3503">
        <v>100</v>
      </c>
      <c r="AI135" s="6095"/>
      <c r="AJ135" s="3470">
        <f>+((AF135*AF8)+(AH135*AH8))/AJ8</f>
        <v>92.808166419019315</v>
      </c>
      <c r="AK135" s="6094"/>
      <c r="AL135" s="3503">
        <v>98.548837209302334</v>
      </c>
      <c r="AM135" s="6102"/>
      <c r="AN135" s="3484">
        <f>+((AD135*AD8)+(AH135*AH8)+(AL135*AL8))/AN8</f>
        <v>95.29497144982389</v>
      </c>
      <c r="AO135" s="6095"/>
      <c r="AP135" s="3470">
        <f>+((AL135*AL8)+(AJ135*AJ8))/AP8</f>
        <v>93.566284408347371</v>
      </c>
      <c r="AQ135" s="6094"/>
      <c r="AR135" s="3503">
        <v>93.51</v>
      </c>
      <c r="AS135" s="6095"/>
      <c r="AT135" s="3470">
        <f>+((AP135*AP8)+(AR135*AR8))/AT8</f>
        <v>93.559560447686295</v>
      </c>
      <c r="AU135" s="6094"/>
      <c r="AV135" s="3503">
        <v>85.44</v>
      </c>
      <c r="AW135" s="6095"/>
      <c r="AX135" s="3470">
        <f>+((AT135*AT8)+(AV135*AV8))/AX8</f>
        <v>92.808183151517468</v>
      </c>
      <c r="AY135" s="6094"/>
      <c r="AZ135" s="3503">
        <v>95.22</v>
      </c>
      <c r="BA135" s="6102"/>
      <c r="BB135" s="3484">
        <f>+((AR135*AR8)+(AV135*AV8)+(AZ135*AZ8))/BB8</f>
        <v>90.587180385288974</v>
      </c>
      <c r="BC135" s="6075"/>
      <c r="BD135" s="3504">
        <f>+((BB135*BB8)+(AN135*AN8))/BD8</f>
        <v>92.856741338395835</v>
      </c>
      <c r="BE135" s="6095"/>
      <c r="BF135" s="3471">
        <f>+((AX135*AX8)+(AZ135*AZ8))/BF8</f>
        <v>92.888432885268529</v>
      </c>
      <c r="BH135" s="3763"/>
      <c r="BI135" s="2534"/>
      <c r="BJ135" s="2534"/>
      <c r="BK135" s="2534"/>
      <c r="BL135" s="2534"/>
      <c r="BM135" s="3763"/>
      <c r="BN135" s="3763"/>
    </row>
    <row r="136" spans="2:66" ht="15.75" thickBot="1" x14ac:dyDescent="0.3">
      <c r="B136" s="3506" t="s">
        <v>567</v>
      </c>
      <c r="C136" s="3451" t="s">
        <v>49</v>
      </c>
      <c r="D136" s="1310"/>
      <c r="E136" s="6094"/>
      <c r="F136" s="3503">
        <v>81.739999999999995</v>
      </c>
      <c r="G136" s="6094"/>
      <c r="H136" s="3503">
        <v>90.35</v>
      </c>
      <c r="I136" s="6095"/>
      <c r="J136" s="3471">
        <f>+((F136*F9)+(H136*H9))/J9</f>
        <v>85.828371454711785</v>
      </c>
      <c r="K136" s="6094"/>
      <c r="L136" s="3503">
        <v>96.13</v>
      </c>
      <c r="M136" s="6102"/>
      <c r="N136" s="3484">
        <f>+((F136*F9)+(H136*H9)+(L136*L9))/N9</f>
        <v>89.170988875154492</v>
      </c>
      <c r="O136" s="6094"/>
      <c r="P136" s="3503">
        <v>97.68</v>
      </c>
      <c r="Q136" s="6095"/>
      <c r="R136" s="3470">
        <f>+((N136*N9)+(P136*P9))/R9</f>
        <v>91.252558356675991</v>
      </c>
      <c r="S136" s="6094"/>
      <c r="T136" s="3503">
        <v>92.39</v>
      </c>
      <c r="U136" s="6095"/>
      <c r="V136" s="3470">
        <f>+((R136*R9)+(T136*T9))/V9</f>
        <v>91.467819833459487</v>
      </c>
      <c r="W136" s="6094"/>
      <c r="X136" s="3503">
        <v>92.04</v>
      </c>
      <c r="Y136" s="6102"/>
      <c r="Z136" s="3484">
        <f>+((P136*P9)+(T136*T9)+(X136*X9))/Z9</f>
        <v>94.155108108108109</v>
      </c>
      <c r="AA136" s="6075"/>
      <c r="AB136" s="3504">
        <f>+((Z136*Z9)+(N136*N9))/AB9</f>
        <v>91.552040025823104</v>
      </c>
      <c r="AC136" s="6094"/>
      <c r="AD136" s="3503">
        <v>89.42</v>
      </c>
      <c r="AE136" s="6095"/>
      <c r="AF136" s="3470">
        <f>+((AB136*AB9)+(AD136*AD9))/AF9</f>
        <v>91.304467902995711</v>
      </c>
      <c r="AG136" s="6094"/>
      <c r="AH136" s="3503">
        <v>100</v>
      </c>
      <c r="AI136" s="6095"/>
      <c r="AJ136" s="3470">
        <f>+((AF136*AF9)+(AH136*AH9))/AJ9</f>
        <v>91.321799544419122</v>
      </c>
      <c r="AK136" s="6094"/>
      <c r="AL136" s="3503">
        <v>97.830855018587371</v>
      </c>
      <c r="AM136" s="6102"/>
      <c r="AN136" s="3484">
        <f>+((AD136*AD9)+(AH136*AH9)+(AL136*AL9))/AN9</f>
        <v>94.093975657079511</v>
      </c>
      <c r="AO136" s="6095"/>
      <c r="AP136" s="3470">
        <f>+((AL136*AL9)+(AJ136*AJ9))/AP9</f>
        <v>92.130156059664955</v>
      </c>
      <c r="AQ136" s="6094"/>
      <c r="AR136" s="3503">
        <v>93.57</v>
      </c>
      <c r="AS136" s="6095"/>
      <c r="AT136" s="3470">
        <f>+((AP136*AP9)+(AR136*AR9))/AT9</f>
        <v>92.299363072019474</v>
      </c>
      <c r="AU136" s="6094"/>
      <c r="AV136" s="3503">
        <v>93.35</v>
      </c>
      <c r="AW136" s="6095"/>
      <c r="AX136" s="3470">
        <f>+((AT136*AT9)+(AV136*AV9))/AX9</f>
        <v>92.400309488612791</v>
      </c>
      <c r="AY136" s="6094"/>
      <c r="AZ136" s="3503">
        <v>95.48</v>
      </c>
      <c r="BA136" s="6102"/>
      <c r="BB136" s="3484">
        <f>+((AR136*AR9)+(AV136*AV9)+(AZ136*AZ9))/BB9</f>
        <v>94.286796738497372</v>
      </c>
      <c r="BC136" s="6075"/>
      <c r="BD136" s="3504">
        <f>+((BB136*BB9)+(AN136*AN9))/BD9</f>
        <v>94.219907112687906</v>
      </c>
      <c r="BE136" s="6095"/>
      <c r="BF136" s="3471">
        <f>+((AX136*AX9)+(AZ136*AZ9))/BF9</f>
        <v>92.776734031649468</v>
      </c>
      <c r="BH136" s="3763"/>
      <c r="BI136" s="2534"/>
      <c r="BJ136" s="2534"/>
      <c r="BK136" s="2534"/>
      <c r="BL136" s="2534"/>
      <c r="BM136" s="3763"/>
      <c r="BN136" s="3763"/>
    </row>
    <row r="137" spans="2:66" ht="15" x14ac:dyDescent="0.25">
      <c r="B137" s="3502" t="s">
        <v>578</v>
      </c>
      <c r="C137" s="2110" t="s">
        <v>49</v>
      </c>
      <c r="D137" s="1310"/>
      <c r="E137" s="3255"/>
      <c r="F137" s="3503">
        <v>57.67</v>
      </c>
      <c r="G137" s="3255"/>
      <c r="H137" s="3503">
        <v>75.7</v>
      </c>
      <c r="I137" s="3256"/>
      <c r="J137" s="3471">
        <f>+((F137*F22)+(H137*H22))/J22</f>
        <v>67.88375135135135</v>
      </c>
      <c r="K137" s="3255"/>
      <c r="L137" s="3503">
        <v>74.010000000000005</v>
      </c>
      <c r="M137" s="3393"/>
      <c r="N137" s="3484">
        <f>+((F137*F22)+(H137*H22)+(L137*L22))/N22</f>
        <v>70.144529331514335</v>
      </c>
      <c r="O137" s="3255"/>
      <c r="P137" s="3503">
        <v>78.78</v>
      </c>
      <c r="Q137" s="3256"/>
      <c r="R137" s="3470">
        <f>+((N137*N22)+(P137*P22))/R22</f>
        <v>72.613609352167572</v>
      </c>
      <c r="S137" s="3255"/>
      <c r="T137" s="3503">
        <v>70.53</v>
      </c>
      <c r="U137" s="3256"/>
      <c r="V137" s="3470">
        <f>+((R137*R22)+(T137*T22))/V22</f>
        <v>72.19769980506824</v>
      </c>
      <c r="W137" s="3255"/>
      <c r="X137" s="3503">
        <v>71.599999999999994</v>
      </c>
      <c r="Y137" s="3393"/>
      <c r="Z137" s="3484">
        <f>+((P137*P22)+(T137*T22)+(X137*X22))/Z22</f>
        <v>73.90762743864066</v>
      </c>
      <c r="AA137" s="3394"/>
      <c r="AB137" s="3504">
        <f>+((Z137*Z22)+(N137*N22))/AB22</f>
        <v>72.101833060556473</v>
      </c>
      <c r="AC137" s="3255"/>
      <c r="AD137" s="3503">
        <v>70.282258064516128</v>
      </c>
      <c r="AE137" s="3256"/>
      <c r="AF137" s="3470">
        <f>+((AB137*AB22)+(AD137*AD22))/AF22</f>
        <v>71.852097548532868</v>
      </c>
      <c r="AG137" s="3255"/>
      <c r="AH137" s="3503">
        <v>64.513888888888886</v>
      </c>
      <c r="AI137" s="3256"/>
      <c r="AJ137" s="3470">
        <f>+((AF137*AF22)+(AH137*AH22))/AJ22</f>
        <v>71.798609063769561</v>
      </c>
      <c r="AK137" s="3255"/>
      <c r="AL137" s="3503">
        <v>67.95474910394266</v>
      </c>
      <c r="AM137" s="3393"/>
      <c r="AN137" s="3484">
        <f>+((AD137*AD22)+(AH137*AH22)+(AL137*AL22))/AN22</f>
        <v>68.984103836400465</v>
      </c>
      <c r="AO137" s="3256"/>
      <c r="AP137" s="3470">
        <f>+((AL137*AL22)+(AJ137*AJ22))/AP22</f>
        <v>71.326042066003765</v>
      </c>
      <c r="AQ137" s="3255"/>
      <c r="AR137" s="3503">
        <v>81.939814814814838</v>
      </c>
      <c r="AS137" s="3256"/>
      <c r="AT137" s="3470">
        <f>+((AP137*AP22)+(AR137*AR22))/AT22</f>
        <v>72.660749086221841</v>
      </c>
      <c r="AU137" s="3255"/>
      <c r="AV137" s="3503">
        <v>74.760000000000005</v>
      </c>
      <c r="AW137" s="3256"/>
      <c r="AX137" s="3470">
        <f>+((AT137*AT22)+(AV137*AV22))/AX22</f>
        <v>72.868152799129035</v>
      </c>
      <c r="AY137" s="3255"/>
      <c r="AZ137" s="3503">
        <v>68.27</v>
      </c>
      <c r="BA137" s="3393"/>
      <c r="BB137" s="3484">
        <f>+((AR137*AR22)+(AV137*AV22)+(AZ137*AZ22))/BB22</f>
        <v>75.319090814630101</v>
      </c>
      <c r="BC137" s="3394"/>
      <c r="BD137" s="3504">
        <f>+((BB137*BB22)+(AN137*AN22))/BD22</f>
        <v>72.868400133449526</v>
      </c>
      <c r="BE137" s="3256"/>
      <c r="BF137" s="3471">
        <f>+((AX137*AX22)+(AZ137*AZ22))/BF22</f>
        <v>72.455446085188512</v>
      </c>
      <c r="BH137" s="3763"/>
      <c r="BI137" s="2534"/>
      <c r="BJ137" s="2534"/>
      <c r="BK137" s="2534"/>
      <c r="BL137" s="2534"/>
      <c r="BM137" s="3763"/>
      <c r="BN137" s="3763"/>
    </row>
    <row r="138" spans="2:66" ht="15" x14ac:dyDescent="0.25">
      <c r="B138" s="3505" t="s">
        <v>579</v>
      </c>
      <c r="C138" s="3466" t="s">
        <v>49</v>
      </c>
      <c r="D138" s="1310"/>
      <c r="E138" s="3255"/>
      <c r="F138" s="3503">
        <v>73.175925925925938</v>
      </c>
      <c r="G138" s="3255"/>
      <c r="H138" s="3503">
        <v>81.069999999999993</v>
      </c>
      <c r="I138" s="3256"/>
      <c r="J138" s="3471">
        <f>+((F138*F23)+(H138*H23))/J23</f>
        <v>77.280570344650215</v>
      </c>
      <c r="K138" s="3255"/>
      <c r="L138" s="3503">
        <v>82.63</v>
      </c>
      <c r="M138" s="3393"/>
      <c r="N138" s="3484">
        <f>+((F138*F23)+(H138*H23)+(L138*L23))/N23</f>
        <v>79.164002832979222</v>
      </c>
      <c r="O138" s="3255"/>
      <c r="P138" s="3503">
        <v>80.459999999999994</v>
      </c>
      <c r="Q138" s="3256"/>
      <c r="R138" s="3470">
        <f>+((N138*N23)+(P138*P23))/R23</f>
        <v>79.495461296373819</v>
      </c>
      <c r="S138" s="3255"/>
      <c r="T138" s="3503">
        <v>83.15</v>
      </c>
      <c r="U138" s="3256"/>
      <c r="V138" s="3470">
        <f>+((R138*R23)+(T138*T23))/V23</f>
        <v>80.260955339853425</v>
      </c>
      <c r="W138" s="3255"/>
      <c r="X138" s="3503">
        <v>84.14</v>
      </c>
      <c r="Y138" s="3393"/>
      <c r="Z138" s="3484">
        <f>+((P138*P23)+(T138*T23)+(X138*X23))/Z23</f>
        <v>82.590889008620692</v>
      </c>
      <c r="AA138" s="3394"/>
      <c r="AB138" s="3504">
        <f>+((Z138*Z23)+(N138*N23))/AB23</f>
        <v>80.914223180252364</v>
      </c>
      <c r="AC138" s="3255"/>
      <c r="AD138" s="3503">
        <v>79.95519713261649</v>
      </c>
      <c r="AE138" s="3256"/>
      <c r="AF138" s="3470">
        <f>+((AB138*AB23)+(AD138*AD23))/AF23</f>
        <v>80.777154834764787</v>
      </c>
      <c r="AG138" s="3255"/>
      <c r="AH138" s="3503">
        <v>66.721799536883893</v>
      </c>
      <c r="AI138" s="3256"/>
      <c r="AJ138" s="3470">
        <f>+((AF138*AF23)+(AH138*AH23))/AJ23</f>
        <v>80.691491628542352</v>
      </c>
      <c r="AK138" s="3255"/>
      <c r="AL138" s="3503">
        <v>89.68390804597702</v>
      </c>
      <c r="AM138" s="3393"/>
      <c r="AN138" s="3484">
        <f>+((AD138*AD23)+(AH138*AH23)+(AL138*AL23))/AN23</f>
        <v>84.595652846343086</v>
      </c>
      <c r="AO138" s="3256"/>
      <c r="AP138" s="3470">
        <f>+((AL138*AL23)+(AJ138*AJ23))/AP23</f>
        <v>81.870945024230323</v>
      </c>
      <c r="AQ138" s="3255"/>
      <c r="AR138" s="3503">
        <v>83.208333333333329</v>
      </c>
      <c r="AS138" s="3256"/>
      <c r="AT138" s="3470">
        <f>+((AP138*AP23)+(AR138*AR23))/AT23</f>
        <v>82.017441676152373</v>
      </c>
      <c r="AU138" s="3255"/>
      <c r="AV138" s="3503">
        <v>80.73</v>
      </c>
      <c r="AW138" s="3256"/>
      <c r="AX138" s="3470">
        <f>+((AT138*AT23)+(AV138*AV23))/AX23</f>
        <v>81.900092863409299</v>
      </c>
      <c r="AY138" s="3255"/>
      <c r="AZ138" s="3503">
        <v>79.238351254480307</v>
      </c>
      <c r="BA138" s="3393"/>
      <c r="BB138" s="3484">
        <f>+((AR138*AR23)+(AV138*AV23)+(AZ138*AZ23))/BB23</f>
        <v>81.073630828455038</v>
      </c>
      <c r="BC138" s="3394"/>
      <c r="BD138" s="3504">
        <f>+((BB138*BB23)+(AN138*AN23))/BD23</f>
        <v>82.555853814874951</v>
      </c>
      <c r="BE138" s="3256"/>
      <c r="BF138" s="3471">
        <f>+((AX138*AX23)+(AZ138*AZ23))/BF23</f>
        <v>81.66091146170686</v>
      </c>
      <c r="BH138" s="3763"/>
      <c r="BI138" s="2534"/>
      <c r="BJ138" s="2534"/>
      <c r="BK138" s="2534"/>
      <c r="BL138" s="2534"/>
      <c r="BM138" s="3763"/>
      <c r="BN138" s="3763"/>
    </row>
    <row r="139" spans="2:66" ht="15.75" thickBot="1" x14ac:dyDescent="0.3">
      <c r="B139" s="3506" t="s">
        <v>580</v>
      </c>
      <c r="C139" s="3451" t="s">
        <v>49</v>
      </c>
      <c r="D139" s="1147"/>
      <c r="E139" s="2251"/>
      <c r="F139" s="1707">
        <v>57.183481701285885</v>
      </c>
      <c r="G139" s="2251"/>
      <c r="H139" s="1707">
        <v>63.4</v>
      </c>
      <c r="I139" s="3407"/>
      <c r="J139" s="3507">
        <f>+((F139*F24)+(H139*H24))/J24</f>
        <v>60.389638776606944</v>
      </c>
      <c r="K139" s="2251"/>
      <c r="L139" s="1707">
        <v>63.2</v>
      </c>
      <c r="M139" s="3408"/>
      <c r="N139" s="3508">
        <f>+((F139*F24)+(H139*H24)+(L139*L24))/N24</f>
        <v>61.339448086685053</v>
      </c>
      <c r="O139" s="2251"/>
      <c r="P139" s="1707">
        <v>65.62</v>
      </c>
      <c r="Q139" s="3407"/>
      <c r="R139" s="614">
        <f>+((N139*N24)+(P139*P24))/R24</f>
        <v>62.467782948032308</v>
      </c>
      <c r="S139" s="2251"/>
      <c r="T139" s="1707">
        <v>63.56</v>
      </c>
      <c r="U139" s="3407"/>
      <c r="V139" s="614">
        <f>+((R139*R24)+(T139*T24))/V24</f>
        <v>62.676846739666061</v>
      </c>
      <c r="W139" s="2251"/>
      <c r="X139" s="1707">
        <v>57.24</v>
      </c>
      <c r="Y139" s="3408"/>
      <c r="Z139" s="3508">
        <f>+((P139*P24)+(T139*T24)+(X139*X24))/Z24</f>
        <v>62.373829787234037</v>
      </c>
      <c r="AA139" s="3409"/>
      <c r="AB139" s="3509">
        <f>+((Z139*Z24)+(N139*N24))/AB24</f>
        <v>61.851419371555281</v>
      </c>
      <c r="AC139" s="2251"/>
      <c r="AD139" s="1707">
        <v>59.355300859598842</v>
      </c>
      <c r="AE139" s="3407"/>
      <c r="AF139" s="614">
        <f>+((AB139*AB24)+(AD139*AD24))/AF24</f>
        <v>61.511727731755293</v>
      </c>
      <c r="AG139" s="2251"/>
      <c r="AH139" s="1707">
        <v>0</v>
      </c>
      <c r="AI139" s="3407"/>
      <c r="AJ139" s="614">
        <f>+((AF139*AF24)+(AH139*AH24))/AJ24</f>
        <v>61.511727731755293</v>
      </c>
      <c r="AK139" s="2251"/>
      <c r="AL139" s="1707">
        <v>63.845785440613042</v>
      </c>
      <c r="AM139" s="3408"/>
      <c r="AN139" s="3508">
        <f>+((AD139*AD24)+(AH139*AH24)+(AL139*AL24))/AN24</f>
        <v>61.684814978704061</v>
      </c>
      <c r="AO139" s="3407"/>
      <c r="AP139" s="614">
        <f>+((AL139*AL24)+(AJ139*AJ24))/AP24</f>
        <v>61.810332800624039</v>
      </c>
      <c r="AQ139" s="2251"/>
      <c r="AR139" s="1707">
        <v>70.963455149501655</v>
      </c>
      <c r="AS139" s="3407"/>
      <c r="AT139" s="614">
        <f>+((AP139*AP24)+(AR139*AR24))/AT24</f>
        <v>62.902845220722959</v>
      </c>
      <c r="AU139" s="2251"/>
      <c r="AV139" s="1707">
        <v>65.41</v>
      </c>
      <c r="AW139" s="3407"/>
      <c r="AX139" s="614">
        <f>+((AT139*AT24)+(AV139*AV24))/AX24</f>
        <v>63.152574923508091</v>
      </c>
      <c r="AY139" s="2251"/>
      <c r="AZ139" s="1707">
        <v>69.31235431235433</v>
      </c>
      <c r="BA139" s="3408"/>
      <c r="BB139" s="3508">
        <f>+((AR139*AR24)+(AV139*AV24)+(AZ139*AZ24))/BB24</f>
        <v>68.669656309591772</v>
      </c>
      <c r="BC139" s="3409"/>
      <c r="BD139" s="3509">
        <f>+((BB139*BB24)+(AN139*AN24))/BD24</f>
        <v>66.064310493170666</v>
      </c>
      <c r="BE139" s="3407"/>
      <c r="BF139" s="3507">
        <f>+((AX139*AX24)+(AZ139*AZ24))/BF24</f>
        <v>63.820520152866507</v>
      </c>
      <c r="BH139" s="3763"/>
      <c r="BI139" s="2534"/>
      <c r="BJ139" s="2534"/>
      <c r="BK139" s="2534"/>
      <c r="BL139" s="2534"/>
      <c r="BM139" s="3763"/>
      <c r="BN139" s="3763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Q140" s="2535"/>
      <c r="R140" s="2535"/>
      <c r="W140" s="4"/>
      <c r="AC140" s="2535"/>
      <c r="AD140" s="2535"/>
      <c r="AG140" s="2535"/>
      <c r="AH140" s="2535"/>
      <c r="AK140" s="2535"/>
      <c r="AL140" s="2535"/>
      <c r="AQ140" s="2535"/>
      <c r="AR140" s="2535"/>
    </row>
    <row r="141" spans="2:66" ht="21" hidden="1" customHeight="1" x14ac:dyDescent="0.25">
      <c r="B141" s="3510" t="s">
        <v>1538</v>
      </c>
      <c r="C141" s="3511"/>
      <c r="D141" s="3511"/>
      <c r="E141" s="3511"/>
      <c r="F141" s="3511"/>
      <c r="G141" s="3511"/>
      <c r="H141" s="3511"/>
      <c r="I141" s="3511"/>
      <c r="J141" s="3511"/>
      <c r="K141" s="3511"/>
      <c r="L141" s="3511"/>
      <c r="M141" s="3511"/>
      <c r="N141" s="3511"/>
      <c r="O141" s="3511"/>
      <c r="P141" s="3511"/>
      <c r="Q141" s="3511"/>
      <c r="R141" s="3511"/>
      <c r="S141" s="3511"/>
      <c r="T141" s="3511"/>
      <c r="U141" s="3511"/>
      <c r="V141" s="3511"/>
      <c r="W141" s="3511"/>
      <c r="X141" s="3511"/>
      <c r="AC141" s="3511"/>
      <c r="AD141" s="3511"/>
      <c r="AG141" s="3511"/>
      <c r="AH141" s="3511"/>
      <c r="AK141" s="3511"/>
      <c r="AL141" s="3511"/>
      <c r="AQ141" s="3511"/>
      <c r="AR141" s="3511"/>
    </row>
    <row r="142" spans="2:66" ht="21" hidden="1" customHeight="1" x14ac:dyDescent="0.25">
      <c r="B142" s="3512" t="s">
        <v>1540</v>
      </c>
      <c r="C142" s="3511"/>
      <c r="D142" s="3511"/>
      <c r="E142" s="3511"/>
      <c r="F142" s="3511">
        <v>835</v>
      </c>
      <c r="G142" s="3511"/>
      <c r="H142" s="3511">
        <v>835</v>
      </c>
      <c r="I142" s="3511"/>
      <c r="J142" s="3511"/>
      <c r="K142" s="3511"/>
      <c r="L142" s="3511">
        <v>835</v>
      </c>
      <c r="M142" s="3511"/>
      <c r="N142" s="3511">
        <f t="shared" ref="N142:N146" si="347">+L142+H142+F142</f>
        <v>2505</v>
      </c>
      <c r="O142" s="3511"/>
      <c r="P142" s="3511">
        <v>835</v>
      </c>
      <c r="Q142" s="3511"/>
      <c r="R142" s="3511">
        <f>+N142+P142</f>
        <v>3340</v>
      </c>
      <c r="S142" s="3511"/>
      <c r="T142" s="3511">
        <v>835</v>
      </c>
      <c r="U142" s="3511"/>
      <c r="V142" s="3511">
        <f>+R142+T142</f>
        <v>4175</v>
      </c>
      <c r="W142" s="3511"/>
      <c r="X142" s="3511"/>
      <c r="AC142" s="3511"/>
      <c r="AD142" s="3511">
        <v>835</v>
      </c>
      <c r="AG142" s="3511"/>
      <c r="AH142" s="3511">
        <v>835</v>
      </c>
      <c r="AK142" s="3511"/>
      <c r="AL142" s="3511"/>
      <c r="AQ142" s="3511"/>
      <c r="AR142" s="3511"/>
    </row>
    <row r="143" spans="2:66" ht="21" hidden="1" customHeight="1" x14ac:dyDescent="0.25">
      <c r="B143" s="3512" t="s">
        <v>1541</v>
      </c>
      <c r="C143" s="3511"/>
      <c r="D143" s="3511"/>
      <c r="E143" s="3511"/>
      <c r="F143" s="3511">
        <v>865</v>
      </c>
      <c r="G143" s="3511"/>
      <c r="H143" s="3511">
        <v>865</v>
      </c>
      <c r="I143" s="3511"/>
      <c r="J143" s="3511"/>
      <c r="K143" s="3511"/>
      <c r="L143" s="3511">
        <v>865</v>
      </c>
      <c r="M143" s="3511"/>
      <c r="N143" s="3511">
        <f t="shared" si="347"/>
        <v>2595</v>
      </c>
      <c r="O143" s="3511"/>
      <c r="P143" s="3511">
        <v>865</v>
      </c>
      <c r="Q143" s="3511"/>
      <c r="R143" s="3511">
        <f t="shared" ref="R143:R146" si="348">+N143+P143</f>
        <v>3460</v>
      </c>
      <c r="S143" s="3511"/>
      <c r="T143" s="3511">
        <v>865</v>
      </c>
      <c r="U143" s="3511"/>
      <c r="V143" s="3511">
        <f t="shared" ref="V143:V146" si="349">+R143+T143</f>
        <v>4325</v>
      </c>
      <c r="W143" s="3511"/>
      <c r="X143" s="3511"/>
      <c r="AC143" s="3511"/>
      <c r="AD143" s="3511">
        <v>865</v>
      </c>
      <c r="AG143" s="3511"/>
      <c r="AH143" s="3511">
        <v>865</v>
      </c>
      <c r="AK143" s="3511"/>
      <c r="AL143" s="3511"/>
      <c r="AQ143" s="3511"/>
      <c r="AR143" s="3511"/>
    </row>
    <row r="144" spans="2:66" ht="21" hidden="1" customHeight="1" x14ac:dyDescent="0.25">
      <c r="B144" s="3512" t="s">
        <v>1542</v>
      </c>
      <c r="C144" s="3511"/>
      <c r="D144" s="3511"/>
      <c r="E144" s="3511"/>
      <c r="F144" s="3511">
        <v>288</v>
      </c>
      <c r="G144" s="3511"/>
      <c r="H144" s="3511">
        <v>288</v>
      </c>
      <c r="I144" s="3511"/>
      <c r="J144" s="3511"/>
      <c r="K144" s="3511"/>
      <c r="L144" s="3511">
        <v>288</v>
      </c>
      <c r="M144" s="3511"/>
      <c r="N144" s="3511">
        <f t="shared" si="347"/>
        <v>864</v>
      </c>
      <c r="O144" s="3511"/>
      <c r="P144" s="3511">
        <v>288</v>
      </c>
      <c r="Q144" s="3511"/>
      <c r="R144" s="3511">
        <f t="shared" si="348"/>
        <v>1152</v>
      </c>
      <c r="S144" s="3511"/>
      <c r="T144" s="3511">
        <v>288</v>
      </c>
      <c r="U144" s="3511"/>
      <c r="V144" s="3511">
        <f t="shared" si="349"/>
        <v>1440</v>
      </c>
      <c r="W144" s="3511"/>
      <c r="X144" s="3511"/>
      <c r="AC144" s="3511"/>
      <c r="AD144" s="3511">
        <v>288</v>
      </c>
      <c r="AG144" s="3511"/>
      <c r="AH144" s="3511">
        <v>288</v>
      </c>
      <c r="AK144" s="3511"/>
      <c r="AL144" s="3511"/>
      <c r="AQ144" s="3511"/>
      <c r="AR144" s="3511"/>
    </row>
    <row r="145" spans="2:58" ht="21" hidden="1" customHeight="1" x14ac:dyDescent="0.25">
      <c r="B145" s="3512" t="s">
        <v>1543</v>
      </c>
      <c r="C145" s="3511"/>
      <c r="D145" s="3511"/>
      <c r="E145" s="3511"/>
      <c r="F145" s="3511">
        <v>374</v>
      </c>
      <c r="G145" s="3511"/>
      <c r="H145" s="3511">
        <v>374</v>
      </c>
      <c r="I145" s="3511"/>
      <c r="J145" s="3511"/>
      <c r="K145" s="3511"/>
      <c r="L145" s="3511">
        <v>374</v>
      </c>
      <c r="M145" s="3511"/>
      <c r="N145" s="3511">
        <f t="shared" si="347"/>
        <v>1122</v>
      </c>
      <c r="O145" s="3511"/>
      <c r="P145" s="3511">
        <v>374</v>
      </c>
      <c r="Q145" s="3511"/>
      <c r="R145" s="3511">
        <f t="shared" si="348"/>
        <v>1496</v>
      </c>
      <c r="S145" s="3511"/>
      <c r="T145" s="3511">
        <v>374</v>
      </c>
      <c r="U145" s="3511"/>
      <c r="V145" s="3511">
        <f t="shared" si="349"/>
        <v>1870</v>
      </c>
      <c r="W145" s="3511"/>
      <c r="X145" s="3511"/>
      <c r="AC145" s="3511"/>
      <c r="AD145" s="3511">
        <v>374</v>
      </c>
      <c r="AG145" s="3511"/>
      <c r="AH145" s="3511">
        <v>374</v>
      </c>
      <c r="AK145" s="3511"/>
      <c r="AL145" s="3511"/>
      <c r="AQ145" s="3511"/>
      <c r="AR145" s="3511"/>
    </row>
    <row r="146" spans="2:58" ht="21" hidden="1" customHeight="1" x14ac:dyDescent="0.25">
      <c r="B146" s="3512" t="s">
        <v>1544</v>
      </c>
      <c r="C146" s="3511"/>
      <c r="D146" s="3511"/>
      <c r="E146" s="3511"/>
      <c r="F146" s="3511">
        <v>913</v>
      </c>
      <c r="G146" s="3511"/>
      <c r="H146" s="3511">
        <v>913</v>
      </c>
      <c r="I146" s="3511"/>
      <c r="J146" s="3511"/>
      <c r="K146" s="3511"/>
      <c r="L146" s="3511">
        <v>913</v>
      </c>
      <c r="M146" s="3511"/>
      <c r="N146" s="3511">
        <f t="shared" si="347"/>
        <v>2739</v>
      </c>
      <c r="O146" s="3511"/>
      <c r="P146" s="3511">
        <v>913</v>
      </c>
      <c r="Q146" s="3511"/>
      <c r="R146" s="3511">
        <f t="shared" si="348"/>
        <v>3652</v>
      </c>
      <c r="S146" s="3511"/>
      <c r="T146" s="3511">
        <v>913</v>
      </c>
      <c r="U146" s="3511"/>
      <c r="V146" s="3511">
        <f t="shared" si="349"/>
        <v>4565</v>
      </c>
      <c r="W146" s="3511"/>
      <c r="X146" s="3511"/>
      <c r="AC146" s="3511"/>
      <c r="AD146" s="3511">
        <v>913</v>
      </c>
      <c r="AG146" s="3511"/>
      <c r="AH146" s="3511">
        <v>913</v>
      </c>
      <c r="AK146" s="3511"/>
      <c r="AL146" s="3511"/>
      <c r="AQ146" s="3511"/>
      <c r="AR146" s="3511"/>
    </row>
    <row r="147" spans="2:58" ht="21" hidden="1" customHeight="1" x14ac:dyDescent="0.25">
      <c r="B147" s="3512" t="s">
        <v>21</v>
      </c>
      <c r="C147" s="3511"/>
      <c r="D147" s="3511"/>
      <c r="E147" s="3511"/>
      <c r="F147" s="3511">
        <f>SUM(F142:F146)</f>
        <v>3275</v>
      </c>
      <c r="G147" s="3511"/>
      <c r="H147" s="3511">
        <f>SUM(H142:H146)</f>
        <v>3275</v>
      </c>
      <c r="I147" s="3511"/>
      <c r="J147" s="3511"/>
      <c r="K147" s="3511"/>
      <c r="L147" s="3511">
        <f>SUM(L142:L146)</f>
        <v>3275</v>
      </c>
      <c r="M147" s="3511"/>
      <c r="N147" s="3511">
        <f>SUM(N142:N146)</f>
        <v>9825</v>
      </c>
      <c r="O147" s="3511"/>
      <c r="P147" s="3511">
        <f>SUM(P142:P146)</f>
        <v>3275</v>
      </c>
      <c r="Q147" s="3511"/>
      <c r="R147" s="3511">
        <f>SUM(R142:R146)</f>
        <v>13100</v>
      </c>
      <c r="S147" s="3511"/>
      <c r="T147" s="3511">
        <f>SUM(T142:T146)</f>
        <v>3275</v>
      </c>
      <c r="U147" s="3511"/>
      <c r="V147" s="3511">
        <f>SUM(V142:V146)</f>
        <v>16375</v>
      </c>
      <c r="W147" s="3511"/>
      <c r="X147" s="3511"/>
      <c r="AC147" s="3511"/>
      <c r="AD147" s="3511">
        <f>SUM(AD142:AD146)</f>
        <v>3275</v>
      </c>
      <c r="AG147" s="3511"/>
      <c r="AH147" s="3511">
        <f>SUM(AH142:AH146)</f>
        <v>3275</v>
      </c>
      <c r="AK147" s="3511"/>
      <c r="AL147" s="3511"/>
      <c r="AQ147" s="3511"/>
      <c r="AR147" s="3511"/>
    </row>
    <row r="148" spans="2:58" ht="21" hidden="1" customHeight="1" x14ac:dyDescent="0.25">
      <c r="B148" s="3512" t="s">
        <v>1549</v>
      </c>
      <c r="C148" s="3511"/>
      <c r="D148" s="3511"/>
      <c r="E148" s="3511"/>
      <c r="F148" s="3513">
        <f>+F147-F27</f>
        <v>276</v>
      </c>
      <c r="G148" s="3511"/>
      <c r="H148" s="3513">
        <f>+H147-H27</f>
        <v>11</v>
      </c>
      <c r="I148" s="3511"/>
      <c r="J148" s="3511"/>
      <c r="K148" s="3511"/>
      <c r="L148" s="3513">
        <f>+L147-L27</f>
        <v>-125</v>
      </c>
      <c r="M148" s="3511"/>
      <c r="N148" s="3513">
        <f>+N147-N27</f>
        <v>162</v>
      </c>
      <c r="O148" s="3511"/>
      <c r="P148" s="3513">
        <f>+P147-P27</f>
        <v>-121</v>
      </c>
      <c r="Q148" s="3511"/>
      <c r="R148" s="3513">
        <f>+R147-R27</f>
        <v>41</v>
      </c>
      <c r="S148" s="3511"/>
      <c r="T148" s="3513">
        <f>+T147-T27</f>
        <v>123</v>
      </c>
      <c r="U148" s="3511"/>
      <c r="V148" s="3513">
        <f>+V147-V27</f>
        <v>164</v>
      </c>
      <c r="W148" s="3511"/>
      <c r="X148" s="3513"/>
      <c r="AC148" s="3511"/>
      <c r="AD148" s="3513">
        <f>+AD147-AD27</f>
        <v>564.9699999999998</v>
      </c>
      <c r="AG148" s="3511"/>
      <c r="AH148" s="3513">
        <f>+AH147-AH27</f>
        <v>3137.34</v>
      </c>
      <c r="AK148" s="3511"/>
      <c r="AL148" s="3513"/>
      <c r="AQ148" s="3511"/>
      <c r="AR148" s="3513"/>
    </row>
    <row r="149" spans="2:58" ht="21" hidden="1" customHeight="1" x14ac:dyDescent="0.25">
      <c r="B149" s="3512"/>
      <c r="C149" s="3511"/>
      <c r="D149" s="3511"/>
      <c r="E149" s="3511"/>
      <c r="F149" s="3513"/>
      <c r="G149" s="3511"/>
      <c r="H149" s="3513"/>
      <c r="I149" s="3511"/>
      <c r="J149" s="3511"/>
      <c r="K149" s="3511"/>
      <c r="L149" s="3513"/>
      <c r="M149" s="3511"/>
      <c r="N149" s="3513"/>
      <c r="O149" s="3511"/>
      <c r="P149" s="3513"/>
      <c r="Q149" s="3511"/>
      <c r="R149" s="3513"/>
      <c r="S149" s="3511"/>
      <c r="T149" s="3513"/>
      <c r="U149" s="3511"/>
      <c r="V149" s="3513"/>
      <c r="W149" s="3511"/>
      <c r="X149" s="3513"/>
      <c r="AC149" s="3511"/>
      <c r="AD149" s="3513"/>
      <c r="AG149" s="3511"/>
      <c r="AH149" s="3513"/>
      <c r="AK149" s="3511"/>
      <c r="AL149" s="3513"/>
      <c r="AQ149" s="3511"/>
      <c r="AR149" s="3513"/>
    </row>
    <row r="150" spans="2:58" ht="21" hidden="1" customHeight="1" x14ac:dyDescent="0.25">
      <c r="B150" s="3512" t="s">
        <v>1539</v>
      </c>
      <c r="C150" s="3511"/>
      <c r="D150" s="3511"/>
      <c r="E150" s="3511"/>
      <c r="F150" s="3511"/>
      <c r="G150" s="3511"/>
      <c r="H150" s="3511"/>
      <c r="I150" s="3511"/>
      <c r="J150" s="3511"/>
      <c r="K150" s="3511"/>
      <c r="L150" s="3511"/>
      <c r="M150" s="3511"/>
      <c r="N150" s="3511"/>
      <c r="O150" s="3511"/>
      <c r="P150" s="3511"/>
      <c r="Q150" s="3511"/>
      <c r="R150" s="3511"/>
      <c r="S150" s="3511"/>
      <c r="T150" s="3511"/>
      <c r="U150" s="3511"/>
      <c r="V150" s="3511"/>
      <c r="W150" s="3511"/>
      <c r="X150" s="3511"/>
      <c r="AC150" s="3511"/>
      <c r="AD150" s="3511"/>
      <c r="AG150" s="3511"/>
      <c r="AH150" s="3511"/>
      <c r="AK150" s="3511"/>
      <c r="AL150" s="3511"/>
      <c r="AQ150" s="3511"/>
      <c r="AR150" s="3511"/>
    </row>
    <row r="151" spans="2:58" ht="21" hidden="1" customHeight="1" x14ac:dyDescent="0.25">
      <c r="B151" s="3514"/>
      <c r="C151" s="64" t="s">
        <v>198</v>
      </c>
      <c r="D151" s="3511"/>
      <c r="E151" s="3511"/>
      <c r="F151" s="3511">
        <v>2449</v>
      </c>
      <c r="G151" s="3511"/>
      <c r="H151" s="3511">
        <v>2449</v>
      </c>
      <c r="I151" s="3511"/>
      <c r="J151" s="3511"/>
      <c r="K151" s="3511"/>
      <c r="L151" s="3511">
        <v>2449</v>
      </c>
      <c r="M151" s="3511"/>
      <c r="N151" s="3511">
        <f t="shared" ref="N151:N153" si="350">+L151+H151+F151</f>
        <v>7347</v>
      </c>
      <c r="O151" s="3511"/>
      <c r="P151" s="3511">
        <v>2449</v>
      </c>
      <c r="Q151" s="3511"/>
      <c r="R151" s="3511">
        <f t="shared" ref="R151:R153" si="351">+N151+P151</f>
        <v>9796</v>
      </c>
      <c r="S151" s="3511"/>
      <c r="T151" s="3511">
        <v>2449</v>
      </c>
      <c r="U151" s="3511"/>
      <c r="V151" s="3511">
        <f t="shared" ref="V151:V153" si="352">+R151+T151</f>
        <v>12245</v>
      </c>
      <c r="W151" s="3511"/>
      <c r="X151" s="3511"/>
      <c r="AC151" s="3511"/>
      <c r="AD151" s="3511">
        <v>2449</v>
      </c>
      <c r="AG151" s="3511"/>
      <c r="AH151" s="3511">
        <v>2449</v>
      </c>
      <c r="AK151" s="3511"/>
      <c r="AL151" s="3511"/>
      <c r="AQ151" s="3511"/>
      <c r="AR151" s="3511"/>
    </row>
    <row r="152" spans="2:58" ht="21" hidden="1" customHeight="1" x14ac:dyDescent="0.25">
      <c r="B152" s="6113" t="s">
        <v>1547</v>
      </c>
      <c r="C152" s="64" t="s">
        <v>1545</v>
      </c>
      <c r="D152" s="3511"/>
      <c r="E152" s="3511"/>
      <c r="F152" s="3511">
        <v>4866</v>
      </c>
      <c r="G152" s="3511"/>
      <c r="H152" s="3511">
        <v>4866</v>
      </c>
      <c r="I152" s="3511"/>
      <c r="J152" s="3511"/>
      <c r="K152" s="3511"/>
      <c r="L152" s="3511">
        <v>4866</v>
      </c>
      <c r="M152" s="3511"/>
      <c r="N152" s="3511">
        <f t="shared" si="350"/>
        <v>14598</v>
      </c>
      <c r="O152" s="3511"/>
      <c r="P152" s="3511">
        <v>4866</v>
      </c>
      <c r="Q152" s="3511"/>
      <c r="R152" s="3511">
        <f t="shared" si="351"/>
        <v>19464</v>
      </c>
      <c r="S152" s="3511"/>
      <c r="T152" s="3511">
        <v>4866</v>
      </c>
      <c r="U152" s="3511"/>
      <c r="V152" s="3511">
        <f t="shared" si="352"/>
        <v>24330</v>
      </c>
      <c r="W152" s="3511"/>
      <c r="X152" s="3511"/>
      <c r="AC152" s="3511"/>
      <c r="AD152" s="3511">
        <v>4866</v>
      </c>
      <c r="AG152" s="3511"/>
      <c r="AH152" s="3511">
        <v>4866</v>
      </c>
      <c r="AK152" s="3511"/>
      <c r="AL152" s="3511"/>
      <c r="AQ152" s="3511"/>
      <c r="AR152" s="3511"/>
    </row>
    <row r="153" spans="2:58" ht="21" hidden="1" customHeight="1" x14ac:dyDescent="0.25">
      <c r="B153" s="6113"/>
      <c r="C153" s="64" t="s">
        <v>1546</v>
      </c>
      <c r="D153" s="3511"/>
      <c r="E153" s="3511"/>
      <c r="F153" s="3511">
        <v>1022</v>
      </c>
      <c r="G153" s="3511"/>
      <c r="H153" s="3511">
        <v>1022</v>
      </c>
      <c r="I153" s="3511"/>
      <c r="J153" s="3511"/>
      <c r="K153" s="3511"/>
      <c r="L153" s="3511">
        <v>1022</v>
      </c>
      <c r="M153" s="3511"/>
      <c r="N153" s="3511">
        <f t="shared" si="350"/>
        <v>3066</v>
      </c>
      <c r="O153" s="3511"/>
      <c r="P153" s="3511">
        <v>1022</v>
      </c>
      <c r="Q153" s="3511"/>
      <c r="R153" s="3511">
        <f t="shared" si="351"/>
        <v>4088</v>
      </c>
      <c r="S153" s="3511"/>
      <c r="T153" s="3511">
        <v>1022</v>
      </c>
      <c r="U153" s="3511"/>
      <c r="V153" s="3511">
        <f t="shared" si="352"/>
        <v>5110</v>
      </c>
      <c r="W153" s="3511"/>
      <c r="X153" s="3511"/>
      <c r="AC153" s="3511"/>
      <c r="AD153" s="3511">
        <v>1022</v>
      </c>
      <c r="AG153" s="3511"/>
      <c r="AH153" s="3511">
        <v>1022</v>
      </c>
      <c r="AK153" s="3511"/>
      <c r="AL153" s="3511"/>
      <c r="AQ153" s="3511"/>
      <c r="AR153" s="3511"/>
    </row>
    <row r="154" spans="2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  <c r="W154" s="4"/>
    </row>
    <row r="155" spans="2:58" ht="2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  <c r="W155" s="4"/>
    </row>
    <row r="156" spans="2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  <c r="W156" s="4"/>
    </row>
    <row r="157" spans="2:58" ht="320.25" customHeight="1" thickBot="1" x14ac:dyDescent="0.3">
      <c r="B157" s="3515" t="s">
        <v>278</v>
      </c>
      <c r="C157" s="758" t="s">
        <v>175</v>
      </c>
      <c r="D157" s="1329"/>
      <c r="E157" s="3516"/>
      <c r="F157" s="3517" t="s">
        <v>2216</v>
      </c>
      <c r="G157" s="3516"/>
      <c r="H157" s="3517" t="s">
        <v>2249</v>
      </c>
      <c r="I157" s="3518"/>
      <c r="J157" s="3519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3516"/>
      <c r="L157" s="3517" t="s">
        <v>2290</v>
      </c>
      <c r="M157" s="3520"/>
      <c r="N157" s="3521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v>
      </c>
      <c r="O157" s="3516"/>
      <c r="P157" s="3517" t="s">
        <v>2309</v>
      </c>
      <c r="Q157" s="3522"/>
      <c r="R157" s="3519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v>
      </c>
      <c r="S157" s="3516"/>
      <c r="T157" s="3517" t="s">
        <v>2325</v>
      </c>
      <c r="U157" s="3522"/>
      <c r="V157" s="3519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v>
      </c>
      <c r="W157" s="3516"/>
      <c r="X157" s="3517" t="s">
        <v>2346</v>
      </c>
      <c r="Y157" s="3524"/>
      <c r="Z157" s="3525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A157" s="3526"/>
      <c r="AB157" s="3527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C157" s="3516"/>
      <c r="AD157" s="3517" t="s">
        <v>1955</v>
      </c>
      <c r="AE157" s="3522"/>
      <c r="AF157" s="3519" t="str">
        <f>AD157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v>
      </c>
      <c r="AG157" s="3516"/>
      <c r="AH157" s="3517" t="s">
        <v>1980</v>
      </c>
      <c r="AI157" s="3522"/>
      <c r="AJ157" s="3519" t="str">
        <f>AH157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v>
      </c>
      <c r="AK157" s="3516"/>
      <c r="AL157" s="3517" t="s">
        <v>1995</v>
      </c>
      <c r="AM157" s="3524"/>
      <c r="AN157" s="3525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O157" s="3522"/>
      <c r="AP157" s="3519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Q157" s="3516"/>
      <c r="AR157" s="3517" t="s">
        <v>2095</v>
      </c>
      <c r="AS157" s="3522"/>
      <c r="AT157" s="3519" t="str">
        <f>AR157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v>
      </c>
      <c r="AU157" s="3516"/>
      <c r="AV157" s="3523" t="s">
        <v>2107</v>
      </c>
      <c r="AW157" s="3522"/>
      <c r="AX157" s="3519" t="str">
        <f>AV157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v>
      </c>
      <c r="AY157" s="3516"/>
      <c r="AZ157" s="3523" t="s">
        <v>2115</v>
      </c>
      <c r="BA157" s="3524"/>
      <c r="BB157" s="3525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C157" s="3526"/>
      <c r="BD157" s="3527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E157" s="3522"/>
      <c r="BF157" s="3519" t="str">
        <f>BD157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</row>
    <row r="158" spans="2:58" ht="246.75" customHeight="1" thickBot="1" x14ac:dyDescent="0.3">
      <c r="B158" s="3528" t="s">
        <v>279</v>
      </c>
      <c r="C158" s="3047" t="s">
        <v>175</v>
      </c>
      <c r="D158" s="1404"/>
      <c r="E158" s="3529"/>
      <c r="F158" s="3530" t="s">
        <v>2217</v>
      </c>
      <c r="G158" s="3529"/>
      <c r="H158" s="3530" t="s">
        <v>2247</v>
      </c>
      <c r="I158" s="3531"/>
      <c r="J158" s="3532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3529"/>
      <c r="L158" s="3530" t="s">
        <v>2291</v>
      </c>
      <c r="M158" s="3534"/>
      <c r="N158" s="3535" t="str">
        <f>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v>
      </c>
      <c r="O158" s="3529"/>
      <c r="P158" s="3530" t="s">
        <v>2310</v>
      </c>
      <c r="Q158" s="3536"/>
      <c r="R158" s="3532" t="str">
        <f>P158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v>
      </c>
      <c r="S158" s="3529"/>
      <c r="T158" s="3530" t="s">
        <v>2326</v>
      </c>
      <c r="U158" s="3536"/>
      <c r="V158" s="3532" t="str">
        <f>T158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v>
      </c>
      <c r="W158" s="3529"/>
      <c r="X158" s="3530" t="s">
        <v>2347</v>
      </c>
      <c r="Y158" s="3534"/>
      <c r="Z158" s="3538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A158" s="3539"/>
      <c r="AB158" s="3540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C158" s="3529"/>
      <c r="AD158" s="3530" t="s">
        <v>1956</v>
      </c>
      <c r="AE158" s="3536"/>
      <c r="AF158" s="3532" t="str">
        <f>AD158</f>
        <v xml:space="preserve">
10th Relining carried on 28.07.22-02.08.22 which has resulted in 3510 Heats till 21.03.23.11th relining carried on from 22.03.2023-27.03.2023 which has resulted 8817 Heats till 31.10.2024.</v>
      </c>
      <c r="AG158" s="3529"/>
      <c r="AH158" s="3530" t="s">
        <v>1981</v>
      </c>
      <c r="AI158" s="3536"/>
      <c r="AJ158" s="3532" t="str">
        <f>AH158</f>
        <v xml:space="preserve">
10th Relining carried on 28.07.22-02.08.22 which has resulted in 3510 Heats till 21.03.23.11th relining carried on from 22.03.2023-27.03.2023 which has resulted 8839 Heats till 30.11.2024.</v>
      </c>
      <c r="AK158" s="3529"/>
      <c r="AL158" s="3530" t="s">
        <v>1996</v>
      </c>
      <c r="AM158" s="3534"/>
      <c r="AN158" s="3538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O158" s="3536"/>
      <c r="AP158" s="3532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Q158" s="3529"/>
      <c r="AR158" s="3530" t="s">
        <v>2096</v>
      </c>
      <c r="AS158" s="3536"/>
      <c r="AT158" s="3532" t="str">
        <f>AR158</f>
        <v xml:space="preserve">
10th Relining carried on 28.07.22-02.08.22 which has resulted in 3510 Heats till 21.03.23.11th relining carried on from 22.03.2023-27.03.2023 which has resulted 9877 Heats till 31.01.2025.</v>
      </c>
      <c r="AU158" s="3533"/>
      <c r="AV158" s="3537" t="s">
        <v>2108</v>
      </c>
      <c r="AW158" s="3536"/>
      <c r="AX158" s="3532" t="str">
        <f>AV158</f>
        <v xml:space="preserve">
10th Relining carried on 28.07.22-02.08.22 which has resulted in 3510 Heats till 21.03.23.11th relining carried on from 22.03.2023-27.03.2023 which has resulted 10326 Heats till 28.02.2025.</v>
      </c>
      <c r="AY158" s="3533"/>
      <c r="AZ158" s="3537" t="s">
        <v>2117</v>
      </c>
      <c r="BA158" s="3534"/>
      <c r="BB158" s="3538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C158" s="3539"/>
      <c r="BD158" s="3540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E158" s="3536"/>
      <c r="BF158" s="3532" t="str">
        <f>AZ158</f>
        <v xml:space="preserve">
10th Relining carried on 28.07.22-02.08.22 which has resulted in 3510 Heats till 21.03.23.11th relining carried on from 22.03.2023-27.03.2023 which has resulted 10493 Heats till 10.03.2025.</v>
      </c>
    </row>
    <row r="159" spans="2:58" ht="405.75" customHeight="1" thickBot="1" x14ac:dyDescent="0.3">
      <c r="B159" s="3541" t="s">
        <v>280</v>
      </c>
      <c r="C159" s="3050" t="s">
        <v>175</v>
      </c>
      <c r="D159" s="3105"/>
      <c r="E159" s="3542"/>
      <c r="F159" s="3543" t="s">
        <v>2218</v>
      </c>
      <c r="G159" s="3542"/>
      <c r="H159" s="3543" t="s">
        <v>2248</v>
      </c>
      <c r="I159" s="3544"/>
      <c r="J159" s="3545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3542"/>
      <c r="L159" s="3543" t="s">
        <v>2292</v>
      </c>
      <c r="M159" s="3546"/>
      <c r="N159" s="3547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v>
      </c>
      <c r="O159" s="3542"/>
      <c r="P159" s="3543" t="s">
        <v>2311</v>
      </c>
      <c r="Q159" s="3548"/>
      <c r="R159" s="3549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v>
      </c>
      <c r="S159" s="3542"/>
      <c r="T159" s="3543" t="s">
        <v>2327</v>
      </c>
      <c r="U159" s="3548"/>
      <c r="V159" s="3549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v>
      </c>
      <c r="W159" s="3542"/>
      <c r="X159" s="3543" t="s">
        <v>2348</v>
      </c>
      <c r="Y159" s="3551"/>
      <c r="Z159" s="3552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A159" s="3553"/>
      <c r="AB159" s="3554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C159" s="3542"/>
      <c r="AD159" s="3543" t="s">
        <v>1957</v>
      </c>
      <c r="AE159" s="3548"/>
      <c r="AF159" s="3549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v>
      </c>
      <c r="AG159" s="3542"/>
      <c r="AH159" s="3543" t="s">
        <v>1982</v>
      </c>
      <c r="AI159" s="3548"/>
      <c r="AJ159" s="3549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v>
      </c>
      <c r="AK159" s="3542"/>
      <c r="AL159" s="3543" t="s">
        <v>1997</v>
      </c>
      <c r="AM159" s="3551"/>
      <c r="AN159" s="3552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O159" s="3548"/>
      <c r="AP159" s="3549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Q159" s="3542"/>
      <c r="AR159" s="3543" t="s">
        <v>2097</v>
      </c>
      <c r="AS159" s="3548"/>
      <c r="AT159" s="3549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v>
      </c>
      <c r="AU159" s="3529"/>
      <c r="AV159" s="3550" t="s">
        <v>2109</v>
      </c>
      <c r="AW159" s="3548"/>
      <c r="AX159" s="3549" t="str">
        <f>AV159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v>
      </c>
      <c r="AY159" s="3529"/>
      <c r="AZ159" s="3550" t="s">
        <v>2116</v>
      </c>
      <c r="BA159" s="3551"/>
      <c r="BB159" s="3552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C159" s="3553"/>
      <c r="BD159" s="3554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E159" s="3548"/>
      <c r="BF159" s="3549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</row>
    <row r="160" spans="2:58" ht="21" customHeight="1" x14ac:dyDescent="0.25"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</row>
    <row r="161" spans="4:17" ht="21" customHeight="1" x14ac:dyDescent="0.25"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</row>
    <row r="162" spans="4:17" ht="21" customHeight="1" x14ac:dyDescent="0.25"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</row>
    <row r="163" spans="4:17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</row>
    <row r="164" spans="4:17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</row>
    <row r="165" spans="4:17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</row>
    <row r="166" spans="4:17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</row>
    <row r="167" spans="4:17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</row>
    <row r="168" spans="4:17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</row>
    <row r="169" spans="4:17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</row>
    <row r="170" spans="4:17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</row>
    <row r="171" spans="4:17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</row>
    <row r="172" spans="4:17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</row>
    <row r="173" spans="4:17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</row>
    <row r="174" spans="4:17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</row>
    <row r="175" spans="4:17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</row>
    <row r="176" spans="4:17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</row>
    <row r="177" spans="4:21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</row>
    <row r="178" spans="4:21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21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21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21" ht="21" customHeight="1" x14ac:dyDescent="0.25">
      <c r="E181" s="4"/>
      <c r="F181" s="4"/>
      <c r="L181" s="45"/>
      <c r="P181" s="45"/>
      <c r="S181" s="112"/>
      <c r="U181" s="112"/>
    </row>
    <row r="182" spans="4:21" ht="21" customHeight="1" x14ac:dyDescent="0.25">
      <c r="E182" s="4"/>
      <c r="F182" s="4"/>
      <c r="L182" s="45"/>
      <c r="P182" s="45"/>
      <c r="S182" s="112"/>
      <c r="U182" s="112"/>
    </row>
    <row r="183" spans="4:21" ht="21" customHeight="1" x14ac:dyDescent="0.25">
      <c r="E183" s="4"/>
      <c r="F183" s="4"/>
      <c r="L183" s="45"/>
      <c r="P183" s="45"/>
      <c r="S183" s="112"/>
      <c r="U183" s="112"/>
    </row>
    <row r="184" spans="4:21" ht="21" customHeight="1" x14ac:dyDescent="0.25">
      <c r="E184" s="4"/>
      <c r="F184" s="4"/>
      <c r="L184" s="45"/>
      <c r="P184" s="45"/>
      <c r="S184" s="112"/>
      <c r="U184" s="112"/>
    </row>
    <row r="185" spans="4:21" ht="21" customHeight="1" x14ac:dyDescent="0.25">
      <c r="E185" s="4"/>
      <c r="F185" s="4"/>
      <c r="L185" s="45"/>
      <c r="P185" s="45"/>
      <c r="S185" s="112"/>
      <c r="U185" s="112"/>
    </row>
    <row r="186" spans="4:21" ht="21" customHeight="1" x14ac:dyDescent="0.25">
      <c r="E186" s="4"/>
      <c r="F186" s="4"/>
      <c r="L186" s="45"/>
      <c r="P186" s="45"/>
      <c r="S186" s="112"/>
      <c r="U186" s="112"/>
    </row>
    <row r="187" spans="4:21" ht="21" customHeight="1" x14ac:dyDescent="0.25">
      <c r="E187" s="4"/>
      <c r="F187" s="4"/>
      <c r="L187" s="45"/>
      <c r="P187" s="45"/>
      <c r="S187" s="112"/>
      <c r="U187" s="112"/>
    </row>
    <row r="188" spans="4:21" ht="21" customHeight="1" x14ac:dyDescent="0.25">
      <c r="E188" s="4"/>
      <c r="F188" s="4"/>
      <c r="L188" s="45"/>
      <c r="P188" s="45"/>
      <c r="S188" s="112"/>
      <c r="U188" s="112"/>
    </row>
    <row r="189" spans="4:21" ht="21" customHeight="1" x14ac:dyDescent="0.25">
      <c r="E189" s="4"/>
      <c r="F189" s="4"/>
      <c r="L189" s="45"/>
      <c r="P189" s="45"/>
      <c r="S189" s="112"/>
      <c r="U189" s="112"/>
    </row>
    <row r="190" spans="4:21" ht="21" customHeight="1" x14ac:dyDescent="0.25">
      <c r="E190" s="4"/>
      <c r="F190" s="4"/>
      <c r="L190" s="45"/>
      <c r="P190" s="45"/>
      <c r="S190" s="112"/>
      <c r="U190" s="112"/>
    </row>
    <row r="191" spans="4:21" ht="21" customHeight="1" x14ac:dyDescent="0.25">
      <c r="E191" s="4"/>
      <c r="F191" s="4"/>
      <c r="L191" s="45"/>
      <c r="P191" s="45"/>
      <c r="S191" s="112"/>
      <c r="U191" s="112"/>
    </row>
    <row r="192" spans="4:21" ht="21" customHeight="1" x14ac:dyDescent="0.25">
      <c r="E192" s="4"/>
      <c r="F192" s="4"/>
      <c r="L192" s="45"/>
      <c r="P192" s="45"/>
      <c r="S192" s="112"/>
      <c r="U192" s="112"/>
    </row>
    <row r="193" spans="5:21" ht="21" customHeight="1" x14ac:dyDescent="0.25">
      <c r="E193" s="4"/>
      <c r="F193" s="4"/>
      <c r="L193" s="45"/>
      <c r="P193" s="45"/>
      <c r="S193" s="112"/>
      <c r="U193" s="112"/>
    </row>
    <row r="194" spans="5:21" ht="21" customHeight="1" x14ac:dyDescent="0.25">
      <c r="E194" s="4"/>
      <c r="F194" s="4"/>
      <c r="L194" s="45"/>
      <c r="P194" s="45"/>
      <c r="S194" s="112"/>
      <c r="U194" s="112"/>
    </row>
    <row r="195" spans="5:21" ht="21" customHeight="1" x14ac:dyDescent="0.25">
      <c r="E195" s="4"/>
      <c r="F195" s="4"/>
      <c r="L195" s="45"/>
      <c r="P195" s="45"/>
      <c r="S195" s="112"/>
      <c r="U195" s="112"/>
    </row>
    <row r="196" spans="5:21" ht="21" customHeight="1" x14ac:dyDescent="0.25">
      <c r="E196" s="4"/>
      <c r="F196" s="4"/>
      <c r="L196" s="45"/>
      <c r="P196" s="45"/>
      <c r="S196" s="112"/>
      <c r="U196" s="112"/>
    </row>
    <row r="197" spans="5:21" ht="21" customHeight="1" x14ac:dyDescent="0.25">
      <c r="E197" s="4"/>
      <c r="F197" s="4"/>
      <c r="L197" s="45"/>
      <c r="P197" s="45"/>
      <c r="S197" s="112"/>
      <c r="U197" s="112"/>
    </row>
    <row r="198" spans="5:21" ht="21" customHeight="1" x14ac:dyDescent="0.25">
      <c r="E198" s="4"/>
      <c r="F198" s="4"/>
      <c r="L198" s="45"/>
      <c r="P198" s="45"/>
      <c r="S198" s="112"/>
      <c r="U198" s="112"/>
    </row>
    <row r="199" spans="5:21" ht="21" customHeight="1" x14ac:dyDescent="0.25">
      <c r="E199" s="4"/>
      <c r="F199" s="4"/>
      <c r="L199" s="45"/>
      <c r="P199" s="45"/>
      <c r="S199" s="112"/>
      <c r="U199" s="112"/>
    </row>
    <row r="200" spans="5:21" ht="21" customHeight="1" x14ac:dyDescent="0.25">
      <c r="E200" s="4"/>
      <c r="F200" s="4"/>
      <c r="L200" s="45"/>
      <c r="P200" s="45"/>
      <c r="S200" s="112"/>
      <c r="U200" s="112"/>
    </row>
    <row r="201" spans="5:21" ht="21" customHeight="1" x14ac:dyDescent="0.25">
      <c r="E201" s="4"/>
      <c r="F201" s="4"/>
      <c r="L201" s="45"/>
      <c r="P201" s="45"/>
      <c r="S201" s="112"/>
      <c r="U201" s="112"/>
    </row>
    <row r="202" spans="5:21" ht="21" customHeight="1" x14ac:dyDescent="0.25">
      <c r="E202" s="4"/>
      <c r="F202" s="4"/>
      <c r="L202" s="45"/>
      <c r="P202" s="45"/>
      <c r="S202" s="112"/>
      <c r="U202" s="112"/>
    </row>
    <row r="203" spans="5:21" ht="21" customHeight="1" x14ac:dyDescent="0.25">
      <c r="E203" s="4"/>
      <c r="F203" s="4"/>
      <c r="L203" s="45"/>
      <c r="P203" s="45"/>
      <c r="S203" s="112"/>
      <c r="U203" s="112"/>
    </row>
    <row r="204" spans="5:21" ht="21" customHeight="1" x14ac:dyDescent="0.25">
      <c r="E204" s="4"/>
      <c r="F204" s="4"/>
      <c r="S204" s="112"/>
      <c r="U204" s="112"/>
    </row>
    <row r="205" spans="5:21" ht="21" customHeight="1" x14ac:dyDescent="0.25">
      <c r="E205" s="4"/>
      <c r="F205" s="4"/>
      <c r="S205" s="112"/>
      <c r="U205" s="112"/>
    </row>
    <row r="206" spans="5:21" ht="21" customHeight="1" x14ac:dyDescent="0.25">
      <c r="E206" s="4"/>
      <c r="F206" s="4"/>
      <c r="S206" s="112"/>
      <c r="U206" s="112"/>
    </row>
    <row r="207" spans="5:21" ht="21" customHeight="1" x14ac:dyDescent="0.25">
      <c r="E207" s="4"/>
      <c r="F207" s="4"/>
      <c r="S207" s="112"/>
      <c r="U207" s="112"/>
    </row>
    <row r="208" spans="5:21" ht="21" customHeight="1" x14ac:dyDescent="0.25">
      <c r="E208" s="4"/>
      <c r="F208" s="4"/>
      <c r="S208" s="112"/>
      <c r="U208" s="112"/>
    </row>
    <row r="209" spans="5:21" ht="21" customHeight="1" x14ac:dyDescent="0.25">
      <c r="E209" s="4"/>
      <c r="F209" s="4"/>
      <c r="S209" s="112"/>
      <c r="U209" s="112"/>
    </row>
    <row r="210" spans="5:21" ht="21" customHeight="1" x14ac:dyDescent="0.25">
      <c r="E210" s="4"/>
      <c r="F210" s="4"/>
      <c r="S210" s="112"/>
      <c r="U210" s="112"/>
    </row>
    <row r="211" spans="5:21" ht="21" customHeight="1" x14ac:dyDescent="0.25">
      <c r="E211" s="4"/>
      <c r="F211" s="4"/>
      <c r="S211" s="112"/>
      <c r="U211" s="112"/>
    </row>
    <row r="212" spans="5:21" ht="21" customHeight="1" x14ac:dyDescent="0.25">
      <c r="E212" s="4"/>
      <c r="F212" s="4"/>
      <c r="S212" s="112"/>
      <c r="U212" s="112"/>
    </row>
    <row r="213" spans="5:21" ht="21" customHeight="1" x14ac:dyDescent="0.25">
      <c r="E213" s="4"/>
      <c r="F213" s="4"/>
      <c r="S213" s="112"/>
      <c r="U213" s="112"/>
    </row>
    <row r="214" spans="5:21" ht="21" customHeight="1" x14ac:dyDescent="0.25">
      <c r="E214" s="4"/>
      <c r="F214" s="4"/>
      <c r="S214" s="112"/>
      <c r="U214" s="112"/>
    </row>
    <row r="215" spans="5:21" ht="21" customHeight="1" x14ac:dyDescent="0.25">
      <c r="E215" s="4"/>
      <c r="F215" s="4"/>
      <c r="S215" s="112"/>
      <c r="U215" s="112"/>
    </row>
    <row r="216" spans="5:21" ht="21" customHeight="1" x14ac:dyDescent="0.25">
      <c r="E216" s="4"/>
      <c r="F216" s="4"/>
      <c r="S216" s="112"/>
      <c r="U216" s="112"/>
    </row>
    <row r="217" spans="5:21" ht="21" customHeight="1" x14ac:dyDescent="0.25">
      <c r="E217" s="4"/>
      <c r="F217" s="4"/>
      <c r="S217" s="112"/>
      <c r="U217" s="112"/>
    </row>
    <row r="218" spans="5:21" ht="21" customHeight="1" x14ac:dyDescent="0.25">
      <c r="E218" s="4"/>
      <c r="F218" s="4"/>
      <c r="S218" s="112"/>
      <c r="U218" s="112"/>
    </row>
    <row r="219" spans="5:21" ht="21" customHeight="1" x14ac:dyDescent="0.25">
      <c r="E219" s="4"/>
      <c r="F219" s="4"/>
      <c r="S219" s="112"/>
      <c r="U219" s="112"/>
    </row>
    <row r="220" spans="5:21" ht="21" customHeight="1" x14ac:dyDescent="0.25">
      <c r="E220" s="4"/>
      <c r="F220" s="4"/>
      <c r="S220" s="112"/>
      <c r="U220" s="112"/>
    </row>
    <row r="221" spans="5:21" ht="21" customHeight="1" x14ac:dyDescent="0.25">
      <c r="E221" s="4"/>
      <c r="F221" s="4"/>
      <c r="S221" s="112"/>
      <c r="U221" s="112"/>
    </row>
    <row r="222" spans="5:21" ht="21" customHeight="1" x14ac:dyDescent="0.25">
      <c r="E222" s="4"/>
      <c r="F222" s="4"/>
      <c r="S222" s="112"/>
      <c r="U222" s="112"/>
    </row>
    <row r="223" spans="5:21" ht="21" customHeight="1" x14ac:dyDescent="0.25">
      <c r="E223" s="4"/>
      <c r="F223" s="4"/>
      <c r="S223" s="112"/>
      <c r="U223" s="112"/>
    </row>
    <row r="224" spans="5:21" ht="21" customHeight="1" x14ac:dyDescent="0.25">
      <c r="E224" s="4"/>
      <c r="F224" s="4"/>
      <c r="S224" s="112"/>
      <c r="U224" s="112"/>
    </row>
    <row r="225" spans="5:21" ht="21" customHeight="1" x14ac:dyDescent="0.25">
      <c r="E225" s="4"/>
      <c r="F225" s="4"/>
      <c r="S225" s="112"/>
      <c r="U225" s="112"/>
    </row>
    <row r="226" spans="5:21" ht="21" customHeight="1" x14ac:dyDescent="0.25">
      <c r="E226" s="4"/>
      <c r="F226" s="4"/>
      <c r="S226" s="112"/>
      <c r="U226" s="112"/>
    </row>
    <row r="227" spans="5:21" ht="21" customHeight="1" x14ac:dyDescent="0.25">
      <c r="E227" s="4"/>
      <c r="F227" s="4"/>
      <c r="S227" s="112"/>
      <c r="U227" s="112"/>
    </row>
    <row r="228" spans="5:21" ht="21" customHeight="1" x14ac:dyDescent="0.25">
      <c r="E228" s="4"/>
      <c r="F228" s="4"/>
      <c r="S228" s="112"/>
      <c r="U228" s="112"/>
    </row>
    <row r="229" spans="5:21" ht="21" customHeight="1" x14ac:dyDescent="0.25">
      <c r="E229" s="4"/>
      <c r="F229" s="4"/>
      <c r="S229" s="112"/>
      <c r="U229" s="112"/>
    </row>
    <row r="230" spans="5:21" ht="21" customHeight="1" x14ac:dyDescent="0.25">
      <c r="E230" s="4"/>
      <c r="F230" s="4"/>
      <c r="S230" s="112"/>
      <c r="U230" s="112"/>
    </row>
    <row r="231" spans="5:21" ht="21" customHeight="1" x14ac:dyDescent="0.25">
      <c r="E231" s="4"/>
      <c r="F231" s="4"/>
      <c r="S231" s="112"/>
      <c r="U231" s="112"/>
    </row>
    <row r="232" spans="5:21" ht="21" customHeight="1" x14ac:dyDescent="0.25">
      <c r="E232" s="4"/>
      <c r="F232" s="4"/>
      <c r="S232" s="112"/>
      <c r="U232" s="112"/>
    </row>
    <row r="233" spans="5:21" ht="21" customHeight="1" x14ac:dyDescent="0.25">
      <c r="E233" s="4"/>
      <c r="F233" s="4"/>
      <c r="S233" s="112"/>
      <c r="U233" s="112"/>
    </row>
    <row r="234" spans="5:21" ht="21" customHeight="1" x14ac:dyDescent="0.25">
      <c r="E234" s="4"/>
      <c r="F234" s="4"/>
      <c r="S234" s="112"/>
      <c r="U234" s="112"/>
    </row>
    <row r="235" spans="5:21" ht="21" customHeight="1" x14ac:dyDescent="0.25">
      <c r="E235" s="4"/>
      <c r="F235" s="4"/>
      <c r="S235" s="112"/>
      <c r="U235" s="112"/>
    </row>
    <row r="236" spans="5:21" ht="21" customHeight="1" x14ac:dyDescent="0.25">
      <c r="E236" s="4"/>
      <c r="F236" s="4"/>
      <c r="S236" s="112"/>
      <c r="U236" s="112"/>
    </row>
    <row r="237" spans="5:21" ht="21" customHeight="1" x14ac:dyDescent="0.25">
      <c r="E237" s="4"/>
      <c r="F237" s="4"/>
      <c r="S237" s="112"/>
      <c r="U237" s="112"/>
    </row>
    <row r="238" spans="5:21" ht="21" customHeight="1" x14ac:dyDescent="0.25">
      <c r="E238" s="4"/>
      <c r="F238" s="4"/>
      <c r="S238" s="112"/>
      <c r="U238" s="112"/>
    </row>
    <row r="239" spans="5:21" ht="21" customHeight="1" x14ac:dyDescent="0.25">
      <c r="E239" s="4"/>
      <c r="F239" s="4"/>
      <c r="S239" s="112"/>
      <c r="U239" s="112"/>
    </row>
    <row r="240" spans="5:21" ht="21" customHeight="1" x14ac:dyDescent="0.25">
      <c r="E240" s="4"/>
      <c r="F240" s="4"/>
      <c r="S240" s="112"/>
      <c r="U240" s="112"/>
    </row>
    <row r="241" spans="5:21" ht="21" customHeight="1" x14ac:dyDescent="0.25">
      <c r="E241" s="4"/>
      <c r="F241" s="4"/>
      <c r="S241" s="112"/>
      <c r="U241" s="112"/>
    </row>
    <row r="242" spans="5:21" ht="21" customHeight="1" x14ac:dyDescent="0.25">
      <c r="E242" s="4"/>
      <c r="F242" s="4"/>
      <c r="S242" s="112"/>
      <c r="U242" s="112"/>
    </row>
    <row r="243" spans="5:21" ht="21" customHeight="1" x14ac:dyDescent="0.25">
      <c r="E243" s="4"/>
      <c r="F243" s="4"/>
      <c r="S243" s="112"/>
      <c r="U243" s="112"/>
    </row>
    <row r="244" spans="5:21" ht="21" customHeight="1" x14ac:dyDescent="0.25">
      <c r="E244" s="4"/>
      <c r="F244" s="4"/>
      <c r="S244" s="112"/>
      <c r="U244" s="112"/>
    </row>
    <row r="245" spans="5:21" ht="21" customHeight="1" x14ac:dyDescent="0.25">
      <c r="E245" s="4"/>
      <c r="F245" s="4"/>
      <c r="S245" s="112"/>
      <c r="U245" s="112"/>
    </row>
    <row r="246" spans="5:21" ht="21" customHeight="1" x14ac:dyDescent="0.25">
      <c r="E246" s="4"/>
      <c r="F246" s="4"/>
      <c r="S246" s="112"/>
      <c r="U246" s="112"/>
    </row>
    <row r="247" spans="5:21" ht="21" customHeight="1" x14ac:dyDescent="0.25">
      <c r="E247" s="4"/>
      <c r="F247" s="4"/>
      <c r="S247" s="112"/>
      <c r="U247" s="112"/>
    </row>
    <row r="248" spans="5:21" ht="21" customHeight="1" x14ac:dyDescent="0.25">
      <c r="E248" s="4"/>
      <c r="F248" s="4"/>
      <c r="S248" s="112"/>
      <c r="U248" s="112"/>
    </row>
    <row r="249" spans="5:21" ht="21" customHeight="1" x14ac:dyDescent="0.25">
      <c r="E249" s="4"/>
      <c r="F249" s="4"/>
      <c r="S249" s="112"/>
      <c r="U249" s="112"/>
    </row>
    <row r="250" spans="5:21" ht="21" customHeight="1" x14ac:dyDescent="0.25">
      <c r="E250" s="4"/>
      <c r="F250" s="4"/>
      <c r="S250" s="112"/>
      <c r="U250" s="112"/>
    </row>
    <row r="251" spans="5:21" ht="21" customHeight="1" x14ac:dyDescent="0.25">
      <c r="E251" s="4"/>
      <c r="F251" s="4"/>
      <c r="S251" s="112"/>
      <c r="U251" s="112"/>
    </row>
    <row r="252" spans="5:21" ht="21" customHeight="1" x14ac:dyDescent="0.25">
      <c r="E252" s="4"/>
      <c r="F252" s="4"/>
      <c r="S252" s="112"/>
      <c r="U252" s="112"/>
    </row>
    <row r="253" spans="5:21" ht="21" customHeight="1" x14ac:dyDescent="0.25">
      <c r="E253" s="4"/>
      <c r="F253" s="4"/>
      <c r="S253" s="112"/>
      <c r="U253" s="112"/>
    </row>
    <row r="254" spans="5:21" ht="21" customHeight="1" x14ac:dyDescent="0.25">
      <c r="E254" s="4"/>
      <c r="F254" s="4"/>
      <c r="S254" s="112"/>
      <c r="U254" s="112"/>
    </row>
    <row r="255" spans="5:21" ht="21" customHeight="1" x14ac:dyDescent="0.25">
      <c r="E255" s="4"/>
      <c r="F255" s="4"/>
      <c r="S255" s="112"/>
      <c r="U255" s="112"/>
    </row>
    <row r="256" spans="5:21" ht="21" customHeight="1" x14ac:dyDescent="0.25">
      <c r="E256" s="4"/>
      <c r="F256" s="4"/>
      <c r="S256" s="112"/>
      <c r="U256" s="112"/>
    </row>
    <row r="257" spans="5:21" ht="21" customHeight="1" x14ac:dyDescent="0.25">
      <c r="E257" s="4"/>
      <c r="F257" s="4"/>
      <c r="S257" s="112"/>
      <c r="U257" s="112"/>
    </row>
    <row r="258" spans="5:21" ht="21" customHeight="1" x14ac:dyDescent="0.25">
      <c r="E258" s="4"/>
      <c r="F258" s="4"/>
      <c r="S258" s="112"/>
      <c r="U258" s="112"/>
    </row>
    <row r="259" spans="5:21" ht="21" customHeight="1" x14ac:dyDescent="0.25">
      <c r="E259" s="4"/>
      <c r="F259" s="4"/>
      <c r="S259" s="112"/>
      <c r="U259" s="112"/>
    </row>
    <row r="260" spans="5:21" ht="21" customHeight="1" x14ac:dyDescent="0.25">
      <c r="E260" s="4"/>
      <c r="F260" s="4"/>
      <c r="S260" s="112"/>
      <c r="U260" s="112"/>
    </row>
    <row r="261" spans="5:21" ht="21" customHeight="1" x14ac:dyDescent="0.25">
      <c r="E261" s="4"/>
      <c r="F261" s="4"/>
      <c r="S261" s="112"/>
      <c r="U261" s="112"/>
    </row>
    <row r="262" spans="5:21" ht="21" customHeight="1" x14ac:dyDescent="0.25">
      <c r="E262" s="4"/>
      <c r="F262" s="4"/>
      <c r="S262" s="112"/>
      <c r="U262" s="112"/>
    </row>
    <row r="263" spans="5:21" ht="21" customHeight="1" x14ac:dyDescent="0.25">
      <c r="E263" s="4"/>
      <c r="F263" s="4"/>
      <c r="S263" s="112"/>
      <c r="U263" s="112"/>
    </row>
    <row r="264" spans="5:21" ht="21" customHeight="1" x14ac:dyDescent="0.25">
      <c r="E264" s="4"/>
      <c r="F264" s="4"/>
      <c r="S264" s="112"/>
      <c r="U264" s="112"/>
    </row>
    <row r="265" spans="5:21" ht="21" customHeight="1" x14ac:dyDescent="0.25">
      <c r="E265" s="4"/>
      <c r="F265" s="4"/>
      <c r="S265" s="112"/>
      <c r="U265" s="112"/>
    </row>
    <row r="266" spans="5:21" ht="21" customHeight="1" x14ac:dyDescent="0.25">
      <c r="E266" s="4"/>
      <c r="F266" s="4"/>
      <c r="S266" s="112"/>
      <c r="U266" s="112"/>
    </row>
    <row r="267" spans="5:21" ht="21" customHeight="1" x14ac:dyDescent="0.25">
      <c r="E267" s="4"/>
      <c r="F267" s="4"/>
      <c r="S267" s="112"/>
      <c r="U267" s="112"/>
    </row>
    <row r="268" spans="5:21" ht="21" customHeight="1" x14ac:dyDescent="0.25">
      <c r="E268" s="4"/>
      <c r="F268" s="4"/>
      <c r="S268" s="112"/>
      <c r="U268" s="112"/>
    </row>
    <row r="269" spans="5:21" ht="21" customHeight="1" x14ac:dyDescent="0.25">
      <c r="E269" s="4"/>
      <c r="F269" s="4"/>
      <c r="S269" s="112"/>
      <c r="U269" s="112"/>
    </row>
    <row r="270" spans="5:21" ht="21" customHeight="1" x14ac:dyDescent="0.25">
      <c r="E270" s="4"/>
      <c r="F270" s="4"/>
      <c r="S270" s="112"/>
      <c r="U270" s="112"/>
    </row>
    <row r="271" spans="5:21" ht="21" customHeight="1" x14ac:dyDescent="0.25">
      <c r="E271" s="4"/>
      <c r="F271" s="4"/>
      <c r="S271" s="112"/>
      <c r="U271" s="112"/>
    </row>
    <row r="272" spans="5:21" ht="21" customHeight="1" x14ac:dyDescent="0.25">
      <c r="E272" s="4"/>
      <c r="F272" s="4"/>
      <c r="S272" s="112"/>
      <c r="U272" s="112"/>
    </row>
    <row r="273" spans="5:21" ht="21" customHeight="1" x14ac:dyDescent="0.25">
      <c r="E273" s="4"/>
      <c r="F273" s="4"/>
      <c r="S273" s="112"/>
      <c r="U273" s="112"/>
    </row>
    <row r="274" spans="5:21" ht="21" customHeight="1" x14ac:dyDescent="0.25">
      <c r="E274" s="4"/>
      <c r="F274" s="4"/>
      <c r="S274" s="112"/>
      <c r="U274" s="112"/>
    </row>
    <row r="275" spans="5:21" ht="21" customHeight="1" x14ac:dyDescent="0.25">
      <c r="E275" s="4"/>
      <c r="F275" s="4"/>
      <c r="S275" s="112"/>
      <c r="U275" s="112"/>
    </row>
    <row r="276" spans="5:21" ht="21" customHeight="1" x14ac:dyDescent="0.25">
      <c r="E276" s="4"/>
      <c r="F276" s="4"/>
      <c r="S276" s="112"/>
      <c r="U276" s="112"/>
    </row>
    <row r="277" spans="5:21" ht="21" customHeight="1" x14ac:dyDescent="0.25">
      <c r="E277" s="4"/>
      <c r="F277" s="4"/>
      <c r="S277" s="112"/>
      <c r="U277" s="112"/>
    </row>
    <row r="278" spans="5:21" ht="21" customHeight="1" x14ac:dyDescent="0.25">
      <c r="E278" s="4"/>
      <c r="F278" s="4"/>
      <c r="S278" s="112"/>
      <c r="U278" s="112"/>
    </row>
    <row r="279" spans="5:21" ht="21" customHeight="1" x14ac:dyDescent="0.25">
      <c r="E279" s="4"/>
      <c r="F279" s="4"/>
      <c r="S279" s="112"/>
      <c r="U279" s="112"/>
    </row>
    <row r="280" spans="5:21" ht="21" customHeight="1" x14ac:dyDescent="0.25">
      <c r="E280" s="4"/>
      <c r="F280" s="4"/>
      <c r="S280" s="112"/>
      <c r="U280" s="112"/>
    </row>
    <row r="281" spans="5:21" ht="21" customHeight="1" x14ac:dyDescent="0.25">
      <c r="E281" s="4"/>
      <c r="F281" s="4"/>
      <c r="S281" s="112"/>
      <c r="U281" s="112"/>
    </row>
    <row r="282" spans="5:21" ht="21" customHeight="1" x14ac:dyDescent="0.25">
      <c r="E282" s="4"/>
      <c r="F282" s="4"/>
      <c r="S282" s="112"/>
      <c r="U282" s="112"/>
    </row>
    <row r="283" spans="5:21" ht="21" customHeight="1" x14ac:dyDescent="0.25">
      <c r="E283" s="4"/>
      <c r="F283" s="4"/>
      <c r="S283" s="112"/>
      <c r="U283" s="112"/>
    </row>
    <row r="284" spans="5:21" ht="21" customHeight="1" x14ac:dyDescent="0.25">
      <c r="E284" s="4"/>
      <c r="F284" s="4"/>
      <c r="S284" s="112"/>
      <c r="U284" s="112"/>
    </row>
    <row r="285" spans="5:21" ht="21" customHeight="1" x14ac:dyDescent="0.25">
      <c r="E285" s="4"/>
      <c r="F285" s="4"/>
      <c r="S285" s="112"/>
      <c r="U285" s="112"/>
    </row>
    <row r="286" spans="5:21" ht="21" customHeight="1" x14ac:dyDescent="0.25">
      <c r="E286" s="4"/>
      <c r="F286" s="4"/>
      <c r="S286" s="112"/>
      <c r="U286" s="112"/>
    </row>
    <row r="287" spans="5:21" ht="21" customHeight="1" x14ac:dyDescent="0.25">
      <c r="E287" s="4"/>
      <c r="F287" s="4"/>
      <c r="S287" s="112"/>
      <c r="U287" s="112"/>
    </row>
    <row r="288" spans="5:21" ht="21" customHeight="1" x14ac:dyDescent="0.25">
      <c r="E288" s="4"/>
      <c r="F288" s="4"/>
      <c r="S288" s="112"/>
      <c r="U288" s="112"/>
    </row>
    <row r="289" spans="5:21" ht="21" customHeight="1" x14ac:dyDescent="0.25">
      <c r="E289" s="4"/>
      <c r="F289" s="4"/>
      <c r="S289" s="112"/>
      <c r="U289" s="112"/>
    </row>
    <row r="290" spans="5:21" ht="21" customHeight="1" x14ac:dyDescent="0.25">
      <c r="E290" s="4"/>
      <c r="F290" s="4"/>
      <c r="S290" s="112"/>
      <c r="U290" s="112"/>
    </row>
    <row r="291" spans="5:21" ht="21" customHeight="1" x14ac:dyDescent="0.25">
      <c r="S291" s="112"/>
      <c r="U291" s="112"/>
    </row>
    <row r="292" spans="5:21" ht="21" customHeight="1" x14ac:dyDescent="0.25">
      <c r="S292" s="112"/>
      <c r="U292" s="112"/>
    </row>
    <row r="293" spans="5:21" ht="21" customHeight="1" x14ac:dyDescent="0.25">
      <c r="S293" s="112"/>
      <c r="U293" s="112"/>
    </row>
    <row r="294" spans="5:21" ht="21" customHeight="1" x14ac:dyDescent="0.25">
      <c r="S294" s="112"/>
      <c r="U294" s="112"/>
    </row>
    <row r="295" spans="5:21" ht="21" customHeight="1" x14ac:dyDescent="0.25">
      <c r="S295" s="112"/>
      <c r="U295" s="112"/>
    </row>
    <row r="296" spans="5:21" ht="21" customHeight="1" x14ac:dyDescent="0.25">
      <c r="S296" s="112"/>
      <c r="U296" s="112"/>
    </row>
    <row r="297" spans="5:21" ht="21" customHeight="1" x14ac:dyDescent="0.25">
      <c r="S297" s="112"/>
      <c r="U297" s="112"/>
    </row>
    <row r="298" spans="5:21" ht="21" customHeight="1" x14ac:dyDescent="0.25">
      <c r="S298" s="112"/>
      <c r="U298" s="112"/>
    </row>
    <row r="299" spans="5:21" ht="21" customHeight="1" x14ac:dyDescent="0.25">
      <c r="S299" s="112"/>
      <c r="U299" s="112"/>
    </row>
    <row r="300" spans="5:21" ht="21" customHeight="1" x14ac:dyDescent="0.25">
      <c r="S300" s="112"/>
      <c r="U300" s="112"/>
    </row>
    <row r="301" spans="5:21" ht="21" customHeight="1" x14ac:dyDescent="0.25">
      <c r="S301" s="112"/>
      <c r="U301" s="112"/>
    </row>
    <row r="302" spans="5:21" ht="21" customHeight="1" x14ac:dyDescent="0.25">
      <c r="S302" s="112"/>
      <c r="U302" s="112"/>
    </row>
    <row r="303" spans="5:21" ht="21" customHeight="1" x14ac:dyDescent="0.25">
      <c r="S303" s="112"/>
      <c r="U303" s="112"/>
    </row>
    <row r="304" spans="5:21" ht="21" customHeight="1" x14ac:dyDescent="0.25">
      <c r="S304" s="112"/>
      <c r="U304" s="112"/>
    </row>
    <row r="305" spans="19:21" ht="21" customHeight="1" x14ac:dyDescent="0.25">
      <c r="S305" s="112"/>
      <c r="U305" s="112"/>
    </row>
    <row r="306" spans="19:21" ht="21" customHeight="1" x14ac:dyDescent="0.25">
      <c r="S306" s="112"/>
      <c r="U306" s="112"/>
    </row>
    <row r="307" spans="19:21" ht="21" customHeight="1" x14ac:dyDescent="0.25">
      <c r="S307" s="112"/>
      <c r="U307" s="112"/>
    </row>
    <row r="308" spans="19:21" ht="21" customHeight="1" x14ac:dyDescent="0.25">
      <c r="S308" s="112"/>
      <c r="U308" s="112"/>
    </row>
    <row r="309" spans="19:21" ht="21" customHeight="1" x14ac:dyDescent="0.25">
      <c r="S309" s="112"/>
      <c r="U309" s="112"/>
    </row>
    <row r="310" spans="19:21" ht="21" customHeight="1" x14ac:dyDescent="0.25">
      <c r="S310" s="112"/>
      <c r="U310" s="112"/>
    </row>
    <row r="311" spans="19:21" ht="21" customHeight="1" x14ac:dyDescent="0.25">
      <c r="S311" s="112"/>
      <c r="U311" s="112"/>
    </row>
    <row r="312" spans="19:21" ht="21" customHeight="1" x14ac:dyDescent="0.25">
      <c r="S312" s="112"/>
      <c r="U312" s="112"/>
    </row>
    <row r="313" spans="19:21" ht="21" customHeight="1" x14ac:dyDescent="0.25">
      <c r="S313" s="112"/>
      <c r="U313" s="112"/>
    </row>
    <row r="314" spans="19:21" ht="21" customHeight="1" x14ac:dyDescent="0.25">
      <c r="S314" s="112"/>
      <c r="U314" s="112"/>
    </row>
    <row r="315" spans="19:21" ht="21" customHeight="1" x14ac:dyDescent="0.25">
      <c r="S315" s="112"/>
      <c r="U315" s="112"/>
    </row>
    <row r="316" spans="19:21" ht="21" customHeight="1" x14ac:dyDescent="0.25">
      <c r="S316" s="112"/>
      <c r="U316" s="112"/>
    </row>
    <row r="317" spans="19:21" ht="21" customHeight="1" x14ac:dyDescent="0.25">
      <c r="S317" s="112"/>
      <c r="U317" s="112"/>
    </row>
    <row r="318" spans="19:21" ht="21" customHeight="1" x14ac:dyDescent="0.25">
      <c r="S318" s="112"/>
      <c r="U318" s="112"/>
    </row>
    <row r="319" spans="19:21" ht="21" customHeight="1" x14ac:dyDescent="0.25">
      <c r="S319" s="112"/>
      <c r="U319" s="112"/>
    </row>
    <row r="320" spans="19:21" ht="21" customHeight="1" x14ac:dyDescent="0.25">
      <c r="S320" s="112"/>
      <c r="U320" s="112"/>
    </row>
    <row r="321" spans="19:21" ht="21" customHeight="1" x14ac:dyDescent="0.25">
      <c r="S321" s="112"/>
      <c r="U321" s="112"/>
    </row>
    <row r="322" spans="19:21" ht="21" customHeight="1" x14ac:dyDescent="0.25">
      <c r="S322" s="112"/>
      <c r="U322" s="112"/>
    </row>
    <row r="323" spans="19:21" ht="21" customHeight="1" x14ac:dyDescent="0.25">
      <c r="S323" s="112"/>
      <c r="U323" s="112"/>
    </row>
    <row r="324" spans="19:21" ht="21" customHeight="1" x14ac:dyDescent="0.25">
      <c r="S324" s="112"/>
      <c r="U324" s="112"/>
    </row>
    <row r="325" spans="19:21" ht="21" customHeight="1" x14ac:dyDescent="0.25">
      <c r="S325" s="112"/>
      <c r="U325" s="112"/>
    </row>
    <row r="326" spans="19:21" ht="21" customHeight="1" x14ac:dyDescent="0.25">
      <c r="S326" s="112"/>
      <c r="U326" s="112"/>
    </row>
    <row r="327" spans="19:21" ht="21" customHeight="1" x14ac:dyDescent="0.25">
      <c r="S327" s="112"/>
      <c r="U327" s="112"/>
    </row>
    <row r="328" spans="19:21" ht="21" customHeight="1" x14ac:dyDescent="0.25">
      <c r="S328" s="112"/>
      <c r="U328" s="112"/>
    </row>
    <row r="329" spans="19:21" ht="21" customHeight="1" x14ac:dyDescent="0.25">
      <c r="S329" s="112"/>
      <c r="U329" s="112"/>
    </row>
    <row r="330" spans="19:21" ht="21" customHeight="1" x14ac:dyDescent="0.25">
      <c r="S330" s="112"/>
      <c r="U330" s="112"/>
    </row>
    <row r="331" spans="19:21" ht="21" customHeight="1" x14ac:dyDescent="0.25">
      <c r="S331" s="112"/>
      <c r="U331" s="112"/>
    </row>
    <row r="332" spans="19:21" ht="21" customHeight="1" x14ac:dyDescent="0.25">
      <c r="S332" s="112"/>
      <c r="U332" s="112"/>
    </row>
    <row r="333" spans="19:21" ht="21" customHeight="1" x14ac:dyDescent="0.25">
      <c r="S333" s="112"/>
      <c r="U333" s="112"/>
    </row>
    <row r="334" spans="19:21" ht="21" customHeight="1" x14ac:dyDescent="0.25">
      <c r="S334" s="112"/>
      <c r="U334" s="112"/>
    </row>
    <row r="335" spans="19:21" ht="21" customHeight="1" x14ac:dyDescent="0.25">
      <c r="S335" s="112"/>
      <c r="U335" s="112"/>
    </row>
    <row r="336" spans="19:21" ht="21" customHeight="1" x14ac:dyDescent="0.25">
      <c r="S336" s="112"/>
      <c r="U336" s="112"/>
    </row>
    <row r="337" spans="19:21" ht="21" customHeight="1" x14ac:dyDescent="0.25">
      <c r="S337" s="112"/>
      <c r="U337" s="112"/>
    </row>
    <row r="338" spans="19:21" ht="21" customHeight="1" x14ac:dyDescent="0.25">
      <c r="S338" s="112"/>
      <c r="U338" s="112"/>
    </row>
    <row r="339" spans="19:21" ht="21" customHeight="1" x14ac:dyDescent="0.25">
      <c r="S339" s="112"/>
      <c r="U339" s="112"/>
    </row>
    <row r="340" spans="19:21" ht="21" customHeight="1" x14ac:dyDescent="0.25">
      <c r="S340" s="112"/>
      <c r="U340" s="112"/>
    </row>
    <row r="341" spans="19:21" ht="21" customHeight="1" x14ac:dyDescent="0.25">
      <c r="S341" s="112"/>
      <c r="U341" s="112"/>
    </row>
    <row r="342" spans="19:21" ht="21" customHeight="1" x14ac:dyDescent="0.25">
      <c r="S342" s="112"/>
      <c r="U342" s="112"/>
    </row>
    <row r="343" spans="19:21" ht="21" customHeight="1" x14ac:dyDescent="0.25">
      <c r="S343" s="112"/>
      <c r="U343" s="112"/>
    </row>
    <row r="344" spans="19:21" ht="21" customHeight="1" x14ac:dyDescent="0.25">
      <c r="S344" s="112"/>
      <c r="U344" s="112"/>
    </row>
    <row r="345" spans="19:21" ht="21" customHeight="1" x14ac:dyDescent="0.25">
      <c r="S345" s="112"/>
      <c r="U345" s="112"/>
    </row>
    <row r="346" spans="19:21" ht="21" customHeight="1" x14ac:dyDescent="0.25">
      <c r="S346" s="112"/>
      <c r="U346" s="112"/>
    </row>
    <row r="347" spans="19:21" ht="21" customHeight="1" x14ac:dyDescent="0.25">
      <c r="S347" s="112"/>
      <c r="U347" s="112"/>
    </row>
    <row r="348" spans="19:21" ht="21" customHeight="1" x14ac:dyDescent="0.25">
      <c r="S348" s="112"/>
      <c r="U348" s="112"/>
    </row>
    <row r="349" spans="19:21" ht="21" customHeight="1" x14ac:dyDescent="0.25">
      <c r="S349" s="112"/>
      <c r="U349" s="112"/>
    </row>
    <row r="350" spans="19:21" ht="21" customHeight="1" x14ac:dyDescent="0.25">
      <c r="S350" s="112"/>
      <c r="U350" s="112"/>
    </row>
    <row r="351" spans="19:21" ht="21" customHeight="1" x14ac:dyDescent="0.25">
      <c r="S351" s="112"/>
      <c r="U351" s="112"/>
    </row>
    <row r="352" spans="19:21" ht="21" customHeight="1" x14ac:dyDescent="0.25">
      <c r="S352" s="112"/>
      <c r="U352" s="112"/>
    </row>
    <row r="353" spans="19:21" ht="21" customHeight="1" x14ac:dyDescent="0.25">
      <c r="S353" s="112"/>
      <c r="U353" s="112"/>
    </row>
    <row r="354" spans="19:21" ht="21" customHeight="1" x14ac:dyDescent="0.25">
      <c r="S354" s="112"/>
      <c r="U354" s="112"/>
    </row>
    <row r="355" spans="19:21" ht="21" customHeight="1" x14ac:dyDescent="0.25">
      <c r="S355" s="112"/>
      <c r="U355" s="112"/>
    </row>
    <row r="356" spans="19:21" ht="21" customHeight="1" x14ac:dyDescent="0.25">
      <c r="S356" s="112"/>
      <c r="U356" s="112"/>
    </row>
    <row r="357" spans="19:21" ht="21" customHeight="1" x14ac:dyDescent="0.25">
      <c r="S357" s="112"/>
      <c r="U357" s="112"/>
    </row>
    <row r="358" spans="19:21" ht="21" customHeight="1" x14ac:dyDescent="0.25">
      <c r="S358" s="112"/>
      <c r="U358" s="112"/>
    </row>
    <row r="359" spans="19:21" ht="21" customHeight="1" x14ac:dyDescent="0.25">
      <c r="S359" s="112"/>
      <c r="U359" s="112"/>
    </row>
    <row r="360" spans="19:21" ht="21" customHeight="1" x14ac:dyDescent="0.25">
      <c r="S360" s="112"/>
      <c r="U360" s="112"/>
    </row>
    <row r="361" spans="19:21" ht="21" customHeight="1" x14ac:dyDescent="0.25">
      <c r="S361" s="112"/>
      <c r="U361" s="112"/>
    </row>
    <row r="362" spans="19:21" ht="21" customHeight="1" x14ac:dyDescent="0.25">
      <c r="S362" s="112"/>
      <c r="U362" s="112"/>
    </row>
    <row r="363" spans="19:21" ht="21" customHeight="1" x14ac:dyDescent="0.25">
      <c r="S363" s="112"/>
      <c r="U363" s="112"/>
    </row>
    <row r="364" spans="19:21" ht="21" customHeight="1" x14ac:dyDescent="0.25">
      <c r="S364" s="112"/>
      <c r="U364" s="112"/>
    </row>
    <row r="365" spans="19:21" ht="21" customHeight="1" x14ac:dyDescent="0.25">
      <c r="S365" s="112"/>
      <c r="U365" s="112"/>
    </row>
    <row r="366" spans="19:21" ht="21" customHeight="1" x14ac:dyDescent="0.25">
      <c r="S366" s="112"/>
      <c r="U366" s="112"/>
    </row>
    <row r="367" spans="19:21" ht="21" customHeight="1" x14ac:dyDescent="0.25">
      <c r="S367" s="112"/>
      <c r="U367" s="112"/>
    </row>
    <row r="368" spans="19:21" ht="21" customHeight="1" x14ac:dyDescent="0.25">
      <c r="S368" s="112"/>
      <c r="U368" s="112"/>
    </row>
    <row r="369" spans="19:21" ht="21" customHeight="1" x14ac:dyDescent="0.25">
      <c r="S369" s="112"/>
      <c r="U369" s="112"/>
    </row>
    <row r="370" spans="19:21" ht="21" customHeight="1" x14ac:dyDescent="0.25">
      <c r="S370" s="112"/>
      <c r="U370" s="112"/>
    </row>
    <row r="371" spans="19:21" ht="21" customHeight="1" x14ac:dyDescent="0.25">
      <c r="S371" s="112"/>
      <c r="U371" s="112"/>
    </row>
    <row r="372" spans="19:21" ht="21" customHeight="1" x14ac:dyDescent="0.25">
      <c r="S372" s="112"/>
      <c r="U372" s="112"/>
    </row>
    <row r="373" spans="19:21" ht="21" customHeight="1" x14ac:dyDescent="0.25">
      <c r="S373" s="112"/>
      <c r="U373" s="112"/>
    </row>
    <row r="374" spans="19:21" ht="21" customHeight="1" x14ac:dyDescent="0.25">
      <c r="S374" s="112"/>
      <c r="U374" s="112"/>
    </row>
    <row r="375" spans="19:21" ht="21" customHeight="1" x14ac:dyDescent="0.25">
      <c r="S375" s="112"/>
      <c r="U375" s="112"/>
    </row>
    <row r="376" spans="19:21" ht="21" customHeight="1" x14ac:dyDescent="0.25">
      <c r="S376" s="112"/>
      <c r="U376" s="112"/>
    </row>
    <row r="377" spans="19:21" ht="21" customHeight="1" x14ac:dyDescent="0.25">
      <c r="S377" s="112"/>
      <c r="U377" s="112"/>
    </row>
    <row r="378" spans="19:21" ht="21" customHeight="1" x14ac:dyDescent="0.25">
      <c r="S378" s="112"/>
      <c r="U378" s="112"/>
    </row>
    <row r="379" spans="19:21" ht="21" customHeight="1" x14ac:dyDescent="0.25">
      <c r="S379" s="112"/>
      <c r="U379" s="112"/>
    </row>
    <row r="380" spans="19:21" ht="21" customHeight="1" x14ac:dyDescent="0.25">
      <c r="S380" s="112"/>
      <c r="U380" s="112"/>
    </row>
    <row r="381" spans="19:21" ht="21" customHeight="1" x14ac:dyDescent="0.25">
      <c r="S381" s="112"/>
      <c r="U381" s="112"/>
    </row>
    <row r="382" spans="19:21" ht="21" customHeight="1" x14ac:dyDescent="0.25">
      <c r="S382" s="112"/>
      <c r="U382" s="112"/>
    </row>
    <row r="383" spans="19:21" ht="21" customHeight="1" x14ac:dyDescent="0.25">
      <c r="S383" s="112"/>
      <c r="U383" s="112"/>
    </row>
    <row r="384" spans="19:21" ht="21" customHeight="1" x14ac:dyDescent="0.25">
      <c r="S384" s="112"/>
      <c r="U384" s="112"/>
    </row>
    <row r="385" spans="19:21" ht="21" customHeight="1" x14ac:dyDescent="0.25">
      <c r="S385" s="112"/>
      <c r="U385" s="112"/>
    </row>
    <row r="386" spans="19:21" ht="21" customHeight="1" x14ac:dyDescent="0.25">
      <c r="S386" s="112"/>
      <c r="U386" s="112"/>
    </row>
    <row r="387" spans="19:21" ht="21" customHeight="1" x14ac:dyDescent="0.25">
      <c r="S387" s="112"/>
      <c r="U387" s="112"/>
    </row>
    <row r="388" spans="19:21" ht="21" customHeight="1" x14ac:dyDescent="0.25">
      <c r="S388" s="112"/>
      <c r="U388" s="112"/>
    </row>
    <row r="389" spans="19:21" ht="21" customHeight="1" x14ac:dyDescent="0.25">
      <c r="S389" s="112"/>
      <c r="U389" s="112"/>
    </row>
    <row r="390" spans="19:21" ht="21" customHeight="1" x14ac:dyDescent="0.25">
      <c r="S390" s="112"/>
      <c r="U390" s="112"/>
    </row>
    <row r="391" spans="19:21" ht="21" customHeight="1" x14ac:dyDescent="0.25">
      <c r="S391" s="112"/>
      <c r="U391" s="112"/>
    </row>
    <row r="392" spans="19:21" ht="21" customHeight="1" x14ac:dyDescent="0.25">
      <c r="S392" s="112"/>
      <c r="U392" s="112"/>
    </row>
    <row r="393" spans="19:21" ht="21" customHeight="1" x14ac:dyDescent="0.25">
      <c r="S393" s="112"/>
      <c r="U393" s="112"/>
    </row>
    <row r="394" spans="19:21" ht="21" customHeight="1" x14ac:dyDescent="0.25">
      <c r="S394" s="112"/>
      <c r="U394" s="112"/>
    </row>
    <row r="395" spans="19:21" ht="21" customHeight="1" x14ac:dyDescent="0.25">
      <c r="S395" s="112"/>
      <c r="U395" s="112"/>
    </row>
    <row r="396" spans="19:21" ht="21" customHeight="1" x14ac:dyDescent="0.25">
      <c r="S396" s="112"/>
      <c r="U396" s="112"/>
    </row>
    <row r="397" spans="19:21" ht="21" customHeight="1" x14ac:dyDescent="0.25">
      <c r="S397" s="112"/>
      <c r="U397" s="112"/>
    </row>
    <row r="398" spans="19:21" ht="21" customHeight="1" x14ac:dyDescent="0.25">
      <c r="S398" s="112"/>
      <c r="U398" s="112"/>
    </row>
    <row r="399" spans="19:21" ht="21" customHeight="1" x14ac:dyDescent="0.25">
      <c r="S399" s="112"/>
      <c r="U399" s="112"/>
    </row>
    <row r="400" spans="19:21" ht="21" customHeight="1" x14ac:dyDescent="0.25">
      <c r="S400" s="112"/>
      <c r="U400" s="112"/>
    </row>
    <row r="401" spans="19:21" ht="21" customHeight="1" x14ac:dyDescent="0.25">
      <c r="S401" s="112"/>
      <c r="U401" s="112"/>
    </row>
    <row r="402" spans="19:21" ht="21" customHeight="1" x14ac:dyDescent="0.25">
      <c r="S402" s="112"/>
      <c r="U402" s="112"/>
    </row>
    <row r="403" spans="19:21" ht="21" customHeight="1" x14ac:dyDescent="0.25">
      <c r="S403" s="112"/>
      <c r="U403" s="112"/>
    </row>
    <row r="404" spans="19:21" ht="21" customHeight="1" x14ac:dyDescent="0.25">
      <c r="S404" s="112"/>
      <c r="U404" s="112"/>
    </row>
    <row r="405" spans="19:21" ht="21" customHeight="1" x14ac:dyDescent="0.25">
      <c r="S405" s="112"/>
      <c r="U405" s="112"/>
    </row>
    <row r="406" spans="19:21" ht="21" customHeight="1" x14ac:dyDescent="0.25">
      <c r="S406" s="112"/>
      <c r="U406" s="112"/>
    </row>
    <row r="407" spans="19:21" ht="21" customHeight="1" x14ac:dyDescent="0.25">
      <c r="S407" s="112"/>
      <c r="U407" s="112"/>
    </row>
    <row r="408" spans="19:21" ht="21" customHeight="1" x14ac:dyDescent="0.25">
      <c r="S408" s="112"/>
      <c r="U408" s="112"/>
    </row>
    <row r="409" spans="19:21" ht="21" customHeight="1" x14ac:dyDescent="0.25">
      <c r="S409" s="112"/>
      <c r="U409" s="112"/>
    </row>
    <row r="410" spans="19:21" ht="21" customHeight="1" x14ac:dyDescent="0.25">
      <c r="S410" s="112"/>
      <c r="U410" s="112"/>
    </row>
    <row r="411" spans="19:21" ht="21" customHeight="1" x14ac:dyDescent="0.25">
      <c r="S411" s="112"/>
      <c r="U411" s="112"/>
    </row>
    <row r="412" spans="19:21" ht="21" customHeight="1" x14ac:dyDescent="0.25">
      <c r="S412" s="112"/>
      <c r="U412" s="112"/>
    </row>
    <row r="413" spans="19:21" ht="21" customHeight="1" x14ac:dyDescent="0.25">
      <c r="S413" s="112"/>
      <c r="U413" s="112"/>
    </row>
    <row r="414" spans="19:21" ht="21" customHeight="1" x14ac:dyDescent="0.25">
      <c r="S414" s="112"/>
      <c r="U414" s="112"/>
    </row>
    <row r="415" spans="19:21" ht="21" customHeight="1" x14ac:dyDescent="0.25">
      <c r="S415" s="112"/>
      <c r="U415" s="112"/>
    </row>
    <row r="416" spans="19:21" ht="21" customHeight="1" x14ac:dyDescent="0.25">
      <c r="S416" s="112"/>
      <c r="U416" s="112"/>
    </row>
    <row r="417" spans="19:21" ht="21" customHeight="1" x14ac:dyDescent="0.25">
      <c r="S417" s="112"/>
      <c r="U417" s="112"/>
    </row>
    <row r="418" spans="19:21" ht="21" customHeight="1" x14ac:dyDescent="0.25">
      <c r="S418" s="112"/>
      <c r="U418" s="112"/>
    </row>
    <row r="419" spans="19:21" ht="21" customHeight="1" x14ac:dyDescent="0.25">
      <c r="S419" s="112"/>
      <c r="U419" s="112"/>
    </row>
    <row r="420" spans="19:21" ht="21" customHeight="1" x14ac:dyDescent="0.25">
      <c r="S420" s="112"/>
      <c r="U420" s="112"/>
    </row>
    <row r="421" spans="19:21" ht="21" customHeight="1" x14ac:dyDescent="0.25">
      <c r="S421" s="112"/>
      <c r="U421" s="112"/>
    </row>
    <row r="422" spans="19:21" ht="21" customHeight="1" x14ac:dyDescent="0.25">
      <c r="S422" s="112"/>
      <c r="U422" s="112"/>
    </row>
    <row r="423" spans="19:21" ht="21" customHeight="1" x14ac:dyDescent="0.25">
      <c r="S423" s="112"/>
      <c r="U423" s="112"/>
    </row>
    <row r="424" spans="19:21" ht="21" customHeight="1" x14ac:dyDescent="0.25">
      <c r="S424" s="112"/>
      <c r="U424" s="112"/>
    </row>
    <row r="425" spans="19:21" ht="21" customHeight="1" x14ac:dyDescent="0.25">
      <c r="S425" s="112"/>
      <c r="U425" s="112"/>
    </row>
    <row r="426" spans="19:21" ht="21" customHeight="1" x14ac:dyDescent="0.25">
      <c r="S426" s="112"/>
      <c r="U426" s="112"/>
    </row>
    <row r="427" spans="19:21" ht="21" customHeight="1" x14ac:dyDescent="0.25">
      <c r="S427" s="112"/>
      <c r="U427" s="112"/>
    </row>
    <row r="428" spans="19:21" ht="21" customHeight="1" x14ac:dyDescent="0.25">
      <c r="S428" s="112"/>
      <c r="U428" s="112"/>
    </row>
    <row r="429" spans="19:21" ht="21" customHeight="1" x14ac:dyDescent="0.25">
      <c r="S429" s="112"/>
      <c r="U429" s="112"/>
    </row>
    <row r="430" spans="19:21" ht="21" customHeight="1" x14ac:dyDescent="0.25">
      <c r="S430" s="112"/>
      <c r="U430" s="112"/>
    </row>
    <row r="431" spans="19:21" ht="21" customHeight="1" x14ac:dyDescent="0.25">
      <c r="S431" s="112"/>
      <c r="U431" s="112"/>
    </row>
    <row r="432" spans="19:21" ht="21" customHeight="1" x14ac:dyDescent="0.25">
      <c r="S432" s="112"/>
      <c r="U432" s="112"/>
    </row>
    <row r="433" spans="19:21" ht="21" customHeight="1" x14ac:dyDescent="0.25">
      <c r="S433" s="112"/>
      <c r="U433" s="112"/>
    </row>
    <row r="434" spans="19:21" ht="21" customHeight="1" x14ac:dyDescent="0.25">
      <c r="S434" s="112"/>
      <c r="U434" s="112"/>
    </row>
    <row r="435" spans="19:21" ht="21" customHeight="1" x14ac:dyDescent="0.25">
      <c r="S435" s="112"/>
      <c r="U435" s="112"/>
    </row>
    <row r="436" spans="19:21" ht="21" customHeight="1" x14ac:dyDescent="0.25">
      <c r="S436" s="112"/>
      <c r="U436" s="112"/>
    </row>
    <row r="437" spans="19:21" ht="21" customHeight="1" x14ac:dyDescent="0.25">
      <c r="S437" s="112"/>
      <c r="U437" s="112"/>
    </row>
    <row r="438" spans="19:21" ht="21" customHeight="1" x14ac:dyDescent="0.25">
      <c r="S438" s="112"/>
      <c r="U438" s="112"/>
    </row>
    <row r="439" spans="19:21" ht="21" customHeight="1" x14ac:dyDescent="0.25">
      <c r="S439" s="112"/>
      <c r="U439" s="112"/>
    </row>
    <row r="440" spans="19:21" ht="21" customHeight="1" x14ac:dyDescent="0.25">
      <c r="S440" s="112"/>
      <c r="U440" s="112"/>
    </row>
    <row r="441" spans="19:21" ht="21" customHeight="1" x14ac:dyDescent="0.25">
      <c r="S441" s="112"/>
      <c r="U441" s="112"/>
    </row>
    <row r="442" spans="19:21" ht="21" customHeight="1" x14ac:dyDescent="0.25">
      <c r="S442" s="112"/>
      <c r="U442" s="112"/>
    </row>
    <row r="443" spans="19:21" ht="21" customHeight="1" x14ac:dyDescent="0.25">
      <c r="S443" s="112"/>
      <c r="U443" s="112"/>
    </row>
    <row r="444" spans="19:21" ht="21" customHeight="1" x14ac:dyDescent="0.25">
      <c r="S444" s="112"/>
      <c r="U444" s="112"/>
    </row>
    <row r="445" spans="19:21" ht="21" customHeight="1" x14ac:dyDescent="0.25">
      <c r="S445" s="112"/>
      <c r="U445" s="112"/>
    </row>
    <row r="446" spans="19:21" ht="21" customHeight="1" x14ac:dyDescent="0.25">
      <c r="S446" s="112"/>
      <c r="U446" s="112"/>
    </row>
    <row r="447" spans="19:21" ht="21" customHeight="1" x14ac:dyDescent="0.25">
      <c r="S447" s="112"/>
      <c r="U447" s="112"/>
    </row>
    <row r="448" spans="19:21" ht="21" customHeight="1" x14ac:dyDescent="0.25">
      <c r="S448" s="112"/>
      <c r="U448" s="112"/>
    </row>
    <row r="449" spans="19:21" ht="21" customHeight="1" x14ac:dyDescent="0.25">
      <c r="S449" s="112"/>
      <c r="U449" s="112"/>
    </row>
    <row r="450" spans="19:21" ht="21" customHeight="1" x14ac:dyDescent="0.25">
      <c r="S450" s="112"/>
      <c r="U450" s="112"/>
    </row>
    <row r="451" spans="19:21" ht="21" customHeight="1" x14ac:dyDescent="0.25">
      <c r="S451" s="112"/>
      <c r="U451" s="112"/>
    </row>
    <row r="452" spans="19:21" ht="21" customHeight="1" x14ac:dyDescent="0.25">
      <c r="S452" s="112"/>
      <c r="U452" s="112"/>
    </row>
    <row r="453" spans="19:21" ht="21" customHeight="1" x14ac:dyDescent="0.25">
      <c r="S453" s="112"/>
      <c r="U453" s="112"/>
    </row>
    <row r="454" spans="19:21" ht="21" customHeight="1" x14ac:dyDescent="0.25">
      <c r="S454" s="112"/>
      <c r="U454" s="112"/>
    </row>
    <row r="455" spans="19:21" ht="21" customHeight="1" x14ac:dyDescent="0.25">
      <c r="S455" s="112"/>
      <c r="U455" s="112"/>
    </row>
    <row r="456" spans="19:21" ht="21" customHeight="1" x14ac:dyDescent="0.25">
      <c r="S456" s="112"/>
      <c r="U456" s="112"/>
    </row>
    <row r="457" spans="19:21" ht="21" customHeight="1" x14ac:dyDescent="0.25">
      <c r="S457" s="112"/>
      <c r="U457" s="112"/>
    </row>
    <row r="458" spans="19:21" ht="21" customHeight="1" x14ac:dyDescent="0.25">
      <c r="S458" s="112"/>
      <c r="U458" s="112"/>
    </row>
    <row r="459" spans="19:21" ht="21" customHeight="1" x14ac:dyDescent="0.25">
      <c r="S459" s="112"/>
      <c r="U459" s="112"/>
    </row>
    <row r="460" spans="19:21" ht="21" customHeight="1" x14ac:dyDescent="0.25">
      <c r="S460" s="112"/>
      <c r="U460" s="112"/>
    </row>
    <row r="461" spans="19:21" ht="21" customHeight="1" x14ac:dyDescent="0.25">
      <c r="S461" s="112"/>
      <c r="U461" s="112"/>
    </row>
    <row r="462" spans="19:21" ht="21" customHeight="1" x14ac:dyDescent="0.25">
      <c r="S462" s="112"/>
      <c r="U462" s="112"/>
    </row>
    <row r="463" spans="19:21" ht="21" customHeight="1" x14ac:dyDescent="0.25">
      <c r="S463" s="112"/>
      <c r="U463" s="112"/>
    </row>
    <row r="464" spans="19:21" ht="21" customHeight="1" x14ac:dyDescent="0.25">
      <c r="S464" s="112"/>
      <c r="U464" s="112"/>
    </row>
    <row r="465" spans="19:21" ht="21" customHeight="1" x14ac:dyDescent="0.25">
      <c r="S465" s="112"/>
      <c r="U465" s="112"/>
    </row>
    <row r="466" spans="19:21" ht="21" customHeight="1" x14ac:dyDescent="0.25">
      <c r="S466" s="112"/>
      <c r="U466" s="112"/>
    </row>
    <row r="467" spans="19:21" ht="21" customHeight="1" x14ac:dyDescent="0.25">
      <c r="S467" s="112"/>
      <c r="U467" s="112"/>
    </row>
    <row r="468" spans="19:21" ht="21" customHeight="1" x14ac:dyDescent="0.25">
      <c r="S468" s="112"/>
      <c r="U468" s="112"/>
    </row>
    <row r="469" spans="19:21" ht="21" customHeight="1" x14ac:dyDescent="0.25">
      <c r="S469" s="112"/>
      <c r="U469" s="112"/>
    </row>
    <row r="470" spans="19:21" ht="21" customHeight="1" x14ac:dyDescent="0.25">
      <c r="S470" s="112"/>
      <c r="U470" s="112"/>
    </row>
    <row r="471" spans="19:21" ht="21" customHeight="1" x14ac:dyDescent="0.25">
      <c r="S471" s="112"/>
      <c r="U471" s="112"/>
    </row>
    <row r="472" spans="19:21" ht="21" customHeight="1" x14ac:dyDescent="0.25">
      <c r="S472" s="112"/>
      <c r="U472" s="112"/>
    </row>
    <row r="473" spans="19:21" ht="21" customHeight="1" x14ac:dyDescent="0.25">
      <c r="S473" s="112"/>
      <c r="U473" s="112"/>
    </row>
    <row r="474" spans="19:21" ht="21" customHeight="1" x14ac:dyDescent="0.25">
      <c r="S474" s="112"/>
      <c r="U474" s="112"/>
    </row>
    <row r="475" spans="19:21" ht="21" customHeight="1" x14ac:dyDescent="0.25">
      <c r="S475" s="112"/>
      <c r="U475" s="112"/>
    </row>
    <row r="476" spans="19:21" ht="21" customHeight="1" x14ac:dyDescent="0.25">
      <c r="S476" s="112"/>
      <c r="U476" s="112"/>
    </row>
    <row r="477" spans="19:21" ht="21" customHeight="1" x14ac:dyDescent="0.25">
      <c r="S477" s="112"/>
      <c r="U477" s="112"/>
    </row>
    <row r="478" spans="19:21" ht="21" customHeight="1" x14ac:dyDescent="0.25">
      <c r="S478" s="112"/>
      <c r="U478" s="112"/>
    </row>
    <row r="479" spans="19:21" ht="21" customHeight="1" x14ac:dyDescent="0.25">
      <c r="S479" s="112"/>
      <c r="U479" s="112"/>
    </row>
    <row r="480" spans="19:21" ht="21" customHeight="1" x14ac:dyDescent="0.25">
      <c r="S480" s="112"/>
      <c r="U480" s="112"/>
    </row>
    <row r="481" spans="19:21" ht="21" customHeight="1" x14ac:dyDescent="0.25">
      <c r="S481" s="112"/>
      <c r="U481" s="112"/>
    </row>
    <row r="482" spans="19:21" ht="21" customHeight="1" x14ac:dyDescent="0.25">
      <c r="S482" s="112"/>
      <c r="U482" s="112"/>
    </row>
    <row r="483" spans="19:21" ht="21" customHeight="1" x14ac:dyDescent="0.25">
      <c r="S483" s="112"/>
      <c r="U483" s="112"/>
    </row>
    <row r="484" spans="19:21" ht="21" customHeight="1" x14ac:dyDescent="0.25">
      <c r="S484" s="112"/>
      <c r="U484" s="112"/>
    </row>
    <row r="485" spans="19:21" ht="21" customHeight="1" x14ac:dyDescent="0.25">
      <c r="S485" s="112"/>
      <c r="U485" s="112"/>
    </row>
    <row r="486" spans="19:21" ht="21" customHeight="1" x14ac:dyDescent="0.25">
      <c r="S486" s="112"/>
      <c r="U486" s="112"/>
    </row>
    <row r="487" spans="19:21" ht="21" customHeight="1" x14ac:dyDescent="0.25">
      <c r="S487" s="112"/>
      <c r="U487" s="112"/>
    </row>
    <row r="488" spans="19:21" ht="21" customHeight="1" x14ac:dyDescent="0.25">
      <c r="S488" s="112"/>
      <c r="U488" s="112"/>
    </row>
    <row r="489" spans="19:21" ht="21" customHeight="1" x14ac:dyDescent="0.25">
      <c r="S489" s="112"/>
      <c r="U489" s="112"/>
    </row>
    <row r="490" spans="19:21" ht="21" customHeight="1" x14ac:dyDescent="0.25">
      <c r="S490" s="112"/>
      <c r="U490" s="112"/>
    </row>
    <row r="491" spans="19:21" ht="21" customHeight="1" x14ac:dyDescent="0.25">
      <c r="S491" s="112"/>
      <c r="U491" s="112"/>
    </row>
    <row r="492" spans="19:21" ht="21" customHeight="1" x14ac:dyDescent="0.25">
      <c r="S492" s="112"/>
      <c r="U492" s="112"/>
    </row>
    <row r="493" spans="19:21" ht="21" customHeight="1" x14ac:dyDescent="0.25">
      <c r="S493" s="112"/>
      <c r="U493" s="112"/>
    </row>
    <row r="494" spans="19:21" ht="21" customHeight="1" x14ac:dyDescent="0.25">
      <c r="S494" s="112"/>
      <c r="U494" s="112"/>
    </row>
    <row r="495" spans="19:21" ht="21" customHeight="1" x14ac:dyDescent="0.25">
      <c r="S495" s="112"/>
      <c r="U495" s="112"/>
    </row>
    <row r="496" spans="19:21" ht="21" customHeight="1" x14ac:dyDescent="0.25">
      <c r="S496" s="112"/>
      <c r="U496" s="112"/>
    </row>
    <row r="497" spans="19:21" ht="21" customHeight="1" x14ac:dyDescent="0.25">
      <c r="S497" s="112"/>
      <c r="U497" s="112"/>
    </row>
    <row r="498" spans="19:21" ht="21" customHeight="1" x14ac:dyDescent="0.25">
      <c r="S498" s="112"/>
      <c r="U498" s="112"/>
    </row>
    <row r="499" spans="19:21" ht="21" customHeight="1" x14ac:dyDescent="0.25">
      <c r="S499" s="112"/>
      <c r="U499" s="112"/>
    </row>
    <row r="500" spans="19:21" ht="21" customHeight="1" x14ac:dyDescent="0.25">
      <c r="S500" s="112"/>
      <c r="U500" s="112"/>
    </row>
    <row r="501" spans="19:21" ht="21" customHeight="1" x14ac:dyDescent="0.25">
      <c r="S501" s="112"/>
      <c r="U501" s="112"/>
    </row>
    <row r="502" spans="19:21" ht="21" customHeight="1" x14ac:dyDescent="0.25">
      <c r="S502" s="112"/>
      <c r="U502" s="112"/>
    </row>
    <row r="503" spans="19:21" ht="21" customHeight="1" x14ac:dyDescent="0.25">
      <c r="S503" s="112"/>
      <c r="U503" s="112"/>
    </row>
    <row r="504" spans="19:21" ht="21" customHeight="1" x14ac:dyDescent="0.25">
      <c r="S504" s="112"/>
      <c r="U504" s="112"/>
    </row>
    <row r="505" spans="19:21" ht="21" customHeight="1" x14ac:dyDescent="0.25">
      <c r="S505" s="112"/>
      <c r="U505" s="112"/>
    </row>
  </sheetData>
  <mergeCells count="200"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</mergeCells>
  <printOptions horizontalCentered="1" verticalCentered="1"/>
  <pageMargins left="0" right="0" top="0" bottom="0" header="0" footer="0"/>
  <pageSetup scale="27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D517AC"/>
    <pageSetUpPr fitToPage="1"/>
  </sheetPr>
  <dimension ref="A1:BN212"/>
  <sheetViews>
    <sheetView topLeftCell="A158" zoomScaleNormal="100" workbookViewId="0">
      <pane xSplit="4" topLeftCell="E1" activePane="topRight" state="frozen"/>
      <selection pane="topRight" activeCell="B182" sqref="B182"/>
    </sheetView>
  </sheetViews>
  <sheetFormatPr defaultColWidth="8.85546875" defaultRowHeight="15" x14ac:dyDescent="0.25"/>
  <cols>
    <col min="2" max="2" width="39.28515625" bestFit="1" customWidth="1"/>
    <col min="3" max="3" width="32.140625" bestFit="1" customWidth="1"/>
    <col min="4" max="4" width="24.28515625" bestFit="1" customWidth="1"/>
    <col min="5" max="5" width="8.7109375" style="87" bestFit="1" customWidth="1"/>
    <col min="6" max="6" width="8.7109375" style="93" bestFit="1" customWidth="1"/>
    <col min="7" max="7" width="8.7109375" style="87" customWidth="1"/>
    <col min="8" max="8" width="8.7109375" style="93" customWidth="1"/>
    <col min="9" max="9" width="11.28515625" style="87" hidden="1" customWidth="1"/>
    <col min="10" max="10" width="11.140625" style="93" hidden="1" customWidth="1"/>
    <col min="11" max="11" width="8.7109375" style="203" customWidth="1"/>
    <col min="12" max="12" width="8.7109375" style="93" customWidth="1"/>
    <col min="13" max="13" width="9" style="87" customWidth="1"/>
    <col min="14" max="14" width="9" style="93" customWidth="1"/>
    <col min="15" max="15" width="8.7109375" style="203" customWidth="1"/>
    <col min="16" max="16" width="8.7109375" style="154" customWidth="1"/>
    <col min="17" max="17" width="10.140625" style="87" hidden="1" customWidth="1"/>
    <col min="18" max="18" width="10.140625" style="93" hidden="1" customWidth="1"/>
    <col min="19" max="20" width="8.7109375" customWidth="1"/>
    <col min="21" max="22" width="9" hidden="1" customWidth="1"/>
    <col min="23" max="23" width="8.7109375" customWidth="1"/>
    <col min="24" max="24" width="9.42578125" customWidth="1"/>
    <col min="25" max="25" width="9" customWidth="1"/>
    <col min="26" max="26" width="13.140625" customWidth="1"/>
    <col min="27" max="28" width="9" customWidth="1"/>
    <col min="29" max="29" width="8.85546875" hidden="1" customWidth="1"/>
    <col min="30" max="30" width="9.85546875" hidden="1" customWidth="1"/>
    <col min="31" max="31" width="8.85546875" hidden="1" customWidth="1"/>
    <col min="32" max="32" width="9.5703125" hidden="1" customWidth="1"/>
    <col min="33" max="37" width="8.85546875" hidden="1" customWidth="1"/>
    <col min="38" max="38" width="10.140625" hidden="1" customWidth="1"/>
    <col min="39" max="42" width="9" hidden="1" customWidth="1"/>
    <col min="43" max="43" width="8.85546875" hidden="1" customWidth="1"/>
    <col min="44" max="44" width="9.5703125" hidden="1" customWidth="1"/>
    <col min="45" max="47" width="8.85546875" hidden="1" customWidth="1"/>
    <col min="48" max="48" width="9.5703125" hidden="1" customWidth="1"/>
    <col min="49" max="58" width="8.85546875" hidden="1" customWidth="1"/>
    <col min="59" max="59" width="0" hidden="1" customWidth="1"/>
    <col min="60" max="60" width="7" bestFit="1" customWidth="1"/>
  </cols>
  <sheetData>
    <row r="1" spans="1:66" ht="22.9" x14ac:dyDescent="0.4">
      <c r="B1" s="389" t="s">
        <v>51</v>
      </c>
      <c r="C1" s="389"/>
      <c r="D1" s="45"/>
      <c r="E1" s="45"/>
      <c r="F1" s="45"/>
      <c r="G1" s="45"/>
      <c r="H1" s="45"/>
      <c r="I1" s="45"/>
      <c r="J1" s="45"/>
      <c r="K1" s="154"/>
      <c r="M1" s="93"/>
      <c r="O1" s="154"/>
      <c r="Q1" s="93"/>
      <c r="S1" s="93"/>
      <c r="T1" s="93"/>
      <c r="U1" s="93"/>
      <c r="V1" s="93"/>
      <c r="W1" s="6125"/>
      <c r="X1" s="6125"/>
      <c r="Y1" s="93"/>
      <c r="Z1" s="93"/>
      <c r="AA1" s="93"/>
      <c r="AB1" s="93"/>
    </row>
    <row r="2" spans="1:66" thickBot="1" x14ac:dyDescent="0.35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97">
        <f>+I2+K2</f>
        <v>91</v>
      </c>
      <c r="N2" s="97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7">
        <v>31</v>
      </c>
      <c r="T2" s="97">
        <v>31</v>
      </c>
      <c r="U2" s="97">
        <f>+Q2+S2</f>
        <v>153</v>
      </c>
      <c r="V2" s="97">
        <f>+R2+T2</f>
        <v>153</v>
      </c>
      <c r="W2" s="97">
        <v>30</v>
      </c>
      <c r="X2" s="97">
        <v>30</v>
      </c>
      <c r="Y2" s="97">
        <f>+O2+S2+W2</f>
        <v>92</v>
      </c>
      <c r="Z2" s="97">
        <f>+P2+T2+X2</f>
        <v>92</v>
      </c>
      <c r="AA2" s="97">
        <f>M2+Y2</f>
        <v>183</v>
      </c>
      <c r="AB2" s="97">
        <f>N2+Z2</f>
        <v>183</v>
      </c>
      <c r="AC2" s="97">
        <v>31</v>
      </c>
      <c r="AD2" s="97">
        <v>31</v>
      </c>
      <c r="AE2" s="97">
        <f>+AA2+AC2</f>
        <v>214</v>
      </c>
      <c r="AF2" s="97">
        <f>+AB2+AD2</f>
        <v>214</v>
      </c>
      <c r="AG2" s="97">
        <v>30</v>
      </c>
      <c r="AH2" s="97">
        <v>30</v>
      </c>
      <c r="AI2" s="97">
        <f>+AE2+AG2</f>
        <v>244</v>
      </c>
      <c r="AJ2" s="97">
        <f>+AF2+AH2</f>
        <v>244</v>
      </c>
      <c r="AK2" s="97">
        <v>31</v>
      </c>
      <c r="AL2" s="97">
        <v>31</v>
      </c>
      <c r="AM2" s="97">
        <f>+AC2+AG2+AK2</f>
        <v>92</v>
      </c>
      <c r="AN2" s="97">
        <f>+AD2+AH2+AL2</f>
        <v>92</v>
      </c>
      <c r="AO2" s="97">
        <f>AI2+AK2</f>
        <v>275</v>
      </c>
      <c r="AP2" s="97">
        <f>AJ2+AL2</f>
        <v>275</v>
      </c>
      <c r="AQ2" s="97">
        <v>31</v>
      </c>
      <c r="AR2" s="97">
        <v>31</v>
      </c>
      <c r="AS2" s="97">
        <f>+AO2+AQ2</f>
        <v>306</v>
      </c>
      <c r="AT2" s="97">
        <f>+AP2+AR2</f>
        <v>306</v>
      </c>
      <c r="AU2" s="97">
        <v>28</v>
      </c>
      <c r="AV2" s="97">
        <v>28</v>
      </c>
      <c r="AW2" s="97">
        <f>+AS2+AU2</f>
        <v>334</v>
      </c>
      <c r="AX2" s="97">
        <f>+AT2+AV2</f>
        <v>334</v>
      </c>
      <c r="AY2" s="97">
        <v>31</v>
      </c>
      <c r="AZ2" s="97">
        <v>31</v>
      </c>
      <c r="BA2" s="97">
        <f>+AQ2+AU2+AY2</f>
        <v>90</v>
      </c>
      <c r="BB2" s="97">
        <f>+AR2+AV2+AZ2</f>
        <v>90</v>
      </c>
      <c r="BC2" s="97">
        <f>AO2+BA2</f>
        <v>365</v>
      </c>
      <c r="BD2" s="97">
        <f>AP2+BB2</f>
        <v>365</v>
      </c>
      <c r="BE2" s="97">
        <f>+AW2+AY2</f>
        <v>365</v>
      </c>
      <c r="BF2" s="97">
        <f>+AX2+AZ2</f>
        <v>365</v>
      </c>
    </row>
    <row r="3" spans="1:66" ht="16.5" customHeight="1" thickBot="1" x14ac:dyDescent="0.3">
      <c r="B3" s="5846" t="s">
        <v>171</v>
      </c>
      <c r="C3" s="6126" t="s">
        <v>850</v>
      </c>
      <c r="D3" s="6129" t="s">
        <v>172</v>
      </c>
      <c r="E3" s="5699" t="s">
        <v>2190</v>
      </c>
      <c r="F3" s="5700"/>
      <c r="G3" s="5699" t="s">
        <v>2242</v>
      </c>
      <c r="H3" s="5700"/>
      <c r="I3" s="5824" t="s">
        <v>14</v>
      </c>
      <c r="J3" s="6071"/>
      <c r="K3" s="5760" t="s">
        <v>2273</v>
      </c>
      <c r="L3" s="5760"/>
      <c r="M3" s="5726" t="s">
        <v>637</v>
      </c>
      <c r="N3" s="5726"/>
      <c r="O3" s="5760" t="s">
        <v>2296</v>
      </c>
      <c r="P3" s="5760"/>
      <c r="Q3" s="5758" t="s">
        <v>17</v>
      </c>
      <c r="R3" s="5759"/>
      <c r="S3" s="5760" t="s">
        <v>2299</v>
      </c>
      <c r="T3" s="5760"/>
      <c r="U3" s="5758" t="s">
        <v>18</v>
      </c>
      <c r="V3" s="5759"/>
      <c r="W3" s="5760" t="s">
        <v>2344</v>
      </c>
      <c r="X3" s="5760"/>
      <c r="Y3" s="5763" t="s">
        <v>660</v>
      </c>
      <c r="Z3" s="5764"/>
      <c r="AA3" s="5765" t="s">
        <v>657</v>
      </c>
      <c r="AB3" s="5766"/>
      <c r="AC3" s="5760" t="s">
        <v>1954</v>
      </c>
      <c r="AD3" s="5760"/>
      <c r="AE3" s="5758" t="s">
        <v>24</v>
      </c>
      <c r="AF3" s="5759"/>
      <c r="AG3" s="5760" t="s">
        <v>1970</v>
      </c>
      <c r="AH3" s="5760"/>
      <c r="AI3" s="5758" t="s">
        <v>27</v>
      </c>
      <c r="AJ3" s="5759"/>
      <c r="AK3" s="5760" t="s">
        <v>1985</v>
      </c>
      <c r="AL3" s="5760"/>
      <c r="AM3" s="5763" t="s">
        <v>662</v>
      </c>
      <c r="AN3" s="5764"/>
      <c r="AO3" s="5758" t="s">
        <v>1666</v>
      </c>
      <c r="AP3" s="5759"/>
      <c r="AQ3" s="5760" t="s">
        <v>2085</v>
      </c>
      <c r="AR3" s="5760"/>
      <c r="AS3" s="5758" t="s">
        <v>28</v>
      </c>
      <c r="AT3" s="5759"/>
      <c r="AU3" s="5760" t="s">
        <v>2099</v>
      </c>
      <c r="AV3" s="5760"/>
      <c r="AW3" s="5758" t="s">
        <v>30</v>
      </c>
      <c r="AX3" s="5759"/>
      <c r="AY3" s="5760" t="s">
        <v>2111</v>
      </c>
      <c r="AZ3" s="5760"/>
      <c r="BA3" s="5763" t="s">
        <v>663</v>
      </c>
      <c r="BB3" s="5764"/>
      <c r="BC3" s="5765" t="s">
        <v>671</v>
      </c>
      <c r="BD3" s="5766"/>
      <c r="BE3" s="5758" t="s">
        <v>1745</v>
      </c>
      <c r="BF3" s="5759"/>
    </row>
    <row r="4" spans="1:66" ht="15.75" customHeight="1" thickBot="1" x14ac:dyDescent="0.3">
      <c r="B4" s="6114"/>
      <c r="C4" s="6127"/>
      <c r="D4" s="5934"/>
      <c r="E4" s="1310" t="s">
        <v>173</v>
      </c>
      <c r="F4" s="784" t="s">
        <v>174</v>
      </c>
      <c r="G4" s="1310" t="s">
        <v>173</v>
      </c>
      <c r="H4" s="784" t="s">
        <v>174</v>
      </c>
      <c r="I4" s="1473" t="s">
        <v>173</v>
      </c>
      <c r="J4" s="707" t="s">
        <v>174</v>
      </c>
      <c r="K4" s="232" t="s">
        <v>173</v>
      </c>
      <c r="L4" s="161" t="s">
        <v>174</v>
      </c>
      <c r="M4" s="708" t="s">
        <v>173</v>
      </c>
      <c r="N4" s="708" t="s">
        <v>174</v>
      </c>
      <c r="O4" s="232" t="s">
        <v>173</v>
      </c>
      <c r="P4" s="400" t="s">
        <v>174</v>
      </c>
      <c r="Q4" s="146" t="s">
        <v>173</v>
      </c>
      <c r="R4" s="163" t="s">
        <v>174</v>
      </c>
      <c r="S4" s="232" t="s">
        <v>173</v>
      </c>
      <c r="T4" s="178" t="s">
        <v>174</v>
      </c>
      <c r="U4" s="146" t="s">
        <v>173</v>
      </c>
      <c r="V4" s="163" t="s">
        <v>174</v>
      </c>
      <c r="W4" s="232" t="s">
        <v>173</v>
      </c>
      <c r="X4" s="400" t="s">
        <v>174</v>
      </c>
      <c r="Y4" s="703" t="s">
        <v>173</v>
      </c>
      <c r="Z4" s="170" t="s">
        <v>174</v>
      </c>
      <c r="AA4" s="2249" t="s">
        <v>173</v>
      </c>
      <c r="AB4" s="467" t="s">
        <v>174</v>
      </c>
      <c r="AC4" s="232" t="s">
        <v>173</v>
      </c>
      <c r="AD4" s="178" t="s">
        <v>174</v>
      </c>
      <c r="AE4" s="146" t="s">
        <v>173</v>
      </c>
      <c r="AF4" s="163" t="s">
        <v>174</v>
      </c>
      <c r="AG4" s="232" t="s">
        <v>173</v>
      </c>
      <c r="AH4" s="178" t="s">
        <v>174</v>
      </c>
      <c r="AI4" s="146" t="s">
        <v>173</v>
      </c>
      <c r="AJ4" s="163" t="s">
        <v>174</v>
      </c>
      <c r="AK4" s="232" t="s">
        <v>173</v>
      </c>
      <c r="AL4" s="178" t="s">
        <v>174</v>
      </c>
      <c r="AM4" s="703" t="s">
        <v>173</v>
      </c>
      <c r="AN4" s="170" t="s">
        <v>174</v>
      </c>
      <c r="AO4" s="146" t="s">
        <v>173</v>
      </c>
      <c r="AP4" s="163" t="s">
        <v>174</v>
      </c>
      <c r="AQ4" s="232" t="s">
        <v>173</v>
      </c>
      <c r="AR4" s="178" t="s">
        <v>174</v>
      </c>
      <c r="AS4" s="146" t="s">
        <v>173</v>
      </c>
      <c r="AT4" s="163" t="s">
        <v>174</v>
      </c>
      <c r="AU4" s="232" t="s">
        <v>173</v>
      </c>
      <c r="AV4" s="178" t="s">
        <v>174</v>
      </c>
      <c r="AW4" s="146" t="s">
        <v>173</v>
      </c>
      <c r="AX4" s="163" t="s">
        <v>174</v>
      </c>
      <c r="AY4" s="232" t="s">
        <v>173</v>
      </c>
      <c r="AZ4" s="178" t="s">
        <v>174</v>
      </c>
      <c r="BA4" s="703" t="s">
        <v>173</v>
      </c>
      <c r="BB4" s="170" t="s">
        <v>174</v>
      </c>
      <c r="BC4" s="2249" t="s">
        <v>173</v>
      </c>
      <c r="BD4" s="467" t="s">
        <v>174</v>
      </c>
      <c r="BE4" s="146" t="s">
        <v>173</v>
      </c>
      <c r="BF4" s="163" t="s">
        <v>174</v>
      </c>
    </row>
    <row r="5" spans="1:66" ht="16.5" thickBot="1" x14ac:dyDescent="0.3">
      <c r="B5" s="778" t="s">
        <v>847</v>
      </c>
      <c r="C5" s="6128"/>
      <c r="D5" s="6130"/>
      <c r="E5" s="1120">
        <v>44270.833333333336</v>
      </c>
      <c r="F5" s="686">
        <v>38350.074000000022</v>
      </c>
      <c r="G5" s="1120">
        <v>45833.333333333336</v>
      </c>
      <c r="H5" s="686">
        <v>41157.484000000004</v>
      </c>
      <c r="I5" s="944">
        <f>+E5+G5</f>
        <v>90104.166666666672</v>
      </c>
      <c r="J5" s="374">
        <f>+F5+H5</f>
        <v>79507.558000000019</v>
      </c>
      <c r="K5" s="1120">
        <v>44270.833333333336</v>
      </c>
      <c r="L5" s="686">
        <v>40197.709999999992</v>
      </c>
      <c r="M5" s="2272">
        <f>+E5+G5+K5</f>
        <v>134375</v>
      </c>
      <c r="N5" s="2272">
        <f>+F5+H5+L5</f>
        <v>119705.26800000001</v>
      </c>
      <c r="O5" s="1120">
        <v>45833.333333333336</v>
      </c>
      <c r="P5" s="686">
        <v>49152.613999999987</v>
      </c>
      <c r="Q5" s="374">
        <f>+M5+O5</f>
        <v>180208.33333333334</v>
      </c>
      <c r="R5" s="374">
        <f>+N5+P5</f>
        <v>168857.88199999998</v>
      </c>
      <c r="S5" s="1120">
        <v>45833.333333333336</v>
      </c>
      <c r="T5" s="686">
        <v>40383.741999999998</v>
      </c>
      <c r="U5" s="374">
        <f>+Q5+S5</f>
        <v>226041.66666666669</v>
      </c>
      <c r="V5" s="374">
        <f>+R5+T5</f>
        <v>209241.62399999998</v>
      </c>
      <c r="W5" s="1120">
        <v>26041.666666666668</v>
      </c>
      <c r="X5" s="686">
        <v>42888.832000000002</v>
      </c>
      <c r="Y5" s="848">
        <f>O5++S5+W5</f>
        <v>117708.33333333334</v>
      </c>
      <c r="Z5" s="255">
        <f>P5++T5+X5</f>
        <v>132425.18799999999</v>
      </c>
      <c r="AA5" s="849">
        <f>M5+Y5</f>
        <v>252083.33333333334</v>
      </c>
      <c r="AB5" s="661">
        <f>N5+Z5</f>
        <v>252130.45600000001</v>
      </c>
      <c r="AC5" s="1557">
        <v>47395.833333333336</v>
      </c>
      <c r="AD5" s="615">
        <v>44188.986999999994</v>
      </c>
      <c r="AE5" s="374">
        <f>+AA5+AC5</f>
        <v>299479.16666666669</v>
      </c>
      <c r="AF5" s="374">
        <f>+AB5+AD5</f>
        <v>296319.44299999997</v>
      </c>
      <c r="AG5" s="1557">
        <v>45833.333333333336</v>
      </c>
      <c r="AH5" s="615">
        <v>20903.231999999993</v>
      </c>
      <c r="AI5" s="374">
        <f>+AE5+AG5</f>
        <v>345312.5</v>
      </c>
      <c r="AJ5" s="374">
        <f>+AF5+AH5</f>
        <v>317222.67499999999</v>
      </c>
      <c r="AK5" s="1557">
        <v>47395.833333333336</v>
      </c>
      <c r="AL5" s="615">
        <v>41045.423999999992</v>
      </c>
      <c r="AM5" s="848">
        <f>AC5++AG5+AK5</f>
        <v>140625</v>
      </c>
      <c r="AN5" s="255">
        <f>AD5++AH5+AL5</f>
        <v>106137.64299999998</v>
      </c>
      <c r="AO5" s="374">
        <f>AI5+AK5</f>
        <v>392708.33333333331</v>
      </c>
      <c r="AP5" s="374">
        <f>AJ5+AL5</f>
        <v>358268.09899999999</v>
      </c>
      <c r="AQ5" s="1557">
        <v>47395.833333333336</v>
      </c>
      <c r="AR5" s="615">
        <v>41918.505999999979</v>
      </c>
      <c r="AS5" s="374">
        <f>+AO5+AQ5</f>
        <v>440104.16666666663</v>
      </c>
      <c r="AT5" s="374">
        <f>+AP5+AR5</f>
        <v>400186.60499999998</v>
      </c>
      <c r="AU5" s="1557">
        <v>42187.5</v>
      </c>
      <c r="AV5" s="615">
        <v>35855.553999999982</v>
      </c>
      <c r="AW5" s="374">
        <f>+AS5+AU5</f>
        <v>482291.66666666663</v>
      </c>
      <c r="AX5" s="374">
        <f>+AT5+AV5</f>
        <v>436042.15899999999</v>
      </c>
      <c r="AY5" s="1557">
        <v>47395.833333333336</v>
      </c>
      <c r="AZ5" s="615">
        <v>45140.241999999977</v>
      </c>
      <c r="BA5" s="848">
        <f>AQ5++AU5+AY5</f>
        <v>136979.16666666669</v>
      </c>
      <c r="BB5" s="255">
        <f>AR5++AV5+AZ5</f>
        <v>122914.30199999994</v>
      </c>
      <c r="BC5" s="849">
        <f>AM5+BA5</f>
        <v>277604.16666666669</v>
      </c>
      <c r="BD5" s="661">
        <f>AN5+BB5</f>
        <v>229051.94499999992</v>
      </c>
      <c r="BE5" s="374">
        <f>+AW5+AY5</f>
        <v>529687.5</v>
      </c>
      <c r="BF5" s="374">
        <f>+AX5+AZ5</f>
        <v>481182.40099999995</v>
      </c>
      <c r="BG5" s="26"/>
      <c r="BH5" s="26"/>
      <c r="BI5" s="26"/>
      <c r="BJ5" s="26"/>
      <c r="BK5" s="26"/>
      <c r="BL5" s="26"/>
      <c r="BM5" s="26"/>
      <c r="BN5" s="26"/>
    </row>
    <row r="6" spans="1:66" ht="16.149999999999999" thickBot="1" x14ac:dyDescent="0.35">
      <c r="A6" s="149"/>
      <c r="B6" s="1749" t="s">
        <v>313</v>
      </c>
      <c r="C6" s="2913"/>
      <c r="D6" s="1758"/>
      <c r="E6" s="717"/>
      <c r="F6" s="717"/>
      <c r="G6" s="717"/>
      <c r="H6" s="717"/>
      <c r="I6" s="2914"/>
      <c r="J6" s="2914"/>
      <c r="K6" s="717"/>
      <c r="L6" s="717"/>
      <c r="M6" s="717"/>
      <c r="N6" s="717"/>
      <c r="O6" s="717"/>
      <c r="P6" s="717"/>
      <c r="Q6" s="717"/>
      <c r="R6" s="717"/>
      <c r="S6" s="717"/>
      <c r="T6" s="717"/>
      <c r="U6" s="717"/>
      <c r="V6" s="717"/>
      <c r="W6" s="717"/>
      <c r="X6" s="717"/>
      <c r="Y6" s="1758"/>
      <c r="Z6" s="1758"/>
      <c r="AA6" s="1758"/>
      <c r="AB6" s="1758"/>
      <c r="AC6" s="717"/>
      <c r="AD6" s="1350"/>
      <c r="AE6" s="717"/>
      <c r="AF6" s="717"/>
      <c r="AG6" s="717"/>
      <c r="AH6" s="1350"/>
      <c r="AI6" s="717"/>
      <c r="AJ6" s="717"/>
      <c r="AK6" s="717"/>
      <c r="AL6" s="1350"/>
      <c r="AM6" s="1758"/>
      <c r="AN6" s="1758"/>
      <c r="AO6" s="717"/>
      <c r="AP6" s="717"/>
      <c r="AQ6" s="717"/>
      <c r="AR6" s="1350"/>
      <c r="AS6" s="717"/>
      <c r="AT6" s="717"/>
      <c r="AU6" s="717"/>
      <c r="AV6" s="1350"/>
      <c r="AW6" s="717"/>
      <c r="AX6" s="717"/>
      <c r="AY6" s="717"/>
      <c r="AZ6" s="1350"/>
      <c r="BA6" s="1758"/>
      <c r="BB6" s="1758"/>
      <c r="BC6" s="1758"/>
      <c r="BD6" s="1758"/>
      <c r="BE6" s="717"/>
      <c r="BF6" s="717"/>
      <c r="BG6" s="26"/>
      <c r="BH6" s="26"/>
      <c r="BI6" s="26"/>
      <c r="BJ6" s="26"/>
      <c r="BK6" s="26"/>
      <c r="BL6" s="26"/>
      <c r="BM6" s="26"/>
      <c r="BN6" s="26"/>
    </row>
    <row r="7" spans="1:66" ht="16.149999999999999" thickBot="1" x14ac:dyDescent="0.35">
      <c r="A7" s="149"/>
      <c r="B7" s="2915" t="s">
        <v>72</v>
      </c>
      <c r="C7" s="2916" t="s">
        <v>1376</v>
      </c>
      <c r="D7" s="2917" t="s">
        <v>50</v>
      </c>
      <c r="E7" s="2918"/>
      <c r="F7" s="158"/>
      <c r="G7" s="2918"/>
      <c r="H7" s="158"/>
      <c r="I7" s="373"/>
      <c r="J7" s="43">
        <f>+F7+H7</f>
        <v>0</v>
      </c>
      <c r="K7" s="2918"/>
      <c r="L7" s="158"/>
      <c r="M7" s="618"/>
      <c r="N7" s="618">
        <f>+F7+H7+L7</f>
        <v>0</v>
      </c>
      <c r="O7" s="2918"/>
      <c r="P7" s="158"/>
      <c r="Q7" s="373"/>
      <c r="R7" s="373">
        <f>+N7+P7</f>
        <v>0</v>
      </c>
      <c r="S7" s="2918"/>
      <c r="T7" s="158"/>
      <c r="U7" s="373"/>
      <c r="V7" s="373">
        <f>+R7+T7</f>
        <v>0</v>
      </c>
      <c r="W7" s="2918"/>
      <c r="X7" s="158"/>
      <c r="Y7" s="4336"/>
      <c r="Z7" s="4336">
        <f t="shared" ref="Z7:Z76" si="0">P7+T7+X7</f>
        <v>0</v>
      </c>
      <c r="AA7" s="4337"/>
      <c r="AB7" s="4337">
        <f t="shared" ref="AB7:AB76" si="1">N7+Z7</f>
        <v>0</v>
      </c>
      <c r="AC7" s="2918"/>
      <c r="AD7" s="158"/>
      <c r="AE7" s="373"/>
      <c r="AF7" s="373">
        <f>+AB7+AD7</f>
        <v>0</v>
      </c>
      <c r="AG7" s="2918"/>
      <c r="AH7" s="158"/>
      <c r="AI7" s="373"/>
      <c r="AJ7" s="373">
        <f>+AF7+AH7</f>
        <v>0</v>
      </c>
      <c r="AK7" s="2918"/>
      <c r="AL7" s="158"/>
      <c r="AM7" s="4336"/>
      <c r="AN7" s="4336">
        <f t="shared" ref="AN7:AN72" si="2">AD7+AH7+AL7</f>
        <v>0</v>
      </c>
      <c r="AO7" s="373"/>
      <c r="AP7" s="373">
        <f>AJ7+AL7</f>
        <v>0</v>
      </c>
      <c r="AQ7" s="2918"/>
      <c r="AR7" s="158"/>
      <c r="AS7" s="373"/>
      <c r="AT7" s="373">
        <f>+AP7+AR7</f>
        <v>0</v>
      </c>
      <c r="AU7" s="2918"/>
      <c r="AV7" s="158"/>
      <c r="AW7" s="373"/>
      <c r="AX7" s="373">
        <f>+AT7+AV7</f>
        <v>0</v>
      </c>
      <c r="AY7" s="2918"/>
      <c r="AZ7" s="158"/>
      <c r="BA7" s="4336"/>
      <c r="BB7" s="4336">
        <f t="shared" ref="BB7:BB71" si="3">AR7+AV7+AZ7</f>
        <v>0</v>
      </c>
      <c r="BC7" s="4337"/>
      <c r="BD7" s="4337">
        <f>AN7+BB7</f>
        <v>0</v>
      </c>
      <c r="BE7" s="373"/>
      <c r="BF7" s="43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6.149999999999999" thickBot="1" x14ac:dyDescent="0.35">
      <c r="A8" s="549"/>
      <c r="B8" s="4959" t="s">
        <v>72</v>
      </c>
      <c r="C8" s="4960" t="s">
        <v>970</v>
      </c>
      <c r="D8" s="4961" t="s">
        <v>50</v>
      </c>
      <c r="E8" s="4962"/>
      <c r="F8" s="4963">
        <v>502.24999999999994</v>
      </c>
      <c r="G8" s="4962"/>
      <c r="H8" s="4963"/>
      <c r="I8" s="4957"/>
      <c r="J8" s="43">
        <f t="shared" ref="J8:J71" si="4">+F8+H8</f>
        <v>502.24999999999994</v>
      </c>
      <c r="K8" s="4962"/>
      <c r="L8" s="4963"/>
      <c r="M8" s="4964"/>
      <c r="N8" s="618">
        <f t="shared" ref="N8:N71" si="5">+F8+H8+L8</f>
        <v>502.24999999999994</v>
      </c>
      <c r="O8" s="4962"/>
      <c r="P8" s="4963"/>
      <c r="Q8" s="4957"/>
      <c r="R8" s="373">
        <f t="shared" ref="R8:R71" si="6">+N8+P8</f>
        <v>502.24999999999994</v>
      </c>
      <c r="S8" s="4962"/>
      <c r="T8" s="4963"/>
      <c r="U8" s="4957"/>
      <c r="V8" s="373">
        <f t="shared" ref="V8:V71" si="7">+R8+T8</f>
        <v>502.24999999999994</v>
      </c>
      <c r="W8" s="4962"/>
      <c r="X8" s="4963"/>
      <c r="Y8" s="4964"/>
      <c r="Z8" s="4336">
        <f t="shared" si="0"/>
        <v>0</v>
      </c>
      <c r="AA8" s="4965"/>
      <c r="AB8" s="4337">
        <f t="shared" si="1"/>
        <v>502.24999999999994</v>
      </c>
      <c r="AC8" s="4962"/>
      <c r="AD8" s="4963"/>
      <c r="AE8" s="4957"/>
      <c r="AF8" s="4957">
        <f t="shared" ref="AF8:AF73" si="8">+AB8+AD8</f>
        <v>502.24999999999994</v>
      </c>
      <c r="AG8" s="4962"/>
      <c r="AH8" s="4963"/>
      <c r="AI8" s="4957"/>
      <c r="AJ8" s="4957">
        <f t="shared" ref="AJ8:AJ73" si="9">+AF8+AH8</f>
        <v>502.24999999999994</v>
      </c>
      <c r="AK8" s="4962"/>
      <c r="AL8" s="4963"/>
      <c r="AM8" s="4964"/>
      <c r="AN8" s="4874">
        <f t="shared" si="2"/>
        <v>0</v>
      </c>
      <c r="AO8" s="4957"/>
      <c r="AP8" s="4957">
        <f t="shared" ref="AP8:AP73" si="10">AJ8+AL8</f>
        <v>502.24999999999994</v>
      </c>
      <c r="AQ8" s="4962"/>
      <c r="AR8" s="4963"/>
      <c r="AS8" s="4957"/>
      <c r="AT8" s="4957">
        <f t="shared" ref="AT8:AT73" si="11">+AP8+AR8</f>
        <v>502.24999999999994</v>
      </c>
      <c r="AU8" s="4962"/>
      <c r="AV8" s="4963">
        <v>90.2</v>
      </c>
      <c r="AW8" s="4957"/>
      <c r="AX8" s="4957">
        <f t="shared" ref="AX8:AX73" si="12">+AT8+AV8</f>
        <v>592.44999999999993</v>
      </c>
      <c r="AY8" s="4962"/>
      <c r="AZ8" s="4963"/>
      <c r="BA8" s="4964"/>
      <c r="BB8" s="4874">
        <f t="shared" si="3"/>
        <v>90.2</v>
      </c>
      <c r="BC8" s="4965"/>
      <c r="BD8" s="4965">
        <f t="shared" ref="BD8:BD72" si="13">AN8+BB8</f>
        <v>90.2</v>
      </c>
      <c r="BE8" s="4957"/>
      <c r="BF8" s="4866">
        <f t="shared" ref="BF8:BF72" si="14">+AX8+AZ8</f>
        <v>592.44999999999993</v>
      </c>
      <c r="BG8" s="26"/>
      <c r="BH8" s="26"/>
      <c r="BI8" s="26"/>
      <c r="BJ8" s="26"/>
      <c r="BK8" s="26"/>
      <c r="BL8" s="26"/>
      <c r="BM8" s="26"/>
      <c r="BN8" s="26"/>
    </row>
    <row r="9" spans="1:66" ht="16.149999999999999" thickBot="1" x14ac:dyDescent="0.35">
      <c r="A9" s="149"/>
      <c r="B9" s="4959" t="s">
        <v>72</v>
      </c>
      <c r="C9" s="4960" t="s">
        <v>972</v>
      </c>
      <c r="D9" s="4961" t="s">
        <v>50</v>
      </c>
      <c r="E9" s="4966"/>
      <c r="F9" s="4963"/>
      <c r="G9" s="4966"/>
      <c r="H9" s="4963"/>
      <c r="I9" s="4957"/>
      <c r="J9" s="43">
        <f t="shared" si="4"/>
        <v>0</v>
      </c>
      <c r="K9" s="4966"/>
      <c r="L9" s="4963"/>
      <c r="M9" s="4964"/>
      <c r="N9" s="618">
        <f t="shared" si="5"/>
        <v>0</v>
      </c>
      <c r="O9" s="4966"/>
      <c r="P9" s="4963"/>
      <c r="Q9" s="4957"/>
      <c r="R9" s="373">
        <f t="shared" si="6"/>
        <v>0</v>
      </c>
      <c r="S9" s="4966"/>
      <c r="T9" s="4963"/>
      <c r="U9" s="4957"/>
      <c r="V9" s="373">
        <f t="shared" si="7"/>
        <v>0</v>
      </c>
      <c r="W9" s="4966"/>
      <c r="X9" s="4963"/>
      <c r="Y9" s="4874"/>
      <c r="Z9" s="4336">
        <f t="shared" si="0"/>
        <v>0</v>
      </c>
      <c r="AA9" s="4965"/>
      <c r="AB9" s="4337">
        <f t="shared" si="1"/>
        <v>0</v>
      </c>
      <c r="AC9" s="4966"/>
      <c r="AD9" s="4963"/>
      <c r="AE9" s="4957"/>
      <c r="AF9" s="4957">
        <f t="shared" si="8"/>
        <v>0</v>
      </c>
      <c r="AG9" s="4966"/>
      <c r="AH9" s="4963"/>
      <c r="AI9" s="4957"/>
      <c r="AJ9" s="4957">
        <f t="shared" si="9"/>
        <v>0</v>
      </c>
      <c r="AK9" s="4966"/>
      <c r="AL9" s="4963"/>
      <c r="AM9" s="4874"/>
      <c r="AN9" s="4874">
        <f t="shared" si="2"/>
        <v>0</v>
      </c>
      <c r="AO9" s="4957"/>
      <c r="AP9" s="4957">
        <f t="shared" si="10"/>
        <v>0</v>
      </c>
      <c r="AQ9" s="4966"/>
      <c r="AR9" s="4963">
        <v>20.5</v>
      </c>
      <c r="AS9" s="4957"/>
      <c r="AT9" s="4957">
        <f t="shared" si="11"/>
        <v>20.5</v>
      </c>
      <c r="AU9" s="4966"/>
      <c r="AV9" s="4963"/>
      <c r="AW9" s="4957"/>
      <c r="AX9" s="4957">
        <f t="shared" si="12"/>
        <v>20.5</v>
      </c>
      <c r="AY9" s="4966"/>
      <c r="AZ9" s="4963"/>
      <c r="BA9" s="4874"/>
      <c r="BB9" s="4874">
        <f t="shared" si="3"/>
        <v>20.5</v>
      </c>
      <c r="BC9" s="4965"/>
      <c r="BD9" s="4965">
        <f t="shared" si="13"/>
        <v>20.5</v>
      </c>
      <c r="BE9" s="4957"/>
      <c r="BF9" s="4866">
        <f t="shared" si="14"/>
        <v>20.5</v>
      </c>
      <c r="BG9" s="26"/>
      <c r="BH9" s="26"/>
      <c r="BI9" s="26"/>
      <c r="BJ9" s="26"/>
      <c r="BK9" s="26"/>
      <c r="BL9" s="26"/>
      <c r="BM9" s="26"/>
      <c r="BN9" s="26"/>
    </row>
    <row r="10" spans="1:66" ht="16.149999999999999" thickBot="1" x14ac:dyDescent="0.35">
      <c r="A10" s="149"/>
      <c r="B10" s="4959" t="s">
        <v>72</v>
      </c>
      <c r="C10" s="4960" t="s">
        <v>1122</v>
      </c>
      <c r="D10" s="4961" t="s">
        <v>50</v>
      </c>
      <c r="E10" s="4966"/>
      <c r="F10" s="4963"/>
      <c r="G10" s="4966"/>
      <c r="H10" s="4963"/>
      <c r="I10" s="4957"/>
      <c r="J10" s="43">
        <f t="shared" si="4"/>
        <v>0</v>
      </c>
      <c r="K10" s="4966"/>
      <c r="L10" s="4963"/>
      <c r="M10" s="4964"/>
      <c r="N10" s="618">
        <f t="shared" si="5"/>
        <v>0</v>
      </c>
      <c r="O10" s="4966"/>
      <c r="P10" s="4963"/>
      <c r="Q10" s="4957"/>
      <c r="R10" s="373">
        <f t="shared" si="6"/>
        <v>0</v>
      </c>
      <c r="S10" s="4966"/>
      <c r="T10" s="4963"/>
      <c r="U10" s="4957"/>
      <c r="V10" s="373">
        <f t="shared" si="7"/>
        <v>0</v>
      </c>
      <c r="W10" s="4966"/>
      <c r="X10" s="4963"/>
      <c r="Y10" s="4874"/>
      <c r="Z10" s="4336">
        <f t="shared" si="0"/>
        <v>0</v>
      </c>
      <c r="AA10" s="4965"/>
      <c r="AB10" s="4337">
        <f t="shared" si="1"/>
        <v>0</v>
      </c>
      <c r="AC10" s="4966"/>
      <c r="AD10" s="4963"/>
      <c r="AE10" s="4957"/>
      <c r="AF10" s="4957">
        <f t="shared" si="8"/>
        <v>0</v>
      </c>
      <c r="AG10" s="4966"/>
      <c r="AH10" s="4963"/>
      <c r="AI10" s="4957"/>
      <c r="AJ10" s="4957">
        <f t="shared" si="9"/>
        <v>0</v>
      </c>
      <c r="AK10" s="4966"/>
      <c r="AL10" s="4963"/>
      <c r="AM10" s="4874"/>
      <c r="AN10" s="4874">
        <f t="shared" si="2"/>
        <v>0</v>
      </c>
      <c r="AO10" s="4957"/>
      <c r="AP10" s="4957">
        <f t="shared" si="10"/>
        <v>0</v>
      </c>
      <c r="AQ10" s="4966"/>
      <c r="AR10" s="4963"/>
      <c r="AS10" s="4957"/>
      <c r="AT10" s="4957">
        <f t="shared" si="11"/>
        <v>0</v>
      </c>
      <c r="AU10" s="4966"/>
      <c r="AV10" s="4963"/>
      <c r="AW10" s="4957"/>
      <c r="AX10" s="4957">
        <f t="shared" si="12"/>
        <v>0</v>
      </c>
      <c r="AY10" s="4966"/>
      <c r="AZ10" s="4963"/>
      <c r="BA10" s="4874"/>
      <c r="BB10" s="4874">
        <f t="shared" si="3"/>
        <v>0</v>
      </c>
      <c r="BC10" s="4965"/>
      <c r="BD10" s="4965">
        <f t="shared" si="13"/>
        <v>0</v>
      </c>
      <c r="BE10" s="4957"/>
      <c r="BF10" s="4866">
        <f t="shared" si="14"/>
        <v>0</v>
      </c>
      <c r="BG10" s="26"/>
      <c r="BH10" s="26"/>
      <c r="BI10" s="26"/>
      <c r="BJ10" s="26"/>
      <c r="BK10" s="26"/>
      <c r="BL10" s="26"/>
      <c r="BM10" s="26"/>
      <c r="BN10" s="26"/>
    </row>
    <row r="11" spans="1:66" ht="16.149999999999999" thickBot="1" x14ac:dyDescent="0.35">
      <c r="A11" s="149"/>
      <c r="B11" s="4959" t="s">
        <v>72</v>
      </c>
      <c r="C11" s="4960" t="s">
        <v>1137</v>
      </c>
      <c r="D11" s="4961" t="s">
        <v>50</v>
      </c>
      <c r="E11" s="4966"/>
      <c r="F11" s="4963"/>
      <c r="G11" s="4966"/>
      <c r="H11" s="4963"/>
      <c r="I11" s="4957"/>
      <c r="J11" s="43">
        <f t="shared" si="4"/>
        <v>0</v>
      </c>
      <c r="K11" s="4966"/>
      <c r="L11" s="4963"/>
      <c r="M11" s="4964"/>
      <c r="N11" s="618">
        <f t="shared" si="5"/>
        <v>0</v>
      </c>
      <c r="O11" s="4966"/>
      <c r="P11" s="4963"/>
      <c r="Q11" s="4957"/>
      <c r="R11" s="373">
        <f t="shared" si="6"/>
        <v>0</v>
      </c>
      <c r="S11" s="4966"/>
      <c r="T11" s="4963"/>
      <c r="U11" s="4957"/>
      <c r="V11" s="373">
        <f t="shared" si="7"/>
        <v>0</v>
      </c>
      <c r="W11" s="4966"/>
      <c r="X11" s="4963"/>
      <c r="Y11" s="4874"/>
      <c r="Z11" s="4336">
        <f t="shared" si="0"/>
        <v>0</v>
      </c>
      <c r="AA11" s="4965"/>
      <c r="AB11" s="4337">
        <f t="shared" si="1"/>
        <v>0</v>
      </c>
      <c r="AC11" s="4966"/>
      <c r="AD11" s="4963"/>
      <c r="AE11" s="4957"/>
      <c r="AF11" s="4957">
        <f t="shared" si="8"/>
        <v>0</v>
      </c>
      <c r="AG11" s="4966"/>
      <c r="AH11" s="4963"/>
      <c r="AI11" s="4957"/>
      <c r="AJ11" s="4957">
        <f t="shared" si="9"/>
        <v>0</v>
      </c>
      <c r="AK11" s="4966"/>
      <c r="AL11" s="4963"/>
      <c r="AM11" s="4874"/>
      <c r="AN11" s="4874">
        <f t="shared" si="2"/>
        <v>0</v>
      </c>
      <c r="AO11" s="4957"/>
      <c r="AP11" s="4957">
        <f t="shared" si="10"/>
        <v>0</v>
      </c>
      <c r="AQ11" s="4966"/>
      <c r="AR11" s="4963"/>
      <c r="AS11" s="4957"/>
      <c r="AT11" s="4957">
        <f t="shared" si="11"/>
        <v>0</v>
      </c>
      <c r="AU11" s="4966"/>
      <c r="AV11" s="4963"/>
      <c r="AW11" s="4957"/>
      <c r="AX11" s="4957">
        <f t="shared" si="12"/>
        <v>0</v>
      </c>
      <c r="AY11" s="4966"/>
      <c r="AZ11" s="4963"/>
      <c r="BA11" s="4874"/>
      <c r="BB11" s="4874">
        <f t="shared" si="3"/>
        <v>0</v>
      </c>
      <c r="BC11" s="4965"/>
      <c r="BD11" s="4965">
        <f t="shared" si="13"/>
        <v>0</v>
      </c>
      <c r="BE11" s="4957"/>
      <c r="BF11" s="4866">
        <f t="shared" si="14"/>
        <v>0</v>
      </c>
      <c r="BG11" s="26"/>
      <c r="BH11" s="26"/>
      <c r="BI11" s="26"/>
      <c r="BJ11" s="26"/>
      <c r="BK11" s="26"/>
      <c r="BL11" s="26"/>
      <c r="BM11" s="26"/>
      <c r="BN11" s="26"/>
    </row>
    <row r="12" spans="1:66" ht="16.149999999999999" thickBot="1" x14ac:dyDescent="0.35">
      <c r="A12" s="149"/>
      <c r="B12" s="4959" t="s">
        <v>72</v>
      </c>
      <c r="C12" s="4960" t="s">
        <v>874</v>
      </c>
      <c r="D12" s="4961" t="s">
        <v>50</v>
      </c>
      <c r="E12" s="4962"/>
      <c r="F12" s="4963">
        <v>508.40000000000003</v>
      </c>
      <c r="G12" s="4962"/>
      <c r="H12" s="4963">
        <v>666.25000000000011</v>
      </c>
      <c r="I12" s="4957"/>
      <c r="J12" s="43">
        <f t="shared" si="4"/>
        <v>1174.6500000000001</v>
      </c>
      <c r="K12" s="4962"/>
      <c r="L12" s="4963">
        <v>590.4</v>
      </c>
      <c r="M12" s="4964"/>
      <c r="N12" s="618">
        <f t="shared" si="5"/>
        <v>1765.0500000000002</v>
      </c>
      <c r="O12" s="4962"/>
      <c r="P12" s="4963">
        <v>250.1</v>
      </c>
      <c r="Q12" s="4957"/>
      <c r="R12" s="373">
        <f t="shared" si="6"/>
        <v>2015.15</v>
      </c>
      <c r="S12" s="4962"/>
      <c r="T12" s="4963">
        <f>787.2-6.15</f>
        <v>781.05000000000007</v>
      </c>
      <c r="U12" s="4957"/>
      <c r="V12" s="373">
        <f t="shared" si="7"/>
        <v>2796.2000000000003</v>
      </c>
      <c r="W12" s="4962"/>
      <c r="X12" s="4963">
        <f>1293.55-4.1</f>
        <v>1289.45</v>
      </c>
      <c r="Y12" s="4874"/>
      <c r="Z12" s="4336">
        <f t="shared" si="0"/>
        <v>2320.6000000000004</v>
      </c>
      <c r="AA12" s="4965"/>
      <c r="AB12" s="4337">
        <f t="shared" si="1"/>
        <v>4085.6500000000005</v>
      </c>
      <c r="AC12" s="4962"/>
      <c r="AD12" s="4963">
        <f>211.15-2.05</f>
        <v>209.1</v>
      </c>
      <c r="AE12" s="4957"/>
      <c r="AF12" s="4957">
        <f t="shared" si="8"/>
        <v>4294.7500000000009</v>
      </c>
      <c r="AG12" s="4962"/>
      <c r="AH12" s="4963"/>
      <c r="AI12" s="4957"/>
      <c r="AJ12" s="4957">
        <f t="shared" si="9"/>
        <v>4294.7500000000009</v>
      </c>
      <c r="AK12" s="4962"/>
      <c r="AL12" s="4963"/>
      <c r="AM12" s="4874"/>
      <c r="AN12" s="4874">
        <f t="shared" si="2"/>
        <v>209.1</v>
      </c>
      <c r="AO12" s="4957"/>
      <c r="AP12" s="4957">
        <f t="shared" si="10"/>
        <v>4294.7500000000009</v>
      </c>
      <c r="AQ12" s="4962"/>
      <c r="AR12" s="4963"/>
      <c r="AS12" s="4957"/>
      <c r="AT12" s="4957">
        <f t="shared" si="11"/>
        <v>4294.7500000000009</v>
      </c>
      <c r="AU12" s="4962"/>
      <c r="AV12" s="4963">
        <v>764.64999999999986</v>
      </c>
      <c r="AW12" s="4957"/>
      <c r="AX12" s="4957">
        <f t="shared" si="12"/>
        <v>5059.4000000000005</v>
      </c>
      <c r="AY12" s="4962"/>
      <c r="AZ12" s="4963"/>
      <c r="BA12" s="4874"/>
      <c r="BB12" s="4874">
        <f t="shared" si="3"/>
        <v>764.64999999999986</v>
      </c>
      <c r="BC12" s="4965"/>
      <c r="BD12" s="4965">
        <f t="shared" si="13"/>
        <v>973.74999999999989</v>
      </c>
      <c r="BE12" s="4957"/>
      <c r="BF12" s="4866">
        <f t="shared" si="14"/>
        <v>5059.4000000000005</v>
      </c>
      <c r="BG12" s="26"/>
      <c r="BH12" s="26"/>
      <c r="BI12" s="26"/>
      <c r="BJ12" s="26"/>
      <c r="BK12" s="26"/>
      <c r="BL12" s="26"/>
      <c r="BM12" s="26"/>
      <c r="BN12" s="26"/>
    </row>
    <row r="13" spans="1:66" ht="16.149999999999999" thickBot="1" x14ac:dyDescent="0.35">
      <c r="A13" s="149"/>
      <c r="B13" s="4959" t="s">
        <v>72</v>
      </c>
      <c r="C13" s="4960" t="s">
        <v>875</v>
      </c>
      <c r="D13" s="4961" t="s">
        <v>50</v>
      </c>
      <c r="E13" s="4962"/>
      <c r="F13" s="4963">
        <f>528.9-6.15</f>
        <v>522.75</v>
      </c>
      <c r="G13" s="4962"/>
      <c r="H13" s="4963">
        <f>489.95-4.1</f>
        <v>485.84999999999997</v>
      </c>
      <c r="I13" s="4957"/>
      <c r="J13" s="43">
        <f t="shared" si="4"/>
        <v>1008.5999999999999</v>
      </c>
      <c r="K13" s="4962"/>
      <c r="L13" s="4963">
        <v>508.40000000000003</v>
      </c>
      <c r="M13" s="4964"/>
      <c r="N13" s="618">
        <f t="shared" si="5"/>
        <v>1517</v>
      </c>
      <c r="O13" s="4962"/>
      <c r="P13" s="4963"/>
      <c r="Q13" s="4957"/>
      <c r="R13" s="373">
        <f t="shared" si="6"/>
        <v>1517</v>
      </c>
      <c r="S13" s="4962"/>
      <c r="T13" s="4963"/>
      <c r="U13" s="4957"/>
      <c r="V13" s="373">
        <f t="shared" si="7"/>
        <v>1517</v>
      </c>
      <c r="W13" s="4962"/>
      <c r="X13" s="4963"/>
      <c r="Y13" s="4874"/>
      <c r="Z13" s="4336">
        <f t="shared" si="0"/>
        <v>0</v>
      </c>
      <c r="AA13" s="4965"/>
      <c r="AB13" s="4337">
        <f t="shared" si="1"/>
        <v>1517</v>
      </c>
      <c r="AC13" s="4962"/>
      <c r="AD13" s="4963">
        <v>1414.5000000000002</v>
      </c>
      <c r="AE13" s="4957"/>
      <c r="AF13" s="4957">
        <f t="shared" si="8"/>
        <v>2931.5</v>
      </c>
      <c r="AG13" s="4962"/>
      <c r="AH13" s="4963">
        <v>764.65</v>
      </c>
      <c r="AI13" s="4957"/>
      <c r="AJ13" s="4957">
        <f t="shared" si="9"/>
        <v>3696.15</v>
      </c>
      <c r="AK13" s="4962"/>
      <c r="AL13" s="4963">
        <f>789.25-16.4</f>
        <v>772.85</v>
      </c>
      <c r="AM13" s="4874"/>
      <c r="AN13" s="4874">
        <f t="shared" si="2"/>
        <v>2952</v>
      </c>
      <c r="AO13" s="4957"/>
      <c r="AP13" s="4957">
        <f t="shared" si="10"/>
        <v>4469</v>
      </c>
      <c r="AQ13" s="4962"/>
      <c r="AR13" s="4963">
        <v>133.25</v>
      </c>
      <c r="AS13" s="4957"/>
      <c r="AT13" s="4957">
        <f t="shared" si="11"/>
        <v>4602.25</v>
      </c>
      <c r="AU13" s="4962"/>
      <c r="AV13" s="4963">
        <v>205</v>
      </c>
      <c r="AW13" s="4957"/>
      <c r="AX13" s="4957">
        <f t="shared" si="12"/>
        <v>4807.25</v>
      </c>
      <c r="AY13" s="4962"/>
      <c r="AZ13" s="4963"/>
      <c r="BA13" s="4874"/>
      <c r="BB13" s="4874">
        <f t="shared" si="3"/>
        <v>338.25</v>
      </c>
      <c r="BC13" s="4965"/>
      <c r="BD13" s="4965">
        <f t="shared" si="13"/>
        <v>3290.25</v>
      </c>
      <c r="BE13" s="4957"/>
      <c r="BF13" s="4866">
        <f t="shared" si="14"/>
        <v>4807.25</v>
      </c>
      <c r="BG13" s="26"/>
      <c r="BH13" s="26"/>
      <c r="BI13" s="26"/>
      <c r="BJ13" s="26"/>
      <c r="BK13" s="26"/>
      <c r="BL13" s="26"/>
      <c r="BM13" s="26"/>
      <c r="BN13" s="26"/>
    </row>
    <row r="14" spans="1:66" ht="16.5" customHeight="1" thickBot="1" x14ac:dyDescent="0.35">
      <c r="A14" s="149"/>
      <c r="B14" s="4959" t="s">
        <v>72</v>
      </c>
      <c r="C14" s="4960" t="s">
        <v>1326</v>
      </c>
      <c r="D14" s="4961" t="s">
        <v>50</v>
      </c>
      <c r="E14" s="4962"/>
      <c r="F14" s="4963"/>
      <c r="G14" s="4962"/>
      <c r="H14" s="4963"/>
      <c r="I14" s="4957"/>
      <c r="J14" s="43">
        <f t="shared" si="4"/>
        <v>0</v>
      </c>
      <c r="K14" s="4962"/>
      <c r="L14" s="4963">
        <v>161.95000000000002</v>
      </c>
      <c r="M14" s="4964"/>
      <c r="N14" s="618">
        <f t="shared" si="5"/>
        <v>161.95000000000002</v>
      </c>
      <c r="O14" s="4962"/>
      <c r="P14" s="4963">
        <v>676.5</v>
      </c>
      <c r="Q14" s="4957"/>
      <c r="R14" s="373">
        <f t="shared" si="6"/>
        <v>838.45</v>
      </c>
      <c r="S14" s="4962"/>
      <c r="T14" s="4963">
        <v>211.14999999999998</v>
      </c>
      <c r="U14" s="4957"/>
      <c r="V14" s="373">
        <f t="shared" si="7"/>
        <v>1049.5999999999999</v>
      </c>
      <c r="W14" s="4962"/>
      <c r="X14" s="4963">
        <f>1328.4-2.05</f>
        <v>1326.3500000000001</v>
      </c>
      <c r="Y14" s="4874"/>
      <c r="Z14" s="4336">
        <f t="shared" si="0"/>
        <v>2214</v>
      </c>
      <c r="AA14" s="4965"/>
      <c r="AB14" s="4337">
        <f t="shared" si="1"/>
        <v>2375.9499999999998</v>
      </c>
      <c r="AC14" s="4962"/>
      <c r="AD14" s="4963">
        <v>731.85000000000014</v>
      </c>
      <c r="AE14" s="4957"/>
      <c r="AF14" s="4957">
        <f t="shared" si="8"/>
        <v>3107.8</v>
      </c>
      <c r="AG14" s="4962"/>
      <c r="AH14" s="4963">
        <v>147.6</v>
      </c>
      <c r="AI14" s="4957"/>
      <c r="AJ14" s="4957">
        <f t="shared" si="9"/>
        <v>3255.4</v>
      </c>
      <c r="AK14" s="4962"/>
      <c r="AL14" s="4963">
        <v>573.99999999999989</v>
      </c>
      <c r="AM14" s="4874"/>
      <c r="AN14" s="4874">
        <f t="shared" si="2"/>
        <v>1453.45</v>
      </c>
      <c r="AO14" s="4957"/>
      <c r="AP14" s="4957">
        <f t="shared" si="10"/>
        <v>3829.4</v>
      </c>
      <c r="AQ14" s="4962"/>
      <c r="AR14" s="4963">
        <v>196.79999999999998</v>
      </c>
      <c r="AS14" s="4957"/>
      <c r="AT14" s="4957">
        <f t="shared" si="11"/>
        <v>4026.2000000000003</v>
      </c>
      <c r="AU14" s="4962"/>
      <c r="AV14" s="4963">
        <v>592.45000000000005</v>
      </c>
      <c r="AW14" s="4957"/>
      <c r="AX14" s="4957">
        <f t="shared" si="12"/>
        <v>4618.6500000000005</v>
      </c>
      <c r="AY14" s="4962"/>
      <c r="AZ14" s="4963"/>
      <c r="BA14" s="4874"/>
      <c r="BB14" s="4874">
        <f t="shared" si="3"/>
        <v>789.25</v>
      </c>
      <c r="BC14" s="4965"/>
      <c r="BD14" s="4965">
        <f t="shared" si="13"/>
        <v>2242.6999999999998</v>
      </c>
      <c r="BE14" s="4957"/>
      <c r="BF14" s="4866">
        <f t="shared" si="14"/>
        <v>4618.6500000000005</v>
      </c>
      <c r="BG14" s="26"/>
      <c r="BH14" s="26"/>
      <c r="BI14" s="26"/>
      <c r="BJ14" s="26"/>
      <c r="BK14" s="26"/>
      <c r="BL14" s="26"/>
      <c r="BM14" s="26"/>
      <c r="BN14" s="26"/>
    </row>
    <row r="15" spans="1:66" ht="16.149999999999999" thickBot="1" x14ac:dyDescent="0.35">
      <c r="A15" s="149"/>
      <c r="B15" s="4959" t="s">
        <v>72</v>
      </c>
      <c r="C15" s="4960" t="s">
        <v>971</v>
      </c>
      <c r="D15" s="4961" t="s">
        <v>50</v>
      </c>
      <c r="E15" s="4962"/>
      <c r="F15" s="4963">
        <v>1020.9</v>
      </c>
      <c r="G15" s="4962"/>
      <c r="H15" s="4963">
        <v>223.45000000000002</v>
      </c>
      <c r="I15" s="4957"/>
      <c r="J15" s="43">
        <f t="shared" si="4"/>
        <v>1244.3499999999999</v>
      </c>
      <c r="K15" s="4962"/>
      <c r="L15" s="4963">
        <v>539.15</v>
      </c>
      <c r="M15" s="4964"/>
      <c r="N15" s="618">
        <f t="shared" si="5"/>
        <v>1783.5</v>
      </c>
      <c r="O15" s="4962"/>
      <c r="P15" s="4963">
        <v>325.95</v>
      </c>
      <c r="Q15" s="4957"/>
      <c r="R15" s="373">
        <f t="shared" si="6"/>
        <v>2109.4499999999998</v>
      </c>
      <c r="S15" s="4962"/>
      <c r="T15" s="4963">
        <v>1055.75</v>
      </c>
      <c r="U15" s="4957"/>
      <c r="V15" s="373">
        <f t="shared" si="7"/>
        <v>3165.2</v>
      </c>
      <c r="W15" s="4962"/>
      <c r="X15" s="4963">
        <v>742.1</v>
      </c>
      <c r="Y15" s="4874"/>
      <c r="Z15" s="4336">
        <f t="shared" si="0"/>
        <v>2123.8000000000002</v>
      </c>
      <c r="AA15" s="4965"/>
      <c r="AB15" s="4337">
        <f t="shared" si="1"/>
        <v>3907.3</v>
      </c>
      <c r="AC15" s="4962"/>
      <c r="AD15" s="4963">
        <v>770.80000000000018</v>
      </c>
      <c r="AE15" s="4957"/>
      <c r="AF15" s="4957">
        <f t="shared" si="8"/>
        <v>4678.1000000000004</v>
      </c>
      <c r="AG15" s="4962"/>
      <c r="AH15" s="4963"/>
      <c r="AI15" s="4957"/>
      <c r="AJ15" s="4957">
        <f t="shared" si="9"/>
        <v>4678.1000000000004</v>
      </c>
      <c r="AK15" s="4962"/>
      <c r="AL15" s="4963">
        <v>1014.7500000000001</v>
      </c>
      <c r="AM15" s="4874"/>
      <c r="AN15" s="4874">
        <f t="shared" si="2"/>
        <v>1785.5500000000002</v>
      </c>
      <c r="AO15" s="4957"/>
      <c r="AP15" s="4957">
        <f t="shared" si="10"/>
        <v>5692.85</v>
      </c>
      <c r="AQ15" s="4962"/>
      <c r="AR15" s="4963">
        <v>703.1500000000002</v>
      </c>
      <c r="AS15" s="4957"/>
      <c r="AT15" s="4957">
        <f t="shared" si="11"/>
        <v>6396.0000000000009</v>
      </c>
      <c r="AU15" s="4962"/>
      <c r="AV15" s="4963">
        <v>604.75</v>
      </c>
      <c r="AW15" s="4957"/>
      <c r="AX15" s="4957">
        <f t="shared" si="12"/>
        <v>7000.7500000000009</v>
      </c>
      <c r="AY15" s="4962"/>
      <c r="AZ15" s="4963"/>
      <c r="BA15" s="4874"/>
      <c r="BB15" s="4874">
        <f t="shared" si="3"/>
        <v>1307.9000000000001</v>
      </c>
      <c r="BC15" s="4965"/>
      <c r="BD15" s="4965">
        <f t="shared" si="13"/>
        <v>3093.4500000000003</v>
      </c>
      <c r="BE15" s="4957"/>
      <c r="BF15" s="4866">
        <f t="shared" si="14"/>
        <v>7000.7500000000009</v>
      </c>
      <c r="BG15" s="26"/>
      <c r="BH15" s="26"/>
      <c r="BI15" s="26"/>
      <c r="BJ15" s="26"/>
      <c r="BK15" s="26"/>
      <c r="BL15" s="26"/>
      <c r="BM15" s="26"/>
      <c r="BN15" s="26"/>
    </row>
    <row r="16" spans="1:66" ht="16.149999999999999" thickBot="1" x14ac:dyDescent="0.35">
      <c r="A16" s="149"/>
      <c r="B16" s="4959" t="s">
        <v>72</v>
      </c>
      <c r="C16" s="4960" t="s">
        <v>1632</v>
      </c>
      <c r="D16" s="4961" t="s">
        <v>50</v>
      </c>
      <c r="E16" s="4962"/>
      <c r="F16" s="4963"/>
      <c r="G16" s="4962"/>
      <c r="H16" s="4963"/>
      <c r="I16" s="4957"/>
      <c r="J16" s="43">
        <f t="shared" si="4"/>
        <v>0</v>
      </c>
      <c r="K16" s="4962"/>
      <c r="L16" s="4963"/>
      <c r="M16" s="4964"/>
      <c r="N16" s="618">
        <f t="shared" si="5"/>
        <v>0</v>
      </c>
      <c r="O16" s="4962"/>
      <c r="P16" s="4963"/>
      <c r="Q16" s="4957"/>
      <c r="R16" s="373">
        <f t="shared" si="6"/>
        <v>0</v>
      </c>
      <c r="S16" s="4962"/>
      <c r="T16" s="4963"/>
      <c r="U16" s="4957"/>
      <c r="V16" s="373">
        <f t="shared" si="7"/>
        <v>0</v>
      </c>
      <c r="W16" s="4962"/>
      <c r="X16" s="4963"/>
      <c r="Y16" s="4874"/>
      <c r="Z16" s="4336">
        <f t="shared" si="0"/>
        <v>0</v>
      </c>
      <c r="AA16" s="4965"/>
      <c r="AB16" s="4337">
        <f t="shared" si="1"/>
        <v>0</v>
      </c>
      <c r="AC16" s="4962"/>
      <c r="AD16" s="4963"/>
      <c r="AE16" s="4957"/>
      <c r="AF16" s="4957">
        <f t="shared" si="8"/>
        <v>0</v>
      </c>
      <c r="AG16" s="4962"/>
      <c r="AH16" s="4963"/>
      <c r="AI16" s="4957"/>
      <c r="AJ16" s="4957">
        <f t="shared" si="9"/>
        <v>0</v>
      </c>
      <c r="AK16" s="4962"/>
      <c r="AL16" s="4963"/>
      <c r="AM16" s="4874"/>
      <c r="AN16" s="4874">
        <f t="shared" si="2"/>
        <v>0</v>
      </c>
      <c r="AO16" s="4957"/>
      <c r="AP16" s="4957">
        <f t="shared" si="10"/>
        <v>0</v>
      </c>
      <c r="AQ16" s="4962"/>
      <c r="AR16" s="4963"/>
      <c r="AS16" s="4957"/>
      <c r="AT16" s="4957">
        <f t="shared" si="11"/>
        <v>0</v>
      </c>
      <c r="AU16" s="4962"/>
      <c r="AV16" s="4963"/>
      <c r="AW16" s="4957"/>
      <c r="AX16" s="4957">
        <f t="shared" si="12"/>
        <v>0</v>
      </c>
      <c r="AY16" s="4962"/>
      <c r="AZ16" s="4963"/>
      <c r="BA16" s="4874"/>
      <c r="BB16" s="4874">
        <f t="shared" si="3"/>
        <v>0</v>
      </c>
      <c r="BC16" s="4965"/>
      <c r="BD16" s="4965">
        <f t="shared" si="13"/>
        <v>0</v>
      </c>
      <c r="BE16" s="4957"/>
      <c r="BF16" s="4866">
        <f t="shared" si="14"/>
        <v>0</v>
      </c>
      <c r="BG16" s="26"/>
      <c r="BH16" s="26"/>
      <c r="BI16" s="26"/>
      <c r="BJ16" s="26"/>
      <c r="BK16" s="26"/>
      <c r="BL16" s="26"/>
      <c r="BM16" s="26"/>
      <c r="BN16" s="26"/>
    </row>
    <row r="17" spans="1:66" ht="16.149999999999999" thickBot="1" x14ac:dyDescent="0.35">
      <c r="A17" s="149"/>
      <c r="B17" s="4959" t="s">
        <v>72</v>
      </c>
      <c r="C17" s="4960" t="s">
        <v>974</v>
      </c>
      <c r="D17" s="4961" t="s">
        <v>50</v>
      </c>
      <c r="E17" s="4962"/>
      <c r="F17" s="4963">
        <v>483.8</v>
      </c>
      <c r="G17" s="4962"/>
      <c r="H17" s="4963">
        <v>328</v>
      </c>
      <c r="I17" s="4957"/>
      <c r="J17" s="43">
        <f t="shared" si="4"/>
        <v>811.8</v>
      </c>
      <c r="K17" s="4962"/>
      <c r="L17" s="4963">
        <v>491.99999999999994</v>
      </c>
      <c r="M17" s="4964"/>
      <c r="N17" s="618">
        <f t="shared" si="5"/>
        <v>1303.8</v>
      </c>
      <c r="O17" s="4962"/>
      <c r="P17" s="4963">
        <v>270.60000000000002</v>
      </c>
      <c r="Q17" s="4957"/>
      <c r="R17" s="373">
        <f t="shared" si="6"/>
        <v>1574.4</v>
      </c>
      <c r="S17" s="4962"/>
      <c r="T17" s="4963">
        <v>340.3</v>
      </c>
      <c r="U17" s="4957"/>
      <c r="V17" s="373">
        <f t="shared" si="7"/>
        <v>1914.7</v>
      </c>
      <c r="W17" s="4962"/>
      <c r="X17" s="4963"/>
      <c r="Y17" s="4874"/>
      <c r="Z17" s="4336">
        <f t="shared" si="0"/>
        <v>610.90000000000009</v>
      </c>
      <c r="AA17" s="4965"/>
      <c r="AB17" s="4337">
        <f t="shared" si="1"/>
        <v>1914.7</v>
      </c>
      <c r="AC17" s="4962"/>
      <c r="AD17" s="4963">
        <v>287</v>
      </c>
      <c r="AE17" s="4957"/>
      <c r="AF17" s="4957">
        <f t="shared" si="8"/>
        <v>2201.6999999999998</v>
      </c>
      <c r="AG17" s="4962"/>
      <c r="AH17" s="4963"/>
      <c r="AI17" s="4957"/>
      <c r="AJ17" s="4957">
        <f t="shared" si="9"/>
        <v>2201.6999999999998</v>
      </c>
      <c r="AK17" s="4962"/>
      <c r="AL17" s="4963">
        <v>524.79999999999995</v>
      </c>
      <c r="AM17" s="4874"/>
      <c r="AN17" s="4874">
        <f t="shared" si="2"/>
        <v>811.8</v>
      </c>
      <c r="AO17" s="4957"/>
      <c r="AP17" s="4957">
        <f t="shared" si="10"/>
        <v>2726.5</v>
      </c>
      <c r="AQ17" s="4962"/>
      <c r="AR17" s="4963">
        <v>410</v>
      </c>
      <c r="AS17" s="4957"/>
      <c r="AT17" s="4957">
        <f t="shared" si="11"/>
        <v>3136.5</v>
      </c>
      <c r="AU17" s="4962"/>
      <c r="AV17" s="4963">
        <v>600.65</v>
      </c>
      <c r="AW17" s="4957"/>
      <c r="AX17" s="4957">
        <f t="shared" si="12"/>
        <v>3737.15</v>
      </c>
      <c r="AY17" s="4962"/>
      <c r="AZ17" s="4963"/>
      <c r="BA17" s="4874"/>
      <c r="BB17" s="4874">
        <f t="shared" si="3"/>
        <v>1010.65</v>
      </c>
      <c r="BC17" s="4965"/>
      <c r="BD17" s="4965">
        <f t="shared" si="13"/>
        <v>1822.4499999999998</v>
      </c>
      <c r="BE17" s="4957"/>
      <c r="BF17" s="4866">
        <f t="shared" si="14"/>
        <v>3737.15</v>
      </c>
      <c r="BG17" s="26"/>
      <c r="BH17" s="26"/>
      <c r="BI17" s="26"/>
      <c r="BJ17" s="26"/>
      <c r="BK17" s="26"/>
      <c r="BL17" s="26"/>
      <c r="BM17" s="26"/>
      <c r="BN17" s="26"/>
    </row>
    <row r="18" spans="1:66" ht="16.149999999999999" thickBot="1" x14ac:dyDescent="0.35">
      <c r="A18" s="149"/>
      <c r="B18" s="4959" t="s">
        <v>72</v>
      </c>
      <c r="C18" s="4960" t="s">
        <v>973</v>
      </c>
      <c r="D18" s="4961" t="s">
        <v>50</v>
      </c>
      <c r="E18" s="4962"/>
      <c r="F18" s="4963">
        <v>506.34999999999991</v>
      </c>
      <c r="G18" s="4962"/>
      <c r="H18" s="4963">
        <v>479.70000000000005</v>
      </c>
      <c r="I18" s="4957"/>
      <c r="J18" s="43">
        <f t="shared" si="4"/>
        <v>986.05</v>
      </c>
      <c r="K18" s="4962"/>
      <c r="L18" s="4963">
        <v>477.65</v>
      </c>
      <c r="M18" s="4964"/>
      <c r="N18" s="618">
        <f t="shared" si="5"/>
        <v>1463.6999999999998</v>
      </c>
      <c r="O18" s="4962"/>
      <c r="P18" s="4963">
        <v>455.10000000000014</v>
      </c>
      <c r="Q18" s="4957"/>
      <c r="R18" s="373">
        <f t="shared" si="6"/>
        <v>1918.8</v>
      </c>
      <c r="S18" s="4962"/>
      <c r="T18" s="4963">
        <v>1152.1000000000001</v>
      </c>
      <c r="U18" s="4957"/>
      <c r="V18" s="373">
        <f t="shared" si="7"/>
        <v>3070.9</v>
      </c>
      <c r="W18" s="4962"/>
      <c r="X18" s="4963">
        <v>512.5</v>
      </c>
      <c r="Y18" s="4874"/>
      <c r="Z18" s="4336">
        <f t="shared" si="0"/>
        <v>2119.7000000000003</v>
      </c>
      <c r="AA18" s="4965"/>
      <c r="AB18" s="4337">
        <f t="shared" si="1"/>
        <v>3583.4</v>
      </c>
      <c r="AC18" s="4962"/>
      <c r="AD18" s="4963">
        <v>586.29</v>
      </c>
      <c r="AE18" s="4957"/>
      <c r="AF18" s="4957">
        <f t="shared" si="8"/>
        <v>4169.6900000000005</v>
      </c>
      <c r="AG18" s="4962"/>
      <c r="AH18" s="4963">
        <v>1221.8000000000002</v>
      </c>
      <c r="AI18" s="4957"/>
      <c r="AJ18" s="4957">
        <f t="shared" si="9"/>
        <v>5391.4900000000007</v>
      </c>
      <c r="AK18" s="4962"/>
      <c r="AL18" s="4963">
        <v>924.55</v>
      </c>
      <c r="AM18" s="4874"/>
      <c r="AN18" s="4874">
        <f t="shared" si="2"/>
        <v>2732.6400000000003</v>
      </c>
      <c r="AO18" s="4957"/>
      <c r="AP18" s="4957">
        <f t="shared" si="10"/>
        <v>6316.0400000000009</v>
      </c>
      <c r="AQ18" s="4962"/>
      <c r="AR18" s="4963">
        <v>817.94999999999993</v>
      </c>
      <c r="AS18" s="4957"/>
      <c r="AT18" s="4957">
        <f t="shared" si="11"/>
        <v>7133.9900000000007</v>
      </c>
      <c r="AU18" s="4962"/>
      <c r="AV18" s="4963">
        <v>1037.3</v>
      </c>
      <c r="AW18" s="4957"/>
      <c r="AX18" s="4957">
        <f t="shared" si="12"/>
        <v>8171.2900000000009</v>
      </c>
      <c r="AY18" s="4962"/>
      <c r="AZ18" s="4963"/>
      <c r="BA18" s="4874"/>
      <c r="BB18" s="4874">
        <f t="shared" si="3"/>
        <v>1855.25</v>
      </c>
      <c r="BC18" s="4965"/>
      <c r="BD18" s="4965">
        <f t="shared" si="13"/>
        <v>4587.8900000000003</v>
      </c>
      <c r="BE18" s="4957"/>
      <c r="BF18" s="4866">
        <f t="shared" si="14"/>
        <v>8171.2900000000009</v>
      </c>
      <c r="BG18" s="26"/>
      <c r="BH18" s="26"/>
      <c r="BI18" s="26"/>
      <c r="BJ18" s="26"/>
      <c r="BK18" s="26"/>
      <c r="BL18" s="26"/>
      <c r="BM18" s="26"/>
      <c r="BN18" s="26"/>
    </row>
    <row r="19" spans="1:66" ht="16.149999999999999" thickBot="1" x14ac:dyDescent="0.35">
      <c r="A19" s="149"/>
      <c r="B19" s="4959" t="s">
        <v>72</v>
      </c>
      <c r="C19" s="4960" t="s">
        <v>1136</v>
      </c>
      <c r="D19" s="4961" t="s">
        <v>50</v>
      </c>
      <c r="E19" s="4962"/>
      <c r="F19" s="4963">
        <v>252.14999999999998</v>
      </c>
      <c r="G19" s="4962"/>
      <c r="H19" s="4963">
        <v>243.95000000000002</v>
      </c>
      <c r="I19" s="4957"/>
      <c r="J19" s="43">
        <f t="shared" si="4"/>
        <v>496.1</v>
      </c>
      <c r="K19" s="4962"/>
      <c r="L19" s="4963"/>
      <c r="M19" s="4964"/>
      <c r="N19" s="618">
        <f t="shared" si="5"/>
        <v>496.1</v>
      </c>
      <c r="O19" s="4962"/>
      <c r="P19" s="4963">
        <v>202.95</v>
      </c>
      <c r="Q19" s="4957"/>
      <c r="R19" s="373">
        <f t="shared" si="6"/>
        <v>699.05</v>
      </c>
      <c r="S19" s="4962"/>
      <c r="T19" s="4963">
        <v>399.74999999999994</v>
      </c>
      <c r="U19" s="4957"/>
      <c r="V19" s="373">
        <f t="shared" si="7"/>
        <v>1098.8</v>
      </c>
      <c r="W19" s="4962"/>
      <c r="X19" s="4963"/>
      <c r="Y19" s="4874"/>
      <c r="Z19" s="4336">
        <f t="shared" si="0"/>
        <v>602.69999999999993</v>
      </c>
      <c r="AA19" s="4965"/>
      <c r="AB19" s="4337">
        <f t="shared" si="1"/>
        <v>1098.8</v>
      </c>
      <c r="AC19" s="4962"/>
      <c r="AD19" s="4963"/>
      <c r="AE19" s="4957"/>
      <c r="AF19" s="4957">
        <f t="shared" si="8"/>
        <v>1098.8</v>
      </c>
      <c r="AG19" s="4962"/>
      <c r="AH19" s="4963"/>
      <c r="AI19" s="4957"/>
      <c r="AJ19" s="4957">
        <f t="shared" si="9"/>
        <v>1098.8</v>
      </c>
      <c r="AK19" s="4962"/>
      <c r="AL19" s="4963"/>
      <c r="AM19" s="4874"/>
      <c r="AN19" s="4874">
        <f t="shared" si="2"/>
        <v>0</v>
      </c>
      <c r="AO19" s="4957"/>
      <c r="AP19" s="4957">
        <f t="shared" si="10"/>
        <v>1098.8</v>
      </c>
      <c r="AQ19" s="4962"/>
      <c r="AR19" s="4963">
        <v>221.40000000000003</v>
      </c>
      <c r="AS19" s="4957"/>
      <c r="AT19" s="4957">
        <f t="shared" si="11"/>
        <v>1320.2</v>
      </c>
      <c r="AU19" s="4962"/>
      <c r="AV19" s="4963"/>
      <c r="AW19" s="4957"/>
      <c r="AX19" s="4957">
        <f t="shared" si="12"/>
        <v>1320.2</v>
      </c>
      <c r="AY19" s="4962"/>
      <c r="AZ19" s="4963"/>
      <c r="BA19" s="4874"/>
      <c r="BB19" s="4874">
        <f t="shared" si="3"/>
        <v>221.40000000000003</v>
      </c>
      <c r="BC19" s="4965"/>
      <c r="BD19" s="4965">
        <f t="shared" si="13"/>
        <v>221.40000000000003</v>
      </c>
      <c r="BE19" s="4957"/>
      <c r="BF19" s="4866">
        <f t="shared" si="14"/>
        <v>1320.2</v>
      </c>
      <c r="BG19" s="26"/>
      <c r="BH19" s="26"/>
      <c r="BI19" s="26"/>
      <c r="BJ19" s="26"/>
      <c r="BK19" s="26"/>
      <c r="BL19" s="26"/>
      <c r="BM19" s="26"/>
      <c r="BN19" s="26"/>
    </row>
    <row r="20" spans="1:66" ht="16.149999999999999" thickBot="1" x14ac:dyDescent="0.35">
      <c r="A20" s="149"/>
      <c r="B20" s="4967" t="s">
        <v>72</v>
      </c>
      <c r="C20" s="4968" t="s">
        <v>975</v>
      </c>
      <c r="D20" s="4969" t="s">
        <v>50</v>
      </c>
      <c r="E20" s="4970"/>
      <c r="F20" s="4971">
        <v>1184.8999999999996</v>
      </c>
      <c r="G20" s="4970"/>
      <c r="H20" s="4971">
        <v>1644.0999999999995</v>
      </c>
      <c r="I20" s="4972"/>
      <c r="J20" s="43">
        <f t="shared" si="4"/>
        <v>2828.9999999999991</v>
      </c>
      <c r="K20" s="4970"/>
      <c r="L20" s="4971">
        <v>1564.1499999999994</v>
      </c>
      <c r="M20" s="4974"/>
      <c r="N20" s="618">
        <f t="shared" si="5"/>
        <v>4393.1499999999987</v>
      </c>
      <c r="O20" s="4970"/>
      <c r="P20" s="4971">
        <v>1008.5999999999999</v>
      </c>
      <c r="Q20" s="4972"/>
      <c r="R20" s="373">
        <f t="shared" si="6"/>
        <v>5401.7499999999982</v>
      </c>
      <c r="S20" s="4970"/>
      <c r="T20" s="4971">
        <v>2134.0499999999997</v>
      </c>
      <c r="U20" s="4972"/>
      <c r="V20" s="373">
        <f t="shared" si="7"/>
        <v>7535.7999999999975</v>
      </c>
      <c r="W20" s="4970"/>
      <c r="X20" s="4971">
        <v>514.54999999999995</v>
      </c>
      <c r="Y20" s="4975"/>
      <c r="Z20" s="4336">
        <f t="shared" si="0"/>
        <v>3657.2</v>
      </c>
      <c r="AA20" s="4976"/>
      <c r="AB20" s="4337">
        <f t="shared" si="1"/>
        <v>8050.3499999999985</v>
      </c>
      <c r="AC20" s="4970"/>
      <c r="AD20" s="4971">
        <v>893.80000000000007</v>
      </c>
      <c r="AE20" s="4972"/>
      <c r="AF20" s="4972">
        <f t="shared" si="8"/>
        <v>8944.1499999999978</v>
      </c>
      <c r="AG20" s="4970"/>
      <c r="AH20" s="4971"/>
      <c r="AI20" s="4972"/>
      <c r="AJ20" s="4972">
        <f t="shared" si="9"/>
        <v>8944.1499999999978</v>
      </c>
      <c r="AK20" s="4970"/>
      <c r="AL20" s="4971">
        <v>994.24999999999966</v>
      </c>
      <c r="AM20" s="4975"/>
      <c r="AN20" s="4975">
        <f t="shared" si="2"/>
        <v>1888.0499999999997</v>
      </c>
      <c r="AO20" s="4972"/>
      <c r="AP20" s="4972">
        <f t="shared" si="10"/>
        <v>9938.3999999999978</v>
      </c>
      <c r="AQ20" s="4970"/>
      <c r="AR20" s="4971">
        <v>1428.8500000000001</v>
      </c>
      <c r="AS20" s="4972"/>
      <c r="AT20" s="4972">
        <f t="shared" si="11"/>
        <v>11367.249999999998</v>
      </c>
      <c r="AU20" s="4970"/>
      <c r="AV20" s="4971">
        <v>1572.3500000000001</v>
      </c>
      <c r="AW20" s="4972"/>
      <c r="AX20" s="4972">
        <f t="shared" si="12"/>
        <v>12939.599999999999</v>
      </c>
      <c r="AY20" s="4970"/>
      <c r="AZ20" s="4971">
        <v>137.35</v>
      </c>
      <c r="BA20" s="4975"/>
      <c r="BB20" s="4975">
        <f t="shared" si="3"/>
        <v>3138.55</v>
      </c>
      <c r="BC20" s="4976"/>
      <c r="BD20" s="4976">
        <f t="shared" si="13"/>
        <v>5026.6000000000004</v>
      </c>
      <c r="BE20" s="4972"/>
      <c r="BF20" s="4973">
        <f t="shared" si="14"/>
        <v>13076.949999999999</v>
      </c>
      <c r="BG20" s="26"/>
      <c r="BH20" s="26"/>
      <c r="BI20" s="26"/>
      <c r="BJ20" s="26"/>
      <c r="BK20" s="26"/>
      <c r="BL20" s="26"/>
      <c r="BM20" s="26"/>
      <c r="BN20" s="26"/>
    </row>
    <row r="21" spans="1:66" ht="16.149999999999999" thickBot="1" x14ac:dyDescent="0.35">
      <c r="A21" s="149"/>
      <c r="B21" s="4329" t="s">
        <v>74</v>
      </c>
      <c r="C21" s="4330" t="s">
        <v>1376</v>
      </c>
      <c r="D21" s="49" t="s">
        <v>50</v>
      </c>
      <c r="E21" s="4958"/>
      <c r="F21" s="1202">
        <v>475.60000000000008</v>
      </c>
      <c r="G21" s="4958"/>
      <c r="H21" s="1202">
        <f>1965.95-2.05</f>
        <v>1963.9</v>
      </c>
      <c r="I21" s="572"/>
      <c r="J21" s="43">
        <f t="shared" si="4"/>
        <v>2439.5</v>
      </c>
      <c r="K21" s="4958"/>
      <c r="L21" s="1202">
        <v>301.34999999999997</v>
      </c>
      <c r="M21" s="487"/>
      <c r="N21" s="618">
        <f t="shared" si="5"/>
        <v>2740.85</v>
      </c>
      <c r="O21" s="4958"/>
      <c r="P21" s="1202">
        <v>990.15000000000009</v>
      </c>
      <c r="Q21" s="572"/>
      <c r="R21" s="373">
        <f t="shared" si="6"/>
        <v>3731</v>
      </c>
      <c r="S21" s="4958"/>
      <c r="T21" s="1202">
        <v>303.39999999999998</v>
      </c>
      <c r="U21" s="572"/>
      <c r="V21" s="373">
        <f t="shared" si="7"/>
        <v>4034.4</v>
      </c>
      <c r="W21" s="4958"/>
      <c r="X21" s="1202">
        <f>1197.2-2.05</f>
        <v>1195.1500000000001</v>
      </c>
      <c r="Y21" s="4332"/>
      <c r="Z21" s="4336">
        <f t="shared" si="0"/>
        <v>2488.7000000000003</v>
      </c>
      <c r="AA21" s="4333"/>
      <c r="AB21" s="4337">
        <f t="shared" si="1"/>
        <v>5229.55</v>
      </c>
      <c r="AC21" s="4958"/>
      <c r="AD21" s="1202">
        <f>1797.85-2.05</f>
        <v>1795.8</v>
      </c>
      <c r="AE21" s="572"/>
      <c r="AF21" s="572">
        <f t="shared" si="8"/>
        <v>7025.35</v>
      </c>
      <c r="AG21" s="4958"/>
      <c r="AH21" s="1202">
        <v>569.90000000000009</v>
      </c>
      <c r="AI21" s="572"/>
      <c r="AJ21" s="572">
        <f t="shared" si="9"/>
        <v>7595.25</v>
      </c>
      <c r="AK21" s="4958"/>
      <c r="AL21" s="1202">
        <f>3241.05-28.7</f>
        <v>3212.3500000000004</v>
      </c>
      <c r="AM21" s="4332"/>
      <c r="AN21" s="4332">
        <f t="shared" si="2"/>
        <v>5578.05</v>
      </c>
      <c r="AO21" s="572"/>
      <c r="AP21" s="572">
        <f t="shared" si="10"/>
        <v>10807.6</v>
      </c>
      <c r="AQ21" s="4958"/>
      <c r="AR21" s="1202">
        <v>1314.05</v>
      </c>
      <c r="AS21" s="572"/>
      <c r="AT21" s="572">
        <f t="shared" si="11"/>
        <v>12121.65</v>
      </c>
      <c r="AU21" s="4958"/>
      <c r="AV21" s="1202">
        <v>1385.8000000000002</v>
      </c>
      <c r="AW21" s="572"/>
      <c r="AX21" s="572">
        <f t="shared" si="12"/>
        <v>13507.45</v>
      </c>
      <c r="AY21" s="4958"/>
      <c r="AZ21" s="1202">
        <v>1594.9</v>
      </c>
      <c r="BA21" s="4332"/>
      <c r="BB21" s="4332">
        <f t="shared" si="3"/>
        <v>4294.75</v>
      </c>
      <c r="BC21" s="4333"/>
      <c r="BD21" s="4333">
        <f t="shared" si="13"/>
        <v>9872.7999999999993</v>
      </c>
      <c r="BE21" s="572"/>
      <c r="BF21" s="572">
        <f t="shared" si="14"/>
        <v>15102.35</v>
      </c>
      <c r="BG21" s="26"/>
      <c r="BH21" s="26"/>
      <c r="BI21" s="26"/>
      <c r="BJ21" s="26"/>
      <c r="BK21" s="26"/>
      <c r="BL21" s="26"/>
      <c r="BM21" s="26"/>
      <c r="BN21" s="26"/>
    </row>
    <row r="22" spans="1:66" ht="16.149999999999999" thickBot="1" x14ac:dyDescent="0.35">
      <c r="A22" s="149"/>
      <c r="B22" s="850" t="s">
        <v>74</v>
      </c>
      <c r="C22" s="2644" t="s">
        <v>970</v>
      </c>
      <c r="D22" s="2645" t="s">
        <v>50</v>
      </c>
      <c r="E22" s="2694"/>
      <c r="F22" s="2647">
        <f>4300.88-77.9</f>
        <v>4222.9800000000005</v>
      </c>
      <c r="G22" s="2694"/>
      <c r="H22" s="2647">
        <f>5545.25-14.35</f>
        <v>5530.9</v>
      </c>
      <c r="I22" s="2648"/>
      <c r="J22" s="43">
        <f t="shared" si="4"/>
        <v>9753.880000000001</v>
      </c>
      <c r="K22" s="2694"/>
      <c r="L22" s="2647">
        <f>4975.35-22.55</f>
        <v>4952.8</v>
      </c>
      <c r="M22" s="781"/>
      <c r="N22" s="618">
        <f t="shared" si="5"/>
        <v>14706.68</v>
      </c>
      <c r="O22" s="2694"/>
      <c r="P22" s="2647">
        <f>9288.55-22.55</f>
        <v>9266</v>
      </c>
      <c r="Q22" s="782"/>
      <c r="R22" s="373">
        <f t="shared" si="6"/>
        <v>23972.68</v>
      </c>
      <c r="S22" s="2694"/>
      <c r="T22" s="2647">
        <f>10489.85-65.6</f>
        <v>10424.25</v>
      </c>
      <c r="U22" s="782"/>
      <c r="V22" s="373">
        <f t="shared" si="7"/>
        <v>34396.93</v>
      </c>
      <c r="W22" s="2694"/>
      <c r="X22" s="2647">
        <f>10875.25-2.05</f>
        <v>10873.2</v>
      </c>
      <c r="Y22" s="575"/>
      <c r="Z22" s="4336">
        <f t="shared" si="0"/>
        <v>30563.45</v>
      </c>
      <c r="AA22" s="662"/>
      <c r="AB22" s="4337">
        <f t="shared" si="1"/>
        <v>45270.130000000005</v>
      </c>
      <c r="AC22" s="2694"/>
      <c r="AD22" s="2647">
        <f>3954.45-4.1</f>
        <v>3950.35</v>
      </c>
      <c r="AE22" s="782"/>
      <c r="AF22" s="782">
        <f t="shared" si="8"/>
        <v>49220.480000000003</v>
      </c>
      <c r="AG22" s="2694"/>
      <c r="AH22" s="2647">
        <v>1066</v>
      </c>
      <c r="AI22" s="782"/>
      <c r="AJ22" s="782">
        <f t="shared" si="9"/>
        <v>50286.48</v>
      </c>
      <c r="AK22" s="2694"/>
      <c r="AL22" s="2647">
        <v>2179.15</v>
      </c>
      <c r="AM22" s="575"/>
      <c r="AN22" s="575">
        <f t="shared" si="2"/>
        <v>7195.5</v>
      </c>
      <c r="AO22" s="782"/>
      <c r="AP22" s="782">
        <f t="shared" si="10"/>
        <v>52465.630000000005</v>
      </c>
      <c r="AQ22" s="2694"/>
      <c r="AR22" s="2647">
        <f>4059-16.4</f>
        <v>4042.6</v>
      </c>
      <c r="AS22" s="782"/>
      <c r="AT22" s="782">
        <f t="shared" si="11"/>
        <v>56508.23</v>
      </c>
      <c r="AU22" s="2694"/>
      <c r="AV22" s="2647">
        <f>6871.6-4.2</f>
        <v>6867.4000000000005</v>
      </c>
      <c r="AW22" s="782"/>
      <c r="AX22" s="782">
        <f t="shared" si="12"/>
        <v>63375.630000000005</v>
      </c>
      <c r="AY22" s="2694"/>
      <c r="AZ22" s="2647">
        <v>8398.8500000000022</v>
      </c>
      <c r="BA22" s="575"/>
      <c r="BB22" s="575">
        <f t="shared" si="3"/>
        <v>19308.850000000002</v>
      </c>
      <c r="BC22" s="662"/>
      <c r="BD22" s="662">
        <f t="shared" si="13"/>
        <v>26504.350000000002</v>
      </c>
      <c r="BE22" s="782"/>
      <c r="BF22" s="782">
        <f t="shared" si="14"/>
        <v>71774.48000000001</v>
      </c>
      <c r="BG22" s="26"/>
      <c r="BH22" s="26"/>
      <c r="BI22" s="26"/>
      <c r="BJ22" s="26"/>
      <c r="BK22" s="26"/>
      <c r="BL22" s="26"/>
      <c r="BM22" s="26"/>
      <c r="BN22" s="26"/>
    </row>
    <row r="23" spans="1:66" ht="16.149999999999999" thickBot="1" x14ac:dyDescent="0.35">
      <c r="A23" s="149"/>
      <c r="B23" s="850" t="s">
        <v>74</v>
      </c>
      <c r="C23" s="2644" t="s">
        <v>972</v>
      </c>
      <c r="D23" s="2645" t="s">
        <v>50</v>
      </c>
      <c r="E23" s="2694"/>
      <c r="F23" s="2647">
        <f>1678.95-2.05</f>
        <v>1676.9</v>
      </c>
      <c r="G23" s="2694"/>
      <c r="H23" s="2647">
        <f>2343.15-2.05</f>
        <v>2341.1</v>
      </c>
      <c r="I23" s="2648"/>
      <c r="J23" s="43">
        <f t="shared" si="4"/>
        <v>4018</v>
      </c>
      <c r="K23" s="2694"/>
      <c r="L23" s="2647">
        <v>1754.8000000000002</v>
      </c>
      <c r="M23" s="781"/>
      <c r="N23" s="618">
        <f t="shared" si="5"/>
        <v>5772.8</v>
      </c>
      <c r="O23" s="2694"/>
      <c r="P23" s="2647">
        <v>2121.7499999999986</v>
      </c>
      <c r="Q23" s="782"/>
      <c r="R23" s="373">
        <f t="shared" si="6"/>
        <v>7894.5499999999993</v>
      </c>
      <c r="S23" s="2694"/>
      <c r="T23" s="2647">
        <f>1432.95-2.05</f>
        <v>1430.9</v>
      </c>
      <c r="U23" s="782"/>
      <c r="V23" s="373">
        <f t="shared" si="7"/>
        <v>9325.4499999999989</v>
      </c>
      <c r="W23" s="2694"/>
      <c r="X23" s="2647">
        <f>1391.95-2.05</f>
        <v>1389.9</v>
      </c>
      <c r="Y23" s="575"/>
      <c r="Z23" s="4336">
        <f t="shared" si="0"/>
        <v>4942.5499999999993</v>
      </c>
      <c r="AA23" s="662"/>
      <c r="AB23" s="4337">
        <f t="shared" si="1"/>
        <v>10715.349999999999</v>
      </c>
      <c r="AC23" s="2694"/>
      <c r="AD23" s="2647">
        <v>600.65</v>
      </c>
      <c r="AE23" s="782"/>
      <c r="AF23" s="782">
        <f t="shared" si="8"/>
        <v>11315.999999999998</v>
      </c>
      <c r="AG23" s="2694"/>
      <c r="AH23" s="2647">
        <f>1599-2.05</f>
        <v>1596.95</v>
      </c>
      <c r="AI23" s="782"/>
      <c r="AJ23" s="782">
        <f t="shared" si="9"/>
        <v>12912.949999999999</v>
      </c>
      <c r="AK23" s="2694"/>
      <c r="AL23" s="2647">
        <v>1830.6499999999987</v>
      </c>
      <c r="AM23" s="575"/>
      <c r="AN23" s="575">
        <f t="shared" si="2"/>
        <v>4028.2499999999986</v>
      </c>
      <c r="AO23" s="782"/>
      <c r="AP23" s="782">
        <f t="shared" si="10"/>
        <v>14743.599999999999</v>
      </c>
      <c r="AQ23" s="2694"/>
      <c r="AR23" s="2647">
        <f>1535.45-24.6</f>
        <v>1510.8500000000001</v>
      </c>
      <c r="AS23" s="782"/>
      <c r="AT23" s="782">
        <f t="shared" si="11"/>
        <v>16254.449999999999</v>
      </c>
      <c r="AU23" s="2694"/>
      <c r="AV23" s="2647">
        <f>2599.4-67.65</f>
        <v>2531.75</v>
      </c>
      <c r="AW23" s="782"/>
      <c r="AX23" s="782">
        <f t="shared" si="12"/>
        <v>18786.199999999997</v>
      </c>
      <c r="AY23" s="2694"/>
      <c r="AZ23" s="2647">
        <v>9116.350000000004</v>
      </c>
      <c r="BA23" s="575"/>
      <c r="BB23" s="575">
        <f t="shared" si="3"/>
        <v>13158.950000000004</v>
      </c>
      <c r="BC23" s="662"/>
      <c r="BD23" s="662">
        <f t="shared" si="13"/>
        <v>17187.200000000004</v>
      </c>
      <c r="BE23" s="782"/>
      <c r="BF23" s="782">
        <f t="shared" si="14"/>
        <v>27902.550000000003</v>
      </c>
      <c r="BG23" s="26"/>
      <c r="BH23" s="26"/>
      <c r="BI23" s="26"/>
      <c r="BJ23" s="26"/>
      <c r="BK23" s="26"/>
      <c r="BL23" s="26"/>
      <c r="BM23" s="26"/>
      <c r="BN23" s="26"/>
    </row>
    <row r="24" spans="1:66" ht="16.149999999999999" thickBot="1" x14ac:dyDescent="0.35">
      <c r="A24" s="149"/>
      <c r="B24" s="850" t="s">
        <v>74</v>
      </c>
      <c r="C24" s="2644" t="s">
        <v>1122</v>
      </c>
      <c r="D24" s="2645" t="s">
        <v>50</v>
      </c>
      <c r="E24" s="2694"/>
      <c r="F24" s="2647"/>
      <c r="G24" s="2694"/>
      <c r="H24" s="2647"/>
      <c r="I24" s="2648"/>
      <c r="J24" s="43">
        <f t="shared" si="4"/>
        <v>0</v>
      </c>
      <c r="K24" s="2694"/>
      <c r="L24" s="2647"/>
      <c r="M24" s="781"/>
      <c r="N24" s="618">
        <f t="shared" si="5"/>
        <v>0</v>
      </c>
      <c r="O24" s="2694"/>
      <c r="P24" s="2647"/>
      <c r="Q24" s="782"/>
      <c r="R24" s="373">
        <f t="shared" si="6"/>
        <v>0</v>
      </c>
      <c r="S24" s="2694"/>
      <c r="T24" s="2647"/>
      <c r="U24" s="782"/>
      <c r="V24" s="373">
        <f t="shared" si="7"/>
        <v>0</v>
      </c>
      <c r="W24" s="2694"/>
      <c r="X24" s="2647"/>
      <c r="Y24" s="575"/>
      <c r="Z24" s="4336">
        <f t="shared" si="0"/>
        <v>0</v>
      </c>
      <c r="AA24" s="662"/>
      <c r="AB24" s="4337">
        <f t="shared" si="1"/>
        <v>0</v>
      </c>
      <c r="AC24" s="2694"/>
      <c r="AD24" s="2647"/>
      <c r="AE24" s="782"/>
      <c r="AF24" s="782">
        <f t="shared" si="8"/>
        <v>0</v>
      </c>
      <c r="AG24" s="2694"/>
      <c r="AH24" s="2647"/>
      <c r="AI24" s="782"/>
      <c r="AJ24" s="782">
        <f t="shared" si="9"/>
        <v>0</v>
      </c>
      <c r="AK24" s="2694"/>
      <c r="AL24" s="2647"/>
      <c r="AM24" s="575"/>
      <c r="AN24" s="575">
        <f t="shared" si="2"/>
        <v>0</v>
      </c>
      <c r="AO24" s="782"/>
      <c r="AP24" s="782">
        <f t="shared" si="10"/>
        <v>0</v>
      </c>
      <c r="AQ24" s="2694"/>
      <c r="AR24" s="2647"/>
      <c r="AS24" s="782"/>
      <c r="AT24" s="782">
        <f t="shared" si="11"/>
        <v>0</v>
      </c>
      <c r="AU24" s="2694"/>
      <c r="AV24" s="2647"/>
      <c r="AW24" s="782"/>
      <c r="AX24" s="782">
        <f t="shared" si="12"/>
        <v>0</v>
      </c>
      <c r="AY24" s="2694"/>
      <c r="AZ24" s="2647"/>
      <c r="BA24" s="575"/>
      <c r="BB24" s="575">
        <f t="shared" si="3"/>
        <v>0</v>
      </c>
      <c r="BC24" s="662"/>
      <c r="BD24" s="662">
        <f t="shared" si="13"/>
        <v>0</v>
      </c>
      <c r="BE24" s="782"/>
      <c r="BF24" s="782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6.149999999999999" thickBot="1" x14ac:dyDescent="0.35">
      <c r="A25" s="149"/>
      <c r="B25" s="850" t="s">
        <v>74</v>
      </c>
      <c r="C25" s="2644" t="s">
        <v>1137</v>
      </c>
      <c r="D25" s="2645" t="s">
        <v>50</v>
      </c>
      <c r="E25" s="2694"/>
      <c r="F25" s="2647"/>
      <c r="G25" s="2694"/>
      <c r="H25" s="2647"/>
      <c r="I25" s="2648"/>
      <c r="J25" s="43">
        <f t="shared" si="4"/>
        <v>0</v>
      </c>
      <c r="K25" s="2694"/>
      <c r="L25" s="2647"/>
      <c r="M25" s="781"/>
      <c r="N25" s="618">
        <f t="shared" si="5"/>
        <v>0</v>
      </c>
      <c r="O25" s="2694"/>
      <c r="P25" s="2647"/>
      <c r="Q25" s="782"/>
      <c r="R25" s="373">
        <f t="shared" si="6"/>
        <v>0</v>
      </c>
      <c r="S25" s="2694"/>
      <c r="T25" s="2647"/>
      <c r="U25" s="782"/>
      <c r="V25" s="373">
        <f t="shared" si="7"/>
        <v>0</v>
      </c>
      <c r="W25" s="2694"/>
      <c r="X25" s="2647"/>
      <c r="Y25" s="575"/>
      <c r="Z25" s="4336">
        <f t="shared" si="0"/>
        <v>0</v>
      </c>
      <c r="AA25" s="662"/>
      <c r="AB25" s="4337">
        <f t="shared" si="1"/>
        <v>0</v>
      </c>
      <c r="AC25" s="2694"/>
      <c r="AD25" s="2647"/>
      <c r="AE25" s="782"/>
      <c r="AF25" s="782">
        <f t="shared" si="8"/>
        <v>0</v>
      </c>
      <c r="AG25" s="2694"/>
      <c r="AH25" s="2647"/>
      <c r="AI25" s="782"/>
      <c r="AJ25" s="782">
        <f t="shared" si="9"/>
        <v>0</v>
      </c>
      <c r="AK25" s="2694"/>
      <c r="AL25" s="2647"/>
      <c r="AM25" s="575"/>
      <c r="AN25" s="575">
        <f t="shared" si="2"/>
        <v>0</v>
      </c>
      <c r="AO25" s="782"/>
      <c r="AP25" s="782">
        <f t="shared" si="10"/>
        <v>0</v>
      </c>
      <c r="AQ25" s="2694"/>
      <c r="AR25" s="2647"/>
      <c r="AS25" s="782"/>
      <c r="AT25" s="782">
        <f t="shared" si="11"/>
        <v>0</v>
      </c>
      <c r="AU25" s="2694"/>
      <c r="AV25" s="2647">
        <v>143.5</v>
      </c>
      <c r="AW25" s="782"/>
      <c r="AX25" s="782">
        <f t="shared" si="12"/>
        <v>143.5</v>
      </c>
      <c r="AY25" s="2694"/>
      <c r="AZ25" s="2647"/>
      <c r="BA25" s="575"/>
      <c r="BB25" s="575">
        <f t="shared" si="3"/>
        <v>143.5</v>
      </c>
      <c r="BC25" s="662"/>
      <c r="BD25" s="662">
        <f t="shared" si="13"/>
        <v>143.5</v>
      </c>
      <c r="BE25" s="782"/>
      <c r="BF25" s="782">
        <f t="shared" si="14"/>
        <v>143.5</v>
      </c>
      <c r="BG25" s="26"/>
      <c r="BH25" s="26"/>
      <c r="BI25" s="26"/>
      <c r="BJ25" s="26"/>
      <c r="BK25" s="26"/>
      <c r="BL25" s="26"/>
      <c r="BM25" s="26"/>
      <c r="BN25" s="26"/>
    </row>
    <row r="26" spans="1:66" ht="16.149999999999999" thickBot="1" x14ac:dyDescent="0.35">
      <c r="A26" s="149"/>
      <c r="B26" s="850" t="s">
        <v>74</v>
      </c>
      <c r="C26" s="4751" t="s">
        <v>2101</v>
      </c>
      <c r="D26" s="4752"/>
      <c r="E26" s="4753"/>
      <c r="F26" s="4754"/>
      <c r="G26" s="4753"/>
      <c r="H26" s="4754"/>
      <c r="I26" s="4755"/>
      <c r="J26" s="43">
        <f t="shared" si="4"/>
        <v>0</v>
      </c>
      <c r="K26" s="4753"/>
      <c r="L26" s="4754"/>
      <c r="M26" s="4756"/>
      <c r="N26" s="618">
        <f t="shared" si="5"/>
        <v>0</v>
      </c>
      <c r="O26" s="4753"/>
      <c r="P26" s="4754"/>
      <c r="Q26" s="4755"/>
      <c r="R26" s="373">
        <f t="shared" si="6"/>
        <v>0</v>
      </c>
      <c r="S26" s="4753"/>
      <c r="T26" s="4754">
        <v>217.3</v>
      </c>
      <c r="U26" s="4755"/>
      <c r="V26" s="373">
        <f t="shared" si="7"/>
        <v>217.3</v>
      </c>
      <c r="W26" s="4753"/>
      <c r="X26" s="4754">
        <f>610.9-2.05</f>
        <v>608.85</v>
      </c>
      <c r="Y26" s="4757"/>
      <c r="Z26" s="4336">
        <f t="shared" si="0"/>
        <v>826.15000000000009</v>
      </c>
      <c r="AA26" s="4758"/>
      <c r="AB26" s="4337">
        <f t="shared" si="1"/>
        <v>826.15000000000009</v>
      </c>
      <c r="AC26" s="4753"/>
      <c r="AD26" s="4754"/>
      <c r="AE26" s="4755"/>
      <c r="AF26" s="4755"/>
      <c r="AG26" s="4753"/>
      <c r="AH26" s="4754"/>
      <c r="AI26" s="4755"/>
      <c r="AJ26" s="4755"/>
      <c r="AK26" s="4753"/>
      <c r="AL26" s="4754"/>
      <c r="AM26" s="4757"/>
      <c r="AN26" s="4757"/>
      <c r="AO26" s="4755"/>
      <c r="AP26" s="4755"/>
      <c r="AQ26" s="4753"/>
      <c r="AR26" s="4754"/>
      <c r="AS26" s="4755"/>
      <c r="AT26" s="782">
        <f t="shared" si="11"/>
        <v>0</v>
      </c>
      <c r="AU26" s="4753"/>
      <c r="AV26" s="4754">
        <v>104.55</v>
      </c>
      <c r="AW26" s="4755"/>
      <c r="AX26" s="782">
        <f t="shared" si="12"/>
        <v>104.55</v>
      </c>
      <c r="AY26" s="4753"/>
      <c r="AZ26" s="4754"/>
      <c r="BA26" s="4757"/>
      <c r="BB26" s="575">
        <f t="shared" si="3"/>
        <v>104.55</v>
      </c>
      <c r="BC26" s="4758"/>
      <c r="BD26" s="662">
        <f t="shared" si="13"/>
        <v>104.55</v>
      </c>
      <c r="BE26" s="4755"/>
      <c r="BF26" s="782">
        <f t="shared" si="14"/>
        <v>104.55</v>
      </c>
      <c r="BG26" s="26"/>
      <c r="BH26" s="26"/>
      <c r="BI26" s="26"/>
      <c r="BJ26" s="26"/>
      <c r="BK26" s="26"/>
      <c r="BL26" s="26"/>
      <c r="BM26" s="26"/>
      <c r="BN26" s="26"/>
    </row>
    <row r="27" spans="1:66" ht="16.149999999999999" thickBot="1" x14ac:dyDescent="0.35">
      <c r="A27" s="149"/>
      <c r="B27" s="850" t="s">
        <v>74</v>
      </c>
      <c r="C27" s="2644" t="s">
        <v>1037</v>
      </c>
      <c r="D27" s="2645" t="s">
        <v>50</v>
      </c>
      <c r="E27" s="2694"/>
      <c r="F27" s="2647"/>
      <c r="G27" s="2694"/>
      <c r="H27" s="2647"/>
      <c r="I27" s="2648"/>
      <c r="J27" s="43">
        <f t="shared" si="4"/>
        <v>0</v>
      </c>
      <c r="K27" s="2694"/>
      <c r="L27" s="2647"/>
      <c r="M27" s="781"/>
      <c r="N27" s="618">
        <f t="shared" si="5"/>
        <v>0</v>
      </c>
      <c r="O27" s="2694"/>
      <c r="P27" s="2647"/>
      <c r="Q27" s="782"/>
      <c r="R27" s="373">
        <f t="shared" si="6"/>
        <v>0</v>
      </c>
      <c r="S27" s="2694"/>
      <c r="T27" s="2647"/>
      <c r="U27" s="782"/>
      <c r="V27" s="373">
        <f t="shared" si="7"/>
        <v>0</v>
      </c>
      <c r="W27" s="2694"/>
      <c r="X27" s="2647"/>
      <c r="Y27" s="575"/>
      <c r="Z27" s="4336">
        <f t="shared" si="0"/>
        <v>0</v>
      </c>
      <c r="AA27" s="662"/>
      <c r="AB27" s="4337">
        <f t="shared" si="1"/>
        <v>0</v>
      </c>
      <c r="AC27" s="2694"/>
      <c r="AD27" s="2647"/>
      <c r="AE27" s="782"/>
      <c r="AF27" s="782">
        <f t="shared" si="8"/>
        <v>0</v>
      </c>
      <c r="AG27" s="2694"/>
      <c r="AH27" s="2647"/>
      <c r="AI27" s="782"/>
      <c r="AJ27" s="782">
        <f t="shared" si="9"/>
        <v>0</v>
      </c>
      <c r="AK27" s="2694"/>
      <c r="AL27" s="2647"/>
      <c r="AM27" s="575"/>
      <c r="AN27" s="575">
        <f t="shared" si="2"/>
        <v>0</v>
      </c>
      <c r="AO27" s="782"/>
      <c r="AP27" s="782">
        <f t="shared" si="10"/>
        <v>0</v>
      </c>
      <c r="AQ27" s="2694"/>
      <c r="AR27" s="2647"/>
      <c r="AS27" s="782"/>
      <c r="AT27" s="782">
        <f t="shared" si="11"/>
        <v>0</v>
      </c>
      <c r="AU27" s="2694"/>
      <c r="AV27" s="2647"/>
      <c r="AW27" s="782"/>
      <c r="AX27" s="782">
        <f t="shared" si="12"/>
        <v>0</v>
      </c>
      <c r="AY27" s="2694"/>
      <c r="AZ27" s="2647"/>
      <c r="BA27" s="575"/>
      <c r="BB27" s="575">
        <f t="shared" si="3"/>
        <v>0</v>
      </c>
      <c r="BC27" s="662"/>
      <c r="BD27" s="662">
        <f t="shared" si="13"/>
        <v>0</v>
      </c>
      <c r="BE27" s="782"/>
      <c r="BF27" s="782">
        <f t="shared" si="14"/>
        <v>0</v>
      </c>
      <c r="BG27" s="26"/>
      <c r="BH27" s="26"/>
      <c r="BI27" s="26"/>
      <c r="BJ27" s="26"/>
      <c r="BK27" s="26"/>
      <c r="BL27" s="26"/>
      <c r="BM27" s="26"/>
      <c r="BN27" s="26"/>
    </row>
    <row r="28" spans="1:66" ht="16.149999999999999" thickBot="1" x14ac:dyDescent="0.35">
      <c r="A28" s="149"/>
      <c r="B28" s="850" t="s">
        <v>74</v>
      </c>
      <c r="C28" s="2644" t="s">
        <v>977</v>
      </c>
      <c r="D28" s="2645" t="s">
        <v>50</v>
      </c>
      <c r="E28" s="2694"/>
      <c r="F28" s="2647">
        <v>428.45</v>
      </c>
      <c r="G28" s="2694"/>
      <c r="H28" s="2647"/>
      <c r="I28" s="2648"/>
      <c r="J28" s="43">
        <f t="shared" si="4"/>
        <v>428.45</v>
      </c>
      <c r="K28" s="2694"/>
      <c r="L28" s="2647"/>
      <c r="M28" s="781"/>
      <c r="N28" s="618">
        <f t="shared" si="5"/>
        <v>428.45</v>
      </c>
      <c r="O28" s="2694"/>
      <c r="P28" s="2647"/>
      <c r="Q28" s="782"/>
      <c r="R28" s="373">
        <f t="shared" si="6"/>
        <v>428.45</v>
      </c>
      <c r="S28" s="2694"/>
      <c r="T28" s="2647"/>
      <c r="U28" s="782"/>
      <c r="V28" s="373">
        <f t="shared" si="7"/>
        <v>428.45</v>
      </c>
      <c r="W28" s="2694"/>
      <c r="X28" s="2647">
        <f>133.25-4.1</f>
        <v>129.15</v>
      </c>
      <c r="Y28" s="575"/>
      <c r="Z28" s="4336">
        <f t="shared" si="0"/>
        <v>129.15</v>
      </c>
      <c r="AA28" s="662"/>
      <c r="AB28" s="4337">
        <f t="shared" si="1"/>
        <v>557.6</v>
      </c>
      <c r="AC28" s="2694"/>
      <c r="AD28" s="2647">
        <v>172.2</v>
      </c>
      <c r="AE28" s="782"/>
      <c r="AF28" s="782">
        <f t="shared" si="8"/>
        <v>729.8</v>
      </c>
      <c r="AG28" s="2694"/>
      <c r="AH28" s="2647"/>
      <c r="AI28" s="782"/>
      <c r="AJ28" s="782">
        <f t="shared" si="9"/>
        <v>729.8</v>
      </c>
      <c r="AK28" s="2694"/>
      <c r="AL28" s="2647"/>
      <c r="AM28" s="575"/>
      <c r="AN28" s="575">
        <f t="shared" si="2"/>
        <v>172.2</v>
      </c>
      <c r="AO28" s="782"/>
      <c r="AP28" s="782">
        <f t="shared" si="10"/>
        <v>729.8</v>
      </c>
      <c r="AQ28" s="2694"/>
      <c r="AR28" s="2647"/>
      <c r="AS28" s="782"/>
      <c r="AT28" s="782">
        <f t="shared" si="11"/>
        <v>729.8</v>
      </c>
      <c r="AU28" s="2694"/>
      <c r="AV28" s="2647">
        <v>506.35</v>
      </c>
      <c r="AW28" s="782"/>
      <c r="AX28" s="782">
        <f t="shared" si="12"/>
        <v>1236.1500000000001</v>
      </c>
      <c r="AY28" s="2694"/>
      <c r="AZ28" s="2647"/>
      <c r="BA28" s="575"/>
      <c r="BB28" s="575">
        <f t="shared" si="3"/>
        <v>506.35</v>
      </c>
      <c r="BC28" s="662"/>
      <c r="BD28" s="662">
        <f t="shared" si="13"/>
        <v>678.55</v>
      </c>
      <c r="BE28" s="782"/>
      <c r="BF28" s="782">
        <f t="shared" si="14"/>
        <v>1236.1500000000001</v>
      </c>
      <c r="BG28" s="26"/>
      <c r="BH28" s="26"/>
      <c r="BI28" s="26"/>
      <c r="BJ28" s="26"/>
      <c r="BK28" s="26"/>
      <c r="BL28" s="26"/>
      <c r="BM28" s="26"/>
      <c r="BN28" s="26"/>
    </row>
    <row r="29" spans="1:66" ht="16.149999999999999" thickBot="1" x14ac:dyDescent="0.35">
      <c r="A29" s="149"/>
      <c r="B29" s="850" t="s">
        <v>74</v>
      </c>
      <c r="C29" s="2644" t="s">
        <v>1960</v>
      </c>
      <c r="D29" s="2645" t="s">
        <v>50</v>
      </c>
      <c r="E29" s="4321"/>
      <c r="F29" s="4312">
        <f>118.9-2.05</f>
        <v>116.85000000000001</v>
      </c>
      <c r="G29" s="4321"/>
      <c r="H29" s="4312"/>
      <c r="I29" s="4206"/>
      <c r="J29" s="43">
        <f t="shared" si="4"/>
        <v>116.85000000000001</v>
      </c>
      <c r="K29" s="4321"/>
      <c r="L29" s="4312"/>
      <c r="M29" s="4208"/>
      <c r="N29" s="618">
        <f t="shared" si="5"/>
        <v>116.85000000000001</v>
      </c>
      <c r="O29" s="4321"/>
      <c r="P29" s="4312"/>
      <c r="Q29" s="4206"/>
      <c r="R29" s="373">
        <f t="shared" si="6"/>
        <v>116.85000000000001</v>
      </c>
      <c r="S29" s="4321"/>
      <c r="T29" s="4312"/>
      <c r="U29" s="4206"/>
      <c r="V29" s="373">
        <f t="shared" si="7"/>
        <v>116.85000000000001</v>
      </c>
      <c r="W29" s="4321"/>
      <c r="X29" s="4312"/>
      <c r="Y29" s="4317"/>
      <c r="Z29" s="4336">
        <f t="shared" si="0"/>
        <v>0</v>
      </c>
      <c r="AA29" s="4318"/>
      <c r="AB29" s="4337">
        <f t="shared" si="1"/>
        <v>116.85000000000001</v>
      </c>
      <c r="AC29" s="4321"/>
      <c r="AD29" s="4312">
        <v>205</v>
      </c>
      <c r="AE29" s="4206"/>
      <c r="AF29" s="782">
        <f t="shared" si="8"/>
        <v>321.85000000000002</v>
      </c>
      <c r="AG29" s="4321"/>
      <c r="AH29" s="4312"/>
      <c r="AI29" s="4206"/>
      <c r="AJ29" s="782">
        <f t="shared" si="9"/>
        <v>321.85000000000002</v>
      </c>
      <c r="AK29" s="4321"/>
      <c r="AL29" s="4312"/>
      <c r="AM29" s="4317"/>
      <c r="AN29" s="575">
        <f t="shared" si="2"/>
        <v>205</v>
      </c>
      <c r="AO29" s="4206"/>
      <c r="AP29" s="782">
        <f t="shared" si="10"/>
        <v>321.85000000000002</v>
      </c>
      <c r="AQ29" s="4321"/>
      <c r="AR29" s="4312"/>
      <c r="AS29" s="4206"/>
      <c r="AT29" s="782">
        <f t="shared" si="11"/>
        <v>321.85000000000002</v>
      </c>
      <c r="AU29" s="4321"/>
      <c r="AV29" s="4312"/>
      <c r="AW29" s="4206"/>
      <c r="AX29" s="782">
        <f t="shared" si="12"/>
        <v>321.85000000000002</v>
      </c>
      <c r="AY29" s="4321"/>
      <c r="AZ29" s="4312"/>
      <c r="BA29" s="4317"/>
      <c r="BB29" s="575">
        <f t="shared" si="3"/>
        <v>0</v>
      </c>
      <c r="BC29" s="4318"/>
      <c r="BD29" s="662">
        <f t="shared" si="13"/>
        <v>205</v>
      </c>
      <c r="BE29" s="4206"/>
      <c r="BF29" s="782">
        <f t="shared" si="14"/>
        <v>321.85000000000002</v>
      </c>
      <c r="BG29" s="26"/>
      <c r="BH29" s="26"/>
      <c r="BI29" s="26"/>
      <c r="BJ29" s="26"/>
      <c r="BK29" s="26"/>
      <c r="BL29" s="26"/>
      <c r="BM29" s="26"/>
      <c r="BN29" s="26"/>
    </row>
    <row r="30" spans="1:66" ht="16.149999999999999" thickBot="1" x14ac:dyDescent="0.35">
      <c r="A30" s="149"/>
      <c r="B30" s="850" t="s">
        <v>74</v>
      </c>
      <c r="C30" s="2644" t="s">
        <v>874</v>
      </c>
      <c r="D30" s="2645" t="s">
        <v>50</v>
      </c>
      <c r="E30" s="2694"/>
      <c r="F30" s="2647">
        <v>2162.75</v>
      </c>
      <c r="G30" s="2694"/>
      <c r="H30" s="2647">
        <f>6937.2-18.45</f>
        <v>6918.75</v>
      </c>
      <c r="I30" s="2648"/>
      <c r="J30" s="43">
        <f t="shared" si="4"/>
        <v>9081.5</v>
      </c>
      <c r="K30" s="2694"/>
      <c r="L30" s="2647">
        <v>3515.7500000000005</v>
      </c>
      <c r="M30" s="781"/>
      <c r="N30" s="618">
        <f t="shared" si="5"/>
        <v>12597.25</v>
      </c>
      <c r="O30" s="2694"/>
      <c r="P30" s="2647">
        <f>6143.85-10.25</f>
        <v>6133.6</v>
      </c>
      <c r="Q30" s="782"/>
      <c r="R30" s="373">
        <f t="shared" si="6"/>
        <v>18730.849999999999</v>
      </c>
      <c r="S30" s="2694"/>
      <c r="T30" s="2647">
        <f>4635.05-24.6</f>
        <v>4610.45</v>
      </c>
      <c r="U30" s="782"/>
      <c r="V30" s="373">
        <f t="shared" si="7"/>
        <v>23341.3</v>
      </c>
      <c r="W30" s="2694"/>
      <c r="X30" s="2647">
        <f>6687.1-2.05</f>
        <v>6685.05</v>
      </c>
      <c r="Y30" s="575"/>
      <c r="Z30" s="4336">
        <f t="shared" si="0"/>
        <v>17429.099999999999</v>
      </c>
      <c r="AA30" s="662"/>
      <c r="AB30" s="4337">
        <f t="shared" si="1"/>
        <v>30026.35</v>
      </c>
      <c r="AC30" s="2694"/>
      <c r="AD30" s="2647">
        <v>5362.8000000000065</v>
      </c>
      <c r="AE30" s="782"/>
      <c r="AF30" s="782">
        <f t="shared" si="8"/>
        <v>35389.150000000009</v>
      </c>
      <c r="AG30" s="2694"/>
      <c r="AH30" s="2647">
        <f>3263.6-26.65</f>
        <v>3236.95</v>
      </c>
      <c r="AI30" s="782"/>
      <c r="AJ30" s="782">
        <f t="shared" si="9"/>
        <v>38626.100000000006</v>
      </c>
      <c r="AK30" s="2694"/>
      <c r="AL30" s="2647">
        <f>4598.15-16.4</f>
        <v>4581.75</v>
      </c>
      <c r="AM30" s="575"/>
      <c r="AN30" s="575">
        <f t="shared" si="2"/>
        <v>13181.500000000007</v>
      </c>
      <c r="AO30" s="782"/>
      <c r="AP30" s="782">
        <f t="shared" si="10"/>
        <v>43207.850000000006</v>
      </c>
      <c r="AQ30" s="2694"/>
      <c r="AR30" s="2647">
        <f>5858.9-28.7</f>
        <v>5830.2</v>
      </c>
      <c r="AS30" s="782"/>
      <c r="AT30" s="782">
        <f t="shared" si="11"/>
        <v>49038.05</v>
      </c>
      <c r="AU30" s="2694"/>
      <c r="AV30" s="2647">
        <f>4981.5-8.2</f>
        <v>4973.3</v>
      </c>
      <c r="AW30" s="782"/>
      <c r="AX30" s="782">
        <f t="shared" si="12"/>
        <v>54011.350000000006</v>
      </c>
      <c r="AY30" s="2694"/>
      <c r="AZ30" s="2647">
        <v>4270.1500000000005</v>
      </c>
      <c r="BA30" s="575"/>
      <c r="BB30" s="575">
        <f t="shared" si="3"/>
        <v>15073.650000000001</v>
      </c>
      <c r="BC30" s="662"/>
      <c r="BD30" s="662">
        <f t="shared" si="13"/>
        <v>28255.150000000009</v>
      </c>
      <c r="BE30" s="782"/>
      <c r="BF30" s="782">
        <f t="shared" si="14"/>
        <v>58281.500000000007</v>
      </c>
      <c r="BG30" s="26"/>
      <c r="BH30" s="26"/>
      <c r="BI30" s="26"/>
      <c r="BJ30" s="26"/>
      <c r="BK30" s="26"/>
      <c r="BL30" s="26"/>
      <c r="BM30" s="26"/>
      <c r="BN30" s="26"/>
    </row>
    <row r="31" spans="1:66" ht="16.149999999999999" thickBot="1" x14ac:dyDescent="0.35">
      <c r="A31" s="149"/>
      <c r="B31" s="850" t="s">
        <v>74</v>
      </c>
      <c r="C31" s="2644" t="s">
        <v>971</v>
      </c>
      <c r="D31" s="2645" t="s">
        <v>50</v>
      </c>
      <c r="E31" s="2694"/>
      <c r="F31" s="2647">
        <v>75.849999999999994</v>
      </c>
      <c r="G31" s="2694"/>
      <c r="H31" s="2647"/>
      <c r="I31" s="2648"/>
      <c r="J31" s="43">
        <f t="shared" si="4"/>
        <v>75.849999999999994</v>
      </c>
      <c r="K31" s="2694"/>
      <c r="L31" s="2647"/>
      <c r="M31" s="2649"/>
      <c r="N31" s="618">
        <f t="shared" si="5"/>
        <v>75.849999999999994</v>
      </c>
      <c r="O31" s="2694"/>
      <c r="P31" s="2647"/>
      <c r="Q31" s="2648"/>
      <c r="R31" s="373">
        <f t="shared" si="6"/>
        <v>75.849999999999994</v>
      </c>
      <c r="S31" s="2694"/>
      <c r="T31" s="2647"/>
      <c r="U31" s="2648"/>
      <c r="V31" s="373">
        <f t="shared" si="7"/>
        <v>75.849999999999994</v>
      </c>
      <c r="W31" s="2694"/>
      <c r="X31" s="2647"/>
      <c r="Y31" s="2650"/>
      <c r="Z31" s="4336">
        <f t="shared" si="0"/>
        <v>0</v>
      </c>
      <c r="AA31" s="662"/>
      <c r="AB31" s="4337">
        <f t="shared" si="1"/>
        <v>75.849999999999994</v>
      </c>
      <c r="AC31" s="2694"/>
      <c r="AD31" s="2647"/>
      <c r="AE31" s="2648"/>
      <c r="AF31" s="782">
        <f t="shared" si="8"/>
        <v>75.849999999999994</v>
      </c>
      <c r="AG31" s="2694"/>
      <c r="AH31" s="2647"/>
      <c r="AI31" s="2648"/>
      <c r="AJ31" s="782">
        <f t="shared" si="9"/>
        <v>75.849999999999994</v>
      </c>
      <c r="AK31" s="2694"/>
      <c r="AL31" s="2647"/>
      <c r="AM31" s="2650"/>
      <c r="AN31" s="575">
        <f t="shared" si="2"/>
        <v>0</v>
      </c>
      <c r="AO31" s="2648"/>
      <c r="AP31" s="782">
        <f t="shared" si="10"/>
        <v>75.849999999999994</v>
      </c>
      <c r="AQ31" s="2694"/>
      <c r="AR31" s="2647">
        <v>157.85</v>
      </c>
      <c r="AS31" s="2648"/>
      <c r="AT31" s="782">
        <f t="shared" si="11"/>
        <v>233.7</v>
      </c>
      <c r="AU31" s="2694"/>
      <c r="AV31" s="2647"/>
      <c r="AW31" s="2648"/>
      <c r="AX31" s="782">
        <f t="shared" si="12"/>
        <v>233.7</v>
      </c>
      <c r="AY31" s="2694"/>
      <c r="AZ31" s="2647"/>
      <c r="BA31" s="2650"/>
      <c r="BB31" s="575">
        <f t="shared" si="3"/>
        <v>157.85</v>
      </c>
      <c r="BC31" s="2651"/>
      <c r="BD31" s="662">
        <f t="shared" si="13"/>
        <v>157.85</v>
      </c>
      <c r="BE31" s="2648"/>
      <c r="BF31" s="782">
        <f t="shared" si="14"/>
        <v>233.7</v>
      </c>
      <c r="BG31" s="26"/>
      <c r="BH31" s="26"/>
      <c r="BI31" s="26"/>
      <c r="BJ31" s="26"/>
      <c r="BK31" s="26"/>
      <c r="BL31" s="26"/>
      <c r="BM31" s="26"/>
      <c r="BN31" s="26"/>
    </row>
    <row r="32" spans="1:66" ht="16.149999999999999" thickBot="1" x14ac:dyDescent="0.35">
      <c r="A32" s="149"/>
      <c r="B32" s="850" t="s">
        <v>74</v>
      </c>
      <c r="C32" s="2644" t="s">
        <v>974</v>
      </c>
      <c r="D32" s="2645" t="s">
        <v>50</v>
      </c>
      <c r="E32" s="2694"/>
      <c r="F32" s="2647">
        <v>75.849999999999994</v>
      </c>
      <c r="G32" s="2694"/>
      <c r="H32" s="2647">
        <v>237.8</v>
      </c>
      <c r="I32" s="2648"/>
      <c r="J32" s="43">
        <f t="shared" si="4"/>
        <v>313.64999999999998</v>
      </c>
      <c r="K32" s="2694"/>
      <c r="L32" s="2647"/>
      <c r="M32" s="781"/>
      <c r="N32" s="618">
        <f t="shared" si="5"/>
        <v>313.64999999999998</v>
      </c>
      <c r="O32" s="2694"/>
      <c r="P32" s="2647">
        <v>67.649999999999991</v>
      </c>
      <c r="Q32" s="782"/>
      <c r="R32" s="373">
        <f t="shared" si="6"/>
        <v>381.29999999999995</v>
      </c>
      <c r="S32" s="2694"/>
      <c r="T32" s="2647"/>
      <c r="U32" s="782"/>
      <c r="V32" s="373">
        <f t="shared" si="7"/>
        <v>381.29999999999995</v>
      </c>
      <c r="W32" s="2694"/>
      <c r="X32" s="2647">
        <v>319.8</v>
      </c>
      <c r="Y32" s="575"/>
      <c r="Z32" s="4336">
        <f t="shared" si="0"/>
        <v>387.45</v>
      </c>
      <c r="AA32" s="662"/>
      <c r="AB32" s="4337">
        <f t="shared" si="1"/>
        <v>701.09999999999991</v>
      </c>
      <c r="AC32" s="2694"/>
      <c r="AD32" s="2647"/>
      <c r="AE32" s="782"/>
      <c r="AF32" s="782">
        <f t="shared" si="8"/>
        <v>701.09999999999991</v>
      </c>
      <c r="AG32" s="2694"/>
      <c r="AH32" s="2647"/>
      <c r="AI32" s="782"/>
      <c r="AJ32" s="782">
        <f t="shared" si="9"/>
        <v>701.09999999999991</v>
      </c>
      <c r="AK32" s="2694"/>
      <c r="AL32" s="2647"/>
      <c r="AM32" s="575"/>
      <c r="AN32" s="575">
        <f t="shared" si="2"/>
        <v>0</v>
      </c>
      <c r="AO32" s="782"/>
      <c r="AP32" s="782">
        <f t="shared" si="10"/>
        <v>701.09999999999991</v>
      </c>
      <c r="AQ32" s="2694"/>
      <c r="AR32" s="2647">
        <v>172.20000000000002</v>
      </c>
      <c r="AS32" s="782"/>
      <c r="AT32" s="782">
        <f t="shared" si="11"/>
        <v>873.3</v>
      </c>
      <c r="AU32" s="2694"/>
      <c r="AV32" s="2647">
        <v>709.29999999999984</v>
      </c>
      <c r="AW32" s="782"/>
      <c r="AX32" s="782">
        <f t="shared" si="12"/>
        <v>1582.6</v>
      </c>
      <c r="AY32" s="2694"/>
      <c r="AZ32" s="2647">
        <v>442.7999999999999</v>
      </c>
      <c r="BA32" s="575"/>
      <c r="BB32" s="575">
        <f t="shared" si="3"/>
        <v>1324.2999999999997</v>
      </c>
      <c r="BC32" s="662"/>
      <c r="BD32" s="662">
        <f t="shared" si="13"/>
        <v>1324.2999999999997</v>
      </c>
      <c r="BE32" s="782"/>
      <c r="BF32" s="782">
        <f t="shared" si="14"/>
        <v>2025.3999999999999</v>
      </c>
      <c r="BG32" s="26"/>
      <c r="BH32" s="26"/>
      <c r="BI32" s="26"/>
      <c r="BJ32" s="26"/>
      <c r="BK32" s="26"/>
      <c r="BL32" s="26"/>
      <c r="BM32" s="26"/>
      <c r="BN32" s="26"/>
    </row>
    <row r="33" spans="1:66" ht="16.149999999999999" thickBot="1" x14ac:dyDescent="0.35">
      <c r="A33" s="149"/>
      <c r="B33" s="850" t="s">
        <v>74</v>
      </c>
      <c r="C33" s="2644" t="s">
        <v>973</v>
      </c>
      <c r="D33" s="2645" t="s">
        <v>50</v>
      </c>
      <c r="E33" s="2694"/>
      <c r="F33" s="2647"/>
      <c r="G33" s="2694"/>
      <c r="H33" s="2647">
        <v>426.4</v>
      </c>
      <c r="I33" s="2648"/>
      <c r="J33" s="43">
        <f t="shared" si="4"/>
        <v>426.4</v>
      </c>
      <c r="K33" s="2694"/>
      <c r="L33" s="2647">
        <v>135.30000000000001</v>
      </c>
      <c r="M33" s="781"/>
      <c r="N33" s="618">
        <f t="shared" si="5"/>
        <v>561.70000000000005</v>
      </c>
      <c r="O33" s="2694"/>
      <c r="P33" s="2647"/>
      <c r="Q33" s="782"/>
      <c r="R33" s="373">
        <f t="shared" si="6"/>
        <v>561.70000000000005</v>
      </c>
      <c r="S33" s="2694"/>
      <c r="T33" s="2647"/>
      <c r="U33" s="782"/>
      <c r="V33" s="373">
        <f t="shared" si="7"/>
        <v>561.70000000000005</v>
      </c>
      <c r="W33" s="2694"/>
      <c r="X33" s="2647">
        <v>707.25000000000011</v>
      </c>
      <c r="Y33" s="575"/>
      <c r="Z33" s="4336">
        <f t="shared" si="0"/>
        <v>707.25000000000011</v>
      </c>
      <c r="AA33" s="662"/>
      <c r="AB33" s="4337">
        <f t="shared" si="1"/>
        <v>1268.9500000000003</v>
      </c>
      <c r="AC33" s="2694"/>
      <c r="AD33" s="2647">
        <v>170.15</v>
      </c>
      <c r="AE33" s="782"/>
      <c r="AF33" s="782">
        <f t="shared" si="8"/>
        <v>1439.1000000000004</v>
      </c>
      <c r="AG33" s="2694"/>
      <c r="AH33" s="2647"/>
      <c r="AI33" s="782"/>
      <c r="AJ33" s="782">
        <f t="shared" si="9"/>
        <v>1439.1000000000004</v>
      </c>
      <c r="AK33" s="2694"/>
      <c r="AL33" s="2647"/>
      <c r="AM33" s="575"/>
      <c r="AN33" s="575">
        <f t="shared" si="2"/>
        <v>170.15</v>
      </c>
      <c r="AO33" s="782"/>
      <c r="AP33" s="782">
        <f t="shared" si="10"/>
        <v>1439.1000000000004</v>
      </c>
      <c r="AQ33" s="2694"/>
      <c r="AR33" s="2647">
        <v>309.55</v>
      </c>
      <c r="AS33" s="782"/>
      <c r="AT33" s="782">
        <f t="shared" si="11"/>
        <v>1748.6500000000003</v>
      </c>
      <c r="AU33" s="2694"/>
      <c r="AV33" s="2647">
        <v>487.90000000000003</v>
      </c>
      <c r="AW33" s="782"/>
      <c r="AX33" s="782">
        <f t="shared" si="12"/>
        <v>2236.5500000000002</v>
      </c>
      <c r="AY33" s="2694"/>
      <c r="AZ33" s="2647">
        <v>676.49999999999989</v>
      </c>
      <c r="BA33" s="575"/>
      <c r="BB33" s="575">
        <f t="shared" si="3"/>
        <v>1473.9499999999998</v>
      </c>
      <c r="BC33" s="662"/>
      <c r="BD33" s="662">
        <f t="shared" si="13"/>
        <v>1644.1</v>
      </c>
      <c r="BE33" s="782"/>
      <c r="BF33" s="782">
        <f t="shared" si="14"/>
        <v>2913.05</v>
      </c>
      <c r="BG33" s="26"/>
      <c r="BH33" s="26"/>
      <c r="BI33" s="26"/>
      <c r="BJ33" s="26"/>
      <c r="BK33" s="26"/>
      <c r="BL33" s="26"/>
      <c r="BM33" s="26"/>
      <c r="BN33" s="26"/>
    </row>
    <row r="34" spans="1:66" ht="16.149999999999999" thickBot="1" x14ac:dyDescent="0.35">
      <c r="A34" s="149"/>
      <c r="B34" s="850" t="s">
        <v>74</v>
      </c>
      <c r="C34" s="2644" t="s">
        <v>1136</v>
      </c>
      <c r="D34" s="2645" t="s">
        <v>50</v>
      </c>
      <c r="E34" s="2694"/>
      <c r="F34" s="2647"/>
      <c r="G34" s="2694"/>
      <c r="H34" s="2647"/>
      <c r="I34" s="2648"/>
      <c r="J34" s="43">
        <f t="shared" si="4"/>
        <v>0</v>
      </c>
      <c r="K34" s="2694"/>
      <c r="L34" s="2647"/>
      <c r="M34" s="2649"/>
      <c r="N34" s="618">
        <f t="shared" si="5"/>
        <v>0</v>
      </c>
      <c r="O34" s="2694"/>
      <c r="P34" s="2647"/>
      <c r="Q34" s="2648"/>
      <c r="R34" s="373">
        <f t="shared" si="6"/>
        <v>0</v>
      </c>
      <c r="S34" s="2694"/>
      <c r="T34" s="2647"/>
      <c r="U34" s="2648"/>
      <c r="V34" s="373">
        <f t="shared" si="7"/>
        <v>0</v>
      </c>
      <c r="W34" s="2694"/>
      <c r="X34" s="2647"/>
      <c r="Y34" s="2650"/>
      <c r="Z34" s="4336">
        <f t="shared" si="0"/>
        <v>0</v>
      </c>
      <c r="AA34" s="2651"/>
      <c r="AB34" s="4337">
        <f t="shared" si="1"/>
        <v>0</v>
      </c>
      <c r="AC34" s="2694"/>
      <c r="AD34" s="2647"/>
      <c r="AE34" s="2648"/>
      <c r="AF34" s="782">
        <f t="shared" si="8"/>
        <v>0</v>
      </c>
      <c r="AG34" s="2694"/>
      <c r="AH34" s="2647"/>
      <c r="AI34" s="2648"/>
      <c r="AJ34" s="782">
        <f t="shared" si="9"/>
        <v>0</v>
      </c>
      <c r="AK34" s="2694"/>
      <c r="AL34" s="2647"/>
      <c r="AM34" s="2650"/>
      <c r="AN34" s="575">
        <f t="shared" si="2"/>
        <v>0</v>
      </c>
      <c r="AO34" s="2648"/>
      <c r="AP34" s="782">
        <f t="shared" si="10"/>
        <v>0</v>
      </c>
      <c r="AQ34" s="2694"/>
      <c r="AR34" s="2647"/>
      <c r="AS34" s="2648"/>
      <c r="AT34" s="782">
        <f t="shared" si="11"/>
        <v>0</v>
      </c>
      <c r="AU34" s="2694"/>
      <c r="AV34" s="2647"/>
      <c r="AW34" s="2648"/>
      <c r="AX34" s="782">
        <f t="shared" si="12"/>
        <v>0</v>
      </c>
      <c r="AY34" s="2694"/>
      <c r="AZ34" s="2647"/>
      <c r="BA34" s="2650"/>
      <c r="BB34" s="575">
        <f t="shared" si="3"/>
        <v>0</v>
      </c>
      <c r="BC34" s="2651"/>
      <c r="BD34" s="662">
        <f t="shared" si="13"/>
        <v>0</v>
      </c>
      <c r="BE34" s="2648"/>
      <c r="BF34" s="782">
        <f t="shared" si="14"/>
        <v>0</v>
      </c>
      <c r="BG34" s="26"/>
      <c r="BH34" s="26"/>
      <c r="BI34" s="26"/>
      <c r="BJ34" s="26"/>
      <c r="BK34" s="26"/>
      <c r="BL34" s="26"/>
      <c r="BM34" s="26"/>
      <c r="BN34" s="26"/>
    </row>
    <row r="35" spans="1:66" ht="16.149999999999999" thickBot="1" x14ac:dyDescent="0.35">
      <c r="A35" s="149"/>
      <c r="B35" s="850" t="s">
        <v>74</v>
      </c>
      <c r="C35" s="2644" t="s">
        <v>975</v>
      </c>
      <c r="D35" s="2645" t="s">
        <v>50</v>
      </c>
      <c r="E35" s="2694"/>
      <c r="F35" s="2647"/>
      <c r="G35" s="2694"/>
      <c r="H35" s="2647">
        <v>535.05000000000007</v>
      </c>
      <c r="I35" s="2648"/>
      <c r="J35" s="43">
        <f t="shared" si="4"/>
        <v>535.05000000000007</v>
      </c>
      <c r="K35" s="2694"/>
      <c r="L35" s="2647">
        <v>358.75000000000006</v>
      </c>
      <c r="M35" s="781"/>
      <c r="N35" s="618">
        <f t="shared" si="5"/>
        <v>893.80000000000018</v>
      </c>
      <c r="O35" s="2694"/>
      <c r="P35" s="2647">
        <v>207.05</v>
      </c>
      <c r="Q35" s="782"/>
      <c r="R35" s="373">
        <f t="shared" si="6"/>
        <v>1100.8500000000001</v>
      </c>
      <c r="S35" s="2694"/>
      <c r="T35" s="2647">
        <v>155.79999999999998</v>
      </c>
      <c r="U35" s="782"/>
      <c r="V35" s="373">
        <f t="shared" si="7"/>
        <v>1256.6500000000001</v>
      </c>
      <c r="W35" s="2694"/>
      <c r="X35" s="2647">
        <v>305.45</v>
      </c>
      <c r="Y35" s="575"/>
      <c r="Z35" s="4336">
        <f t="shared" si="0"/>
        <v>668.3</v>
      </c>
      <c r="AA35" s="662"/>
      <c r="AB35" s="4337">
        <f t="shared" si="1"/>
        <v>1562.1000000000001</v>
      </c>
      <c r="AC35" s="2694"/>
      <c r="AD35" s="2647">
        <v>151.70000000000002</v>
      </c>
      <c r="AE35" s="782"/>
      <c r="AF35" s="782">
        <f t="shared" si="8"/>
        <v>1713.8000000000002</v>
      </c>
      <c r="AG35" s="2694"/>
      <c r="AH35" s="2647"/>
      <c r="AI35" s="782"/>
      <c r="AJ35" s="782">
        <f t="shared" si="9"/>
        <v>1713.8000000000002</v>
      </c>
      <c r="AK35" s="2694"/>
      <c r="AL35" s="2647">
        <v>1150.05</v>
      </c>
      <c r="AM35" s="575"/>
      <c r="AN35" s="575">
        <f t="shared" si="2"/>
        <v>1301.75</v>
      </c>
      <c r="AO35" s="782"/>
      <c r="AP35" s="782">
        <f t="shared" si="10"/>
        <v>2863.8500000000004</v>
      </c>
      <c r="AQ35" s="2694"/>
      <c r="AR35" s="2647">
        <v>334.15000000000003</v>
      </c>
      <c r="AS35" s="782"/>
      <c r="AT35" s="782">
        <f t="shared" si="11"/>
        <v>3198.0000000000005</v>
      </c>
      <c r="AU35" s="2694"/>
      <c r="AV35" s="2647">
        <v>908.14999999999975</v>
      </c>
      <c r="AW35" s="782"/>
      <c r="AX35" s="782">
        <f t="shared" si="12"/>
        <v>4106.1500000000005</v>
      </c>
      <c r="AY35" s="2694"/>
      <c r="AZ35" s="2647">
        <v>834.35</v>
      </c>
      <c r="BA35" s="575"/>
      <c r="BB35" s="575">
        <f t="shared" si="3"/>
        <v>2076.6499999999996</v>
      </c>
      <c r="BC35" s="662"/>
      <c r="BD35" s="662">
        <f t="shared" si="13"/>
        <v>3378.3999999999996</v>
      </c>
      <c r="BE35" s="782"/>
      <c r="BF35" s="782">
        <f t="shared" si="14"/>
        <v>4940.5000000000009</v>
      </c>
      <c r="BG35" s="26"/>
      <c r="BH35" s="26"/>
      <c r="BI35" s="26"/>
      <c r="BJ35" s="26"/>
      <c r="BK35" s="26"/>
      <c r="BL35" s="26"/>
      <c r="BM35" s="26"/>
      <c r="BN35" s="26"/>
    </row>
    <row r="36" spans="1:66" ht="16.149999999999999" thickBot="1" x14ac:dyDescent="0.35">
      <c r="A36" s="149"/>
      <c r="B36" s="850" t="s">
        <v>74</v>
      </c>
      <c r="C36" s="2644" t="s">
        <v>1140</v>
      </c>
      <c r="D36" s="2645" t="s">
        <v>50</v>
      </c>
      <c r="E36" s="2694"/>
      <c r="F36" s="2647"/>
      <c r="G36" s="2694"/>
      <c r="H36" s="2647"/>
      <c r="I36" s="2648"/>
      <c r="J36" s="43">
        <f t="shared" si="4"/>
        <v>0</v>
      </c>
      <c r="K36" s="2694"/>
      <c r="L36" s="2647">
        <v>53.3</v>
      </c>
      <c r="M36" s="781"/>
      <c r="N36" s="618">
        <f t="shared" si="5"/>
        <v>53.3</v>
      </c>
      <c r="O36" s="2694"/>
      <c r="P36" s="2647">
        <v>4.0999999999999996</v>
      </c>
      <c r="Q36" s="782"/>
      <c r="R36" s="373">
        <f t="shared" si="6"/>
        <v>57.4</v>
      </c>
      <c r="S36" s="2694"/>
      <c r="T36" s="2647">
        <v>6.15</v>
      </c>
      <c r="U36" s="782"/>
      <c r="V36" s="373">
        <f t="shared" si="7"/>
        <v>63.55</v>
      </c>
      <c r="W36" s="2694"/>
      <c r="X36" s="2647"/>
      <c r="Y36" s="575"/>
      <c r="Z36" s="4336">
        <f t="shared" si="0"/>
        <v>10.25</v>
      </c>
      <c r="AA36" s="662"/>
      <c r="AB36" s="4337">
        <f t="shared" si="1"/>
        <v>63.55</v>
      </c>
      <c r="AC36" s="2694"/>
      <c r="AD36" s="2647"/>
      <c r="AE36" s="782"/>
      <c r="AF36" s="782">
        <f t="shared" si="8"/>
        <v>63.55</v>
      </c>
      <c r="AG36" s="2694"/>
      <c r="AH36" s="2647"/>
      <c r="AI36" s="782"/>
      <c r="AJ36" s="782">
        <f t="shared" si="9"/>
        <v>63.55</v>
      </c>
      <c r="AK36" s="2694"/>
      <c r="AL36" s="2647"/>
      <c r="AM36" s="575"/>
      <c r="AN36" s="575">
        <f t="shared" si="2"/>
        <v>0</v>
      </c>
      <c r="AO36" s="782"/>
      <c r="AP36" s="782">
        <f t="shared" si="10"/>
        <v>63.55</v>
      </c>
      <c r="AQ36" s="2694"/>
      <c r="AR36" s="2647">
        <v>149.65</v>
      </c>
      <c r="AS36" s="782"/>
      <c r="AT36" s="782">
        <f t="shared" si="11"/>
        <v>213.2</v>
      </c>
      <c r="AU36" s="2694"/>
      <c r="AV36" s="2647">
        <v>10.25</v>
      </c>
      <c r="AW36" s="782"/>
      <c r="AX36" s="782">
        <f t="shared" si="12"/>
        <v>223.45</v>
      </c>
      <c r="AY36" s="2694"/>
      <c r="AZ36" s="2647"/>
      <c r="BA36" s="575"/>
      <c r="BB36" s="575">
        <f t="shared" si="3"/>
        <v>159.9</v>
      </c>
      <c r="BC36" s="662"/>
      <c r="BD36" s="662">
        <f t="shared" si="13"/>
        <v>159.9</v>
      </c>
      <c r="BE36" s="782"/>
      <c r="BF36" s="782">
        <f t="shared" si="14"/>
        <v>223.45</v>
      </c>
      <c r="BG36" s="26"/>
      <c r="BH36" s="26"/>
      <c r="BI36" s="26"/>
      <c r="BJ36" s="26"/>
      <c r="BK36" s="26"/>
      <c r="BL36" s="26"/>
      <c r="BM36" s="26"/>
      <c r="BN36" s="26"/>
    </row>
    <row r="37" spans="1:66" ht="16.149999999999999" thickBot="1" x14ac:dyDescent="0.35">
      <c r="A37" s="149"/>
      <c r="B37" s="850" t="s">
        <v>74</v>
      </c>
      <c r="C37" s="2644" t="s">
        <v>1141</v>
      </c>
      <c r="D37" s="2645" t="s">
        <v>50</v>
      </c>
      <c r="E37" s="2694"/>
      <c r="F37" s="2647">
        <v>1670.75</v>
      </c>
      <c r="G37" s="2694"/>
      <c r="H37" s="2647"/>
      <c r="I37" s="2648"/>
      <c r="J37" s="43">
        <f t="shared" si="4"/>
        <v>1670.75</v>
      </c>
      <c r="K37" s="2694"/>
      <c r="L37" s="2647">
        <f>932.75-53.3</f>
        <v>879.45</v>
      </c>
      <c r="M37" s="781"/>
      <c r="N37" s="618">
        <f t="shared" si="5"/>
        <v>2550.1999999999998</v>
      </c>
      <c r="O37" s="2694"/>
      <c r="P37" s="2647">
        <f>988.1-4.1</f>
        <v>984</v>
      </c>
      <c r="Q37" s="782"/>
      <c r="R37" s="373">
        <f t="shared" si="6"/>
        <v>3534.2</v>
      </c>
      <c r="S37" s="2694"/>
      <c r="T37" s="2647">
        <f>98.4-6.15</f>
        <v>92.25</v>
      </c>
      <c r="U37" s="782"/>
      <c r="V37" s="373">
        <f t="shared" si="7"/>
        <v>3626.45</v>
      </c>
      <c r="W37" s="2694"/>
      <c r="X37" s="2647"/>
      <c r="Y37" s="575"/>
      <c r="Z37" s="4336">
        <f t="shared" si="0"/>
        <v>1076.25</v>
      </c>
      <c r="AA37" s="662"/>
      <c r="AB37" s="4337">
        <f t="shared" si="1"/>
        <v>3626.45</v>
      </c>
      <c r="AC37" s="2694"/>
      <c r="AD37" s="2647">
        <f>1285.35-2.05</f>
        <v>1283.3</v>
      </c>
      <c r="AE37" s="782"/>
      <c r="AF37" s="782">
        <f t="shared" si="8"/>
        <v>4909.75</v>
      </c>
      <c r="AG37" s="2694"/>
      <c r="AH37" s="2647"/>
      <c r="AI37" s="782"/>
      <c r="AJ37" s="782">
        <f t="shared" si="9"/>
        <v>4909.75</v>
      </c>
      <c r="AK37" s="2694"/>
      <c r="AL37" s="2647">
        <v>844.59999999999991</v>
      </c>
      <c r="AM37" s="575"/>
      <c r="AN37" s="575">
        <f t="shared" si="2"/>
        <v>2127.8999999999996</v>
      </c>
      <c r="AO37" s="782"/>
      <c r="AP37" s="782">
        <f t="shared" si="10"/>
        <v>5754.35</v>
      </c>
      <c r="AQ37" s="2694"/>
      <c r="AR37" s="2647">
        <f>779-149.65</f>
        <v>629.35</v>
      </c>
      <c r="AS37" s="782"/>
      <c r="AT37" s="782">
        <f t="shared" si="11"/>
        <v>6383.7000000000007</v>
      </c>
      <c r="AU37" s="2694"/>
      <c r="AV37" s="2647">
        <f>711.35-10.25</f>
        <v>701.1</v>
      </c>
      <c r="AW37" s="782"/>
      <c r="AX37" s="782">
        <f t="shared" si="12"/>
        <v>7084.8000000000011</v>
      </c>
      <c r="AY37" s="2694"/>
      <c r="AZ37" s="2647">
        <v>908.15000000000009</v>
      </c>
      <c r="BA37" s="575"/>
      <c r="BB37" s="575">
        <f t="shared" si="3"/>
        <v>2238.6000000000004</v>
      </c>
      <c r="BC37" s="662"/>
      <c r="BD37" s="662">
        <f t="shared" si="13"/>
        <v>4366.5</v>
      </c>
      <c r="BE37" s="782"/>
      <c r="BF37" s="782">
        <f t="shared" si="14"/>
        <v>7992.9500000000007</v>
      </c>
      <c r="BG37" s="26"/>
      <c r="BH37" s="26"/>
      <c r="BI37" s="26"/>
      <c r="BJ37" s="26"/>
      <c r="BK37" s="26"/>
      <c r="BL37" s="26"/>
      <c r="BM37" s="26"/>
      <c r="BN37" s="26"/>
    </row>
    <row r="38" spans="1:66" ht="16.149999999999999" thickBot="1" x14ac:dyDescent="0.35">
      <c r="A38" s="149"/>
      <c r="B38" s="850" t="s">
        <v>74</v>
      </c>
      <c r="C38" s="2644" t="s">
        <v>1612</v>
      </c>
      <c r="D38" s="2645" t="s">
        <v>50</v>
      </c>
      <c r="E38" s="2694"/>
      <c r="F38" s="2647">
        <v>627.29999999999995</v>
      </c>
      <c r="G38" s="2694"/>
      <c r="H38" s="2647"/>
      <c r="I38" s="2648"/>
      <c r="J38" s="43">
        <f t="shared" si="4"/>
        <v>627.29999999999995</v>
      </c>
      <c r="K38" s="2694"/>
      <c r="L38" s="2647"/>
      <c r="M38" s="781"/>
      <c r="N38" s="618">
        <f t="shared" si="5"/>
        <v>627.29999999999995</v>
      </c>
      <c r="O38" s="2694"/>
      <c r="P38" s="2647"/>
      <c r="Q38" s="782"/>
      <c r="R38" s="373">
        <f t="shared" si="6"/>
        <v>627.29999999999995</v>
      </c>
      <c r="S38" s="2694"/>
      <c r="T38" s="2647"/>
      <c r="U38" s="782"/>
      <c r="V38" s="373">
        <f t="shared" si="7"/>
        <v>627.29999999999995</v>
      </c>
      <c r="W38" s="2694"/>
      <c r="X38" s="2647"/>
      <c r="Y38" s="575"/>
      <c r="Z38" s="4336">
        <f t="shared" si="0"/>
        <v>0</v>
      </c>
      <c r="AA38" s="662"/>
      <c r="AB38" s="4337">
        <f t="shared" si="1"/>
        <v>627.29999999999995</v>
      </c>
      <c r="AC38" s="2694"/>
      <c r="AD38" s="2647"/>
      <c r="AE38" s="782"/>
      <c r="AF38" s="782">
        <f t="shared" si="8"/>
        <v>627.29999999999995</v>
      </c>
      <c r="AG38" s="2694"/>
      <c r="AH38" s="2647"/>
      <c r="AI38" s="782"/>
      <c r="AJ38" s="782">
        <f t="shared" si="9"/>
        <v>627.29999999999995</v>
      </c>
      <c r="AK38" s="2694"/>
      <c r="AL38" s="2647"/>
      <c r="AM38" s="575"/>
      <c r="AN38" s="575">
        <f t="shared" si="2"/>
        <v>0</v>
      </c>
      <c r="AO38" s="782"/>
      <c r="AP38" s="782">
        <f t="shared" si="10"/>
        <v>627.29999999999995</v>
      </c>
      <c r="AQ38" s="2694"/>
      <c r="AR38" s="2647">
        <f>57.4-2.05</f>
        <v>55.35</v>
      </c>
      <c r="AS38" s="782"/>
      <c r="AT38" s="782">
        <f t="shared" si="11"/>
        <v>682.65</v>
      </c>
      <c r="AU38" s="2694"/>
      <c r="AV38" s="2647"/>
      <c r="AW38" s="782"/>
      <c r="AX38" s="782">
        <f t="shared" si="12"/>
        <v>682.65</v>
      </c>
      <c r="AY38" s="2694"/>
      <c r="AZ38" s="2647"/>
      <c r="BA38" s="575"/>
      <c r="BB38" s="575">
        <f t="shared" si="3"/>
        <v>55.35</v>
      </c>
      <c r="BC38" s="662"/>
      <c r="BD38" s="662">
        <f t="shared" si="13"/>
        <v>55.35</v>
      </c>
      <c r="BE38" s="782"/>
      <c r="BF38" s="782">
        <f t="shared" si="14"/>
        <v>682.65</v>
      </c>
      <c r="BG38" s="26"/>
      <c r="BH38" s="26"/>
      <c r="BI38" s="26"/>
      <c r="BJ38" s="26"/>
      <c r="BK38" s="26"/>
      <c r="BL38" s="26"/>
      <c r="BM38" s="26"/>
      <c r="BN38" s="26"/>
    </row>
    <row r="39" spans="1:66" ht="16.149999999999999" thickBot="1" x14ac:dyDescent="0.35">
      <c r="A39" s="149"/>
      <c r="B39" s="850" t="s">
        <v>74</v>
      </c>
      <c r="C39" s="2644" t="s">
        <v>2349</v>
      </c>
      <c r="D39" s="2645" t="s">
        <v>50</v>
      </c>
      <c r="E39" s="2694"/>
      <c r="F39" s="2647"/>
      <c r="G39" s="2694"/>
      <c r="H39" s="2647"/>
      <c r="I39" s="2648"/>
      <c r="J39" s="43">
        <f t="shared" si="4"/>
        <v>0</v>
      </c>
      <c r="K39" s="2694"/>
      <c r="L39" s="2647"/>
      <c r="M39" s="781"/>
      <c r="N39" s="618">
        <f t="shared" si="5"/>
        <v>0</v>
      </c>
      <c r="O39" s="2694"/>
      <c r="P39" s="2647"/>
      <c r="Q39" s="782"/>
      <c r="R39" s="373">
        <f t="shared" si="6"/>
        <v>0</v>
      </c>
      <c r="S39" s="2694"/>
      <c r="T39" s="2647"/>
      <c r="U39" s="782"/>
      <c r="V39" s="373">
        <f t="shared" si="7"/>
        <v>0</v>
      </c>
      <c r="W39" s="2694"/>
      <c r="X39" s="2647">
        <v>94.3</v>
      </c>
      <c r="Y39" s="575"/>
      <c r="Z39" s="4336">
        <f t="shared" si="0"/>
        <v>94.3</v>
      </c>
      <c r="AA39" s="662"/>
      <c r="AB39" s="4337">
        <f t="shared" si="1"/>
        <v>94.3</v>
      </c>
      <c r="AC39" s="2694"/>
      <c r="AD39" s="2647"/>
      <c r="AE39" s="782"/>
      <c r="AF39" s="782">
        <f t="shared" si="8"/>
        <v>94.3</v>
      </c>
      <c r="AG39" s="2694"/>
      <c r="AH39" s="2647"/>
      <c r="AI39" s="782"/>
      <c r="AJ39" s="782">
        <f t="shared" si="9"/>
        <v>94.3</v>
      </c>
      <c r="AK39" s="2694"/>
      <c r="AL39" s="2647"/>
      <c r="AM39" s="575"/>
      <c r="AN39" s="575">
        <f t="shared" si="2"/>
        <v>0</v>
      </c>
      <c r="AO39" s="782"/>
      <c r="AP39" s="782">
        <f t="shared" si="10"/>
        <v>94.3</v>
      </c>
      <c r="AQ39" s="2694"/>
      <c r="AR39" s="2647"/>
      <c r="AS39" s="782"/>
      <c r="AT39" s="782">
        <f t="shared" si="11"/>
        <v>94.3</v>
      </c>
      <c r="AU39" s="2694"/>
      <c r="AV39" s="2647"/>
      <c r="AW39" s="782"/>
      <c r="AX39" s="782">
        <f t="shared" si="12"/>
        <v>94.3</v>
      </c>
      <c r="AY39" s="2694"/>
      <c r="AZ39" s="2647"/>
      <c r="BA39" s="575"/>
      <c r="BB39" s="575">
        <f t="shared" si="3"/>
        <v>0</v>
      </c>
      <c r="BC39" s="662"/>
      <c r="BD39" s="662">
        <f t="shared" si="13"/>
        <v>0</v>
      </c>
      <c r="BE39" s="782"/>
      <c r="BF39" s="782">
        <f t="shared" si="14"/>
        <v>94.3</v>
      </c>
      <c r="BG39" s="26"/>
      <c r="BH39" s="26"/>
      <c r="BI39" s="26"/>
      <c r="BJ39" s="26"/>
      <c r="BK39" s="26"/>
      <c r="BL39" s="26"/>
      <c r="BM39" s="26"/>
      <c r="BN39" s="26"/>
    </row>
    <row r="40" spans="1:66" ht="16.149999999999999" thickBot="1" x14ac:dyDescent="0.35">
      <c r="A40" s="149"/>
      <c r="B40" s="850" t="s">
        <v>74</v>
      </c>
      <c r="C40" s="2644" t="s">
        <v>1524</v>
      </c>
      <c r="D40" s="2645" t="s">
        <v>50</v>
      </c>
      <c r="E40" s="2694"/>
      <c r="F40" s="2647"/>
      <c r="G40" s="2694"/>
      <c r="H40" s="2647"/>
      <c r="I40" s="2648"/>
      <c r="J40" s="43">
        <f t="shared" si="4"/>
        <v>0</v>
      </c>
      <c r="K40" s="2694"/>
      <c r="L40" s="2647"/>
      <c r="M40" s="781"/>
      <c r="N40" s="618">
        <f t="shared" si="5"/>
        <v>0</v>
      </c>
      <c r="O40" s="2694"/>
      <c r="P40" s="2647"/>
      <c r="Q40" s="782"/>
      <c r="R40" s="373">
        <f t="shared" si="6"/>
        <v>0</v>
      </c>
      <c r="S40" s="2694"/>
      <c r="T40" s="2647"/>
      <c r="U40" s="782"/>
      <c r="V40" s="373">
        <f t="shared" si="7"/>
        <v>0</v>
      </c>
      <c r="W40" s="2694"/>
      <c r="X40" s="2647"/>
      <c r="Y40" s="575"/>
      <c r="Z40" s="4336">
        <f t="shared" si="0"/>
        <v>0</v>
      </c>
      <c r="AA40" s="662"/>
      <c r="AB40" s="4337">
        <f t="shared" si="1"/>
        <v>0</v>
      </c>
      <c r="AC40" s="2694"/>
      <c r="AD40" s="2647"/>
      <c r="AE40" s="782"/>
      <c r="AF40" s="782">
        <f t="shared" si="8"/>
        <v>0</v>
      </c>
      <c r="AG40" s="2694"/>
      <c r="AH40" s="2647"/>
      <c r="AI40" s="782"/>
      <c r="AJ40" s="782">
        <f t="shared" si="9"/>
        <v>0</v>
      </c>
      <c r="AK40" s="2694"/>
      <c r="AL40" s="2647"/>
      <c r="AM40" s="575"/>
      <c r="AN40" s="575">
        <f t="shared" si="2"/>
        <v>0</v>
      </c>
      <c r="AO40" s="782"/>
      <c r="AP40" s="782">
        <f t="shared" si="10"/>
        <v>0</v>
      </c>
      <c r="AQ40" s="2694"/>
      <c r="AR40" s="2647"/>
      <c r="AS40" s="782"/>
      <c r="AT40" s="782">
        <f t="shared" si="11"/>
        <v>0</v>
      </c>
      <c r="AU40" s="2694"/>
      <c r="AV40" s="2647"/>
      <c r="AW40" s="782"/>
      <c r="AX40" s="782">
        <f t="shared" si="12"/>
        <v>0</v>
      </c>
      <c r="AY40" s="2694"/>
      <c r="AZ40" s="2647"/>
      <c r="BA40" s="575"/>
      <c r="BB40" s="575">
        <f t="shared" si="3"/>
        <v>0</v>
      </c>
      <c r="BC40" s="662"/>
      <c r="BD40" s="662">
        <f t="shared" si="13"/>
        <v>0</v>
      </c>
      <c r="BE40" s="782"/>
      <c r="BF40" s="782">
        <f t="shared" si="14"/>
        <v>0</v>
      </c>
      <c r="BG40" s="26"/>
      <c r="BH40" s="26"/>
      <c r="BI40" s="26"/>
      <c r="BJ40" s="26"/>
      <c r="BK40" s="26"/>
      <c r="BL40" s="26"/>
      <c r="BM40" s="26"/>
      <c r="BN40" s="26"/>
    </row>
    <row r="41" spans="1:66" ht="16.149999999999999" thickBot="1" x14ac:dyDescent="0.35">
      <c r="A41" s="149"/>
      <c r="B41" s="850" t="s">
        <v>74</v>
      </c>
      <c r="C41" s="2644" t="s">
        <v>1464</v>
      </c>
      <c r="D41" s="2645" t="s">
        <v>50</v>
      </c>
      <c r="E41" s="2694"/>
      <c r="F41" s="2647"/>
      <c r="G41" s="2694"/>
      <c r="H41" s="2647"/>
      <c r="I41" s="2648"/>
      <c r="J41" s="43">
        <f t="shared" si="4"/>
        <v>0</v>
      </c>
      <c r="K41" s="2694"/>
      <c r="L41" s="2647"/>
      <c r="M41" s="781"/>
      <c r="N41" s="618">
        <f t="shared" si="5"/>
        <v>0</v>
      </c>
      <c r="O41" s="2694"/>
      <c r="P41" s="2647"/>
      <c r="Q41" s="782"/>
      <c r="R41" s="373">
        <f t="shared" si="6"/>
        <v>0</v>
      </c>
      <c r="S41" s="2694"/>
      <c r="T41" s="2647"/>
      <c r="U41" s="782"/>
      <c r="V41" s="373">
        <f t="shared" si="7"/>
        <v>0</v>
      </c>
      <c r="W41" s="2694"/>
      <c r="X41" s="2647"/>
      <c r="Y41" s="575"/>
      <c r="Z41" s="4336">
        <f t="shared" si="0"/>
        <v>0</v>
      </c>
      <c r="AA41" s="662"/>
      <c r="AB41" s="4337">
        <f t="shared" si="1"/>
        <v>0</v>
      </c>
      <c r="AC41" s="2694"/>
      <c r="AD41" s="2647"/>
      <c r="AE41" s="782"/>
      <c r="AF41" s="782">
        <f t="shared" si="8"/>
        <v>0</v>
      </c>
      <c r="AG41" s="2694"/>
      <c r="AH41" s="2647"/>
      <c r="AI41" s="782"/>
      <c r="AJ41" s="782">
        <f t="shared" si="9"/>
        <v>0</v>
      </c>
      <c r="AK41" s="2694"/>
      <c r="AL41" s="2647"/>
      <c r="AM41" s="575"/>
      <c r="AN41" s="575">
        <f t="shared" si="2"/>
        <v>0</v>
      </c>
      <c r="AO41" s="782"/>
      <c r="AP41" s="782">
        <f t="shared" si="10"/>
        <v>0</v>
      </c>
      <c r="AQ41" s="2694"/>
      <c r="AR41" s="2647"/>
      <c r="AS41" s="782"/>
      <c r="AT41" s="782">
        <f t="shared" si="11"/>
        <v>0</v>
      </c>
      <c r="AU41" s="2694"/>
      <c r="AV41" s="2647"/>
      <c r="AW41" s="782"/>
      <c r="AX41" s="782">
        <f t="shared" si="12"/>
        <v>0</v>
      </c>
      <c r="AY41" s="2694"/>
      <c r="AZ41" s="2647"/>
      <c r="BA41" s="575"/>
      <c r="BB41" s="575">
        <f t="shared" si="3"/>
        <v>0</v>
      </c>
      <c r="BC41" s="662"/>
      <c r="BD41" s="662">
        <f t="shared" si="13"/>
        <v>0</v>
      </c>
      <c r="BE41" s="782"/>
      <c r="BF41" s="782">
        <f t="shared" si="14"/>
        <v>0</v>
      </c>
      <c r="BG41" s="26"/>
      <c r="BH41" s="26"/>
      <c r="BI41" s="26"/>
      <c r="BJ41" s="26"/>
      <c r="BK41" s="26"/>
      <c r="BL41" s="26"/>
      <c r="BM41" s="26"/>
      <c r="BN41" s="26"/>
    </row>
    <row r="42" spans="1:66" ht="16.149999999999999" thickBot="1" x14ac:dyDescent="0.35">
      <c r="A42" s="149"/>
      <c r="B42" s="2919" t="s">
        <v>74</v>
      </c>
      <c r="C42" s="2920" t="s">
        <v>1466</v>
      </c>
      <c r="D42" s="2921" t="s">
        <v>50</v>
      </c>
      <c r="E42" s="2924"/>
      <c r="F42" s="109"/>
      <c r="G42" s="2924"/>
      <c r="H42" s="109"/>
      <c r="I42" s="589"/>
      <c r="J42" s="43">
        <f t="shared" si="4"/>
        <v>0</v>
      </c>
      <c r="K42" s="2924"/>
      <c r="L42" s="109"/>
      <c r="M42" s="781"/>
      <c r="N42" s="618">
        <f t="shared" si="5"/>
        <v>0</v>
      </c>
      <c r="O42" s="2924"/>
      <c r="P42" s="109"/>
      <c r="Q42" s="782"/>
      <c r="R42" s="373">
        <f t="shared" si="6"/>
        <v>0</v>
      </c>
      <c r="S42" s="2924"/>
      <c r="T42" s="109"/>
      <c r="U42" s="782"/>
      <c r="V42" s="373">
        <f t="shared" si="7"/>
        <v>0</v>
      </c>
      <c r="W42" s="2924"/>
      <c r="X42" s="109"/>
      <c r="Y42" s="575"/>
      <c r="Z42" s="4336">
        <f t="shared" si="0"/>
        <v>0</v>
      </c>
      <c r="AA42" s="662"/>
      <c r="AB42" s="4337">
        <f t="shared" si="1"/>
        <v>0</v>
      </c>
      <c r="AC42" s="2924"/>
      <c r="AD42" s="109"/>
      <c r="AE42" s="782"/>
      <c r="AF42" s="782">
        <f t="shared" si="8"/>
        <v>0</v>
      </c>
      <c r="AG42" s="2924"/>
      <c r="AH42" s="109"/>
      <c r="AI42" s="782"/>
      <c r="AJ42" s="782">
        <f t="shared" si="9"/>
        <v>0</v>
      </c>
      <c r="AK42" s="2924"/>
      <c r="AL42" s="109"/>
      <c r="AM42" s="575"/>
      <c r="AN42" s="575">
        <f t="shared" si="2"/>
        <v>0</v>
      </c>
      <c r="AO42" s="782"/>
      <c r="AP42" s="782">
        <f t="shared" si="10"/>
        <v>0</v>
      </c>
      <c r="AQ42" s="2924"/>
      <c r="AR42" s="109"/>
      <c r="AS42" s="782"/>
      <c r="AT42" s="782">
        <f t="shared" si="11"/>
        <v>0</v>
      </c>
      <c r="AU42" s="2924"/>
      <c r="AV42" s="109"/>
      <c r="AW42" s="782"/>
      <c r="AX42" s="782">
        <f t="shared" si="12"/>
        <v>0</v>
      </c>
      <c r="AY42" s="2924"/>
      <c r="AZ42" s="109"/>
      <c r="BA42" s="575"/>
      <c r="BB42" s="575">
        <f t="shared" si="3"/>
        <v>0</v>
      </c>
      <c r="BC42" s="662"/>
      <c r="BD42" s="662">
        <f t="shared" si="13"/>
        <v>0</v>
      </c>
      <c r="BE42" s="782"/>
      <c r="BF42" s="782">
        <f t="shared" si="14"/>
        <v>0</v>
      </c>
      <c r="BG42" s="26"/>
      <c r="BH42" s="26"/>
      <c r="BI42" s="26"/>
      <c r="BJ42" s="26"/>
      <c r="BK42" s="26"/>
      <c r="BL42" s="26"/>
      <c r="BM42" s="26"/>
      <c r="BN42" s="26"/>
    </row>
    <row r="43" spans="1:66" ht="16.149999999999999" thickBot="1" x14ac:dyDescent="0.35">
      <c r="A43" s="149"/>
      <c r="B43" s="2915" t="s">
        <v>1011</v>
      </c>
      <c r="C43" s="2916" t="s">
        <v>1376</v>
      </c>
      <c r="D43" s="2917" t="s">
        <v>50</v>
      </c>
      <c r="E43" s="2918"/>
      <c r="F43" s="158"/>
      <c r="G43" s="2918"/>
      <c r="H43" s="158"/>
      <c r="I43" s="373"/>
      <c r="J43" s="43">
        <f t="shared" si="4"/>
        <v>0</v>
      </c>
      <c r="K43" s="2918"/>
      <c r="L43" s="158"/>
      <c r="M43" s="781"/>
      <c r="N43" s="618">
        <f t="shared" si="5"/>
        <v>0</v>
      </c>
      <c r="O43" s="2918"/>
      <c r="P43" s="158"/>
      <c r="Q43" s="782"/>
      <c r="R43" s="373">
        <f t="shared" si="6"/>
        <v>0</v>
      </c>
      <c r="S43" s="2918"/>
      <c r="T43" s="158"/>
      <c r="U43" s="782"/>
      <c r="V43" s="373">
        <f t="shared" si="7"/>
        <v>0</v>
      </c>
      <c r="W43" s="2918"/>
      <c r="X43" s="158"/>
      <c r="Y43" s="575"/>
      <c r="Z43" s="4336">
        <f t="shared" si="0"/>
        <v>0</v>
      </c>
      <c r="AA43" s="662"/>
      <c r="AB43" s="4337">
        <f t="shared" si="1"/>
        <v>0</v>
      </c>
      <c r="AC43" s="2918"/>
      <c r="AD43" s="158"/>
      <c r="AE43" s="782"/>
      <c r="AF43" s="782">
        <f t="shared" si="8"/>
        <v>0</v>
      </c>
      <c r="AG43" s="2918"/>
      <c r="AH43" s="158"/>
      <c r="AI43" s="782"/>
      <c r="AJ43" s="782">
        <f t="shared" si="9"/>
        <v>0</v>
      </c>
      <c r="AK43" s="2918"/>
      <c r="AL43" s="158"/>
      <c r="AM43" s="575"/>
      <c r="AN43" s="575">
        <f t="shared" si="2"/>
        <v>0</v>
      </c>
      <c r="AO43" s="782"/>
      <c r="AP43" s="782">
        <f t="shared" si="10"/>
        <v>0</v>
      </c>
      <c r="AQ43" s="2918"/>
      <c r="AR43" s="158"/>
      <c r="AS43" s="782"/>
      <c r="AT43" s="782">
        <f t="shared" si="11"/>
        <v>0</v>
      </c>
      <c r="AU43" s="2918"/>
      <c r="AV43" s="158"/>
      <c r="AW43" s="782"/>
      <c r="AX43" s="782">
        <f t="shared" si="12"/>
        <v>0</v>
      </c>
      <c r="AY43" s="2918"/>
      <c r="AZ43" s="158"/>
      <c r="BA43" s="575"/>
      <c r="BB43" s="575">
        <f t="shared" si="3"/>
        <v>0</v>
      </c>
      <c r="BC43" s="662"/>
      <c r="BD43" s="662">
        <f t="shared" si="13"/>
        <v>0</v>
      </c>
      <c r="BE43" s="782"/>
      <c r="BF43" s="782">
        <f t="shared" si="14"/>
        <v>0</v>
      </c>
      <c r="BG43" s="26"/>
      <c r="BH43" s="26"/>
      <c r="BI43" s="26"/>
      <c r="BJ43" s="26"/>
      <c r="BK43" s="26"/>
      <c r="BL43" s="26"/>
      <c r="BM43" s="26"/>
      <c r="BN43" s="26"/>
    </row>
    <row r="44" spans="1:66" ht="16.149999999999999" thickBot="1" x14ac:dyDescent="0.35">
      <c r="A44" s="149"/>
      <c r="B44" s="850" t="s">
        <v>1011</v>
      </c>
      <c r="C44" s="2644" t="s">
        <v>970</v>
      </c>
      <c r="D44" s="2645" t="s">
        <v>50</v>
      </c>
      <c r="E44" s="2646"/>
      <c r="F44" s="2647"/>
      <c r="G44" s="2646"/>
      <c r="H44" s="2647"/>
      <c r="I44" s="2648"/>
      <c r="J44" s="43">
        <f t="shared" si="4"/>
        <v>0</v>
      </c>
      <c r="K44" s="2646"/>
      <c r="L44" s="2647"/>
      <c r="M44" s="781"/>
      <c r="N44" s="618">
        <f t="shared" si="5"/>
        <v>0</v>
      </c>
      <c r="O44" s="2646"/>
      <c r="P44" s="2647"/>
      <c r="Q44" s="782"/>
      <c r="R44" s="373">
        <f t="shared" si="6"/>
        <v>0</v>
      </c>
      <c r="S44" s="2646"/>
      <c r="T44" s="2647"/>
      <c r="U44" s="782"/>
      <c r="V44" s="373">
        <f t="shared" si="7"/>
        <v>0</v>
      </c>
      <c r="W44" s="2646"/>
      <c r="X44" s="2647">
        <v>73.8</v>
      </c>
      <c r="Y44" s="575"/>
      <c r="Z44" s="4336">
        <f t="shared" si="0"/>
        <v>73.8</v>
      </c>
      <c r="AA44" s="662"/>
      <c r="AB44" s="4337">
        <f t="shared" si="1"/>
        <v>73.8</v>
      </c>
      <c r="AC44" s="2646"/>
      <c r="AD44" s="2647"/>
      <c r="AE44" s="782"/>
      <c r="AF44" s="782">
        <f t="shared" si="8"/>
        <v>73.8</v>
      </c>
      <c r="AG44" s="2646"/>
      <c r="AH44" s="2647"/>
      <c r="AI44" s="782"/>
      <c r="AJ44" s="782">
        <f t="shared" si="9"/>
        <v>73.8</v>
      </c>
      <c r="AK44" s="2646"/>
      <c r="AL44" s="2647"/>
      <c r="AM44" s="575"/>
      <c r="AN44" s="575">
        <f t="shared" si="2"/>
        <v>0</v>
      </c>
      <c r="AO44" s="782"/>
      <c r="AP44" s="782">
        <f t="shared" si="10"/>
        <v>73.8</v>
      </c>
      <c r="AQ44" s="2646"/>
      <c r="AR44" s="2647"/>
      <c r="AS44" s="782"/>
      <c r="AT44" s="782">
        <f t="shared" si="11"/>
        <v>73.8</v>
      </c>
      <c r="AU44" s="2646"/>
      <c r="AV44" s="2647"/>
      <c r="AW44" s="782"/>
      <c r="AX44" s="782">
        <f t="shared" si="12"/>
        <v>73.8</v>
      </c>
      <c r="AY44" s="2646"/>
      <c r="AZ44" s="2647"/>
      <c r="BA44" s="575"/>
      <c r="BB44" s="575">
        <f t="shared" si="3"/>
        <v>0</v>
      </c>
      <c r="BC44" s="662"/>
      <c r="BD44" s="662">
        <f t="shared" si="13"/>
        <v>0</v>
      </c>
      <c r="BE44" s="782"/>
      <c r="BF44" s="782">
        <f t="shared" si="14"/>
        <v>73.8</v>
      </c>
      <c r="BG44" s="26"/>
      <c r="BH44" s="26"/>
      <c r="BI44" s="26"/>
      <c r="BJ44" s="26"/>
      <c r="BK44" s="26"/>
      <c r="BL44" s="26"/>
      <c r="BM44" s="26"/>
      <c r="BN44" s="26"/>
    </row>
    <row r="45" spans="1:66" ht="16.149999999999999" thickBot="1" x14ac:dyDescent="0.35">
      <c r="A45" s="149"/>
      <c r="B45" s="850" t="s">
        <v>1011</v>
      </c>
      <c r="C45" s="2644" t="s">
        <v>972</v>
      </c>
      <c r="D45" s="2645" t="s">
        <v>50</v>
      </c>
      <c r="E45" s="2646"/>
      <c r="F45" s="2647"/>
      <c r="G45" s="2646"/>
      <c r="H45" s="2647"/>
      <c r="I45" s="2648"/>
      <c r="J45" s="43">
        <f t="shared" si="4"/>
        <v>0</v>
      </c>
      <c r="K45" s="2646"/>
      <c r="L45" s="2647"/>
      <c r="M45" s="781"/>
      <c r="N45" s="618">
        <f t="shared" si="5"/>
        <v>0</v>
      </c>
      <c r="O45" s="2646"/>
      <c r="P45" s="2647"/>
      <c r="Q45" s="782"/>
      <c r="R45" s="373">
        <f t="shared" si="6"/>
        <v>0</v>
      </c>
      <c r="S45" s="2646"/>
      <c r="T45" s="2647"/>
      <c r="U45" s="782"/>
      <c r="V45" s="373">
        <f t="shared" si="7"/>
        <v>0</v>
      </c>
      <c r="W45" s="2646"/>
      <c r="X45" s="2647"/>
      <c r="Y45" s="575"/>
      <c r="Z45" s="4336">
        <f t="shared" si="0"/>
        <v>0</v>
      </c>
      <c r="AA45" s="662"/>
      <c r="AB45" s="4337">
        <f t="shared" si="1"/>
        <v>0</v>
      </c>
      <c r="AC45" s="2646"/>
      <c r="AD45" s="2647"/>
      <c r="AE45" s="782"/>
      <c r="AF45" s="782">
        <f t="shared" si="8"/>
        <v>0</v>
      </c>
      <c r="AG45" s="2646"/>
      <c r="AH45" s="2647"/>
      <c r="AI45" s="782"/>
      <c r="AJ45" s="782">
        <f t="shared" si="9"/>
        <v>0</v>
      </c>
      <c r="AK45" s="2646"/>
      <c r="AL45" s="2647"/>
      <c r="AM45" s="575"/>
      <c r="AN45" s="575">
        <f t="shared" si="2"/>
        <v>0</v>
      </c>
      <c r="AO45" s="782"/>
      <c r="AP45" s="782">
        <f t="shared" si="10"/>
        <v>0</v>
      </c>
      <c r="AQ45" s="2646"/>
      <c r="AR45" s="2647"/>
      <c r="AS45" s="782"/>
      <c r="AT45" s="782">
        <f t="shared" si="11"/>
        <v>0</v>
      </c>
      <c r="AU45" s="2646"/>
      <c r="AV45" s="2647"/>
      <c r="AW45" s="782"/>
      <c r="AX45" s="782">
        <f t="shared" si="12"/>
        <v>0</v>
      </c>
      <c r="AY45" s="2646"/>
      <c r="AZ45" s="2647"/>
      <c r="BA45" s="575"/>
      <c r="BB45" s="575">
        <f t="shared" si="3"/>
        <v>0</v>
      </c>
      <c r="BC45" s="662"/>
      <c r="BD45" s="662">
        <f t="shared" si="13"/>
        <v>0</v>
      </c>
      <c r="BE45" s="782"/>
      <c r="BF45" s="782">
        <f t="shared" si="14"/>
        <v>0</v>
      </c>
      <c r="BG45" s="26"/>
      <c r="BH45" s="26"/>
      <c r="BI45" s="26"/>
      <c r="BJ45" s="26"/>
      <c r="BK45" s="26"/>
      <c r="BL45" s="26"/>
      <c r="BM45" s="26"/>
      <c r="BN45" s="26"/>
    </row>
    <row r="46" spans="1:66" ht="16.149999999999999" thickBot="1" x14ac:dyDescent="0.35">
      <c r="A46" s="149"/>
      <c r="B46" s="850" t="s">
        <v>1011</v>
      </c>
      <c r="C46" s="2644" t="s">
        <v>1122</v>
      </c>
      <c r="D46" s="2645" t="s">
        <v>50</v>
      </c>
      <c r="E46" s="2646"/>
      <c r="F46" s="2647"/>
      <c r="G46" s="2646"/>
      <c r="H46" s="2647"/>
      <c r="I46" s="2648"/>
      <c r="J46" s="43">
        <f t="shared" si="4"/>
        <v>0</v>
      </c>
      <c r="K46" s="2646"/>
      <c r="L46" s="2647"/>
      <c r="M46" s="781"/>
      <c r="N46" s="618">
        <f t="shared" si="5"/>
        <v>0</v>
      </c>
      <c r="O46" s="2646"/>
      <c r="P46" s="2647"/>
      <c r="Q46" s="782"/>
      <c r="R46" s="373">
        <f t="shared" si="6"/>
        <v>0</v>
      </c>
      <c r="S46" s="2646"/>
      <c r="T46" s="2647"/>
      <c r="U46" s="782"/>
      <c r="V46" s="373">
        <f t="shared" si="7"/>
        <v>0</v>
      </c>
      <c r="W46" s="2646"/>
      <c r="X46" s="2647"/>
      <c r="Y46" s="575"/>
      <c r="Z46" s="4336">
        <f t="shared" si="0"/>
        <v>0</v>
      </c>
      <c r="AA46" s="662"/>
      <c r="AB46" s="4337">
        <f t="shared" si="1"/>
        <v>0</v>
      </c>
      <c r="AC46" s="2646"/>
      <c r="AD46" s="2647"/>
      <c r="AE46" s="782"/>
      <c r="AF46" s="782">
        <f t="shared" si="8"/>
        <v>0</v>
      </c>
      <c r="AG46" s="2646"/>
      <c r="AH46" s="2647"/>
      <c r="AI46" s="782"/>
      <c r="AJ46" s="782">
        <f t="shared" si="9"/>
        <v>0</v>
      </c>
      <c r="AK46" s="2646"/>
      <c r="AL46" s="2647"/>
      <c r="AM46" s="575"/>
      <c r="AN46" s="575">
        <f t="shared" si="2"/>
        <v>0</v>
      </c>
      <c r="AO46" s="782"/>
      <c r="AP46" s="782">
        <f t="shared" si="10"/>
        <v>0</v>
      </c>
      <c r="AQ46" s="2646"/>
      <c r="AR46" s="2647"/>
      <c r="AS46" s="782"/>
      <c r="AT46" s="782">
        <f t="shared" si="11"/>
        <v>0</v>
      </c>
      <c r="AU46" s="2646"/>
      <c r="AV46" s="2647"/>
      <c r="AW46" s="782"/>
      <c r="AX46" s="782">
        <f t="shared" si="12"/>
        <v>0</v>
      </c>
      <c r="AY46" s="2646"/>
      <c r="AZ46" s="2647"/>
      <c r="BA46" s="575"/>
      <c r="BB46" s="575">
        <f t="shared" si="3"/>
        <v>0</v>
      </c>
      <c r="BC46" s="662"/>
      <c r="BD46" s="662">
        <f t="shared" si="13"/>
        <v>0</v>
      </c>
      <c r="BE46" s="782"/>
      <c r="BF46" s="782">
        <f t="shared" si="14"/>
        <v>0</v>
      </c>
      <c r="BG46" s="26"/>
      <c r="BH46" s="26"/>
      <c r="BI46" s="26"/>
      <c r="BJ46" s="26"/>
      <c r="BK46" s="26"/>
      <c r="BL46" s="26"/>
      <c r="BM46" s="26"/>
      <c r="BN46" s="26"/>
    </row>
    <row r="47" spans="1:66" ht="16.149999999999999" thickBot="1" x14ac:dyDescent="0.35">
      <c r="A47" s="149"/>
      <c r="B47" s="850" t="s">
        <v>1011</v>
      </c>
      <c r="C47" s="2644" t="s">
        <v>1137</v>
      </c>
      <c r="D47" s="2645" t="s">
        <v>50</v>
      </c>
      <c r="E47" s="2646"/>
      <c r="F47" s="2647"/>
      <c r="G47" s="2646"/>
      <c r="H47" s="2647"/>
      <c r="I47" s="2648"/>
      <c r="J47" s="43">
        <f t="shared" si="4"/>
        <v>0</v>
      </c>
      <c r="K47" s="2646"/>
      <c r="L47" s="2647"/>
      <c r="M47" s="781"/>
      <c r="N47" s="618">
        <f t="shared" si="5"/>
        <v>0</v>
      </c>
      <c r="O47" s="2646"/>
      <c r="P47" s="2647"/>
      <c r="Q47" s="782"/>
      <c r="R47" s="373">
        <f t="shared" si="6"/>
        <v>0</v>
      </c>
      <c r="S47" s="2646"/>
      <c r="T47" s="2647"/>
      <c r="U47" s="782"/>
      <c r="V47" s="373">
        <f t="shared" si="7"/>
        <v>0</v>
      </c>
      <c r="W47" s="2646"/>
      <c r="X47" s="2647"/>
      <c r="Y47" s="575"/>
      <c r="Z47" s="4336">
        <f t="shared" si="0"/>
        <v>0</v>
      </c>
      <c r="AA47" s="662"/>
      <c r="AB47" s="4337">
        <f t="shared" si="1"/>
        <v>0</v>
      </c>
      <c r="AC47" s="2646"/>
      <c r="AD47" s="2647"/>
      <c r="AE47" s="782"/>
      <c r="AF47" s="782">
        <f t="shared" si="8"/>
        <v>0</v>
      </c>
      <c r="AG47" s="2646"/>
      <c r="AH47" s="2647"/>
      <c r="AI47" s="782"/>
      <c r="AJ47" s="782">
        <f t="shared" si="9"/>
        <v>0</v>
      </c>
      <c r="AK47" s="2646"/>
      <c r="AL47" s="2647"/>
      <c r="AM47" s="575"/>
      <c r="AN47" s="575">
        <f t="shared" si="2"/>
        <v>0</v>
      </c>
      <c r="AO47" s="782"/>
      <c r="AP47" s="782">
        <f t="shared" si="10"/>
        <v>0</v>
      </c>
      <c r="AQ47" s="2646"/>
      <c r="AR47" s="2647"/>
      <c r="AS47" s="782"/>
      <c r="AT47" s="782">
        <f t="shared" si="11"/>
        <v>0</v>
      </c>
      <c r="AU47" s="2646"/>
      <c r="AV47" s="2647"/>
      <c r="AW47" s="782"/>
      <c r="AX47" s="782">
        <f t="shared" si="12"/>
        <v>0</v>
      </c>
      <c r="AY47" s="2646"/>
      <c r="AZ47" s="2647"/>
      <c r="BA47" s="575"/>
      <c r="BB47" s="575">
        <f t="shared" si="3"/>
        <v>0</v>
      </c>
      <c r="BC47" s="662"/>
      <c r="BD47" s="662">
        <f t="shared" si="13"/>
        <v>0</v>
      </c>
      <c r="BE47" s="782"/>
      <c r="BF47" s="782">
        <f t="shared" si="14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6.149999999999999" thickBot="1" x14ac:dyDescent="0.35">
      <c r="A48" s="149"/>
      <c r="B48" s="850" t="s">
        <v>1011</v>
      </c>
      <c r="C48" s="2644" t="s">
        <v>874</v>
      </c>
      <c r="D48" s="2645" t="s">
        <v>50</v>
      </c>
      <c r="E48" s="2646"/>
      <c r="F48" s="2647"/>
      <c r="G48" s="2646"/>
      <c r="H48" s="2647"/>
      <c r="I48" s="2648"/>
      <c r="J48" s="43">
        <f t="shared" si="4"/>
        <v>0</v>
      </c>
      <c r="K48" s="2646"/>
      <c r="L48" s="2647"/>
      <c r="M48" s="781"/>
      <c r="N48" s="618">
        <f t="shared" si="5"/>
        <v>0</v>
      </c>
      <c r="O48" s="2646"/>
      <c r="P48" s="2647"/>
      <c r="Q48" s="782"/>
      <c r="R48" s="373">
        <f t="shared" si="6"/>
        <v>0</v>
      </c>
      <c r="S48" s="2646"/>
      <c r="T48" s="2647"/>
      <c r="U48" s="782"/>
      <c r="V48" s="373">
        <f t="shared" si="7"/>
        <v>0</v>
      </c>
      <c r="W48" s="2646"/>
      <c r="X48" s="2647"/>
      <c r="Y48" s="575"/>
      <c r="Z48" s="4336">
        <f t="shared" si="0"/>
        <v>0</v>
      </c>
      <c r="AA48" s="662"/>
      <c r="AB48" s="4337">
        <f t="shared" si="1"/>
        <v>0</v>
      </c>
      <c r="AC48" s="2646"/>
      <c r="AD48" s="2647"/>
      <c r="AE48" s="782"/>
      <c r="AF48" s="782">
        <f t="shared" si="8"/>
        <v>0</v>
      </c>
      <c r="AG48" s="2646"/>
      <c r="AH48" s="2647"/>
      <c r="AI48" s="782"/>
      <c r="AJ48" s="782">
        <f t="shared" si="9"/>
        <v>0</v>
      </c>
      <c r="AK48" s="2646"/>
      <c r="AL48" s="2647"/>
      <c r="AM48" s="575"/>
      <c r="AN48" s="575">
        <f t="shared" si="2"/>
        <v>0</v>
      </c>
      <c r="AO48" s="782"/>
      <c r="AP48" s="782">
        <f t="shared" si="10"/>
        <v>0</v>
      </c>
      <c r="AQ48" s="2646"/>
      <c r="AR48" s="2647"/>
      <c r="AS48" s="782"/>
      <c r="AT48" s="782">
        <f t="shared" si="11"/>
        <v>0</v>
      </c>
      <c r="AU48" s="2646"/>
      <c r="AV48" s="2647"/>
      <c r="AW48" s="782"/>
      <c r="AX48" s="782">
        <f t="shared" si="12"/>
        <v>0</v>
      </c>
      <c r="AY48" s="2646"/>
      <c r="AZ48" s="2647"/>
      <c r="BA48" s="575"/>
      <c r="BB48" s="575">
        <f t="shared" si="3"/>
        <v>0</v>
      </c>
      <c r="BC48" s="662"/>
      <c r="BD48" s="662">
        <f t="shared" si="13"/>
        <v>0</v>
      </c>
      <c r="BE48" s="782"/>
      <c r="BF48" s="782">
        <f t="shared" si="14"/>
        <v>0</v>
      </c>
      <c r="BG48" s="26"/>
      <c r="BH48" s="26"/>
      <c r="BI48" s="26"/>
      <c r="BJ48" s="26"/>
      <c r="BK48" s="26"/>
      <c r="BL48" s="26"/>
      <c r="BM48" s="26"/>
      <c r="BN48" s="26"/>
    </row>
    <row r="49" spans="1:66" ht="16.149999999999999" thickBot="1" x14ac:dyDescent="0.35">
      <c r="A49" s="149"/>
      <c r="B49" s="850" t="s">
        <v>1011</v>
      </c>
      <c r="C49" s="2644" t="s">
        <v>1140</v>
      </c>
      <c r="D49" s="2645" t="s">
        <v>50</v>
      </c>
      <c r="E49" s="2646"/>
      <c r="F49" s="2647"/>
      <c r="G49" s="2646"/>
      <c r="H49" s="2647"/>
      <c r="I49" s="2648"/>
      <c r="J49" s="43">
        <f t="shared" si="4"/>
        <v>0</v>
      </c>
      <c r="K49" s="2646"/>
      <c r="L49" s="2647"/>
      <c r="M49" s="2649"/>
      <c r="N49" s="618">
        <f t="shared" si="5"/>
        <v>0</v>
      </c>
      <c r="O49" s="2646"/>
      <c r="P49" s="2647"/>
      <c r="Q49" s="2648"/>
      <c r="R49" s="373">
        <f t="shared" si="6"/>
        <v>0</v>
      </c>
      <c r="S49" s="2646"/>
      <c r="T49" s="2647"/>
      <c r="U49" s="2648"/>
      <c r="V49" s="373">
        <f t="shared" si="7"/>
        <v>0</v>
      </c>
      <c r="W49" s="2646"/>
      <c r="X49" s="2647"/>
      <c r="Y49" s="2650"/>
      <c r="Z49" s="4336">
        <f t="shared" si="0"/>
        <v>0</v>
      </c>
      <c r="AA49" s="662"/>
      <c r="AB49" s="4337">
        <f t="shared" si="1"/>
        <v>0</v>
      </c>
      <c r="AC49" s="2646"/>
      <c r="AD49" s="2647"/>
      <c r="AE49" s="2648"/>
      <c r="AF49" s="782">
        <f t="shared" si="8"/>
        <v>0</v>
      </c>
      <c r="AG49" s="2646"/>
      <c r="AH49" s="2647"/>
      <c r="AI49" s="2648"/>
      <c r="AJ49" s="782">
        <f t="shared" si="9"/>
        <v>0</v>
      </c>
      <c r="AK49" s="2646"/>
      <c r="AL49" s="2647"/>
      <c r="AM49" s="2650"/>
      <c r="AN49" s="575">
        <f t="shared" si="2"/>
        <v>0</v>
      </c>
      <c r="AO49" s="782"/>
      <c r="AP49" s="782">
        <f t="shared" si="10"/>
        <v>0</v>
      </c>
      <c r="AQ49" s="2646"/>
      <c r="AR49" s="2647"/>
      <c r="AS49" s="2648"/>
      <c r="AT49" s="782">
        <f t="shared" si="11"/>
        <v>0</v>
      </c>
      <c r="AU49" s="2646"/>
      <c r="AV49" s="2647"/>
      <c r="AW49" s="2648"/>
      <c r="AX49" s="782">
        <f t="shared" si="12"/>
        <v>0</v>
      </c>
      <c r="AY49" s="2646"/>
      <c r="AZ49" s="2647"/>
      <c r="BA49" s="2650"/>
      <c r="BB49" s="575">
        <f t="shared" si="3"/>
        <v>0</v>
      </c>
      <c r="BC49" s="662"/>
      <c r="BD49" s="662">
        <f t="shared" si="13"/>
        <v>0</v>
      </c>
      <c r="BE49" s="782"/>
      <c r="BF49" s="782">
        <f t="shared" si="14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6.149999999999999" thickBot="1" x14ac:dyDescent="0.35">
      <c r="A50" s="149"/>
      <c r="B50" s="2919" t="s">
        <v>1011</v>
      </c>
      <c r="C50" s="2920" t="s">
        <v>1141</v>
      </c>
      <c r="D50" s="2921" t="s">
        <v>50</v>
      </c>
      <c r="E50" s="2922"/>
      <c r="F50" s="109"/>
      <c r="G50" s="2922"/>
      <c r="H50" s="109"/>
      <c r="I50" s="589"/>
      <c r="J50" s="43">
        <f t="shared" si="4"/>
        <v>0</v>
      </c>
      <c r="K50" s="2922"/>
      <c r="L50" s="109"/>
      <c r="M50" s="781"/>
      <c r="N50" s="618">
        <f t="shared" si="5"/>
        <v>0</v>
      </c>
      <c r="O50" s="2922"/>
      <c r="P50" s="109"/>
      <c r="Q50" s="782"/>
      <c r="R50" s="373">
        <f t="shared" si="6"/>
        <v>0</v>
      </c>
      <c r="S50" s="2922"/>
      <c r="T50" s="109"/>
      <c r="U50" s="782"/>
      <c r="V50" s="373">
        <f t="shared" si="7"/>
        <v>0</v>
      </c>
      <c r="W50" s="2922"/>
      <c r="X50" s="109">
        <v>1535.4499999999998</v>
      </c>
      <c r="Y50" s="575"/>
      <c r="Z50" s="4336">
        <f t="shared" si="0"/>
        <v>1535.4499999999998</v>
      </c>
      <c r="AA50" s="662"/>
      <c r="AB50" s="4337">
        <f t="shared" si="1"/>
        <v>1535.4499999999998</v>
      </c>
      <c r="AC50" s="2922"/>
      <c r="AD50" s="109"/>
      <c r="AE50" s="782"/>
      <c r="AF50" s="782">
        <f t="shared" si="8"/>
        <v>1535.4499999999998</v>
      </c>
      <c r="AG50" s="2922"/>
      <c r="AH50" s="109"/>
      <c r="AI50" s="782"/>
      <c r="AJ50" s="782">
        <f t="shared" si="9"/>
        <v>1535.4499999999998</v>
      </c>
      <c r="AK50" s="2922"/>
      <c r="AL50" s="109"/>
      <c r="AM50" s="575"/>
      <c r="AN50" s="575">
        <f t="shared" si="2"/>
        <v>0</v>
      </c>
      <c r="AO50" s="782"/>
      <c r="AP50" s="782">
        <f t="shared" si="10"/>
        <v>1535.4499999999998</v>
      </c>
      <c r="AQ50" s="2922"/>
      <c r="AR50" s="109"/>
      <c r="AS50" s="782"/>
      <c r="AT50" s="782">
        <f t="shared" si="11"/>
        <v>1535.4499999999998</v>
      </c>
      <c r="AU50" s="2922"/>
      <c r="AV50" s="109"/>
      <c r="AW50" s="782"/>
      <c r="AX50" s="782">
        <f t="shared" si="12"/>
        <v>1535.4499999999998</v>
      </c>
      <c r="AY50" s="2922"/>
      <c r="AZ50" s="109"/>
      <c r="BA50" s="575"/>
      <c r="BB50" s="575">
        <f t="shared" si="3"/>
        <v>0</v>
      </c>
      <c r="BC50" s="662"/>
      <c r="BD50" s="662">
        <f t="shared" si="13"/>
        <v>0</v>
      </c>
      <c r="BE50" s="782"/>
      <c r="BF50" s="782">
        <f t="shared" si="14"/>
        <v>1535.4499999999998</v>
      </c>
      <c r="BG50" s="26"/>
      <c r="BH50" s="26"/>
      <c r="BI50" s="26"/>
      <c r="BJ50" s="26"/>
      <c r="BK50" s="26"/>
      <c r="BL50" s="26"/>
      <c r="BM50" s="26"/>
      <c r="BN50" s="26"/>
    </row>
    <row r="51" spans="1:66" ht="16.149999999999999" thickBot="1" x14ac:dyDescent="0.35">
      <c r="A51" s="149"/>
      <c r="B51" s="2915" t="s">
        <v>870</v>
      </c>
      <c r="C51" s="2916" t="s">
        <v>1376</v>
      </c>
      <c r="D51" s="2917" t="s">
        <v>50</v>
      </c>
      <c r="E51" s="2923"/>
      <c r="F51" s="158"/>
      <c r="G51" s="2923"/>
      <c r="H51" s="158"/>
      <c r="I51" s="373"/>
      <c r="J51" s="43">
        <f t="shared" si="4"/>
        <v>0</v>
      </c>
      <c r="K51" s="2923"/>
      <c r="L51" s="158"/>
      <c r="M51" s="781"/>
      <c r="N51" s="618">
        <f t="shared" si="5"/>
        <v>0</v>
      </c>
      <c r="O51" s="2923"/>
      <c r="P51" s="158"/>
      <c r="Q51" s="782"/>
      <c r="R51" s="373">
        <f t="shared" si="6"/>
        <v>0</v>
      </c>
      <c r="S51" s="2923"/>
      <c r="T51" s="158"/>
      <c r="U51" s="782"/>
      <c r="V51" s="373">
        <f t="shared" si="7"/>
        <v>0</v>
      </c>
      <c r="W51" s="2923"/>
      <c r="X51" s="158"/>
      <c r="Y51" s="575"/>
      <c r="Z51" s="4336">
        <f t="shared" si="0"/>
        <v>0</v>
      </c>
      <c r="AA51" s="662"/>
      <c r="AB51" s="4337">
        <f t="shared" si="1"/>
        <v>0</v>
      </c>
      <c r="AC51" s="2923"/>
      <c r="AD51" s="158"/>
      <c r="AE51" s="782"/>
      <c r="AF51" s="782">
        <f t="shared" si="8"/>
        <v>0</v>
      </c>
      <c r="AG51" s="2923"/>
      <c r="AH51" s="158"/>
      <c r="AI51" s="782"/>
      <c r="AJ51" s="782">
        <f t="shared" si="9"/>
        <v>0</v>
      </c>
      <c r="AK51" s="2923"/>
      <c r="AL51" s="158"/>
      <c r="AM51" s="575"/>
      <c r="AN51" s="575">
        <f t="shared" si="2"/>
        <v>0</v>
      </c>
      <c r="AO51" s="782"/>
      <c r="AP51" s="782">
        <f t="shared" si="10"/>
        <v>0</v>
      </c>
      <c r="AQ51" s="2923"/>
      <c r="AR51" s="158"/>
      <c r="AS51" s="782"/>
      <c r="AT51" s="782">
        <f t="shared" si="11"/>
        <v>0</v>
      </c>
      <c r="AU51" s="2923"/>
      <c r="AV51" s="158"/>
      <c r="AW51" s="782"/>
      <c r="AX51" s="782">
        <f t="shared" si="12"/>
        <v>0</v>
      </c>
      <c r="AY51" s="2923"/>
      <c r="AZ51" s="158"/>
      <c r="BA51" s="575"/>
      <c r="BB51" s="575">
        <f t="shared" si="3"/>
        <v>0</v>
      </c>
      <c r="BC51" s="662"/>
      <c r="BD51" s="662">
        <f t="shared" si="13"/>
        <v>0</v>
      </c>
      <c r="BE51" s="782"/>
      <c r="BF51" s="782">
        <f t="shared" si="14"/>
        <v>0</v>
      </c>
      <c r="BG51" s="26"/>
      <c r="BH51" s="26"/>
      <c r="BI51" s="26"/>
      <c r="BJ51" s="26"/>
      <c r="BK51" s="26"/>
      <c r="BL51" s="26"/>
      <c r="BM51" s="26"/>
      <c r="BN51" s="26"/>
    </row>
    <row r="52" spans="1:66" ht="16.149999999999999" thickBot="1" x14ac:dyDescent="0.35">
      <c r="A52" s="149"/>
      <c r="B52" s="850" t="s">
        <v>870</v>
      </c>
      <c r="C52" s="2644" t="s">
        <v>970</v>
      </c>
      <c r="D52" s="2645" t="s">
        <v>50</v>
      </c>
      <c r="E52" s="2694"/>
      <c r="F52" s="2647">
        <v>205</v>
      </c>
      <c r="G52" s="2694"/>
      <c r="H52" s="2647"/>
      <c r="I52" s="2648"/>
      <c r="J52" s="43">
        <f t="shared" si="4"/>
        <v>205</v>
      </c>
      <c r="K52" s="2694"/>
      <c r="L52" s="2647"/>
      <c r="M52" s="2649"/>
      <c r="N52" s="618">
        <f t="shared" si="5"/>
        <v>205</v>
      </c>
      <c r="O52" s="2694"/>
      <c r="P52" s="2647">
        <v>196.8</v>
      </c>
      <c r="Q52" s="2648"/>
      <c r="R52" s="373">
        <f t="shared" si="6"/>
        <v>401.8</v>
      </c>
      <c r="S52" s="2694"/>
      <c r="T52" s="2647">
        <f>127.1-4.1</f>
        <v>123</v>
      </c>
      <c r="U52" s="2648"/>
      <c r="V52" s="373">
        <f t="shared" si="7"/>
        <v>524.79999999999995</v>
      </c>
      <c r="W52" s="2694"/>
      <c r="X52" s="2647"/>
      <c r="Y52" s="2650"/>
      <c r="Z52" s="4336">
        <f t="shared" si="0"/>
        <v>319.8</v>
      </c>
      <c r="AA52" s="2651"/>
      <c r="AB52" s="4337">
        <f t="shared" si="1"/>
        <v>524.79999999999995</v>
      </c>
      <c r="AC52" s="2694"/>
      <c r="AD52" s="2647"/>
      <c r="AE52" s="2648"/>
      <c r="AF52" s="782">
        <f t="shared" si="8"/>
        <v>524.79999999999995</v>
      </c>
      <c r="AG52" s="2694"/>
      <c r="AH52" s="2647"/>
      <c r="AI52" s="2648"/>
      <c r="AJ52" s="782">
        <f t="shared" si="9"/>
        <v>524.79999999999995</v>
      </c>
      <c r="AK52" s="2694"/>
      <c r="AL52" s="2647"/>
      <c r="AM52" s="2650"/>
      <c r="AN52" s="575">
        <f t="shared" si="2"/>
        <v>0</v>
      </c>
      <c r="AO52" s="2648"/>
      <c r="AP52" s="782">
        <f t="shared" si="10"/>
        <v>524.79999999999995</v>
      </c>
      <c r="AQ52" s="2694"/>
      <c r="AR52" s="2647"/>
      <c r="AS52" s="2648"/>
      <c r="AT52" s="782">
        <f t="shared" si="11"/>
        <v>524.79999999999995</v>
      </c>
      <c r="AU52" s="2694"/>
      <c r="AV52" s="2647"/>
      <c r="AW52" s="2648"/>
      <c r="AX52" s="782">
        <f t="shared" si="12"/>
        <v>524.79999999999995</v>
      </c>
      <c r="AY52" s="2694"/>
      <c r="AZ52" s="2647"/>
      <c r="BA52" s="2650"/>
      <c r="BB52" s="575">
        <f t="shared" si="3"/>
        <v>0</v>
      </c>
      <c r="BC52" s="2651"/>
      <c r="BD52" s="662">
        <f t="shared" si="13"/>
        <v>0</v>
      </c>
      <c r="BE52" s="2648"/>
      <c r="BF52" s="782">
        <f t="shared" si="14"/>
        <v>524.79999999999995</v>
      </c>
      <c r="BG52" s="26"/>
      <c r="BH52" s="26"/>
      <c r="BI52" s="26"/>
      <c r="BJ52" s="26"/>
      <c r="BK52" s="26"/>
      <c r="BL52" s="26"/>
      <c r="BM52" s="26"/>
      <c r="BN52" s="26"/>
    </row>
    <row r="53" spans="1:66" ht="16.149999999999999" thickBot="1" x14ac:dyDescent="0.35">
      <c r="A53" s="149"/>
      <c r="B53" s="850" t="s">
        <v>870</v>
      </c>
      <c r="C53" s="2644" t="s">
        <v>972</v>
      </c>
      <c r="D53" s="2645" t="s">
        <v>50</v>
      </c>
      <c r="E53" s="2694"/>
      <c r="F53" s="2716">
        <f>346.45+16.3</f>
        <v>362.75</v>
      </c>
      <c r="G53" s="2694"/>
      <c r="H53" s="2716">
        <v>223.45</v>
      </c>
      <c r="I53" s="2648"/>
      <c r="J53" s="43">
        <f t="shared" si="4"/>
        <v>586.20000000000005</v>
      </c>
      <c r="K53" s="2694"/>
      <c r="L53" s="2716">
        <v>166.04999999999998</v>
      </c>
      <c r="M53" s="781"/>
      <c r="N53" s="618">
        <f t="shared" si="5"/>
        <v>752.25</v>
      </c>
      <c r="O53" s="2694"/>
      <c r="P53" s="2716">
        <v>223.45</v>
      </c>
      <c r="Q53" s="782"/>
      <c r="R53" s="373">
        <f t="shared" si="6"/>
        <v>975.7</v>
      </c>
      <c r="S53" s="2694"/>
      <c r="T53" s="2716"/>
      <c r="U53" s="782"/>
      <c r="V53" s="373">
        <f t="shared" si="7"/>
        <v>975.7</v>
      </c>
      <c r="W53" s="2694"/>
      <c r="X53" s="2716">
        <v>102.5</v>
      </c>
      <c r="Y53" s="575"/>
      <c r="Z53" s="4336">
        <f t="shared" si="0"/>
        <v>325.95</v>
      </c>
      <c r="AA53" s="662"/>
      <c r="AB53" s="4337">
        <f t="shared" si="1"/>
        <v>1078.2</v>
      </c>
      <c r="AC53" s="2694"/>
      <c r="AD53" s="2716">
        <v>266.5</v>
      </c>
      <c r="AE53" s="782"/>
      <c r="AF53" s="782">
        <f t="shared" si="8"/>
        <v>1344.7</v>
      </c>
      <c r="AG53" s="2694"/>
      <c r="AH53" s="2716">
        <v>8.1999999999999993</v>
      </c>
      <c r="AI53" s="782"/>
      <c r="AJ53" s="782">
        <f t="shared" si="9"/>
        <v>1352.9</v>
      </c>
      <c r="AK53" s="2694"/>
      <c r="AL53" s="2716">
        <v>344.4</v>
      </c>
      <c r="AM53" s="575"/>
      <c r="AN53" s="575">
        <f t="shared" si="2"/>
        <v>619.09999999999991</v>
      </c>
      <c r="AO53" s="782"/>
      <c r="AP53" s="782">
        <f t="shared" si="10"/>
        <v>1697.3000000000002</v>
      </c>
      <c r="AQ53" s="2694"/>
      <c r="AR53" s="2716">
        <f>151.7+102.5</f>
        <v>254.2</v>
      </c>
      <c r="AS53" s="782"/>
      <c r="AT53" s="782">
        <f t="shared" si="11"/>
        <v>1951.5000000000002</v>
      </c>
      <c r="AU53" s="2694"/>
      <c r="AV53" s="2716">
        <v>100.45</v>
      </c>
      <c r="AW53" s="782"/>
      <c r="AX53" s="782">
        <f t="shared" si="12"/>
        <v>2051.9500000000003</v>
      </c>
      <c r="AY53" s="2694"/>
      <c r="AZ53" s="2716">
        <v>57.399999999999991</v>
      </c>
      <c r="BA53" s="575"/>
      <c r="BB53" s="575">
        <f t="shared" si="3"/>
        <v>412.04999999999995</v>
      </c>
      <c r="BC53" s="662"/>
      <c r="BD53" s="662">
        <f t="shared" si="13"/>
        <v>1031.1499999999999</v>
      </c>
      <c r="BE53" s="782"/>
      <c r="BF53" s="782">
        <f t="shared" si="14"/>
        <v>2109.3500000000004</v>
      </c>
      <c r="BG53" s="26"/>
      <c r="BH53" s="26"/>
      <c r="BI53" s="26"/>
      <c r="BJ53" s="26"/>
      <c r="BK53" s="26"/>
      <c r="BL53" s="26"/>
      <c r="BM53" s="26"/>
      <c r="BN53" s="26"/>
    </row>
    <row r="54" spans="1:66" ht="16.149999999999999" thickBot="1" x14ac:dyDescent="0.35">
      <c r="A54" s="149"/>
      <c r="B54" s="850" t="s">
        <v>870</v>
      </c>
      <c r="C54" s="2644" t="s">
        <v>1122</v>
      </c>
      <c r="D54" s="2645" t="s">
        <v>50</v>
      </c>
      <c r="E54" s="2694"/>
      <c r="F54" s="2716">
        <f>1912.65-6.15</f>
        <v>1906.5</v>
      </c>
      <c r="G54" s="2694"/>
      <c r="H54" s="2716">
        <v>2402.5999999999995</v>
      </c>
      <c r="I54" s="2648"/>
      <c r="J54" s="43">
        <f t="shared" si="4"/>
        <v>4309.0999999999995</v>
      </c>
      <c r="K54" s="2694"/>
      <c r="L54" s="2716"/>
      <c r="M54" s="781"/>
      <c r="N54" s="618">
        <f t="shared" si="5"/>
        <v>4309.0999999999995</v>
      </c>
      <c r="O54" s="2694"/>
      <c r="P54" s="2716"/>
      <c r="Q54" s="782"/>
      <c r="R54" s="373">
        <f t="shared" si="6"/>
        <v>4309.0999999999995</v>
      </c>
      <c r="S54" s="2694"/>
      <c r="T54" s="2716">
        <v>940.95000000000016</v>
      </c>
      <c r="U54" s="782"/>
      <c r="V54" s="373">
        <f t="shared" si="7"/>
        <v>5250.0499999999993</v>
      </c>
      <c r="W54" s="2694"/>
      <c r="X54" s="2716">
        <v>1281.25</v>
      </c>
      <c r="Y54" s="575"/>
      <c r="Z54" s="4336">
        <f t="shared" si="0"/>
        <v>2222.2000000000003</v>
      </c>
      <c r="AA54" s="662"/>
      <c r="AB54" s="4337">
        <f t="shared" si="1"/>
        <v>6531.2999999999993</v>
      </c>
      <c r="AC54" s="2694"/>
      <c r="AD54" s="2716">
        <f>4011.85-4.1</f>
        <v>4007.75</v>
      </c>
      <c r="AE54" s="782"/>
      <c r="AF54" s="782">
        <f t="shared" si="8"/>
        <v>10539.05</v>
      </c>
      <c r="AG54" s="2694"/>
      <c r="AH54" s="2716">
        <f>1402.2-8.2</f>
        <v>1394</v>
      </c>
      <c r="AI54" s="782"/>
      <c r="AJ54" s="782">
        <f t="shared" si="9"/>
        <v>11933.05</v>
      </c>
      <c r="AK54" s="2694"/>
      <c r="AL54" s="2716">
        <v>1818.3500000000006</v>
      </c>
      <c r="AM54" s="575"/>
      <c r="AN54" s="575">
        <f t="shared" si="2"/>
        <v>7220.1</v>
      </c>
      <c r="AO54" s="782"/>
      <c r="AP54" s="782">
        <f t="shared" si="10"/>
        <v>13751.4</v>
      </c>
      <c r="AQ54" s="2694"/>
      <c r="AR54" s="2716"/>
      <c r="AS54" s="782"/>
      <c r="AT54" s="782">
        <f t="shared" si="11"/>
        <v>13751.4</v>
      </c>
      <c r="AU54" s="2694"/>
      <c r="AV54" s="2716">
        <v>1025</v>
      </c>
      <c r="AW54" s="782"/>
      <c r="AX54" s="782">
        <f t="shared" si="12"/>
        <v>14776.4</v>
      </c>
      <c r="AY54" s="2694"/>
      <c r="AZ54" s="2716">
        <v>1512.9</v>
      </c>
      <c r="BA54" s="575"/>
      <c r="BB54" s="575">
        <f t="shared" si="3"/>
        <v>2537.9</v>
      </c>
      <c r="BC54" s="662"/>
      <c r="BD54" s="662">
        <f t="shared" si="13"/>
        <v>9758</v>
      </c>
      <c r="BE54" s="782"/>
      <c r="BF54" s="782">
        <f t="shared" si="14"/>
        <v>16289.3</v>
      </c>
      <c r="BG54" s="26"/>
      <c r="BH54" s="26"/>
      <c r="BI54" s="26"/>
      <c r="BJ54" s="26"/>
      <c r="BK54" s="26"/>
      <c r="BL54" s="26"/>
      <c r="BM54" s="26"/>
      <c r="BN54" s="26"/>
    </row>
    <row r="55" spans="1:66" ht="16.149999999999999" thickBot="1" x14ac:dyDescent="0.35">
      <c r="A55" s="149"/>
      <c r="B55" s="850" t="s">
        <v>870</v>
      </c>
      <c r="C55" s="2644" t="s">
        <v>1137</v>
      </c>
      <c r="D55" s="2645" t="s">
        <v>50</v>
      </c>
      <c r="E55" s="2694"/>
      <c r="F55" s="2647">
        <v>151.70000000000002</v>
      </c>
      <c r="G55" s="2694"/>
      <c r="H55" s="2647">
        <v>342.34999999999997</v>
      </c>
      <c r="I55" s="2648"/>
      <c r="J55" s="43">
        <f t="shared" si="4"/>
        <v>494.04999999999995</v>
      </c>
      <c r="K55" s="2694"/>
      <c r="L55" s="2647">
        <v>578.1</v>
      </c>
      <c r="M55" s="781"/>
      <c r="N55" s="618">
        <f t="shared" si="5"/>
        <v>1072.1500000000001</v>
      </c>
      <c r="O55" s="2694"/>
      <c r="P55" s="2647">
        <v>260.35000000000002</v>
      </c>
      <c r="Q55" s="782"/>
      <c r="R55" s="373">
        <f t="shared" si="6"/>
        <v>1332.5</v>
      </c>
      <c r="S55" s="2694"/>
      <c r="T55" s="2647">
        <v>744.15</v>
      </c>
      <c r="U55" s="782"/>
      <c r="V55" s="373">
        <f t="shared" si="7"/>
        <v>2076.65</v>
      </c>
      <c r="W55" s="2694"/>
      <c r="X55" s="2647"/>
      <c r="Y55" s="575"/>
      <c r="Z55" s="4336">
        <f t="shared" si="0"/>
        <v>1004.5</v>
      </c>
      <c r="AA55" s="662"/>
      <c r="AB55" s="4337">
        <f t="shared" si="1"/>
        <v>2076.65</v>
      </c>
      <c r="AC55" s="2694"/>
      <c r="AD55" s="2647"/>
      <c r="AE55" s="782"/>
      <c r="AF55" s="782">
        <f t="shared" si="8"/>
        <v>2076.65</v>
      </c>
      <c r="AG55" s="2694"/>
      <c r="AH55" s="2647"/>
      <c r="AI55" s="782"/>
      <c r="AJ55" s="782">
        <f t="shared" si="9"/>
        <v>2076.65</v>
      </c>
      <c r="AK55" s="2694"/>
      <c r="AL55" s="2647"/>
      <c r="AM55" s="575"/>
      <c r="AN55" s="575">
        <f t="shared" si="2"/>
        <v>0</v>
      </c>
      <c r="AO55" s="782"/>
      <c r="AP55" s="782">
        <f t="shared" si="10"/>
        <v>2076.65</v>
      </c>
      <c r="AQ55" s="2694"/>
      <c r="AR55" s="2647"/>
      <c r="AS55" s="782"/>
      <c r="AT55" s="782">
        <f t="shared" si="11"/>
        <v>2076.65</v>
      </c>
      <c r="AU55" s="2694"/>
      <c r="AV55" s="2647">
        <v>161.95000000000002</v>
      </c>
      <c r="AW55" s="782"/>
      <c r="AX55" s="782">
        <f t="shared" si="12"/>
        <v>2238.6</v>
      </c>
      <c r="AY55" s="2694"/>
      <c r="AZ55" s="2647">
        <v>276.74999999999994</v>
      </c>
      <c r="BA55" s="575"/>
      <c r="BB55" s="575">
        <f t="shared" si="3"/>
        <v>438.69999999999993</v>
      </c>
      <c r="BC55" s="662"/>
      <c r="BD55" s="662">
        <f t="shared" si="13"/>
        <v>438.69999999999993</v>
      </c>
      <c r="BE55" s="782"/>
      <c r="BF55" s="782">
        <f t="shared" si="14"/>
        <v>2515.35</v>
      </c>
      <c r="BG55" s="26"/>
      <c r="BH55" s="26"/>
      <c r="BI55" s="26"/>
      <c r="BJ55" s="26"/>
      <c r="BK55" s="26"/>
      <c r="BL55" s="26"/>
      <c r="BM55" s="26"/>
      <c r="BN55" s="26"/>
    </row>
    <row r="56" spans="1:66" ht="16.149999999999999" thickBot="1" x14ac:dyDescent="0.35">
      <c r="A56" s="149"/>
      <c r="B56" s="4804" t="s">
        <v>870</v>
      </c>
      <c r="C56" s="4751" t="s">
        <v>2101</v>
      </c>
      <c r="D56" s="2645" t="s">
        <v>50</v>
      </c>
      <c r="E56" s="4805"/>
      <c r="F56" s="4806"/>
      <c r="G56" s="4805"/>
      <c r="H56" s="4806">
        <v>225.5</v>
      </c>
      <c r="I56" s="4807"/>
      <c r="J56" s="43">
        <f t="shared" si="4"/>
        <v>225.5</v>
      </c>
      <c r="K56" s="4805"/>
      <c r="L56" s="4806">
        <v>209.1</v>
      </c>
      <c r="M56" s="4809"/>
      <c r="N56" s="618">
        <f t="shared" si="5"/>
        <v>434.6</v>
      </c>
      <c r="O56" s="4805"/>
      <c r="P56" s="4806"/>
      <c r="Q56" s="4807"/>
      <c r="R56" s="373">
        <f t="shared" si="6"/>
        <v>434.6</v>
      </c>
      <c r="S56" s="4805"/>
      <c r="T56" s="4806"/>
      <c r="U56" s="4807"/>
      <c r="V56" s="373">
        <f t="shared" si="7"/>
        <v>434.6</v>
      </c>
      <c r="W56" s="4805"/>
      <c r="X56" s="4806"/>
      <c r="Y56" s="4810"/>
      <c r="Z56" s="4336">
        <f t="shared" si="0"/>
        <v>0</v>
      </c>
      <c r="AA56" s="4811"/>
      <c r="AB56" s="4337">
        <f t="shared" si="1"/>
        <v>434.6</v>
      </c>
      <c r="AC56" s="4805"/>
      <c r="AD56" s="4806"/>
      <c r="AE56" s="4807"/>
      <c r="AF56" s="4807"/>
      <c r="AG56" s="4805"/>
      <c r="AH56" s="4806"/>
      <c r="AI56" s="4807"/>
      <c r="AJ56" s="4807"/>
      <c r="AK56" s="4805"/>
      <c r="AL56" s="4806"/>
      <c r="AM56" s="4810"/>
      <c r="AN56" s="4810"/>
      <c r="AO56" s="4807"/>
      <c r="AP56" s="4807"/>
      <c r="AQ56" s="4805"/>
      <c r="AR56" s="4806"/>
      <c r="AS56" s="4807"/>
      <c r="AT56" s="4807"/>
      <c r="AU56" s="4805"/>
      <c r="AV56" s="4806"/>
      <c r="AW56" s="4807"/>
      <c r="AX56" s="4807"/>
      <c r="AY56" s="4805"/>
      <c r="AZ56" s="4806">
        <v>145.55000000000001</v>
      </c>
      <c r="BA56" s="4810"/>
      <c r="BB56" s="575">
        <f t="shared" si="3"/>
        <v>145.55000000000001</v>
      </c>
      <c r="BC56" s="4811"/>
      <c r="BD56" s="662">
        <f t="shared" si="13"/>
        <v>145.55000000000001</v>
      </c>
      <c r="BE56" s="4807"/>
      <c r="BF56" s="782">
        <f t="shared" si="14"/>
        <v>145.55000000000001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customHeight="1" thickBot="1" x14ac:dyDescent="0.35">
      <c r="A57" s="149"/>
      <c r="B57" s="850" t="s">
        <v>870</v>
      </c>
      <c r="C57" s="2644" t="s">
        <v>977</v>
      </c>
      <c r="D57" s="2645" t="s">
        <v>50</v>
      </c>
      <c r="E57" s="2694"/>
      <c r="F57" s="2647"/>
      <c r="G57" s="2694"/>
      <c r="H57" s="2647"/>
      <c r="I57" s="2648"/>
      <c r="J57" s="43">
        <f t="shared" si="4"/>
        <v>0</v>
      </c>
      <c r="K57" s="2694"/>
      <c r="L57" s="2647"/>
      <c r="M57" s="781"/>
      <c r="N57" s="618">
        <f t="shared" si="5"/>
        <v>0</v>
      </c>
      <c r="O57" s="2694"/>
      <c r="P57" s="2647"/>
      <c r="Q57" s="782"/>
      <c r="R57" s="373">
        <f t="shared" si="6"/>
        <v>0</v>
      </c>
      <c r="S57" s="2694"/>
      <c r="T57" s="2647">
        <v>198.85</v>
      </c>
      <c r="U57" s="782"/>
      <c r="V57" s="373">
        <f t="shared" si="7"/>
        <v>198.85</v>
      </c>
      <c r="W57" s="2694"/>
      <c r="X57" s="2647"/>
      <c r="Y57" s="575"/>
      <c r="Z57" s="4336">
        <f t="shared" si="0"/>
        <v>198.85</v>
      </c>
      <c r="AA57" s="662"/>
      <c r="AB57" s="4337">
        <f t="shared" si="1"/>
        <v>198.85</v>
      </c>
      <c r="AC57" s="2694"/>
      <c r="AD57" s="2647"/>
      <c r="AE57" s="782"/>
      <c r="AF57" s="782">
        <f t="shared" si="8"/>
        <v>198.85</v>
      </c>
      <c r="AG57" s="2694"/>
      <c r="AH57" s="2647"/>
      <c r="AI57" s="782"/>
      <c r="AJ57" s="782">
        <f t="shared" si="9"/>
        <v>198.85</v>
      </c>
      <c r="AK57" s="2694"/>
      <c r="AL57" s="2647">
        <v>84.05</v>
      </c>
      <c r="AM57" s="575"/>
      <c r="AN57" s="575">
        <f t="shared" si="2"/>
        <v>84.05</v>
      </c>
      <c r="AO57" s="782"/>
      <c r="AP57" s="782">
        <f t="shared" si="10"/>
        <v>282.89999999999998</v>
      </c>
      <c r="AQ57" s="2694"/>
      <c r="AR57" s="2647"/>
      <c r="AS57" s="782"/>
      <c r="AT57" s="782">
        <f t="shared" si="11"/>
        <v>282.89999999999998</v>
      </c>
      <c r="AU57" s="2694"/>
      <c r="AV57" s="2647"/>
      <c r="AW57" s="782"/>
      <c r="AX57" s="782">
        <f t="shared" si="12"/>
        <v>282.89999999999998</v>
      </c>
      <c r="AY57" s="2694"/>
      <c r="AZ57" s="2647"/>
      <c r="BA57" s="575"/>
      <c r="BB57" s="575">
        <f t="shared" si="3"/>
        <v>0</v>
      </c>
      <c r="BC57" s="662"/>
      <c r="BD57" s="662">
        <f t="shared" si="13"/>
        <v>84.05</v>
      </c>
      <c r="BE57" s="782"/>
      <c r="BF57" s="782">
        <f t="shared" si="14"/>
        <v>282.89999999999998</v>
      </c>
      <c r="BG57" s="26"/>
      <c r="BH57" s="26"/>
      <c r="BI57" s="26"/>
      <c r="BJ57" s="26"/>
      <c r="BK57" s="26"/>
      <c r="BL57" s="26"/>
      <c r="BM57" s="26"/>
      <c r="BN57" s="26"/>
    </row>
    <row r="58" spans="1:66" ht="16.149999999999999" thickBot="1" x14ac:dyDescent="0.35">
      <c r="A58" s="149"/>
      <c r="B58" s="850" t="s">
        <v>870</v>
      </c>
      <c r="C58" s="2644" t="s">
        <v>874</v>
      </c>
      <c r="D58" s="2645" t="s">
        <v>50</v>
      </c>
      <c r="E58" s="2694"/>
      <c r="F58" s="2647">
        <f>1576.45-14.25</f>
        <v>1562.2</v>
      </c>
      <c r="G58" s="2694"/>
      <c r="H58" s="2647">
        <f>1920.85-12.3</f>
        <v>1908.55</v>
      </c>
      <c r="I58" s="2648"/>
      <c r="J58" s="43">
        <f t="shared" si="4"/>
        <v>3470.75</v>
      </c>
      <c r="K58" s="2694"/>
      <c r="L58" s="2647">
        <v>848.69999999999993</v>
      </c>
      <c r="M58" s="781"/>
      <c r="N58" s="618">
        <f t="shared" si="5"/>
        <v>4319.45</v>
      </c>
      <c r="O58" s="2694"/>
      <c r="P58" s="2647">
        <v>1406.3</v>
      </c>
      <c r="Q58" s="782"/>
      <c r="R58" s="373">
        <f t="shared" si="6"/>
        <v>5725.75</v>
      </c>
      <c r="S58" s="2694"/>
      <c r="T58" s="2647">
        <v>1170.55</v>
      </c>
      <c r="U58" s="782"/>
      <c r="V58" s="373">
        <f t="shared" si="7"/>
        <v>6896.3</v>
      </c>
      <c r="W58" s="2694"/>
      <c r="X58" s="2647">
        <v>272.64999999999998</v>
      </c>
      <c r="Y58" s="575"/>
      <c r="Z58" s="4336">
        <f t="shared" si="0"/>
        <v>2849.5</v>
      </c>
      <c r="AA58" s="662"/>
      <c r="AB58" s="4337">
        <f t="shared" si="1"/>
        <v>7168.95</v>
      </c>
      <c r="AC58" s="2694"/>
      <c r="AD58" s="2647">
        <v>1430.9000000000003</v>
      </c>
      <c r="AE58" s="782"/>
      <c r="AF58" s="782">
        <f t="shared" si="8"/>
        <v>8599.85</v>
      </c>
      <c r="AG58" s="2694"/>
      <c r="AH58" s="2647">
        <f>416.15-4.1</f>
        <v>412.04999999999995</v>
      </c>
      <c r="AI58" s="782"/>
      <c r="AJ58" s="782">
        <f t="shared" si="9"/>
        <v>9011.9</v>
      </c>
      <c r="AK58" s="2694"/>
      <c r="AL58" s="2647">
        <f>1484.2-2.05</f>
        <v>1482.15</v>
      </c>
      <c r="AM58" s="575"/>
      <c r="AN58" s="575">
        <f t="shared" si="2"/>
        <v>3325.1000000000004</v>
      </c>
      <c r="AO58" s="782"/>
      <c r="AP58" s="782">
        <f t="shared" si="10"/>
        <v>10494.05</v>
      </c>
      <c r="AQ58" s="2694"/>
      <c r="AR58" s="2647">
        <f>1486.25-4.1</f>
        <v>1482.15</v>
      </c>
      <c r="AS58" s="782"/>
      <c r="AT58" s="782">
        <f t="shared" si="11"/>
        <v>11976.199999999999</v>
      </c>
      <c r="AU58" s="2694"/>
      <c r="AV58" s="2647">
        <v>1514.9500000000003</v>
      </c>
      <c r="AW58" s="782"/>
      <c r="AX58" s="782">
        <f t="shared" si="12"/>
        <v>13491.15</v>
      </c>
      <c r="AY58" s="2694"/>
      <c r="AZ58" s="2647">
        <v>321.84999999999997</v>
      </c>
      <c r="BA58" s="575"/>
      <c r="BB58" s="575">
        <f t="shared" si="3"/>
        <v>3318.9500000000003</v>
      </c>
      <c r="BC58" s="662"/>
      <c r="BD58" s="662">
        <f t="shared" si="13"/>
        <v>6644.0500000000011</v>
      </c>
      <c r="BE58" s="782"/>
      <c r="BF58" s="782">
        <f t="shared" si="14"/>
        <v>13813</v>
      </c>
      <c r="BG58" s="26"/>
      <c r="BH58" s="26"/>
      <c r="BI58" s="26"/>
      <c r="BJ58" s="26"/>
      <c r="BK58" s="26"/>
      <c r="BL58" s="26"/>
      <c r="BM58" s="26"/>
      <c r="BN58" s="26"/>
    </row>
    <row r="59" spans="1:66" ht="16.149999999999999" thickBot="1" x14ac:dyDescent="0.35">
      <c r="A59" s="149"/>
      <c r="B59" s="850" t="s">
        <v>870</v>
      </c>
      <c r="C59" s="2644" t="s">
        <v>971</v>
      </c>
      <c r="D59" s="2645" t="s">
        <v>50</v>
      </c>
      <c r="E59" s="2694"/>
      <c r="F59" s="2647"/>
      <c r="G59" s="2694"/>
      <c r="H59" s="2647"/>
      <c r="I59" s="2648"/>
      <c r="J59" s="43">
        <f t="shared" si="4"/>
        <v>0</v>
      </c>
      <c r="K59" s="2694"/>
      <c r="L59" s="2647">
        <v>161.95000000000002</v>
      </c>
      <c r="M59" s="781"/>
      <c r="N59" s="618">
        <f t="shared" si="5"/>
        <v>161.95000000000002</v>
      </c>
      <c r="O59" s="2694"/>
      <c r="P59" s="2647">
        <v>129.14999999999998</v>
      </c>
      <c r="Q59" s="782"/>
      <c r="R59" s="373">
        <f t="shared" si="6"/>
        <v>291.10000000000002</v>
      </c>
      <c r="S59" s="2694"/>
      <c r="T59" s="2647">
        <v>186.55</v>
      </c>
      <c r="U59" s="782"/>
      <c r="V59" s="373">
        <f t="shared" si="7"/>
        <v>477.65000000000003</v>
      </c>
      <c r="W59" s="2694"/>
      <c r="X59" s="2647"/>
      <c r="Y59" s="575"/>
      <c r="Z59" s="4336">
        <f t="shared" si="0"/>
        <v>315.7</v>
      </c>
      <c r="AA59" s="662"/>
      <c r="AB59" s="4337">
        <f t="shared" si="1"/>
        <v>477.65</v>
      </c>
      <c r="AC59" s="2694"/>
      <c r="AD59" s="2647"/>
      <c r="AE59" s="782"/>
      <c r="AF59" s="782">
        <f t="shared" si="8"/>
        <v>477.65</v>
      </c>
      <c r="AG59" s="2694"/>
      <c r="AH59" s="2647"/>
      <c r="AI59" s="782"/>
      <c r="AJ59" s="782">
        <f t="shared" si="9"/>
        <v>477.65</v>
      </c>
      <c r="AK59" s="2694"/>
      <c r="AL59" s="2647"/>
      <c r="AM59" s="575"/>
      <c r="AN59" s="575">
        <f t="shared" si="2"/>
        <v>0</v>
      </c>
      <c r="AO59" s="782"/>
      <c r="AP59" s="782">
        <f t="shared" si="10"/>
        <v>477.65</v>
      </c>
      <c r="AQ59" s="2694"/>
      <c r="AR59" s="2647">
        <v>209.10000000000002</v>
      </c>
      <c r="AS59" s="782"/>
      <c r="AT59" s="782">
        <f t="shared" si="11"/>
        <v>686.75</v>
      </c>
      <c r="AU59" s="2694"/>
      <c r="AV59" s="2647"/>
      <c r="AW59" s="782"/>
      <c r="AX59" s="782">
        <f t="shared" si="12"/>
        <v>686.75</v>
      </c>
      <c r="AY59" s="2694"/>
      <c r="AZ59" s="2647">
        <v>104.55</v>
      </c>
      <c r="BA59" s="575"/>
      <c r="BB59" s="575">
        <f t="shared" si="3"/>
        <v>313.65000000000003</v>
      </c>
      <c r="BC59" s="662"/>
      <c r="BD59" s="662">
        <f t="shared" si="13"/>
        <v>313.65000000000003</v>
      </c>
      <c r="BE59" s="782"/>
      <c r="BF59" s="782">
        <f t="shared" si="14"/>
        <v>791.3</v>
      </c>
      <c r="BG59" s="26"/>
      <c r="BH59" s="26"/>
      <c r="BI59" s="26"/>
      <c r="BJ59" s="26"/>
      <c r="BK59" s="26"/>
      <c r="BL59" s="26"/>
      <c r="BM59" s="26"/>
      <c r="BN59" s="26"/>
    </row>
    <row r="60" spans="1:66" ht="16.149999999999999" thickBot="1" x14ac:dyDescent="0.35">
      <c r="A60" s="149"/>
      <c r="B60" s="850" t="s">
        <v>870</v>
      </c>
      <c r="C60" s="2644" t="s">
        <v>973</v>
      </c>
      <c r="D60" s="2645" t="s">
        <v>50</v>
      </c>
      <c r="E60" s="2694"/>
      <c r="F60" s="2647">
        <v>90.2</v>
      </c>
      <c r="G60" s="2694"/>
      <c r="H60" s="2647"/>
      <c r="I60" s="2648"/>
      <c r="J60" s="43">
        <f t="shared" si="4"/>
        <v>90.2</v>
      </c>
      <c r="K60" s="2694"/>
      <c r="L60" s="2647">
        <v>399.75</v>
      </c>
      <c r="M60" s="2496"/>
      <c r="N60" s="618">
        <f t="shared" si="5"/>
        <v>489.95</v>
      </c>
      <c r="O60" s="2694"/>
      <c r="P60" s="2647">
        <v>791.29999999999973</v>
      </c>
      <c r="Q60" s="2494"/>
      <c r="R60" s="373">
        <f t="shared" si="6"/>
        <v>1281.2499999999998</v>
      </c>
      <c r="S60" s="2694"/>
      <c r="T60" s="2647">
        <v>457.14999999999992</v>
      </c>
      <c r="U60" s="2494"/>
      <c r="V60" s="373">
        <f t="shared" si="7"/>
        <v>1738.3999999999996</v>
      </c>
      <c r="W60" s="2694"/>
      <c r="X60" s="2647">
        <v>563.75</v>
      </c>
      <c r="Y60" s="2497"/>
      <c r="Z60" s="4336">
        <f t="shared" si="0"/>
        <v>1812.1999999999996</v>
      </c>
      <c r="AA60" s="662"/>
      <c r="AB60" s="4337">
        <f t="shared" si="1"/>
        <v>2302.1499999999996</v>
      </c>
      <c r="AC60" s="2694"/>
      <c r="AD60" s="2647">
        <v>1703.5500000000006</v>
      </c>
      <c r="AE60" s="2494"/>
      <c r="AF60" s="782">
        <f t="shared" si="8"/>
        <v>4005.7000000000003</v>
      </c>
      <c r="AG60" s="2694"/>
      <c r="AH60" s="2647"/>
      <c r="AI60" s="2494"/>
      <c r="AJ60" s="782">
        <f t="shared" si="9"/>
        <v>4005.7000000000003</v>
      </c>
      <c r="AK60" s="2694"/>
      <c r="AL60" s="2647">
        <f>1158.25+6.15</f>
        <v>1164.4000000000001</v>
      </c>
      <c r="AM60" s="2497"/>
      <c r="AN60" s="575">
        <f t="shared" si="2"/>
        <v>2867.9500000000007</v>
      </c>
      <c r="AO60" s="782"/>
      <c r="AP60" s="782">
        <f t="shared" si="10"/>
        <v>5170.1000000000004</v>
      </c>
      <c r="AQ60" s="2694"/>
      <c r="AR60" s="2647">
        <v>100.45</v>
      </c>
      <c r="AS60" s="2494"/>
      <c r="AT60" s="782">
        <f t="shared" si="11"/>
        <v>5270.55</v>
      </c>
      <c r="AU60" s="2694"/>
      <c r="AV60" s="2647">
        <v>668.30000000000007</v>
      </c>
      <c r="AW60" s="2494"/>
      <c r="AX60" s="782">
        <f t="shared" si="12"/>
        <v>5938.85</v>
      </c>
      <c r="AY60" s="2694"/>
      <c r="AZ60" s="2647">
        <v>1849.1</v>
      </c>
      <c r="BA60" s="2497"/>
      <c r="BB60" s="575">
        <f t="shared" si="3"/>
        <v>2617.85</v>
      </c>
      <c r="BC60" s="662"/>
      <c r="BD60" s="662">
        <f t="shared" si="13"/>
        <v>5485.8000000000011</v>
      </c>
      <c r="BE60" s="782"/>
      <c r="BF60" s="782">
        <f t="shared" si="14"/>
        <v>7787.9500000000007</v>
      </c>
      <c r="BG60" s="26"/>
      <c r="BH60" s="26"/>
      <c r="BI60" s="26"/>
      <c r="BJ60" s="26"/>
      <c r="BK60" s="26"/>
      <c r="BL60" s="26"/>
      <c r="BM60" s="26"/>
      <c r="BN60" s="26"/>
    </row>
    <row r="61" spans="1:66" ht="16.149999999999999" thickBot="1" x14ac:dyDescent="0.35">
      <c r="A61" s="149"/>
      <c r="B61" s="850" t="s">
        <v>870</v>
      </c>
      <c r="C61" s="2644" t="s">
        <v>975</v>
      </c>
      <c r="D61" s="2645" t="s">
        <v>50</v>
      </c>
      <c r="E61" s="2694"/>
      <c r="F61" s="2647">
        <v>147.6</v>
      </c>
      <c r="G61" s="2694"/>
      <c r="H61" s="2647"/>
      <c r="I61" s="2648"/>
      <c r="J61" s="43">
        <f t="shared" si="4"/>
        <v>147.6</v>
      </c>
      <c r="K61" s="2694"/>
      <c r="L61" s="2647"/>
      <c r="M61" s="2649"/>
      <c r="N61" s="618">
        <f t="shared" si="5"/>
        <v>147.6</v>
      </c>
      <c r="O61" s="2694"/>
      <c r="P61" s="2647"/>
      <c r="Q61" s="2648"/>
      <c r="R61" s="373">
        <f t="shared" si="6"/>
        <v>147.6</v>
      </c>
      <c r="S61" s="2694"/>
      <c r="T61" s="2647"/>
      <c r="U61" s="2648"/>
      <c r="V61" s="373">
        <f t="shared" si="7"/>
        <v>147.6</v>
      </c>
      <c r="W61" s="2694"/>
      <c r="X61" s="2647">
        <v>209.10000000000002</v>
      </c>
      <c r="Y61" s="2650"/>
      <c r="Z61" s="4336">
        <f t="shared" si="0"/>
        <v>209.10000000000002</v>
      </c>
      <c r="AA61" s="2651"/>
      <c r="AB61" s="4337">
        <f t="shared" si="1"/>
        <v>356.70000000000005</v>
      </c>
      <c r="AC61" s="2694"/>
      <c r="AD61" s="2647"/>
      <c r="AE61" s="2648"/>
      <c r="AF61" s="782">
        <f t="shared" si="8"/>
        <v>356.70000000000005</v>
      </c>
      <c r="AG61" s="2694"/>
      <c r="AH61" s="2647"/>
      <c r="AI61" s="2648"/>
      <c r="AJ61" s="782">
        <f t="shared" si="9"/>
        <v>356.70000000000005</v>
      </c>
      <c r="AK61" s="2694"/>
      <c r="AL61" s="2647"/>
      <c r="AM61" s="2650"/>
      <c r="AN61" s="575">
        <f t="shared" si="2"/>
        <v>0</v>
      </c>
      <c r="AO61" s="2648"/>
      <c r="AP61" s="782">
        <f t="shared" si="10"/>
        <v>356.70000000000005</v>
      </c>
      <c r="AQ61" s="2694"/>
      <c r="AR61" s="2647">
        <v>133.25</v>
      </c>
      <c r="AS61" s="2648"/>
      <c r="AT61" s="782">
        <f t="shared" si="11"/>
        <v>489.95000000000005</v>
      </c>
      <c r="AU61" s="2694"/>
      <c r="AV61" s="2647"/>
      <c r="AW61" s="2648"/>
      <c r="AX61" s="782">
        <f t="shared" si="12"/>
        <v>489.95000000000005</v>
      </c>
      <c r="AY61" s="2694"/>
      <c r="AZ61" s="2647"/>
      <c r="BA61" s="2650"/>
      <c r="BB61" s="575">
        <f t="shared" si="3"/>
        <v>133.25</v>
      </c>
      <c r="BC61" s="2651"/>
      <c r="BD61" s="662">
        <f t="shared" si="13"/>
        <v>133.25</v>
      </c>
      <c r="BE61" s="2648"/>
      <c r="BF61" s="782">
        <f t="shared" si="14"/>
        <v>489.95000000000005</v>
      </c>
      <c r="BG61" s="26"/>
      <c r="BH61" s="26"/>
      <c r="BI61" s="26"/>
      <c r="BJ61" s="26"/>
      <c r="BK61" s="26"/>
      <c r="BL61" s="26"/>
      <c r="BM61" s="26"/>
      <c r="BN61" s="26"/>
    </row>
    <row r="62" spans="1:66" ht="16.149999999999999" thickBot="1" x14ac:dyDescent="0.35">
      <c r="A62" s="149"/>
      <c r="B62" s="850" t="s">
        <v>870</v>
      </c>
      <c r="C62" s="2644" t="s">
        <v>1140</v>
      </c>
      <c r="D62" s="2645" t="s">
        <v>50</v>
      </c>
      <c r="E62" s="2694"/>
      <c r="F62" s="2647">
        <v>18.45</v>
      </c>
      <c r="G62" s="2694"/>
      <c r="H62" s="2647">
        <v>4.0999999999999996</v>
      </c>
      <c r="I62" s="2648"/>
      <c r="J62" s="43">
        <f t="shared" si="4"/>
        <v>22.549999999999997</v>
      </c>
      <c r="K62" s="2694"/>
      <c r="L62" s="2647">
        <v>45.1</v>
      </c>
      <c r="M62" s="781"/>
      <c r="N62" s="618">
        <f t="shared" si="5"/>
        <v>67.650000000000006</v>
      </c>
      <c r="O62" s="2694"/>
      <c r="P62" s="2647">
        <v>2.0499999999999998</v>
      </c>
      <c r="Q62" s="782"/>
      <c r="R62" s="373">
        <f t="shared" si="6"/>
        <v>69.7</v>
      </c>
      <c r="S62" s="2694"/>
      <c r="T62" s="2647"/>
      <c r="U62" s="782"/>
      <c r="V62" s="373">
        <f t="shared" si="7"/>
        <v>69.7</v>
      </c>
      <c r="W62" s="2694"/>
      <c r="X62" s="2647"/>
      <c r="Y62" s="575"/>
      <c r="Z62" s="4336">
        <f t="shared" si="0"/>
        <v>2.0499999999999998</v>
      </c>
      <c r="AA62" s="662"/>
      <c r="AB62" s="4337">
        <f t="shared" si="1"/>
        <v>69.7</v>
      </c>
      <c r="AC62" s="2694"/>
      <c r="AD62" s="2647"/>
      <c r="AE62" s="782"/>
      <c r="AF62" s="782">
        <f t="shared" si="8"/>
        <v>69.7</v>
      </c>
      <c r="AG62" s="2694"/>
      <c r="AH62" s="2647"/>
      <c r="AI62" s="782"/>
      <c r="AJ62" s="782">
        <f t="shared" si="9"/>
        <v>69.7</v>
      </c>
      <c r="AK62" s="2694"/>
      <c r="AL62" s="2647">
        <v>4.0999999999999996</v>
      </c>
      <c r="AM62" s="575"/>
      <c r="AN62" s="575">
        <f t="shared" si="2"/>
        <v>4.0999999999999996</v>
      </c>
      <c r="AO62" s="782"/>
      <c r="AP62" s="782">
        <f t="shared" si="10"/>
        <v>73.8</v>
      </c>
      <c r="AQ62" s="2694"/>
      <c r="AR62" s="2647">
        <f>22.55+2.05</f>
        <v>24.6</v>
      </c>
      <c r="AS62" s="782"/>
      <c r="AT62" s="782">
        <f t="shared" si="11"/>
        <v>98.4</v>
      </c>
      <c r="AU62" s="2694"/>
      <c r="AV62" s="2647">
        <v>67.650000000000006</v>
      </c>
      <c r="AW62" s="782"/>
      <c r="AX62" s="782">
        <f t="shared" si="12"/>
        <v>166.05</v>
      </c>
      <c r="AY62" s="2694"/>
      <c r="AZ62" s="2647"/>
      <c r="BA62" s="575"/>
      <c r="BB62" s="575">
        <f t="shared" si="3"/>
        <v>92.25</v>
      </c>
      <c r="BC62" s="662"/>
      <c r="BD62" s="662">
        <f t="shared" si="13"/>
        <v>96.35</v>
      </c>
      <c r="BE62" s="782"/>
      <c r="BF62" s="782">
        <f t="shared" si="14"/>
        <v>166.05</v>
      </c>
      <c r="BG62" s="26"/>
      <c r="BH62" s="26"/>
      <c r="BI62" s="26"/>
      <c r="BJ62" s="26"/>
      <c r="BK62" s="26"/>
      <c r="BL62" s="26"/>
      <c r="BM62" s="26"/>
      <c r="BN62" s="26"/>
    </row>
    <row r="63" spans="1:66" ht="16.149999999999999" thickBot="1" x14ac:dyDescent="0.35">
      <c r="A63" s="149"/>
      <c r="B63" s="850" t="s">
        <v>870</v>
      </c>
      <c r="C63" s="2644" t="s">
        <v>974</v>
      </c>
      <c r="D63" s="2645" t="s">
        <v>50</v>
      </c>
      <c r="E63" s="2694"/>
      <c r="F63" s="2647"/>
      <c r="G63" s="2694"/>
      <c r="H63" s="2647"/>
      <c r="I63" s="2648"/>
      <c r="J63" s="43">
        <f t="shared" si="4"/>
        <v>0</v>
      </c>
      <c r="K63" s="2694"/>
      <c r="L63" s="2647">
        <v>10.25</v>
      </c>
      <c r="M63" s="781"/>
      <c r="N63" s="618">
        <f t="shared" si="5"/>
        <v>10.25</v>
      </c>
      <c r="O63" s="2694"/>
      <c r="P63" s="2647"/>
      <c r="Q63" s="782"/>
      <c r="R63" s="373">
        <f t="shared" si="6"/>
        <v>10.25</v>
      </c>
      <c r="S63" s="2694"/>
      <c r="T63" s="2647"/>
      <c r="U63" s="782"/>
      <c r="V63" s="373">
        <f t="shared" si="7"/>
        <v>10.25</v>
      </c>
      <c r="W63" s="2694"/>
      <c r="X63" s="2647"/>
      <c r="Y63" s="575"/>
      <c r="Z63" s="4336">
        <f t="shared" si="0"/>
        <v>0</v>
      </c>
      <c r="AA63" s="662"/>
      <c r="AB63" s="4337">
        <f t="shared" si="1"/>
        <v>10.25</v>
      </c>
      <c r="AC63" s="2694"/>
      <c r="AD63" s="2647"/>
      <c r="AE63" s="782"/>
      <c r="AF63" s="782">
        <f t="shared" si="8"/>
        <v>10.25</v>
      </c>
      <c r="AG63" s="2694"/>
      <c r="AH63" s="2647"/>
      <c r="AI63" s="782"/>
      <c r="AJ63" s="782">
        <f t="shared" si="9"/>
        <v>10.25</v>
      </c>
      <c r="AK63" s="2694"/>
      <c r="AL63" s="2647"/>
      <c r="AM63" s="575"/>
      <c r="AN63" s="575">
        <f t="shared" si="2"/>
        <v>0</v>
      </c>
      <c r="AO63" s="782"/>
      <c r="AP63" s="782">
        <f t="shared" si="10"/>
        <v>10.25</v>
      </c>
      <c r="AQ63" s="2694"/>
      <c r="AR63" s="2647">
        <v>112.75</v>
      </c>
      <c r="AS63" s="782"/>
      <c r="AT63" s="782">
        <f t="shared" si="11"/>
        <v>123</v>
      </c>
      <c r="AU63" s="2694"/>
      <c r="AV63" s="2647">
        <v>71.75</v>
      </c>
      <c r="AW63" s="782"/>
      <c r="AX63" s="782">
        <f t="shared" si="12"/>
        <v>194.75</v>
      </c>
      <c r="AY63" s="2694"/>
      <c r="AZ63" s="2647"/>
      <c r="BA63" s="575"/>
      <c r="BB63" s="575">
        <f t="shared" si="3"/>
        <v>184.5</v>
      </c>
      <c r="BC63" s="662"/>
      <c r="BD63" s="662">
        <f t="shared" si="13"/>
        <v>184.5</v>
      </c>
      <c r="BE63" s="782"/>
      <c r="BF63" s="782">
        <f t="shared" si="14"/>
        <v>194.75</v>
      </c>
      <c r="BG63" s="26"/>
      <c r="BH63" s="26"/>
      <c r="BI63" s="26"/>
      <c r="BJ63" s="26"/>
      <c r="BK63" s="26"/>
      <c r="BL63" s="26"/>
      <c r="BM63" s="26"/>
      <c r="BN63" s="26"/>
    </row>
    <row r="64" spans="1:66" ht="16.149999999999999" thickBot="1" x14ac:dyDescent="0.35">
      <c r="A64" s="149"/>
      <c r="B64" s="850" t="s">
        <v>870</v>
      </c>
      <c r="C64" s="2644" t="s">
        <v>976</v>
      </c>
      <c r="D64" s="2645" t="s">
        <v>50</v>
      </c>
      <c r="E64" s="2694"/>
      <c r="F64" s="2647">
        <v>108.65</v>
      </c>
      <c r="G64" s="2694"/>
      <c r="H64" s="2647"/>
      <c r="I64" s="2648"/>
      <c r="J64" s="43">
        <f t="shared" si="4"/>
        <v>108.65</v>
      </c>
      <c r="K64" s="2694"/>
      <c r="L64" s="2647"/>
      <c r="M64" s="2649"/>
      <c r="N64" s="618">
        <f t="shared" si="5"/>
        <v>108.65</v>
      </c>
      <c r="O64" s="2694"/>
      <c r="P64" s="2647"/>
      <c r="Q64" s="2648"/>
      <c r="R64" s="373">
        <f t="shared" si="6"/>
        <v>108.65</v>
      </c>
      <c r="S64" s="2694"/>
      <c r="T64" s="2647"/>
      <c r="U64" s="2648"/>
      <c r="V64" s="373">
        <f t="shared" si="7"/>
        <v>108.65</v>
      </c>
      <c r="W64" s="2694"/>
      <c r="X64" s="2647"/>
      <c r="Y64" s="2650"/>
      <c r="Z64" s="4336">
        <f t="shared" si="0"/>
        <v>0</v>
      </c>
      <c r="AA64" s="662"/>
      <c r="AB64" s="4337">
        <f t="shared" si="1"/>
        <v>108.65</v>
      </c>
      <c r="AC64" s="2694"/>
      <c r="AD64" s="2647"/>
      <c r="AE64" s="2648"/>
      <c r="AF64" s="782">
        <f t="shared" si="8"/>
        <v>108.65</v>
      </c>
      <c r="AG64" s="2694"/>
      <c r="AH64" s="2647"/>
      <c r="AI64" s="2648"/>
      <c r="AJ64" s="782">
        <f t="shared" si="9"/>
        <v>108.65</v>
      </c>
      <c r="AK64" s="2694"/>
      <c r="AL64" s="2647">
        <v>104.55000000000001</v>
      </c>
      <c r="AM64" s="2650"/>
      <c r="AN64" s="575">
        <f t="shared" si="2"/>
        <v>104.55000000000001</v>
      </c>
      <c r="AO64" s="2648"/>
      <c r="AP64" s="782">
        <f t="shared" si="10"/>
        <v>213.20000000000002</v>
      </c>
      <c r="AQ64" s="2694"/>
      <c r="AR64" s="2647"/>
      <c r="AS64" s="2648"/>
      <c r="AT64" s="782">
        <f t="shared" si="11"/>
        <v>213.20000000000002</v>
      </c>
      <c r="AU64" s="2694"/>
      <c r="AV64" s="2647"/>
      <c r="AW64" s="2648"/>
      <c r="AX64" s="782">
        <f t="shared" si="12"/>
        <v>213.20000000000002</v>
      </c>
      <c r="AY64" s="2694"/>
      <c r="AZ64" s="2647"/>
      <c r="BA64" s="2650"/>
      <c r="BB64" s="575">
        <f t="shared" si="3"/>
        <v>0</v>
      </c>
      <c r="BC64" s="2651"/>
      <c r="BD64" s="662">
        <f t="shared" si="13"/>
        <v>104.55000000000001</v>
      </c>
      <c r="BE64" s="2648"/>
      <c r="BF64" s="782">
        <f t="shared" si="14"/>
        <v>213.20000000000002</v>
      </c>
      <c r="BG64" s="26"/>
      <c r="BH64" s="26"/>
      <c r="BI64" s="26"/>
      <c r="BJ64" s="26"/>
      <c r="BK64" s="26"/>
      <c r="BL64" s="26"/>
      <c r="BM64" s="26"/>
      <c r="BN64" s="26"/>
    </row>
    <row r="65" spans="1:66" ht="16.149999999999999" thickBot="1" x14ac:dyDescent="0.35">
      <c r="A65" s="149"/>
      <c r="B65" s="850" t="s">
        <v>870</v>
      </c>
      <c r="C65" s="2644" t="s">
        <v>1141</v>
      </c>
      <c r="D65" s="2645" t="s">
        <v>50</v>
      </c>
      <c r="E65" s="2694"/>
      <c r="F65" s="2647">
        <f>4571.5-18.45</f>
        <v>4553.05</v>
      </c>
      <c r="G65" s="2694"/>
      <c r="H65" s="2647">
        <f>3854-4.1</f>
        <v>3849.9</v>
      </c>
      <c r="I65" s="2648"/>
      <c r="J65" s="43">
        <f t="shared" si="4"/>
        <v>8402.9500000000007</v>
      </c>
      <c r="K65" s="2694"/>
      <c r="L65" s="2647">
        <f>6109-45.1</f>
        <v>6063.9</v>
      </c>
      <c r="M65" s="781"/>
      <c r="N65" s="618">
        <f t="shared" si="5"/>
        <v>14466.85</v>
      </c>
      <c r="O65" s="2694"/>
      <c r="P65" s="2647">
        <f>5282.85-2.05</f>
        <v>5280.8</v>
      </c>
      <c r="Q65" s="782"/>
      <c r="R65" s="373">
        <f t="shared" si="6"/>
        <v>19747.650000000001</v>
      </c>
      <c r="S65" s="2694"/>
      <c r="T65" s="2647">
        <v>4751.9000000000005</v>
      </c>
      <c r="U65" s="782"/>
      <c r="V65" s="373">
        <f t="shared" si="7"/>
        <v>24499.550000000003</v>
      </c>
      <c r="W65" s="2694"/>
      <c r="X65" s="2647">
        <v>5106.55</v>
      </c>
      <c r="Y65" s="575"/>
      <c r="Z65" s="4336">
        <f t="shared" si="0"/>
        <v>15139.25</v>
      </c>
      <c r="AA65" s="662"/>
      <c r="AB65" s="4337">
        <f t="shared" si="1"/>
        <v>29606.1</v>
      </c>
      <c r="AC65" s="2694"/>
      <c r="AD65" s="2647">
        <f>12084.75-2.05-8.2</f>
        <v>12074.5</v>
      </c>
      <c r="AE65" s="782"/>
      <c r="AF65" s="782">
        <f t="shared" si="8"/>
        <v>41680.6</v>
      </c>
      <c r="AG65" s="2694"/>
      <c r="AH65" s="2647">
        <v>7810.5000000000036</v>
      </c>
      <c r="AI65" s="782"/>
      <c r="AJ65" s="782">
        <f t="shared" si="9"/>
        <v>49491.100000000006</v>
      </c>
      <c r="AK65" s="2694"/>
      <c r="AL65" s="2647">
        <f>8031.90000000001-10.25-6.15</f>
        <v>8015.50000000001</v>
      </c>
      <c r="AM65" s="575"/>
      <c r="AN65" s="575">
        <f t="shared" si="2"/>
        <v>27900.500000000015</v>
      </c>
      <c r="AO65" s="782"/>
      <c r="AP65" s="782">
        <f t="shared" si="10"/>
        <v>57506.600000000013</v>
      </c>
      <c r="AQ65" s="2694"/>
      <c r="AR65" s="2647">
        <f>11424.65-22.55-2.05-4.1</f>
        <v>11395.95</v>
      </c>
      <c r="AS65" s="782"/>
      <c r="AT65" s="782">
        <f t="shared" si="11"/>
        <v>68902.550000000017</v>
      </c>
      <c r="AU65" s="2694"/>
      <c r="AV65" s="2647">
        <f>5916.3-67.65</f>
        <v>5848.6500000000005</v>
      </c>
      <c r="AW65" s="782"/>
      <c r="AX65" s="782">
        <f t="shared" si="12"/>
        <v>74751.200000000012</v>
      </c>
      <c r="AY65" s="2694"/>
      <c r="AZ65" s="2647">
        <v>5516.5500000000038</v>
      </c>
      <c r="BA65" s="575"/>
      <c r="BB65" s="575">
        <f t="shared" si="3"/>
        <v>22761.150000000005</v>
      </c>
      <c r="BC65" s="662"/>
      <c r="BD65" s="662">
        <f t="shared" si="13"/>
        <v>50661.650000000023</v>
      </c>
      <c r="BE65" s="782"/>
      <c r="BF65" s="782">
        <f t="shared" si="14"/>
        <v>80267.750000000015</v>
      </c>
      <c r="BG65" s="26"/>
      <c r="BH65" s="26"/>
      <c r="BI65" s="26"/>
      <c r="BJ65" s="26"/>
      <c r="BK65" s="26"/>
      <c r="BL65" s="26"/>
      <c r="BM65" s="26"/>
      <c r="BN65" s="26"/>
    </row>
    <row r="66" spans="1:66" ht="16.149999999999999" thickBot="1" x14ac:dyDescent="0.35">
      <c r="A66" s="149"/>
      <c r="B66" s="2919" t="s">
        <v>870</v>
      </c>
      <c r="C66" s="2920" t="s">
        <v>950</v>
      </c>
      <c r="D66" s="2921" t="s">
        <v>50</v>
      </c>
      <c r="E66" s="2924"/>
      <c r="F66" s="109"/>
      <c r="G66" s="2924"/>
      <c r="H66" s="109"/>
      <c r="I66" s="589"/>
      <c r="J66" s="43">
        <f t="shared" si="4"/>
        <v>0</v>
      </c>
      <c r="K66" s="2924"/>
      <c r="L66" s="109"/>
      <c r="M66" s="781"/>
      <c r="N66" s="618">
        <f t="shared" si="5"/>
        <v>0</v>
      </c>
      <c r="O66" s="2924"/>
      <c r="P66" s="109"/>
      <c r="Q66" s="782"/>
      <c r="R66" s="373">
        <f t="shared" si="6"/>
        <v>0</v>
      </c>
      <c r="S66" s="2924"/>
      <c r="T66" s="109"/>
      <c r="U66" s="782"/>
      <c r="V66" s="373">
        <f t="shared" si="7"/>
        <v>0</v>
      </c>
      <c r="W66" s="2924"/>
      <c r="X66" s="109"/>
      <c r="Y66" s="575"/>
      <c r="Z66" s="4336">
        <f t="shared" si="0"/>
        <v>0</v>
      </c>
      <c r="AA66" s="662"/>
      <c r="AB66" s="4337">
        <f t="shared" si="1"/>
        <v>0</v>
      </c>
      <c r="AC66" s="2924"/>
      <c r="AD66" s="109"/>
      <c r="AE66" s="782"/>
      <c r="AF66" s="782">
        <f t="shared" si="8"/>
        <v>0</v>
      </c>
      <c r="AG66" s="2924"/>
      <c r="AH66" s="109"/>
      <c r="AI66" s="782"/>
      <c r="AJ66" s="782">
        <f t="shared" si="9"/>
        <v>0</v>
      </c>
      <c r="AK66" s="2924"/>
      <c r="AL66" s="109"/>
      <c r="AM66" s="575"/>
      <c r="AN66" s="575">
        <f t="shared" si="2"/>
        <v>0</v>
      </c>
      <c r="AO66" s="782"/>
      <c r="AP66" s="782">
        <f t="shared" si="10"/>
        <v>0</v>
      </c>
      <c r="AQ66" s="2924"/>
      <c r="AR66" s="109"/>
      <c r="AS66" s="782"/>
      <c r="AT66" s="782">
        <f t="shared" si="11"/>
        <v>0</v>
      </c>
      <c r="AU66" s="2924"/>
      <c r="AV66" s="109"/>
      <c r="AW66" s="782"/>
      <c r="AX66" s="782">
        <f t="shared" si="12"/>
        <v>0</v>
      </c>
      <c r="AY66" s="2924"/>
      <c r="AZ66" s="109"/>
      <c r="BA66" s="575"/>
      <c r="BB66" s="575">
        <f t="shared" si="3"/>
        <v>0</v>
      </c>
      <c r="BC66" s="662"/>
      <c r="BD66" s="662">
        <f t="shared" si="13"/>
        <v>0</v>
      </c>
      <c r="BE66" s="782"/>
      <c r="BF66" s="782">
        <f t="shared" si="14"/>
        <v>0</v>
      </c>
      <c r="BG66" s="26"/>
      <c r="BH66" s="26"/>
      <c r="BI66" s="26"/>
      <c r="BJ66" s="26"/>
      <c r="BK66" s="26"/>
      <c r="BL66" s="26"/>
      <c r="BM66" s="26"/>
      <c r="BN66" s="26"/>
    </row>
    <row r="67" spans="1:66" ht="16.149999999999999" thickBot="1" x14ac:dyDescent="0.35">
      <c r="A67" s="149"/>
      <c r="B67" s="850" t="s">
        <v>52</v>
      </c>
      <c r="C67" s="2644" t="s">
        <v>970</v>
      </c>
      <c r="D67" s="2645" t="s">
        <v>50</v>
      </c>
      <c r="E67" s="2646"/>
      <c r="F67" s="2647"/>
      <c r="G67" s="2646"/>
      <c r="H67" s="2647"/>
      <c r="I67" s="2648"/>
      <c r="J67" s="43">
        <f t="shared" si="4"/>
        <v>0</v>
      </c>
      <c r="K67" s="2646"/>
      <c r="L67" s="2647"/>
      <c r="M67" s="2649"/>
      <c r="N67" s="618">
        <f t="shared" si="5"/>
        <v>0</v>
      </c>
      <c r="O67" s="2646"/>
      <c r="P67" s="2647"/>
      <c r="Q67" s="2648"/>
      <c r="R67" s="373">
        <f t="shared" si="6"/>
        <v>0</v>
      </c>
      <c r="S67" s="2646"/>
      <c r="T67" s="2647"/>
      <c r="U67" s="2648"/>
      <c r="V67" s="373">
        <f t="shared" si="7"/>
        <v>0</v>
      </c>
      <c r="W67" s="2646"/>
      <c r="X67" s="2647"/>
      <c r="Y67" s="2650"/>
      <c r="Z67" s="4336">
        <f t="shared" si="0"/>
        <v>0</v>
      </c>
      <c r="AA67" s="2651"/>
      <c r="AB67" s="4337">
        <f t="shared" si="1"/>
        <v>0</v>
      </c>
      <c r="AC67" s="2646"/>
      <c r="AD67" s="2647"/>
      <c r="AE67" s="2648"/>
      <c r="AF67" s="782">
        <f t="shared" si="8"/>
        <v>0</v>
      </c>
      <c r="AG67" s="2646"/>
      <c r="AH67" s="2647"/>
      <c r="AI67" s="2648"/>
      <c r="AJ67" s="782">
        <f t="shared" si="9"/>
        <v>0</v>
      </c>
      <c r="AK67" s="2646"/>
      <c r="AL67" s="2647"/>
      <c r="AM67" s="2650"/>
      <c r="AN67" s="575">
        <f t="shared" si="2"/>
        <v>0</v>
      </c>
      <c r="AO67" s="2648"/>
      <c r="AP67" s="782">
        <f t="shared" si="10"/>
        <v>0</v>
      </c>
      <c r="AQ67" s="2646"/>
      <c r="AR67" s="2647"/>
      <c r="AS67" s="2648"/>
      <c r="AT67" s="782">
        <f t="shared" si="11"/>
        <v>0</v>
      </c>
      <c r="AU67" s="2646"/>
      <c r="AV67" s="2647"/>
      <c r="AW67" s="2648"/>
      <c r="AX67" s="782">
        <f t="shared" si="12"/>
        <v>0</v>
      </c>
      <c r="AY67" s="2646"/>
      <c r="AZ67" s="2647"/>
      <c r="BA67" s="2650"/>
      <c r="BB67" s="575">
        <f t="shared" si="3"/>
        <v>0</v>
      </c>
      <c r="BC67" s="2651"/>
      <c r="BD67" s="662">
        <f t="shared" si="13"/>
        <v>0</v>
      </c>
      <c r="BE67" s="2648"/>
      <c r="BF67" s="782">
        <f t="shared" si="14"/>
        <v>0</v>
      </c>
      <c r="BG67" s="26"/>
      <c r="BH67" s="26"/>
      <c r="BI67" s="26"/>
      <c r="BJ67" s="26"/>
      <c r="BK67" s="26"/>
      <c r="BL67" s="26"/>
      <c r="BM67" s="26"/>
      <c r="BN67" s="26"/>
    </row>
    <row r="68" spans="1:66" ht="16.149999999999999" thickBot="1" x14ac:dyDescent="0.35">
      <c r="A68" s="149"/>
      <c r="B68" s="850" t="s">
        <v>52</v>
      </c>
      <c r="C68" s="2644" t="s">
        <v>972</v>
      </c>
      <c r="D68" s="2645" t="s">
        <v>50</v>
      </c>
      <c r="E68" s="2646"/>
      <c r="F68" s="2647"/>
      <c r="G68" s="2646"/>
      <c r="H68" s="2647"/>
      <c r="I68" s="2648"/>
      <c r="J68" s="43">
        <f t="shared" si="4"/>
        <v>0</v>
      </c>
      <c r="K68" s="2646"/>
      <c r="L68" s="2647"/>
      <c r="M68" s="781"/>
      <c r="N68" s="618">
        <f t="shared" si="5"/>
        <v>0</v>
      </c>
      <c r="O68" s="2646"/>
      <c r="P68" s="2647"/>
      <c r="Q68" s="782"/>
      <c r="R68" s="373">
        <f t="shared" si="6"/>
        <v>0</v>
      </c>
      <c r="S68" s="2646"/>
      <c r="T68" s="2647"/>
      <c r="U68" s="782"/>
      <c r="V68" s="373">
        <f t="shared" si="7"/>
        <v>0</v>
      </c>
      <c r="W68" s="2646"/>
      <c r="X68" s="2647"/>
      <c r="Y68" s="575"/>
      <c r="Z68" s="4336">
        <f t="shared" si="0"/>
        <v>0</v>
      </c>
      <c r="AA68" s="662"/>
      <c r="AB68" s="4337">
        <f t="shared" si="1"/>
        <v>0</v>
      </c>
      <c r="AC68" s="2646"/>
      <c r="AD68" s="2647"/>
      <c r="AE68" s="782"/>
      <c r="AF68" s="782">
        <f t="shared" si="8"/>
        <v>0</v>
      </c>
      <c r="AG68" s="2646"/>
      <c r="AH68" s="2647"/>
      <c r="AI68" s="782"/>
      <c r="AJ68" s="782">
        <f t="shared" si="9"/>
        <v>0</v>
      </c>
      <c r="AK68" s="2646"/>
      <c r="AL68" s="2647"/>
      <c r="AM68" s="575"/>
      <c r="AN68" s="575">
        <f t="shared" si="2"/>
        <v>0</v>
      </c>
      <c r="AO68" s="782"/>
      <c r="AP68" s="782">
        <f t="shared" si="10"/>
        <v>0</v>
      </c>
      <c r="AQ68" s="2646"/>
      <c r="AR68" s="2647"/>
      <c r="AS68" s="782"/>
      <c r="AT68" s="782">
        <f t="shared" si="11"/>
        <v>0</v>
      </c>
      <c r="AU68" s="2646"/>
      <c r="AV68" s="2647"/>
      <c r="AW68" s="782"/>
      <c r="AX68" s="782">
        <f t="shared" si="12"/>
        <v>0</v>
      </c>
      <c r="AY68" s="2646"/>
      <c r="AZ68" s="2647"/>
      <c r="BA68" s="575"/>
      <c r="BB68" s="575">
        <f t="shared" si="3"/>
        <v>0</v>
      </c>
      <c r="BC68" s="662"/>
      <c r="BD68" s="662">
        <f t="shared" si="13"/>
        <v>0</v>
      </c>
      <c r="BE68" s="782"/>
      <c r="BF68" s="782">
        <f t="shared" si="14"/>
        <v>0</v>
      </c>
      <c r="BG68" s="26"/>
      <c r="BH68" s="26"/>
      <c r="BI68" s="26"/>
      <c r="BJ68" s="26"/>
      <c r="BK68" s="26"/>
      <c r="BL68" s="26"/>
      <c r="BM68" s="26"/>
      <c r="BN68" s="26"/>
    </row>
    <row r="69" spans="1:66" ht="16.149999999999999" thickBot="1" x14ac:dyDescent="0.35">
      <c r="A69" s="149"/>
      <c r="B69" s="850" t="s">
        <v>52</v>
      </c>
      <c r="C69" s="2644" t="s">
        <v>1137</v>
      </c>
      <c r="D69" s="2645" t="s">
        <v>50</v>
      </c>
      <c r="E69" s="2646"/>
      <c r="F69" s="2647"/>
      <c r="G69" s="2646"/>
      <c r="H69" s="2647"/>
      <c r="I69" s="2648"/>
      <c r="J69" s="43">
        <f t="shared" si="4"/>
        <v>0</v>
      </c>
      <c r="K69" s="2646"/>
      <c r="L69" s="2647"/>
      <c r="M69" s="781"/>
      <c r="N69" s="618">
        <f t="shared" si="5"/>
        <v>0</v>
      </c>
      <c r="O69" s="2646"/>
      <c r="P69" s="2647"/>
      <c r="Q69" s="782"/>
      <c r="R69" s="373">
        <f t="shared" si="6"/>
        <v>0</v>
      </c>
      <c r="S69" s="2646"/>
      <c r="T69" s="2647">
        <f>1418.6-32.8</f>
        <v>1385.8</v>
      </c>
      <c r="U69" s="782"/>
      <c r="V69" s="373">
        <f t="shared" si="7"/>
        <v>1385.8</v>
      </c>
      <c r="W69" s="2646"/>
      <c r="X69" s="2647"/>
      <c r="Y69" s="575"/>
      <c r="Z69" s="4336">
        <f t="shared" si="0"/>
        <v>1385.8</v>
      </c>
      <c r="AA69" s="662"/>
      <c r="AB69" s="4337">
        <f t="shared" si="1"/>
        <v>1385.8</v>
      </c>
      <c r="AC69" s="2646"/>
      <c r="AD69" s="2647"/>
      <c r="AE69" s="782"/>
      <c r="AF69" s="782">
        <f t="shared" si="8"/>
        <v>1385.8</v>
      </c>
      <c r="AG69" s="2646"/>
      <c r="AH69" s="2647"/>
      <c r="AI69" s="782"/>
      <c r="AJ69" s="782">
        <f t="shared" si="9"/>
        <v>1385.8</v>
      </c>
      <c r="AK69" s="2646"/>
      <c r="AL69" s="2647"/>
      <c r="AM69" s="575"/>
      <c r="AN69" s="575">
        <f t="shared" si="2"/>
        <v>0</v>
      </c>
      <c r="AO69" s="782"/>
      <c r="AP69" s="782">
        <f t="shared" si="10"/>
        <v>1385.8</v>
      </c>
      <c r="AQ69" s="2646"/>
      <c r="AR69" s="2647"/>
      <c r="AS69" s="782"/>
      <c r="AT69" s="782">
        <f t="shared" si="11"/>
        <v>1385.8</v>
      </c>
      <c r="AU69" s="2646"/>
      <c r="AV69" s="2647"/>
      <c r="AW69" s="782"/>
      <c r="AX69" s="782">
        <f t="shared" si="12"/>
        <v>1385.8</v>
      </c>
      <c r="AY69" s="2646"/>
      <c r="AZ69" s="2647"/>
      <c r="BA69" s="575"/>
      <c r="BB69" s="575">
        <f t="shared" si="3"/>
        <v>0</v>
      </c>
      <c r="BC69" s="662"/>
      <c r="BD69" s="662">
        <f t="shared" si="13"/>
        <v>0</v>
      </c>
      <c r="BE69" s="782"/>
      <c r="BF69" s="782">
        <f t="shared" si="14"/>
        <v>1385.8</v>
      </c>
      <c r="BG69" s="26"/>
      <c r="BH69" s="26"/>
      <c r="BI69" s="26"/>
      <c r="BJ69" s="26"/>
      <c r="BK69" s="26"/>
      <c r="BL69" s="26"/>
      <c r="BM69" s="26"/>
      <c r="BN69" s="26"/>
    </row>
    <row r="70" spans="1:66" ht="16.149999999999999" thickBot="1" x14ac:dyDescent="0.35">
      <c r="A70" s="149"/>
      <c r="B70" s="850" t="s">
        <v>52</v>
      </c>
      <c r="C70" s="2644" t="s">
        <v>977</v>
      </c>
      <c r="D70" s="2645" t="s">
        <v>50</v>
      </c>
      <c r="E70" s="2646"/>
      <c r="F70" s="2647"/>
      <c r="G70" s="2646"/>
      <c r="H70" s="2647"/>
      <c r="I70" s="2648"/>
      <c r="J70" s="43">
        <f t="shared" si="4"/>
        <v>0</v>
      </c>
      <c r="K70" s="2646"/>
      <c r="L70" s="2647"/>
      <c r="M70" s="781"/>
      <c r="N70" s="618">
        <f t="shared" si="5"/>
        <v>0</v>
      </c>
      <c r="O70" s="2646"/>
      <c r="P70" s="2647"/>
      <c r="Q70" s="782"/>
      <c r="R70" s="373">
        <f t="shared" si="6"/>
        <v>0</v>
      </c>
      <c r="S70" s="2646"/>
      <c r="T70" s="2647"/>
      <c r="U70" s="782"/>
      <c r="V70" s="373">
        <f t="shared" si="7"/>
        <v>0</v>
      </c>
      <c r="W70" s="2646"/>
      <c r="X70" s="2647"/>
      <c r="Y70" s="575"/>
      <c r="Z70" s="4336">
        <f t="shared" si="0"/>
        <v>0</v>
      </c>
      <c r="AA70" s="662"/>
      <c r="AB70" s="4337">
        <f t="shared" si="1"/>
        <v>0</v>
      </c>
      <c r="AC70" s="2646"/>
      <c r="AD70" s="2647"/>
      <c r="AE70" s="782"/>
      <c r="AF70" s="782">
        <f t="shared" si="8"/>
        <v>0</v>
      </c>
      <c r="AG70" s="2646"/>
      <c r="AH70" s="2647"/>
      <c r="AI70" s="782"/>
      <c r="AJ70" s="782">
        <f t="shared" si="9"/>
        <v>0</v>
      </c>
      <c r="AK70" s="2646"/>
      <c r="AL70" s="2647"/>
      <c r="AM70" s="575"/>
      <c r="AN70" s="575">
        <f t="shared" si="2"/>
        <v>0</v>
      </c>
      <c r="AO70" s="782"/>
      <c r="AP70" s="782">
        <f t="shared" si="10"/>
        <v>0</v>
      </c>
      <c r="AQ70" s="2646"/>
      <c r="AR70" s="2647"/>
      <c r="AS70" s="782"/>
      <c r="AT70" s="782">
        <f t="shared" si="11"/>
        <v>0</v>
      </c>
      <c r="AU70" s="2646"/>
      <c r="AV70" s="2647"/>
      <c r="AW70" s="782"/>
      <c r="AX70" s="782">
        <f t="shared" si="12"/>
        <v>0</v>
      </c>
      <c r="AY70" s="2646"/>
      <c r="AZ70" s="2647"/>
      <c r="BA70" s="575"/>
      <c r="BB70" s="575">
        <f t="shared" si="3"/>
        <v>0</v>
      </c>
      <c r="BC70" s="662"/>
      <c r="BD70" s="662">
        <f t="shared" si="13"/>
        <v>0</v>
      </c>
      <c r="BE70" s="782"/>
      <c r="BF70" s="782">
        <f t="shared" si="14"/>
        <v>0</v>
      </c>
      <c r="BG70" s="26"/>
      <c r="BH70" s="26"/>
      <c r="BI70" s="26"/>
      <c r="BJ70" s="26"/>
      <c r="BK70" s="26"/>
      <c r="BL70" s="26"/>
      <c r="BM70" s="26"/>
      <c r="BN70" s="26"/>
    </row>
    <row r="71" spans="1:66" ht="16.149999999999999" thickBot="1" x14ac:dyDescent="0.35">
      <c r="A71" s="149"/>
      <c r="B71" s="850" t="s">
        <v>52</v>
      </c>
      <c r="C71" s="2644" t="s">
        <v>1141</v>
      </c>
      <c r="D71" s="2645" t="s">
        <v>50</v>
      </c>
      <c r="E71" s="2646"/>
      <c r="F71" s="2647"/>
      <c r="G71" s="2646"/>
      <c r="H71" s="2647"/>
      <c r="I71" s="2648"/>
      <c r="J71" s="43">
        <f t="shared" si="4"/>
        <v>0</v>
      </c>
      <c r="K71" s="2646"/>
      <c r="L71" s="2647"/>
      <c r="M71" s="781"/>
      <c r="N71" s="618">
        <f t="shared" si="5"/>
        <v>0</v>
      </c>
      <c r="O71" s="2646"/>
      <c r="P71" s="2647"/>
      <c r="Q71" s="782"/>
      <c r="R71" s="373">
        <f t="shared" si="6"/>
        <v>0</v>
      </c>
      <c r="S71" s="2646"/>
      <c r="T71" s="2647"/>
      <c r="U71" s="782"/>
      <c r="V71" s="373">
        <f t="shared" si="7"/>
        <v>0</v>
      </c>
      <c r="W71" s="2646"/>
      <c r="X71" s="2647"/>
      <c r="Y71" s="575"/>
      <c r="Z71" s="4336">
        <f t="shared" si="0"/>
        <v>0</v>
      </c>
      <c r="AA71" s="662"/>
      <c r="AB71" s="4337">
        <f t="shared" si="1"/>
        <v>0</v>
      </c>
      <c r="AC71" s="2646"/>
      <c r="AD71" s="2647"/>
      <c r="AE71" s="782"/>
      <c r="AF71" s="782">
        <f t="shared" si="8"/>
        <v>0</v>
      </c>
      <c r="AG71" s="2646"/>
      <c r="AH71" s="2647"/>
      <c r="AI71" s="782"/>
      <c r="AJ71" s="782">
        <f t="shared" si="9"/>
        <v>0</v>
      </c>
      <c r="AK71" s="2646"/>
      <c r="AL71" s="2647"/>
      <c r="AM71" s="575"/>
      <c r="AN71" s="575">
        <f t="shared" si="2"/>
        <v>0</v>
      </c>
      <c r="AO71" s="782"/>
      <c r="AP71" s="782">
        <f t="shared" si="10"/>
        <v>0</v>
      </c>
      <c r="AQ71" s="2646"/>
      <c r="AR71" s="2647"/>
      <c r="AS71" s="782"/>
      <c r="AT71" s="782">
        <f t="shared" si="11"/>
        <v>0</v>
      </c>
      <c r="AU71" s="2646"/>
      <c r="AV71" s="2647"/>
      <c r="AW71" s="782"/>
      <c r="AX71" s="782">
        <f t="shared" si="12"/>
        <v>0</v>
      </c>
      <c r="AY71" s="2646"/>
      <c r="AZ71" s="2647"/>
      <c r="BA71" s="575"/>
      <c r="BB71" s="575">
        <f t="shared" si="3"/>
        <v>0</v>
      </c>
      <c r="BC71" s="662"/>
      <c r="BD71" s="662">
        <f t="shared" si="13"/>
        <v>0</v>
      </c>
      <c r="BE71" s="782"/>
      <c r="BF71" s="782">
        <f t="shared" si="14"/>
        <v>0</v>
      </c>
      <c r="BG71" s="26"/>
      <c r="BH71" s="26"/>
      <c r="BI71" s="26"/>
      <c r="BJ71" s="26"/>
      <c r="BK71" s="26"/>
      <c r="BL71" s="26"/>
      <c r="BM71" s="26"/>
      <c r="BN71" s="26"/>
    </row>
    <row r="72" spans="1:66" ht="16.149999999999999" thickBot="1" x14ac:dyDescent="0.35">
      <c r="A72" s="149"/>
      <c r="B72" s="2919" t="s">
        <v>52</v>
      </c>
      <c r="C72" s="2920" t="s">
        <v>1464</v>
      </c>
      <c r="D72" s="2921" t="s">
        <v>50</v>
      </c>
      <c r="E72" s="2925"/>
      <c r="F72" s="109"/>
      <c r="G72" s="2925"/>
      <c r="H72" s="109"/>
      <c r="I72" s="589"/>
      <c r="J72" s="43">
        <f t="shared" ref="J72:J117" si="15">+F72+H72</f>
        <v>0</v>
      </c>
      <c r="K72" s="2925"/>
      <c r="L72" s="109"/>
      <c r="M72" s="781"/>
      <c r="N72" s="618">
        <f t="shared" ref="N72:N138" si="16">+F72+H72+L72</f>
        <v>0</v>
      </c>
      <c r="O72" s="2925"/>
      <c r="P72" s="109"/>
      <c r="Q72" s="782"/>
      <c r="R72" s="373">
        <f t="shared" ref="R72:R135" si="17">+N72+P72</f>
        <v>0</v>
      </c>
      <c r="S72" s="2925"/>
      <c r="T72" s="109"/>
      <c r="U72" s="782"/>
      <c r="V72" s="373">
        <f t="shared" ref="V72:V135" si="18">+R72+T72</f>
        <v>0</v>
      </c>
      <c r="W72" s="2925"/>
      <c r="X72" s="109"/>
      <c r="Y72" s="575"/>
      <c r="Z72" s="4336">
        <f t="shared" si="0"/>
        <v>0</v>
      </c>
      <c r="AA72" s="662"/>
      <c r="AB72" s="4337">
        <f t="shared" si="1"/>
        <v>0</v>
      </c>
      <c r="AC72" s="2925"/>
      <c r="AD72" s="109"/>
      <c r="AE72" s="782"/>
      <c r="AF72" s="782">
        <f t="shared" si="8"/>
        <v>0</v>
      </c>
      <c r="AG72" s="2925"/>
      <c r="AH72" s="109"/>
      <c r="AI72" s="782"/>
      <c r="AJ72" s="782">
        <f t="shared" si="9"/>
        <v>0</v>
      </c>
      <c r="AK72" s="2925"/>
      <c r="AL72" s="109"/>
      <c r="AM72" s="575"/>
      <c r="AN72" s="575">
        <f t="shared" si="2"/>
        <v>0</v>
      </c>
      <c r="AO72" s="782"/>
      <c r="AP72" s="782">
        <f t="shared" si="10"/>
        <v>0</v>
      </c>
      <c r="AQ72" s="2925"/>
      <c r="AR72" s="109"/>
      <c r="AS72" s="782"/>
      <c r="AT72" s="782">
        <f t="shared" si="11"/>
        <v>0</v>
      </c>
      <c r="AU72" s="2925"/>
      <c r="AV72" s="109"/>
      <c r="AW72" s="782"/>
      <c r="AX72" s="782">
        <f t="shared" si="12"/>
        <v>0</v>
      </c>
      <c r="AY72" s="2925"/>
      <c r="AZ72" s="109"/>
      <c r="BA72" s="575"/>
      <c r="BB72" s="575">
        <f t="shared" ref="BB72:BB116" si="19">AR72+AV72+AZ72</f>
        <v>0</v>
      </c>
      <c r="BC72" s="662"/>
      <c r="BD72" s="662">
        <f t="shared" si="13"/>
        <v>0</v>
      </c>
      <c r="BE72" s="782"/>
      <c r="BF72" s="782">
        <f t="shared" si="14"/>
        <v>0</v>
      </c>
      <c r="BG72" s="26"/>
      <c r="BH72" s="26"/>
      <c r="BI72" s="26"/>
      <c r="BJ72" s="26"/>
      <c r="BK72" s="26"/>
      <c r="BL72" s="26"/>
      <c r="BM72" s="26"/>
      <c r="BN72" s="26"/>
    </row>
    <row r="73" spans="1:66" ht="16.149999999999999" thickBot="1" x14ac:dyDescent="0.35">
      <c r="B73" s="2915" t="s">
        <v>868</v>
      </c>
      <c r="C73" s="2916" t="s">
        <v>1137</v>
      </c>
      <c r="D73" s="2917" t="s">
        <v>50</v>
      </c>
      <c r="E73" s="2926"/>
      <c r="F73" s="158">
        <v>145.55000000000001</v>
      </c>
      <c r="G73" s="2926"/>
      <c r="H73" s="158">
        <v>516.6</v>
      </c>
      <c r="I73" s="2927"/>
      <c r="J73" s="43">
        <f t="shared" si="15"/>
        <v>662.15000000000009</v>
      </c>
      <c r="K73" s="2926"/>
      <c r="L73" s="158"/>
      <c r="M73" s="902"/>
      <c r="N73" s="618">
        <f t="shared" si="16"/>
        <v>662.15000000000009</v>
      </c>
      <c r="O73" s="2926"/>
      <c r="P73" s="158"/>
      <c r="Q73" s="852"/>
      <c r="R73" s="373">
        <f t="shared" si="17"/>
        <v>662.15000000000009</v>
      </c>
      <c r="S73" s="2926"/>
      <c r="T73" s="158">
        <v>1004.5</v>
      </c>
      <c r="U73" s="852"/>
      <c r="V73" s="373">
        <f t="shared" si="18"/>
        <v>1666.65</v>
      </c>
      <c r="W73" s="2926"/>
      <c r="X73" s="158">
        <v>1217.6999999999998</v>
      </c>
      <c r="Y73" s="575"/>
      <c r="Z73" s="4336">
        <f t="shared" si="0"/>
        <v>2222.1999999999998</v>
      </c>
      <c r="AA73" s="662"/>
      <c r="AB73" s="4337">
        <f t="shared" si="1"/>
        <v>2884.35</v>
      </c>
      <c r="AC73" s="2926"/>
      <c r="AD73" s="158"/>
      <c r="AE73" s="852"/>
      <c r="AF73" s="782">
        <f t="shared" si="8"/>
        <v>2884.35</v>
      </c>
      <c r="AG73" s="2926"/>
      <c r="AH73" s="158"/>
      <c r="AI73" s="852"/>
      <c r="AJ73" s="782">
        <f t="shared" si="9"/>
        <v>2884.35</v>
      </c>
      <c r="AK73" s="2926"/>
      <c r="AL73" s="158"/>
      <c r="AM73" s="575"/>
      <c r="AN73" s="575">
        <f t="shared" ref="AN73:AN142" si="20">AD73+AH73+AL73</f>
        <v>0</v>
      </c>
      <c r="AO73" s="782"/>
      <c r="AP73" s="782">
        <f t="shared" si="10"/>
        <v>2884.35</v>
      </c>
      <c r="AQ73" s="2926"/>
      <c r="AR73" s="158">
        <f>246-4.1</f>
        <v>241.9</v>
      </c>
      <c r="AS73" s="852"/>
      <c r="AT73" s="782">
        <f t="shared" si="11"/>
        <v>3126.25</v>
      </c>
      <c r="AU73" s="2926"/>
      <c r="AV73" s="158"/>
      <c r="AW73" s="852"/>
      <c r="AX73" s="782">
        <f t="shared" si="12"/>
        <v>3126.25</v>
      </c>
      <c r="AY73" s="2926"/>
      <c r="AZ73" s="158">
        <v>469.44999999999993</v>
      </c>
      <c r="BA73" s="575"/>
      <c r="BB73" s="575">
        <f t="shared" si="19"/>
        <v>711.34999999999991</v>
      </c>
      <c r="BC73" s="662"/>
      <c r="BD73" s="662">
        <f t="shared" ref="BD73:BD140" si="21">AN73+BB73</f>
        <v>711.34999999999991</v>
      </c>
      <c r="BE73" s="782"/>
      <c r="BF73" s="782">
        <f t="shared" ref="BF73:BF117" si="22">+AX73+AZ73</f>
        <v>3595.7</v>
      </c>
      <c r="BG73" s="26"/>
      <c r="BH73" s="26"/>
      <c r="BI73" s="26"/>
      <c r="BJ73" s="26"/>
      <c r="BK73" s="26"/>
      <c r="BL73" s="26"/>
      <c r="BM73" s="26"/>
      <c r="BN73" s="26"/>
    </row>
    <row r="74" spans="1:66" ht="16.149999999999999" thickBot="1" x14ac:dyDescent="0.35">
      <c r="B74" s="850" t="s">
        <v>868</v>
      </c>
      <c r="C74" s="2644" t="s">
        <v>977</v>
      </c>
      <c r="D74" s="2645" t="s">
        <v>50</v>
      </c>
      <c r="E74" s="853"/>
      <c r="F74" s="2647">
        <f>307.5-6.15</f>
        <v>301.35000000000002</v>
      </c>
      <c r="G74" s="853"/>
      <c r="H74" s="2647">
        <v>506.35</v>
      </c>
      <c r="I74" s="2928"/>
      <c r="J74" s="43">
        <f t="shared" si="15"/>
        <v>807.7</v>
      </c>
      <c r="K74" s="853"/>
      <c r="L74" s="2647"/>
      <c r="M74" s="902"/>
      <c r="N74" s="618">
        <f t="shared" si="16"/>
        <v>807.7</v>
      </c>
      <c r="O74" s="853"/>
      <c r="P74" s="2647"/>
      <c r="Q74" s="852"/>
      <c r="R74" s="373">
        <f t="shared" si="17"/>
        <v>807.7</v>
      </c>
      <c r="S74" s="853"/>
      <c r="T74" s="2647">
        <v>205</v>
      </c>
      <c r="U74" s="852"/>
      <c r="V74" s="373">
        <f t="shared" si="18"/>
        <v>1012.7</v>
      </c>
      <c r="W74" s="853"/>
      <c r="X74" s="2647">
        <v>205.00000000000003</v>
      </c>
      <c r="Y74" s="575"/>
      <c r="Z74" s="4336">
        <f t="shared" si="0"/>
        <v>410</v>
      </c>
      <c r="AA74" s="662"/>
      <c r="AB74" s="4337">
        <f t="shared" si="1"/>
        <v>1217.7</v>
      </c>
      <c r="AC74" s="853"/>
      <c r="AD74" s="2647"/>
      <c r="AE74" s="852"/>
      <c r="AF74" s="782">
        <f t="shared" ref="AF74:AF78" si="23">+AB74+AD74</f>
        <v>1217.7</v>
      </c>
      <c r="AG74" s="853"/>
      <c r="AH74" s="2647"/>
      <c r="AI74" s="852"/>
      <c r="AJ74" s="782">
        <f t="shared" ref="AJ74:AJ122" si="24">+AF74+AH74</f>
        <v>1217.7</v>
      </c>
      <c r="AK74" s="853"/>
      <c r="AL74" s="2647"/>
      <c r="AM74" s="575"/>
      <c r="AN74" s="575">
        <f t="shared" si="20"/>
        <v>0</v>
      </c>
      <c r="AO74" s="782"/>
      <c r="AP74" s="782">
        <f t="shared" ref="AP74:AP143" si="25">AJ74+AL74</f>
        <v>1217.7</v>
      </c>
      <c r="AQ74" s="853"/>
      <c r="AR74" s="2647">
        <v>227.55</v>
      </c>
      <c r="AS74" s="852"/>
      <c r="AT74" s="782">
        <f t="shared" ref="AT74:AT122" si="26">+AP74+AR74</f>
        <v>1445.25</v>
      </c>
      <c r="AU74" s="853"/>
      <c r="AV74" s="2647"/>
      <c r="AW74" s="852"/>
      <c r="AX74" s="782">
        <f t="shared" ref="AX74:AX141" si="27">+AT74+AV74</f>
        <v>1445.25</v>
      </c>
      <c r="AY74" s="853"/>
      <c r="AZ74" s="2647">
        <v>680.6</v>
      </c>
      <c r="BA74" s="575"/>
      <c r="BB74" s="575">
        <f t="shared" si="19"/>
        <v>908.15000000000009</v>
      </c>
      <c r="BC74" s="662"/>
      <c r="BD74" s="662">
        <f t="shared" si="21"/>
        <v>908.15000000000009</v>
      </c>
      <c r="BE74" s="782"/>
      <c r="BF74" s="782">
        <f t="shared" si="22"/>
        <v>2125.85</v>
      </c>
      <c r="BG74" s="26"/>
      <c r="BH74" s="26"/>
      <c r="BI74" s="26"/>
      <c r="BJ74" s="26"/>
      <c r="BK74" s="26"/>
      <c r="BL74" s="26"/>
      <c r="BM74" s="26"/>
      <c r="BN74" s="26"/>
    </row>
    <row r="75" spans="1:66" ht="16.149999999999999" thickBot="1" x14ac:dyDescent="0.35">
      <c r="B75" s="850" t="s">
        <v>868</v>
      </c>
      <c r="C75" s="2644" t="s">
        <v>1038</v>
      </c>
      <c r="D75" s="2645" t="s">
        <v>50</v>
      </c>
      <c r="E75" s="4727"/>
      <c r="F75" s="4690">
        <v>410.00000000000006</v>
      </c>
      <c r="G75" s="4727"/>
      <c r="H75" s="4690"/>
      <c r="I75" s="4728"/>
      <c r="J75" s="43">
        <f t="shared" si="15"/>
        <v>410.00000000000006</v>
      </c>
      <c r="K75" s="4727"/>
      <c r="L75" s="4690"/>
      <c r="M75" s="4729"/>
      <c r="N75" s="618">
        <f t="shared" si="16"/>
        <v>410.00000000000006</v>
      </c>
      <c r="O75" s="4727"/>
      <c r="P75" s="4690"/>
      <c r="Q75" s="4728"/>
      <c r="R75" s="373">
        <f t="shared" si="17"/>
        <v>410.00000000000006</v>
      </c>
      <c r="S75" s="4727"/>
      <c r="T75" s="4690"/>
      <c r="U75" s="4728"/>
      <c r="V75" s="373">
        <f t="shared" si="18"/>
        <v>410.00000000000006</v>
      </c>
      <c r="W75" s="4727"/>
      <c r="X75" s="4690">
        <v>309.54999999999995</v>
      </c>
      <c r="Y75" s="4730"/>
      <c r="Z75" s="4336">
        <f t="shared" si="0"/>
        <v>309.54999999999995</v>
      </c>
      <c r="AA75" s="4731"/>
      <c r="AB75" s="4337">
        <f t="shared" si="1"/>
        <v>719.55</v>
      </c>
      <c r="AC75" s="4727"/>
      <c r="AD75" s="4690"/>
      <c r="AE75" s="4728"/>
      <c r="AF75" s="4692"/>
      <c r="AG75" s="4727"/>
      <c r="AH75" s="4690"/>
      <c r="AI75" s="4728"/>
      <c r="AJ75" s="4692"/>
      <c r="AK75" s="4727"/>
      <c r="AL75" s="4690"/>
      <c r="AM75" s="4730"/>
      <c r="AN75" s="4730"/>
      <c r="AO75" s="4692"/>
      <c r="AP75" s="4692"/>
      <c r="AQ75" s="4727"/>
      <c r="AR75" s="4690">
        <v>135.30000000000001</v>
      </c>
      <c r="AS75" s="4728"/>
      <c r="AT75" s="782">
        <f t="shared" si="26"/>
        <v>135.30000000000001</v>
      </c>
      <c r="AU75" s="4727"/>
      <c r="AV75" s="4690"/>
      <c r="AW75" s="4728"/>
      <c r="AX75" s="782">
        <f t="shared" si="27"/>
        <v>135.30000000000001</v>
      </c>
      <c r="AY75" s="4727"/>
      <c r="AZ75" s="4690"/>
      <c r="BA75" s="4730"/>
      <c r="BB75" s="575">
        <f t="shared" si="19"/>
        <v>135.30000000000001</v>
      </c>
      <c r="BC75" s="4731"/>
      <c r="BD75" s="662">
        <f t="shared" si="21"/>
        <v>135.30000000000001</v>
      </c>
      <c r="BE75" s="4692"/>
      <c r="BF75" s="782">
        <f t="shared" si="22"/>
        <v>135.30000000000001</v>
      </c>
      <c r="BG75" s="26"/>
      <c r="BH75" s="26"/>
      <c r="BI75" s="26"/>
      <c r="BJ75" s="26"/>
      <c r="BK75" s="26"/>
      <c r="BL75" s="26"/>
      <c r="BM75" s="26"/>
      <c r="BN75" s="26"/>
    </row>
    <row r="76" spans="1:66" ht="16.149999999999999" thickBot="1" x14ac:dyDescent="0.35">
      <c r="B76" s="850" t="s">
        <v>868</v>
      </c>
      <c r="C76" s="2644" t="s">
        <v>975</v>
      </c>
      <c r="D76" s="2645" t="s">
        <v>50</v>
      </c>
      <c r="E76" s="853"/>
      <c r="F76" s="2647"/>
      <c r="G76" s="853"/>
      <c r="H76" s="2647"/>
      <c r="I76" s="2928"/>
      <c r="J76" s="43">
        <f t="shared" si="15"/>
        <v>0</v>
      </c>
      <c r="K76" s="853"/>
      <c r="L76" s="2647"/>
      <c r="M76" s="902"/>
      <c r="N76" s="618">
        <f t="shared" si="16"/>
        <v>0</v>
      </c>
      <c r="O76" s="853"/>
      <c r="P76" s="2647"/>
      <c r="Q76" s="852"/>
      <c r="R76" s="373">
        <f t="shared" si="17"/>
        <v>0</v>
      </c>
      <c r="S76" s="853"/>
      <c r="T76" s="2647"/>
      <c r="U76" s="852"/>
      <c r="V76" s="373">
        <f t="shared" si="18"/>
        <v>0</v>
      </c>
      <c r="W76" s="853"/>
      <c r="X76" s="2647"/>
      <c r="Y76" s="575"/>
      <c r="Z76" s="4336">
        <f t="shared" si="0"/>
        <v>0</v>
      </c>
      <c r="AA76" s="662"/>
      <c r="AB76" s="4337">
        <f t="shared" si="1"/>
        <v>0</v>
      </c>
      <c r="AC76" s="853"/>
      <c r="AD76" s="2647"/>
      <c r="AE76" s="852"/>
      <c r="AF76" s="782">
        <f t="shared" si="23"/>
        <v>0</v>
      </c>
      <c r="AG76" s="853"/>
      <c r="AH76" s="2647"/>
      <c r="AI76" s="852"/>
      <c r="AJ76" s="782">
        <f t="shared" si="24"/>
        <v>0</v>
      </c>
      <c r="AK76" s="853"/>
      <c r="AL76" s="2647"/>
      <c r="AM76" s="575"/>
      <c r="AN76" s="575">
        <f t="shared" si="20"/>
        <v>0</v>
      </c>
      <c r="AO76" s="782"/>
      <c r="AP76" s="782">
        <f t="shared" si="25"/>
        <v>0</v>
      </c>
      <c r="AQ76" s="853"/>
      <c r="AR76" s="2647"/>
      <c r="AS76" s="852"/>
      <c r="AT76" s="782">
        <f t="shared" si="26"/>
        <v>0</v>
      </c>
      <c r="AU76" s="853"/>
      <c r="AV76" s="2647"/>
      <c r="AW76" s="852"/>
      <c r="AX76" s="782">
        <f t="shared" si="27"/>
        <v>0</v>
      </c>
      <c r="AY76" s="853"/>
      <c r="AZ76" s="2647"/>
      <c r="BA76" s="575"/>
      <c r="BB76" s="575">
        <f t="shared" si="19"/>
        <v>0</v>
      </c>
      <c r="BC76" s="662"/>
      <c r="BD76" s="662">
        <f t="shared" si="21"/>
        <v>0</v>
      </c>
      <c r="BE76" s="782"/>
      <c r="BF76" s="782">
        <f t="shared" si="22"/>
        <v>0</v>
      </c>
      <c r="BG76" s="26"/>
      <c r="BH76" s="26"/>
      <c r="BI76" s="26"/>
      <c r="BJ76" s="26"/>
      <c r="BK76" s="26"/>
      <c r="BL76" s="26"/>
      <c r="BM76" s="26"/>
      <c r="BN76" s="26"/>
    </row>
    <row r="77" spans="1:66" ht="16.149999999999999" thickBot="1" x14ac:dyDescent="0.35">
      <c r="B77" s="850" t="s">
        <v>868</v>
      </c>
      <c r="C77" s="2644" t="s">
        <v>1140</v>
      </c>
      <c r="D77" s="2645" t="s">
        <v>50</v>
      </c>
      <c r="E77" s="853"/>
      <c r="F77" s="2647"/>
      <c r="G77" s="853"/>
      <c r="H77" s="2647"/>
      <c r="I77" s="2928"/>
      <c r="J77" s="43">
        <f t="shared" si="15"/>
        <v>0</v>
      </c>
      <c r="K77" s="853"/>
      <c r="L77" s="2647"/>
      <c r="M77" s="902"/>
      <c r="N77" s="618">
        <f t="shared" si="16"/>
        <v>0</v>
      </c>
      <c r="O77" s="853"/>
      <c r="P77" s="2647"/>
      <c r="Q77" s="852"/>
      <c r="R77" s="373">
        <f t="shared" si="17"/>
        <v>0</v>
      </c>
      <c r="S77" s="853"/>
      <c r="T77" s="2647"/>
      <c r="U77" s="852"/>
      <c r="V77" s="373">
        <f t="shared" si="18"/>
        <v>0</v>
      </c>
      <c r="W77" s="853"/>
      <c r="X77" s="2647"/>
      <c r="Y77" s="575"/>
      <c r="Z77" s="4336">
        <f t="shared" ref="Z77:Z140" si="28">P77+T77+X77</f>
        <v>0</v>
      </c>
      <c r="AA77" s="662"/>
      <c r="AB77" s="4337">
        <f t="shared" ref="AB77:AB140" si="29">N77+Z77</f>
        <v>0</v>
      </c>
      <c r="AC77" s="853"/>
      <c r="AD77" s="2647"/>
      <c r="AE77" s="852"/>
      <c r="AF77" s="782">
        <f t="shared" si="23"/>
        <v>0</v>
      </c>
      <c r="AG77" s="853"/>
      <c r="AH77" s="2647"/>
      <c r="AI77" s="852"/>
      <c r="AJ77" s="782">
        <f t="shared" si="24"/>
        <v>0</v>
      </c>
      <c r="AK77" s="853"/>
      <c r="AL77" s="2647"/>
      <c r="AM77" s="575"/>
      <c r="AN77" s="575">
        <f t="shared" si="20"/>
        <v>0</v>
      </c>
      <c r="AO77" s="782"/>
      <c r="AP77" s="782">
        <f t="shared" si="25"/>
        <v>0</v>
      </c>
      <c r="AQ77" s="853"/>
      <c r="AR77" s="2647"/>
      <c r="AS77" s="852"/>
      <c r="AT77" s="782">
        <f t="shared" si="26"/>
        <v>0</v>
      </c>
      <c r="AU77" s="853"/>
      <c r="AV77" s="2647"/>
      <c r="AW77" s="852"/>
      <c r="AX77" s="782">
        <f t="shared" si="27"/>
        <v>0</v>
      </c>
      <c r="AY77" s="853"/>
      <c r="AZ77" s="2647"/>
      <c r="BA77" s="575"/>
      <c r="BB77" s="575">
        <f t="shared" si="19"/>
        <v>0</v>
      </c>
      <c r="BC77" s="662"/>
      <c r="BD77" s="662">
        <f t="shared" si="21"/>
        <v>0</v>
      </c>
      <c r="BE77" s="782"/>
      <c r="BF77" s="782">
        <f t="shared" si="22"/>
        <v>0</v>
      </c>
      <c r="BG77" s="26"/>
      <c r="BH77" s="26"/>
      <c r="BI77" s="26"/>
      <c r="BJ77" s="26"/>
      <c r="BK77" s="26"/>
      <c r="BL77" s="26"/>
      <c r="BM77" s="26"/>
      <c r="BN77" s="26"/>
    </row>
    <row r="78" spans="1:66" ht="16.149999999999999" thickBot="1" x14ac:dyDescent="0.35">
      <c r="B78" s="850" t="s">
        <v>868</v>
      </c>
      <c r="C78" s="2644" t="s">
        <v>1464</v>
      </c>
      <c r="D78" s="2645" t="s">
        <v>50</v>
      </c>
      <c r="E78" s="853"/>
      <c r="F78" s="2647">
        <v>67.650000000000006</v>
      </c>
      <c r="G78" s="853"/>
      <c r="H78" s="2647"/>
      <c r="I78" s="2928"/>
      <c r="J78" s="43">
        <f t="shared" si="15"/>
        <v>67.650000000000006</v>
      </c>
      <c r="K78" s="853"/>
      <c r="L78" s="2647"/>
      <c r="M78" s="2896"/>
      <c r="N78" s="618">
        <f t="shared" si="16"/>
        <v>67.650000000000006</v>
      </c>
      <c r="O78" s="853"/>
      <c r="P78" s="2647"/>
      <c r="Q78" s="2928"/>
      <c r="R78" s="373">
        <f t="shared" si="17"/>
        <v>67.650000000000006</v>
      </c>
      <c r="S78" s="853"/>
      <c r="T78" s="2647"/>
      <c r="U78" s="2928"/>
      <c r="V78" s="373">
        <f t="shared" si="18"/>
        <v>67.650000000000006</v>
      </c>
      <c r="W78" s="853"/>
      <c r="X78" s="2647"/>
      <c r="Y78" s="2650"/>
      <c r="Z78" s="4336">
        <f t="shared" si="28"/>
        <v>0</v>
      </c>
      <c r="AA78" s="2651"/>
      <c r="AB78" s="4337">
        <f t="shared" si="29"/>
        <v>67.650000000000006</v>
      </c>
      <c r="AC78" s="853"/>
      <c r="AD78" s="2647"/>
      <c r="AE78" s="2928"/>
      <c r="AF78" s="782">
        <f t="shared" si="23"/>
        <v>67.650000000000006</v>
      </c>
      <c r="AG78" s="853"/>
      <c r="AH78" s="2647"/>
      <c r="AI78" s="2928"/>
      <c r="AJ78" s="782">
        <f t="shared" si="24"/>
        <v>67.650000000000006</v>
      </c>
      <c r="AK78" s="853"/>
      <c r="AL78" s="2647"/>
      <c r="AM78" s="2650"/>
      <c r="AN78" s="575">
        <f t="shared" si="20"/>
        <v>0</v>
      </c>
      <c r="AO78" s="2648"/>
      <c r="AP78" s="782">
        <f t="shared" si="25"/>
        <v>67.650000000000006</v>
      </c>
      <c r="AQ78" s="853"/>
      <c r="AR78" s="2647">
        <v>202.95</v>
      </c>
      <c r="AS78" s="2928"/>
      <c r="AT78" s="782">
        <f t="shared" si="26"/>
        <v>270.60000000000002</v>
      </c>
      <c r="AU78" s="853"/>
      <c r="AV78" s="2647"/>
      <c r="AW78" s="2928"/>
      <c r="AX78" s="782">
        <f t="shared" si="27"/>
        <v>270.60000000000002</v>
      </c>
      <c r="AY78" s="853"/>
      <c r="AZ78" s="2647">
        <v>381.3</v>
      </c>
      <c r="BA78" s="2650"/>
      <c r="BB78" s="575">
        <f t="shared" si="19"/>
        <v>584.25</v>
      </c>
      <c r="BC78" s="2651"/>
      <c r="BD78" s="662">
        <f t="shared" si="21"/>
        <v>584.25</v>
      </c>
      <c r="BE78" s="2648"/>
      <c r="BF78" s="782">
        <f t="shared" si="22"/>
        <v>651.90000000000009</v>
      </c>
      <c r="BG78" s="26"/>
      <c r="BH78" s="26"/>
      <c r="BI78" s="26"/>
      <c r="BJ78" s="26"/>
      <c r="BK78" s="26"/>
      <c r="BL78" s="26"/>
      <c r="BM78" s="26"/>
      <c r="BN78" s="26"/>
    </row>
    <row r="79" spans="1:66" ht="16.149999999999999" thickBot="1" x14ac:dyDescent="0.35">
      <c r="B79" s="850" t="s">
        <v>868</v>
      </c>
      <c r="C79" s="2644" t="s">
        <v>1944</v>
      </c>
      <c r="D79" s="2645" t="s">
        <v>50</v>
      </c>
      <c r="E79" s="853"/>
      <c r="F79" s="2647">
        <v>514.54999999999995</v>
      </c>
      <c r="G79" s="853"/>
      <c r="H79" s="2647"/>
      <c r="I79" s="2928"/>
      <c r="J79" s="43">
        <f t="shared" si="15"/>
        <v>514.54999999999995</v>
      </c>
      <c r="K79" s="853"/>
      <c r="L79" s="2647"/>
      <c r="M79" s="2896"/>
      <c r="N79" s="618">
        <f t="shared" si="16"/>
        <v>514.54999999999995</v>
      </c>
      <c r="O79" s="853"/>
      <c r="P79" s="2647"/>
      <c r="Q79" s="2928"/>
      <c r="R79" s="373">
        <f t="shared" si="17"/>
        <v>514.54999999999995</v>
      </c>
      <c r="S79" s="853"/>
      <c r="T79" s="2647"/>
      <c r="U79" s="2928"/>
      <c r="V79" s="373">
        <f t="shared" si="18"/>
        <v>514.54999999999995</v>
      </c>
      <c r="W79" s="853"/>
      <c r="X79" s="2647"/>
      <c r="Y79" s="2650"/>
      <c r="Z79" s="4336">
        <f t="shared" si="28"/>
        <v>0</v>
      </c>
      <c r="AA79" s="2651"/>
      <c r="AB79" s="4337">
        <f t="shared" si="29"/>
        <v>514.54999999999995</v>
      </c>
      <c r="AC79" s="853"/>
      <c r="AD79" s="2647"/>
      <c r="AE79" s="2928"/>
      <c r="AF79" s="782">
        <f t="shared" ref="AF79:AF149" si="30">+AB79+AD79</f>
        <v>514.54999999999995</v>
      </c>
      <c r="AG79" s="853"/>
      <c r="AH79" s="2647"/>
      <c r="AI79" s="2928"/>
      <c r="AJ79" s="782">
        <f t="shared" si="24"/>
        <v>514.54999999999995</v>
      </c>
      <c r="AK79" s="853"/>
      <c r="AL79" s="2647"/>
      <c r="AM79" s="2650"/>
      <c r="AN79" s="575">
        <f t="shared" si="20"/>
        <v>0</v>
      </c>
      <c r="AO79" s="2648"/>
      <c r="AP79" s="782">
        <f t="shared" si="25"/>
        <v>514.54999999999995</v>
      </c>
      <c r="AQ79" s="853"/>
      <c r="AR79" s="2647">
        <v>678.55000000000007</v>
      </c>
      <c r="AS79" s="2928"/>
      <c r="AT79" s="782">
        <f t="shared" si="26"/>
        <v>1193.0999999999999</v>
      </c>
      <c r="AU79" s="853"/>
      <c r="AV79" s="2647"/>
      <c r="AW79" s="2928"/>
      <c r="AX79" s="782">
        <f t="shared" si="27"/>
        <v>1193.0999999999999</v>
      </c>
      <c r="AY79" s="853"/>
      <c r="AZ79" s="2647"/>
      <c r="BA79" s="2650"/>
      <c r="BB79" s="575">
        <f t="shared" si="19"/>
        <v>678.55000000000007</v>
      </c>
      <c r="BC79" s="2651"/>
      <c r="BD79" s="662">
        <f t="shared" si="21"/>
        <v>678.55000000000007</v>
      </c>
      <c r="BE79" s="2648"/>
      <c r="BF79" s="782">
        <f t="shared" si="22"/>
        <v>1193.0999999999999</v>
      </c>
      <c r="BG79" s="26"/>
      <c r="BH79" s="26"/>
      <c r="BI79" s="26"/>
      <c r="BJ79" s="26"/>
      <c r="BK79" s="26"/>
      <c r="BL79" s="26"/>
      <c r="BM79" s="26"/>
      <c r="BN79" s="26"/>
    </row>
    <row r="80" spans="1:66" ht="16.149999999999999" thickBot="1" x14ac:dyDescent="0.35">
      <c r="B80" s="850" t="s">
        <v>868</v>
      </c>
      <c r="C80" s="2644" t="s">
        <v>1524</v>
      </c>
      <c r="D80" s="2645" t="s">
        <v>50</v>
      </c>
      <c r="E80" s="853"/>
      <c r="F80" s="2647"/>
      <c r="G80" s="853"/>
      <c r="H80" s="2647"/>
      <c r="I80" s="2928"/>
      <c r="J80" s="43">
        <f t="shared" si="15"/>
        <v>0</v>
      </c>
      <c r="K80" s="853"/>
      <c r="L80" s="2647"/>
      <c r="M80" s="902"/>
      <c r="N80" s="618">
        <f t="shared" si="16"/>
        <v>0</v>
      </c>
      <c r="O80" s="853"/>
      <c r="P80" s="2647"/>
      <c r="Q80" s="852"/>
      <c r="R80" s="373">
        <f t="shared" si="17"/>
        <v>0</v>
      </c>
      <c r="S80" s="853"/>
      <c r="T80" s="2647"/>
      <c r="U80" s="852"/>
      <c r="V80" s="373">
        <f t="shared" si="18"/>
        <v>0</v>
      </c>
      <c r="W80" s="853"/>
      <c r="X80" s="2647"/>
      <c r="Y80" s="575"/>
      <c r="Z80" s="4336">
        <f t="shared" si="28"/>
        <v>0</v>
      </c>
      <c r="AA80" s="662"/>
      <c r="AB80" s="4337">
        <f t="shared" si="29"/>
        <v>0</v>
      </c>
      <c r="AC80" s="853"/>
      <c r="AD80" s="2647"/>
      <c r="AE80" s="852"/>
      <c r="AF80" s="782">
        <f t="shared" si="30"/>
        <v>0</v>
      </c>
      <c r="AG80" s="853"/>
      <c r="AH80" s="2647"/>
      <c r="AI80" s="852"/>
      <c r="AJ80" s="782">
        <f t="shared" si="24"/>
        <v>0</v>
      </c>
      <c r="AK80" s="853"/>
      <c r="AL80" s="2647"/>
      <c r="AM80" s="575"/>
      <c r="AN80" s="575">
        <f t="shared" si="20"/>
        <v>0</v>
      </c>
      <c r="AO80" s="782"/>
      <c r="AP80" s="782">
        <f t="shared" si="25"/>
        <v>0</v>
      </c>
      <c r="AQ80" s="853"/>
      <c r="AR80" s="2647"/>
      <c r="AS80" s="852"/>
      <c r="AT80" s="782">
        <f t="shared" si="26"/>
        <v>0</v>
      </c>
      <c r="AU80" s="853"/>
      <c r="AV80" s="2647"/>
      <c r="AW80" s="852"/>
      <c r="AX80" s="782">
        <f t="shared" si="27"/>
        <v>0</v>
      </c>
      <c r="AY80" s="853"/>
      <c r="AZ80" s="2647"/>
      <c r="BA80" s="575"/>
      <c r="BB80" s="575">
        <f t="shared" si="19"/>
        <v>0</v>
      </c>
      <c r="BC80" s="662"/>
      <c r="BD80" s="662">
        <f t="shared" si="21"/>
        <v>0</v>
      </c>
      <c r="BE80" s="782"/>
      <c r="BF80" s="782">
        <f t="shared" si="22"/>
        <v>0</v>
      </c>
      <c r="BG80" s="26"/>
      <c r="BH80" s="26"/>
      <c r="BI80" s="26"/>
      <c r="BJ80" s="26"/>
      <c r="BK80" s="26"/>
      <c r="BL80" s="26"/>
      <c r="BM80" s="26"/>
      <c r="BN80" s="26"/>
    </row>
    <row r="81" spans="2:66" ht="16.149999999999999" thickBot="1" x14ac:dyDescent="0.35">
      <c r="B81" s="4060" t="s">
        <v>868</v>
      </c>
      <c r="C81" s="4061" t="s">
        <v>1466</v>
      </c>
      <c r="D81" s="3204" t="s">
        <v>50</v>
      </c>
      <c r="E81" s="4062"/>
      <c r="F81" s="4310">
        <v>141.45000000000002</v>
      </c>
      <c r="G81" s="4062"/>
      <c r="H81" s="4310"/>
      <c r="I81" s="4323"/>
      <c r="J81" s="43">
        <f t="shared" si="15"/>
        <v>141.45000000000002</v>
      </c>
      <c r="K81" s="4062"/>
      <c r="L81" s="4310"/>
      <c r="M81" s="4324"/>
      <c r="N81" s="618">
        <f t="shared" si="16"/>
        <v>141.45000000000002</v>
      </c>
      <c r="O81" s="4062"/>
      <c r="P81" s="4310"/>
      <c r="Q81" s="4323"/>
      <c r="R81" s="373">
        <f t="shared" si="17"/>
        <v>141.45000000000002</v>
      </c>
      <c r="S81" s="4062"/>
      <c r="T81" s="4310"/>
      <c r="U81" s="4323"/>
      <c r="V81" s="373">
        <f t="shared" si="18"/>
        <v>141.45000000000002</v>
      </c>
      <c r="W81" s="4062"/>
      <c r="X81" s="4310"/>
      <c r="Y81" s="4327"/>
      <c r="Z81" s="4336">
        <f t="shared" si="28"/>
        <v>0</v>
      </c>
      <c r="AA81" s="4328"/>
      <c r="AB81" s="4337">
        <f t="shared" si="29"/>
        <v>141.45000000000002</v>
      </c>
      <c r="AC81" s="4062"/>
      <c r="AD81" s="4310"/>
      <c r="AE81" s="4323"/>
      <c r="AF81" s="4326">
        <f t="shared" si="30"/>
        <v>141.45000000000002</v>
      </c>
      <c r="AG81" s="4062"/>
      <c r="AH81" s="4310"/>
      <c r="AI81" s="4323"/>
      <c r="AJ81" s="4326">
        <f t="shared" si="24"/>
        <v>141.45000000000002</v>
      </c>
      <c r="AK81" s="4062"/>
      <c r="AL81" s="4310"/>
      <c r="AM81" s="575"/>
      <c r="AN81" s="575">
        <f t="shared" si="20"/>
        <v>0</v>
      </c>
      <c r="AO81" s="782"/>
      <c r="AP81" s="782">
        <f t="shared" si="25"/>
        <v>141.45000000000002</v>
      </c>
      <c r="AQ81" s="4062"/>
      <c r="AR81" s="4310">
        <v>205</v>
      </c>
      <c r="AS81" s="852"/>
      <c r="AT81" s="782">
        <f t="shared" si="26"/>
        <v>346.45000000000005</v>
      </c>
      <c r="AU81" s="4062"/>
      <c r="AV81" s="4310"/>
      <c r="AW81" s="852"/>
      <c r="AX81" s="782">
        <f t="shared" si="27"/>
        <v>346.45000000000005</v>
      </c>
      <c r="AY81" s="4062"/>
      <c r="AZ81" s="4310">
        <v>397.7</v>
      </c>
      <c r="BA81" s="575"/>
      <c r="BB81" s="575">
        <f t="shared" si="19"/>
        <v>602.70000000000005</v>
      </c>
      <c r="BC81" s="662"/>
      <c r="BD81" s="662">
        <f t="shared" si="21"/>
        <v>602.70000000000005</v>
      </c>
      <c r="BE81" s="782"/>
      <c r="BF81" s="782">
        <f t="shared" si="22"/>
        <v>744.15000000000009</v>
      </c>
      <c r="BG81" s="26"/>
      <c r="BH81" s="26"/>
      <c r="BI81" s="26"/>
      <c r="BJ81" s="26"/>
      <c r="BK81" s="26"/>
      <c r="BL81" s="26"/>
      <c r="BM81" s="26"/>
      <c r="BN81" s="26"/>
    </row>
    <row r="82" spans="2:66" ht="16.149999999999999" thickBot="1" x14ac:dyDescent="0.35">
      <c r="B82" s="2915" t="s">
        <v>1961</v>
      </c>
      <c r="C82" s="3615" t="s">
        <v>1137</v>
      </c>
      <c r="D82" s="4340" t="s">
        <v>50</v>
      </c>
      <c r="E82" s="3595"/>
      <c r="F82" s="158">
        <v>94.3</v>
      </c>
      <c r="G82" s="3595"/>
      <c r="H82" s="158"/>
      <c r="I82" s="2927"/>
      <c r="J82" s="43">
        <f t="shared" si="15"/>
        <v>94.3</v>
      </c>
      <c r="K82" s="3595"/>
      <c r="L82" s="158"/>
      <c r="M82" s="3596"/>
      <c r="N82" s="618">
        <f t="shared" si="16"/>
        <v>94.3</v>
      </c>
      <c r="O82" s="3595"/>
      <c r="P82" s="158"/>
      <c r="Q82" s="2927"/>
      <c r="R82" s="373">
        <f t="shared" si="17"/>
        <v>94.3</v>
      </c>
      <c r="S82" s="3595"/>
      <c r="T82" s="158">
        <f>1125.45-20.5-14.35</f>
        <v>1090.6000000000001</v>
      </c>
      <c r="U82" s="2927"/>
      <c r="V82" s="373">
        <f t="shared" si="18"/>
        <v>1184.9000000000001</v>
      </c>
      <c r="W82" s="3595"/>
      <c r="X82" s="158"/>
      <c r="Y82" s="4336"/>
      <c r="Z82" s="4336">
        <f t="shared" si="28"/>
        <v>1090.6000000000001</v>
      </c>
      <c r="AA82" s="4337"/>
      <c r="AB82" s="4337">
        <f t="shared" si="29"/>
        <v>1184.9000000000001</v>
      </c>
      <c r="AC82" s="3595"/>
      <c r="AD82" s="158">
        <f>7.17-6.15</f>
        <v>1.0199999999999996</v>
      </c>
      <c r="AE82" s="2927"/>
      <c r="AF82" s="572">
        <f t="shared" si="30"/>
        <v>1185.92</v>
      </c>
      <c r="AG82" s="3595"/>
      <c r="AH82" s="158"/>
      <c r="AI82" s="2927"/>
      <c r="AJ82" s="572">
        <f t="shared" si="24"/>
        <v>1185.92</v>
      </c>
      <c r="AK82" s="3595"/>
      <c r="AL82" s="158"/>
      <c r="AM82" s="4317"/>
      <c r="AN82" s="575">
        <f t="shared" si="20"/>
        <v>1.0199999999999996</v>
      </c>
      <c r="AO82" s="4206"/>
      <c r="AP82" s="782">
        <f t="shared" si="25"/>
        <v>1185.92</v>
      </c>
      <c r="AQ82" s="3595"/>
      <c r="AR82" s="158"/>
      <c r="AS82" s="4322"/>
      <c r="AT82" s="782">
        <f t="shared" si="26"/>
        <v>1185.92</v>
      </c>
      <c r="AU82" s="3595"/>
      <c r="AV82" s="158"/>
      <c r="AW82" s="4322"/>
      <c r="AX82" s="782">
        <f t="shared" si="27"/>
        <v>1185.92</v>
      </c>
      <c r="AY82" s="3595"/>
      <c r="AZ82" s="158"/>
      <c r="BA82" s="4317"/>
      <c r="BB82" s="575">
        <f t="shared" si="19"/>
        <v>0</v>
      </c>
      <c r="BC82" s="4318"/>
      <c r="BD82" s="662">
        <f t="shared" si="21"/>
        <v>1.0199999999999996</v>
      </c>
      <c r="BE82" s="4206"/>
      <c r="BF82" s="782">
        <f t="shared" si="22"/>
        <v>1185.92</v>
      </c>
      <c r="BG82" s="26"/>
      <c r="BH82" s="26"/>
      <c r="BI82" s="26"/>
      <c r="BJ82" s="26"/>
      <c r="BK82" s="26"/>
      <c r="BL82" s="26"/>
      <c r="BM82" s="26"/>
      <c r="BN82" s="26"/>
    </row>
    <row r="83" spans="2:66" ht="16.149999999999999" thickBot="1" x14ac:dyDescent="0.35">
      <c r="B83" s="2915" t="s">
        <v>1961</v>
      </c>
      <c r="C83" s="2644" t="s">
        <v>1038</v>
      </c>
      <c r="D83" s="4340" t="s">
        <v>50</v>
      </c>
      <c r="E83" s="3600"/>
      <c r="F83" s="1202"/>
      <c r="G83" s="3600"/>
      <c r="H83" s="1202"/>
      <c r="I83" s="3601"/>
      <c r="J83" s="43">
        <f t="shared" si="15"/>
        <v>0</v>
      </c>
      <c r="K83" s="3600"/>
      <c r="L83" s="1202"/>
      <c r="M83" s="3602"/>
      <c r="N83" s="618">
        <f t="shared" si="16"/>
        <v>0</v>
      </c>
      <c r="O83" s="3600"/>
      <c r="P83" s="1202"/>
      <c r="Q83" s="3601"/>
      <c r="R83" s="373">
        <f t="shared" si="17"/>
        <v>0</v>
      </c>
      <c r="S83" s="3600"/>
      <c r="T83" s="1202"/>
      <c r="U83" s="3601"/>
      <c r="V83" s="373">
        <f t="shared" si="18"/>
        <v>0</v>
      </c>
      <c r="W83" s="3600"/>
      <c r="X83" s="1202"/>
      <c r="Y83" s="4332"/>
      <c r="Z83" s="4336">
        <f t="shared" si="28"/>
        <v>0</v>
      </c>
      <c r="AA83" s="4333"/>
      <c r="AB83" s="4337">
        <f t="shared" si="29"/>
        <v>0</v>
      </c>
      <c r="AC83" s="3600"/>
      <c r="AD83" s="1202"/>
      <c r="AE83" s="3601"/>
      <c r="AF83" s="572"/>
      <c r="AG83" s="3600"/>
      <c r="AH83" s="1202"/>
      <c r="AI83" s="3601"/>
      <c r="AJ83" s="572"/>
      <c r="AK83" s="3600"/>
      <c r="AL83" s="1202"/>
      <c r="AM83" s="4730"/>
      <c r="AN83" s="4730"/>
      <c r="AO83" s="4692"/>
      <c r="AP83" s="4692"/>
      <c r="AQ83" s="3600"/>
      <c r="AR83" s="1202">
        <f>41-2.05</f>
        <v>38.950000000000003</v>
      </c>
      <c r="AS83" s="4728"/>
      <c r="AT83" s="782">
        <f t="shared" si="26"/>
        <v>38.950000000000003</v>
      </c>
      <c r="AU83" s="3600"/>
      <c r="AV83" s="1202"/>
      <c r="AW83" s="4728"/>
      <c r="AX83" s="782">
        <f t="shared" si="27"/>
        <v>38.950000000000003</v>
      </c>
      <c r="AY83" s="3600"/>
      <c r="AZ83" s="1202">
        <v>6.15</v>
      </c>
      <c r="BA83" s="4730"/>
      <c r="BB83" s="575">
        <f t="shared" si="19"/>
        <v>45.1</v>
      </c>
      <c r="BC83" s="4731"/>
      <c r="BD83" s="662">
        <f t="shared" si="21"/>
        <v>45.1</v>
      </c>
      <c r="BE83" s="4692"/>
      <c r="BF83" s="782">
        <f t="shared" si="22"/>
        <v>45.1</v>
      </c>
      <c r="BG83" s="26"/>
      <c r="BH83" s="26"/>
      <c r="BI83" s="26"/>
      <c r="BJ83" s="26"/>
      <c r="BK83" s="26"/>
      <c r="BL83" s="26"/>
      <c r="BM83" s="26"/>
      <c r="BN83" s="26"/>
    </row>
    <row r="84" spans="2:66" ht="16.149999999999999" thickBot="1" x14ac:dyDescent="0.35">
      <c r="B84" s="4329" t="s">
        <v>1961</v>
      </c>
      <c r="C84" s="4960" t="s">
        <v>977</v>
      </c>
      <c r="D84" s="5392" t="s">
        <v>50</v>
      </c>
      <c r="E84" s="3600"/>
      <c r="F84" s="1202"/>
      <c r="G84" s="3600"/>
      <c r="H84" s="1202">
        <f>30.75-2.05</f>
        <v>28.7</v>
      </c>
      <c r="I84" s="3601"/>
      <c r="J84" s="43">
        <f t="shared" si="15"/>
        <v>28.7</v>
      </c>
      <c r="K84" s="3600"/>
      <c r="L84" s="1202"/>
      <c r="M84" s="3602"/>
      <c r="N84" s="618">
        <f t="shared" si="16"/>
        <v>28.7</v>
      </c>
      <c r="O84" s="3600"/>
      <c r="P84" s="1202"/>
      <c r="Q84" s="3601"/>
      <c r="R84" s="373">
        <f t="shared" si="17"/>
        <v>28.7</v>
      </c>
      <c r="S84" s="3600"/>
      <c r="T84" s="1202"/>
      <c r="U84" s="3601"/>
      <c r="V84" s="373">
        <f t="shared" si="18"/>
        <v>28.7</v>
      </c>
      <c r="W84" s="3600"/>
      <c r="X84" s="1202"/>
      <c r="Y84" s="4332"/>
      <c r="Z84" s="4336">
        <f t="shared" si="28"/>
        <v>0</v>
      </c>
      <c r="AA84" s="4333"/>
      <c r="AB84" s="4337">
        <f t="shared" si="29"/>
        <v>28.7</v>
      </c>
      <c r="AC84" s="3600"/>
      <c r="AD84" s="1202"/>
      <c r="AE84" s="3601"/>
      <c r="AF84" s="572"/>
      <c r="AG84" s="3600"/>
      <c r="AH84" s="1202"/>
      <c r="AI84" s="3601"/>
      <c r="AJ84" s="572"/>
      <c r="AK84" s="3600"/>
      <c r="AL84" s="1202"/>
      <c r="AM84" s="5393"/>
      <c r="AN84" s="5393"/>
      <c r="AO84" s="5394"/>
      <c r="AP84" s="5394"/>
      <c r="AQ84" s="3600"/>
      <c r="AR84" s="1202"/>
      <c r="AS84" s="5395"/>
      <c r="AT84" s="5394"/>
      <c r="AU84" s="3600"/>
      <c r="AV84" s="1202"/>
      <c r="AW84" s="5395"/>
      <c r="AX84" s="5394"/>
      <c r="AY84" s="3600"/>
      <c r="AZ84" s="1202"/>
      <c r="BA84" s="5393"/>
      <c r="BB84" s="5393"/>
      <c r="BC84" s="5396"/>
      <c r="BD84" s="5396"/>
      <c r="BE84" s="5394"/>
      <c r="BF84" s="5394"/>
      <c r="BG84" s="26"/>
      <c r="BH84" s="26"/>
      <c r="BI84" s="26"/>
      <c r="BJ84" s="26"/>
      <c r="BK84" s="26"/>
      <c r="BL84" s="26"/>
      <c r="BM84" s="26"/>
      <c r="BN84" s="26"/>
    </row>
    <row r="85" spans="2:66" ht="16.149999999999999" thickBot="1" x14ac:dyDescent="0.35">
      <c r="B85" s="850" t="s">
        <v>1961</v>
      </c>
      <c r="C85" s="4334" t="s">
        <v>1962</v>
      </c>
      <c r="D85" s="3204" t="s">
        <v>50</v>
      </c>
      <c r="E85" s="4335"/>
      <c r="F85" s="4312"/>
      <c r="G85" s="4335"/>
      <c r="H85" s="4312"/>
      <c r="I85" s="4322"/>
      <c r="J85" s="43">
        <f t="shared" si="15"/>
        <v>0</v>
      </c>
      <c r="K85" s="4335"/>
      <c r="L85" s="4312">
        <v>79.95</v>
      </c>
      <c r="M85" s="4315"/>
      <c r="N85" s="618">
        <f t="shared" si="16"/>
        <v>79.95</v>
      </c>
      <c r="O85" s="4335"/>
      <c r="P85" s="4312"/>
      <c r="Q85" s="4322"/>
      <c r="R85" s="373">
        <f t="shared" si="17"/>
        <v>79.95</v>
      </c>
      <c r="S85" s="4335"/>
      <c r="T85" s="4312"/>
      <c r="U85" s="4322"/>
      <c r="V85" s="373">
        <f t="shared" si="18"/>
        <v>79.95</v>
      </c>
      <c r="W85" s="4335"/>
      <c r="X85" s="4312"/>
      <c r="Y85" s="4317"/>
      <c r="Z85" s="4336">
        <f t="shared" si="28"/>
        <v>0</v>
      </c>
      <c r="AA85" s="4318"/>
      <c r="AB85" s="4337">
        <f t="shared" si="29"/>
        <v>79.95</v>
      </c>
      <c r="AC85" s="4335"/>
      <c r="AD85" s="4312">
        <v>131.19999999999999</v>
      </c>
      <c r="AE85" s="4322"/>
      <c r="AF85" s="572">
        <f t="shared" si="30"/>
        <v>211.14999999999998</v>
      </c>
      <c r="AG85" s="4335"/>
      <c r="AH85" s="4312"/>
      <c r="AI85" s="4322"/>
      <c r="AJ85" s="572">
        <f t="shared" si="24"/>
        <v>211.14999999999998</v>
      </c>
      <c r="AK85" s="4335"/>
      <c r="AL85" s="4312"/>
      <c r="AM85" s="4317"/>
      <c r="AN85" s="575">
        <f t="shared" si="20"/>
        <v>131.19999999999999</v>
      </c>
      <c r="AO85" s="4206"/>
      <c r="AP85" s="782">
        <f t="shared" si="25"/>
        <v>211.14999999999998</v>
      </c>
      <c r="AQ85" s="4335"/>
      <c r="AR85" s="4312">
        <v>403.85</v>
      </c>
      <c r="AS85" s="4322"/>
      <c r="AT85" s="782">
        <f t="shared" si="26"/>
        <v>615</v>
      </c>
      <c r="AU85" s="4335"/>
      <c r="AV85" s="4312"/>
      <c r="AW85" s="4322"/>
      <c r="AX85" s="782">
        <f t="shared" si="27"/>
        <v>615</v>
      </c>
      <c r="AY85" s="4335"/>
      <c r="AZ85" s="4312"/>
      <c r="BA85" s="4317"/>
      <c r="BB85" s="575">
        <f t="shared" si="19"/>
        <v>403.85</v>
      </c>
      <c r="BC85" s="4318"/>
      <c r="BD85" s="662">
        <f t="shared" si="21"/>
        <v>535.04999999999995</v>
      </c>
      <c r="BE85" s="4206"/>
      <c r="BF85" s="782">
        <f t="shared" si="22"/>
        <v>615</v>
      </c>
      <c r="BG85" s="26"/>
      <c r="BH85" s="26"/>
      <c r="BI85" s="26"/>
      <c r="BJ85" s="26"/>
      <c r="BK85" s="26"/>
      <c r="BL85" s="26"/>
      <c r="BM85" s="26"/>
      <c r="BN85" s="26"/>
    </row>
    <row r="86" spans="2:66" ht="16.149999999999999" thickBot="1" x14ac:dyDescent="0.35">
      <c r="B86" s="2919" t="s">
        <v>1961</v>
      </c>
      <c r="C86" s="3619" t="s">
        <v>1963</v>
      </c>
      <c r="D86" s="2921" t="s">
        <v>50</v>
      </c>
      <c r="E86" s="3592"/>
      <c r="F86" s="109">
        <v>498.15000000000003</v>
      </c>
      <c r="G86" s="3592"/>
      <c r="H86" s="109">
        <v>590.4</v>
      </c>
      <c r="I86" s="2930"/>
      <c r="J86" s="43">
        <f t="shared" si="15"/>
        <v>1088.55</v>
      </c>
      <c r="K86" s="3592"/>
      <c r="L86" s="109">
        <v>434.6</v>
      </c>
      <c r="M86" s="3593"/>
      <c r="N86" s="618">
        <f t="shared" si="16"/>
        <v>1523.15</v>
      </c>
      <c r="O86" s="3592"/>
      <c r="P86" s="109"/>
      <c r="Q86" s="2930"/>
      <c r="R86" s="373">
        <f t="shared" si="17"/>
        <v>1523.15</v>
      </c>
      <c r="S86" s="3592"/>
      <c r="T86" s="109"/>
      <c r="U86" s="2930"/>
      <c r="V86" s="373">
        <f t="shared" si="18"/>
        <v>1523.15</v>
      </c>
      <c r="W86" s="3592"/>
      <c r="X86" s="109"/>
      <c r="Y86" s="4338"/>
      <c r="Z86" s="4336">
        <f t="shared" si="28"/>
        <v>0</v>
      </c>
      <c r="AA86" s="4339"/>
      <c r="AB86" s="4337">
        <f t="shared" si="29"/>
        <v>1523.15</v>
      </c>
      <c r="AC86" s="3592"/>
      <c r="AD86" s="109">
        <v>67.650000000000006</v>
      </c>
      <c r="AE86" s="2930"/>
      <c r="AF86" s="572">
        <f t="shared" si="30"/>
        <v>1590.8000000000002</v>
      </c>
      <c r="AG86" s="3592"/>
      <c r="AH86" s="109"/>
      <c r="AI86" s="2930"/>
      <c r="AJ86" s="572">
        <f t="shared" si="24"/>
        <v>1590.8000000000002</v>
      </c>
      <c r="AK86" s="3592"/>
      <c r="AL86" s="109"/>
      <c r="AM86" s="4317"/>
      <c r="AN86" s="575">
        <f t="shared" si="20"/>
        <v>67.650000000000006</v>
      </c>
      <c r="AO86" s="4206"/>
      <c r="AP86" s="782">
        <f t="shared" si="25"/>
        <v>1590.8000000000002</v>
      </c>
      <c r="AQ86" s="3592"/>
      <c r="AR86" s="109"/>
      <c r="AS86" s="4322"/>
      <c r="AT86" s="782">
        <f t="shared" si="26"/>
        <v>1590.8000000000002</v>
      </c>
      <c r="AU86" s="3592"/>
      <c r="AV86" s="109"/>
      <c r="AW86" s="4322"/>
      <c r="AX86" s="782">
        <f t="shared" si="27"/>
        <v>1590.8000000000002</v>
      </c>
      <c r="AY86" s="3592"/>
      <c r="AZ86" s="109">
        <v>446.89999999999992</v>
      </c>
      <c r="BA86" s="4317"/>
      <c r="BB86" s="575">
        <f t="shared" si="19"/>
        <v>446.89999999999992</v>
      </c>
      <c r="BC86" s="4318"/>
      <c r="BD86" s="662">
        <f t="shared" si="21"/>
        <v>514.54999999999995</v>
      </c>
      <c r="BE86" s="4206"/>
      <c r="BF86" s="782">
        <f t="shared" si="22"/>
        <v>2037.7</v>
      </c>
      <c r="BG86" s="26"/>
      <c r="BH86" s="26"/>
      <c r="BI86" s="26"/>
      <c r="BJ86" s="26"/>
      <c r="BK86" s="26"/>
      <c r="BL86" s="26"/>
      <c r="BM86" s="26"/>
      <c r="BN86" s="26"/>
    </row>
    <row r="87" spans="2:66" ht="16.149999999999999" thickBot="1" x14ac:dyDescent="0.35">
      <c r="B87" s="4329" t="s">
        <v>1046</v>
      </c>
      <c r="C87" s="4330" t="s">
        <v>1137</v>
      </c>
      <c r="D87" s="49" t="s">
        <v>50</v>
      </c>
      <c r="E87" s="4331"/>
      <c r="F87" s="1202"/>
      <c r="G87" s="4331"/>
      <c r="H87" s="1202">
        <v>266.5</v>
      </c>
      <c r="I87" s="3601"/>
      <c r="J87" s="43">
        <f t="shared" si="15"/>
        <v>266.5</v>
      </c>
      <c r="K87" s="4331"/>
      <c r="L87" s="1202"/>
      <c r="M87" s="3602"/>
      <c r="N87" s="618">
        <f t="shared" si="16"/>
        <v>266.5</v>
      </c>
      <c r="O87" s="4331"/>
      <c r="P87" s="1202">
        <f>1184.9-2.05</f>
        <v>1182.8500000000001</v>
      </c>
      <c r="Q87" s="3601"/>
      <c r="R87" s="373">
        <f t="shared" si="17"/>
        <v>1449.3500000000001</v>
      </c>
      <c r="S87" s="4331"/>
      <c r="T87" s="1202"/>
      <c r="U87" s="3601"/>
      <c r="V87" s="373">
        <f t="shared" si="18"/>
        <v>1449.3500000000001</v>
      </c>
      <c r="W87" s="4331"/>
      <c r="X87" s="1202">
        <v>1215.6500000000001</v>
      </c>
      <c r="Y87" s="4332"/>
      <c r="Z87" s="4336">
        <f t="shared" si="28"/>
        <v>2398.5</v>
      </c>
      <c r="AA87" s="4333"/>
      <c r="AB87" s="4337">
        <f t="shared" si="29"/>
        <v>2665</v>
      </c>
      <c r="AC87" s="4331"/>
      <c r="AD87" s="1202">
        <v>305.45</v>
      </c>
      <c r="AE87" s="3601"/>
      <c r="AF87" s="572">
        <f t="shared" si="30"/>
        <v>2970.45</v>
      </c>
      <c r="AG87" s="4331"/>
      <c r="AH87" s="1202"/>
      <c r="AI87" s="3601"/>
      <c r="AJ87" s="572">
        <f t="shared" si="24"/>
        <v>2970.45</v>
      </c>
      <c r="AK87" s="4331"/>
      <c r="AL87" s="1202"/>
      <c r="AM87" s="575"/>
      <c r="AN87" s="575">
        <f t="shared" si="20"/>
        <v>305.45</v>
      </c>
      <c r="AO87" s="782"/>
      <c r="AP87" s="782">
        <f t="shared" si="25"/>
        <v>2970.45</v>
      </c>
      <c r="AQ87" s="4331"/>
      <c r="AR87" s="1202">
        <v>420.25</v>
      </c>
      <c r="AS87" s="852"/>
      <c r="AT87" s="782">
        <f t="shared" si="26"/>
        <v>3390.7</v>
      </c>
      <c r="AU87" s="4331"/>
      <c r="AV87" s="1202"/>
      <c r="AW87" s="852"/>
      <c r="AX87" s="782">
        <f t="shared" si="27"/>
        <v>3390.7</v>
      </c>
      <c r="AY87" s="4331"/>
      <c r="AZ87" s="1202"/>
      <c r="BA87" s="575"/>
      <c r="BB87" s="575">
        <f t="shared" si="19"/>
        <v>420.25</v>
      </c>
      <c r="BC87" s="662"/>
      <c r="BD87" s="662">
        <f t="shared" si="21"/>
        <v>725.7</v>
      </c>
      <c r="BE87" s="782"/>
      <c r="BF87" s="782">
        <f t="shared" si="22"/>
        <v>3390.7</v>
      </c>
      <c r="BG87" s="26"/>
      <c r="BH87" s="26"/>
      <c r="BI87" s="26"/>
      <c r="BJ87" s="26"/>
      <c r="BK87" s="26"/>
      <c r="BL87" s="26"/>
      <c r="BM87" s="26"/>
      <c r="BN87" s="26"/>
    </row>
    <row r="88" spans="2:66" ht="16.149999999999999" thickBot="1" x14ac:dyDescent="0.35">
      <c r="B88" s="850" t="s">
        <v>867</v>
      </c>
      <c r="C88" s="2644" t="s">
        <v>977</v>
      </c>
      <c r="D88" s="2645" t="s">
        <v>50</v>
      </c>
      <c r="E88" s="853"/>
      <c r="F88" s="2647"/>
      <c r="G88" s="853"/>
      <c r="H88" s="2647">
        <f>811.8-2.05</f>
        <v>809.75</v>
      </c>
      <c r="I88" s="2928"/>
      <c r="J88" s="43">
        <f t="shared" si="15"/>
        <v>809.75</v>
      </c>
      <c r="K88" s="853"/>
      <c r="L88" s="2647"/>
      <c r="M88" s="902"/>
      <c r="N88" s="618">
        <f t="shared" si="16"/>
        <v>809.75</v>
      </c>
      <c r="O88" s="853"/>
      <c r="P88" s="2647">
        <v>1385.7999999999993</v>
      </c>
      <c r="Q88" s="852"/>
      <c r="R88" s="373">
        <f t="shared" si="17"/>
        <v>2195.5499999999993</v>
      </c>
      <c r="S88" s="853"/>
      <c r="T88" s="2647"/>
      <c r="U88" s="852"/>
      <c r="V88" s="373">
        <f t="shared" si="18"/>
        <v>2195.5499999999993</v>
      </c>
      <c r="W88" s="853"/>
      <c r="X88" s="2647">
        <v>196.79999999999998</v>
      </c>
      <c r="Y88" s="575"/>
      <c r="Z88" s="4336">
        <f t="shared" si="28"/>
        <v>1582.5999999999992</v>
      </c>
      <c r="AA88" s="662"/>
      <c r="AB88" s="4337">
        <f t="shared" si="29"/>
        <v>2392.3499999999995</v>
      </c>
      <c r="AC88" s="853"/>
      <c r="AD88" s="2647">
        <f>1189-43.05</f>
        <v>1145.95</v>
      </c>
      <c r="AE88" s="852"/>
      <c r="AF88" s="782">
        <f t="shared" si="30"/>
        <v>3538.2999999999993</v>
      </c>
      <c r="AG88" s="853"/>
      <c r="AH88" s="2647"/>
      <c r="AI88" s="852"/>
      <c r="AJ88" s="782">
        <f t="shared" si="24"/>
        <v>3538.2999999999993</v>
      </c>
      <c r="AK88" s="853"/>
      <c r="AL88" s="2647"/>
      <c r="AM88" s="575"/>
      <c r="AN88" s="575">
        <f t="shared" si="20"/>
        <v>1145.95</v>
      </c>
      <c r="AO88" s="782"/>
      <c r="AP88" s="782">
        <f t="shared" si="25"/>
        <v>3538.2999999999993</v>
      </c>
      <c r="AQ88" s="853"/>
      <c r="AR88" s="2647">
        <v>1098.8000000000002</v>
      </c>
      <c r="AS88" s="852"/>
      <c r="AT88" s="782">
        <f t="shared" si="26"/>
        <v>4637.0999999999995</v>
      </c>
      <c r="AU88" s="853"/>
      <c r="AV88" s="2647"/>
      <c r="AW88" s="852"/>
      <c r="AX88" s="782">
        <f t="shared" si="27"/>
        <v>4637.0999999999995</v>
      </c>
      <c r="AY88" s="853"/>
      <c r="AZ88" s="2647"/>
      <c r="BA88" s="575"/>
      <c r="BB88" s="575">
        <f t="shared" si="19"/>
        <v>1098.8000000000002</v>
      </c>
      <c r="BC88" s="662"/>
      <c r="BD88" s="662">
        <f t="shared" si="21"/>
        <v>2244.75</v>
      </c>
      <c r="BE88" s="782"/>
      <c r="BF88" s="782">
        <f t="shared" si="22"/>
        <v>4637.0999999999995</v>
      </c>
      <c r="BG88" s="26"/>
      <c r="BH88" s="26"/>
      <c r="BI88" s="26"/>
      <c r="BJ88" s="26"/>
      <c r="BK88" s="26"/>
      <c r="BL88" s="26"/>
      <c r="BM88" s="26"/>
      <c r="BN88" s="26"/>
    </row>
    <row r="89" spans="2:66" ht="15" customHeight="1" thickBot="1" x14ac:dyDescent="0.35">
      <c r="B89" s="850" t="s">
        <v>1046</v>
      </c>
      <c r="C89" s="2644" t="s">
        <v>1038</v>
      </c>
      <c r="D89" s="2645" t="s">
        <v>50</v>
      </c>
      <c r="E89" s="853"/>
      <c r="F89" s="2647"/>
      <c r="G89" s="853"/>
      <c r="H89" s="2647"/>
      <c r="I89" s="2928"/>
      <c r="J89" s="43">
        <f t="shared" si="15"/>
        <v>0</v>
      </c>
      <c r="K89" s="853"/>
      <c r="L89" s="2647"/>
      <c r="M89" s="902"/>
      <c r="N89" s="618">
        <f t="shared" si="16"/>
        <v>0</v>
      </c>
      <c r="O89" s="853"/>
      <c r="P89" s="2647"/>
      <c r="Q89" s="852"/>
      <c r="R89" s="373">
        <f t="shared" si="17"/>
        <v>0</v>
      </c>
      <c r="S89" s="853"/>
      <c r="T89" s="2647"/>
      <c r="U89" s="852"/>
      <c r="V89" s="373">
        <f t="shared" si="18"/>
        <v>0</v>
      </c>
      <c r="W89" s="853"/>
      <c r="X89" s="2647">
        <v>405.9</v>
      </c>
      <c r="Y89" s="575"/>
      <c r="Z89" s="4336">
        <f t="shared" si="28"/>
        <v>405.9</v>
      </c>
      <c r="AA89" s="662"/>
      <c r="AB89" s="4337">
        <f t="shared" si="29"/>
        <v>405.9</v>
      </c>
      <c r="AC89" s="853"/>
      <c r="AD89" s="2647"/>
      <c r="AE89" s="852"/>
      <c r="AF89" s="782">
        <f t="shared" si="30"/>
        <v>405.9</v>
      </c>
      <c r="AG89" s="853"/>
      <c r="AH89" s="2647"/>
      <c r="AI89" s="852"/>
      <c r="AJ89" s="782">
        <f t="shared" si="24"/>
        <v>405.9</v>
      </c>
      <c r="AK89" s="853"/>
      <c r="AL89" s="2647"/>
      <c r="AM89" s="575"/>
      <c r="AN89" s="575">
        <f t="shared" si="20"/>
        <v>0</v>
      </c>
      <c r="AO89" s="782"/>
      <c r="AP89" s="782">
        <f t="shared" si="25"/>
        <v>405.9</v>
      </c>
      <c r="AQ89" s="853"/>
      <c r="AR89" s="2647"/>
      <c r="AS89" s="852"/>
      <c r="AT89" s="782">
        <f t="shared" si="26"/>
        <v>405.9</v>
      </c>
      <c r="AU89" s="853"/>
      <c r="AV89" s="2647"/>
      <c r="AW89" s="852"/>
      <c r="AX89" s="782">
        <f t="shared" si="27"/>
        <v>405.9</v>
      </c>
      <c r="AY89" s="853"/>
      <c r="AZ89" s="2647"/>
      <c r="BA89" s="575"/>
      <c r="BB89" s="575">
        <f t="shared" si="19"/>
        <v>0</v>
      </c>
      <c r="BC89" s="662"/>
      <c r="BD89" s="662">
        <f t="shared" si="21"/>
        <v>0</v>
      </c>
      <c r="BE89" s="782"/>
      <c r="BF89" s="782">
        <f t="shared" si="22"/>
        <v>405.9</v>
      </c>
      <c r="BG89" s="26"/>
      <c r="BH89" s="26"/>
      <c r="BI89" s="26"/>
      <c r="BJ89" s="26"/>
      <c r="BK89" s="26"/>
      <c r="BL89" s="26"/>
      <c r="BM89" s="26"/>
      <c r="BN89" s="26"/>
    </row>
    <row r="90" spans="2:66" ht="15" customHeight="1" thickBot="1" x14ac:dyDescent="0.35">
      <c r="B90" s="4060" t="s">
        <v>1046</v>
      </c>
      <c r="C90" s="4061" t="s">
        <v>950</v>
      </c>
      <c r="D90" s="3204" t="s">
        <v>50</v>
      </c>
      <c r="E90" s="4062"/>
      <c r="F90" s="2940"/>
      <c r="G90" s="4062"/>
      <c r="H90" s="2940">
        <v>104.55</v>
      </c>
      <c r="I90" s="4063"/>
      <c r="J90" s="43">
        <f t="shared" si="15"/>
        <v>104.55</v>
      </c>
      <c r="K90" s="4062"/>
      <c r="L90" s="2940"/>
      <c r="M90" s="2896"/>
      <c r="N90" s="618">
        <f t="shared" si="16"/>
        <v>104.55</v>
      </c>
      <c r="O90" s="4062"/>
      <c r="P90" s="2940"/>
      <c r="Q90" s="2928"/>
      <c r="R90" s="373">
        <f t="shared" si="17"/>
        <v>104.55</v>
      </c>
      <c r="S90" s="4062"/>
      <c r="T90" s="2940"/>
      <c r="U90" s="2928"/>
      <c r="V90" s="373">
        <f t="shared" si="18"/>
        <v>104.55</v>
      </c>
      <c r="W90" s="4062"/>
      <c r="X90" s="2940"/>
      <c r="Y90" s="2650"/>
      <c r="Z90" s="4336">
        <f t="shared" si="28"/>
        <v>0</v>
      </c>
      <c r="AA90" s="2651"/>
      <c r="AB90" s="4337">
        <f t="shared" si="29"/>
        <v>104.55</v>
      </c>
      <c r="AC90" s="4062"/>
      <c r="AD90" s="2940"/>
      <c r="AE90" s="2928"/>
      <c r="AF90" s="782">
        <f t="shared" si="30"/>
        <v>104.55</v>
      </c>
      <c r="AG90" s="4062"/>
      <c r="AH90" s="2940"/>
      <c r="AI90" s="2928"/>
      <c r="AJ90" s="782">
        <f t="shared" si="24"/>
        <v>104.55</v>
      </c>
      <c r="AK90" s="4062"/>
      <c r="AL90" s="2940"/>
      <c r="AM90" s="2650"/>
      <c r="AN90" s="575">
        <f t="shared" si="20"/>
        <v>0</v>
      </c>
      <c r="AO90" s="2648"/>
      <c r="AP90" s="782">
        <f t="shared" si="25"/>
        <v>104.55</v>
      </c>
      <c r="AQ90" s="4062"/>
      <c r="AR90" s="2940"/>
      <c r="AS90" s="2928"/>
      <c r="AT90" s="782">
        <f t="shared" si="26"/>
        <v>104.55</v>
      </c>
      <c r="AU90" s="4062"/>
      <c r="AV90" s="2940"/>
      <c r="AW90" s="2928"/>
      <c r="AX90" s="782">
        <f t="shared" si="27"/>
        <v>104.55</v>
      </c>
      <c r="AY90" s="4062"/>
      <c r="AZ90" s="2940"/>
      <c r="BA90" s="2650"/>
      <c r="BB90" s="575">
        <f t="shared" si="19"/>
        <v>0</v>
      </c>
      <c r="BC90" s="2651"/>
      <c r="BD90" s="662">
        <f t="shared" si="21"/>
        <v>0</v>
      </c>
      <c r="BE90" s="2648"/>
      <c r="BF90" s="782">
        <f t="shared" si="22"/>
        <v>104.55</v>
      </c>
      <c r="BG90" s="26"/>
      <c r="BH90" s="26"/>
      <c r="BI90" s="26"/>
      <c r="BJ90" s="26"/>
      <c r="BK90" s="26"/>
      <c r="BL90" s="26"/>
      <c r="BM90" s="26"/>
      <c r="BN90" s="26"/>
    </row>
    <row r="91" spans="2:66" ht="15" customHeight="1" thickBot="1" x14ac:dyDescent="0.35">
      <c r="B91" s="4060" t="s">
        <v>1046</v>
      </c>
      <c r="C91" s="4061" t="s">
        <v>1908</v>
      </c>
      <c r="D91" s="3204" t="s">
        <v>50</v>
      </c>
      <c r="E91" s="4062"/>
      <c r="F91" s="2940"/>
      <c r="G91" s="4062"/>
      <c r="H91" s="2940"/>
      <c r="I91" s="4063"/>
      <c r="J91" s="43">
        <f t="shared" si="15"/>
        <v>0</v>
      </c>
      <c r="K91" s="4062"/>
      <c r="L91" s="2940"/>
      <c r="M91" s="2896"/>
      <c r="N91" s="618">
        <f t="shared" si="16"/>
        <v>0</v>
      </c>
      <c r="O91" s="4062"/>
      <c r="P91" s="2940"/>
      <c r="Q91" s="2928"/>
      <c r="R91" s="373">
        <f t="shared" si="17"/>
        <v>0</v>
      </c>
      <c r="S91" s="4062"/>
      <c r="T91" s="2940"/>
      <c r="U91" s="2928"/>
      <c r="V91" s="373">
        <f t="shared" si="18"/>
        <v>0</v>
      </c>
      <c r="W91" s="4062"/>
      <c r="X91" s="2940"/>
      <c r="Y91" s="2650"/>
      <c r="Z91" s="4336">
        <f t="shared" si="28"/>
        <v>0</v>
      </c>
      <c r="AA91" s="2651"/>
      <c r="AB91" s="4337">
        <f t="shared" si="29"/>
        <v>0</v>
      </c>
      <c r="AC91" s="4062"/>
      <c r="AD91" s="2940"/>
      <c r="AE91" s="2928"/>
      <c r="AF91" s="782">
        <f t="shared" si="30"/>
        <v>0</v>
      </c>
      <c r="AG91" s="4062"/>
      <c r="AH91" s="2940"/>
      <c r="AI91" s="2928"/>
      <c r="AJ91" s="782">
        <f t="shared" si="24"/>
        <v>0</v>
      </c>
      <c r="AK91" s="4062"/>
      <c r="AL91" s="2940"/>
      <c r="AM91" s="2650"/>
      <c r="AN91" s="575">
        <f t="shared" si="20"/>
        <v>0</v>
      </c>
      <c r="AO91" s="2648"/>
      <c r="AP91" s="782">
        <f t="shared" si="25"/>
        <v>0</v>
      </c>
      <c r="AQ91" s="4062"/>
      <c r="AR91" s="2940"/>
      <c r="AS91" s="2928"/>
      <c r="AT91" s="782">
        <f t="shared" si="26"/>
        <v>0</v>
      </c>
      <c r="AU91" s="4062"/>
      <c r="AV91" s="2940"/>
      <c r="AW91" s="2928"/>
      <c r="AX91" s="782">
        <f t="shared" si="27"/>
        <v>0</v>
      </c>
      <c r="AY91" s="4062"/>
      <c r="AZ91" s="2940"/>
      <c r="BA91" s="2650"/>
      <c r="BB91" s="575">
        <f t="shared" si="19"/>
        <v>0</v>
      </c>
      <c r="BC91" s="2651"/>
      <c r="BD91" s="662">
        <f t="shared" si="21"/>
        <v>0</v>
      </c>
      <c r="BE91" s="2648"/>
      <c r="BF91" s="782">
        <f t="shared" si="22"/>
        <v>0</v>
      </c>
      <c r="BG91" s="26"/>
      <c r="BH91" s="26"/>
      <c r="BI91" s="26"/>
      <c r="BJ91" s="26"/>
      <c r="BK91" s="26"/>
      <c r="BL91" s="26"/>
      <c r="BM91" s="26"/>
      <c r="BN91" s="26"/>
    </row>
    <row r="92" spans="2:66" ht="15" customHeight="1" thickBot="1" x14ac:dyDescent="0.35">
      <c r="B92" s="4060" t="s">
        <v>1046</v>
      </c>
      <c r="C92" s="4061" t="s">
        <v>1464</v>
      </c>
      <c r="D92" s="3204" t="s">
        <v>50</v>
      </c>
      <c r="E92" s="4062"/>
      <c r="F92" s="2940"/>
      <c r="G92" s="4062"/>
      <c r="H92" s="2940">
        <f>225.5-225.5</f>
        <v>0</v>
      </c>
      <c r="I92" s="4063"/>
      <c r="J92" s="43">
        <f t="shared" si="15"/>
        <v>0</v>
      </c>
      <c r="K92" s="4062"/>
      <c r="L92" s="2940"/>
      <c r="M92" s="2896"/>
      <c r="N92" s="618">
        <f t="shared" si="16"/>
        <v>0</v>
      </c>
      <c r="O92" s="4062"/>
      <c r="P92" s="2940"/>
      <c r="Q92" s="2928"/>
      <c r="R92" s="373">
        <f t="shared" si="17"/>
        <v>0</v>
      </c>
      <c r="S92" s="4062"/>
      <c r="T92" s="2940"/>
      <c r="U92" s="2928"/>
      <c r="V92" s="373">
        <f t="shared" si="18"/>
        <v>0</v>
      </c>
      <c r="W92" s="4062"/>
      <c r="X92" s="2940"/>
      <c r="Y92" s="2650"/>
      <c r="Z92" s="4336">
        <f t="shared" si="28"/>
        <v>0</v>
      </c>
      <c r="AA92" s="2651"/>
      <c r="AB92" s="4337">
        <f t="shared" si="29"/>
        <v>0</v>
      </c>
      <c r="AC92" s="4062"/>
      <c r="AD92" s="2940"/>
      <c r="AE92" s="2928"/>
      <c r="AF92" s="782">
        <f t="shared" si="30"/>
        <v>0</v>
      </c>
      <c r="AG92" s="4062"/>
      <c r="AH92" s="2940"/>
      <c r="AI92" s="2928"/>
      <c r="AJ92" s="782">
        <f t="shared" si="24"/>
        <v>0</v>
      </c>
      <c r="AK92" s="4062"/>
      <c r="AL92" s="2940"/>
      <c r="AM92" s="2650"/>
      <c r="AN92" s="575">
        <f t="shared" si="20"/>
        <v>0</v>
      </c>
      <c r="AO92" s="2648"/>
      <c r="AP92" s="782">
        <f t="shared" si="25"/>
        <v>0</v>
      </c>
      <c r="AQ92" s="4062"/>
      <c r="AR92" s="2940">
        <v>246</v>
      </c>
      <c r="AS92" s="2928"/>
      <c r="AT92" s="782">
        <f t="shared" si="26"/>
        <v>246</v>
      </c>
      <c r="AU92" s="4062"/>
      <c r="AV92" s="2940"/>
      <c r="AW92" s="2928"/>
      <c r="AX92" s="782">
        <f t="shared" si="27"/>
        <v>246</v>
      </c>
      <c r="AY92" s="4062"/>
      <c r="AZ92" s="2940"/>
      <c r="BA92" s="2650"/>
      <c r="BB92" s="575">
        <f t="shared" si="19"/>
        <v>246</v>
      </c>
      <c r="BC92" s="2651"/>
      <c r="BD92" s="662">
        <f t="shared" si="21"/>
        <v>246</v>
      </c>
      <c r="BE92" s="2648"/>
      <c r="BF92" s="782">
        <f t="shared" si="22"/>
        <v>246</v>
      </c>
      <c r="BG92" s="26"/>
      <c r="BH92" s="26"/>
      <c r="BI92" s="26"/>
      <c r="BJ92" s="26"/>
      <c r="BK92" s="26"/>
      <c r="BL92" s="26"/>
      <c r="BM92" s="26"/>
      <c r="BN92" s="26"/>
    </row>
    <row r="93" spans="2:66" ht="15" customHeight="1" thickBot="1" x14ac:dyDescent="0.35">
      <c r="B93" s="2919" t="s">
        <v>1046</v>
      </c>
      <c r="C93" s="2920" t="s">
        <v>1466</v>
      </c>
      <c r="D93" s="2921" t="s">
        <v>50</v>
      </c>
      <c r="E93" s="2929"/>
      <c r="F93" s="109"/>
      <c r="G93" s="2929"/>
      <c r="H93" s="109">
        <f>239.85-38.95</f>
        <v>200.89999999999998</v>
      </c>
      <c r="I93" s="2930"/>
      <c r="J93" s="43">
        <f t="shared" si="15"/>
        <v>200.89999999999998</v>
      </c>
      <c r="K93" s="2929"/>
      <c r="L93" s="109"/>
      <c r="M93" s="902"/>
      <c r="N93" s="618">
        <f t="shared" si="16"/>
        <v>200.89999999999998</v>
      </c>
      <c r="O93" s="2929"/>
      <c r="P93" s="109"/>
      <c r="Q93" s="852"/>
      <c r="R93" s="373">
        <f t="shared" si="17"/>
        <v>200.89999999999998</v>
      </c>
      <c r="S93" s="2929"/>
      <c r="T93" s="109"/>
      <c r="U93" s="852"/>
      <c r="V93" s="373">
        <f t="shared" si="18"/>
        <v>200.89999999999998</v>
      </c>
      <c r="W93" s="2929"/>
      <c r="X93" s="109"/>
      <c r="Y93" s="575"/>
      <c r="Z93" s="4336">
        <f t="shared" si="28"/>
        <v>0</v>
      </c>
      <c r="AA93" s="662"/>
      <c r="AB93" s="4337">
        <f t="shared" si="29"/>
        <v>200.89999999999998</v>
      </c>
      <c r="AC93" s="2929"/>
      <c r="AD93" s="109">
        <v>414.1</v>
      </c>
      <c r="AE93" s="852"/>
      <c r="AF93" s="782">
        <f t="shared" si="30"/>
        <v>615</v>
      </c>
      <c r="AG93" s="2929"/>
      <c r="AH93" s="109"/>
      <c r="AI93" s="852"/>
      <c r="AJ93" s="782">
        <f t="shared" si="24"/>
        <v>615</v>
      </c>
      <c r="AK93" s="2929"/>
      <c r="AL93" s="109"/>
      <c r="AM93" s="575"/>
      <c r="AN93" s="575">
        <f t="shared" si="20"/>
        <v>414.1</v>
      </c>
      <c r="AO93" s="782"/>
      <c r="AP93" s="782">
        <f t="shared" si="25"/>
        <v>615</v>
      </c>
      <c r="AQ93" s="2929"/>
      <c r="AR93" s="109">
        <v>223.45</v>
      </c>
      <c r="AS93" s="852"/>
      <c r="AT93" s="782">
        <f t="shared" si="26"/>
        <v>838.45</v>
      </c>
      <c r="AU93" s="2929"/>
      <c r="AV93" s="109"/>
      <c r="AW93" s="852"/>
      <c r="AX93" s="782">
        <f t="shared" si="27"/>
        <v>838.45</v>
      </c>
      <c r="AY93" s="2929"/>
      <c r="AZ93" s="109"/>
      <c r="BA93" s="575"/>
      <c r="BB93" s="575">
        <f t="shared" si="19"/>
        <v>223.45</v>
      </c>
      <c r="BC93" s="662"/>
      <c r="BD93" s="662">
        <f t="shared" si="21"/>
        <v>637.54999999999995</v>
      </c>
      <c r="BE93" s="782"/>
      <c r="BF93" s="782">
        <f t="shared" si="22"/>
        <v>838.45</v>
      </c>
      <c r="BG93" s="26"/>
      <c r="BH93" s="26"/>
      <c r="BI93" s="26"/>
      <c r="BJ93" s="26"/>
      <c r="BK93" s="26"/>
      <c r="BL93" s="26"/>
      <c r="BM93" s="26"/>
      <c r="BN93" s="26"/>
    </row>
    <row r="94" spans="2:66" ht="15" customHeight="1" thickBot="1" x14ac:dyDescent="0.35">
      <c r="B94" s="850" t="s">
        <v>878</v>
      </c>
      <c r="C94" s="2644" t="s">
        <v>1037</v>
      </c>
      <c r="D94" s="2645" t="s">
        <v>50</v>
      </c>
      <c r="E94" s="853"/>
      <c r="F94" s="2647">
        <v>399.75</v>
      </c>
      <c r="G94" s="853"/>
      <c r="H94" s="2647"/>
      <c r="I94" s="2928"/>
      <c r="J94" s="43">
        <f t="shared" si="15"/>
        <v>399.75</v>
      </c>
      <c r="K94" s="853"/>
      <c r="L94" s="2647"/>
      <c r="M94" s="902"/>
      <c r="N94" s="618">
        <f t="shared" si="16"/>
        <v>399.75</v>
      </c>
      <c r="O94" s="853"/>
      <c r="P94" s="2647"/>
      <c r="Q94" s="852"/>
      <c r="R94" s="373">
        <f t="shared" si="17"/>
        <v>399.75</v>
      </c>
      <c r="S94" s="853"/>
      <c r="T94" s="2647"/>
      <c r="U94" s="852"/>
      <c r="V94" s="373">
        <f t="shared" si="18"/>
        <v>399.75</v>
      </c>
      <c r="W94" s="853"/>
      <c r="X94" s="2647"/>
      <c r="Y94" s="575"/>
      <c r="Z94" s="4336">
        <f t="shared" si="28"/>
        <v>0</v>
      </c>
      <c r="AA94" s="662"/>
      <c r="AB94" s="4337">
        <f t="shared" si="29"/>
        <v>399.75</v>
      </c>
      <c r="AC94" s="853"/>
      <c r="AD94" s="2647"/>
      <c r="AE94" s="852"/>
      <c r="AF94" s="782">
        <f t="shared" si="30"/>
        <v>399.75</v>
      </c>
      <c r="AG94" s="853"/>
      <c r="AH94" s="2647"/>
      <c r="AI94" s="852"/>
      <c r="AJ94" s="782">
        <f t="shared" si="24"/>
        <v>399.75</v>
      </c>
      <c r="AK94" s="853"/>
      <c r="AL94" s="2647"/>
      <c r="AM94" s="575"/>
      <c r="AN94" s="575">
        <f t="shared" si="20"/>
        <v>0</v>
      </c>
      <c r="AO94" s="782"/>
      <c r="AP94" s="782">
        <f t="shared" si="25"/>
        <v>399.75</v>
      </c>
      <c r="AQ94" s="853"/>
      <c r="AR94" s="2647"/>
      <c r="AS94" s="852"/>
      <c r="AT94" s="782">
        <f t="shared" si="26"/>
        <v>399.75</v>
      </c>
      <c r="AU94" s="853"/>
      <c r="AV94" s="2647"/>
      <c r="AW94" s="852"/>
      <c r="AX94" s="782">
        <f t="shared" si="27"/>
        <v>399.75</v>
      </c>
      <c r="AY94" s="853"/>
      <c r="AZ94" s="2647"/>
      <c r="BA94" s="575"/>
      <c r="BB94" s="575">
        <f t="shared" si="19"/>
        <v>0</v>
      </c>
      <c r="BC94" s="662"/>
      <c r="BD94" s="662">
        <f t="shared" si="21"/>
        <v>0</v>
      </c>
      <c r="BE94" s="782"/>
      <c r="BF94" s="782">
        <f t="shared" si="22"/>
        <v>399.75</v>
      </c>
      <c r="BG94" s="26"/>
      <c r="BH94" s="26"/>
      <c r="BI94" s="26"/>
      <c r="BJ94" s="26"/>
      <c r="BK94" s="26"/>
      <c r="BL94" s="26"/>
      <c r="BM94" s="26"/>
      <c r="BN94" s="26"/>
    </row>
    <row r="95" spans="2:66" ht="15" customHeight="1" thickBot="1" x14ac:dyDescent="0.35">
      <c r="B95" s="850" t="s">
        <v>878</v>
      </c>
      <c r="C95" s="2644" t="s">
        <v>977</v>
      </c>
      <c r="D95" s="2645" t="s">
        <v>50</v>
      </c>
      <c r="E95" s="853"/>
      <c r="F95" s="2647"/>
      <c r="G95" s="853"/>
      <c r="H95" s="2647"/>
      <c r="I95" s="2928"/>
      <c r="J95" s="43">
        <f t="shared" si="15"/>
        <v>0</v>
      </c>
      <c r="K95" s="853"/>
      <c r="L95" s="2647"/>
      <c r="M95" s="2495"/>
      <c r="N95" s="618">
        <f t="shared" si="16"/>
        <v>0</v>
      </c>
      <c r="O95" s="853"/>
      <c r="P95" s="2647"/>
      <c r="Q95" s="2493"/>
      <c r="R95" s="373">
        <f t="shared" si="17"/>
        <v>0</v>
      </c>
      <c r="S95" s="853"/>
      <c r="T95" s="2647"/>
      <c r="U95" s="2493"/>
      <c r="V95" s="373">
        <f t="shared" si="18"/>
        <v>0</v>
      </c>
      <c r="W95" s="853"/>
      <c r="X95" s="2647"/>
      <c r="Y95" s="2497"/>
      <c r="Z95" s="4336">
        <f t="shared" si="28"/>
        <v>0</v>
      </c>
      <c r="AA95" s="662"/>
      <c r="AB95" s="4337">
        <f t="shared" si="29"/>
        <v>0</v>
      </c>
      <c r="AC95" s="853"/>
      <c r="AD95" s="2647"/>
      <c r="AE95" s="2493"/>
      <c r="AF95" s="782">
        <f t="shared" si="30"/>
        <v>0</v>
      </c>
      <c r="AG95" s="853"/>
      <c r="AH95" s="2647"/>
      <c r="AI95" s="2493"/>
      <c r="AJ95" s="782">
        <f t="shared" si="24"/>
        <v>0</v>
      </c>
      <c r="AK95" s="853"/>
      <c r="AL95" s="2647"/>
      <c r="AM95" s="2497"/>
      <c r="AN95" s="575">
        <f t="shared" si="20"/>
        <v>0</v>
      </c>
      <c r="AO95" s="782"/>
      <c r="AP95" s="782">
        <f t="shared" si="25"/>
        <v>0</v>
      </c>
      <c r="AQ95" s="853"/>
      <c r="AR95" s="2647"/>
      <c r="AS95" s="2493"/>
      <c r="AT95" s="782">
        <f t="shared" si="26"/>
        <v>0</v>
      </c>
      <c r="AU95" s="853"/>
      <c r="AV95" s="2647"/>
      <c r="AW95" s="2493"/>
      <c r="AX95" s="782">
        <f t="shared" si="27"/>
        <v>0</v>
      </c>
      <c r="AY95" s="853"/>
      <c r="AZ95" s="2647"/>
      <c r="BA95" s="2497"/>
      <c r="BB95" s="575">
        <f t="shared" si="19"/>
        <v>0</v>
      </c>
      <c r="BC95" s="662"/>
      <c r="BD95" s="662">
        <f t="shared" si="21"/>
        <v>0</v>
      </c>
      <c r="BE95" s="782"/>
      <c r="BF95" s="782">
        <f t="shared" si="22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2:66" ht="15" customHeight="1" thickBot="1" x14ac:dyDescent="0.35">
      <c r="B96" s="850" t="s">
        <v>878</v>
      </c>
      <c r="C96" s="2644" t="s">
        <v>1038</v>
      </c>
      <c r="D96" s="2645" t="s">
        <v>50</v>
      </c>
      <c r="E96" s="853"/>
      <c r="F96" s="2647">
        <v>582.20000000000005</v>
      </c>
      <c r="G96" s="853"/>
      <c r="H96" s="2647"/>
      <c r="I96" s="2928"/>
      <c r="J96" s="43">
        <f t="shared" si="15"/>
        <v>582.20000000000005</v>
      </c>
      <c r="K96" s="853"/>
      <c r="L96" s="2647"/>
      <c r="M96" s="902"/>
      <c r="N96" s="618">
        <f t="shared" si="16"/>
        <v>582.20000000000005</v>
      </c>
      <c r="O96" s="853"/>
      <c r="P96" s="2647"/>
      <c r="Q96" s="852"/>
      <c r="R96" s="373">
        <f t="shared" si="17"/>
        <v>582.20000000000005</v>
      </c>
      <c r="S96" s="853"/>
      <c r="T96" s="2647"/>
      <c r="U96" s="852"/>
      <c r="V96" s="373">
        <f t="shared" si="18"/>
        <v>582.20000000000005</v>
      </c>
      <c r="W96" s="853"/>
      <c r="X96" s="2647"/>
      <c r="Y96" s="575"/>
      <c r="Z96" s="4336">
        <f t="shared" si="28"/>
        <v>0</v>
      </c>
      <c r="AA96" s="662"/>
      <c r="AB96" s="4337">
        <f t="shared" si="29"/>
        <v>582.20000000000005</v>
      </c>
      <c r="AC96" s="853"/>
      <c r="AD96" s="2647"/>
      <c r="AE96" s="852"/>
      <c r="AF96" s="782">
        <f t="shared" si="30"/>
        <v>582.20000000000005</v>
      </c>
      <c r="AG96" s="853"/>
      <c r="AH96" s="2647"/>
      <c r="AI96" s="852"/>
      <c r="AJ96" s="782">
        <f t="shared" si="24"/>
        <v>582.20000000000005</v>
      </c>
      <c r="AK96" s="853"/>
      <c r="AL96" s="2647"/>
      <c r="AM96" s="575"/>
      <c r="AN96" s="575">
        <f t="shared" si="20"/>
        <v>0</v>
      </c>
      <c r="AO96" s="782"/>
      <c r="AP96" s="782">
        <f t="shared" si="25"/>
        <v>582.20000000000005</v>
      </c>
      <c r="AQ96" s="853"/>
      <c r="AR96" s="2647"/>
      <c r="AS96" s="852"/>
      <c r="AT96" s="782">
        <f t="shared" si="26"/>
        <v>582.20000000000005</v>
      </c>
      <c r="AU96" s="853"/>
      <c r="AV96" s="2647"/>
      <c r="AW96" s="852"/>
      <c r="AX96" s="782">
        <f t="shared" si="27"/>
        <v>582.20000000000005</v>
      </c>
      <c r="AY96" s="853"/>
      <c r="AZ96" s="2647"/>
      <c r="BA96" s="575"/>
      <c r="BB96" s="575">
        <f t="shared" si="19"/>
        <v>0</v>
      </c>
      <c r="BC96" s="662"/>
      <c r="BD96" s="662">
        <f t="shared" si="21"/>
        <v>0</v>
      </c>
      <c r="BE96" s="782"/>
      <c r="BF96" s="782">
        <f t="shared" si="22"/>
        <v>582.20000000000005</v>
      </c>
      <c r="BG96" s="26"/>
      <c r="BH96" s="26"/>
      <c r="BI96" s="26"/>
      <c r="BJ96" s="26"/>
      <c r="BK96" s="26"/>
      <c r="BL96" s="26"/>
      <c r="BM96" s="26"/>
      <c r="BN96" s="26"/>
    </row>
    <row r="97" spans="2:66" ht="15" customHeight="1" thickBot="1" x14ac:dyDescent="0.35">
      <c r="B97" s="850" t="s">
        <v>878</v>
      </c>
      <c r="C97" s="2644" t="s">
        <v>950</v>
      </c>
      <c r="D97" s="2645" t="s">
        <v>50</v>
      </c>
      <c r="E97" s="853"/>
      <c r="F97" s="2647"/>
      <c r="G97" s="853"/>
      <c r="H97" s="2647"/>
      <c r="I97" s="2928"/>
      <c r="J97" s="43">
        <f t="shared" si="15"/>
        <v>0</v>
      </c>
      <c r="K97" s="853"/>
      <c r="L97" s="2647"/>
      <c r="M97" s="902"/>
      <c r="N97" s="618">
        <f t="shared" si="16"/>
        <v>0</v>
      </c>
      <c r="O97" s="853"/>
      <c r="P97" s="2647"/>
      <c r="Q97" s="852"/>
      <c r="R97" s="373">
        <f t="shared" si="17"/>
        <v>0</v>
      </c>
      <c r="S97" s="853"/>
      <c r="T97" s="2647"/>
      <c r="U97" s="852"/>
      <c r="V97" s="373">
        <f t="shared" si="18"/>
        <v>0</v>
      </c>
      <c r="W97" s="853"/>
      <c r="X97" s="2647"/>
      <c r="Y97" s="575"/>
      <c r="Z97" s="4336">
        <f t="shared" si="28"/>
        <v>0</v>
      </c>
      <c r="AA97" s="662"/>
      <c r="AB97" s="4337">
        <f t="shared" si="29"/>
        <v>0</v>
      </c>
      <c r="AC97" s="853"/>
      <c r="AD97" s="2647"/>
      <c r="AE97" s="852"/>
      <c r="AF97" s="782">
        <f t="shared" si="30"/>
        <v>0</v>
      </c>
      <c r="AG97" s="853"/>
      <c r="AH97" s="2647"/>
      <c r="AI97" s="852"/>
      <c r="AJ97" s="782">
        <f t="shared" si="24"/>
        <v>0</v>
      </c>
      <c r="AK97" s="853"/>
      <c r="AL97" s="2647"/>
      <c r="AM97" s="575"/>
      <c r="AN97" s="575">
        <f t="shared" si="20"/>
        <v>0</v>
      </c>
      <c r="AO97" s="782"/>
      <c r="AP97" s="782">
        <f t="shared" si="25"/>
        <v>0</v>
      </c>
      <c r="AQ97" s="853"/>
      <c r="AR97" s="2647"/>
      <c r="AS97" s="852"/>
      <c r="AT97" s="782">
        <f t="shared" si="26"/>
        <v>0</v>
      </c>
      <c r="AU97" s="853"/>
      <c r="AV97" s="2647"/>
      <c r="AW97" s="852"/>
      <c r="AX97" s="782">
        <f t="shared" si="27"/>
        <v>0</v>
      </c>
      <c r="AY97" s="853"/>
      <c r="AZ97" s="2647"/>
      <c r="BA97" s="575"/>
      <c r="BB97" s="575">
        <f t="shared" si="19"/>
        <v>0</v>
      </c>
      <c r="BC97" s="662"/>
      <c r="BD97" s="662">
        <f t="shared" si="21"/>
        <v>0</v>
      </c>
      <c r="BE97" s="782"/>
      <c r="BF97" s="782">
        <f t="shared" si="22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2:66" ht="15" customHeight="1" thickBot="1" x14ac:dyDescent="0.35">
      <c r="B98" s="850" t="s">
        <v>878</v>
      </c>
      <c r="C98" s="2644" t="s">
        <v>1944</v>
      </c>
      <c r="D98" s="2645" t="s">
        <v>50</v>
      </c>
      <c r="E98" s="853"/>
      <c r="F98" s="2647">
        <v>748.25000000000011</v>
      </c>
      <c r="G98" s="853"/>
      <c r="H98" s="2647"/>
      <c r="I98" s="2928"/>
      <c r="J98" s="43">
        <f t="shared" si="15"/>
        <v>748.25000000000011</v>
      </c>
      <c r="K98" s="853"/>
      <c r="L98" s="2647"/>
      <c r="M98" s="902"/>
      <c r="N98" s="618">
        <f t="shared" si="16"/>
        <v>748.25000000000011</v>
      </c>
      <c r="O98" s="853"/>
      <c r="P98" s="2647"/>
      <c r="Q98" s="852"/>
      <c r="R98" s="373">
        <f t="shared" si="17"/>
        <v>748.25000000000011</v>
      </c>
      <c r="S98" s="853"/>
      <c r="T98" s="2647"/>
      <c r="U98" s="852"/>
      <c r="V98" s="373">
        <f t="shared" si="18"/>
        <v>748.25000000000011</v>
      </c>
      <c r="W98" s="853"/>
      <c r="X98" s="2647"/>
      <c r="Y98" s="575"/>
      <c r="Z98" s="4336">
        <f t="shared" si="28"/>
        <v>0</v>
      </c>
      <c r="AA98" s="662"/>
      <c r="AB98" s="4337">
        <f t="shared" si="29"/>
        <v>748.25000000000011</v>
      </c>
      <c r="AC98" s="853"/>
      <c r="AD98" s="2647"/>
      <c r="AE98" s="852"/>
      <c r="AF98" s="782">
        <f t="shared" si="30"/>
        <v>748.25000000000011</v>
      </c>
      <c r="AG98" s="853"/>
      <c r="AH98" s="2647"/>
      <c r="AI98" s="852"/>
      <c r="AJ98" s="782">
        <f t="shared" si="24"/>
        <v>748.25000000000011</v>
      </c>
      <c r="AK98" s="853"/>
      <c r="AL98" s="2647"/>
      <c r="AM98" s="575"/>
      <c r="AN98" s="575">
        <f t="shared" si="20"/>
        <v>0</v>
      </c>
      <c r="AO98" s="782"/>
      <c r="AP98" s="782">
        <f t="shared" si="25"/>
        <v>748.25000000000011</v>
      </c>
      <c r="AQ98" s="853"/>
      <c r="AR98" s="2647"/>
      <c r="AS98" s="852"/>
      <c r="AT98" s="782">
        <f t="shared" si="26"/>
        <v>748.25000000000011</v>
      </c>
      <c r="AU98" s="853"/>
      <c r="AV98" s="2647"/>
      <c r="AW98" s="852"/>
      <c r="AX98" s="782">
        <f t="shared" si="27"/>
        <v>748.25000000000011</v>
      </c>
      <c r="AY98" s="853"/>
      <c r="AZ98" s="2647"/>
      <c r="BA98" s="575"/>
      <c r="BB98" s="575">
        <f t="shared" si="19"/>
        <v>0</v>
      </c>
      <c r="BC98" s="662"/>
      <c r="BD98" s="662">
        <f t="shared" si="21"/>
        <v>0</v>
      </c>
      <c r="BE98" s="782"/>
      <c r="BF98" s="782">
        <f t="shared" si="22"/>
        <v>748.25000000000011</v>
      </c>
      <c r="BG98" s="26"/>
      <c r="BH98" s="26"/>
      <c r="BI98" s="26"/>
      <c r="BJ98" s="26"/>
      <c r="BK98" s="26"/>
      <c r="BL98" s="26"/>
      <c r="BM98" s="26"/>
      <c r="BN98" s="26"/>
    </row>
    <row r="99" spans="2:66" ht="15" customHeight="1" thickBot="1" x14ac:dyDescent="0.35">
      <c r="B99" s="850" t="s">
        <v>878</v>
      </c>
      <c r="C99" s="2644" t="s">
        <v>1377</v>
      </c>
      <c r="D99" s="2645" t="s">
        <v>50</v>
      </c>
      <c r="E99" s="853"/>
      <c r="F99" s="2647"/>
      <c r="G99" s="853"/>
      <c r="H99" s="2647"/>
      <c r="I99" s="2928"/>
      <c r="J99" s="43">
        <f t="shared" si="15"/>
        <v>0</v>
      </c>
      <c r="K99" s="853"/>
      <c r="L99" s="2647"/>
      <c r="M99" s="902"/>
      <c r="N99" s="618">
        <f t="shared" si="16"/>
        <v>0</v>
      </c>
      <c r="O99" s="853"/>
      <c r="P99" s="2647"/>
      <c r="Q99" s="852"/>
      <c r="R99" s="373">
        <f t="shared" si="17"/>
        <v>0</v>
      </c>
      <c r="S99" s="853"/>
      <c r="T99" s="2647"/>
      <c r="U99" s="852"/>
      <c r="V99" s="373">
        <f t="shared" si="18"/>
        <v>0</v>
      </c>
      <c r="W99" s="853"/>
      <c r="X99" s="2647"/>
      <c r="Y99" s="575"/>
      <c r="Z99" s="4336">
        <f t="shared" si="28"/>
        <v>0</v>
      </c>
      <c r="AA99" s="662"/>
      <c r="AB99" s="4337">
        <f t="shared" si="29"/>
        <v>0</v>
      </c>
      <c r="AC99" s="853"/>
      <c r="AD99" s="2647"/>
      <c r="AE99" s="852"/>
      <c r="AF99" s="782">
        <f t="shared" si="30"/>
        <v>0</v>
      </c>
      <c r="AG99" s="853"/>
      <c r="AH99" s="2647"/>
      <c r="AI99" s="852"/>
      <c r="AJ99" s="782">
        <f t="shared" si="24"/>
        <v>0</v>
      </c>
      <c r="AK99" s="853"/>
      <c r="AL99" s="2647"/>
      <c r="AM99" s="575"/>
      <c r="AN99" s="575">
        <f t="shared" si="20"/>
        <v>0</v>
      </c>
      <c r="AO99" s="782"/>
      <c r="AP99" s="782">
        <f t="shared" si="25"/>
        <v>0</v>
      </c>
      <c r="AQ99" s="853"/>
      <c r="AR99" s="2647"/>
      <c r="AS99" s="852"/>
      <c r="AT99" s="782">
        <f t="shared" si="26"/>
        <v>0</v>
      </c>
      <c r="AU99" s="853"/>
      <c r="AV99" s="2647"/>
      <c r="AW99" s="852"/>
      <c r="AX99" s="782">
        <f t="shared" si="27"/>
        <v>0</v>
      </c>
      <c r="AY99" s="853"/>
      <c r="AZ99" s="2647"/>
      <c r="BA99" s="575"/>
      <c r="BB99" s="575">
        <f t="shared" si="19"/>
        <v>0</v>
      </c>
      <c r="BC99" s="662"/>
      <c r="BD99" s="662">
        <f t="shared" si="21"/>
        <v>0</v>
      </c>
      <c r="BE99" s="782"/>
      <c r="BF99" s="782">
        <f t="shared" si="22"/>
        <v>0</v>
      </c>
      <c r="BG99" s="26"/>
      <c r="BH99" s="26"/>
      <c r="BI99" s="26"/>
      <c r="BJ99" s="26"/>
      <c r="BK99" s="26"/>
      <c r="BL99" s="26"/>
      <c r="BM99" s="26"/>
      <c r="BN99" s="26"/>
    </row>
    <row r="100" spans="2:66" ht="15" customHeight="1" thickBot="1" x14ac:dyDescent="0.35">
      <c r="B100" s="850" t="s">
        <v>878</v>
      </c>
      <c r="C100" s="2644" t="s">
        <v>1407</v>
      </c>
      <c r="D100" s="2645" t="s">
        <v>50</v>
      </c>
      <c r="E100" s="853"/>
      <c r="F100" s="2647"/>
      <c r="G100" s="853"/>
      <c r="H100" s="2647"/>
      <c r="I100" s="2928"/>
      <c r="J100" s="43">
        <f t="shared" si="15"/>
        <v>0</v>
      </c>
      <c r="K100" s="853"/>
      <c r="L100" s="2647"/>
      <c r="M100" s="902"/>
      <c r="N100" s="618">
        <f t="shared" si="16"/>
        <v>0</v>
      </c>
      <c r="O100" s="853"/>
      <c r="P100" s="2647"/>
      <c r="Q100" s="852"/>
      <c r="R100" s="373">
        <f t="shared" si="17"/>
        <v>0</v>
      </c>
      <c r="S100" s="853"/>
      <c r="T100" s="2647"/>
      <c r="U100" s="852"/>
      <c r="V100" s="373">
        <f t="shared" si="18"/>
        <v>0</v>
      </c>
      <c r="W100" s="853"/>
      <c r="X100" s="2647"/>
      <c r="Y100" s="575"/>
      <c r="Z100" s="4336">
        <f t="shared" si="28"/>
        <v>0</v>
      </c>
      <c r="AA100" s="662"/>
      <c r="AB100" s="4337">
        <f t="shared" si="29"/>
        <v>0</v>
      </c>
      <c r="AC100" s="853"/>
      <c r="AD100" s="2647"/>
      <c r="AE100" s="852"/>
      <c r="AF100" s="782">
        <f t="shared" si="30"/>
        <v>0</v>
      </c>
      <c r="AG100" s="853"/>
      <c r="AH100" s="2647"/>
      <c r="AI100" s="852"/>
      <c r="AJ100" s="782">
        <f t="shared" si="24"/>
        <v>0</v>
      </c>
      <c r="AK100" s="853"/>
      <c r="AL100" s="2647"/>
      <c r="AM100" s="575"/>
      <c r="AN100" s="575">
        <f t="shared" si="20"/>
        <v>0</v>
      </c>
      <c r="AO100" s="782"/>
      <c r="AP100" s="782">
        <f t="shared" si="25"/>
        <v>0</v>
      </c>
      <c r="AQ100" s="853"/>
      <c r="AR100" s="2647"/>
      <c r="AS100" s="852"/>
      <c r="AT100" s="782">
        <f t="shared" si="26"/>
        <v>0</v>
      </c>
      <c r="AU100" s="853"/>
      <c r="AV100" s="2647"/>
      <c r="AW100" s="852"/>
      <c r="AX100" s="782">
        <f t="shared" si="27"/>
        <v>0</v>
      </c>
      <c r="AY100" s="853"/>
      <c r="AZ100" s="2647"/>
      <c r="BA100" s="575"/>
      <c r="BB100" s="575">
        <f t="shared" si="19"/>
        <v>0</v>
      </c>
      <c r="BC100" s="662"/>
      <c r="BD100" s="662">
        <f t="shared" si="21"/>
        <v>0</v>
      </c>
      <c r="BE100" s="782"/>
      <c r="BF100" s="782">
        <f t="shared" si="22"/>
        <v>0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ht="15" customHeight="1" thickBot="1" x14ac:dyDescent="0.35">
      <c r="B101" s="850" t="s">
        <v>878</v>
      </c>
      <c r="C101" s="2644" t="s">
        <v>1464</v>
      </c>
      <c r="D101" s="2645" t="s">
        <v>50</v>
      </c>
      <c r="E101" s="853"/>
      <c r="F101" s="2647"/>
      <c r="G101" s="853"/>
      <c r="H101" s="2647"/>
      <c r="I101" s="2928"/>
      <c r="J101" s="43">
        <f t="shared" si="15"/>
        <v>0</v>
      </c>
      <c r="K101" s="853"/>
      <c r="L101" s="2647"/>
      <c r="M101" s="902"/>
      <c r="N101" s="618">
        <f t="shared" si="16"/>
        <v>0</v>
      </c>
      <c r="O101" s="853"/>
      <c r="P101" s="2647"/>
      <c r="Q101" s="852"/>
      <c r="R101" s="373">
        <f t="shared" si="17"/>
        <v>0</v>
      </c>
      <c r="S101" s="853"/>
      <c r="T101" s="2647"/>
      <c r="U101" s="852"/>
      <c r="V101" s="373">
        <f t="shared" si="18"/>
        <v>0</v>
      </c>
      <c r="W101" s="853"/>
      <c r="X101" s="2647"/>
      <c r="Y101" s="575"/>
      <c r="Z101" s="4336">
        <f t="shared" si="28"/>
        <v>0</v>
      </c>
      <c r="AA101" s="662"/>
      <c r="AB101" s="4337">
        <f t="shared" si="29"/>
        <v>0</v>
      </c>
      <c r="AC101" s="853"/>
      <c r="AD101" s="2647"/>
      <c r="AE101" s="852"/>
      <c r="AF101" s="782">
        <f t="shared" si="30"/>
        <v>0</v>
      </c>
      <c r="AG101" s="853"/>
      <c r="AH101" s="2647"/>
      <c r="AI101" s="852"/>
      <c r="AJ101" s="782">
        <f t="shared" si="24"/>
        <v>0</v>
      </c>
      <c r="AK101" s="853"/>
      <c r="AL101" s="2647"/>
      <c r="AM101" s="575"/>
      <c r="AN101" s="575">
        <f t="shared" si="20"/>
        <v>0</v>
      </c>
      <c r="AO101" s="782"/>
      <c r="AP101" s="782">
        <f t="shared" si="25"/>
        <v>0</v>
      </c>
      <c r="AQ101" s="853"/>
      <c r="AR101" s="2647"/>
      <c r="AS101" s="852"/>
      <c r="AT101" s="782">
        <f t="shared" si="26"/>
        <v>0</v>
      </c>
      <c r="AU101" s="853"/>
      <c r="AV101" s="2647"/>
      <c r="AW101" s="852"/>
      <c r="AX101" s="782">
        <f t="shared" si="27"/>
        <v>0</v>
      </c>
      <c r="AY101" s="853"/>
      <c r="AZ101" s="2647"/>
      <c r="BA101" s="575"/>
      <c r="BB101" s="575">
        <f t="shared" si="19"/>
        <v>0</v>
      </c>
      <c r="BC101" s="662"/>
      <c r="BD101" s="662">
        <f t="shared" si="21"/>
        <v>0</v>
      </c>
      <c r="BE101" s="782"/>
      <c r="BF101" s="782">
        <f t="shared" si="22"/>
        <v>0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ht="16.149999999999999" thickBot="1" x14ac:dyDescent="0.35">
      <c r="B102" s="2915" t="s">
        <v>866</v>
      </c>
      <c r="C102" s="2916" t="s">
        <v>977</v>
      </c>
      <c r="D102" s="2917" t="s">
        <v>50</v>
      </c>
      <c r="E102" s="2926"/>
      <c r="F102" s="158"/>
      <c r="G102" s="2926"/>
      <c r="H102" s="158"/>
      <c r="I102" s="2927"/>
      <c r="J102" s="43">
        <f t="shared" si="15"/>
        <v>0</v>
      </c>
      <c r="K102" s="2926"/>
      <c r="L102" s="158"/>
      <c r="M102" s="902"/>
      <c r="N102" s="618">
        <f t="shared" si="16"/>
        <v>0</v>
      </c>
      <c r="O102" s="2926"/>
      <c r="P102" s="158"/>
      <c r="Q102" s="852"/>
      <c r="R102" s="373">
        <f t="shared" si="17"/>
        <v>0</v>
      </c>
      <c r="S102" s="2926"/>
      <c r="T102" s="158">
        <v>53.300000000000011</v>
      </c>
      <c r="U102" s="852"/>
      <c r="V102" s="373">
        <f t="shared" si="18"/>
        <v>53.300000000000011</v>
      </c>
      <c r="W102" s="2926"/>
      <c r="X102" s="158"/>
      <c r="Y102" s="575"/>
      <c r="Z102" s="4336">
        <f t="shared" si="28"/>
        <v>53.300000000000011</v>
      </c>
      <c r="AA102" s="662"/>
      <c r="AB102" s="4337">
        <f t="shared" si="29"/>
        <v>53.300000000000011</v>
      </c>
      <c r="AC102" s="2926"/>
      <c r="AD102" s="158"/>
      <c r="AE102" s="852"/>
      <c r="AF102" s="782">
        <f t="shared" si="30"/>
        <v>53.300000000000011</v>
      </c>
      <c r="AG102" s="2926"/>
      <c r="AH102" s="158"/>
      <c r="AI102" s="852"/>
      <c r="AJ102" s="782">
        <f t="shared" si="24"/>
        <v>53.300000000000011</v>
      </c>
      <c r="AK102" s="2926"/>
      <c r="AL102" s="158"/>
      <c r="AM102" s="575"/>
      <c r="AN102" s="575">
        <f t="shared" si="20"/>
        <v>0</v>
      </c>
      <c r="AO102" s="782"/>
      <c r="AP102" s="782">
        <f t="shared" si="25"/>
        <v>53.300000000000011</v>
      </c>
      <c r="AQ102" s="2926"/>
      <c r="AR102" s="158"/>
      <c r="AS102" s="852"/>
      <c r="AT102" s="782">
        <f t="shared" si="26"/>
        <v>53.300000000000011</v>
      </c>
      <c r="AU102" s="2926"/>
      <c r="AV102" s="158"/>
      <c r="AW102" s="852"/>
      <c r="AX102" s="782">
        <f t="shared" si="27"/>
        <v>53.300000000000011</v>
      </c>
      <c r="AY102" s="2926"/>
      <c r="AZ102" s="158"/>
      <c r="BA102" s="575"/>
      <c r="BB102" s="575">
        <f t="shared" si="19"/>
        <v>0</v>
      </c>
      <c r="BC102" s="662"/>
      <c r="BD102" s="662">
        <f t="shared" si="21"/>
        <v>0</v>
      </c>
      <c r="BE102" s="782"/>
      <c r="BF102" s="782">
        <f t="shared" si="22"/>
        <v>53.300000000000011</v>
      </c>
      <c r="BG102" s="26"/>
      <c r="BH102" s="26"/>
      <c r="BI102" s="26"/>
      <c r="BJ102" s="26"/>
      <c r="BK102" s="26"/>
      <c r="BL102" s="26"/>
      <c r="BM102" s="26"/>
      <c r="BN102" s="26"/>
    </row>
    <row r="103" spans="2:66" ht="16.149999999999999" thickBot="1" x14ac:dyDescent="0.35">
      <c r="B103" s="850" t="s">
        <v>866</v>
      </c>
      <c r="C103" s="2644" t="s">
        <v>1037</v>
      </c>
      <c r="D103" s="2645" t="s">
        <v>50</v>
      </c>
      <c r="E103" s="853"/>
      <c r="F103" s="2647">
        <f>1275.1-79.95</f>
        <v>1195.1499999999999</v>
      </c>
      <c r="G103" s="853"/>
      <c r="H103" s="2647">
        <v>1022.9499999999999</v>
      </c>
      <c r="I103" s="2928"/>
      <c r="J103" s="43">
        <f t="shared" si="15"/>
        <v>2218.1</v>
      </c>
      <c r="K103" s="853"/>
      <c r="L103" s="2647">
        <f>707.25-8.2</f>
        <v>699.05</v>
      </c>
      <c r="M103" s="902"/>
      <c r="N103" s="618">
        <f t="shared" si="16"/>
        <v>2917.1499999999996</v>
      </c>
      <c r="O103" s="853"/>
      <c r="P103" s="2647">
        <v>820</v>
      </c>
      <c r="Q103" s="852"/>
      <c r="R103" s="373">
        <f t="shared" si="17"/>
        <v>3737.1499999999996</v>
      </c>
      <c r="S103" s="853"/>
      <c r="T103" s="2647">
        <v>578.1</v>
      </c>
      <c r="U103" s="852"/>
      <c r="V103" s="373">
        <f t="shared" si="18"/>
        <v>4315.25</v>
      </c>
      <c r="W103" s="853"/>
      <c r="X103" s="2647"/>
      <c r="Y103" s="575"/>
      <c r="Z103" s="4336">
        <f t="shared" si="28"/>
        <v>1398.1</v>
      </c>
      <c r="AA103" s="662"/>
      <c r="AB103" s="4337">
        <f t="shared" si="29"/>
        <v>4315.25</v>
      </c>
      <c r="AC103" s="853"/>
      <c r="AD103" s="2647">
        <v>67.650000000000006</v>
      </c>
      <c r="AE103" s="852"/>
      <c r="AF103" s="782">
        <f t="shared" si="30"/>
        <v>4382.8999999999996</v>
      </c>
      <c r="AG103" s="853"/>
      <c r="AH103" s="2647">
        <v>471.50000000000006</v>
      </c>
      <c r="AI103" s="852"/>
      <c r="AJ103" s="782">
        <f t="shared" si="24"/>
        <v>4854.3999999999996</v>
      </c>
      <c r="AK103" s="853"/>
      <c r="AL103" s="2647">
        <v>840.5</v>
      </c>
      <c r="AM103" s="575"/>
      <c r="AN103" s="575">
        <f t="shared" si="20"/>
        <v>1379.65</v>
      </c>
      <c r="AO103" s="782"/>
      <c r="AP103" s="782">
        <f t="shared" si="25"/>
        <v>5694.9</v>
      </c>
      <c r="AQ103" s="853"/>
      <c r="AR103" s="2647">
        <v>672.40000000000009</v>
      </c>
      <c r="AS103" s="852"/>
      <c r="AT103" s="782">
        <f t="shared" si="26"/>
        <v>6367.2999999999993</v>
      </c>
      <c r="AU103" s="853"/>
      <c r="AV103" s="2647"/>
      <c r="AW103" s="852"/>
      <c r="AX103" s="782">
        <f t="shared" si="27"/>
        <v>6367.2999999999993</v>
      </c>
      <c r="AY103" s="853"/>
      <c r="AZ103" s="2647">
        <v>610.9</v>
      </c>
      <c r="BA103" s="575"/>
      <c r="BB103" s="575">
        <f t="shared" si="19"/>
        <v>1283.3000000000002</v>
      </c>
      <c r="BC103" s="662"/>
      <c r="BD103" s="662">
        <f t="shared" si="21"/>
        <v>2662.9500000000003</v>
      </c>
      <c r="BE103" s="782"/>
      <c r="BF103" s="782">
        <f t="shared" si="22"/>
        <v>6978.1999999999989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ht="16.149999999999999" thickBot="1" x14ac:dyDescent="0.35">
      <c r="B104" s="850" t="s">
        <v>866</v>
      </c>
      <c r="C104" s="2644" t="s">
        <v>1038</v>
      </c>
      <c r="D104" s="2645" t="s">
        <v>50</v>
      </c>
      <c r="E104" s="853"/>
      <c r="F104" s="2647">
        <v>2150.4499999999994</v>
      </c>
      <c r="G104" s="853"/>
      <c r="H104" s="2647">
        <v>1022.9500000000002</v>
      </c>
      <c r="I104" s="2928"/>
      <c r="J104" s="43">
        <f t="shared" si="15"/>
        <v>3173.3999999999996</v>
      </c>
      <c r="K104" s="853"/>
      <c r="L104" s="2647">
        <v>824.09999999999991</v>
      </c>
      <c r="M104" s="902"/>
      <c r="N104" s="618">
        <f t="shared" si="16"/>
        <v>3997.4999999999995</v>
      </c>
      <c r="O104" s="853"/>
      <c r="P104" s="2647">
        <f>1141.85-4.1</f>
        <v>1137.75</v>
      </c>
      <c r="Q104" s="852"/>
      <c r="R104" s="373">
        <f t="shared" si="17"/>
        <v>5135.25</v>
      </c>
      <c r="S104" s="853"/>
      <c r="T104" s="2647">
        <v>2359.5500000000002</v>
      </c>
      <c r="U104" s="852"/>
      <c r="V104" s="373">
        <f t="shared" si="18"/>
        <v>7494.8</v>
      </c>
      <c r="W104" s="853"/>
      <c r="X104" s="2647">
        <v>1596.9499999999998</v>
      </c>
      <c r="Y104" s="575"/>
      <c r="Z104" s="4336">
        <f t="shared" si="28"/>
        <v>5094.25</v>
      </c>
      <c r="AA104" s="662"/>
      <c r="AB104" s="4337">
        <f t="shared" si="29"/>
        <v>9091.75</v>
      </c>
      <c r="AC104" s="853"/>
      <c r="AD104" s="2647">
        <v>2119.6999999999998</v>
      </c>
      <c r="AE104" s="852"/>
      <c r="AF104" s="782">
        <f t="shared" si="30"/>
        <v>11211.45</v>
      </c>
      <c r="AG104" s="853"/>
      <c r="AH104" s="2647"/>
      <c r="AI104" s="852"/>
      <c r="AJ104" s="782">
        <f t="shared" si="24"/>
        <v>11211.45</v>
      </c>
      <c r="AK104" s="853"/>
      <c r="AL104" s="2647">
        <f>3087.3-98.4</f>
        <v>2988.9</v>
      </c>
      <c r="AM104" s="575"/>
      <c r="AN104" s="575">
        <f t="shared" si="20"/>
        <v>5108.6000000000004</v>
      </c>
      <c r="AO104" s="782"/>
      <c r="AP104" s="782">
        <f t="shared" si="25"/>
        <v>14200.35</v>
      </c>
      <c r="AQ104" s="853"/>
      <c r="AR104" s="2647">
        <v>2255</v>
      </c>
      <c r="AS104" s="852"/>
      <c r="AT104" s="782">
        <f t="shared" si="26"/>
        <v>16455.349999999999</v>
      </c>
      <c r="AU104" s="853"/>
      <c r="AV104" s="2647"/>
      <c r="AW104" s="852"/>
      <c r="AX104" s="782">
        <f t="shared" si="27"/>
        <v>16455.349999999999</v>
      </c>
      <c r="AY104" s="853"/>
      <c r="AZ104" s="2647">
        <v>1691.2499999999998</v>
      </c>
      <c r="BA104" s="575"/>
      <c r="BB104" s="575">
        <f t="shared" si="19"/>
        <v>3946.25</v>
      </c>
      <c r="BC104" s="662"/>
      <c r="BD104" s="662">
        <f t="shared" si="21"/>
        <v>9054.85</v>
      </c>
      <c r="BE104" s="782"/>
      <c r="BF104" s="782">
        <f t="shared" si="22"/>
        <v>18146.599999999999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ht="16.149999999999999" thickBot="1" x14ac:dyDescent="0.35">
      <c r="B105" s="850" t="s">
        <v>866</v>
      </c>
      <c r="C105" s="2644" t="s">
        <v>1464</v>
      </c>
      <c r="D105" s="2645" t="s">
        <v>50</v>
      </c>
      <c r="E105" s="853"/>
      <c r="F105" s="1693">
        <v>161.94999999999999</v>
      </c>
      <c r="G105" s="853"/>
      <c r="H105" s="1693"/>
      <c r="I105" s="2928"/>
      <c r="J105" s="43">
        <f t="shared" si="15"/>
        <v>161.94999999999999</v>
      </c>
      <c r="K105" s="853"/>
      <c r="L105" s="1693"/>
      <c r="M105" s="902"/>
      <c r="N105" s="618">
        <f t="shared" si="16"/>
        <v>161.94999999999999</v>
      </c>
      <c r="O105" s="853"/>
      <c r="P105" s="1693"/>
      <c r="Q105" s="852"/>
      <c r="R105" s="373">
        <f t="shared" si="17"/>
        <v>161.94999999999999</v>
      </c>
      <c r="S105" s="853"/>
      <c r="T105" s="1693"/>
      <c r="U105" s="852"/>
      <c r="V105" s="373">
        <f t="shared" si="18"/>
        <v>161.94999999999999</v>
      </c>
      <c r="W105" s="853"/>
      <c r="X105" s="1693"/>
      <c r="Y105" s="575"/>
      <c r="Z105" s="4336">
        <f t="shared" si="28"/>
        <v>0</v>
      </c>
      <c r="AA105" s="662"/>
      <c r="AB105" s="4337">
        <f t="shared" si="29"/>
        <v>161.94999999999999</v>
      </c>
      <c r="AC105" s="853"/>
      <c r="AD105" s="1693"/>
      <c r="AE105" s="852"/>
      <c r="AF105" s="782">
        <f t="shared" si="30"/>
        <v>161.94999999999999</v>
      </c>
      <c r="AG105" s="853"/>
      <c r="AH105" s="1693"/>
      <c r="AI105" s="852"/>
      <c r="AJ105" s="782">
        <f t="shared" si="24"/>
        <v>161.94999999999999</v>
      </c>
      <c r="AK105" s="853"/>
      <c r="AL105" s="1693"/>
      <c r="AM105" s="575"/>
      <c r="AN105" s="575">
        <f t="shared" si="20"/>
        <v>0</v>
      </c>
      <c r="AO105" s="782"/>
      <c r="AP105" s="782">
        <f t="shared" si="25"/>
        <v>161.94999999999999</v>
      </c>
      <c r="AQ105" s="853"/>
      <c r="AR105" s="1693">
        <v>202.95</v>
      </c>
      <c r="AS105" s="852"/>
      <c r="AT105" s="782">
        <f t="shared" si="26"/>
        <v>364.9</v>
      </c>
      <c r="AU105" s="853"/>
      <c r="AV105" s="1693"/>
      <c r="AW105" s="852"/>
      <c r="AX105" s="782">
        <f t="shared" si="27"/>
        <v>364.9</v>
      </c>
      <c r="AY105" s="853"/>
      <c r="AZ105" s="1693"/>
      <c r="BA105" s="575"/>
      <c r="BB105" s="575">
        <f t="shared" si="19"/>
        <v>202.95</v>
      </c>
      <c r="BC105" s="662"/>
      <c r="BD105" s="662">
        <f t="shared" si="21"/>
        <v>202.95</v>
      </c>
      <c r="BE105" s="782"/>
      <c r="BF105" s="782">
        <f t="shared" si="22"/>
        <v>364.9</v>
      </c>
      <c r="BG105" s="26"/>
      <c r="BH105" s="26"/>
      <c r="BI105" s="26"/>
      <c r="BJ105" s="26"/>
      <c r="BK105" s="26"/>
      <c r="BL105" s="26"/>
      <c r="BM105" s="26"/>
      <c r="BN105" s="26"/>
    </row>
    <row r="106" spans="2:66" ht="16.149999999999999" thickBot="1" x14ac:dyDescent="0.35">
      <c r="B106" s="2919" t="s">
        <v>866</v>
      </c>
      <c r="C106" s="2920" t="s">
        <v>1466</v>
      </c>
      <c r="D106" s="2921" t="s">
        <v>50</v>
      </c>
      <c r="E106" s="2929"/>
      <c r="F106" s="2931">
        <v>127.1</v>
      </c>
      <c r="G106" s="2929"/>
      <c r="H106" s="2931"/>
      <c r="I106" s="2930"/>
      <c r="J106" s="43">
        <f t="shared" si="15"/>
        <v>127.1</v>
      </c>
      <c r="K106" s="2929"/>
      <c r="L106" s="2931"/>
      <c r="M106" s="902"/>
      <c r="N106" s="618">
        <f t="shared" si="16"/>
        <v>127.1</v>
      </c>
      <c r="O106" s="2929"/>
      <c r="P106" s="2931"/>
      <c r="Q106" s="852"/>
      <c r="R106" s="373">
        <f t="shared" si="17"/>
        <v>127.1</v>
      </c>
      <c r="S106" s="2929"/>
      <c r="T106" s="2931"/>
      <c r="U106" s="852"/>
      <c r="V106" s="373">
        <f t="shared" si="18"/>
        <v>127.1</v>
      </c>
      <c r="W106" s="2929"/>
      <c r="X106" s="2931"/>
      <c r="Y106" s="575"/>
      <c r="Z106" s="4336">
        <f t="shared" si="28"/>
        <v>0</v>
      </c>
      <c r="AA106" s="662"/>
      <c r="AB106" s="4337">
        <f t="shared" si="29"/>
        <v>127.1</v>
      </c>
      <c r="AC106" s="2929"/>
      <c r="AD106" s="2931"/>
      <c r="AE106" s="852"/>
      <c r="AF106" s="782">
        <f t="shared" si="30"/>
        <v>127.1</v>
      </c>
      <c r="AG106" s="2929"/>
      <c r="AH106" s="2931">
        <v>184.5</v>
      </c>
      <c r="AI106" s="852"/>
      <c r="AJ106" s="782">
        <f t="shared" si="24"/>
        <v>311.60000000000002</v>
      </c>
      <c r="AK106" s="2929"/>
      <c r="AL106" s="2931"/>
      <c r="AM106" s="575"/>
      <c r="AN106" s="575">
        <f t="shared" si="20"/>
        <v>184.5</v>
      </c>
      <c r="AO106" s="782"/>
      <c r="AP106" s="782">
        <f t="shared" si="25"/>
        <v>311.60000000000002</v>
      </c>
      <c r="AQ106" s="2929"/>
      <c r="AR106" s="2931">
        <v>328</v>
      </c>
      <c r="AS106" s="852"/>
      <c r="AT106" s="782">
        <f t="shared" si="26"/>
        <v>639.6</v>
      </c>
      <c r="AU106" s="2929"/>
      <c r="AV106" s="2931"/>
      <c r="AW106" s="852"/>
      <c r="AX106" s="782">
        <f t="shared" si="27"/>
        <v>639.6</v>
      </c>
      <c r="AY106" s="2929"/>
      <c r="AZ106" s="2931"/>
      <c r="BA106" s="575"/>
      <c r="BB106" s="575">
        <f t="shared" si="19"/>
        <v>328</v>
      </c>
      <c r="BC106" s="662"/>
      <c r="BD106" s="662">
        <f t="shared" si="21"/>
        <v>512.5</v>
      </c>
      <c r="BE106" s="782"/>
      <c r="BF106" s="782">
        <f t="shared" si="22"/>
        <v>639.6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ht="16.149999999999999" thickBot="1" x14ac:dyDescent="0.35">
      <c r="B107" s="2915" t="s">
        <v>1327</v>
      </c>
      <c r="C107" s="2916" t="s">
        <v>1037</v>
      </c>
      <c r="D107" s="2917" t="s">
        <v>50</v>
      </c>
      <c r="E107" s="2926"/>
      <c r="F107" s="2926"/>
      <c r="G107" s="2926"/>
      <c r="H107" s="2926"/>
      <c r="I107" s="2927"/>
      <c r="J107" s="43">
        <f t="shared" si="15"/>
        <v>0</v>
      </c>
      <c r="K107" s="2926"/>
      <c r="L107" s="2926"/>
      <c r="M107" s="902"/>
      <c r="N107" s="618">
        <f t="shared" si="16"/>
        <v>0</v>
      </c>
      <c r="O107" s="2926"/>
      <c r="P107" s="2926"/>
      <c r="Q107" s="852"/>
      <c r="R107" s="373">
        <f t="shared" si="17"/>
        <v>0</v>
      </c>
      <c r="S107" s="2926"/>
      <c r="T107" s="2926"/>
      <c r="U107" s="852"/>
      <c r="V107" s="373">
        <f t="shared" si="18"/>
        <v>0</v>
      </c>
      <c r="W107" s="2926"/>
      <c r="X107" s="2926"/>
      <c r="Y107" s="575"/>
      <c r="Z107" s="4336">
        <f t="shared" si="28"/>
        <v>0</v>
      </c>
      <c r="AA107" s="662"/>
      <c r="AB107" s="4337">
        <f t="shared" si="29"/>
        <v>0</v>
      </c>
      <c r="AC107" s="2926"/>
      <c r="AD107" s="2926"/>
      <c r="AE107" s="852"/>
      <c r="AF107" s="782">
        <f t="shared" si="30"/>
        <v>0</v>
      </c>
      <c r="AG107" s="2926"/>
      <c r="AH107" s="2926"/>
      <c r="AI107" s="852"/>
      <c r="AJ107" s="782">
        <f t="shared" si="24"/>
        <v>0</v>
      </c>
      <c r="AK107" s="2926"/>
      <c r="AL107" s="2926"/>
      <c r="AM107" s="575"/>
      <c r="AN107" s="575">
        <f t="shared" si="20"/>
        <v>0</v>
      </c>
      <c r="AO107" s="782"/>
      <c r="AP107" s="782">
        <f t="shared" si="25"/>
        <v>0</v>
      </c>
      <c r="AQ107" s="2926"/>
      <c r="AR107" s="2926"/>
      <c r="AS107" s="852"/>
      <c r="AT107" s="782">
        <f t="shared" si="26"/>
        <v>0</v>
      </c>
      <c r="AU107" s="2926"/>
      <c r="AV107" s="2926"/>
      <c r="AW107" s="852"/>
      <c r="AX107" s="782">
        <f t="shared" si="27"/>
        <v>0</v>
      </c>
      <c r="AY107" s="2926"/>
      <c r="AZ107" s="2926"/>
      <c r="BA107" s="575"/>
      <c r="BB107" s="575">
        <f t="shared" si="19"/>
        <v>0</v>
      </c>
      <c r="BC107" s="662"/>
      <c r="BD107" s="662">
        <f t="shared" si="21"/>
        <v>0</v>
      </c>
      <c r="BE107" s="782"/>
      <c r="BF107" s="782">
        <f t="shared" si="22"/>
        <v>0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ht="16.149999999999999" thickBot="1" x14ac:dyDescent="0.35">
      <c r="B108" s="2919" t="s">
        <v>1327</v>
      </c>
      <c r="C108" s="2920" t="s">
        <v>1038</v>
      </c>
      <c r="D108" s="2921" t="s">
        <v>50</v>
      </c>
      <c r="E108" s="2929"/>
      <c r="F108" s="2929"/>
      <c r="G108" s="2929"/>
      <c r="H108" s="2929"/>
      <c r="I108" s="2930"/>
      <c r="J108" s="43">
        <f t="shared" si="15"/>
        <v>0</v>
      </c>
      <c r="K108" s="2929"/>
      <c r="L108" s="2929"/>
      <c r="M108" s="902"/>
      <c r="N108" s="618">
        <f t="shared" si="16"/>
        <v>0</v>
      </c>
      <c r="O108" s="2929"/>
      <c r="P108" s="2929"/>
      <c r="Q108" s="852"/>
      <c r="R108" s="373">
        <f t="shared" si="17"/>
        <v>0</v>
      </c>
      <c r="S108" s="2929"/>
      <c r="T108" s="2929"/>
      <c r="U108" s="852"/>
      <c r="V108" s="373">
        <f t="shared" si="18"/>
        <v>0</v>
      </c>
      <c r="W108" s="2929"/>
      <c r="X108" s="2929"/>
      <c r="Y108" s="575"/>
      <c r="Z108" s="4336">
        <f t="shared" si="28"/>
        <v>0</v>
      </c>
      <c r="AA108" s="662"/>
      <c r="AB108" s="4337">
        <f t="shared" si="29"/>
        <v>0</v>
      </c>
      <c r="AC108" s="2929"/>
      <c r="AD108" s="2929"/>
      <c r="AE108" s="852"/>
      <c r="AF108" s="782">
        <f t="shared" si="30"/>
        <v>0</v>
      </c>
      <c r="AG108" s="2929"/>
      <c r="AH108" s="2929"/>
      <c r="AI108" s="852"/>
      <c r="AJ108" s="782">
        <f t="shared" si="24"/>
        <v>0</v>
      </c>
      <c r="AK108" s="2929"/>
      <c r="AL108" s="2929"/>
      <c r="AM108" s="575"/>
      <c r="AN108" s="575">
        <f t="shared" si="20"/>
        <v>0</v>
      </c>
      <c r="AO108" s="782"/>
      <c r="AP108" s="782">
        <f t="shared" si="25"/>
        <v>0</v>
      </c>
      <c r="AQ108" s="2929"/>
      <c r="AR108" s="2929"/>
      <c r="AS108" s="852"/>
      <c r="AT108" s="782">
        <f t="shared" si="26"/>
        <v>0</v>
      </c>
      <c r="AU108" s="2929"/>
      <c r="AV108" s="2929"/>
      <c r="AW108" s="852"/>
      <c r="AX108" s="782">
        <f t="shared" si="27"/>
        <v>0</v>
      </c>
      <c r="AY108" s="2929"/>
      <c r="AZ108" s="2929"/>
      <c r="BA108" s="575"/>
      <c r="BB108" s="575">
        <f t="shared" si="19"/>
        <v>0</v>
      </c>
      <c r="BC108" s="662"/>
      <c r="BD108" s="662">
        <f t="shared" si="21"/>
        <v>0</v>
      </c>
      <c r="BE108" s="782"/>
      <c r="BF108" s="782">
        <f t="shared" si="22"/>
        <v>0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ht="15" customHeight="1" thickBot="1" x14ac:dyDescent="0.35">
      <c r="B109" s="2915" t="s">
        <v>882</v>
      </c>
      <c r="C109" s="2916" t="s">
        <v>1037</v>
      </c>
      <c r="D109" s="2917" t="s">
        <v>50</v>
      </c>
      <c r="E109" s="2926"/>
      <c r="F109" s="158">
        <f>1022.95-26.65</f>
        <v>996.30000000000007</v>
      </c>
      <c r="G109" s="2926"/>
      <c r="H109" s="158">
        <v>1002.45</v>
      </c>
      <c r="I109" s="2927"/>
      <c r="J109" s="43">
        <f t="shared" si="15"/>
        <v>1998.75</v>
      </c>
      <c r="K109" s="2926"/>
      <c r="L109" s="158"/>
      <c r="M109" s="902"/>
      <c r="N109" s="618">
        <f t="shared" si="16"/>
        <v>1998.75</v>
      </c>
      <c r="O109" s="2926"/>
      <c r="P109" s="158"/>
      <c r="Q109" s="852"/>
      <c r="R109" s="373">
        <f t="shared" si="17"/>
        <v>1998.75</v>
      </c>
      <c r="S109" s="2926"/>
      <c r="T109" s="158"/>
      <c r="U109" s="852"/>
      <c r="V109" s="373">
        <f t="shared" si="18"/>
        <v>1998.75</v>
      </c>
      <c r="W109" s="2926"/>
      <c r="X109" s="158"/>
      <c r="Y109" s="575"/>
      <c r="Z109" s="4336">
        <f t="shared" si="28"/>
        <v>0</v>
      </c>
      <c r="AA109" s="662"/>
      <c r="AB109" s="4337">
        <f t="shared" si="29"/>
        <v>1998.75</v>
      </c>
      <c r="AC109" s="2926"/>
      <c r="AD109" s="158"/>
      <c r="AE109" s="852"/>
      <c r="AF109" s="782">
        <f t="shared" si="30"/>
        <v>1998.75</v>
      </c>
      <c r="AG109" s="2926"/>
      <c r="AH109" s="158"/>
      <c r="AI109" s="852"/>
      <c r="AJ109" s="782">
        <f t="shared" si="24"/>
        <v>1998.75</v>
      </c>
      <c r="AK109" s="2926"/>
      <c r="AL109" s="158">
        <v>680.6</v>
      </c>
      <c r="AM109" s="575"/>
      <c r="AN109" s="575">
        <f t="shared" si="20"/>
        <v>680.6</v>
      </c>
      <c r="AO109" s="782"/>
      <c r="AP109" s="782">
        <f t="shared" si="25"/>
        <v>2679.35</v>
      </c>
      <c r="AQ109" s="2926"/>
      <c r="AR109" s="158">
        <v>250.1</v>
      </c>
      <c r="AS109" s="852"/>
      <c r="AT109" s="782">
        <f t="shared" si="26"/>
        <v>2929.45</v>
      </c>
      <c r="AU109" s="2926"/>
      <c r="AV109" s="158"/>
      <c r="AW109" s="852"/>
      <c r="AX109" s="782">
        <f t="shared" si="27"/>
        <v>2929.45</v>
      </c>
      <c r="AY109" s="2926"/>
      <c r="AZ109" s="158">
        <v>717.49999999999989</v>
      </c>
      <c r="BA109" s="575"/>
      <c r="BB109" s="575">
        <f t="shared" si="19"/>
        <v>967.59999999999991</v>
      </c>
      <c r="BC109" s="662"/>
      <c r="BD109" s="662">
        <f t="shared" si="21"/>
        <v>1648.1999999999998</v>
      </c>
      <c r="BE109" s="782"/>
      <c r="BF109" s="782">
        <f t="shared" si="22"/>
        <v>3646.95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ht="16.149999999999999" thickBot="1" x14ac:dyDescent="0.35">
      <c r="B110" s="850" t="s">
        <v>882</v>
      </c>
      <c r="C110" s="2644" t="s">
        <v>1038</v>
      </c>
      <c r="D110" s="2645" t="s">
        <v>50</v>
      </c>
      <c r="E110" s="853"/>
      <c r="F110" s="2647">
        <v>617.04999999999995</v>
      </c>
      <c r="G110" s="853"/>
      <c r="H110" s="2647">
        <v>516.6</v>
      </c>
      <c r="I110" s="2928"/>
      <c r="J110" s="43">
        <f t="shared" si="15"/>
        <v>1133.6500000000001</v>
      </c>
      <c r="K110" s="853"/>
      <c r="L110" s="2647"/>
      <c r="M110" s="902"/>
      <c r="N110" s="618">
        <f t="shared" si="16"/>
        <v>1133.6500000000001</v>
      </c>
      <c r="O110" s="853"/>
      <c r="P110" s="2647"/>
      <c r="Q110" s="852"/>
      <c r="R110" s="373">
        <f t="shared" si="17"/>
        <v>1133.6500000000001</v>
      </c>
      <c r="S110" s="853"/>
      <c r="T110" s="2647"/>
      <c r="U110" s="852"/>
      <c r="V110" s="373">
        <f t="shared" si="18"/>
        <v>1133.6500000000001</v>
      </c>
      <c r="W110" s="853"/>
      <c r="X110" s="2647"/>
      <c r="Y110" s="575"/>
      <c r="Z110" s="4336">
        <f t="shared" si="28"/>
        <v>0</v>
      </c>
      <c r="AA110" s="662"/>
      <c r="AB110" s="4337">
        <f t="shared" si="29"/>
        <v>1133.6500000000001</v>
      </c>
      <c r="AC110" s="853"/>
      <c r="AD110" s="2647"/>
      <c r="AE110" s="852"/>
      <c r="AF110" s="782">
        <f t="shared" si="30"/>
        <v>1133.6500000000001</v>
      </c>
      <c r="AG110" s="853"/>
      <c r="AH110" s="2647"/>
      <c r="AI110" s="852"/>
      <c r="AJ110" s="782">
        <f t="shared" si="24"/>
        <v>1133.6500000000001</v>
      </c>
      <c r="AK110" s="853"/>
      <c r="AL110" s="2647">
        <v>658.05000000000007</v>
      </c>
      <c r="AM110" s="575"/>
      <c r="AN110" s="575">
        <f t="shared" si="20"/>
        <v>658.05000000000007</v>
      </c>
      <c r="AO110" s="782"/>
      <c r="AP110" s="782">
        <f t="shared" si="25"/>
        <v>1791.7000000000003</v>
      </c>
      <c r="AQ110" s="853"/>
      <c r="AR110" s="2647"/>
      <c r="AS110" s="852"/>
      <c r="AT110" s="782">
        <f t="shared" si="26"/>
        <v>1791.7000000000003</v>
      </c>
      <c r="AU110" s="853"/>
      <c r="AV110" s="2647"/>
      <c r="AW110" s="852"/>
      <c r="AX110" s="782">
        <f t="shared" si="27"/>
        <v>1791.7000000000003</v>
      </c>
      <c r="AY110" s="853"/>
      <c r="AZ110" s="2647">
        <v>280.85000000000002</v>
      </c>
      <c r="BA110" s="575"/>
      <c r="BB110" s="575">
        <f t="shared" si="19"/>
        <v>280.85000000000002</v>
      </c>
      <c r="BC110" s="662"/>
      <c r="BD110" s="662">
        <f t="shared" si="21"/>
        <v>938.90000000000009</v>
      </c>
      <c r="BE110" s="782"/>
      <c r="BF110" s="782">
        <f t="shared" si="22"/>
        <v>2072.5500000000002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ht="16.149999999999999" thickBot="1" x14ac:dyDescent="0.35">
      <c r="B111" s="4060" t="s">
        <v>882</v>
      </c>
      <c r="C111" s="4061" t="s">
        <v>1464</v>
      </c>
      <c r="D111" s="3204" t="s">
        <v>50</v>
      </c>
      <c r="E111" s="4062"/>
      <c r="F111" s="2940"/>
      <c r="G111" s="4062"/>
      <c r="H111" s="2940"/>
      <c r="I111" s="4063"/>
      <c r="J111" s="43">
        <f t="shared" si="15"/>
        <v>0</v>
      </c>
      <c r="K111" s="4062"/>
      <c r="L111" s="2940"/>
      <c r="M111" s="2896"/>
      <c r="N111" s="618">
        <f t="shared" si="16"/>
        <v>0</v>
      </c>
      <c r="O111" s="4062"/>
      <c r="P111" s="2940"/>
      <c r="Q111" s="2928"/>
      <c r="R111" s="373">
        <f t="shared" si="17"/>
        <v>0</v>
      </c>
      <c r="S111" s="4062"/>
      <c r="T111" s="2940"/>
      <c r="U111" s="2928"/>
      <c r="V111" s="373">
        <f t="shared" si="18"/>
        <v>0</v>
      </c>
      <c r="W111" s="4062"/>
      <c r="X111" s="2940"/>
      <c r="Y111" s="2650"/>
      <c r="Z111" s="4336">
        <f t="shared" si="28"/>
        <v>0</v>
      </c>
      <c r="AA111" s="662"/>
      <c r="AB111" s="4337">
        <f t="shared" si="29"/>
        <v>0</v>
      </c>
      <c r="AC111" s="4120"/>
      <c r="AD111" s="1215"/>
      <c r="AE111" s="2928"/>
      <c r="AF111" s="782">
        <f t="shared" si="30"/>
        <v>0</v>
      </c>
      <c r="AG111" s="4120"/>
      <c r="AH111" s="1215"/>
      <c r="AI111" s="2928"/>
      <c r="AJ111" s="782">
        <f t="shared" si="24"/>
        <v>0</v>
      </c>
      <c r="AK111" s="4120"/>
      <c r="AL111" s="1215">
        <v>202.95</v>
      </c>
      <c r="AM111" s="2650"/>
      <c r="AN111" s="575">
        <f t="shared" si="20"/>
        <v>202.95</v>
      </c>
      <c r="AO111" s="2648"/>
      <c r="AP111" s="782">
        <f t="shared" si="25"/>
        <v>202.95</v>
      </c>
      <c r="AQ111" s="4120"/>
      <c r="AR111" s="1215">
        <v>233.7</v>
      </c>
      <c r="AS111" s="2928"/>
      <c r="AT111" s="782">
        <f t="shared" si="26"/>
        <v>436.65</v>
      </c>
      <c r="AU111" s="4120"/>
      <c r="AV111" s="1215"/>
      <c r="AW111" s="2928"/>
      <c r="AX111" s="782">
        <f t="shared" si="27"/>
        <v>436.65</v>
      </c>
      <c r="AY111" s="4120"/>
      <c r="AZ111" s="1215"/>
      <c r="BA111" s="2650"/>
      <c r="BB111" s="575">
        <f t="shared" si="19"/>
        <v>233.7</v>
      </c>
      <c r="BC111" s="2651"/>
      <c r="BD111" s="662">
        <f t="shared" si="21"/>
        <v>436.65</v>
      </c>
      <c r="BE111" s="2648"/>
      <c r="BF111" s="782">
        <f t="shared" si="22"/>
        <v>436.65</v>
      </c>
      <c r="BG111" s="26"/>
      <c r="BH111" s="26"/>
      <c r="BI111" s="26"/>
      <c r="BJ111" s="26"/>
      <c r="BK111" s="26"/>
      <c r="BL111" s="26"/>
      <c r="BM111" s="26"/>
      <c r="BN111" s="26"/>
    </row>
    <row r="112" spans="2:66" ht="16.149999999999999" thickBot="1" x14ac:dyDescent="0.35">
      <c r="B112" s="2919" t="s">
        <v>882</v>
      </c>
      <c r="C112" s="2920" t="s">
        <v>1466</v>
      </c>
      <c r="D112" s="2921" t="s">
        <v>50</v>
      </c>
      <c r="E112" s="2929"/>
      <c r="F112" s="109"/>
      <c r="G112" s="2929"/>
      <c r="H112" s="109"/>
      <c r="I112" s="2930"/>
      <c r="J112" s="43">
        <f t="shared" si="15"/>
        <v>0</v>
      </c>
      <c r="K112" s="2929"/>
      <c r="L112" s="109"/>
      <c r="M112" s="902"/>
      <c r="N112" s="618">
        <f t="shared" si="16"/>
        <v>0</v>
      </c>
      <c r="O112" s="2929"/>
      <c r="P112" s="109"/>
      <c r="Q112" s="852"/>
      <c r="R112" s="373">
        <f t="shared" si="17"/>
        <v>0</v>
      </c>
      <c r="S112" s="2929"/>
      <c r="T112" s="109"/>
      <c r="U112" s="852"/>
      <c r="V112" s="373">
        <f t="shared" si="18"/>
        <v>0</v>
      </c>
      <c r="W112" s="2929"/>
      <c r="X112" s="109"/>
      <c r="Y112" s="575"/>
      <c r="Z112" s="4336">
        <f t="shared" si="28"/>
        <v>0</v>
      </c>
      <c r="AA112" s="662"/>
      <c r="AB112" s="4337">
        <f t="shared" si="29"/>
        <v>0</v>
      </c>
      <c r="AC112" s="2929"/>
      <c r="AD112" s="109"/>
      <c r="AE112" s="852"/>
      <c r="AF112" s="782">
        <f t="shared" si="30"/>
        <v>0</v>
      </c>
      <c r="AG112" s="2929"/>
      <c r="AH112" s="109"/>
      <c r="AI112" s="852"/>
      <c r="AJ112" s="782">
        <f t="shared" si="24"/>
        <v>0</v>
      </c>
      <c r="AK112" s="2929"/>
      <c r="AL112" s="109">
        <v>280.85000000000002</v>
      </c>
      <c r="AM112" s="575"/>
      <c r="AN112" s="575">
        <f t="shared" si="20"/>
        <v>280.85000000000002</v>
      </c>
      <c r="AO112" s="782"/>
      <c r="AP112" s="782">
        <f t="shared" si="25"/>
        <v>280.85000000000002</v>
      </c>
      <c r="AQ112" s="2929"/>
      <c r="AR112" s="109"/>
      <c r="AS112" s="852"/>
      <c r="AT112" s="782">
        <f t="shared" si="26"/>
        <v>280.85000000000002</v>
      </c>
      <c r="AU112" s="2929"/>
      <c r="AV112" s="109"/>
      <c r="AW112" s="852"/>
      <c r="AX112" s="782">
        <f t="shared" si="27"/>
        <v>280.85000000000002</v>
      </c>
      <c r="AY112" s="2929"/>
      <c r="AZ112" s="109"/>
      <c r="BA112" s="575"/>
      <c r="BB112" s="575">
        <f t="shared" si="19"/>
        <v>0</v>
      </c>
      <c r="BC112" s="662"/>
      <c r="BD112" s="662">
        <f t="shared" si="21"/>
        <v>280.85000000000002</v>
      </c>
      <c r="BE112" s="782"/>
      <c r="BF112" s="782">
        <f t="shared" si="22"/>
        <v>280.85000000000002</v>
      </c>
      <c r="BG112" s="26"/>
      <c r="BH112" s="26"/>
      <c r="BI112" s="26"/>
      <c r="BJ112" s="26"/>
      <c r="BK112" s="26"/>
      <c r="BL112" s="26"/>
      <c r="BM112" s="26"/>
      <c r="BN112" s="26"/>
    </row>
    <row r="113" spans="2:66" ht="16.149999999999999" thickBot="1" x14ac:dyDescent="0.35">
      <c r="B113" s="2915" t="s">
        <v>865</v>
      </c>
      <c r="C113" s="2916" t="s">
        <v>1037</v>
      </c>
      <c r="D113" s="2917" t="s">
        <v>50</v>
      </c>
      <c r="E113" s="2917"/>
      <c r="F113" s="158">
        <f>1016.8-14.35</f>
        <v>1002.4499999999999</v>
      </c>
      <c r="G113" s="2917"/>
      <c r="H113" s="158">
        <v>559.65</v>
      </c>
      <c r="I113" s="2927"/>
      <c r="J113" s="43">
        <f t="shared" si="15"/>
        <v>1562.1</v>
      </c>
      <c r="K113" s="2917"/>
      <c r="L113" s="158">
        <v>1086.5</v>
      </c>
      <c r="M113" s="902"/>
      <c r="N113" s="618">
        <f t="shared" si="16"/>
        <v>2648.6</v>
      </c>
      <c r="O113" s="2917"/>
      <c r="P113" s="158"/>
      <c r="Q113" s="852"/>
      <c r="R113" s="373">
        <f t="shared" si="17"/>
        <v>2648.6</v>
      </c>
      <c r="S113" s="2917"/>
      <c r="T113" s="158"/>
      <c r="U113" s="852"/>
      <c r="V113" s="373">
        <f t="shared" si="18"/>
        <v>2648.6</v>
      </c>
      <c r="W113" s="2917"/>
      <c r="X113" s="158"/>
      <c r="Y113" s="575"/>
      <c r="Z113" s="4336">
        <f t="shared" si="28"/>
        <v>0</v>
      </c>
      <c r="AA113" s="662"/>
      <c r="AB113" s="4337">
        <f t="shared" si="29"/>
        <v>2648.6</v>
      </c>
      <c r="AC113" s="2917"/>
      <c r="AD113" s="158"/>
      <c r="AE113" s="852"/>
      <c r="AF113" s="782">
        <f t="shared" si="30"/>
        <v>2648.6</v>
      </c>
      <c r="AG113" s="2917"/>
      <c r="AH113" s="158">
        <v>438.70000000000005</v>
      </c>
      <c r="AI113" s="852"/>
      <c r="AJ113" s="782">
        <f t="shared" si="24"/>
        <v>3087.3</v>
      </c>
      <c r="AK113" s="2917"/>
      <c r="AL113" s="158">
        <f>1236.15-10.25</f>
        <v>1225.9000000000001</v>
      </c>
      <c r="AM113" s="575"/>
      <c r="AN113" s="575">
        <f t="shared" si="20"/>
        <v>1664.6000000000001</v>
      </c>
      <c r="AO113" s="782"/>
      <c r="AP113" s="782">
        <f t="shared" si="25"/>
        <v>4313.2000000000007</v>
      </c>
      <c r="AQ113" s="2917"/>
      <c r="AR113" s="158"/>
      <c r="AS113" s="852"/>
      <c r="AT113" s="782">
        <f t="shared" si="26"/>
        <v>4313.2000000000007</v>
      </c>
      <c r="AU113" s="2917"/>
      <c r="AV113" s="158"/>
      <c r="AW113" s="852"/>
      <c r="AX113" s="782">
        <f t="shared" si="27"/>
        <v>4313.2000000000007</v>
      </c>
      <c r="AY113" s="2917"/>
      <c r="AZ113" s="158">
        <v>912.24999999999977</v>
      </c>
      <c r="BA113" s="575"/>
      <c r="BB113" s="575">
        <f t="shared" si="19"/>
        <v>912.24999999999977</v>
      </c>
      <c r="BC113" s="662"/>
      <c r="BD113" s="662">
        <f t="shared" si="21"/>
        <v>2576.85</v>
      </c>
      <c r="BE113" s="782"/>
      <c r="BF113" s="782">
        <f t="shared" si="22"/>
        <v>5225.4500000000007</v>
      </c>
      <c r="BG113" s="26"/>
      <c r="BH113" s="26"/>
      <c r="BI113" s="26"/>
      <c r="BJ113" s="26"/>
      <c r="BK113" s="26"/>
      <c r="BL113" s="26"/>
      <c r="BM113" s="26"/>
      <c r="BN113" s="26"/>
    </row>
    <row r="114" spans="2:66" ht="16.149999999999999" thickBot="1" x14ac:dyDescent="0.35">
      <c r="B114" s="850" t="s">
        <v>865</v>
      </c>
      <c r="C114" s="2644" t="s">
        <v>977</v>
      </c>
      <c r="D114" s="2645" t="s">
        <v>50</v>
      </c>
      <c r="E114" s="1721"/>
      <c r="F114" s="2647"/>
      <c r="G114" s="1721"/>
      <c r="H114" s="2647"/>
      <c r="I114" s="2928"/>
      <c r="J114" s="43">
        <f t="shared" si="15"/>
        <v>0</v>
      </c>
      <c r="K114" s="1721"/>
      <c r="L114" s="2647"/>
      <c r="M114" s="902"/>
      <c r="N114" s="618">
        <f t="shared" si="16"/>
        <v>0</v>
      </c>
      <c r="O114" s="1721"/>
      <c r="P114" s="2647"/>
      <c r="Q114" s="852"/>
      <c r="R114" s="373">
        <f t="shared" si="17"/>
        <v>0</v>
      </c>
      <c r="S114" s="1721"/>
      <c r="T114" s="2647"/>
      <c r="U114" s="852"/>
      <c r="V114" s="373">
        <f t="shared" si="18"/>
        <v>0</v>
      </c>
      <c r="W114" s="1721"/>
      <c r="X114" s="2647"/>
      <c r="Y114" s="575"/>
      <c r="Z114" s="4336">
        <f t="shared" si="28"/>
        <v>0</v>
      </c>
      <c r="AA114" s="662"/>
      <c r="AB114" s="4337">
        <f t="shared" si="29"/>
        <v>0</v>
      </c>
      <c r="AC114" s="1721"/>
      <c r="AD114" s="2647"/>
      <c r="AE114" s="852"/>
      <c r="AF114" s="782">
        <f t="shared" si="30"/>
        <v>0</v>
      </c>
      <c r="AG114" s="1721"/>
      <c r="AH114" s="2647"/>
      <c r="AI114" s="852"/>
      <c r="AJ114" s="782">
        <f t="shared" si="24"/>
        <v>0</v>
      </c>
      <c r="AK114" s="1721"/>
      <c r="AL114" s="2647"/>
      <c r="AM114" s="575"/>
      <c r="AN114" s="575">
        <f t="shared" si="20"/>
        <v>0</v>
      </c>
      <c r="AO114" s="782"/>
      <c r="AP114" s="782">
        <f t="shared" si="25"/>
        <v>0</v>
      </c>
      <c r="AQ114" s="1721"/>
      <c r="AR114" s="2647"/>
      <c r="AS114" s="852"/>
      <c r="AT114" s="782">
        <f t="shared" si="26"/>
        <v>0</v>
      </c>
      <c r="AU114" s="1721"/>
      <c r="AV114" s="2647"/>
      <c r="AW114" s="852"/>
      <c r="AX114" s="782">
        <f t="shared" si="27"/>
        <v>0</v>
      </c>
      <c r="AY114" s="1721"/>
      <c r="AZ114" s="2647"/>
      <c r="BA114" s="575"/>
      <c r="BB114" s="575">
        <f t="shared" si="19"/>
        <v>0</v>
      </c>
      <c r="BC114" s="662"/>
      <c r="BD114" s="662">
        <f t="shared" si="21"/>
        <v>0</v>
      </c>
      <c r="BE114" s="782"/>
      <c r="BF114" s="782">
        <f t="shared" si="22"/>
        <v>0</v>
      </c>
      <c r="BG114" s="26"/>
      <c r="BH114" s="26"/>
      <c r="BI114" s="26"/>
      <c r="BJ114" s="26"/>
      <c r="BK114" s="26"/>
      <c r="BL114" s="26"/>
      <c r="BM114" s="26"/>
      <c r="BN114" s="26"/>
    </row>
    <row r="115" spans="2:66" ht="16.149999999999999" thickBot="1" x14ac:dyDescent="0.35">
      <c r="B115" s="850" t="s">
        <v>865</v>
      </c>
      <c r="C115" s="2644" t="s">
        <v>1038</v>
      </c>
      <c r="D115" s="2645" t="s">
        <v>50</v>
      </c>
      <c r="E115" s="853"/>
      <c r="F115" s="2647">
        <v>606.80000000000007</v>
      </c>
      <c r="G115" s="853"/>
      <c r="H115" s="2647">
        <f>922.5-32.8</f>
        <v>889.7</v>
      </c>
      <c r="I115" s="2928"/>
      <c r="J115" s="43">
        <f t="shared" si="15"/>
        <v>1496.5</v>
      </c>
      <c r="K115" s="853"/>
      <c r="L115" s="2647">
        <v>990.15</v>
      </c>
      <c r="M115" s="902"/>
      <c r="N115" s="618">
        <f t="shared" si="16"/>
        <v>2486.65</v>
      </c>
      <c r="O115" s="853"/>
      <c r="P115" s="2647"/>
      <c r="Q115" s="852"/>
      <c r="R115" s="373">
        <f t="shared" si="17"/>
        <v>2486.65</v>
      </c>
      <c r="S115" s="853"/>
      <c r="T115" s="2647"/>
      <c r="U115" s="852"/>
      <c r="V115" s="373">
        <f t="shared" si="18"/>
        <v>2486.65</v>
      </c>
      <c r="W115" s="853"/>
      <c r="X115" s="2647"/>
      <c r="Y115" s="575"/>
      <c r="Z115" s="4336">
        <f t="shared" si="28"/>
        <v>0</v>
      </c>
      <c r="AA115" s="662"/>
      <c r="AB115" s="4337">
        <f t="shared" si="29"/>
        <v>2486.65</v>
      </c>
      <c r="AC115" s="853"/>
      <c r="AD115" s="2647"/>
      <c r="AE115" s="852"/>
      <c r="AF115" s="782">
        <f t="shared" si="30"/>
        <v>2486.65</v>
      </c>
      <c r="AG115" s="853"/>
      <c r="AH115" s="2647">
        <v>627.30000000000007</v>
      </c>
      <c r="AI115" s="852"/>
      <c r="AJ115" s="782">
        <f t="shared" si="24"/>
        <v>3113.9500000000003</v>
      </c>
      <c r="AK115" s="853"/>
      <c r="AL115" s="2647">
        <v>528.9</v>
      </c>
      <c r="AM115" s="575"/>
      <c r="AN115" s="575">
        <f t="shared" si="20"/>
        <v>1156.2</v>
      </c>
      <c r="AO115" s="782"/>
      <c r="AP115" s="782">
        <f t="shared" si="25"/>
        <v>3642.8500000000004</v>
      </c>
      <c r="AQ115" s="853"/>
      <c r="AR115" s="2647"/>
      <c r="AS115" s="852"/>
      <c r="AT115" s="782">
        <f t="shared" si="26"/>
        <v>3642.8500000000004</v>
      </c>
      <c r="AU115" s="853"/>
      <c r="AV115" s="2647"/>
      <c r="AW115" s="852"/>
      <c r="AX115" s="782">
        <f t="shared" si="27"/>
        <v>3642.8500000000004</v>
      </c>
      <c r="AY115" s="853"/>
      <c r="AZ115" s="2647">
        <v>313.65000000000003</v>
      </c>
      <c r="BA115" s="575"/>
      <c r="BB115" s="575">
        <f t="shared" si="19"/>
        <v>313.65000000000003</v>
      </c>
      <c r="BC115" s="662"/>
      <c r="BD115" s="662">
        <f t="shared" si="21"/>
        <v>1469.8500000000001</v>
      </c>
      <c r="BE115" s="782"/>
      <c r="BF115" s="782">
        <f t="shared" si="22"/>
        <v>3956.5000000000005</v>
      </c>
      <c r="BG115" s="26"/>
      <c r="BH115" s="26"/>
      <c r="BI115" s="26"/>
      <c r="BJ115" s="26"/>
      <c r="BK115" s="26"/>
      <c r="BL115" s="26"/>
      <c r="BM115" s="26"/>
      <c r="BN115" s="26"/>
    </row>
    <row r="116" spans="2:66" ht="16.149999999999999" thickBot="1" x14ac:dyDescent="0.35">
      <c r="B116" s="4060" t="s">
        <v>865</v>
      </c>
      <c r="C116" s="4121" t="s">
        <v>1464</v>
      </c>
      <c r="D116" s="4122" t="s">
        <v>50</v>
      </c>
      <c r="E116" s="4123"/>
      <c r="F116" s="1215"/>
      <c r="G116" s="4123"/>
      <c r="H116" s="1215"/>
      <c r="I116" s="4079"/>
      <c r="J116" s="43">
        <f t="shared" si="15"/>
        <v>0</v>
      </c>
      <c r="K116" s="4123"/>
      <c r="L116" s="1215"/>
      <c r="M116" s="2896"/>
      <c r="N116" s="618">
        <f t="shared" si="16"/>
        <v>0</v>
      </c>
      <c r="O116" s="4123"/>
      <c r="P116" s="1215"/>
      <c r="Q116" s="2928"/>
      <c r="R116" s="373">
        <f t="shared" si="17"/>
        <v>0</v>
      </c>
      <c r="S116" s="4123"/>
      <c r="T116" s="1215"/>
      <c r="U116" s="2928"/>
      <c r="V116" s="373">
        <f t="shared" si="18"/>
        <v>0</v>
      </c>
      <c r="W116" s="4123"/>
      <c r="X116" s="1215"/>
      <c r="Y116" s="2650"/>
      <c r="Z116" s="4336">
        <f t="shared" si="28"/>
        <v>0</v>
      </c>
      <c r="AA116" s="662"/>
      <c r="AB116" s="4337">
        <f t="shared" si="29"/>
        <v>0</v>
      </c>
      <c r="AC116" s="4123"/>
      <c r="AD116" s="1215"/>
      <c r="AE116" s="2928"/>
      <c r="AF116" s="782">
        <f t="shared" si="30"/>
        <v>0</v>
      </c>
      <c r="AG116" s="4123"/>
      <c r="AH116" s="1215"/>
      <c r="AI116" s="2928"/>
      <c r="AJ116" s="782">
        <f t="shared" si="24"/>
        <v>0</v>
      </c>
      <c r="AK116" s="4123"/>
      <c r="AL116" s="1215"/>
      <c r="AM116" s="2650"/>
      <c r="AN116" s="575">
        <f t="shared" si="20"/>
        <v>0</v>
      </c>
      <c r="AO116" s="2648"/>
      <c r="AP116" s="782">
        <f t="shared" si="25"/>
        <v>0</v>
      </c>
      <c r="AQ116" s="4123"/>
      <c r="AR116" s="1215"/>
      <c r="AS116" s="2928"/>
      <c r="AT116" s="782">
        <f t="shared" si="26"/>
        <v>0</v>
      </c>
      <c r="AU116" s="4123"/>
      <c r="AV116" s="1215"/>
      <c r="AW116" s="2928"/>
      <c r="AX116" s="782">
        <f t="shared" si="27"/>
        <v>0</v>
      </c>
      <c r="AY116" s="4123"/>
      <c r="AZ116" s="1215"/>
      <c r="BA116" s="2650"/>
      <c r="BB116" s="575">
        <f t="shared" si="19"/>
        <v>0</v>
      </c>
      <c r="BC116" s="2651"/>
      <c r="BD116" s="662">
        <f t="shared" si="21"/>
        <v>0</v>
      </c>
      <c r="BE116" s="2648"/>
      <c r="BF116" s="782">
        <f t="shared" si="22"/>
        <v>0</v>
      </c>
      <c r="BG116" s="26"/>
      <c r="BH116" s="26"/>
      <c r="BI116" s="26"/>
      <c r="BJ116" s="26"/>
      <c r="BK116" s="26"/>
      <c r="BL116" s="26"/>
      <c r="BM116" s="26"/>
      <c r="BN116" s="26"/>
    </row>
    <row r="117" spans="2:66" ht="16.149999999999999" thickBot="1" x14ac:dyDescent="0.35">
      <c r="B117" s="2919" t="s">
        <v>865</v>
      </c>
      <c r="C117" s="2920" t="s">
        <v>1466</v>
      </c>
      <c r="D117" s="2921" t="s">
        <v>50</v>
      </c>
      <c r="E117" s="2932"/>
      <c r="F117" s="109">
        <v>143.5</v>
      </c>
      <c r="G117" s="2932"/>
      <c r="H117" s="109"/>
      <c r="I117" s="2930"/>
      <c r="J117" s="43">
        <f t="shared" si="15"/>
        <v>143.5</v>
      </c>
      <c r="K117" s="2932"/>
      <c r="L117" s="109"/>
      <c r="M117" s="902"/>
      <c r="N117" s="618">
        <f t="shared" si="16"/>
        <v>143.5</v>
      </c>
      <c r="O117" s="2932"/>
      <c r="P117" s="109"/>
      <c r="Q117" s="852"/>
      <c r="R117" s="373">
        <f t="shared" si="17"/>
        <v>143.5</v>
      </c>
      <c r="S117" s="2932"/>
      <c r="T117" s="109"/>
      <c r="U117" s="852"/>
      <c r="V117" s="373">
        <f t="shared" si="18"/>
        <v>143.5</v>
      </c>
      <c r="W117" s="2932"/>
      <c r="X117" s="109"/>
      <c r="Y117" s="575"/>
      <c r="Z117" s="4336">
        <f t="shared" si="28"/>
        <v>0</v>
      </c>
      <c r="AA117" s="662"/>
      <c r="AB117" s="4337">
        <f t="shared" si="29"/>
        <v>143.5</v>
      </c>
      <c r="AC117" s="2932"/>
      <c r="AD117" s="109"/>
      <c r="AE117" s="852"/>
      <c r="AF117" s="782">
        <f t="shared" si="30"/>
        <v>143.5</v>
      </c>
      <c r="AG117" s="2932"/>
      <c r="AH117" s="109"/>
      <c r="AI117" s="852"/>
      <c r="AJ117" s="782">
        <f t="shared" si="24"/>
        <v>143.5</v>
      </c>
      <c r="AK117" s="2932"/>
      <c r="AL117" s="109"/>
      <c r="AM117" s="575"/>
      <c r="AN117" s="575">
        <f t="shared" si="20"/>
        <v>0</v>
      </c>
      <c r="AO117" s="782"/>
      <c r="AP117" s="782">
        <f t="shared" si="25"/>
        <v>143.5</v>
      </c>
      <c r="AQ117" s="2932"/>
      <c r="AR117" s="109"/>
      <c r="AS117" s="852"/>
      <c r="AT117" s="782">
        <f t="shared" si="26"/>
        <v>143.5</v>
      </c>
      <c r="AU117" s="2932"/>
      <c r="AV117" s="109"/>
      <c r="AW117" s="852"/>
      <c r="AX117" s="782">
        <f t="shared" si="27"/>
        <v>143.5</v>
      </c>
      <c r="AY117" s="2932"/>
      <c r="AZ117" s="109"/>
      <c r="BA117" s="575"/>
      <c r="BB117" s="575">
        <f t="shared" ref="BB117:BB152" si="31">AR117+AV117+AZ117</f>
        <v>0</v>
      </c>
      <c r="BC117" s="662"/>
      <c r="BD117" s="662">
        <f t="shared" si="21"/>
        <v>0</v>
      </c>
      <c r="BE117" s="782"/>
      <c r="BF117" s="782">
        <f t="shared" si="22"/>
        <v>143.5</v>
      </c>
      <c r="BG117" s="26"/>
      <c r="BH117" s="26"/>
      <c r="BI117" s="26"/>
      <c r="BJ117" s="26"/>
      <c r="BK117" s="26"/>
      <c r="BL117" s="26"/>
      <c r="BM117" s="26"/>
      <c r="BN117" s="26"/>
    </row>
    <row r="118" spans="2:66" ht="16.149999999999999" thickBot="1" x14ac:dyDescent="0.35">
      <c r="B118" s="5439" t="s">
        <v>2276</v>
      </c>
      <c r="C118" s="5440" t="s">
        <v>1269</v>
      </c>
      <c r="D118" s="5392" t="s">
        <v>50</v>
      </c>
      <c r="E118" s="5445"/>
      <c r="F118" s="3608"/>
      <c r="G118" s="5445"/>
      <c r="H118" s="3608"/>
      <c r="I118" s="3609"/>
      <c r="J118" s="43"/>
      <c r="K118" s="5445"/>
      <c r="L118" s="3608">
        <v>2436.8500000000004</v>
      </c>
      <c r="M118" s="5442"/>
      <c r="N118" s="618">
        <f t="shared" si="16"/>
        <v>2436.8500000000004</v>
      </c>
      <c r="O118" s="5445"/>
      <c r="P118" s="3608">
        <v>1510.85</v>
      </c>
      <c r="Q118" s="5443"/>
      <c r="R118" s="373">
        <f t="shared" si="17"/>
        <v>3947.7000000000003</v>
      </c>
      <c r="S118" s="5445"/>
      <c r="T118" s="3608"/>
      <c r="U118" s="5443"/>
      <c r="V118" s="373">
        <f t="shared" si="18"/>
        <v>3947.7000000000003</v>
      </c>
      <c r="W118" s="5445"/>
      <c r="X118" s="3608"/>
      <c r="Y118" s="5421"/>
      <c r="Z118" s="4336">
        <f t="shared" si="28"/>
        <v>1510.85</v>
      </c>
      <c r="AA118" s="5422"/>
      <c r="AB118" s="4337">
        <f t="shared" si="29"/>
        <v>3947.7000000000003</v>
      </c>
      <c r="AC118" s="5445"/>
      <c r="AD118" s="3608"/>
      <c r="AE118" s="5443"/>
      <c r="AF118" s="5444"/>
      <c r="AG118" s="5445"/>
      <c r="AH118" s="3608"/>
      <c r="AI118" s="5443"/>
      <c r="AJ118" s="5444"/>
      <c r="AK118" s="5445"/>
      <c r="AL118" s="3608"/>
      <c r="AM118" s="5421"/>
      <c r="AN118" s="5421"/>
      <c r="AO118" s="5444"/>
      <c r="AP118" s="5444"/>
      <c r="AQ118" s="5445"/>
      <c r="AR118" s="3608"/>
      <c r="AS118" s="5443"/>
      <c r="AT118" s="5444"/>
      <c r="AU118" s="5445"/>
      <c r="AV118" s="3608"/>
      <c r="AW118" s="5443"/>
      <c r="AX118" s="5444"/>
      <c r="AY118" s="5445"/>
      <c r="AZ118" s="3608"/>
      <c r="BA118" s="5421"/>
      <c r="BB118" s="5421"/>
      <c r="BC118" s="5422"/>
      <c r="BD118" s="5422"/>
      <c r="BE118" s="5444"/>
      <c r="BF118" s="5444"/>
      <c r="BG118" s="26"/>
      <c r="BH118" s="26"/>
      <c r="BI118" s="26"/>
      <c r="BJ118" s="26"/>
      <c r="BK118" s="26"/>
      <c r="BL118" s="26"/>
      <c r="BM118" s="26"/>
      <c r="BN118" s="26"/>
    </row>
    <row r="119" spans="2:66" ht="16.149999999999999" thickBot="1" x14ac:dyDescent="0.35">
      <c r="B119" s="5439" t="s">
        <v>2276</v>
      </c>
      <c r="C119" s="5440" t="s">
        <v>2275</v>
      </c>
      <c r="D119" s="5392" t="s">
        <v>50</v>
      </c>
      <c r="E119" s="5445"/>
      <c r="F119" s="3608"/>
      <c r="G119" s="5445"/>
      <c r="H119" s="3608"/>
      <c r="I119" s="3609"/>
      <c r="J119" s="43"/>
      <c r="K119" s="5445"/>
      <c r="L119" s="3608">
        <v>2882.2999999999997</v>
      </c>
      <c r="M119" s="5442"/>
      <c r="N119" s="618">
        <f t="shared" si="16"/>
        <v>2882.2999999999997</v>
      </c>
      <c r="O119" s="5445"/>
      <c r="P119" s="3608">
        <v>9542.7500000000018</v>
      </c>
      <c r="Q119" s="5443"/>
      <c r="R119" s="373">
        <f t="shared" si="17"/>
        <v>12425.050000000001</v>
      </c>
      <c r="S119" s="5445"/>
      <c r="T119" s="3608"/>
      <c r="U119" s="5443"/>
      <c r="V119" s="373">
        <f t="shared" si="18"/>
        <v>12425.050000000001</v>
      </c>
      <c r="W119" s="5445"/>
      <c r="X119" s="3608"/>
      <c r="Y119" s="5421"/>
      <c r="Z119" s="4336">
        <f t="shared" si="28"/>
        <v>9542.7500000000018</v>
      </c>
      <c r="AA119" s="5422"/>
      <c r="AB119" s="4337">
        <f t="shared" si="29"/>
        <v>12425.050000000001</v>
      </c>
      <c r="AC119" s="5445"/>
      <c r="AD119" s="3608"/>
      <c r="AE119" s="5443"/>
      <c r="AF119" s="5444"/>
      <c r="AG119" s="5445"/>
      <c r="AH119" s="3608"/>
      <c r="AI119" s="5443"/>
      <c r="AJ119" s="5444"/>
      <c r="AK119" s="5445"/>
      <c r="AL119" s="3608"/>
      <c r="AM119" s="5421"/>
      <c r="AN119" s="5421"/>
      <c r="AO119" s="5444"/>
      <c r="AP119" s="5444"/>
      <c r="AQ119" s="5445"/>
      <c r="AR119" s="3608"/>
      <c r="AS119" s="5443"/>
      <c r="AT119" s="5444"/>
      <c r="AU119" s="5445"/>
      <c r="AV119" s="3608"/>
      <c r="AW119" s="5443"/>
      <c r="AX119" s="5444"/>
      <c r="AY119" s="5445"/>
      <c r="AZ119" s="3608"/>
      <c r="BA119" s="5421"/>
      <c r="BB119" s="5421"/>
      <c r="BC119" s="5422"/>
      <c r="BD119" s="5422"/>
      <c r="BE119" s="5444"/>
      <c r="BF119" s="5444"/>
      <c r="BG119" s="26"/>
      <c r="BH119" s="26"/>
      <c r="BI119" s="26"/>
      <c r="BJ119" s="26"/>
      <c r="BK119" s="26"/>
      <c r="BL119" s="26"/>
      <c r="BM119" s="26"/>
      <c r="BN119" s="26"/>
    </row>
    <row r="120" spans="2:66" ht="16.149999999999999" thickBot="1" x14ac:dyDescent="0.35">
      <c r="B120" s="2915" t="s">
        <v>873</v>
      </c>
      <c r="C120" s="2916" t="s">
        <v>1269</v>
      </c>
      <c r="D120" s="2917" t="s">
        <v>50</v>
      </c>
      <c r="E120" s="2926"/>
      <c r="F120" s="158"/>
      <c r="G120" s="2926"/>
      <c r="H120" s="158"/>
      <c r="I120" s="2927"/>
      <c r="J120" s="43">
        <f t="shared" ref="J120:J122" si="32">+F120+H120</f>
        <v>0</v>
      </c>
      <c r="K120" s="2926"/>
      <c r="L120" s="158">
        <v>3165.1999999999994</v>
      </c>
      <c r="M120" s="902"/>
      <c r="N120" s="618">
        <f t="shared" si="16"/>
        <v>3165.1999999999994</v>
      </c>
      <c r="O120" s="2926"/>
      <c r="P120" s="158">
        <v>196.8</v>
      </c>
      <c r="Q120" s="852"/>
      <c r="R120" s="373">
        <f t="shared" si="17"/>
        <v>3361.9999999999995</v>
      </c>
      <c r="S120" s="2926"/>
      <c r="T120" s="158"/>
      <c r="U120" s="852"/>
      <c r="V120" s="373">
        <f t="shared" si="18"/>
        <v>3361.9999999999995</v>
      </c>
      <c r="W120" s="2926"/>
      <c r="X120" s="158"/>
      <c r="Y120" s="575"/>
      <c r="Z120" s="4336">
        <f t="shared" si="28"/>
        <v>196.8</v>
      </c>
      <c r="AA120" s="662"/>
      <c r="AB120" s="4337">
        <f t="shared" si="29"/>
        <v>3361.9999999999995</v>
      </c>
      <c r="AC120" s="2926"/>
      <c r="AD120" s="158"/>
      <c r="AE120" s="852"/>
      <c r="AF120" s="782">
        <f t="shared" si="30"/>
        <v>3361.9999999999995</v>
      </c>
      <c r="AG120" s="2926"/>
      <c r="AH120" s="158"/>
      <c r="AI120" s="852"/>
      <c r="AJ120" s="782">
        <f t="shared" si="24"/>
        <v>3361.9999999999995</v>
      </c>
      <c r="AK120" s="2926"/>
      <c r="AL120" s="158"/>
      <c r="AM120" s="575"/>
      <c r="AN120" s="575">
        <f t="shared" si="20"/>
        <v>0</v>
      </c>
      <c r="AO120" s="782"/>
      <c r="AP120" s="782">
        <f t="shared" si="25"/>
        <v>3361.9999999999995</v>
      </c>
      <c r="AQ120" s="2926"/>
      <c r="AR120" s="158"/>
      <c r="AS120" s="852"/>
      <c r="AT120" s="782">
        <f t="shared" si="26"/>
        <v>3361.9999999999995</v>
      </c>
      <c r="AU120" s="2926"/>
      <c r="AV120" s="158"/>
      <c r="AW120" s="852"/>
      <c r="AX120" s="782">
        <f t="shared" si="27"/>
        <v>3361.9999999999995</v>
      </c>
      <c r="AY120" s="2926"/>
      <c r="AZ120" s="158"/>
      <c r="BA120" s="575"/>
      <c r="BB120" s="575">
        <f t="shared" si="31"/>
        <v>0</v>
      </c>
      <c r="BC120" s="662"/>
      <c r="BD120" s="662">
        <f t="shared" si="21"/>
        <v>0</v>
      </c>
      <c r="BE120" s="782"/>
      <c r="BF120" s="782">
        <f t="shared" ref="BF120:BF152" si="33">+AX120+AZ120</f>
        <v>3361.9999999999995</v>
      </c>
      <c r="BG120" s="26"/>
      <c r="BH120" s="26"/>
      <c r="BI120" s="26"/>
      <c r="BJ120" s="26"/>
      <c r="BK120" s="26"/>
      <c r="BL120" s="26"/>
      <c r="BM120" s="26"/>
      <c r="BN120" s="26"/>
    </row>
    <row r="121" spans="2:66" ht="16.149999999999999" thickBot="1" x14ac:dyDescent="0.35">
      <c r="B121" s="5439" t="s">
        <v>873</v>
      </c>
      <c r="C121" s="5440" t="s">
        <v>2275</v>
      </c>
      <c r="D121" s="5392" t="s">
        <v>50</v>
      </c>
      <c r="E121" s="5441"/>
      <c r="F121" s="3608"/>
      <c r="G121" s="5441"/>
      <c r="H121" s="3608"/>
      <c r="I121" s="3609"/>
      <c r="J121" s="43">
        <f t="shared" si="32"/>
        <v>0</v>
      </c>
      <c r="K121" s="5441"/>
      <c r="L121" s="3608">
        <v>879.45000000000016</v>
      </c>
      <c r="M121" s="5442"/>
      <c r="N121" s="618">
        <f t="shared" si="16"/>
        <v>879.45000000000016</v>
      </c>
      <c r="O121" s="5441"/>
      <c r="P121" s="3608"/>
      <c r="Q121" s="5443"/>
      <c r="R121" s="373">
        <f t="shared" si="17"/>
        <v>879.45000000000016</v>
      </c>
      <c r="S121" s="5441"/>
      <c r="T121" s="3608"/>
      <c r="U121" s="5443"/>
      <c r="V121" s="373">
        <f t="shared" si="18"/>
        <v>879.45000000000016</v>
      </c>
      <c r="W121" s="5441"/>
      <c r="X121" s="3608"/>
      <c r="Y121" s="5421"/>
      <c r="Z121" s="4336">
        <f t="shared" si="28"/>
        <v>0</v>
      </c>
      <c r="AA121" s="5422"/>
      <c r="AB121" s="4337">
        <f t="shared" si="29"/>
        <v>879.45000000000016</v>
      </c>
      <c r="AC121" s="5441"/>
      <c r="AD121" s="3608"/>
      <c r="AE121" s="5443"/>
      <c r="AF121" s="5444"/>
      <c r="AG121" s="5441"/>
      <c r="AH121" s="3608"/>
      <c r="AI121" s="5443"/>
      <c r="AJ121" s="5444"/>
      <c r="AK121" s="5441"/>
      <c r="AL121" s="3608"/>
      <c r="AM121" s="5421"/>
      <c r="AN121" s="5421"/>
      <c r="AO121" s="5444"/>
      <c r="AP121" s="5444"/>
      <c r="AQ121" s="5441"/>
      <c r="AR121" s="3608"/>
      <c r="AS121" s="5443"/>
      <c r="AT121" s="5444"/>
      <c r="AU121" s="5441"/>
      <c r="AV121" s="3608"/>
      <c r="AW121" s="5443"/>
      <c r="AX121" s="5444"/>
      <c r="AY121" s="5441"/>
      <c r="AZ121" s="3608"/>
      <c r="BA121" s="5421"/>
      <c r="BB121" s="5421"/>
      <c r="BC121" s="5422"/>
      <c r="BD121" s="5422"/>
      <c r="BE121" s="5444"/>
      <c r="BF121" s="5444"/>
      <c r="BG121" s="26"/>
      <c r="BH121" s="26"/>
      <c r="BI121" s="26"/>
      <c r="BJ121" s="26"/>
      <c r="BK121" s="26"/>
      <c r="BL121" s="26"/>
      <c r="BM121" s="26"/>
      <c r="BN121" s="26"/>
    </row>
    <row r="122" spans="2:66" ht="16.149999999999999" thickBot="1" x14ac:dyDescent="0.35">
      <c r="B122" s="2919" t="s">
        <v>873</v>
      </c>
      <c r="C122" s="2920" t="s">
        <v>877</v>
      </c>
      <c r="D122" s="2921" t="s">
        <v>50</v>
      </c>
      <c r="E122" s="2929"/>
      <c r="F122" s="109"/>
      <c r="G122" s="2929"/>
      <c r="H122" s="109"/>
      <c r="I122" s="2930"/>
      <c r="J122" s="44">
        <f t="shared" si="32"/>
        <v>0</v>
      </c>
      <c r="K122" s="2929"/>
      <c r="L122" s="109"/>
      <c r="M122" s="902"/>
      <c r="N122" s="618">
        <f t="shared" si="16"/>
        <v>0</v>
      </c>
      <c r="O122" s="2929"/>
      <c r="P122" s="109"/>
      <c r="Q122" s="852"/>
      <c r="R122" s="373">
        <f t="shared" si="17"/>
        <v>0</v>
      </c>
      <c r="S122" s="2929"/>
      <c r="T122" s="109"/>
      <c r="U122" s="852"/>
      <c r="V122" s="373">
        <f t="shared" si="18"/>
        <v>0</v>
      </c>
      <c r="W122" s="2929"/>
      <c r="X122" s="109"/>
      <c r="Y122" s="575"/>
      <c r="Z122" s="4336">
        <f t="shared" si="28"/>
        <v>0</v>
      </c>
      <c r="AA122" s="662"/>
      <c r="AB122" s="4337">
        <f t="shared" si="29"/>
        <v>0</v>
      </c>
      <c r="AC122" s="2929"/>
      <c r="AD122" s="109"/>
      <c r="AE122" s="852"/>
      <c r="AF122" s="782">
        <f t="shared" si="30"/>
        <v>0</v>
      </c>
      <c r="AG122" s="2929"/>
      <c r="AH122" s="109"/>
      <c r="AI122" s="852"/>
      <c r="AJ122" s="782">
        <f t="shared" si="24"/>
        <v>0</v>
      </c>
      <c r="AK122" s="2929"/>
      <c r="AL122" s="109"/>
      <c r="AM122" s="575"/>
      <c r="AN122" s="575">
        <f t="shared" si="20"/>
        <v>0</v>
      </c>
      <c r="AO122" s="782"/>
      <c r="AP122" s="782">
        <f t="shared" si="25"/>
        <v>0</v>
      </c>
      <c r="AQ122" s="2929"/>
      <c r="AR122" s="109"/>
      <c r="AS122" s="852"/>
      <c r="AT122" s="782">
        <f t="shared" si="26"/>
        <v>0</v>
      </c>
      <c r="AU122" s="2929"/>
      <c r="AV122" s="109"/>
      <c r="AW122" s="852"/>
      <c r="AX122" s="782">
        <f t="shared" si="27"/>
        <v>0</v>
      </c>
      <c r="AY122" s="2929"/>
      <c r="AZ122" s="109"/>
      <c r="BA122" s="575"/>
      <c r="BB122" s="575">
        <f t="shared" si="31"/>
        <v>0</v>
      </c>
      <c r="BC122" s="662"/>
      <c r="BD122" s="662">
        <f t="shared" si="21"/>
        <v>0</v>
      </c>
      <c r="BE122" s="782"/>
      <c r="BF122" s="782">
        <f t="shared" si="33"/>
        <v>0</v>
      </c>
      <c r="BG122" s="26"/>
      <c r="BH122" s="26"/>
      <c r="BI122" s="26"/>
      <c r="BJ122" s="26"/>
      <c r="BK122" s="26"/>
      <c r="BL122" s="26"/>
      <c r="BM122" s="26"/>
      <c r="BN122" s="26"/>
    </row>
    <row r="123" spans="2:66" ht="16.149999999999999" thickBot="1" x14ac:dyDescent="0.35">
      <c r="B123" s="2965" t="s">
        <v>1070</v>
      </c>
      <c r="E123"/>
      <c r="F123"/>
      <c r="G123"/>
      <c r="H123"/>
      <c r="I123"/>
      <c r="J123"/>
      <c r="K123"/>
      <c r="L123"/>
      <c r="M123"/>
      <c r="N123" s="618">
        <f t="shared" si="16"/>
        <v>0</v>
      </c>
      <c r="O123"/>
      <c r="P123"/>
      <c r="Q123"/>
      <c r="R123" s="373">
        <f t="shared" si="17"/>
        <v>0</v>
      </c>
      <c r="V123" s="373">
        <f t="shared" si="18"/>
        <v>0</v>
      </c>
      <c r="AN123">
        <f t="shared" si="20"/>
        <v>0</v>
      </c>
      <c r="AP123">
        <f t="shared" si="25"/>
        <v>0</v>
      </c>
      <c r="AT123">
        <f t="shared" ref="AT123:AT143" si="34">+AP123+AR123</f>
        <v>0</v>
      </c>
      <c r="AX123">
        <f t="shared" si="27"/>
        <v>0</v>
      </c>
      <c r="BB123">
        <f t="shared" si="31"/>
        <v>0</v>
      </c>
      <c r="BD123">
        <f t="shared" si="21"/>
        <v>0</v>
      </c>
      <c r="BF123">
        <f t="shared" si="33"/>
        <v>0</v>
      </c>
      <c r="BH123" s="26"/>
      <c r="BI123" s="26"/>
      <c r="BJ123" s="26"/>
      <c r="BK123" s="26"/>
      <c r="BL123" s="26"/>
      <c r="BM123" s="26"/>
      <c r="BN123" s="26"/>
    </row>
    <row r="124" spans="2:66" ht="16.149999999999999" thickBot="1" x14ac:dyDescent="0.35">
      <c r="B124" s="2966" t="s">
        <v>1036</v>
      </c>
      <c r="C124" s="2967" t="s">
        <v>1071</v>
      </c>
      <c r="D124" s="2968" t="s">
        <v>50</v>
      </c>
      <c r="E124" s="2926"/>
      <c r="F124" s="158">
        <v>6.15</v>
      </c>
      <c r="G124" s="2926"/>
      <c r="H124" s="158">
        <v>4.0999999999999996</v>
      </c>
      <c r="I124" s="2969"/>
      <c r="J124" s="43">
        <f t="shared" ref="J124:J152" si="35">+F124+H124</f>
        <v>10.25</v>
      </c>
      <c r="K124" s="2926"/>
      <c r="L124" s="158"/>
      <c r="M124" s="902"/>
      <c r="N124" s="618">
        <f t="shared" si="16"/>
        <v>10.25</v>
      </c>
      <c r="O124" s="2926"/>
      <c r="P124" s="158"/>
      <c r="Q124" s="266"/>
      <c r="R124" s="373">
        <f t="shared" si="17"/>
        <v>10.25</v>
      </c>
      <c r="S124" s="2926"/>
      <c r="T124" s="158">
        <v>6.15</v>
      </c>
      <c r="U124" s="266"/>
      <c r="V124" s="373">
        <f t="shared" si="18"/>
        <v>16.399999999999999</v>
      </c>
      <c r="W124" s="2926"/>
      <c r="X124" s="158">
        <v>6.15</v>
      </c>
      <c r="Y124" s="575"/>
      <c r="Z124" s="4336">
        <f t="shared" si="28"/>
        <v>12.3</v>
      </c>
      <c r="AA124" s="662"/>
      <c r="AB124" s="4337">
        <f t="shared" si="29"/>
        <v>22.55</v>
      </c>
      <c r="AC124" s="2926"/>
      <c r="AD124" s="2937">
        <v>2.0499999999999998</v>
      </c>
      <c r="AE124" s="266"/>
      <c r="AF124" s="782">
        <f t="shared" si="30"/>
        <v>24.6</v>
      </c>
      <c r="AG124" s="2926"/>
      <c r="AH124" s="2937"/>
      <c r="AI124" s="266"/>
      <c r="AJ124" s="782">
        <f t="shared" ref="AJ124:AJ136" si="36">+AF124+AH124</f>
        <v>24.6</v>
      </c>
      <c r="AK124" s="2926"/>
      <c r="AL124" s="2937">
        <v>16.399999999999999</v>
      </c>
      <c r="AM124" s="575"/>
      <c r="AN124" s="575">
        <f t="shared" si="20"/>
        <v>18.45</v>
      </c>
      <c r="AO124" s="782"/>
      <c r="AP124" s="782">
        <f t="shared" si="25"/>
        <v>41</v>
      </c>
      <c r="AQ124" s="2926"/>
      <c r="AR124" s="2937"/>
      <c r="AS124" s="266"/>
      <c r="AT124" s="782">
        <f t="shared" si="34"/>
        <v>41</v>
      </c>
      <c r="AU124" s="2926"/>
      <c r="AV124" s="2937"/>
      <c r="AW124" s="266"/>
      <c r="AX124" s="782">
        <f t="shared" si="27"/>
        <v>41</v>
      </c>
      <c r="AY124" s="2926"/>
      <c r="AZ124" s="2937"/>
      <c r="BA124" s="575"/>
      <c r="BB124" s="575">
        <f t="shared" si="31"/>
        <v>0</v>
      </c>
      <c r="BC124" s="662"/>
      <c r="BD124" s="662">
        <f t="shared" si="21"/>
        <v>18.45</v>
      </c>
      <c r="BE124" s="782"/>
      <c r="BF124" s="782">
        <f t="shared" si="33"/>
        <v>41</v>
      </c>
      <c r="BG124" s="26"/>
      <c r="BH124" s="26"/>
      <c r="BI124" s="26"/>
      <c r="BJ124" s="26"/>
      <c r="BK124" s="26"/>
      <c r="BL124" s="26"/>
      <c r="BM124" s="26"/>
      <c r="BN124" s="26"/>
    </row>
    <row r="125" spans="2:66" ht="16.149999999999999" thickBot="1" x14ac:dyDescent="0.35">
      <c r="B125" s="1637" t="s">
        <v>1035</v>
      </c>
      <c r="C125" s="2970" t="s">
        <v>1071</v>
      </c>
      <c r="D125" s="2971" t="s">
        <v>50</v>
      </c>
      <c r="E125" s="853"/>
      <c r="F125" s="2647">
        <v>82</v>
      </c>
      <c r="G125" s="853"/>
      <c r="H125" s="2647">
        <v>36.9</v>
      </c>
      <c r="I125" s="2972"/>
      <c r="J125" s="39">
        <f t="shared" si="35"/>
        <v>118.9</v>
      </c>
      <c r="K125" s="853"/>
      <c r="L125" s="2647">
        <v>22.55</v>
      </c>
      <c r="M125" s="902"/>
      <c r="N125" s="618">
        <f t="shared" si="16"/>
        <v>141.45000000000002</v>
      </c>
      <c r="O125" s="853"/>
      <c r="P125" s="2647">
        <v>32.799999999999997</v>
      </c>
      <c r="Q125" s="266"/>
      <c r="R125" s="373">
        <f t="shared" si="17"/>
        <v>174.25</v>
      </c>
      <c r="S125" s="853"/>
      <c r="T125" s="2647">
        <v>92.25</v>
      </c>
      <c r="U125" s="266"/>
      <c r="V125" s="373">
        <f t="shared" si="18"/>
        <v>266.5</v>
      </c>
      <c r="W125" s="853"/>
      <c r="X125" s="2647">
        <v>14.35</v>
      </c>
      <c r="Y125" s="575"/>
      <c r="Z125" s="4336">
        <f t="shared" si="28"/>
        <v>139.4</v>
      </c>
      <c r="AA125" s="662"/>
      <c r="AB125" s="4337">
        <f t="shared" si="29"/>
        <v>280.85000000000002</v>
      </c>
      <c r="AC125" s="853"/>
      <c r="AD125" s="2934">
        <v>6.15</v>
      </c>
      <c r="AE125" s="266"/>
      <c r="AF125" s="782">
        <f t="shared" si="30"/>
        <v>287</v>
      </c>
      <c r="AG125" s="853"/>
      <c r="AH125" s="2934">
        <v>26.65</v>
      </c>
      <c r="AI125" s="266"/>
      <c r="AJ125" s="782">
        <f t="shared" si="36"/>
        <v>313.64999999999998</v>
      </c>
      <c r="AK125" s="853"/>
      <c r="AL125" s="2934">
        <v>45.1</v>
      </c>
      <c r="AM125" s="575"/>
      <c r="AN125" s="575">
        <f t="shared" si="20"/>
        <v>77.900000000000006</v>
      </c>
      <c r="AO125" s="782"/>
      <c r="AP125" s="782">
        <f t="shared" si="25"/>
        <v>358.75</v>
      </c>
      <c r="AQ125" s="853"/>
      <c r="AR125" s="2934">
        <v>71.75</v>
      </c>
      <c r="AS125" s="266"/>
      <c r="AT125" s="782">
        <f t="shared" si="34"/>
        <v>430.5</v>
      </c>
      <c r="AU125" s="853"/>
      <c r="AV125" s="2934">
        <v>79.95</v>
      </c>
      <c r="AW125" s="266"/>
      <c r="AX125" s="782">
        <f t="shared" si="27"/>
        <v>510.45</v>
      </c>
      <c r="AY125" s="853"/>
      <c r="AZ125" s="2934"/>
      <c r="BA125" s="575"/>
      <c r="BB125" s="575">
        <f t="shared" si="31"/>
        <v>151.69999999999999</v>
      </c>
      <c r="BC125" s="662"/>
      <c r="BD125" s="662">
        <f t="shared" si="21"/>
        <v>229.6</v>
      </c>
      <c r="BE125" s="782"/>
      <c r="BF125" s="782">
        <f t="shared" si="33"/>
        <v>510.45</v>
      </c>
      <c r="BG125" s="26"/>
      <c r="BH125" s="26"/>
      <c r="BI125" s="26"/>
      <c r="BJ125" s="26"/>
      <c r="BK125" s="26"/>
      <c r="BL125" s="26"/>
      <c r="BM125" s="26"/>
      <c r="BN125" s="26"/>
    </row>
    <row r="126" spans="2:66" ht="16.149999999999999" thickBot="1" x14ac:dyDescent="0.35">
      <c r="B126" s="1637" t="s">
        <v>1034</v>
      </c>
      <c r="C126" s="2970" t="s">
        <v>1071</v>
      </c>
      <c r="D126" s="2971" t="s">
        <v>50</v>
      </c>
      <c r="E126" s="853"/>
      <c r="F126" s="2647"/>
      <c r="G126" s="853"/>
      <c r="H126" s="2647"/>
      <c r="I126" s="2972"/>
      <c r="J126" s="39">
        <f t="shared" si="35"/>
        <v>0</v>
      </c>
      <c r="K126" s="853"/>
      <c r="L126" s="2647"/>
      <c r="M126" s="902"/>
      <c r="N126" s="618">
        <f t="shared" si="16"/>
        <v>0</v>
      </c>
      <c r="O126" s="853"/>
      <c r="P126" s="2647"/>
      <c r="Q126" s="266"/>
      <c r="R126" s="373">
        <f t="shared" si="17"/>
        <v>0</v>
      </c>
      <c r="S126" s="853"/>
      <c r="T126" s="2647"/>
      <c r="U126" s="266"/>
      <c r="V126" s="373">
        <f t="shared" si="18"/>
        <v>0</v>
      </c>
      <c r="W126" s="853"/>
      <c r="X126" s="2647"/>
      <c r="Y126" s="575"/>
      <c r="Z126" s="4336">
        <f t="shared" si="28"/>
        <v>0</v>
      </c>
      <c r="AA126" s="662"/>
      <c r="AB126" s="4337">
        <f t="shared" si="29"/>
        <v>0</v>
      </c>
      <c r="AC126" s="853"/>
      <c r="AD126" s="2934"/>
      <c r="AE126" s="266"/>
      <c r="AF126" s="782">
        <f t="shared" si="30"/>
        <v>0</v>
      </c>
      <c r="AG126" s="853"/>
      <c r="AH126" s="2934"/>
      <c r="AI126" s="266"/>
      <c r="AJ126" s="782">
        <f t="shared" si="36"/>
        <v>0</v>
      </c>
      <c r="AK126" s="853"/>
      <c r="AL126" s="2934"/>
      <c r="AM126" s="575"/>
      <c r="AN126" s="575">
        <f t="shared" si="20"/>
        <v>0</v>
      </c>
      <c r="AO126" s="782"/>
      <c r="AP126" s="782">
        <f t="shared" si="25"/>
        <v>0</v>
      </c>
      <c r="AQ126" s="853"/>
      <c r="AR126" s="2934"/>
      <c r="AS126" s="266"/>
      <c r="AT126" s="782">
        <f t="shared" si="34"/>
        <v>0</v>
      </c>
      <c r="AU126" s="853"/>
      <c r="AV126" s="2934"/>
      <c r="AW126" s="266"/>
      <c r="AX126" s="782">
        <f t="shared" si="27"/>
        <v>0</v>
      </c>
      <c r="AY126" s="853"/>
      <c r="AZ126" s="2934"/>
      <c r="BA126" s="575"/>
      <c r="BB126" s="575">
        <f t="shared" si="31"/>
        <v>0</v>
      </c>
      <c r="BC126" s="662"/>
      <c r="BD126" s="662">
        <f t="shared" si="21"/>
        <v>0</v>
      </c>
      <c r="BE126" s="782"/>
      <c r="BF126" s="782">
        <f t="shared" si="33"/>
        <v>0</v>
      </c>
      <c r="BG126" s="26"/>
      <c r="BH126" s="26"/>
      <c r="BI126" s="26"/>
      <c r="BJ126" s="26"/>
      <c r="BK126" s="26"/>
      <c r="BL126" s="26"/>
      <c r="BM126" s="26"/>
      <c r="BN126" s="26"/>
    </row>
    <row r="127" spans="2:66" ht="16.149999999999999" thickBot="1" x14ac:dyDescent="0.35">
      <c r="B127" s="1637" t="s">
        <v>1032</v>
      </c>
      <c r="C127" s="2970" t="s">
        <v>1071</v>
      </c>
      <c r="D127" s="2971" t="s">
        <v>50</v>
      </c>
      <c r="E127" s="853"/>
      <c r="F127" s="2647">
        <v>4.0999999999999996</v>
      </c>
      <c r="G127" s="853"/>
      <c r="H127" s="2647">
        <v>12.3</v>
      </c>
      <c r="I127" s="2972"/>
      <c r="J127" s="39">
        <f t="shared" si="35"/>
        <v>16.399999999999999</v>
      </c>
      <c r="K127" s="853"/>
      <c r="L127" s="2647"/>
      <c r="M127" s="902"/>
      <c r="N127" s="618">
        <f t="shared" si="16"/>
        <v>16.399999999999999</v>
      </c>
      <c r="O127" s="853"/>
      <c r="P127" s="2647"/>
      <c r="Q127" s="266"/>
      <c r="R127" s="373">
        <f t="shared" si="17"/>
        <v>16.399999999999999</v>
      </c>
      <c r="S127" s="853"/>
      <c r="T127" s="2647">
        <v>4.0999999999999996</v>
      </c>
      <c r="U127" s="266"/>
      <c r="V127" s="373">
        <f t="shared" si="18"/>
        <v>20.5</v>
      </c>
      <c r="W127" s="853"/>
      <c r="X127" s="2647"/>
      <c r="Y127" s="575"/>
      <c r="Z127" s="4336">
        <f t="shared" si="28"/>
        <v>4.0999999999999996</v>
      </c>
      <c r="AA127" s="662"/>
      <c r="AB127" s="4337">
        <f t="shared" si="29"/>
        <v>20.5</v>
      </c>
      <c r="AC127" s="853"/>
      <c r="AD127" s="2934">
        <v>6.15</v>
      </c>
      <c r="AE127" s="266"/>
      <c r="AF127" s="782">
        <f t="shared" si="30"/>
        <v>26.65</v>
      </c>
      <c r="AG127" s="853"/>
      <c r="AH127" s="2934">
        <v>4.0999999999999996</v>
      </c>
      <c r="AI127" s="266"/>
      <c r="AJ127" s="782">
        <f t="shared" si="36"/>
        <v>30.75</v>
      </c>
      <c r="AK127" s="853"/>
      <c r="AL127" s="2934">
        <v>2.0499999999999998</v>
      </c>
      <c r="AM127" s="575"/>
      <c r="AN127" s="575">
        <f t="shared" si="20"/>
        <v>12.3</v>
      </c>
      <c r="AO127" s="782"/>
      <c r="AP127" s="782">
        <f t="shared" si="25"/>
        <v>32.799999999999997</v>
      </c>
      <c r="AQ127" s="853"/>
      <c r="AR127" s="2934">
        <f>4.1</f>
        <v>4.0999999999999996</v>
      </c>
      <c r="AS127" s="266"/>
      <c r="AT127" s="782">
        <f t="shared" si="34"/>
        <v>36.9</v>
      </c>
      <c r="AU127" s="853"/>
      <c r="AV127" s="2934"/>
      <c r="AW127" s="266"/>
      <c r="AX127" s="782">
        <f t="shared" si="27"/>
        <v>36.9</v>
      </c>
      <c r="AY127" s="853"/>
      <c r="AZ127" s="2934"/>
      <c r="BA127" s="575"/>
      <c r="BB127" s="575">
        <f t="shared" si="31"/>
        <v>4.0999999999999996</v>
      </c>
      <c r="BC127" s="662"/>
      <c r="BD127" s="662">
        <f t="shared" si="21"/>
        <v>16.399999999999999</v>
      </c>
      <c r="BE127" s="782"/>
      <c r="BF127" s="782">
        <f t="shared" si="33"/>
        <v>36.9</v>
      </c>
      <c r="BG127" s="26"/>
      <c r="BH127" s="26"/>
      <c r="BI127" s="26"/>
      <c r="BJ127" s="26"/>
      <c r="BK127" s="26"/>
      <c r="BL127" s="26"/>
      <c r="BM127" s="26"/>
      <c r="BN127" s="26"/>
    </row>
    <row r="128" spans="2:66" ht="16.149999999999999" thickBot="1" x14ac:dyDescent="0.35">
      <c r="B128" s="1637" t="s">
        <v>1033</v>
      </c>
      <c r="C128" s="2970" t="s">
        <v>1071</v>
      </c>
      <c r="D128" s="2971" t="s">
        <v>50</v>
      </c>
      <c r="E128" s="853"/>
      <c r="F128" s="2647"/>
      <c r="G128" s="853"/>
      <c r="H128" s="2647"/>
      <c r="I128" s="2972"/>
      <c r="J128" s="39">
        <f t="shared" si="35"/>
        <v>0</v>
      </c>
      <c r="K128" s="853"/>
      <c r="L128" s="2647"/>
      <c r="M128" s="902"/>
      <c r="N128" s="618">
        <f t="shared" si="16"/>
        <v>0</v>
      </c>
      <c r="O128" s="853"/>
      <c r="P128" s="2647"/>
      <c r="Q128" s="266"/>
      <c r="R128" s="373">
        <f t="shared" si="17"/>
        <v>0</v>
      </c>
      <c r="S128" s="853"/>
      <c r="T128" s="2647">
        <v>32.799999999999997</v>
      </c>
      <c r="U128" s="266"/>
      <c r="V128" s="373">
        <f t="shared" si="18"/>
        <v>32.799999999999997</v>
      </c>
      <c r="W128" s="853"/>
      <c r="X128" s="2647"/>
      <c r="Y128" s="575"/>
      <c r="Z128" s="4336">
        <f t="shared" si="28"/>
        <v>32.799999999999997</v>
      </c>
      <c r="AA128" s="662"/>
      <c r="AB128" s="4337">
        <f t="shared" si="29"/>
        <v>32.799999999999997</v>
      </c>
      <c r="AC128" s="853"/>
      <c r="AD128" s="2934"/>
      <c r="AE128" s="266"/>
      <c r="AF128" s="782">
        <f t="shared" si="30"/>
        <v>32.799999999999997</v>
      </c>
      <c r="AG128" s="853"/>
      <c r="AH128" s="2934"/>
      <c r="AI128" s="266"/>
      <c r="AJ128" s="782">
        <f t="shared" si="36"/>
        <v>32.799999999999997</v>
      </c>
      <c r="AK128" s="853"/>
      <c r="AL128" s="2934"/>
      <c r="AM128" s="575"/>
      <c r="AN128" s="575">
        <f t="shared" si="20"/>
        <v>0</v>
      </c>
      <c r="AO128" s="782"/>
      <c r="AP128" s="782">
        <f t="shared" si="25"/>
        <v>32.799999999999997</v>
      </c>
      <c r="AQ128" s="853"/>
      <c r="AR128" s="2934"/>
      <c r="AS128" s="266"/>
      <c r="AT128" s="782">
        <f t="shared" si="34"/>
        <v>32.799999999999997</v>
      </c>
      <c r="AU128" s="853"/>
      <c r="AV128" s="2934"/>
      <c r="AW128" s="266"/>
      <c r="AX128" s="782">
        <f t="shared" si="27"/>
        <v>32.799999999999997</v>
      </c>
      <c r="AY128" s="853"/>
      <c r="AZ128" s="2934"/>
      <c r="BA128" s="575"/>
      <c r="BB128" s="575">
        <f t="shared" si="31"/>
        <v>0</v>
      </c>
      <c r="BC128" s="662"/>
      <c r="BD128" s="662">
        <f t="shared" si="21"/>
        <v>0</v>
      </c>
      <c r="BE128" s="782"/>
      <c r="BF128" s="782">
        <f t="shared" si="33"/>
        <v>32.799999999999997</v>
      </c>
      <c r="BG128" s="26"/>
      <c r="BH128" s="26"/>
      <c r="BI128" s="26"/>
      <c r="BJ128" s="26"/>
      <c r="BK128" s="26"/>
      <c r="BL128" s="26"/>
      <c r="BM128" s="26"/>
      <c r="BN128" s="26"/>
    </row>
    <row r="129" spans="2:66" ht="16.149999999999999" thickBot="1" x14ac:dyDescent="0.35">
      <c r="B129" s="1637" t="s">
        <v>1031</v>
      </c>
      <c r="C129" s="2970" t="s">
        <v>1071</v>
      </c>
      <c r="D129" s="2971" t="s">
        <v>50</v>
      </c>
      <c r="E129" s="853"/>
      <c r="F129" s="2647">
        <v>6.15</v>
      </c>
      <c r="G129" s="853"/>
      <c r="H129" s="2647"/>
      <c r="I129" s="2972"/>
      <c r="J129" s="39">
        <f t="shared" si="35"/>
        <v>6.15</v>
      </c>
      <c r="K129" s="853"/>
      <c r="L129" s="2647"/>
      <c r="M129" s="902"/>
      <c r="N129" s="618">
        <f t="shared" si="16"/>
        <v>6.15</v>
      </c>
      <c r="O129" s="853"/>
      <c r="P129" s="2647"/>
      <c r="Q129" s="266"/>
      <c r="R129" s="373">
        <f t="shared" si="17"/>
        <v>6.15</v>
      </c>
      <c r="S129" s="853"/>
      <c r="T129" s="2647"/>
      <c r="U129" s="266"/>
      <c r="V129" s="373">
        <f t="shared" si="18"/>
        <v>6.15</v>
      </c>
      <c r="W129" s="853"/>
      <c r="X129" s="2647"/>
      <c r="Y129" s="575"/>
      <c r="Z129" s="4336">
        <f t="shared" si="28"/>
        <v>0</v>
      </c>
      <c r="AA129" s="662"/>
      <c r="AB129" s="4337">
        <f t="shared" si="29"/>
        <v>6.15</v>
      </c>
      <c r="AC129" s="853"/>
      <c r="AD129" s="2934"/>
      <c r="AE129" s="266"/>
      <c r="AF129" s="782">
        <f t="shared" si="30"/>
        <v>6.15</v>
      </c>
      <c r="AG129" s="853"/>
      <c r="AH129" s="2934"/>
      <c r="AI129" s="266"/>
      <c r="AJ129" s="782">
        <f t="shared" si="36"/>
        <v>6.15</v>
      </c>
      <c r="AK129" s="853"/>
      <c r="AL129" s="2934"/>
      <c r="AM129" s="575"/>
      <c r="AN129" s="575">
        <f t="shared" si="20"/>
        <v>0</v>
      </c>
      <c r="AO129" s="782"/>
      <c r="AP129" s="782">
        <f t="shared" si="25"/>
        <v>6.15</v>
      </c>
      <c r="AQ129" s="853"/>
      <c r="AR129" s="2934">
        <v>4.0999999999999996</v>
      </c>
      <c r="AS129" s="266"/>
      <c r="AT129" s="782">
        <f t="shared" si="34"/>
        <v>10.25</v>
      </c>
      <c r="AU129" s="853"/>
      <c r="AV129" s="2934"/>
      <c r="AW129" s="266"/>
      <c r="AX129" s="782">
        <f t="shared" si="27"/>
        <v>10.25</v>
      </c>
      <c r="AY129" s="853"/>
      <c r="AZ129" s="2934"/>
      <c r="BA129" s="575"/>
      <c r="BB129" s="575">
        <f t="shared" si="31"/>
        <v>4.0999999999999996</v>
      </c>
      <c r="BC129" s="662"/>
      <c r="BD129" s="662">
        <f t="shared" si="21"/>
        <v>4.0999999999999996</v>
      </c>
      <c r="BE129" s="782"/>
      <c r="BF129" s="782">
        <f t="shared" si="33"/>
        <v>10.25</v>
      </c>
      <c r="BG129" s="26"/>
      <c r="BH129" s="26"/>
      <c r="BI129" s="26"/>
      <c r="BJ129" s="26"/>
      <c r="BK129" s="26"/>
      <c r="BL129" s="26"/>
      <c r="BM129" s="26"/>
      <c r="BN129" s="26"/>
    </row>
    <row r="130" spans="2:66" ht="16.149999999999999" thickBot="1" x14ac:dyDescent="0.35">
      <c r="B130" s="1637" t="s">
        <v>1959</v>
      </c>
      <c r="C130" s="2970" t="s">
        <v>1071</v>
      </c>
      <c r="D130" s="2971" t="s">
        <v>50</v>
      </c>
      <c r="E130" s="853"/>
      <c r="F130" s="4312"/>
      <c r="G130" s="853"/>
      <c r="H130" s="4312">
        <v>2.0499999999999998</v>
      </c>
      <c r="I130" s="4314"/>
      <c r="J130" s="39">
        <f t="shared" si="35"/>
        <v>2.0499999999999998</v>
      </c>
      <c r="K130" s="853"/>
      <c r="L130" s="4312">
        <v>20.5</v>
      </c>
      <c r="M130" s="4315"/>
      <c r="N130" s="618">
        <f t="shared" si="16"/>
        <v>22.55</v>
      </c>
      <c r="O130" s="853"/>
      <c r="P130" s="4312"/>
      <c r="Q130" s="4316"/>
      <c r="R130" s="373">
        <f t="shared" si="17"/>
        <v>22.55</v>
      </c>
      <c r="S130" s="853"/>
      <c r="T130" s="4312">
        <f>20.5+14.35</f>
        <v>34.85</v>
      </c>
      <c r="U130" s="4316"/>
      <c r="V130" s="373">
        <f t="shared" si="18"/>
        <v>57.400000000000006</v>
      </c>
      <c r="W130" s="853"/>
      <c r="X130" s="4312"/>
      <c r="Y130" s="4317"/>
      <c r="Z130" s="4336">
        <f t="shared" si="28"/>
        <v>34.85</v>
      </c>
      <c r="AA130" s="4318"/>
      <c r="AB130" s="4337">
        <f t="shared" si="29"/>
        <v>57.400000000000006</v>
      </c>
      <c r="AC130" s="853"/>
      <c r="AD130" s="4313">
        <v>6.15</v>
      </c>
      <c r="AE130" s="4316"/>
      <c r="AF130" s="782">
        <f t="shared" si="30"/>
        <v>63.550000000000004</v>
      </c>
      <c r="AG130" s="853"/>
      <c r="AH130" s="4313"/>
      <c r="AI130" s="4316"/>
      <c r="AJ130" s="782">
        <f t="shared" si="36"/>
        <v>63.550000000000004</v>
      </c>
      <c r="AK130" s="853"/>
      <c r="AL130" s="4313"/>
      <c r="AM130" s="4317"/>
      <c r="AN130" s="575">
        <f t="shared" si="20"/>
        <v>6.15</v>
      </c>
      <c r="AO130" s="4206"/>
      <c r="AP130" s="782">
        <f t="shared" si="25"/>
        <v>63.550000000000004</v>
      </c>
      <c r="AQ130" s="853"/>
      <c r="AR130" s="4313">
        <v>2.0499999999999998</v>
      </c>
      <c r="AS130" s="4316"/>
      <c r="AT130" s="782">
        <f t="shared" si="34"/>
        <v>65.600000000000009</v>
      </c>
      <c r="AU130" s="853"/>
      <c r="AV130" s="4313"/>
      <c r="AW130" s="4316"/>
      <c r="AX130" s="782">
        <f t="shared" si="27"/>
        <v>65.600000000000009</v>
      </c>
      <c r="AY130" s="853"/>
      <c r="AZ130" s="4313"/>
      <c r="BA130" s="4317"/>
      <c r="BB130" s="4317">
        <f t="shared" si="31"/>
        <v>2.0499999999999998</v>
      </c>
      <c r="BC130" s="4318"/>
      <c r="BD130" s="662">
        <f t="shared" si="21"/>
        <v>8.1999999999999993</v>
      </c>
      <c r="BE130" s="4206"/>
      <c r="BF130" s="782">
        <f t="shared" si="33"/>
        <v>65.600000000000009</v>
      </c>
      <c r="BG130" s="26"/>
      <c r="BH130" s="26"/>
      <c r="BI130" s="26"/>
      <c r="BJ130" s="26"/>
      <c r="BK130" s="26"/>
      <c r="BL130" s="26"/>
      <c r="BM130" s="26"/>
      <c r="BN130" s="26"/>
    </row>
    <row r="131" spans="2:66" ht="16.149999999999999" thickBot="1" x14ac:dyDescent="0.35">
      <c r="B131" s="1637" t="s">
        <v>1030</v>
      </c>
      <c r="C131" s="2970" t="s">
        <v>1071</v>
      </c>
      <c r="D131" s="2971" t="s">
        <v>50</v>
      </c>
      <c r="E131" s="853"/>
      <c r="F131" s="2647"/>
      <c r="G131" s="853"/>
      <c r="H131" s="2647">
        <v>266.5</v>
      </c>
      <c r="I131" s="2972"/>
      <c r="J131" s="39">
        <f t="shared" si="35"/>
        <v>266.5</v>
      </c>
      <c r="K131" s="853"/>
      <c r="L131" s="2647"/>
      <c r="M131" s="902"/>
      <c r="N131" s="618">
        <f t="shared" si="16"/>
        <v>266.5</v>
      </c>
      <c r="O131" s="853"/>
      <c r="P131" s="2647">
        <v>2.0499999999999998</v>
      </c>
      <c r="Q131" s="266"/>
      <c r="R131" s="373">
        <f t="shared" si="17"/>
        <v>268.55</v>
      </c>
      <c r="S131" s="853"/>
      <c r="T131" s="2647"/>
      <c r="U131" s="266"/>
      <c r="V131" s="373">
        <f t="shared" si="18"/>
        <v>268.55</v>
      </c>
      <c r="W131" s="853"/>
      <c r="X131" s="2647"/>
      <c r="Y131" s="575"/>
      <c r="Z131" s="4336">
        <f t="shared" si="28"/>
        <v>2.0499999999999998</v>
      </c>
      <c r="AA131" s="662"/>
      <c r="AB131" s="4337">
        <f t="shared" si="29"/>
        <v>268.55</v>
      </c>
      <c r="AC131" s="853"/>
      <c r="AD131" s="2934">
        <v>43.05</v>
      </c>
      <c r="AE131" s="266"/>
      <c r="AF131" s="782">
        <f t="shared" si="30"/>
        <v>311.60000000000002</v>
      </c>
      <c r="AG131" s="853"/>
      <c r="AH131" s="2934"/>
      <c r="AI131" s="266"/>
      <c r="AJ131" s="782">
        <f t="shared" si="36"/>
        <v>311.60000000000002</v>
      </c>
      <c r="AK131" s="853"/>
      <c r="AL131" s="2934"/>
      <c r="AM131" s="575"/>
      <c r="AN131" s="575">
        <f t="shared" si="20"/>
        <v>43.05</v>
      </c>
      <c r="AO131" s="782"/>
      <c r="AP131" s="782">
        <f t="shared" si="25"/>
        <v>311.60000000000002</v>
      </c>
      <c r="AQ131" s="853"/>
      <c r="AR131" s="2934"/>
      <c r="AS131" s="266"/>
      <c r="AT131" s="782">
        <f t="shared" si="34"/>
        <v>311.60000000000002</v>
      </c>
      <c r="AU131" s="853"/>
      <c r="AV131" s="2934"/>
      <c r="AW131" s="266"/>
      <c r="AX131" s="782">
        <f t="shared" si="27"/>
        <v>311.60000000000002</v>
      </c>
      <c r="AY131" s="853"/>
      <c r="AZ131" s="2934"/>
      <c r="BA131" s="575"/>
      <c r="BB131" s="575">
        <f t="shared" si="31"/>
        <v>0</v>
      </c>
      <c r="BC131" s="662"/>
      <c r="BD131" s="662">
        <f t="shared" si="21"/>
        <v>43.05</v>
      </c>
      <c r="BE131" s="782"/>
      <c r="BF131" s="782">
        <f t="shared" si="33"/>
        <v>311.60000000000002</v>
      </c>
      <c r="BG131" s="26"/>
      <c r="BH131" s="26"/>
      <c r="BI131" s="26"/>
      <c r="BJ131" s="26"/>
      <c r="BK131" s="26"/>
      <c r="BL131" s="26"/>
      <c r="BM131" s="26"/>
      <c r="BN131" s="26"/>
    </row>
    <row r="132" spans="2:66" ht="16.149999999999999" thickBot="1" x14ac:dyDescent="0.35">
      <c r="B132" s="1637" t="s">
        <v>1353</v>
      </c>
      <c r="C132" s="2970" t="s">
        <v>1071</v>
      </c>
      <c r="D132" s="2971" t="s">
        <v>50</v>
      </c>
      <c r="E132" s="853"/>
      <c r="F132" s="2647"/>
      <c r="G132" s="853"/>
      <c r="H132" s="2647"/>
      <c r="I132" s="2972"/>
      <c r="J132" s="39">
        <f t="shared" si="35"/>
        <v>0</v>
      </c>
      <c r="K132" s="853"/>
      <c r="L132" s="2647"/>
      <c r="M132" s="902"/>
      <c r="N132" s="618">
        <f t="shared" si="16"/>
        <v>0</v>
      </c>
      <c r="O132" s="853"/>
      <c r="P132" s="2647"/>
      <c r="Q132" s="266"/>
      <c r="R132" s="373">
        <f t="shared" si="17"/>
        <v>0</v>
      </c>
      <c r="S132" s="853"/>
      <c r="T132" s="2647"/>
      <c r="U132" s="266"/>
      <c r="V132" s="373">
        <f t="shared" si="18"/>
        <v>0</v>
      </c>
      <c r="W132" s="853"/>
      <c r="X132" s="2647"/>
      <c r="Y132" s="575"/>
      <c r="Z132" s="4336">
        <f t="shared" si="28"/>
        <v>0</v>
      </c>
      <c r="AA132" s="662"/>
      <c r="AB132" s="4337">
        <f t="shared" si="29"/>
        <v>0</v>
      </c>
      <c r="AC132" s="853"/>
      <c r="AD132" s="2934"/>
      <c r="AE132" s="266"/>
      <c r="AF132" s="782">
        <f t="shared" si="30"/>
        <v>0</v>
      </c>
      <c r="AG132" s="853"/>
      <c r="AH132" s="2934"/>
      <c r="AI132" s="266"/>
      <c r="AJ132" s="782">
        <f t="shared" si="36"/>
        <v>0</v>
      </c>
      <c r="AK132" s="853"/>
      <c r="AL132" s="2934"/>
      <c r="AM132" s="575"/>
      <c r="AN132" s="575">
        <f t="shared" si="20"/>
        <v>0</v>
      </c>
      <c r="AO132" s="782"/>
      <c r="AP132" s="782">
        <f t="shared" si="25"/>
        <v>0</v>
      </c>
      <c r="AQ132" s="853"/>
      <c r="AR132" s="2934"/>
      <c r="AS132" s="266"/>
      <c r="AT132" s="782">
        <f t="shared" si="34"/>
        <v>0</v>
      </c>
      <c r="AU132" s="853"/>
      <c r="AV132" s="2934"/>
      <c r="AW132" s="266"/>
      <c r="AX132" s="782">
        <f t="shared" si="27"/>
        <v>0</v>
      </c>
      <c r="AY132" s="853"/>
      <c r="AZ132" s="2934"/>
      <c r="BA132" s="575"/>
      <c r="BB132" s="575">
        <f t="shared" si="31"/>
        <v>0</v>
      </c>
      <c r="BC132" s="662"/>
      <c r="BD132" s="662">
        <f t="shared" si="21"/>
        <v>0</v>
      </c>
      <c r="BE132" s="782"/>
      <c r="BF132" s="782">
        <f t="shared" si="33"/>
        <v>0</v>
      </c>
      <c r="BG132" s="26"/>
      <c r="BH132" s="26"/>
      <c r="BI132" s="26"/>
      <c r="BJ132" s="26"/>
      <c r="BK132" s="26"/>
      <c r="BL132" s="26"/>
      <c r="BM132" s="26"/>
      <c r="BN132" s="26"/>
    </row>
    <row r="133" spans="2:66" ht="16.149999999999999" thickBot="1" x14ac:dyDescent="0.35">
      <c r="B133" s="1637" t="s">
        <v>1029</v>
      </c>
      <c r="C133" s="2973" t="s">
        <v>1071</v>
      </c>
      <c r="D133" s="2971" t="s">
        <v>50</v>
      </c>
      <c r="E133" s="853"/>
      <c r="F133" s="2647">
        <v>79.95</v>
      </c>
      <c r="G133" s="853"/>
      <c r="H133" s="2647"/>
      <c r="I133" s="2972"/>
      <c r="J133" s="39">
        <f t="shared" si="35"/>
        <v>79.95</v>
      </c>
      <c r="K133" s="853"/>
      <c r="L133" s="2647">
        <v>8.1999999999999993</v>
      </c>
      <c r="M133" s="902"/>
      <c r="N133" s="618">
        <f t="shared" si="16"/>
        <v>88.15</v>
      </c>
      <c r="O133" s="853"/>
      <c r="P133" s="2647">
        <v>4.0999999999999996</v>
      </c>
      <c r="Q133" s="266"/>
      <c r="R133" s="373">
        <f t="shared" si="17"/>
        <v>92.25</v>
      </c>
      <c r="S133" s="853"/>
      <c r="T133" s="2647"/>
      <c r="U133" s="266"/>
      <c r="V133" s="373">
        <f t="shared" si="18"/>
        <v>92.25</v>
      </c>
      <c r="W133" s="853"/>
      <c r="X133" s="2647"/>
      <c r="Y133" s="575"/>
      <c r="Z133" s="4336">
        <f t="shared" si="28"/>
        <v>4.0999999999999996</v>
      </c>
      <c r="AA133" s="662"/>
      <c r="AB133" s="4337">
        <f t="shared" si="29"/>
        <v>92.25</v>
      </c>
      <c r="AC133" s="853"/>
      <c r="AD133" s="2934"/>
      <c r="AE133" s="266"/>
      <c r="AF133" s="782">
        <f t="shared" si="30"/>
        <v>92.25</v>
      </c>
      <c r="AG133" s="853"/>
      <c r="AH133" s="2934"/>
      <c r="AI133" s="266"/>
      <c r="AJ133" s="782">
        <f t="shared" si="36"/>
        <v>92.25</v>
      </c>
      <c r="AK133" s="853"/>
      <c r="AL133" s="2934">
        <v>98.4</v>
      </c>
      <c r="AM133" s="575"/>
      <c r="AN133" s="575">
        <f t="shared" si="20"/>
        <v>98.4</v>
      </c>
      <c r="AO133" s="782"/>
      <c r="AP133" s="782">
        <f t="shared" si="25"/>
        <v>190.65</v>
      </c>
      <c r="AQ133" s="853"/>
      <c r="AR133" s="2934"/>
      <c r="AS133" s="266"/>
      <c r="AT133" s="782">
        <f t="shared" si="34"/>
        <v>190.65</v>
      </c>
      <c r="AU133" s="853"/>
      <c r="AV133" s="2934"/>
      <c r="AW133" s="266"/>
      <c r="AX133" s="782">
        <f t="shared" si="27"/>
        <v>190.65</v>
      </c>
      <c r="AY133" s="853"/>
      <c r="AZ133" s="2934"/>
      <c r="BA133" s="575"/>
      <c r="BB133" s="575">
        <f t="shared" si="31"/>
        <v>0</v>
      </c>
      <c r="BC133" s="662"/>
      <c r="BD133" s="662">
        <f t="shared" si="21"/>
        <v>98.4</v>
      </c>
      <c r="BE133" s="782"/>
      <c r="BF133" s="782">
        <f t="shared" si="33"/>
        <v>190.65</v>
      </c>
      <c r="BG133" s="26"/>
      <c r="BH133" s="26"/>
      <c r="BI133" s="26"/>
      <c r="BJ133" s="26"/>
      <c r="BK133" s="26"/>
      <c r="BL133" s="26"/>
      <c r="BM133" s="26"/>
      <c r="BN133" s="26"/>
    </row>
    <row r="134" spans="2:66" ht="16.149999999999999" thickBot="1" x14ac:dyDescent="0.35">
      <c r="B134" s="1637" t="s">
        <v>1333</v>
      </c>
      <c r="C134" s="2973" t="s">
        <v>1071</v>
      </c>
      <c r="D134" s="2971" t="s">
        <v>50</v>
      </c>
      <c r="E134" s="853"/>
      <c r="F134" s="2647"/>
      <c r="G134" s="853"/>
      <c r="H134" s="2647"/>
      <c r="I134" s="2972"/>
      <c r="J134" s="39">
        <f t="shared" si="35"/>
        <v>0</v>
      </c>
      <c r="K134" s="853"/>
      <c r="L134" s="2647"/>
      <c r="M134" s="902"/>
      <c r="N134" s="618">
        <f t="shared" si="16"/>
        <v>0</v>
      </c>
      <c r="O134" s="853"/>
      <c r="P134" s="2647"/>
      <c r="Q134" s="266"/>
      <c r="R134" s="373">
        <f t="shared" si="17"/>
        <v>0</v>
      </c>
      <c r="S134" s="853"/>
      <c r="T134" s="2647"/>
      <c r="U134" s="266"/>
      <c r="V134" s="373">
        <f t="shared" si="18"/>
        <v>0</v>
      </c>
      <c r="W134" s="853"/>
      <c r="X134" s="2647"/>
      <c r="Y134" s="575"/>
      <c r="Z134" s="4336">
        <f t="shared" si="28"/>
        <v>0</v>
      </c>
      <c r="AA134" s="662"/>
      <c r="AB134" s="4337">
        <f t="shared" si="29"/>
        <v>0</v>
      </c>
      <c r="AC134" s="853"/>
      <c r="AD134" s="2934"/>
      <c r="AE134" s="266"/>
      <c r="AF134" s="782">
        <f t="shared" si="30"/>
        <v>0</v>
      </c>
      <c r="AG134" s="853"/>
      <c r="AH134" s="2934"/>
      <c r="AI134" s="266"/>
      <c r="AJ134" s="782">
        <f t="shared" si="36"/>
        <v>0</v>
      </c>
      <c r="AK134" s="853"/>
      <c r="AL134" s="2934"/>
      <c r="AM134" s="575"/>
      <c r="AN134" s="575">
        <f t="shared" si="20"/>
        <v>0</v>
      </c>
      <c r="AO134" s="782"/>
      <c r="AP134" s="782">
        <f t="shared" si="25"/>
        <v>0</v>
      </c>
      <c r="AQ134" s="853"/>
      <c r="AR134" s="2934"/>
      <c r="AS134" s="266"/>
      <c r="AT134" s="782">
        <f t="shared" si="34"/>
        <v>0</v>
      </c>
      <c r="AU134" s="853"/>
      <c r="AV134" s="2934"/>
      <c r="AW134" s="266"/>
      <c r="AX134" s="782">
        <f t="shared" si="27"/>
        <v>0</v>
      </c>
      <c r="AY134" s="853"/>
      <c r="AZ134" s="2934"/>
      <c r="BA134" s="575"/>
      <c r="BB134" s="575">
        <f t="shared" si="31"/>
        <v>0</v>
      </c>
      <c r="BC134" s="662"/>
      <c r="BD134" s="662">
        <f t="shared" si="21"/>
        <v>0</v>
      </c>
      <c r="BE134" s="782"/>
      <c r="BF134" s="782">
        <f t="shared" si="33"/>
        <v>0</v>
      </c>
      <c r="BG134" s="26"/>
      <c r="BH134" s="26"/>
      <c r="BI134" s="26"/>
      <c r="BJ134" s="26"/>
      <c r="BK134" s="26"/>
      <c r="BL134" s="26"/>
      <c r="BM134" s="26"/>
      <c r="BN134" s="26"/>
    </row>
    <row r="135" spans="2:66" ht="16.149999999999999" thickBot="1" x14ac:dyDescent="0.35">
      <c r="B135" s="1637" t="s">
        <v>1328</v>
      </c>
      <c r="C135" s="2973" t="s">
        <v>1071</v>
      </c>
      <c r="D135" s="2971" t="s">
        <v>50</v>
      </c>
      <c r="E135" s="853"/>
      <c r="F135" s="2647">
        <v>26.65</v>
      </c>
      <c r="G135" s="853"/>
      <c r="H135" s="2647"/>
      <c r="I135" s="2972"/>
      <c r="J135" s="39">
        <f t="shared" si="35"/>
        <v>26.65</v>
      </c>
      <c r="K135" s="853"/>
      <c r="L135" s="2647"/>
      <c r="M135" s="902"/>
      <c r="N135" s="618">
        <f t="shared" si="16"/>
        <v>26.65</v>
      </c>
      <c r="O135" s="853"/>
      <c r="P135" s="2647"/>
      <c r="Q135" s="266"/>
      <c r="R135" s="373">
        <f t="shared" si="17"/>
        <v>26.65</v>
      </c>
      <c r="S135" s="853"/>
      <c r="T135" s="2647"/>
      <c r="U135" s="266"/>
      <c r="V135" s="373">
        <f t="shared" si="18"/>
        <v>26.65</v>
      </c>
      <c r="W135" s="853"/>
      <c r="X135" s="2647"/>
      <c r="Y135" s="575"/>
      <c r="Z135" s="4336">
        <f t="shared" si="28"/>
        <v>0</v>
      </c>
      <c r="AA135" s="662"/>
      <c r="AB135" s="4337">
        <f t="shared" si="29"/>
        <v>26.65</v>
      </c>
      <c r="AC135" s="853"/>
      <c r="AD135" s="2934"/>
      <c r="AE135" s="266"/>
      <c r="AF135" s="782">
        <f t="shared" si="30"/>
        <v>26.65</v>
      </c>
      <c r="AG135" s="853"/>
      <c r="AH135" s="2934"/>
      <c r="AI135" s="266"/>
      <c r="AJ135" s="782">
        <f t="shared" si="36"/>
        <v>26.65</v>
      </c>
      <c r="AK135" s="853"/>
      <c r="AL135" s="2934"/>
      <c r="AM135" s="575"/>
      <c r="AN135" s="575">
        <f t="shared" si="20"/>
        <v>0</v>
      </c>
      <c r="AO135" s="782"/>
      <c r="AP135" s="782">
        <f t="shared" si="25"/>
        <v>26.65</v>
      </c>
      <c r="AQ135" s="853"/>
      <c r="AR135" s="2934"/>
      <c r="AS135" s="266"/>
      <c r="AT135" s="782">
        <f t="shared" si="34"/>
        <v>26.65</v>
      </c>
      <c r="AU135" s="853"/>
      <c r="AV135" s="2934"/>
      <c r="AW135" s="266"/>
      <c r="AX135" s="782">
        <f t="shared" si="27"/>
        <v>26.65</v>
      </c>
      <c r="AY135" s="853"/>
      <c r="AZ135" s="2934"/>
      <c r="BA135" s="575"/>
      <c r="BB135" s="575">
        <f t="shared" si="31"/>
        <v>0</v>
      </c>
      <c r="BC135" s="662"/>
      <c r="BD135" s="662">
        <f t="shared" si="21"/>
        <v>0</v>
      </c>
      <c r="BE135" s="782"/>
      <c r="BF135" s="782">
        <f t="shared" si="33"/>
        <v>26.65</v>
      </c>
      <c r="BG135" s="26"/>
      <c r="BH135" s="26"/>
      <c r="BI135" s="26"/>
      <c r="BJ135" s="26"/>
      <c r="BK135" s="26"/>
      <c r="BL135" s="26"/>
      <c r="BM135" s="26"/>
      <c r="BN135" s="26"/>
    </row>
    <row r="136" spans="2:66" ht="16.149999999999999" thickBot="1" x14ac:dyDescent="0.35">
      <c r="B136" s="2974" t="s">
        <v>1102</v>
      </c>
      <c r="C136" s="2975" t="s">
        <v>1071</v>
      </c>
      <c r="D136" s="2976" t="s">
        <v>50</v>
      </c>
      <c r="E136" s="2929"/>
      <c r="F136" s="109">
        <v>14.35</v>
      </c>
      <c r="G136" s="2929"/>
      <c r="H136" s="109">
        <v>32.799999999999997</v>
      </c>
      <c r="I136" s="2977"/>
      <c r="J136" s="44">
        <f t="shared" si="35"/>
        <v>47.15</v>
      </c>
      <c r="K136" s="2929"/>
      <c r="L136" s="109"/>
      <c r="M136" s="902"/>
      <c r="N136" s="618">
        <f t="shared" si="16"/>
        <v>47.15</v>
      </c>
      <c r="O136" s="2929"/>
      <c r="P136" s="109"/>
      <c r="Q136" s="266"/>
      <c r="R136" s="373">
        <f t="shared" ref="R136:R152" si="37">+N136+P136</f>
        <v>47.15</v>
      </c>
      <c r="S136" s="2929"/>
      <c r="T136" s="109"/>
      <c r="U136" s="266"/>
      <c r="V136" s="373">
        <f t="shared" ref="V136:V150" si="38">+R136+T136</f>
        <v>47.15</v>
      </c>
      <c r="W136" s="2929"/>
      <c r="X136" s="109"/>
      <c r="Y136" s="575"/>
      <c r="Z136" s="4336">
        <f t="shared" si="28"/>
        <v>0</v>
      </c>
      <c r="AA136" s="662"/>
      <c r="AB136" s="4337">
        <f t="shared" si="29"/>
        <v>47.15</v>
      </c>
      <c r="AC136" s="2929"/>
      <c r="AD136" s="2935"/>
      <c r="AE136" s="266"/>
      <c r="AF136" s="782">
        <f t="shared" si="30"/>
        <v>47.15</v>
      </c>
      <c r="AG136" s="2929"/>
      <c r="AH136" s="2935"/>
      <c r="AI136" s="266"/>
      <c r="AJ136" s="782">
        <f t="shared" si="36"/>
        <v>47.15</v>
      </c>
      <c r="AK136" s="2929"/>
      <c r="AL136" s="2935">
        <v>10.25</v>
      </c>
      <c r="AM136" s="575"/>
      <c r="AN136" s="575">
        <f t="shared" si="20"/>
        <v>10.25</v>
      </c>
      <c r="AO136" s="782"/>
      <c r="AP136" s="782">
        <f t="shared" si="25"/>
        <v>57.4</v>
      </c>
      <c r="AQ136" s="2929"/>
      <c r="AR136" s="2935"/>
      <c r="AS136" s="266"/>
      <c r="AT136" s="782">
        <f t="shared" si="34"/>
        <v>57.4</v>
      </c>
      <c r="AU136" s="2929"/>
      <c r="AV136" s="2935"/>
      <c r="AW136" s="266"/>
      <c r="AX136" s="782">
        <f t="shared" si="27"/>
        <v>57.4</v>
      </c>
      <c r="AY136" s="2929"/>
      <c r="AZ136" s="2935"/>
      <c r="BA136" s="575"/>
      <c r="BB136" s="575">
        <f t="shared" si="31"/>
        <v>0</v>
      </c>
      <c r="BC136" s="662"/>
      <c r="BD136" s="662">
        <f t="shared" si="21"/>
        <v>10.25</v>
      </c>
      <c r="BE136" s="782"/>
      <c r="BF136" s="782">
        <f t="shared" si="33"/>
        <v>57.4</v>
      </c>
      <c r="BG136" s="26"/>
      <c r="BH136" s="26"/>
      <c r="BI136" s="26"/>
      <c r="BJ136" s="26"/>
      <c r="BK136" s="26"/>
      <c r="BL136" s="26"/>
      <c r="BM136" s="26"/>
      <c r="BN136" s="26"/>
    </row>
    <row r="137" spans="2:66" ht="16.149999999999999" thickBot="1" x14ac:dyDescent="0.35">
      <c r="B137" s="2965" t="s">
        <v>829</v>
      </c>
      <c r="C137" s="1648"/>
      <c r="E137"/>
      <c r="F137"/>
      <c r="G137"/>
      <c r="H137"/>
      <c r="I137"/>
      <c r="J137"/>
      <c r="K137"/>
      <c r="L137"/>
      <c r="M137" s="533"/>
      <c r="N137" s="618">
        <f t="shared" si="16"/>
        <v>0</v>
      </c>
      <c r="O137"/>
      <c r="P137"/>
      <c r="Q137"/>
      <c r="R137" s="373">
        <f t="shared" si="37"/>
        <v>0</v>
      </c>
      <c r="V137" s="373">
        <f t="shared" si="38"/>
        <v>0</v>
      </c>
      <c r="Z137" s="4336">
        <f t="shared" si="28"/>
        <v>0</v>
      </c>
      <c r="AA137" s="662"/>
      <c r="AB137" s="4337">
        <f t="shared" si="29"/>
        <v>0</v>
      </c>
      <c r="AF137" s="782"/>
      <c r="AJ137" s="782"/>
      <c r="AN137" s="575">
        <f t="shared" si="20"/>
        <v>0</v>
      </c>
      <c r="AO137" s="782"/>
      <c r="AP137" s="782">
        <f t="shared" si="25"/>
        <v>0</v>
      </c>
      <c r="AT137" s="782">
        <f t="shared" si="34"/>
        <v>0</v>
      </c>
      <c r="AX137" s="782">
        <f t="shared" si="27"/>
        <v>0</v>
      </c>
      <c r="BB137" s="575">
        <f t="shared" si="31"/>
        <v>0</v>
      </c>
      <c r="BC137" s="662"/>
      <c r="BD137" s="662">
        <f t="shared" si="21"/>
        <v>0</v>
      </c>
      <c r="BE137" s="782"/>
      <c r="BF137" s="782">
        <f t="shared" si="33"/>
        <v>0</v>
      </c>
      <c r="BG137" s="26"/>
      <c r="BH137" s="26"/>
      <c r="BI137" s="26"/>
      <c r="BJ137" s="26"/>
      <c r="BK137" s="26"/>
      <c r="BL137" s="26"/>
      <c r="BM137" s="26"/>
      <c r="BN137" s="26"/>
    </row>
    <row r="138" spans="2:66" ht="16.149999999999999" thickBot="1" x14ac:dyDescent="0.35">
      <c r="B138" s="2949" t="s">
        <v>1036</v>
      </c>
      <c r="C138" s="2950"/>
      <c r="D138" s="2951" t="s">
        <v>50</v>
      </c>
      <c r="E138" s="2952"/>
      <c r="F138" s="158">
        <v>14.35</v>
      </c>
      <c r="G138" s="2952"/>
      <c r="H138" s="158">
        <v>6.15</v>
      </c>
      <c r="I138" s="2953"/>
      <c r="J138" s="43">
        <f t="shared" si="35"/>
        <v>20.5</v>
      </c>
      <c r="K138" s="2952"/>
      <c r="L138" s="158">
        <v>20.5</v>
      </c>
      <c r="M138" s="1495"/>
      <c r="N138" s="618">
        <f t="shared" si="16"/>
        <v>41</v>
      </c>
      <c r="O138" s="2952"/>
      <c r="P138" s="158">
        <v>55.35</v>
      </c>
      <c r="Q138" s="266"/>
      <c r="R138" s="373">
        <f t="shared" si="37"/>
        <v>96.35</v>
      </c>
      <c r="S138" s="2952"/>
      <c r="T138" s="158">
        <v>4.0999999999999996</v>
      </c>
      <c r="U138" s="266"/>
      <c r="V138" s="373">
        <f t="shared" si="38"/>
        <v>100.44999999999999</v>
      </c>
      <c r="W138" s="2952"/>
      <c r="X138" s="158">
        <v>2.0499999999999998</v>
      </c>
      <c r="Y138" s="575"/>
      <c r="Z138" s="4336">
        <f t="shared" si="28"/>
        <v>61.5</v>
      </c>
      <c r="AA138" s="662"/>
      <c r="AB138" s="4337">
        <f t="shared" si="29"/>
        <v>102.5</v>
      </c>
      <c r="AC138" s="2952"/>
      <c r="AD138" s="2937">
        <v>14.36</v>
      </c>
      <c r="AE138" s="266"/>
      <c r="AF138" s="782">
        <f t="shared" si="30"/>
        <v>116.86</v>
      </c>
      <c r="AG138" s="2952"/>
      <c r="AH138" s="2937">
        <v>2.0499999999999998</v>
      </c>
      <c r="AI138" s="266"/>
      <c r="AJ138" s="782">
        <f t="shared" ref="AJ138:AJ152" si="39">+AF138+AH138</f>
        <v>118.91</v>
      </c>
      <c r="AK138" s="2952"/>
      <c r="AL138" s="2937">
        <v>24.6</v>
      </c>
      <c r="AM138" s="575"/>
      <c r="AN138" s="575">
        <f t="shared" si="20"/>
        <v>41.010000000000005</v>
      </c>
      <c r="AO138" s="782"/>
      <c r="AP138" s="782">
        <f t="shared" si="25"/>
        <v>143.51</v>
      </c>
      <c r="AQ138" s="2952"/>
      <c r="AR138" s="2937">
        <v>6.15</v>
      </c>
      <c r="AS138" s="266"/>
      <c r="AT138" s="782">
        <f t="shared" si="34"/>
        <v>149.66</v>
      </c>
      <c r="AU138" s="2952"/>
      <c r="AV138" s="2937">
        <v>16.399999999999999</v>
      </c>
      <c r="AW138" s="266"/>
      <c r="AX138" s="782">
        <f t="shared" si="27"/>
        <v>166.06</v>
      </c>
      <c r="AY138" s="2952"/>
      <c r="AZ138" s="158">
        <v>4.0999999999999996</v>
      </c>
      <c r="BA138" s="575"/>
      <c r="BB138" s="575">
        <f t="shared" si="31"/>
        <v>26.65</v>
      </c>
      <c r="BC138" s="662"/>
      <c r="BD138" s="662">
        <f t="shared" si="21"/>
        <v>67.66</v>
      </c>
      <c r="BE138" s="782"/>
      <c r="BF138" s="375">
        <f t="shared" si="33"/>
        <v>170.16</v>
      </c>
      <c r="BG138" s="26"/>
      <c r="BH138" s="26"/>
      <c r="BI138" s="26"/>
      <c r="BJ138" s="26"/>
      <c r="BK138" s="26"/>
      <c r="BL138" s="26"/>
      <c r="BM138" s="26"/>
      <c r="BN138" s="26"/>
    </row>
    <row r="139" spans="2:66" ht="16.149999999999999" thickBot="1" x14ac:dyDescent="0.35">
      <c r="B139" s="1638" t="s">
        <v>1035</v>
      </c>
      <c r="C139" s="2954"/>
      <c r="D139" s="2955" t="s">
        <v>50</v>
      </c>
      <c r="E139" s="855"/>
      <c r="F139" s="2647">
        <v>90.22</v>
      </c>
      <c r="G139" s="855"/>
      <c r="H139" s="2647">
        <v>79.95</v>
      </c>
      <c r="I139" s="2956"/>
      <c r="J139" s="39">
        <f t="shared" si="35"/>
        <v>170.17000000000002</v>
      </c>
      <c r="K139" s="855"/>
      <c r="L139" s="2647">
        <v>63.55</v>
      </c>
      <c r="M139" s="1495"/>
      <c r="N139" s="618">
        <f t="shared" ref="N139:N152" si="40">+F139+H139+L139</f>
        <v>233.72000000000003</v>
      </c>
      <c r="O139" s="855"/>
      <c r="P139" s="2647">
        <v>49.2</v>
      </c>
      <c r="Q139" s="266"/>
      <c r="R139" s="373">
        <f t="shared" si="37"/>
        <v>282.92</v>
      </c>
      <c r="S139" s="855"/>
      <c r="T139" s="2647">
        <v>53.3</v>
      </c>
      <c r="U139" s="266"/>
      <c r="V139" s="373">
        <f t="shared" si="38"/>
        <v>336.22</v>
      </c>
      <c r="W139" s="855"/>
      <c r="X139" s="2647">
        <v>129.15</v>
      </c>
      <c r="Y139" s="575"/>
      <c r="Z139" s="4336">
        <f t="shared" si="28"/>
        <v>231.65</v>
      </c>
      <c r="AA139" s="662"/>
      <c r="AB139" s="4337">
        <f t="shared" si="29"/>
        <v>465.37</v>
      </c>
      <c r="AC139" s="855"/>
      <c r="AD139" s="2934">
        <f>28.7+2.05</f>
        <v>30.75</v>
      </c>
      <c r="AE139" s="266"/>
      <c r="AF139" s="782">
        <f t="shared" si="30"/>
        <v>496.12</v>
      </c>
      <c r="AG139" s="855"/>
      <c r="AH139" s="2934">
        <v>36.9</v>
      </c>
      <c r="AI139" s="266"/>
      <c r="AJ139" s="782">
        <f t="shared" si="39"/>
        <v>533.02</v>
      </c>
      <c r="AK139" s="855"/>
      <c r="AL139" s="2934">
        <v>45.1</v>
      </c>
      <c r="AM139" s="575"/>
      <c r="AN139" s="575">
        <f t="shared" si="20"/>
        <v>112.75</v>
      </c>
      <c r="AO139" s="782"/>
      <c r="AP139" s="782">
        <f t="shared" si="25"/>
        <v>578.12</v>
      </c>
      <c r="AQ139" s="855"/>
      <c r="AR139" s="2934">
        <v>20.5</v>
      </c>
      <c r="AS139" s="266"/>
      <c r="AT139" s="782">
        <f t="shared" si="34"/>
        <v>598.62</v>
      </c>
      <c r="AU139" s="855"/>
      <c r="AV139" s="2934">
        <v>30.75</v>
      </c>
      <c r="AW139" s="266"/>
      <c r="AX139" s="782">
        <f t="shared" si="27"/>
        <v>629.37</v>
      </c>
      <c r="AY139" s="855"/>
      <c r="AZ139" s="2647">
        <v>104.55</v>
      </c>
      <c r="BA139" s="575"/>
      <c r="BB139" s="575">
        <f t="shared" si="31"/>
        <v>155.80000000000001</v>
      </c>
      <c r="BC139" s="662"/>
      <c r="BD139" s="662">
        <f t="shared" si="21"/>
        <v>268.55</v>
      </c>
      <c r="BE139" s="782"/>
      <c r="BF139" s="782">
        <f t="shared" si="33"/>
        <v>733.92</v>
      </c>
      <c r="BG139" s="26"/>
      <c r="BH139" s="26"/>
      <c r="BI139" s="26"/>
      <c r="BJ139" s="26"/>
      <c r="BK139" s="26"/>
      <c r="BL139" s="26"/>
      <c r="BM139" s="26"/>
      <c r="BN139" s="26"/>
    </row>
    <row r="140" spans="2:66" ht="16.149999999999999" thickBot="1" x14ac:dyDescent="0.35">
      <c r="B140" s="1638" t="s">
        <v>1034</v>
      </c>
      <c r="C140" s="2954"/>
      <c r="D140" s="2955" t="s">
        <v>50</v>
      </c>
      <c r="E140" s="855"/>
      <c r="F140" s="2647"/>
      <c r="G140" s="855"/>
      <c r="H140" s="2647"/>
      <c r="I140" s="2956"/>
      <c r="J140" s="39">
        <f t="shared" si="35"/>
        <v>0</v>
      </c>
      <c r="K140" s="855"/>
      <c r="L140" s="2647"/>
      <c r="M140" s="1495"/>
      <c r="N140" s="618">
        <f t="shared" si="40"/>
        <v>0</v>
      </c>
      <c r="O140" s="855"/>
      <c r="P140" s="2647"/>
      <c r="Q140" s="266"/>
      <c r="R140" s="373">
        <f t="shared" si="37"/>
        <v>0</v>
      </c>
      <c r="S140" s="855"/>
      <c r="T140" s="2647"/>
      <c r="U140" s="266"/>
      <c r="V140" s="373">
        <f t="shared" si="38"/>
        <v>0</v>
      </c>
      <c r="W140" s="855"/>
      <c r="X140" s="2647"/>
      <c r="Y140" s="575"/>
      <c r="Z140" s="4336">
        <f t="shared" si="28"/>
        <v>0</v>
      </c>
      <c r="AA140" s="662"/>
      <c r="AB140" s="4337">
        <f t="shared" si="29"/>
        <v>0</v>
      </c>
      <c r="AC140" s="855"/>
      <c r="AD140" s="2934"/>
      <c r="AE140" s="266"/>
      <c r="AF140" s="782">
        <f t="shared" si="30"/>
        <v>0</v>
      </c>
      <c r="AG140" s="855"/>
      <c r="AH140" s="2934"/>
      <c r="AI140" s="266"/>
      <c r="AJ140" s="782">
        <f t="shared" si="39"/>
        <v>0</v>
      </c>
      <c r="AK140" s="855"/>
      <c r="AL140" s="2934"/>
      <c r="AM140" s="575"/>
      <c r="AN140" s="575">
        <f t="shared" si="20"/>
        <v>0</v>
      </c>
      <c r="AO140" s="782"/>
      <c r="AP140" s="782">
        <f t="shared" si="25"/>
        <v>0</v>
      </c>
      <c r="AQ140" s="855"/>
      <c r="AR140" s="2934"/>
      <c r="AS140" s="266"/>
      <c r="AT140" s="782">
        <f t="shared" si="34"/>
        <v>0</v>
      </c>
      <c r="AU140" s="855"/>
      <c r="AV140" s="2934"/>
      <c r="AW140" s="266"/>
      <c r="AX140" s="782">
        <f t="shared" si="27"/>
        <v>0</v>
      </c>
      <c r="AY140" s="855"/>
      <c r="AZ140" s="2934"/>
      <c r="BA140" s="575"/>
      <c r="BB140" s="575">
        <f t="shared" si="31"/>
        <v>0</v>
      </c>
      <c r="BC140" s="662"/>
      <c r="BD140" s="662">
        <f t="shared" si="21"/>
        <v>0</v>
      </c>
      <c r="BE140" s="782"/>
      <c r="BF140" s="782">
        <f t="shared" si="33"/>
        <v>0</v>
      </c>
      <c r="BG140" s="26"/>
      <c r="BH140" s="26"/>
      <c r="BI140" s="26"/>
      <c r="BJ140" s="26"/>
      <c r="BK140" s="26"/>
      <c r="BL140" s="26"/>
      <c r="BM140" s="26"/>
      <c r="BN140" s="26"/>
    </row>
    <row r="141" spans="2:66" ht="16.149999999999999" thickBot="1" x14ac:dyDescent="0.35">
      <c r="B141" s="1638" t="s">
        <v>1032</v>
      </c>
      <c r="C141" s="2954"/>
      <c r="D141" s="2955" t="s">
        <v>50</v>
      </c>
      <c r="E141" s="855"/>
      <c r="F141" s="2647">
        <v>30.75</v>
      </c>
      <c r="G141" s="855"/>
      <c r="H141" s="2647">
        <v>16.399999999999999</v>
      </c>
      <c r="I141" s="2956"/>
      <c r="J141" s="39">
        <f t="shared" si="35"/>
        <v>47.15</v>
      </c>
      <c r="K141" s="855"/>
      <c r="L141" s="2647">
        <v>6.1499999999999995</v>
      </c>
      <c r="M141" s="1495"/>
      <c r="N141" s="618">
        <f t="shared" si="40"/>
        <v>53.3</v>
      </c>
      <c r="O141" s="855"/>
      <c r="P141" s="2647">
        <v>86.1</v>
      </c>
      <c r="Q141" s="266"/>
      <c r="R141" s="373">
        <f t="shared" si="37"/>
        <v>139.39999999999998</v>
      </c>
      <c r="S141" s="855"/>
      <c r="T141" s="2647">
        <v>8.1999999999999993</v>
      </c>
      <c r="U141" s="266"/>
      <c r="V141" s="373">
        <f t="shared" si="38"/>
        <v>147.59999999999997</v>
      </c>
      <c r="W141" s="855"/>
      <c r="X141" s="2647">
        <v>6.15</v>
      </c>
      <c r="Y141" s="575"/>
      <c r="Z141" s="4336">
        <f t="shared" ref="Z141:Z146" si="41">P141+T141+X141</f>
        <v>100.45</v>
      </c>
      <c r="AA141" s="662"/>
      <c r="AB141" s="4337">
        <f t="shared" ref="AB141:AB150" si="42">N141+Z141</f>
        <v>153.75</v>
      </c>
      <c r="AC141" s="855"/>
      <c r="AD141" s="2934">
        <f>38.95+8.2</f>
        <v>47.150000000000006</v>
      </c>
      <c r="AE141" s="266"/>
      <c r="AF141" s="782">
        <f t="shared" si="30"/>
        <v>200.9</v>
      </c>
      <c r="AG141" s="855"/>
      <c r="AH141" s="2934">
        <v>34.849999999999994</v>
      </c>
      <c r="AI141" s="266"/>
      <c r="AJ141" s="782">
        <f t="shared" si="39"/>
        <v>235.75</v>
      </c>
      <c r="AK141" s="855"/>
      <c r="AL141" s="2934">
        <f>20.5+6.15</f>
        <v>26.65</v>
      </c>
      <c r="AM141" s="575"/>
      <c r="AN141" s="575">
        <f t="shared" si="20"/>
        <v>108.65</v>
      </c>
      <c r="AO141" s="782"/>
      <c r="AP141" s="782">
        <f t="shared" si="25"/>
        <v>262.39999999999998</v>
      </c>
      <c r="AQ141" s="855"/>
      <c r="AR141" s="2934">
        <f>30.75+4.1</f>
        <v>34.85</v>
      </c>
      <c r="AS141" s="266"/>
      <c r="AT141" s="782">
        <f t="shared" si="34"/>
        <v>297.25</v>
      </c>
      <c r="AU141" s="855"/>
      <c r="AV141" s="2934">
        <v>38.950000000000003</v>
      </c>
      <c r="AW141" s="266"/>
      <c r="AX141" s="782">
        <f t="shared" si="27"/>
        <v>336.2</v>
      </c>
      <c r="AY141" s="855"/>
      <c r="AZ141" s="2647">
        <v>112.75</v>
      </c>
      <c r="BA141" s="575"/>
      <c r="BB141" s="575">
        <f t="shared" si="31"/>
        <v>186.55</v>
      </c>
      <c r="BC141" s="662"/>
      <c r="BD141" s="662">
        <f t="shared" ref="BD141:BD151" si="43">AN141+BB141</f>
        <v>295.20000000000005</v>
      </c>
      <c r="BE141" s="782"/>
      <c r="BF141" s="782">
        <f t="shared" si="33"/>
        <v>448.95</v>
      </c>
      <c r="BG141" s="26"/>
      <c r="BH141" s="26"/>
      <c r="BI141" s="26"/>
      <c r="BJ141" s="26"/>
      <c r="BK141" s="26"/>
      <c r="BL141" s="26"/>
      <c r="BM141" s="26"/>
      <c r="BN141" s="26"/>
    </row>
    <row r="142" spans="2:66" ht="16.149999999999999" thickBot="1" x14ac:dyDescent="0.35">
      <c r="B142" s="1638" t="s">
        <v>1123</v>
      </c>
      <c r="C142" s="2954"/>
      <c r="D142" s="2955" t="s">
        <v>50</v>
      </c>
      <c r="E142" s="855"/>
      <c r="F142" s="2647"/>
      <c r="G142" s="855"/>
      <c r="H142" s="2647"/>
      <c r="I142" s="2956"/>
      <c r="J142" s="39">
        <f t="shared" si="35"/>
        <v>0</v>
      </c>
      <c r="K142" s="855"/>
      <c r="L142" s="2647"/>
      <c r="M142" s="1495"/>
      <c r="N142" s="618">
        <f t="shared" si="40"/>
        <v>0</v>
      </c>
      <c r="O142" s="855"/>
      <c r="P142" s="2647"/>
      <c r="Q142" s="266"/>
      <c r="R142" s="373">
        <f t="shared" si="37"/>
        <v>0</v>
      </c>
      <c r="S142" s="855"/>
      <c r="T142" s="2647"/>
      <c r="U142" s="266"/>
      <c r="V142" s="373">
        <f t="shared" si="38"/>
        <v>0</v>
      </c>
      <c r="W142" s="855"/>
      <c r="X142" s="2647"/>
      <c r="Y142" s="575"/>
      <c r="Z142" s="4336">
        <f t="shared" si="41"/>
        <v>0</v>
      </c>
      <c r="AA142" s="662"/>
      <c r="AB142" s="4337">
        <f t="shared" si="42"/>
        <v>0</v>
      </c>
      <c r="AC142" s="855"/>
      <c r="AD142" s="2732"/>
      <c r="AE142" s="266"/>
      <c r="AF142" s="782">
        <f t="shared" si="30"/>
        <v>0</v>
      </c>
      <c r="AG142" s="855"/>
      <c r="AH142" s="2933"/>
      <c r="AI142" s="266"/>
      <c r="AJ142" s="782">
        <f t="shared" si="39"/>
        <v>0</v>
      </c>
      <c r="AK142" s="855"/>
      <c r="AL142" s="2933"/>
      <c r="AM142" s="575"/>
      <c r="AN142" s="575">
        <f t="shared" si="20"/>
        <v>0</v>
      </c>
      <c r="AO142" s="782"/>
      <c r="AP142" s="782">
        <f t="shared" si="25"/>
        <v>0</v>
      </c>
      <c r="AQ142" s="855"/>
      <c r="AR142" s="2933"/>
      <c r="AS142" s="266"/>
      <c r="AT142" s="782">
        <f t="shared" si="34"/>
        <v>0</v>
      </c>
      <c r="AU142" s="855"/>
      <c r="AV142" s="2933"/>
      <c r="AW142" s="266"/>
      <c r="AX142" s="782">
        <f t="shared" ref="AX142:AX152" si="44">+AT142+AV142</f>
        <v>0</v>
      </c>
      <c r="AY142" s="855"/>
      <c r="AZ142" s="2933"/>
      <c r="BA142" s="575"/>
      <c r="BB142" s="575">
        <f t="shared" si="31"/>
        <v>0</v>
      </c>
      <c r="BC142" s="662"/>
      <c r="BD142" s="662">
        <f t="shared" si="43"/>
        <v>0</v>
      </c>
      <c r="BE142" s="782"/>
      <c r="BF142" s="782">
        <f t="shared" si="33"/>
        <v>0</v>
      </c>
      <c r="BG142" s="26"/>
      <c r="BH142" s="26"/>
      <c r="BI142" s="26"/>
      <c r="BJ142" s="26"/>
      <c r="BK142" s="26"/>
      <c r="BL142" s="26"/>
      <c r="BM142" s="26"/>
      <c r="BN142" s="26"/>
    </row>
    <row r="143" spans="2:66" ht="16.149999999999999" thickBot="1" x14ac:dyDescent="0.35">
      <c r="B143" s="1638" t="s">
        <v>1124</v>
      </c>
      <c r="C143" s="2954"/>
      <c r="D143" s="2955" t="s">
        <v>50</v>
      </c>
      <c r="E143" s="855"/>
      <c r="F143" s="2647"/>
      <c r="G143" s="855"/>
      <c r="H143" s="2647"/>
      <c r="I143" s="2956"/>
      <c r="J143" s="39">
        <f t="shared" si="35"/>
        <v>0</v>
      </c>
      <c r="K143" s="855"/>
      <c r="L143" s="2647">
        <v>6.15</v>
      </c>
      <c r="M143" s="1495"/>
      <c r="N143" s="618">
        <f t="shared" si="40"/>
        <v>6.15</v>
      </c>
      <c r="O143" s="855"/>
      <c r="P143" s="2647"/>
      <c r="Q143" s="266"/>
      <c r="R143" s="373">
        <f t="shared" si="37"/>
        <v>6.15</v>
      </c>
      <c r="S143" s="855"/>
      <c r="T143" s="2647"/>
      <c r="U143" s="266"/>
      <c r="V143" s="373">
        <f t="shared" si="38"/>
        <v>6.15</v>
      </c>
      <c r="W143" s="855"/>
      <c r="X143" s="2647"/>
      <c r="Y143" s="575"/>
      <c r="Z143" s="4336">
        <f t="shared" si="41"/>
        <v>0</v>
      </c>
      <c r="AA143" s="662"/>
      <c r="AB143" s="4337">
        <f t="shared" si="42"/>
        <v>6.15</v>
      </c>
      <c r="AC143" s="855"/>
      <c r="AD143" s="2933"/>
      <c r="AE143" s="266"/>
      <c r="AF143" s="782">
        <f t="shared" si="30"/>
        <v>6.15</v>
      </c>
      <c r="AG143" s="855"/>
      <c r="AH143" s="2933"/>
      <c r="AI143" s="266"/>
      <c r="AJ143" s="782">
        <f t="shared" si="39"/>
        <v>6.15</v>
      </c>
      <c r="AK143" s="855"/>
      <c r="AL143" s="2933"/>
      <c r="AM143" s="575"/>
      <c r="AN143" s="575">
        <f t="shared" ref="AN143:AN152" si="45">AD143+AH143+AL143</f>
        <v>0</v>
      </c>
      <c r="AO143" s="782"/>
      <c r="AP143" s="782">
        <f t="shared" si="25"/>
        <v>6.15</v>
      </c>
      <c r="AQ143" s="855"/>
      <c r="AR143" s="2933"/>
      <c r="AS143" s="266"/>
      <c r="AT143" s="782">
        <f t="shared" si="34"/>
        <v>6.15</v>
      </c>
      <c r="AU143" s="855"/>
      <c r="AV143" s="2933"/>
      <c r="AW143" s="266"/>
      <c r="AX143" s="782">
        <f t="shared" si="44"/>
        <v>6.15</v>
      </c>
      <c r="AY143" s="855"/>
      <c r="AZ143" s="2933"/>
      <c r="BA143" s="575"/>
      <c r="BB143" s="575">
        <f t="shared" si="31"/>
        <v>0</v>
      </c>
      <c r="BC143" s="662"/>
      <c r="BD143" s="662">
        <f t="shared" si="43"/>
        <v>0</v>
      </c>
      <c r="BE143" s="782"/>
      <c r="BF143" s="782">
        <f t="shared" si="33"/>
        <v>6.15</v>
      </c>
      <c r="BG143" s="26"/>
      <c r="BH143" s="26"/>
      <c r="BI143" s="26"/>
      <c r="BJ143" s="26"/>
      <c r="BK143" s="26"/>
      <c r="BL143" s="26"/>
      <c r="BM143" s="26"/>
      <c r="BN143" s="26"/>
    </row>
    <row r="144" spans="2:66" ht="16.149999999999999" thickBot="1" x14ac:dyDescent="0.35">
      <c r="B144" s="1638" t="s">
        <v>1270</v>
      </c>
      <c r="C144" s="2954"/>
      <c r="D144" s="2955" t="s">
        <v>50</v>
      </c>
      <c r="E144" s="855"/>
      <c r="F144" s="2647"/>
      <c r="G144" s="855"/>
      <c r="H144" s="2647"/>
      <c r="I144" s="2956"/>
      <c r="J144" s="39">
        <f t="shared" si="35"/>
        <v>0</v>
      </c>
      <c r="K144" s="855"/>
      <c r="L144" s="2647">
        <v>10.1</v>
      </c>
      <c r="M144" s="1495"/>
      <c r="N144" s="618">
        <f t="shared" si="40"/>
        <v>10.1</v>
      </c>
      <c r="O144" s="855"/>
      <c r="P144" s="2647">
        <v>16.399999999999999</v>
      </c>
      <c r="Q144" s="266"/>
      <c r="R144" s="373">
        <f t="shared" si="37"/>
        <v>26.5</v>
      </c>
      <c r="S144" s="855"/>
      <c r="T144" s="2647"/>
      <c r="U144" s="266"/>
      <c r="V144" s="373">
        <f t="shared" si="38"/>
        <v>26.5</v>
      </c>
      <c r="W144" s="855"/>
      <c r="X144" s="2647"/>
      <c r="Y144" s="575"/>
      <c r="Z144" s="4336">
        <f t="shared" si="41"/>
        <v>16.399999999999999</v>
      </c>
      <c r="AA144" s="662"/>
      <c r="AB144" s="4337">
        <f t="shared" si="42"/>
        <v>26.5</v>
      </c>
      <c r="AC144" s="855"/>
      <c r="AD144" s="2647"/>
      <c r="AE144" s="266"/>
      <c r="AF144" s="782">
        <f t="shared" si="30"/>
        <v>26.5</v>
      </c>
      <c r="AG144" s="855"/>
      <c r="AH144" s="2647"/>
      <c r="AI144" s="266"/>
      <c r="AJ144" s="782">
        <f t="shared" si="39"/>
        <v>26.5</v>
      </c>
      <c r="AK144" s="855"/>
      <c r="AL144" s="2647"/>
      <c r="AM144" s="575"/>
      <c r="AN144" s="575">
        <f t="shared" si="45"/>
        <v>0</v>
      </c>
      <c r="AO144" s="782"/>
      <c r="AP144" s="782">
        <f t="shared" ref="AP144:AP152" si="46">AJ144+AL144</f>
        <v>26.5</v>
      </c>
      <c r="AQ144" s="855"/>
      <c r="AR144" s="2647"/>
      <c r="AS144" s="266"/>
      <c r="AT144" s="782">
        <f t="shared" ref="AT144:AT152" si="47">+AP144+AR144</f>
        <v>26.5</v>
      </c>
      <c r="AU144" s="855"/>
      <c r="AV144" s="2647"/>
      <c r="AW144" s="266"/>
      <c r="AX144" s="782">
        <f t="shared" si="44"/>
        <v>26.5</v>
      </c>
      <c r="AY144" s="855"/>
      <c r="AZ144" s="2647"/>
      <c r="BA144" s="575"/>
      <c r="BB144" s="575">
        <f t="shared" si="31"/>
        <v>0</v>
      </c>
      <c r="BC144" s="662"/>
      <c r="BD144" s="662">
        <f t="shared" si="43"/>
        <v>0</v>
      </c>
      <c r="BE144" s="782"/>
      <c r="BF144" s="782">
        <f t="shared" si="33"/>
        <v>26.5</v>
      </c>
      <c r="BG144" s="26"/>
      <c r="BH144" s="26"/>
      <c r="BI144" s="26"/>
      <c r="BJ144" s="26"/>
      <c r="BK144" s="26"/>
      <c r="BL144" s="26"/>
      <c r="BM144" s="26"/>
      <c r="BN144" s="26"/>
    </row>
    <row r="145" spans="1:66" ht="16.149999999999999" thickBot="1" x14ac:dyDescent="0.35">
      <c r="B145" s="1638" t="s">
        <v>1031</v>
      </c>
      <c r="C145" s="2954"/>
      <c r="D145" s="2955" t="s">
        <v>50</v>
      </c>
      <c r="E145" s="855"/>
      <c r="F145" s="2647"/>
      <c r="G145" s="855"/>
      <c r="H145" s="2647">
        <v>2.0499999999999998</v>
      </c>
      <c r="I145" s="2956"/>
      <c r="J145" s="39">
        <f t="shared" si="35"/>
        <v>2.0499999999999998</v>
      </c>
      <c r="K145" s="855"/>
      <c r="L145" s="2647"/>
      <c r="M145" s="1495"/>
      <c r="N145" s="618">
        <f t="shared" si="40"/>
        <v>2.0499999999999998</v>
      </c>
      <c r="O145" s="855"/>
      <c r="P145" s="2647"/>
      <c r="Q145" s="266"/>
      <c r="R145" s="373">
        <f t="shared" si="37"/>
        <v>2.0499999999999998</v>
      </c>
      <c r="S145" s="855"/>
      <c r="T145" s="2647"/>
      <c r="U145" s="266"/>
      <c r="V145" s="373">
        <f t="shared" si="38"/>
        <v>2.0499999999999998</v>
      </c>
      <c r="W145" s="855"/>
      <c r="X145" s="2647"/>
      <c r="Y145" s="575"/>
      <c r="Z145" s="4336">
        <f t="shared" si="41"/>
        <v>0</v>
      </c>
      <c r="AA145" s="662"/>
      <c r="AB145" s="4337">
        <f t="shared" si="42"/>
        <v>2.0499999999999998</v>
      </c>
      <c r="AC145" s="855"/>
      <c r="AD145" s="2647"/>
      <c r="AE145" s="266"/>
      <c r="AF145" s="782">
        <f t="shared" si="30"/>
        <v>2.0499999999999998</v>
      </c>
      <c r="AG145" s="855"/>
      <c r="AH145" s="2647"/>
      <c r="AI145" s="266"/>
      <c r="AJ145" s="782">
        <f t="shared" si="39"/>
        <v>2.0499999999999998</v>
      </c>
      <c r="AK145" s="855"/>
      <c r="AL145" s="2647"/>
      <c r="AM145" s="575"/>
      <c r="AN145" s="575">
        <f t="shared" si="45"/>
        <v>0</v>
      </c>
      <c r="AO145" s="782"/>
      <c r="AP145" s="782">
        <f t="shared" si="46"/>
        <v>2.0499999999999998</v>
      </c>
      <c r="AQ145" s="855"/>
      <c r="AR145" s="2647"/>
      <c r="AS145" s="266"/>
      <c r="AT145" s="782">
        <f t="shared" si="47"/>
        <v>2.0499999999999998</v>
      </c>
      <c r="AU145" s="855"/>
      <c r="AV145" s="2647"/>
      <c r="AW145" s="266"/>
      <c r="AX145" s="782">
        <f t="shared" si="44"/>
        <v>2.0499999999999998</v>
      </c>
      <c r="AY145" s="855"/>
      <c r="AZ145" s="2647">
        <v>22.55</v>
      </c>
      <c r="BA145" s="575"/>
      <c r="BB145" s="575">
        <f t="shared" si="31"/>
        <v>22.55</v>
      </c>
      <c r="BC145" s="662"/>
      <c r="BD145" s="662">
        <f t="shared" si="43"/>
        <v>22.55</v>
      </c>
      <c r="BE145" s="782"/>
      <c r="BF145" s="782">
        <f t="shared" si="33"/>
        <v>24.6</v>
      </c>
      <c r="BG145" s="26"/>
      <c r="BH145" s="26"/>
      <c r="BI145" s="26"/>
      <c r="BJ145" s="26"/>
      <c r="BK145" s="26"/>
      <c r="BL145" s="26"/>
      <c r="BM145" s="26"/>
      <c r="BN145" s="26"/>
    </row>
    <row r="146" spans="1:66" ht="16.149999999999999" thickBot="1" x14ac:dyDescent="0.35">
      <c r="B146" s="1638" t="s">
        <v>1959</v>
      </c>
      <c r="C146" s="2954"/>
      <c r="D146" s="2955" t="s">
        <v>50</v>
      </c>
      <c r="E146" s="855"/>
      <c r="F146" s="4312"/>
      <c r="G146" s="855"/>
      <c r="H146" s="4312">
        <v>4.0999999999999996</v>
      </c>
      <c r="I146" s="4319"/>
      <c r="J146" s="39">
        <f t="shared" si="35"/>
        <v>4.0999999999999996</v>
      </c>
      <c r="K146" s="855"/>
      <c r="L146" s="4312"/>
      <c r="M146" s="4320"/>
      <c r="N146" s="618">
        <f t="shared" si="40"/>
        <v>4.0999999999999996</v>
      </c>
      <c r="O146" s="855"/>
      <c r="P146" s="4312"/>
      <c r="Q146" s="4316"/>
      <c r="R146" s="373">
        <f t="shared" si="37"/>
        <v>4.0999999999999996</v>
      </c>
      <c r="S146" s="855"/>
      <c r="T146" s="4312"/>
      <c r="U146" s="4316"/>
      <c r="V146" s="373">
        <f t="shared" si="38"/>
        <v>4.0999999999999996</v>
      </c>
      <c r="W146" s="855"/>
      <c r="X146" s="4312"/>
      <c r="Y146" s="4317"/>
      <c r="Z146" s="4336">
        <f t="shared" si="41"/>
        <v>0</v>
      </c>
      <c r="AA146" s="4318"/>
      <c r="AB146" s="4337">
        <f t="shared" si="42"/>
        <v>4.0999999999999996</v>
      </c>
      <c r="AC146" s="855"/>
      <c r="AD146" s="4313">
        <v>9.23</v>
      </c>
      <c r="AE146" s="4316"/>
      <c r="AF146" s="782">
        <f t="shared" si="30"/>
        <v>13.33</v>
      </c>
      <c r="AG146" s="855"/>
      <c r="AH146" s="4313"/>
      <c r="AI146" s="4316"/>
      <c r="AJ146" s="782">
        <f t="shared" si="39"/>
        <v>13.33</v>
      </c>
      <c r="AK146" s="855"/>
      <c r="AL146" s="4313"/>
      <c r="AM146" s="4317"/>
      <c r="AN146" s="575">
        <f t="shared" si="45"/>
        <v>9.23</v>
      </c>
      <c r="AO146" s="4206"/>
      <c r="AP146" s="782">
        <f t="shared" si="46"/>
        <v>13.33</v>
      </c>
      <c r="AQ146" s="855"/>
      <c r="AR146" s="4313">
        <v>2.0499999999999998</v>
      </c>
      <c r="AS146" s="4316"/>
      <c r="AT146" s="782">
        <f t="shared" si="47"/>
        <v>15.379999999999999</v>
      </c>
      <c r="AU146" s="855"/>
      <c r="AV146" s="4313"/>
      <c r="AW146" s="4316"/>
      <c r="AX146" s="782">
        <f t="shared" si="44"/>
        <v>15.379999999999999</v>
      </c>
      <c r="AY146" s="855"/>
      <c r="AZ146" s="4312">
        <v>10.25</v>
      </c>
      <c r="BA146" s="4317"/>
      <c r="BB146" s="575">
        <f t="shared" si="31"/>
        <v>12.3</v>
      </c>
      <c r="BC146" s="4318"/>
      <c r="BD146" s="662">
        <f t="shared" si="43"/>
        <v>21.53</v>
      </c>
      <c r="BE146" s="4206"/>
      <c r="BF146" s="782">
        <f t="shared" si="33"/>
        <v>25.63</v>
      </c>
      <c r="BG146" s="26"/>
      <c r="BH146" s="26"/>
      <c r="BI146" s="26"/>
      <c r="BJ146" s="26"/>
      <c r="BK146" s="26"/>
      <c r="BL146" s="26"/>
      <c r="BM146" s="26"/>
      <c r="BN146" s="26"/>
    </row>
    <row r="147" spans="1:66" ht="16.149999999999999" thickBot="1" x14ac:dyDescent="0.35">
      <c r="B147" s="1638" t="s">
        <v>1030</v>
      </c>
      <c r="C147" s="2954"/>
      <c r="D147" s="2955" t="s">
        <v>50</v>
      </c>
      <c r="E147" s="855"/>
      <c r="F147" s="2647"/>
      <c r="G147" s="855"/>
      <c r="H147" s="2647">
        <v>2.0499999999999998</v>
      </c>
      <c r="I147" s="2956"/>
      <c r="J147" s="39">
        <f t="shared" si="35"/>
        <v>2.0499999999999998</v>
      </c>
      <c r="K147" s="855"/>
      <c r="L147" s="2647"/>
      <c r="M147" s="1495"/>
      <c r="N147" s="618">
        <f t="shared" si="40"/>
        <v>2.0499999999999998</v>
      </c>
      <c r="O147" s="855"/>
      <c r="P147" s="2647"/>
      <c r="Q147" s="266"/>
      <c r="R147" s="373">
        <f t="shared" si="37"/>
        <v>2.0499999999999998</v>
      </c>
      <c r="S147" s="855"/>
      <c r="T147" s="2647"/>
      <c r="U147" s="266"/>
      <c r="V147" s="373">
        <f t="shared" si="38"/>
        <v>2.0499999999999998</v>
      </c>
      <c r="W147" s="855"/>
      <c r="X147" s="2647">
        <v>6.15</v>
      </c>
      <c r="Y147" s="575"/>
      <c r="Z147" s="575">
        <f t="shared" ref="Z147:Z152" si="48">P147+T147+X147</f>
        <v>6.15</v>
      </c>
      <c r="AA147" s="662"/>
      <c r="AB147" s="4337">
        <f t="shared" si="42"/>
        <v>8.1999999999999993</v>
      </c>
      <c r="AC147" s="855"/>
      <c r="AD147" s="2647"/>
      <c r="AE147" s="266"/>
      <c r="AF147" s="782">
        <f t="shared" si="30"/>
        <v>8.1999999999999993</v>
      </c>
      <c r="AG147" s="855"/>
      <c r="AH147" s="2647"/>
      <c r="AI147" s="266"/>
      <c r="AJ147" s="782">
        <f t="shared" si="39"/>
        <v>8.1999999999999993</v>
      </c>
      <c r="AK147" s="855"/>
      <c r="AL147" s="2647"/>
      <c r="AM147" s="575"/>
      <c r="AN147" s="575">
        <f t="shared" si="45"/>
        <v>0</v>
      </c>
      <c r="AO147" s="782"/>
      <c r="AP147" s="782">
        <f t="shared" si="46"/>
        <v>8.1999999999999993</v>
      </c>
      <c r="AQ147" s="855"/>
      <c r="AR147" s="2647"/>
      <c r="AS147" s="266"/>
      <c r="AT147" s="782">
        <f t="shared" si="47"/>
        <v>8.1999999999999993</v>
      </c>
      <c r="AU147" s="855"/>
      <c r="AV147" s="2647"/>
      <c r="AW147" s="266"/>
      <c r="AX147" s="782">
        <f t="shared" si="44"/>
        <v>8.1999999999999993</v>
      </c>
      <c r="AY147" s="855"/>
      <c r="AZ147" s="2647"/>
      <c r="BA147" s="575"/>
      <c r="BB147" s="575">
        <f t="shared" si="31"/>
        <v>0</v>
      </c>
      <c r="BC147" s="662"/>
      <c r="BD147" s="662">
        <f t="shared" si="43"/>
        <v>0</v>
      </c>
      <c r="BE147" s="782"/>
      <c r="BF147" s="782">
        <f t="shared" si="33"/>
        <v>8.1999999999999993</v>
      </c>
      <c r="BG147" s="26"/>
      <c r="BH147" s="26"/>
      <c r="BI147" s="26"/>
      <c r="BJ147" s="26"/>
      <c r="BK147" s="26"/>
      <c r="BL147" s="26"/>
      <c r="BM147" s="26"/>
      <c r="BN147" s="26"/>
    </row>
    <row r="148" spans="1:66" ht="16.149999999999999" thickBot="1" x14ac:dyDescent="0.35">
      <c r="B148" s="1638" t="s">
        <v>1353</v>
      </c>
      <c r="C148" s="2954"/>
      <c r="D148" s="2955" t="s">
        <v>50</v>
      </c>
      <c r="E148" s="855"/>
      <c r="F148" s="2647">
        <v>4.0999999999999996</v>
      </c>
      <c r="G148" s="855"/>
      <c r="H148" s="2647"/>
      <c r="I148" s="2956"/>
      <c r="J148" s="39">
        <f t="shared" si="35"/>
        <v>4.0999999999999996</v>
      </c>
      <c r="K148" s="855"/>
      <c r="L148" s="2647"/>
      <c r="M148" s="1495"/>
      <c r="N148" s="618">
        <f t="shared" si="40"/>
        <v>4.0999999999999996</v>
      </c>
      <c r="O148" s="855"/>
      <c r="P148" s="2647"/>
      <c r="Q148" s="266"/>
      <c r="R148" s="373">
        <f t="shared" si="37"/>
        <v>4.0999999999999996</v>
      </c>
      <c r="S148" s="855"/>
      <c r="T148" s="2647"/>
      <c r="U148" s="266"/>
      <c r="V148" s="373">
        <f t="shared" si="38"/>
        <v>4.0999999999999996</v>
      </c>
      <c r="W148" s="855"/>
      <c r="X148" s="2647"/>
      <c r="Y148" s="575"/>
      <c r="Z148" s="575">
        <f t="shared" si="48"/>
        <v>0</v>
      </c>
      <c r="AA148" s="662"/>
      <c r="AB148" s="4337">
        <f t="shared" si="42"/>
        <v>4.0999999999999996</v>
      </c>
      <c r="AC148" s="855"/>
      <c r="AD148" s="2647"/>
      <c r="AE148" s="266"/>
      <c r="AF148" s="782">
        <f t="shared" si="30"/>
        <v>4.0999999999999996</v>
      </c>
      <c r="AG148" s="855"/>
      <c r="AH148" s="2647"/>
      <c r="AI148" s="266"/>
      <c r="AJ148" s="782">
        <f t="shared" si="39"/>
        <v>4.0999999999999996</v>
      </c>
      <c r="AK148" s="855"/>
      <c r="AL148" s="2647"/>
      <c r="AM148" s="575"/>
      <c r="AN148" s="575">
        <f t="shared" si="45"/>
        <v>0</v>
      </c>
      <c r="AO148" s="782"/>
      <c r="AP148" s="782">
        <f t="shared" si="46"/>
        <v>4.0999999999999996</v>
      </c>
      <c r="AQ148" s="855"/>
      <c r="AR148" s="2647"/>
      <c r="AS148" s="266"/>
      <c r="AT148" s="782">
        <f t="shared" si="47"/>
        <v>4.0999999999999996</v>
      </c>
      <c r="AU148" s="855"/>
      <c r="AV148" s="2647"/>
      <c r="AW148" s="266"/>
      <c r="AX148" s="782">
        <f t="shared" si="44"/>
        <v>4.0999999999999996</v>
      </c>
      <c r="AY148" s="855"/>
      <c r="AZ148" s="2647"/>
      <c r="BA148" s="575"/>
      <c r="BB148" s="575">
        <f t="shared" si="31"/>
        <v>0</v>
      </c>
      <c r="BC148" s="662"/>
      <c r="BD148" s="662">
        <f t="shared" si="43"/>
        <v>0</v>
      </c>
      <c r="BE148" s="782"/>
      <c r="BF148" s="782">
        <f t="shared" si="33"/>
        <v>4.0999999999999996</v>
      </c>
      <c r="BG148" s="26"/>
      <c r="BH148" s="26"/>
      <c r="BI148" s="26"/>
      <c r="BJ148" s="26"/>
      <c r="BK148" s="26"/>
      <c r="BL148" s="26"/>
      <c r="BM148" s="26"/>
      <c r="BN148" s="26"/>
    </row>
    <row r="149" spans="1:66" ht="15.75" customHeight="1" thickBot="1" x14ac:dyDescent="0.35">
      <c r="B149" s="1638" t="s">
        <v>1029</v>
      </c>
      <c r="C149" s="2954"/>
      <c r="D149" s="2955" t="s">
        <v>50</v>
      </c>
      <c r="E149" s="855"/>
      <c r="F149" s="2647"/>
      <c r="G149" s="855"/>
      <c r="H149" s="2647"/>
      <c r="I149" s="2956"/>
      <c r="J149" s="39">
        <f t="shared" si="35"/>
        <v>0</v>
      </c>
      <c r="K149" s="855"/>
      <c r="L149" s="2647">
        <v>2.0499999999999998</v>
      </c>
      <c r="M149" s="1495"/>
      <c r="N149" s="618">
        <f t="shared" si="40"/>
        <v>2.0499999999999998</v>
      </c>
      <c r="O149" s="855"/>
      <c r="P149" s="2647"/>
      <c r="Q149" s="266"/>
      <c r="R149" s="373">
        <f t="shared" si="37"/>
        <v>2.0499999999999998</v>
      </c>
      <c r="S149" s="855"/>
      <c r="T149" s="2647"/>
      <c r="U149" s="266"/>
      <c r="V149" s="373">
        <f t="shared" si="38"/>
        <v>2.0499999999999998</v>
      </c>
      <c r="W149" s="855"/>
      <c r="X149" s="2647"/>
      <c r="Y149" s="575"/>
      <c r="Z149" s="575">
        <f t="shared" si="48"/>
        <v>0</v>
      </c>
      <c r="AA149" s="662"/>
      <c r="AB149" s="4337">
        <f t="shared" si="42"/>
        <v>2.0499999999999998</v>
      </c>
      <c r="AC149" s="855"/>
      <c r="AD149" s="2647"/>
      <c r="AE149" s="266"/>
      <c r="AF149" s="782">
        <f t="shared" si="30"/>
        <v>2.0499999999999998</v>
      </c>
      <c r="AG149" s="855"/>
      <c r="AH149" s="2647"/>
      <c r="AI149" s="266"/>
      <c r="AJ149" s="782">
        <f t="shared" si="39"/>
        <v>2.0499999999999998</v>
      </c>
      <c r="AK149" s="855"/>
      <c r="AL149" s="2647"/>
      <c r="AM149" s="575"/>
      <c r="AN149" s="575">
        <f t="shared" si="45"/>
        <v>0</v>
      </c>
      <c r="AO149" s="782"/>
      <c r="AP149" s="782">
        <f t="shared" si="46"/>
        <v>2.0499999999999998</v>
      </c>
      <c r="AQ149" s="855"/>
      <c r="AR149" s="2647">
        <v>6.1499999999999995</v>
      </c>
      <c r="AS149" s="266"/>
      <c r="AT149" s="782">
        <f t="shared" si="47"/>
        <v>8.1999999999999993</v>
      </c>
      <c r="AU149" s="855"/>
      <c r="AV149" s="2647"/>
      <c r="AW149" s="266"/>
      <c r="AX149" s="782">
        <f t="shared" si="44"/>
        <v>8.1999999999999993</v>
      </c>
      <c r="AY149" s="855"/>
      <c r="AZ149" s="2647"/>
      <c r="BA149" s="575"/>
      <c r="BB149" s="575">
        <f t="shared" si="31"/>
        <v>6.1499999999999995</v>
      </c>
      <c r="BC149" s="662"/>
      <c r="BD149" s="662">
        <f t="shared" si="43"/>
        <v>6.1499999999999995</v>
      </c>
      <c r="BE149" s="782"/>
      <c r="BF149" s="782">
        <f t="shared" si="33"/>
        <v>8.1999999999999993</v>
      </c>
      <c r="BG149" s="26"/>
      <c r="BH149" s="26"/>
      <c r="BI149" s="26"/>
      <c r="BJ149" s="26"/>
      <c r="BK149" s="26"/>
      <c r="BL149" s="26"/>
      <c r="BM149" s="26"/>
      <c r="BN149" s="26"/>
    </row>
    <row r="150" spans="1:66" ht="15.75" customHeight="1" thickBot="1" x14ac:dyDescent="0.35">
      <c r="B150" s="1638" t="s">
        <v>1293</v>
      </c>
      <c r="C150" s="2954"/>
      <c r="D150" s="2955" t="s">
        <v>50</v>
      </c>
      <c r="E150" s="2957"/>
      <c r="F150" s="2647"/>
      <c r="G150" s="2957"/>
      <c r="H150" s="2647"/>
      <c r="I150" s="2958"/>
      <c r="J150" s="39">
        <f t="shared" si="35"/>
        <v>0</v>
      </c>
      <c r="K150" s="2957"/>
      <c r="L150" s="2647"/>
      <c r="M150" s="1496"/>
      <c r="N150" s="618">
        <f t="shared" si="40"/>
        <v>0</v>
      </c>
      <c r="O150" s="2957"/>
      <c r="P150" s="2647"/>
      <c r="Q150" s="1719"/>
      <c r="R150" s="373">
        <f t="shared" si="37"/>
        <v>0</v>
      </c>
      <c r="S150" s="2957"/>
      <c r="T150" s="2647"/>
      <c r="U150" s="1719"/>
      <c r="V150" s="373">
        <f t="shared" si="38"/>
        <v>0</v>
      </c>
      <c r="W150" s="2957"/>
      <c r="X150" s="2647"/>
      <c r="Y150" s="856"/>
      <c r="Z150" s="575">
        <f t="shared" si="48"/>
        <v>0</v>
      </c>
      <c r="AA150" s="662"/>
      <c r="AB150" s="4337">
        <f t="shared" si="42"/>
        <v>0</v>
      </c>
      <c r="AC150" s="2957"/>
      <c r="AD150" s="2647"/>
      <c r="AE150" s="266"/>
      <c r="AF150" s="782">
        <f t="shared" ref="AF150:AF152" si="49">+AB150+AD150</f>
        <v>0</v>
      </c>
      <c r="AG150" s="2957"/>
      <c r="AH150" s="2647"/>
      <c r="AI150" s="266"/>
      <c r="AJ150" s="782">
        <f t="shared" si="39"/>
        <v>0</v>
      </c>
      <c r="AK150" s="2957"/>
      <c r="AL150" s="2647"/>
      <c r="AM150" s="856"/>
      <c r="AN150" s="575">
        <f t="shared" si="45"/>
        <v>0</v>
      </c>
      <c r="AO150" s="782"/>
      <c r="AP150" s="782">
        <f t="shared" si="46"/>
        <v>0</v>
      </c>
      <c r="AQ150" s="2957"/>
      <c r="AR150" s="2647"/>
      <c r="AS150" s="266"/>
      <c r="AT150" s="782">
        <f t="shared" si="47"/>
        <v>0</v>
      </c>
      <c r="AU150" s="2957"/>
      <c r="AV150" s="2647"/>
      <c r="AW150" s="266"/>
      <c r="AX150" s="782">
        <f t="shared" si="44"/>
        <v>0</v>
      </c>
      <c r="AY150" s="2957"/>
      <c r="AZ150" s="2647"/>
      <c r="BA150" s="856"/>
      <c r="BB150" s="575">
        <f t="shared" si="31"/>
        <v>0</v>
      </c>
      <c r="BC150" s="662"/>
      <c r="BD150" s="662">
        <f t="shared" si="43"/>
        <v>0</v>
      </c>
      <c r="BE150" s="782"/>
      <c r="BF150" s="782">
        <f t="shared" si="33"/>
        <v>0</v>
      </c>
      <c r="BG150" s="26"/>
      <c r="BH150" s="26"/>
      <c r="BI150" s="26"/>
      <c r="BJ150" s="26"/>
      <c r="BK150" s="26"/>
      <c r="BL150" s="26"/>
      <c r="BM150" s="26"/>
      <c r="BN150" s="26"/>
    </row>
    <row r="151" spans="1:66" ht="15.75" customHeight="1" thickBot="1" x14ac:dyDescent="0.35">
      <c r="B151" s="1638" t="s">
        <v>1328</v>
      </c>
      <c r="C151" s="2954"/>
      <c r="D151" s="2959" t="s">
        <v>50</v>
      </c>
      <c r="E151" s="2957"/>
      <c r="F151" s="2647">
        <v>4.0999999999999996</v>
      </c>
      <c r="G151" s="2957"/>
      <c r="H151" s="2647">
        <v>4.0999999999999996</v>
      </c>
      <c r="I151" s="2958"/>
      <c r="J151" s="39">
        <f t="shared" si="35"/>
        <v>8.1999999999999993</v>
      </c>
      <c r="K151" s="2957"/>
      <c r="L151" s="2647"/>
      <c r="M151" s="1496"/>
      <c r="N151" s="618">
        <f t="shared" si="40"/>
        <v>8.1999999999999993</v>
      </c>
      <c r="O151" s="2957"/>
      <c r="P151" s="2647"/>
      <c r="Q151" s="1720"/>
      <c r="R151" s="373">
        <f t="shared" si="37"/>
        <v>8.1999999999999993</v>
      </c>
      <c r="S151" s="2957"/>
      <c r="T151" s="2647"/>
      <c r="U151" s="1720"/>
      <c r="V151" s="782">
        <f t="shared" ref="V151:V152" si="50">+R151+T151</f>
        <v>8.1999999999999993</v>
      </c>
      <c r="W151" s="2957"/>
      <c r="X151" s="2647"/>
      <c r="Y151" s="856"/>
      <c r="Z151" s="575">
        <f t="shared" si="48"/>
        <v>0</v>
      </c>
      <c r="AA151" s="662"/>
      <c r="AB151" s="662">
        <f t="shared" ref="AB151:AB152" si="51">N151+Z151</f>
        <v>8.1999999999999993</v>
      </c>
      <c r="AC151" s="2957"/>
      <c r="AD151" s="2647"/>
      <c r="AE151" s="603"/>
      <c r="AF151" s="782">
        <f t="shared" si="49"/>
        <v>8.1999999999999993</v>
      </c>
      <c r="AG151" s="2957"/>
      <c r="AH151" s="2647"/>
      <c r="AI151" s="603"/>
      <c r="AJ151" s="782">
        <f t="shared" si="39"/>
        <v>8.1999999999999993</v>
      </c>
      <c r="AK151" s="2957"/>
      <c r="AL151" s="2647"/>
      <c r="AM151" s="856"/>
      <c r="AN151" s="575">
        <f t="shared" si="45"/>
        <v>0</v>
      </c>
      <c r="AO151" s="782"/>
      <c r="AP151" s="782">
        <f t="shared" si="46"/>
        <v>8.1999999999999993</v>
      </c>
      <c r="AQ151" s="2957"/>
      <c r="AR151" s="2647"/>
      <c r="AS151" s="603"/>
      <c r="AT151" s="782">
        <f t="shared" si="47"/>
        <v>8.1999999999999993</v>
      </c>
      <c r="AU151" s="2957"/>
      <c r="AV151" s="2647"/>
      <c r="AW151" s="603"/>
      <c r="AX151" s="782">
        <f t="shared" si="44"/>
        <v>8.1999999999999993</v>
      </c>
      <c r="AY151" s="2957"/>
      <c r="AZ151" s="2647">
        <v>30.75</v>
      </c>
      <c r="BA151" s="856"/>
      <c r="BB151" s="575">
        <f t="shared" si="31"/>
        <v>30.75</v>
      </c>
      <c r="BC151" s="662"/>
      <c r="BD151" s="662">
        <f t="shared" si="43"/>
        <v>30.75</v>
      </c>
      <c r="BE151" s="782"/>
      <c r="BF151" s="782">
        <f t="shared" si="33"/>
        <v>38.950000000000003</v>
      </c>
      <c r="BG151" s="26"/>
      <c r="BH151" s="26"/>
      <c r="BI151" s="26"/>
      <c r="BJ151" s="26"/>
      <c r="BK151" s="26"/>
      <c r="BL151" s="26"/>
      <c r="BM151" s="26"/>
      <c r="BN151" s="26"/>
    </row>
    <row r="152" spans="1:66" ht="15.75" customHeight="1" thickBot="1" x14ac:dyDescent="0.35">
      <c r="B152" s="2960" t="s">
        <v>1102</v>
      </c>
      <c r="C152" s="2961"/>
      <c r="D152" s="2962" t="s">
        <v>50</v>
      </c>
      <c r="E152" s="2963"/>
      <c r="F152" s="109"/>
      <c r="G152" s="2963"/>
      <c r="H152" s="109"/>
      <c r="I152" s="2964"/>
      <c r="J152" s="44">
        <f t="shared" si="35"/>
        <v>0</v>
      </c>
      <c r="K152" s="2963"/>
      <c r="L152" s="109">
        <v>2.0499999999999998</v>
      </c>
      <c r="M152" s="1496"/>
      <c r="N152" s="618">
        <f t="shared" si="40"/>
        <v>2.0499999999999998</v>
      </c>
      <c r="O152" s="2963"/>
      <c r="P152" s="109"/>
      <c r="Q152" s="1636"/>
      <c r="R152" s="373">
        <f t="shared" si="37"/>
        <v>2.0499999999999998</v>
      </c>
      <c r="S152" s="2963"/>
      <c r="T152" s="109"/>
      <c r="U152" s="1636"/>
      <c r="V152" s="782">
        <f t="shared" si="50"/>
        <v>2.0499999999999998</v>
      </c>
      <c r="W152" s="2963"/>
      <c r="X152" s="109"/>
      <c r="Y152" s="856"/>
      <c r="Z152" s="575">
        <f t="shared" si="48"/>
        <v>0</v>
      </c>
      <c r="AA152" s="662"/>
      <c r="AB152" s="662">
        <f t="shared" si="51"/>
        <v>2.0499999999999998</v>
      </c>
      <c r="AC152" s="2963"/>
      <c r="AD152" s="109"/>
      <c r="AE152" s="1636"/>
      <c r="AF152" s="782">
        <f t="shared" si="49"/>
        <v>2.0499999999999998</v>
      </c>
      <c r="AG152" s="2963"/>
      <c r="AH152" s="109">
        <v>2.0499999999999998</v>
      </c>
      <c r="AI152" s="1636"/>
      <c r="AJ152" s="782">
        <f t="shared" si="39"/>
        <v>4.0999999999999996</v>
      </c>
      <c r="AK152" s="2963"/>
      <c r="AL152" s="109">
        <v>2.0499999999999998</v>
      </c>
      <c r="AM152" s="856"/>
      <c r="AN152" s="575">
        <f t="shared" si="45"/>
        <v>4.0999999999999996</v>
      </c>
      <c r="AO152" s="782"/>
      <c r="AP152" s="782">
        <f t="shared" si="46"/>
        <v>6.1499999999999995</v>
      </c>
      <c r="AQ152" s="2963"/>
      <c r="AR152" s="109"/>
      <c r="AS152" s="1636"/>
      <c r="AT152" s="782">
        <f t="shared" si="47"/>
        <v>6.1499999999999995</v>
      </c>
      <c r="AU152" s="2963"/>
      <c r="AV152" s="109"/>
      <c r="AW152" s="1636"/>
      <c r="AX152" s="782">
        <f t="shared" si="44"/>
        <v>6.1499999999999995</v>
      </c>
      <c r="AY152" s="2963"/>
      <c r="AZ152" s="109"/>
      <c r="BA152" s="856"/>
      <c r="BB152" s="575">
        <f t="shared" si="31"/>
        <v>0</v>
      </c>
      <c r="BC152" s="662"/>
      <c r="BD152" s="662">
        <f t="shared" ref="BD152" si="52">AN152+BB152</f>
        <v>4.0999999999999996</v>
      </c>
      <c r="BE152" s="782"/>
      <c r="BF152" s="782">
        <f t="shared" si="33"/>
        <v>6.1499999999999995</v>
      </c>
      <c r="BG152" s="26"/>
      <c r="BH152" s="26"/>
      <c r="BI152" s="26"/>
      <c r="BJ152" s="26"/>
      <c r="BK152" s="26"/>
      <c r="BL152" s="26"/>
      <c r="BM152" s="26"/>
      <c r="BN152" s="26"/>
    </row>
    <row r="153" spans="1:66" ht="15.6" x14ac:dyDescent="0.3">
      <c r="A153" s="87"/>
      <c r="B153" s="2947" t="s">
        <v>300</v>
      </c>
      <c r="C153" s="2947"/>
      <c r="D153" s="116" t="s">
        <v>50</v>
      </c>
      <c r="E153" s="2948">
        <f>+E154</f>
        <v>42500</v>
      </c>
      <c r="F153" s="2948">
        <f>SUM(F7:F152)</f>
        <v>36887.700000000004</v>
      </c>
      <c r="G153" s="2948">
        <f>+G154</f>
        <v>44000</v>
      </c>
      <c r="H153" s="2948">
        <f>SUM(H7:H152)</f>
        <v>39489.15</v>
      </c>
      <c r="I153" s="2948">
        <f>+I154</f>
        <v>86500</v>
      </c>
      <c r="J153" s="2948">
        <f>SUM(J7:J152)</f>
        <v>76376.849999999977</v>
      </c>
      <c r="K153" s="2948">
        <f>+K154</f>
        <v>42500</v>
      </c>
      <c r="L153" s="2948">
        <f>SUM(L7:L152)</f>
        <v>38408.050000000003</v>
      </c>
      <c r="M153" s="1137">
        <f>+M154</f>
        <v>129000</v>
      </c>
      <c r="N153" s="1137">
        <f>SUM(N7:N152)</f>
        <v>114784.89999999995</v>
      </c>
      <c r="O153" s="2948">
        <f>+O154</f>
        <v>44000</v>
      </c>
      <c r="P153" s="2948">
        <f>SUM(P7:P152)</f>
        <v>47277.1</v>
      </c>
      <c r="Q153" s="1137">
        <f>+Q154</f>
        <v>173000</v>
      </c>
      <c r="R153" s="1137">
        <f>SUM(R7:R152)</f>
        <v>162061.99999999994</v>
      </c>
      <c r="S153" s="2948">
        <f>+S154</f>
        <v>44000</v>
      </c>
      <c r="T153" s="2948">
        <f>SUM(T7:T152)</f>
        <v>38800.350000000006</v>
      </c>
      <c r="U153" s="1137">
        <f>+U154</f>
        <v>217000</v>
      </c>
      <c r="V153" s="1137">
        <f>SUM(V7:V152)</f>
        <v>200862.34999999992</v>
      </c>
      <c r="W153" s="2948">
        <f>+W154</f>
        <v>25000</v>
      </c>
      <c r="X153" s="2948">
        <f>SUM(X7:X152)</f>
        <v>41149.650000000016</v>
      </c>
      <c r="Y153" s="1137">
        <f>+Y154</f>
        <v>113000</v>
      </c>
      <c r="Z153" s="1137">
        <f>SUM(Z7:Z152)</f>
        <v>127227.10000000003</v>
      </c>
      <c r="AA153" s="1137">
        <f>+AA154</f>
        <v>242000</v>
      </c>
      <c r="AB153" s="1137">
        <f>SUM(AB7:AB152)</f>
        <v>242012</v>
      </c>
      <c r="AC153" s="2948">
        <f>+AC154</f>
        <v>45500</v>
      </c>
      <c r="AD153" s="2948">
        <f>SUM(AD7:AD152)</f>
        <v>42486.250000000007</v>
      </c>
      <c r="AE153" s="1137">
        <f>+AE154</f>
        <v>287500</v>
      </c>
      <c r="AF153" s="1137">
        <f>SUM(AF7:AF152)</f>
        <v>265237.05000000005</v>
      </c>
      <c r="AG153" s="2948">
        <f>+AG154</f>
        <v>44000</v>
      </c>
      <c r="AH153" s="2948">
        <f>SUM(AH7:AH152)</f>
        <v>20057.200000000004</v>
      </c>
      <c r="AI153" s="1137">
        <f>+AI154</f>
        <v>331500</v>
      </c>
      <c r="AJ153" s="1137">
        <f>SUM(AJ7:AJ152)</f>
        <v>285294.25</v>
      </c>
      <c r="AK153" s="2948">
        <f>+AK154</f>
        <v>45500</v>
      </c>
      <c r="AL153" s="2948">
        <f>SUM(AL7:AL152)</f>
        <v>39298.500000000015</v>
      </c>
      <c r="AM153" s="1137">
        <f>+AM154</f>
        <v>135000</v>
      </c>
      <c r="AN153" s="1137">
        <f>SUM(AN7:AN152)</f>
        <v>101841.95000000001</v>
      </c>
      <c r="AO153" s="1137">
        <f>+AO154</f>
        <v>377000</v>
      </c>
      <c r="AP153" s="1137">
        <f>SUM(AP7:AP152)</f>
        <v>324592.75000000006</v>
      </c>
      <c r="AQ153" s="2948">
        <f>+AQ154</f>
        <v>45500</v>
      </c>
      <c r="AR153" s="2948">
        <f>SUM(AR7:AR152)</f>
        <v>40366.549999999996</v>
      </c>
      <c r="AS153" s="1137">
        <f>+AS154</f>
        <v>422500</v>
      </c>
      <c r="AT153" s="1137">
        <f>SUM(AT7:AT152)</f>
        <v>364959.3</v>
      </c>
      <c r="AU153" s="2948">
        <f>+AU154</f>
        <v>40500</v>
      </c>
      <c r="AV153" s="2948">
        <f>SUM(AV7:AV152)</f>
        <v>34421.449999999997</v>
      </c>
      <c r="AW153" s="1137">
        <f>+AW154</f>
        <v>463000</v>
      </c>
      <c r="AX153" s="1137">
        <f>SUM(AX7:AX152)</f>
        <v>399380.75000000006</v>
      </c>
      <c r="AY153" s="2948">
        <f>+AY154</f>
        <v>45500</v>
      </c>
      <c r="AZ153" s="2948">
        <f>SUM(AZ7:AZ152)</f>
        <v>43357.500000000015</v>
      </c>
      <c r="BA153" s="1137">
        <f>+BA154</f>
        <v>131500</v>
      </c>
      <c r="BB153" s="1137">
        <f>SUM(BB7:BB152)</f>
        <v>118145.50000000003</v>
      </c>
      <c r="BC153" s="1137">
        <f>+BC154</f>
        <v>266500</v>
      </c>
      <c r="BD153" s="1137">
        <f>SUM(BD7:BD152)</f>
        <v>219987.45000000004</v>
      </c>
      <c r="BE153" s="1137">
        <f>+BE154</f>
        <v>508500</v>
      </c>
      <c r="BF153" s="1137">
        <f>SUM(BF7:BF152)</f>
        <v>442738.25000000006</v>
      </c>
      <c r="BG153" s="26"/>
      <c r="BH153" s="26"/>
      <c r="BI153" s="26"/>
      <c r="BJ153" s="26"/>
      <c r="BK153" s="26"/>
      <c r="BL153" s="26"/>
      <c r="BM153" s="26"/>
      <c r="BN153" s="26"/>
    </row>
    <row r="154" spans="1:66" ht="15.6" x14ac:dyDescent="0.3">
      <c r="B154" s="857" t="s">
        <v>824</v>
      </c>
      <c r="C154" s="857"/>
      <c r="D154" s="858" t="s">
        <v>50</v>
      </c>
      <c r="E154" s="1137">
        <f>+'Maj Production Summ'!E30</f>
        <v>42500</v>
      </c>
      <c r="F154" s="1137">
        <f>+SUM(F7:F136)</f>
        <v>36744.180000000008</v>
      </c>
      <c r="G154" s="1137">
        <f>+'Maj Production Summ'!G30</f>
        <v>44000</v>
      </c>
      <c r="H154" s="1137">
        <f>+SUM(H7:H136)</f>
        <v>39374.35</v>
      </c>
      <c r="I154" s="1137">
        <f>+'Maj Production Summ'!I30</f>
        <v>86500</v>
      </c>
      <c r="J154" s="1137">
        <f>+SUM(J7:J136)</f>
        <v>76118.52999999997</v>
      </c>
      <c r="K154" s="1137">
        <f>+'Maj Production Summ'!K30</f>
        <v>42500</v>
      </c>
      <c r="L154" s="1137">
        <f>+SUM(L7:L136)</f>
        <v>38297.499999999993</v>
      </c>
      <c r="M154" s="1137">
        <f>+'Maj Production Summ'!M30</f>
        <v>129000</v>
      </c>
      <c r="N154" s="1137">
        <f>+SUM(N7:N136)</f>
        <v>114416.02999999993</v>
      </c>
      <c r="O154" s="1137">
        <f>+'Maj Production Summ'!O30</f>
        <v>44000</v>
      </c>
      <c r="P154" s="1137">
        <f>+SUM(P7:P136)</f>
        <v>47070.05</v>
      </c>
      <c r="Q154" s="1137">
        <f>+'Maj Production Summ'!Q30</f>
        <v>173000</v>
      </c>
      <c r="R154" s="1137">
        <f>+SUM(R7:R136)</f>
        <v>161486.07999999996</v>
      </c>
      <c r="S154" s="1137">
        <f>+'Maj Production Summ'!S30</f>
        <v>44000</v>
      </c>
      <c r="T154" s="1137">
        <f>+SUM(T7:T136)</f>
        <v>38734.750000000007</v>
      </c>
      <c r="U154" s="1137">
        <f>+'Maj Production Summ'!U30</f>
        <v>217000</v>
      </c>
      <c r="V154" s="1137">
        <f>+SUM(V7:V136)</f>
        <v>200220.82999999993</v>
      </c>
      <c r="W154" s="1137">
        <f>+'Maj Production Summ'!W30</f>
        <v>25000</v>
      </c>
      <c r="X154" s="1137">
        <f>+SUM(X7:X136)</f>
        <v>41006.150000000009</v>
      </c>
      <c r="Y154" s="1137">
        <f>+'Maj Production Summ'!Y30</f>
        <v>113000</v>
      </c>
      <c r="Z154" s="1137">
        <f>+SUM(Z7:Z136)</f>
        <v>126810.95000000006</v>
      </c>
      <c r="AA154" s="1137">
        <f>+'Maj Production Summ'!AA30</f>
        <v>242000</v>
      </c>
      <c r="AB154" s="1137">
        <f>+SUM(AB7:AB136)</f>
        <v>241226.98</v>
      </c>
      <c r="AC154" s="1137">
        <f>+'Maj Production Summ'!AC30</f>
        <v>45500</v>
      </c>
      <c r="AD154" s="1137">
        <f>+SUM(AD7:AD136)</f>
        <v>42384.76</v>
      </c>
      <c r="AE154" s="1137">
        <f>+'Maj Production Summ'!AE30</f>
        <v>287500</v>
      </c>
      <c r="AF154" s="1137">
        <f>+SUM(AF7:AF136)</f>
        <v>264350.54000000004</v>
      </c>
      <c r="AG154" s="1137">
        <f>+'Maj Production Summ'!AG30</f>
        <v>44000</v>
      </c>
      <c r="AH154" s="1137">
        <f>+SUM(AH7:AH136)</f>
        <v>19981.350000000006</v>
      </c>
      <c r="AI154" s="1137">
        <f>+'Maj Production Summ'!AI30</f>
        <v>331500</v>
      </c>
      <c r="AJ154" s="1137">
        <f>+SUM(AJ7:AJ136)</f>
        <v>284331.89</v>
      </c>
      <c r="AK154" s="1137">
        <f>+'Maj Production Summ'!AK30</f>
        <v>45500</v>
      </c>
      <c r="AL154" s="1137">
        <f>+SUM(AL7:AL136)</f>
        <v>39200.100000000013</v>
      </c>
      <c r="AM154" s="1137">
        <f>+'Maj Production Summ'!AM30</f>
        <v>135000</v>
      </c>
      <c r="AN154" s="1137">
        <f>+SUM(AN7:AN136)</f>
        <v>101566.21000000002</v>
      </c>
      <c r="AO154" s="1137">
        <f>+'Maj Production Summ'!AO30</f>
        <v>377000</v>
      </c>
      <c r="AP154" s="1137">
        <f>+SUM(AP7:AP136)</f>
        <v>323531.99</v>
      </c>
      <c r="AQ154" s="1137">
        <f>+'Maj Production Summ'!AQ30</f>
        <v>45500</v>
      </c>
      <c r="AR154" s="1137">
        <f>+SUM(AR7:AR136)</f>
        <v>40296.849999999991</v>
      </c>
      <c r="AS154" s="1137">
        <f>+'Maj Production Summ'!AS30</f>
        <v>422500</v>
      </c>
      <c r="AT154" s="1137">
        <f>+SUM(AT7:AT136)</f>
        <v>363828.83999999997</v>
      </c>
      <c r="AU154" s="1137">
        <f>+'Maj Production Summ'!AU30</f>
        <v>40500</v>
      </c>
      <c r="AV154" s="1137">
        <f>+SUM(AV7:AV136)</f>
        <v>34335.35</v>
      </c>
      <c r="AW154" s="1137">
        <f>+'Maj Production Summ'!AW30</f>
        <v>463000</v>
      </c>
      <c r="AX154" s="1137">
        <f>+SUM(AX7:AX136)</f>
        <v>398164.19</v>
      </c>
      <c r="AY154" s="1137">
        <f>+'Maj Production Summ'!AY30</f>
        <v>45500</v>
      </c>
      <c r="AZ154" s="1137">
        <f>+SUM(AZ7:AZ136)</f>
        <v>43072.55000000001</v>
      </c>
      <c r="BA154" s="1137">
        <f>+'Maj Production Summ'!BA30</f>
        <v>131500</v>
      </c>
      <c r="BB154" s="1137">
        <f>+SUM(BB7:BB136)</f>
        <v>117704.75000000003</v>
      </c>
      <c r="BC154" s="1137">
        <f>+'Maj Production Summ'!BC30</f>
        <v>266500</v>
      </c>
      <c r="BD154" s="1137">
        <f>+SUM(BD7:BD136)</f>
        <v>219270.96000000005</v>
      </c>
      <c r="BE154" s="1137">
        <f>+'Maj Production Summ'!BE30</f>
        <v>508500</v>
      </c>
      <c r="BF154" s="1137">
        <f>+SUM(BF7:BF136)</f>
        <v>441236.74000000005</v>
      </c>
      <c r="BG154" s="26"/>
      <c r="BH154" s="26"/>
      <c r="BI154" s="26"/>
      <c r="BJ154" s="26"/>
      <c r="BK154" s="26"/>
      <c r="BL154" s="26"/>
      <c r="BM154" s="26"/>
      <c r="BN154" s="26"/>
    </row>
    <row r="155" spans="1:66" ht="15.6" x14ac:dyDescent="0.3">
      <c r="A155" s="149"/>
      <c r="B155" s="859" t="s">
        <v>823</v>
      </c>
      <c r="C155" s="859"/>
      <c r="D155" s="860" t="s">
        <v>50</v>
      </c>
      <c r="E155" s="1137"/>
      <c r="F155" s="814">
        <f>+SUM(F138:F152)</f>
        <v>143.51999999999998</v>
      </c>
      <c r="G155" s="1137"/>
      <c r="H155" s="814">
        <f>+SUM(H138:H152)</f>
        <v>114.79999999999998</v>
      </c>
      <c r="I155" s="1137"/>
      <c r="J155" s="814">
        <f>+SUM(J138:J152)</f>
        <v>258.32000000000005</v>
      </c>
      <c r="K155" s="1137"/>
      <c r="L155" s="814">
        <f>+SUM(L138:L152)</f>
        <v>110.55</v>
      </c>
      <c r="M155" s="1137"/>
      <c r="N155" s="814">
        <f>+SUM(N138:N152)</f>
        <v>368.87000000000012</v>
      </c>
      <c r="O155" s="1137"/>
      <c r="P155" s="814">
        <f>+SUM(P138:P152)</f>
        <v>207.05</v>
      </c>
      <c r="Q155" s="1137"/>
      <c r="R155" s="814">
        <f>+SUM(R138:R152)</f>
        <v>575.91999999999985</v>
      </c>
      <c r="S155" s="1137"/>
      <c r="T155" s="814">
        <f>+SUM(T138:T152)</f>
        <v>65.599999999999994</v>
      </c>
      <c r="U155" s="1137"/>
      <c r="V155" s="814">
        <f>+SUM(V138:V152)</f>
        <v>641.51999999999987</v>
      </c>
      <c r="W155" s="1137"/>
      <c r="X155" s="814">
        <f>+SUM(X138:X152)</f>
        <v>143.50000000000003</v>
      </c>
      <c r="Y155" s="1137"/>
      <c r="Z155" s="814">
        <f>+SUM(Z138:Z152)</f>
        <v>416.14999999999992</v>
      </c>
      <c r="AA155" s="1137"/>
      <c r="AB155" s="814">
        <f>+SUM(AB138:AB152)</f>
        <v>785.02</v>
      </c>
      <c r="AC155" s="1137"/>
      <c r="AD155" s="814">
        <f>+SUM(AD138:AD152)</f>
        <v>101.49000000000001</v>
      </c>
      <c r="AE155" s="1137"/>
      <c r="AF155" s="814">
        <f>+SUM(AF138:AF152)</f>
        <v>886.51</v>
      </c>
      <c r="AG155" s="1137"/>
      <c r="AH155" s="814">
        <f>+SUM(AH138:AH152)</f>
        <v>75.84999999999998</v>
      </c>
      <c r="AI155" s="1137"/>
      <c r="AJ155" s="814">
        <f>+SUM(AJ138:AJ152)</f>
        <v>962.36</v>
      </c>
      <c r="AK155" s="1137"/>
      <c r="AL155" s="814">
        <f>+SUM(AL138:AL152)</f>
        <v>98.399999999999991</v>
      </c>
      <c r="AM155" s="1137"/>
      <c r="AN155" s="814">
        <f>+SUM(AN138:AN152)</f>
        <v>275.74</v>
      </c>
      <c r="AO155" s="1137"/>
      <c r="AP155" s="814">
        <f>+SUM(AP138:AP152)</f>
        <v>1060.76</v>
      </c>
      <c r="AQ155" s="1137"/>
      <c r="AR155" s="814">
        <f>+SUM(AR138:AR152)</f>
        <v>69.7</v>
      </c>
      <c r="AS155" s="1137"/>
      <c r="AT155" s="814">
        <f>+SUM(AT138:AT152)</f>
        <v>1130.4600000000003</v>
      </c>
      <c r="AU155" s="1137"/>
      <c r="AV155" s="814">
        <f>+SUM(AV138:AV152)</f>
        <v>86.1</v>
      </c>
      <c r="AW155" s="1137"/>
      <c r="AX155" s="814">
        <f>+SUM(AX138:AX152)</f>
        <v>1216.5600000000004</v>
      </c>
      <c r="AY155" s="1137"/>
      <c r="AZ155" s="814">
        <f>+SUM(AZ138:AZ152)</f>
        <v>284.95</v>
      </c>
      <c r="BA155" s="1137"/>
      <c r="BB155" s="814">
        <f>+SUM(BB138:BB152)</f>
        <v>440.75</v>
      </c>
      <c r="BC155" s="1137"/>
      <c r="BD155" s="814">
        <f>+SUM(BD138:BD152)</f>
        <v>716.49</v>
      </c>
      <c r="BE155" s="1137"/>
      <c r="BF155" s="1137">
        <f>+SUM(BF138:BF152)</f>
        <v>1501.5100000000002</v>
      </c>
      <c r="BG155" s="26"/>
      <c r="BH155" s="26"/>
      <c r="BI155" s="26"/>
      <c r="BJ155" s="26"/>
      <c r="BK155" s="26"/>
      <c r="BL155" s="26"/>
      <c r="BM155" s="26"/>
      <c r="BN155" s="26"/>
    </row>
    <row r="156" spans="1:66" ht="15.6" x14ac:dyDescent="0.3">
      <c r="A156" s="149"/>
      <c r="B156" s="5675"/>
      <c r="C156" s="5675"/>
      <c r="D156" s="5676"/>
      <c r="E156" s="5677"/>
      <c r="F156" s="5678"/>
      <c r="G156" s="5677"/>
      <c r="H156" s="5678"/>
      <c r="I156" s="5677"/>
      <c r="J156" s="5678"/>
      <c r="K156" s="5677"/>
      <c r="L156" s="5678"/>
      <c r="M156" s="5677"/>
      <c r="N156" s="5678"/>
      <c r="O156" s="5677"/>
      <c r="P156" s="5678"/>
      <c r="Q156" s="5677"/>
      <c r="R156" s="5678"/>
      <c r="S156" s="5677"/>
      <c r="T156" s="5678"/>
      <c r="U156" s="5677"/>
      <c r="V156" s="5678"/>
      <c r="W156" s="5677"/>
      <c r="X156" s="5678"/>
      <c r="Y156" s="5677"/>
      <c r="Z156" s="5678"/>
      <c r="AA156" s="5677"/>
      <c r="AB156" s="5678"/>
      <c r="AC156" s="5677"/>
      <c r="AD156" s="5678"/>
      <c r="AE156" s="5677"/>
      <c r="AF156" s="5678"/>
      <c r="AG156" s="5677"/>
      <c r="AH156" s="5678"/>
      <c r="AI156" s="5677"/>
      <c r="AJ156" s="5678"/>
      <c r="AK156" s="5677"/>
      <c r="AL156" s="5678"/>
      <c r="AM156" s="5677"/>
      <c r="AN156" s="5678"/>
      <c r="AO156" s="5677"/>
      <c r="AP156" s="5678"/>
      <c r="AQ156" s="5677"/>
      <c r="AR156" s="5678"/>
      <c r="AS156" s="5677"/>
      <c r="AT156" s="5678"/>
      <c r="AU156" s="5677"/>
      <c r="AV156" s="5678"/>
      <c r="AW156" s="5677"/>
      <c r="AX156" s="5678"/>
      <c r="AY156" s="5677"/>
      <c r="AZ156" s="5678"/>
      <c r="BA156" s="5677"/>
      <c r="BB156" s="5678"/>
      <c r="BC156" s="5677"/>
      <c r="BD156" s="5678"/>
      <c r="BE156" s="5677"/>
      <c r="BF156" s="5677"/>
      <c r="BG156" s="26"/>
      <c r="BH156" s="26"/>
      <c r="BI156" s="26"/>
      <c r="BJ156" s="26"/>
      <c r="BK156" s="26"/>
      <c r="BL156" s="26"/>
      <c r="BM156" s="26"/>
      <c r="BN156" s="26"/>
    </row>
    <row r="157" spans="1:66" ht="15.6" x14ac:dyDescent="0.3">
      <c r="A157" s="149"/>
      <c r="B157" s="5675"/>
      <c r="C157" s="5675"/>
      <c r="D157" s="5676"/>
      <c r="E157" s="5677"/>
      <c r="F157" s="5678"/>
      <c r="G157" s="5677"/>
      <c r="H157" s="5678"/>
      <c r="I157" s="5677"/>
      <c r="J157" s="5678"/>
      <c r="K157" s="5677"/>
      <c r="L157" s="5678"/>
      <c r="M157" s="5677"/>
      <c r="N157" s="5678"/>
      <c r="O157" s="5677"/>
      <c r="P157" s="5678"/>
      <c r="Q157" s="5677"/>
      <c r="R157" s="5678"/>
      <c r="S157" s="5677"/>
      <c r="T157" s="5678"/>
      <c r="U157" s="5677"/>
      <c r="V157" s="5678"/>
      <c r="W157" s="5677"/>
      <c r="X157" s="5678"/>
      <c r="Y157" s="5677"/>
      <c r="Z157" s="5678"/>
      <c r="AA157" s="5677"/>
      <c r="AB157" s="5678"/>
      <c r="AC157" s="5677"/>
      <c r="AD157" s="5678"/>
      <c r="AE157" s="5677"/>
      <c r="AF157" s="5678"/>
      <c r="AG157" s="5677"/>
      <c r="AH157" s="5678"/>
      <c r="AI157" s="5677"/>
      <c r="AJ157" s="5678"/>
      <c r="AK157" s="5677"/>
      <c r="AL157" s="5678"/>
      <c r="AM157" s="5677"/>
      <c r="AN157" s="5678"/>
      <c r="AO157" s="5677"/>
      <c r="AP157" s="5678"/>
      <c r="AQ157" s="5677"/>
      <c r="AR157" s="5678"/>
      <c r="AS157" s="5677"/>
      <c r="AT157" s="5678"/>
      <c r="AU157" s="5677"/>
      <c r="AV157" s="5678"/>
      <c r="AW157" s="5677"/>
      <c r="AX157" s="5678"/>
      <c r="AY157" s="5677"/>
      <c r="AZ157" s="5678"/>
      <c r="BA157" s="5677"/>
      <c r="BB157" s="5678"/>
      <c r="BC157" s="5677"/>
      <c r="BD157" s="5678"/>
      <c r="BE157" s="5677"/>
      <c r="BF157" s="5677"/>
      <c r="BG157" s="26"/>
      <c r="BH157" s="26"/>
      <c r="BI157" s="26"/>
      <c r="BJ157" s="26"/>
      <c r="BK157" s="26"/>
      <c r="BL157" s="26"/>
      <c r="BM157" s="26"/>
      <c r="BN157" s="26"/>
    </row>
    <row r="158" spans="1:66" ht="15.6" x14ac:dyDescent="0.3">
      <c r="A158" s="149"/>
      <c r="B158" s="5675"/>
      <c r="C158" s="5675"/>
      <c r="D158" s="5676"/>
      <c r="E158" s="5677"/>
      <c r="F158" s="5678"/>
      <c r="G158" s="5677"/>
      <c r="H158" s="5678"/>
      <c r="I158" s="5677"/>
      <c r="J158" s="5678"/>
      <c r="K158" s="5677"/>
      <c r="L158" s="5678"/>
      <c r="M158" s="5677"/>
      <c r="N158" s="5678"/>
      <c r="O158" s="5677"/>
      <c r="P158" s="5678"/>
      <c r="Q158" s="5677"/>
      <c r="R158" s="5678"/>
      <c r="S158" s="5677"/>
      <c r="T158" s="5678"/>
      <c r="U158" s="5677"/>
      <c r="V158" s="5678"/>
      <c r="W158" s="5677"/>
      <c r="X158" s="5678"/>
      <c r="Y158" s="5677"/>
      <c r="Z158" s="5678"/>
      <c r="AA158" s="5677"/>
      <c r="AB158" s="5678"/>
      <c r="AC158" s="5677"/>
      <c r="AD158" s="5678"/>
      <c r="AE158" s="5677"/>
      <c r="AF158" s="5678"/>
      <c r="AG158" s="5677"/>
      <c r="AH158" s="5678"/>
      <c r="AI158" s="5677"/>
      <c r="AJ158" s="5678"/>
      <c r="AK158" s="5677"/>
      <c r="AL158" s="5678"/>
      <c r="AM158" s="5677"/>
      <c r="AN158" s="5678"/>
      <c r="AO158" s="5677"/>
      <c r="AP158" s="5678"/>
      <c r="AQ158" s="5677"/>
      <c r="AR158" s="5678"/>
      <c r="AS158" s="5677"/>
      <c r="AT158" s="5678"/>
      <c r="AU158" s="5677"/>
      <c r="AV158" s="5678"/>
      <c r="AW158" s="5677"/>
      <c r="AX158" s="5678"/>
      <c r="AY158" s="5677"/>
      <c r="AZ158" s="5678"/>
      <c r="BA158" s="5677"/>
      <c r="BB158" s="5678"/>
      <c r="BC158" s="5677"/>
      <c r="BD158" s="5678"/>
      <c r="BE158" s="5677"/>
      <c r="BF158" s="5677"/>
      <c r="BG158" s="26"/>
      <c r="BH158" s="26"/>
      <c r="BI158" s="26"/>
      <c r="BJ158" s="26"/>
      <c r="BK158" s="26"/>
      <c r="BL158" s="26"/>
      <c r="BM158" s="26"/>
      <c r="BN158" s="26"/>
    </row>
    <row r="159" spans="1:66" ht="15.6" x14ac:dyDescent="0.3">
      <c r="A159" s="149"/>
      <c r="B159" s="5675"/>
      <c r="C159" s="5675"/>
      <c r="D159" s="5676"/>
      <c r="E159" s="5677"/>
      <c r="F159" s="5678"/>
      <c r="G159" s="5677"/>
      <c r="H159" s="5678"/>
      <c r="I159" s="5677"/>
      <c r="J159" s="5678"/>
      <c r="K159" s="5677"/>
      <c r="L159" s="5678"/>
      <c r="M159" s="5677"/>
      <c r="N159" s="5678"/>
      <c r="O159" s="5677"/>
      <c r="P159" s="5678"/>
      <c r="Q159" s="5677"/>
      <c r="R159" s="5678"/>
      <c r="S159" s="5677"/>
      <c r="T159" s="5678"/>
      <c r="U159" s="5677"/>
      <c r="V159" s="5678"/>
      <c r="W159" s="5677"/>
      <c r="X159" s="5678"/>
      <c r="Y159" s="5677"/>
      <c r="Z159" s="5678"/>
      <c r="AA159" s="5677"/>
      <c r="AB159" s="5678"/>
      <c r="AC159" s="5677"/>
      <c r="AD159" s="5678"/>
      <c r="AE159" s="5677"/>
      <c r="AF159" s="5678"/>
      <c r="AG159" s="5677"/>
      <c r="AH159" s="5678"/>
      <c r="AI159" s="5677"/>
      <c r="AJ159" s="5678"/>
      <c r="AK159" s="5677"/>
      <c r="AL159" s="5678"/>
      <c r="AM159" s="5677"/>
      <c r="AN159" s="5678"/>
      <c r="AO159" s="5677"/>
      <c r="AP159" s="5678"/>
      <c r="AQ159" s="5677"/>
      <c r="AR159" s="5678"/>
      <c r="AS159" s="5677"/>
      <c r="AT159" s="5678"/>
      <c r="AU159" s="5677"/>
      <c r="AV159" s="5678"/>
      <c r="AW159" s="5677"/>
      <c r="AX159" s="5678"/>
      <c r="AY159" s="5677"/>
      <c r="AZ159" s="5678"/>
      <c r="BA159" s="5677"/>
      <c r="BB159" s="5678"/>
      <c r="BC159" s="5677"/>
      <c r="BD159" s="5678"/>
      <c r="BE159" s="5677"/>
      <c r="BF159" s="5677"/>
      <c r="BG159" s="26"/>
      <c r="BH159" s="26"/>
      <c r="BI159" s="26"/>
      <c r="BJ159" s="26"/>
      <c r="BK159" s="26"/>
      <c r="BL159" s="26"/>
      <c r="BM159" s="26"/>
      <c r="BN159" s="26"/>
    </row>
    <row r="160" spans="1:66" ht="15.6" x14ac:dyDescent="0.3">
      <c r="A160" s="149"/>
      <c r="B160" s="5675"/>
      <c r="C160" s="5675"/>
      <c r="D160" s="5676"/>
      <c r="E160" s="5677"/>
      <c r="F160" s="5678"/>
      <c r="G160" s="5677"/>
      <c r="H160" s="5678"/>
      <c r="I160" s="5677"/>
      <c r="J160" s="5678"/>
      <c r="K160" s="5677"/>
      <c r="L160" s="5678"/>
      <c r="M160" s="5677"/>
      <c r="N160" s="5678"/>
      <c r="O160" s="5677"/>
      <c r="P160" s="5678"/>
      <c r="Q160" s="5677"/>
      <c r="R160" s="5678"/>
      <c r="S160" s="5677"/>
      <c r="T160" s="5678"/>
      <c r="U160" s="5677"/>
      <c r="V160" s="5678"/>
      <c r="W160" s="5677"/>
      <c r="X160" s="5678"/>
      <c r="Y160" s="5677"/>
      <c r="Z160" s="5678"/>
      <c r="AA160" s="5677"/>
      <c r="AB160" s="5678"/>
      <c r="AC160" s="5677"/>
      <c r="AD160" s="5678"/>
      <c r="AE160" s="5677"/>
      <c r="AF160" s="5678"/>
      <c r="AG160" s="5677"/>
      <c r="AH160" s="5678"/>
      <c r="AI160" s="5677"/>
      <c r="AJ160" s="5678"/>
      <c r="AK160" s="5677"/>
      <c r="AL160" s="5678"/>
      <c r="AM160" s="5677"/>
      <c r="AN160" s="5678"/>
      <c r="AO160" s="5677"/>
      <c r="AP160" s="5678"/>
      <c r="AQ160" s="5677"/>
      <c r="AR160" s="5678"/>
      <c r="AS160" s="5677"/>
      <c r="AT160" s="5678"/>
      <c r="AU160" s="5677"/>
      <c r="AV160" s="5678"/>
      <c r="AW160" s="5677"/>
      <c r="AX160" s="5678"/>
      <c r="AY160" s="5677"/>
      <c r="AZ160" s="5678"/>
      <c r="BA160" s="5677"/>
      <c r="BB160" s="5678"/>
      <c r="BC160" s="5677"/>
      <c r="BD160" s="5678"/>
      <c r="BE160" s="5677"/>
      <c r="BF160" s="5677"/>
      <c r="BG160" s="26"/>
      <c r="BH160" s="26"/>
      <c r="BI160" s="26"/>
      <c r="BJ160" s="26"/>
      <c r="BK160" s="26"/>
      <c r="BL160" s="26"/>
      <c r="BM160" s="26"/>
      <c r="BN160" s="26"/>
    </row>
    <row r="161" spans="1:66" ht="15.6" x14ac:dyDescent="0.3">
      <c r="B161" s="811" t="s">
        <v>314</v>
      </c>
      <c r="C161" s="811"/>
      <c r="D161" s="805" t="s">
        <v>49</v>
      </c>
      <c r="E161" s="814">
        <f t="shared" ref="E161:AJ161" si="53">+E154*100/E5</f>
        <v>96</v>
      </c>
      <c r="F161" s="814">
        <f t="shared" si="53"/>
        <v>95.812540022738901</v>
      </c>
      <c r="G161" s="814">
        <f t="shared" si="53"/>
        <v>96</v>
      </c>
      <c r="H161" s="814">
        <f t="shared" si="53"/>
        <v>95.667534001835477</v>
      </c>
      <c r="I161" s="814">
        <f t="shared" si="53"/>
        <v>96</v>
      </c>
      <c r="J161" s="814">
        <f t="shared" si="53"/>
        <v>95.737476932696083</v>
      </c>
      <c r="K161" s="814">
        <f t="shared" si="53"/>
        <v>96</v>
      </c>
      <c r="L161" s="814">
        <f t="shared" si="53"/>
        <v>95.272840169253413</v>
      </c>
      <c r="M161" s="814">
        <f t="shared" si="53"/>
        <v>96</v>
      </c>
      <c r="N161" s="814">
        <f t="shared" si="53"/>
        <v>95.581449264204409</v>
      </c>
      <c r="O161" s="814">
        <f t="shared" ref="O161:P161" si="54">+O154*100/O5</f>
        <v>96</v>
      </c>
      <c r="P161" s="814">
        <f t="shared" si="54"/>
        <v>95.763065622511988</v>
      </c>
      <c r="Q161" s="814">
        <f t="shared" si="53"/>
        <v>96</v>
      </c>
      <c r="R161" s="814">
        <f t="shared" si="53"/>
        <v>95.634315725930975</v>
      </c>
      <c r="S161" s="814">
        <f t="shared" si="53"/>
        <v>96</v>
      </c>
      <c r="T161" s="814">
        <f t="shared" si="53"/>
        <v>95.916693405975138</v>
      </c>
      <c r="U161" s="814">
        <f t="shared" si="53"/>
        <v>95.999999999999986</v>
      </c>
      <c r="V161" s="814">
        <f t="shared" si="53"/>
        <v>95.688814764695167</v>
      </c>
      <c r="W161" s="814">
        <f t="shared" ref="W161:X161" si="55">+W154*100/W5</f>
        <v>96</v>
      </c>
      <c r="X161" s="814">
        <f t="shared" si="55"/>
        <v>95.610321120425965</v>
      </c>
      <c r="Y161" s="814">
        <f t="shared" si="53"/>
        <v>95.999999999999986</v>
      </c>
      <c r="Z161" s="814">
        <f t="shared" si="53"/>
        <v>95.760445512828014</v>
      </c>
      <c r="AA161" s="814">
        <f t="shared" si="53"/>
        <v>96</v>
      </c>
      <c r="AB161" s="814">
        <f t="shared" si="53"/>
        <v>95.675462547055403</v>
      </c>
      <c r="AC161" s="814">
        <f t="shared" si="53"/>
        <v>96</v>
      </c>
      <c r="AD161" s="2769">
        <f t="shared" si="53"/>
        <v>95.917021134700391</v>
      </c>
      <c r="AE161" s="814">
        <f t="shared" si="53"/>
        <v>96</v>
      </c>
      <c r="AF161" s="814">
        <f t="shared" si="53"/>
        <v>89.211338049120201</v>
      </c>
      <c r="AG161" s="814">
        <f t="shared" si="53"/>
        <v>96</v>
      </c>
      <c r="AH161" s="2769">
        <f t="shared" si="53"/>
        <v>95.589763343773882</v>
      </c>
      <c r="AI161" s="814">
        <f t="shared" si="53"/>
        <v>96</v>
      </c>
      <c r="AJ161" s="814">
        <f t="shared" si="53"/>
        <v>89.631641243804538</v>
      </c>
      <c r="AK161" s="814">
        <f t="shared" ref="AK161:BF161" si="56">+AK154*100/AK5</f>
        <v>96</v>
      </c>
      <c r="AL161" s="2769">
        <f t="shared" si="56"/>
        <v>95.504190674215039</v>
      </c>
      <c r="AM161" s="814">
        <f t="shared" si="56"/>
        <v>96</v>
      </c>
      <c r="AN161" s="814">
        <f t="shared" si="56"/>
        <v>95.69292018289876</v>
      </c>
      <c r="AO161" s="814">
        <f t="shared" si="56"/>
        <v>96</v>
      </c>
      <c r="AP161" s="814">
        <f t="shared" si="56"/>
        <v>90.30443706906766</v>
      </c>
      <c r="AQ161" s="814">
        <f t="shared" si="56"/>
        <v>96</v>
      </c>
      <c r="AR161" s="2769">
        <f t="shared" si="56"/>
        <v>96.131407927563089</v>
      </c>
      <c r="AS161" s="814">
        <f t="shared" si="56"/>
        <v>96.000000000000014</v>
      </c>
      <c r="AT161" s="814">
        <f t="shared" si="56"/>
        <v>90.914797110712897</v>
      </c>
      <c r="AU161" s="814">
        <f t="shared" si="56"/>
        <v>96</v>
      </c>
      <c r="AV161" s="814">
        <f t="shared" si="56"/>
        <v>95.760199382221273</v>
      </c>
      <c r="AW161" s="814">
        <f t="shared" si="56"/>
        <v>96.000000000000014</v>
      </c>
      <c r="AX161" s="814">
        <f t="shared" si="56"/>
        <v>91.313232397787488</v>
      </c>
      <c r="AY161" s="814">
        <f t="shared" si="56"/>
        <v>96</v>
      </c>
      <c r="AZ161" s="814">
        <f t="shared" si="56"/>
        <v>95.419404264602818</v>
      </c>
      <c r="BA161" s="814">
        <f t="shared" si="56"/>
        <v>95.999999999999986</v>
      </c>
      <c r="BB161" s="814">
        <f t="shared" si="56"/>
        <v>95.761638869331975</v>
      </c>
      <c r="BC161" s="814">
        <f t="shared" si="56"/>
        <v>96</v>
      </c>
      <c r="BD161" s="814">
        <f t="shared" si="56"/>
        <v>95.729796138600832</v>
      </c>
      <c r="BE161" s="814">
        <f t="shared" si="56"/>
        <v>96</v>
      </c>
      <c r="BF161" s="814">
        <f t="shared" si="56"/>
        <v>91.698436826246294</v>
      </c>
      <c r="BG161" s="26"/>
      <c r="BH161" s="26"/>
      <c r="BI161" s="26"/>
      <c r="BJ161" s="26"/>
      <c r="BK161" s="26"/>
      <c r="BL161" s="26"/>
      <c r="BM161" s="26"/>
      <c r="BN161" s="26"/>
    </row>
    <row r="162" spans="1:66" ht="14.45" x14ac:dyDescent="0.3">
      <c r="A162" s="149"/>
      <c r="B162" s="861" t="s">
        <v>817</v>
      </c>
      <c r="C162" s="861"/>
      <c r="D162" s="813" t="s">
        <v>50</v>
      </c>
      <c r="E162" s="457"/>
      <c r="F162" s="457">
        <f>+'Value added steel '!G39</f>
        <v>35403.480000000003</v>
      </c>
      <c r="G162" s="457"/>
      <c r="H162" s="457">
        <f>+'Value added steel '!I39</f>
        <v>36549.449999999997</v>
      </c>
      <c r="I162" s="457"/>
      <c r="J162" s="457">
        <f>+'Value added steel '!K39</f>
        <v>71952.930000000008</v>
      </c>
      <c r="K162" s="457"/>
      <c r="L162" s="457">
        <f>+'Value added steel '!M39</f>
        <v>37668.15</v>
      </c>
      <c r="M162" s="457"/>
      <c r="N162" s="457">
        <f>+'Value added steel '!O39</f>
        <v>109621.08</v>
      </c>
      <c r="O162" s="457"/>
      <c r="P162" s="457">
        <f>+'Value added steel '!Q39</f>
        <v>44202.100000000006</v>
      </c>
      <c r="Q162" s="457"/>
      <c r="R162" s="457">
        <f>+'Value added steel '!S39</f>
        <v>153823.18000000002</v>
      </c>
      <c r="S162" s="457"/>
      <c r="T162" s="457">
        <f>+'Value added steel '!U39</f>
        <v>33882.400000000001</v>
      </c>
      <c r="U162" s="457"/>
      <c r="V162" s="457">
        <f>+'Value added steel '!W39</f>
        <v>187705.57999999996</v>
      </c>
      <c r="W162" s="457"/>
      <c r="X162" s="457">
        <f>+'Value added steel '!Y39</f>
        <v>38021.35</v>
      </c>
      <c r="Y162" s="457"/>
      <c r="Z162" s="457">
        <f>+'Value added steel '!AA39</f>
        <v>116105.85</v>
      </c>
      <c r="AA162" s="457"/>
      <c r="AB162" s="457">
        <f>+'Value added steel '!AC39</f>
        <v>225726.93</v>
      </c>
      <c r="AC162" s="457"/>
      <c r="AD162" s="457">
        <f>+'Value added steel '!AE39</f>
        <v>40696.590000000004</v>
      </c>
      <c r="AE162" s="457"/>
      <c r="AF162" s="457">
        <f>+'Value added steel '!AG39</f>
        <v>266423.51999999996</v>
      </c>
      <c r="AG162" s="457"/>
      <c r="AH162" s="457">
        <f>+'Value added steel '!AI39</f>
        <v>19950.600000000002</v>
      </c>
      <c r="AI162" s="457"/>
      <c r="AJ162" s="457">
        <f>+'Value added steel '!AK39</f>
        <v>286374.11999999994</v>
      </c>
      <c r="AK162" s="457"/>
      <c r="AL162" s="457">
        <f>+'Value added steel '!AM39</f>
        <v>38943.850000000006</v>
      </c>
      <c r="AM162" s="457"/>
      <c r="AN162" s="457">
        <f>+'Value added steel '!AO39</f>
        <v>99591.040000000037</v>
      </c>
      <c r="AO162" s="457"/>
      <c r="AP162" s="457">
        <f>+'Value added steel '!AQ39</f>
        <v>325317.97000000009</v>
      </c>
      <c r="AQ162" s="457"/>
      <c r="AR162" s="457">
        <f>+'Value added steel '!AS39</f>
        <v>38226.35</v>
      </c>
      <c r="AS162" s="457"/>
      <c r="AT162" s="457">
        <v>38230.449999999997</v>
      </c>
      <c r="AU162" s="457"/>
      <c r="AV162" s="457">
        <f>+'Value added steel '!AW39</f>
        <v>33443.600000000006</v>
      </c>
      <c r="AW162" s="457"/>
      <c r="AX162" s="457">
        <v>38230.449999999997</v>
      </c>
      <c r="AY162" s="457"/>
      <c r="AZ162" s="457">
        <f>+'Value added steel '!BA39</f>
        <v>41645.750000000022</v>
      </c>
      <c r="BA162" s="457"/>
      <c r="BB162" s="457">
        <f>+'Value added steel '!BC39</f>
        <v>113315.69999999998</v>
      </c>
      <c r="BC162" s="457"/>
      <c r="BD162" s="457">
        <f>+'Value added steel '!BE39</f>
        <v>212906.74000000005</v>
      </c>
      <c r="BE162" s="457"/>
      <c r="BF162" s="457">
        <f>+'Value added steel '!BG39</f>
        <v>438633.67</v>
      </c>
      <c r="BG162" s="26"/>
      <c r="BH162" s="26"/>
      <c r="BI162" s="26"/>
      <c r="BJ162" s="26"/>
      <c r="BK162" s="26"/>
      <c r="BL162" s="26"/>
      <c r="BM162" s="26"/>
      <c r="BN162" s="26"/>
    </row>
    <row r="163" spans="1:66" ht="14.45" x14ac:dyDescent="0.3">
      <c r="A163" s="149"/>
      <c r="B163" s="861" t="s">
        <v>818</v>
      </c>
      <c r="C163" s="861"/>
      <c r="D163" s="813" t="s">
        <v>49</v>
      </c>
      <c r="E163" s="623"/>
      <c r="F163" s="623">
        <f>+F162/F154</f>
        <v>0.96351258893245129</v>
      </c>
      <c r="G163" s="623"/>
      <c r="H163" s="623">
        <f>+H162/H154</f>
        <v>0.92825532357994478</v>
      </c>
      <c r="I163" s="623"/>
      <c r="J163" s="623">
        <f>+J162/J154</f>
        <v>0.9452748233577295</v>
      </c>
      <c r="K163" s="623"/>
      <c r="L163" s="623">
        <f>+L162/L154</f>
        <v>0.98356681245512134</v>
      </c>
      <c r="M163" s="623"/>
      <c r="N163" s="623">
        <f>+N162/N154</f>
        <v>0.95809197365089549</v>
      </c>
      <c r="O163" s="623"/>
      <c r="P163" s="623">
        <f>+P162/P154</f>
        <v>0.93907059797047177</v>
      </c>
      <c r="Q163" s="623"/>
      <c r="R163" s="623">
        <f>+R162/R154</f>
        <v>0.95254761277256872</v>
      </c>
      <c r="S163" s="623"/>
      <c r="T163" s="623">
        <f>+T162/T154</f>
        <v>0.87472876422333934</v>
      </c>
      <c r="U163" s="623"/>
      <c r="V163" s="623">
        <f>+V162/V154</f>
        <v>0.93749276736091858</v>
      </c>
      <c r="W163" s="623"/>
      <c r="X163" s="623">
        <f>+X162/X154</f>
        <v>0.92721091836224545</v>
      </c>
      <c r="Y163" s="623"/>
      <c r="Z163" s="623">
        <f>+Z162/Z154</f>
        <v>0.91558221115763228</v>
      </c>
      <c r="AA163" s="623"/>
      <c r="AB163" s="623">
        <f>+AB162/AB154</f>
        <v>0.93574495688666326</v>
      </c>
      <c r="AC163" s="623"/>
      <c r="AD163" s="623">
        <f>+AD162/AD154</f>
        <v>0.96017035368372972</v>
      </c>
      <c r="AE163" s="623"/>
      <c r="AF163" s="623">
        <f>+AF162/AF154</f>
        <v>1.0078417846243095</v>
      </c>
      <c r="AG163" s="623"/>
      <c r="AH163" s="623">
        <f>+AH162/AH154</f>
        <v>0.9984610649430592</v>
      </c>
      <c r="AI163" s="623"/>
      <c r="AJ163" s="623">
        <f>+AJ162/AJ154</f>
        <v>1.0071825569759338</v>
      </c>
      <c r="AK163" s="623"/>
      <c r="AL163" s="623">
        <f>+AL162/AL154</f>
        <v>0.9934630268800333</v>
      </c>
      <c r="AM163" s="623"/>
      <c r="AN163" s="623">
        <f>+AN162/AN154</f>
        <v>0.98055288269592822</v>
      </c>
      <c r="AO163" s="623"/>
      <c r="AP163" s="623">
        <f>+AP162/AP154</f>
        <v>1.0055202578267457</v>
      </c>
      <c r="AQ163" s="623"/>
      <c r="AR163" s="623">
        <f>+AR162/AR154</f>
        <v>0.94861881263671988</v>
      </c>
      <c r="AS163" s="623"/>
      <c r="AT163" s="623">
        <v>0.94862403987995336</v>
      </c>
      <c r="AU163" s="623"/>
      <c r="AV163" s="623">
        <f>+AV162/AV154</f>
        <v>0.97402822455574234</v>
      </c>
      <c r="AW163" s="623"/>
      <c r="AX163" s="623">
        <v>0.94862403987995336</v>
      </c>
      <c r="AY163" s="623"/>
      <c r="AZ163" s="623">
        <f>+AZ162/AZ154</f>
        <v>0.96687449431250327</v>
      </c>
      <c r="BA163" s="623"/>
      <c r="BB163" s="623">
        <f>+BB162/BB154</f>
        <v>0.9627113604166353</v>
      </c>
      <c r="BC163" s="623"/>
      <c r="BD163" s="623">
        <f>+BD162/BD154</f>
        <v>0.97097554550771337</v>
      </c>
      <c r="BE163" s="623"/>
      <c r="BF163" s="623">
        <f>+BF162/BF154</f>
        <v>0.99410051393272447</v>
      </c>
      <c r="BG163" s="26"/>
      <c r="BH163" s="26"/>
      <c r="BI163" s="26"/>
      <c r="BJ163" s="26"/>
      <c r="BK163" s="26"/>
      <c r="BL163" s="26"/>
      <c r="BM163" s="26"/>
      <c r="BN163" s="26"/>
    </row>
    <row r="164" spans="1:66" ht="18" thickBot="1" x14ac:dyDescent="0.35">
      <c r="A164" s="149"/>
      <c r="B164" s="862" t="s">
        <v>53</v>
      </c>
      <c r="C164" s="273"/>
      <c r="D164" s="272"/>
      <c r="E164" s="273"/>
      <c r="F164" s="273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2"/>
      <c r="Z164" s="272"/>
      <c r="AA164" s="272"/>
      <c r="AB164" s="272"/>
      <c r="AC164" s="273"/>
      <c r="AD164" s="273"/>
      <c r="AE164" s="273"/>
      <c r="AF164" s="273"/>
      <c r="AG164" s="273"/>
      <c r="AH164" s="273"/>
      <c r="AI164" s="273"/>
      <c r="AJ164" s="273"/>
      <c r="AK164" s="273"/>
      <c r="AL164" s="273"/>
      <c r="AM164" s="272"/>
      <c r="AN164" s="272"/>
      <c r="AO164" s="273"/>
      <c r="AP164" s="273"/>
      <c r="AQ164" s="273"/>
      <c r="AR164" s="273"/>
      <c r="AS164" s="273"/>
      <c r="AT164" s="273"/>
      <c r="AU164" s="273"/>
      <c r="AV164" s="273"/>
      <c r="AW164" s="273"/>
      <c r="AX164" s="273"/>
      <c r="AY164" s="273"/>
      <c r="AZ164" s="273"/>
      <c r="BA164" s="272"/>
      <c r="BB164" s="272"/>
      <c r="BC164" s="272"/>
      <c r="BD164" s="272"/>
      <c r="BE164" s="273"/>
      <c r="BF164" s="273"/>
      <c r="BG164" s="26"/>
      <c r="BH164" s="26"/>
      <c r="BI164" s="26"/>
      <c r="BJ164" s="26"/>
      <c r="BK164" s="26"/>
      <c r="BL164" s="26"/>
      <c r="BM164" s="26"/>
      <c r="BN164" s="26"/>
    </row>
    <row r="165" spans="1:66" ht="14.45" x14ac:dyDescent="0.3">
      <c r="B165" s="863" t="s">
        <v>93</v>
      </c>
      <c r="C165" s="864"/>
      <c r="D165" s="758" t="s">
        <v>221</v>
      </c>
      <c r="E165" s="819">
        <f>+E2*24</f>
        <v>720</v>
      </c>
      <c r="F165" s="819">
        <f>+F2*24</f>
        <v>720</v>
      </c>
      <c r="G165" s="819">
        <f>+G2*24</f>
        <v>744</v>
      </c>
      <c r="H165" s="819">
        <f>+H2*24</f>
        <v>744</v>
      </c>
      <c r="I165" s="866">
        <f>+E165+G165</f>
        <v>1464</v>
      </c>
      <c r="J165" s="43">
        <f>+F165+H165</f>
        <v>1464</v>
      </c>
      <c r="K165" s="819">
        <f>+K2*24</f>
        <v>720</v>
      </c>
      <c r="L165" s="819">
        <f>+L2*24</f>
        <v>720</v>
      </c>
      <c r="M165" s="781">
        <f>+E165+G165+K165</f>
        <v>2184</v>
      </c>
      <c r="N165" s="781">
        <f>+F165+H165+L165</f>
        <v>2184</v>
      </c>
      <c r="O165" s="819">
        <f>+O2*24</f>
        <v>744</v>
      </c>
      <c r="P165" s="819">
        <f>+P2*24</f>
        <v>744</v>
      </c>
      <c r="Q165" s="782">
        <f>+M165+O165</f>
        <v>2928</v>
      </c>
      <c r="R165" s="782">
        <f>+N165+P165</f>
        <v>2928</v>
      </c>
      <c r="S165" s="819">
        <f>+S2*24</f>
        <v>744</v>
      </c>
      <c r="T165" s="819">
        <f>+T2*24</f>
        <v>744</v>
      </c>
      <c r="U165" s="782">
        <f>+Q165+S165</f>
        <v>3672</v>
      </c>
      <c r="V165" s="782">
        <f>+R165+T165</f>
        <v>3672</v>
      </c>
      <c r="W165" s="819">
        <f>+W2*24</f>
        <v>720</v>
      </c>
      <c r="X165" s="819">
        <f>+X2*24</f>
        <v>720</v>
      </c>
      <c r="Y165" s="781">
        <f>O165+S165+W165</f>
        <v>2208</v>
      </c>
      <c r="Z165" s="529">
        <f>P165+T165+X165</f>
        <v>2208</v>
      </c>
      <c r="AA165" s="2302">
        <f>M165+Y165</f>
        <v>4392</v>
      </c>
      <c r="AB165" s="465">
        <f>N165+Z165</f>
        <v>4392</v>
      </c>
      <c r="AC165" s="819">
        <f>+AC2*24</f>
        <v>744</v>
      </c>
      <c r="AD165" s="819">
        <f>+AD2*24</f>
        <v>744</v>
      </c>
      <c r="AE165" s="782">
        <f>+AA165+AC165</f>
        <v>5136</v>
      </c>
      <c r="AF165" s="782">
        <f>+AB165+AD165</f>
        <v>5136</v>
      </c>
      <c r="AG165" s="819">
        <f>+AG2*24</f>
        <v>720</v>
      </c>
      <c r="AH165" s="819">
        <f>+AH2*24</f>
        <v>720</v>
      </c>
      <c r="AI165" s="782">
        <f>+AE165+AG165</f>
        <v>5856</v>
      </c>
      <c r="AJ165" s="782">
        <f>+AF165+AH165</f>
        <v>5856</v>
      </c>
      <c r="AK165" s="819">
        <f>+AK2*24</f>
        <v>744</v>
      </c>
      <c r="AL165" s="819">
        <f>+AL2*24</f>
        <v>744</v>
      </c>
      <c r="AM165" s="781">
        <f>AC165+AG165+AK165</f>
        <v>2208</v>
      </c>
      <c r="AN165" s="529">
        <f>AD165+AH165+AL165</f>
        <v>2208</v>
      </c>
      <c r="AO165" s="782">
        <f t="shared" ref="AO165" si="57">AI165+AK165</f>
        <v>6600</v>
      </c>
      <c r="AP165" s="782">
        <f t="shared" ref="AP165" si="58">AJ165+AL165</f>
        <v>6600</v>
      </c>
      <c r="AQ165" s="819">
        <f>+AQ2*24</f>
        <v>744</v>
      </c>
      <c r="AR165" s="819">
        <f>+AR2*24</f>
        <v>744</v>
      </c>
      <c r="AS165" s="782">
        <f>+AO165+AQ165</f>
        <v>7344</v>
      </c>
      <c r="AT165" s="782">
        <f>+AP165+AR165</f>
        <v>7344</v>
      </c>
      <c r="AU165" s="819">
        <f>+AU2*24</f>
        <v>672</v>
      </c>
      <c r="AV165" s="819">
        <f>+AV2*24</f>
        <v>672</v>
      </c>
      <c r="AW165" s="782">
        <f>+AS165+AU165</f>
        <v>8016</v>
      </c>
      <c r="AX165" s="782">
        <f>+AT165+AV165</f>
        <v>8016</v>
      </c>
      <c r="AY165" s="819">
        <f>+AY2*24</f>
        <v>744</v>
      </c>
      <c r="AZ165" s="819">
        <f>+AZ2*24</f>
        <v>744</v>
      </c>
      <c r="BA165" s="781">
        <f>AQ165+AU165+AY165</f>
        <v>2160</v>
      </c>
      <c r="BB165" s="529">
        <f>AR165+AV165+AZ165</f>
        <v>2160</v>
      </c>
      <c r="BC165" s="465">
        <f>AM165+BA165</f>
        <v>4368</v>
      </c>
      <c r="BD165" s="465">
        <f>AN165+BB165</f>
        <v>4368</v>
      </c>
      <c r="BE165" s="782">
        <f>+AW165+AY165</f>
        <v>8760</v>
      </c>
      <c r="BF165" s="782">
        <f>+AX165+AZ165</f>
        <v>8760</v>
      </c>
      <c r="BG165" s="26"/>
      <c r="BH165" s="26"/>
      <c r="BI165" s="26"/>
      <c r="BJ165" s="26"/>
      <c r="BK165" s="26"/>
      <c r="BL165" s="26"/>
      <c r="BM165" s="26"/>
      <c r="BN165" s="26"/>
    </row>
    <row r="166" spans="1:66" ht="14.45" x14ac:dyDescent="0.3">
      <c r="B166" s="9" t="s">
        <v>303</v>
      </c>
      <c r="C166" s="867"/>
      <c r="D166" s="2942" t="s">
        <v>49</v>
      </c>
      <c r="E166" s="2933">
        <f t="shared" ref="E166:Z166" si="59">+E167/E165*100</f>
        <v>85</v>
      </c>
      <c r="F166" s="2933">
        <f t="shared" si="59"/>
        <v>75.400462962962976</v>
      </c>
      <c r="G166" s="2933">
        <f t="shared" ref="G166:H166" si="60">+G167/G165*100</f>
        <v>85.000000000000014</v>
      </c>
      <c r="H166" s="2933">
        <f t="shared" si="60"/>
        <v>80.533154121863788</v>
      </c>
      <c r="I166" s="868">
        <f t="shared" si="59"/>
        <v>85.000000000000014</v>
      </c>
      <c r="J166" s="107">
        <f t="shared" si="59"/>
        <v>78.00887978142076</v>
      </c>
      <c r="K166" s="2933">
        <f t="shared" si="59"/>
        <v>85</v>
      </c>
      <c r="L166" s="2933">
        <f t="shared" si="59"/>
        <v>84.173611111111128</v>
      </c>
      <c r="M166" s="869">
        <f t="shared" si="59"/>
        <v>85.000000000000014</v>
      </c>
      <c r="N166" s="353">
        <f t="shared" si="59"/>
        <v>80.041208791208788</v>
      </c>
      <c r="O166" s="2933">
        <f t="shared" ref="O166:P166" si="61">+O167/O165*100</f>
        <v>85.000000000000014</v>
      </c>
      <c r="P166" s="2933">
        <f t="shared" si="61"/>
        <v>85.398745519713245</v>
      </c>
      <c r="Q166" s="868">
        <f t="shared" si="59"/>
        <v>85.000000000000014</v>
      </c>
      <c r="R166" s="266">
        <f t="shared" si="59"/>
        <v>81.402550091074659</v>
      </c>
      <c r="S166" s="2933">
        <f t="shared" si="59"/>
        <v>85.000000000000014</v>
      </c>
      <c r="T166" s="2933">
        <f t="shared" si="59"/>
        <v>82.645609318996421</v>
      </c>
      <c r="U166" s="868">
        <f t="shared" ref="U166:X166" si="62">+U167/U165*100</f>
        <v>85.000000000000014</v>
      </c>
      <c r="V166" s="266">
        <f t="shared" si="62"/>
        <v>81.65441176470587</v>
      </c>
      <c r="W166" s="2933">
        <f t="shared" si="62"/>
        <v>55.000000000000007</v>
      </c>
      <c r="X166" s="2933">
        <f t="shared" si="62"/>
        <v>85.497685185185148</v>
      </c>
      <c r="Y166" s="869">
        <f t="shared" si="59"/>
        <v>75.217391304347842</v>
      </c>
      <c r="Z166" s="356">
        <f t="shared" si="59"/>
        <v>84.503321256038632</v>
      </c>
      <c r="AA166" s="466">
        <f t="shared" ref="AA166:AF166" si="63">+AA167/AA165*100</f>
        <v>80.081967213114751</v>
      </c>
      <c r="AB166" s="466">
        <f t="shared" si="63"/>
        <v>82.284456587735264</v>
      </c>
      <c r="AC166" s="2933">
        <f t="shared" si="63"/>
        <v>89.354838709677409</v>
      </c>
      <c r="AD166" s="2933">
        <f t="shared" si="63"/>
        <v>84.209229390681003</v>
      </c>
      <c r="AE166" s="868">
        <f t="shared" si="63"/>
        <v>81.425233644859816</v>
      </c>
      <c r="AF166" s="266">
        <f t="shared" si="63"/>
        <v>82.563278816199372</v>
      </c>
      <c r="AG166" s="2933">
        <f t="shared" ref="AG166:AJ166" si="64">+AG167/AG165*100</f>
        <v>88.999999999999986</v>
      </c>
      <c r="AH166" s="2933">
        <f t="shared" si="64"/>
        <v>44.652777777777779</v>
      </c>
      <c r="AI166" s="868">
        <f t="shared" si="64"/>
        <v>82.356557377049185</v>
      </c>
      <c r="AJ166" s="266">
        <f t="shared" si="64"/>
        <v>77.902151639344268</v>
      </c>
      <c r="AK166" s="2933">
        <f t="shared" ref="AK166:AL166" si="65">+AK167/AK165*100</f>
        <v>89.354838709677409</v>
      </c>
      <c r="AL166" s="2933">
        <f t="shared" si="65"/>
        <v>82.605286738351282</v>
      </c>
      <c r="AM166" s="869">
        <f t="shared" ref="AM166:AT166" si="66">+AM167/AM165*100</f>
        <v>89.239130434782595</v>
      </c>
      <c r="AN166" s="356">
        <f t="shared" si="66"/>
        <v>70.76992753623189</v>
      </c>
      <c r="AO166" s="868">
        <f t="shared" si="66"/>
        <v>83.145454545454555</v>
      </c>
      <c r="AP166" s="266">
        <f t="shared" si="66"/>
        <v>78.432323232323213</v>
      </c>
      <c r="AQ166" s="2933">
        <f t="shared" si="66"/>
        <v>89.354838709677409</v>
      </c>
      <c r="AR166" s="2933">
        <f t="shared" si="66"/>
        <v>80.866935483870961</v>
      </c>
      <c r="AS166" s="868">
        <f t="shared" si="66"/>
        <v>83.774509803921575</v>
      </c>
      <c r="AT166" s="266">
        <f t="shared" si="66"/>
        <v>78.678966957153222</v>
      </c>
      <c r="AU166" s="2933">
        <f t="shared" ref="AU166:AX166" si="67">+AU167/AU165*100</f>
        <v>88.214285714285708</v>
      </c>
      <c r="AV166" s="2933">
        <f t="shared" si="67"/>
        <v>82.353670634920618</v>
      </c>
      <c r="AW166" s="868">
        <f t="shared" si="67"/>
        <v>84.146706586826355</v>
      </c>
      <c r="AX166" s="266">
        <f t="shared" si="67"/>
        <v>78.987025948103778</v>
      </c>
      <c r="AY166" s="2933">
        <f t="shared" ref="AY166:AZ166" si="68">+AY167/AY165*100</f>
        <v>89.354838709677409</v>
      </c>
      <c r="AZ166" s="2933">
        <f t="shared" si="68"/>
        <v>85.230734767025098</v>
      </c>
      <c r="BA166" s="869">
        <f t="shared" ref="BA166:BD166" si="69">+BA167/BA165*100</f>
        <v>88.999999999999986</v>
      </c>
      <c r="BB166" s="356">
        <f t="shared" si="69"/>
        <v>82.832561728395063</v>
      </c>
      <c r="BC166" s="466">
        <f t="shared" si="69"/>
        <v>89.12087912087911</v>
      </c>
      <c r="BD166" s="466">
        <f t="shared" si="69"/>
        <v>76.734966422466428</v>
      </c>
      <c r="BE166" s="868">
        <f t="shared" ref="BE166:BF166" si="70">+BE167/BE165*100</f>
        <v>84.589041095890423</v>
      </c>
      <c r="BF166" s="266">
        <f t="shared" si="70"/>
        <v>79.517313546423125</v>
      </c>
      <c r="BG166" s="26"/>
      <c r="BH166" s="26"/>
      <c r="BI166" s="26"/>
      <c r="BJ166" s="26"/>
      <c r="BK166" s="26"/>
      <c r="BL166" s="26"/>
      <c r="BM166" s="26"/>
      <c r="BN166" s="26"/>
    </row>
    <row r="167" spans="1:66" ht="14.45" x14ac:dyDescent="0.3">
      <c r="B167" s="9" t="s">
        <v>302</v>
      </c>
      <c r="C167" s="867"/>
      <c r="D167" s="2942" t="s">
        <v>221</v>
      </c>
      <c r="E167" s="2716">
        <v>612</v>
      </c>
      <c r="F167" s="2716">
        <v>542.88333333333344</v>
      </c>
      <c r="G167" s="2716">
        <v>632.40000000000009</v>
      </c>
      <c r="H167" s="2716">
        <v>599.16666666666652</v>
      </c>
      <c r="I167" s="673">
        <f>+E167+G167</f>
        <v>1244.4000000000001</v>
      </c>
      <c r="J167" s="39">
        <f>+F167+H167</f>
        <v>1142.05</v>
      </c>
      <c r="K167" s="2716">
        <v>612</v>
      </c>
      <c r="L167" s="2716">
        <v>606.05000000000007</v>
      </c>
      <c r="M167" s="781">
        <f>+E167+G167+K167</f>
        <v>1856.4</v>
      </c>
      <c r="N167" s="781">
        <f>+F167+H167+L167</f>
        <v>1748.1</v>
      </c>
      <c r="O167" s="2716">
        <v>632.40000000000009</v>
      </c>
      <c r="P167" s="2716">
        <v>635.36666666666656</v>
      </c>
      <c r="Q167" s="782">
        <f>+M167+O167</f>
        <v>2488.8000000000002</v>
      </c>
      <c r="R167" s="782">
        <f>+N167+P167</f>
        <v>2383.4666666666662</v>
      </c>
      <c r="S167" s="2716">
        <v>632.40000000000009</v>
      </c>
      <c r="T167" s="2716">
        <v>614.88333333333344</v>
      </c>
      <c r="U167" s="782">
        <f>+Q167+S167</f>
        <v>3121.2000000000003</v>
      </c>
      <c r="V167" s="782">
        <f>+R167+T167</f>
        <v>2998.3499999999995</v>
      </c>
      <c r="W167" s="2716">
        <v>396</v>
      </c>
      <c r="X167" s="2716">
        <v>615.58333333333303</v>
      </c>
      <c r="Y167" s="781">
        <f>O167+S167+W167</f>
        <v>1660.8000000000002</v>
      </c>
      <c r="Z167" s="529">
        <f>P167+T167+X167</f>
        <v>1865.833333333333</v>
      </c>
      <c r="AA167" s="465">
        <f>M167+Y167</f>
        <v>3517.2000000000003</v>
      </c>
      <c r="AB167" s="465">
        <f>N167+Z167</f>
        <v>3613.9333333333329</v>
      </c>
      <c r="AC167" s="2716">
        <v>664.8</v>
      </c>
      <c r="AD167" s="2716">
        <v>626.51666666666665</v>
      </c>
      <c r="AE167" s="782">
        <f>+AA167+AC167</f>
        <v>4182</v>
      </c>
      <c r="AF167" s="782">
        <f>+AB167+AD167</f>
        <v>4240.45</v>
      </c>
      <c r="AG167" s="2716">
        <v>640.79999999999995</v>
      </c>
      <c r="AH167" s="2716">
        <v>321.5</v>
      </c>
      <c r="AI167" s="782">
        <f>+AE167+AG167</f>
        <v>4822.8</v>
      </c>
      <c r="AJ167" s="782">
        <f>+AF167+AH167</f>
        <v>4561.95</v>
      </c>
      <c r="AK167" s="2716">
        <v>664.8</v>
      </c>
      <c r="AL167" s="2716">
        <v>614.58333333333348</v>
      </c>
      <c r="AM167" s="781">
        <f>AC167+AG167+AK167</f>
        <v>1970.3999999999999</v>
      </c>
      <c r="AN167" s="529">
        <f>AD167+AH167+AL167</f>
        <v>1562.6000000000001</v>
      </c>
      <c r="AO167" s="782">
        <f t="shared" ref="AO167:AP167" si="71">AI167+AK167</f>
        <v>5487.6</v>
      </c>
      <c r="AP167" s="782">
        <f t="shared" si="71"/>
        <v>5176.5333333333328</v>
      </c>
      <c r="AQ167" s="2716">
        <v>664.8</v>
      </c>
      <c r="AR167" s="2716">
        <v>601.65</v>
      </c>
      <c r="AS167" s="782">
        <f>+AO167+AQ167</f>
        <v>6152.4000000000005</v>
      </c>
      <c r="AT167" s="782">
        <f>+AP167+AR167</f>
        <v>5778.1833333333325</v>
      </c>
      <c r="AU167" s="2716">
        <v>592.79999999999995</v>
      </c>
      <c r="AV167" s="2716">
        <v>553.41666666666652</v>
      </c>
      <c r="AW167" s="782">
        <f>+AS167+AU167</f>
        <v>6745.2000000000007</v>
      </c>
      <c r="AX167" s="782">
        <f>+AT167+AV167</f>
        <v>6331.5999999999985</v>
      </c>
      <c r="AY167" s="2716">
        <v>664.8</v>
      </c>
      <c r="AZ167" s="2716">
        <v>634.11666666666667</v>
      </c>
      <c r="BA167" s="781">
        <f>AQ167+AU167+AY167</f>
        <v>1922.3999999999999</v>
      </c>
      <c r="BB167" s="529">
        <f>AR167+AV167+AZ167</f>
        <v>1789.1833333333334</v>
      </c>
      <c r="BC167" s="465">
        <f>AM167+BA167</f>
        <v>3892.7999999999997</v>
      </c>
      <c r="BD167" s="465">
        <f>AN167+BB167</f>
        <v>3351.7833333333338</v>
      </c>
      <c r="BE167" s="782">
        <f>+AW167+AY167</f>
        <v>7410.0000000000009</v>
      </c>
      <c r="BF167" s="782">
        <f>+AX167+AZ167</f>
        <v>6965.7166666666653</v>
      </c>
      <c r="BG167" s="26"/>
      <c r="BH167" s="26"/>
      <c r="BI167" s="26"/>
      <c r="BJ167" s="26"/>
      <c r="BK167" s="26"/>
      <c r="BL167" s="26"/>
      <c r="BM167" s="26"/>
      <c r="BN167" s="26"/>
    </row>
    <row r="168" spans="1:66" ht="14.45" x14ac:dyDescent="0.3">
      <c r="B168" s="9" t="s">
        <v>304</v>
      </c>
      <c r="C168" s="867"/>
      <c r="D168" s="2942" t="s">
        <v>49</v>
      </c>
      <c r="E168" s="2936">
        <f t="shared" ref="E168:AD168" si="72">+E169/E167*100</f>
        <v>87.5</v>
      </c>
      <c r="F168" s="2936">
        <f t="shared" si="72"/>
        <v>86.375218739446765</v>
      </c>
      <c r="G168" s="2936">
        <f t="shared" ref="G168:H168" si="73">+G169/G167*100</f>
        <v>87.499999999999986</v>
      </c>
      <c r="H168" s="2936">
        <f t="shared" si="73"/>
        <v>88.984700973574448</v>
      </c>
      <c r="I168" s="868">
        <f t="shared" si="72"/>
        <v>87.499999999999986</v>
      </c>
      <c r="J168" s="107">
        <f t="shared" si="72"/>
        <v>87.744261051033973</v>
      </c>
      <c r="K168" s="2936">
        <f t="shared" si="72"/>
        <v>87.5</v>
      </c>
      <c r="L168" s="2936">
        <f t="shared" si="72"/>
        <v>86.854769958474236</v>
      </c>
      <c r="M168" s="869">
        <f t="shared" si="72"/>
        <v>87.499999999999986</v>
      </c>
      <c r="N168" s="353">
        <f t="shared" si="72"/>
        <v>87.435882767957594</v>
      </c>
      <c r="O168" s="2936">
        <f t="shared" ref="O168:P168" si="74">+O169/O167*100</f>
        <v>87.499999999999986</v>
      </c>
      <c r="P168" s="2936">
        <f t="shared" si="74"/>
        <v>90.630082367137078</v>
      </c>
      <c r="Q168" s="868">
        <f t="shared" si="72"/>
        <v>87.499999999999986</v>
      </c>
      <c r="R168" s="266">
        <f t="shared" si="72"/>
        <v>88.287368538823003</v>
      </c>
      <c r="S168" s="2936">
        <f t="shared" si="72"/>
        <v>87.499999999999986</v>
      </c>
      <c r="T168" s="2936">
        <f t="shared" si="72"/>
        <v>84.869758490770593</v>
      </c>
      <c r="U168" s="868">
        <f t="shared" ref="U168:X168" si="75">+U169/U167*100</f>
        <v>87.499999999999986</v>
      </c>
      <c r="V168" s="266">
        <f t="shared" si="75"/>
        <v>87.586505911584709</v>
      </c>
      <c r="W168" s="2936">
        <f t="shared" si="75"/>
        <v>87.5</v>
      </c>
      <c r="X168" s="2936">
        <f t="shared" si="75"/>
        <v>89.801001759848418</v>
      </c>
      <c r="Y168" s="869">
        <f t="shared" si="72"/>
        <v>87.499999999999986</v>
      </c>
      <c r="Z168" s="356">
        <f t="shared" si="72"/>
        <v>88.458240285841896</v>
      </c>
      <c r="AA168" s="466">
        <f t="shared" si="72"/>
        <v>87.5</v>
      </c>
      <c r="AB168" s="466">
        <f t="shared" si="72"/>
        <v>87.96371451235035</v>
      </c>
      <c r="AC168" s="2936">
        <f t="shared" si="72"/>
        <v>85.833333333333343</v>
      </c>
      <c r="AD168" s="2936">
        <f t="shared" si="72"/>
        <v>88.890957942060581</v>
      </c>
      <c r="AE168" s="868">
        <f t="shared" ref="AE168:AH168" si="76">+AE169/AE167*100</f>
        <v>87.235054997608799</v>
      </c>
      <c r="AF168" s="266">
        <f t="shared" si="76"/>
        <v>88.100712581604938</v>
      </c>
      <c r="AG168" s="2936">
        <f t="shared" si="76"/>
        <v>85.833333333333343</v>
      </c>
      <c r="AH168" s="2936">
        <f t="shared" si="76"/>
        <v>82.317262830482107</v>
      </c>
      <c r="AI168" s="868">
        <f t="shared" ref="AI168:AL168" si="77">+AI169/AI167*100</f>
        <v>87.04880982002156</v>
      </c>
      <c r="AJ168" s="266">
        <f t="shared" si="77"/>
        <v>87.693128304051257</v>
      </c>
      <c r="AK168" s="2936">
        <f t="shared" si="77"/>
        <v>85.833333333333343</v>
      </c>
      <c r="AL168" s="2936">
        <f t="shared" si="77"/>
        <v>83.777627118644034</v>
      </c>
      <c r="AM168" s="869">
        <f t="shared" ref="AM168:AT168" si="78">+AM169/AM167*100</f>
        <v>85.833333333333329</v>
      </c>
      <c r="AN168" s="356">
        <f t="shared" si="78"/>
        <v>85.527326251119902</v>
      </c>
      <c r="AO168" s="868">
        <f t="shared" si="78"/>
        <v>86.901559880457754</v>
      </c>
      <c r="AP168" s="266">
        <f t="shared" si="78"/>
        <v>87.228260869565219</v>
      </c>
      <c r="AQ168" s="2936">
        <f t="shared" si="78"/>
        <v>85.833333333333343</v>
      </c>
      <c r="AR168" s="2936">
        <f t="shared" si="78"/>
        <v>88.013518380010524</v>
      </c>
      <c r="AS168" s="868">
        <f t="shared" si="78"/>
        <v>86.786132241076658</v>
      </c>
      <c r="AT168" s="266">
        <f t="shared" si="78"/>
        <v>87.310025353989573</v>
      </c>
      <c r="AU168" s="2936">
        <f t="shared" ref="AU168:AX168" si="79">+AU169/AU167*100</f>
        <v>85.833333333333343</v>
      </c>
      <c r="AV168" s="2936">
        <f t="shared" si="79"/>
        <v>89.43532600511972</v>
      </c>
      <c r="AW168" s="868">
        <f t="shared" si="79"/>
        <v>86.702395777738246</v>
      </c>
      <c r="AX168" s="266">
        <f t="shared" si="79"/>
        <v>87.495788321014174</v>
      </c>
      <c r="AY168" s="2936">
        <f t="shared" ref="AY168:AZ168" si="80">+AY169/AY167*100</f>
        <v>85.833333333333343</v>
      </c>
      <c r="AZ168" s="2936">
        <f t="shared" si="80"/>
        <v>87.499671458984935</v>
      </c>
      <c r="BA168" s="869">
        <f t="shared" ref="BA168:BD168" si="81">+BA169/BA167*100</f>
        <v>85.833333333333343</v>
      </c>
      <c r="BB168" s="356">
        <f t="shared" si="81"/>
        <v>88.271185177594973</v>
      </c>
      <c r="BC168" s="466">
        <f t="shared" si="81"/>
        <v>85.833333333333329</v>
      </c>
      <c r="BD168" s="466">
        <f t="shared" si="81"/>
        <v>86.991999283963239</v>
      </c>
      <c r="BE168" s="868">
        <f t="shared" ref="BE168:BF168" si="82">+BE169/BE167*100</f>
        <v>86.624426450742234</v>
      </c>
      <c r="BF168" s="266">
        <f t="shared" si="82"/>
        <v>87.496141818381929</v>
      </c>
      <c r="BG168" s="26"/>
      <c r="BH168" s="26"/>
      <c r="BI168" s="26"/>
      <c r="BJ168" s="26"/>
      <c r="BK168" s="26"/>
      <c r="BL168" s="26"/>
      <c r="BM168" s="26"/>
      <c r="BN168" s="26"/>
    </row>
    <row r="169" spans="1:66" ht="14.45" x14ac:dyDescent="0.3">
      <c r="B169" s="9" t="s">
        <v>305</v>
      </c>
      <c r="C169" s="867"/>
      <c r="D169" s="2942" t="s">
        <v>221</v>
      </c>
      <c r="E169" s="2716">
        <v>535.5</v>
      </c>
      <c r="F169" s="2716">
        <v>468.91666666666669</v>
      </c>
      <c r="G169" s="2716">
        <v>553.35</v>
      </c>
      <c r="H169" s="2716">
        <v>533.16666666666674</v>
      </c>
      <c r="I169" s="673">
        <f>+E169+G169</f>
        <v>1088.8499999999999</v>
      </c>
      <c r="J169" s="39">
        <f>+F169+H169</f>
        <v>1002.0833333333335</v>
      </c>
      <c r="K169" s="2716">
        <v>535.5</v>
      </c>
      <c r="L169" s="2716">
        <v>526.38333333333321</v>
      </c>
      <c r="M169" s="781">
        <f>+E169+G169+K169</f>
        <v>1624.35</v>
      </c>
      <c r="N169" s="781">
        <f>+F169+H169+L169</f>
        <v>1528.4666666666667</v>
      </c>
      <c r="O169" s="2716">
        <v>553.35</v>
      </c>
      <c r="P169" s="2716">
        <v>575.83333333333314</v>
      </c>
      <c r="Q169" s="782">
        <f>+M169+O169</f>
        <v>2177.6999999999998</v>
      </c>
      <c r="R169" s="782">
        <f>+N169+P169</f>
        <v>2104.2999999999997</v>
      </c>
      <c r="S169" s="2716">
        <v>553.35</v>
      </c>
      <c r="T169" s="2716">
        <v>521.85</v>
      </c>
      <c r="U169" s="782">
        <f>+Q169+S169</f>
        <v>2731.0499999999997</v>
      </c>
      <c r="V169" s="782">
        <f>+R169+T169</f>
        <v>2626.1499999999996</v>
      </c>
      <c r="W169" s="2716">
        <v>346.5</v>
      </c>
      <c r="X169" s="2716">
        <v>552.79999999999995</v>
      </c>
      <c r="Y169" s="781">
        <f>O169+S169+W169</f>
        <v>1453.2</v>
      </c>
      <c r="Z169" s="529">
        <f>P169+T169+X169</f>
        <v>1650.4833333333331</v>
      </c>
      <c r="AA169" s="465">
        <f>M169+Y169</f>
        <v>3077.55</v>
      </c>
      <c r="AB169" s="465">
        <f>N169+Z169</f>
        <v>3178.95</v>
      </c>
      <c r="AC169" s="2716">
        <v>570.62</v>
      </c>
      <c r="AD169" s="2716">
        <v>556.91666666666652</v>
      </c>
      <c r="AE169" s="782">
        <f>+AA169+AC169</f>
        <v>3648.17</v>
      </c>
      <c r="AF169" s="782">
        <f>+AB169+AD169</f>
        <v>3735.8666666666663</v>
      </c>
      <c r="AG169" s="2716">
        <v>550.02</v>
      </c>
      <c r="AH169" s="2716">
        <v>264.64999999999998</v>
      </c>
      <c r="AI169" s="782">
        <f>+AE169+AG169</f>
        <v>4198.1900000000005</v>
      </c>
      <c r="AJ169" s="782">
        <f>+AF169+AH169</f>
        <v>4000.5166666666664</v>
      </c>
      <c r="AK169" s="2716">
        <v>570.62</v>
      </c>
      <c r="AL169" s="2716">
        <v>514.88333333333321</v>
      </c>
      <c r="AM169" s="781">
        <f>AC169+AG169+AK169</f>
        <v>1691.2599999999998</v>
      </c>
      <c r="AN169" s="529">
        <f>AD169+AH169+AL169</f>
        <v>1336.4499999999998</v>
      </c>
      <c r="AO169" s="782">
        <f t="shared" ref="AO169:AP169" si="83">AI169+AK169</f>
        <v>4768.8100000000004</v>
      </c>
      <c r="AP169" s="782">
        <f t="shared" si="83"/>
        <v>4515.3999999999996</v>
      </c>
      <c r="AQ169" s="2716">
        <v>570.62</v>
      </c>
      <c r="AR169" s="2716">
        <v>529.5333333333333</v>
      </c>
      <c r="AS169" s="782">
        <f>+AO169+AQ169</f>
        <v>5339.43</v>
      </c>
      <c r="AT169" s="782">
        <f>+AP169+AR169</f>
        <v>5044.9333333333325</v>
      </c>
      <c r="AU169" s="2716">
        <v>508.82</v>
      </c>
      <c r="AV169" s="2716">
        <v>494.94999999999993</v>
      </c>
      <c r="AW169" s="782">
        <f>+AS169+AU169</f>
        <v>5848.25</v>
      </c>
      <c r="AX169" s="782">
        <f>+AT169+AV169</f>
        <v>5539.8833333333323</v>
      </c>
      <c r="AY169" s="2716">
        <v>570.62</v>
      </c>
      <c r="AZ169" s="2716">
        <v>554.84999999999991</v>
      </c>
      <c r="BA169" s="781">
        <f>AQ169+AU169+AY169</f>
        <v>1650.06</v>
      </c>
      <c r="BB169" s="529">
        <f>AR169+AV169+AZ169</f>
        <v>1579.333333333333</v>
      </c>
      <c r="BC169" s="465">
        <f>AM169+BA169</f>
        <v>3341.3199999999997</v>
      </c>
      <c r="BD169" s="465">
        <f>AN169+BB169</f>
        <v>2915.7833333333328</v>
      </c>
      <c r="BE169" s="782">
        <f>+AW169+AY169</f>
        <v>6418.87</v>
      </c>
      <c r="BF169" s="782">
        <f>+AX169+AZ169</f>
        <v>6094.7333333333318</v>
      </c>
      <c r="BG169" s="26"/>
      <c r="BH169" s="26"/>
      <c r="BI169" s="26"/>
      <c r="BJ169" s="26"/>
      <c r="BK169" s="26"/>
      <c r="BL169" s="26"/>
      <c r="BM169" s="26"/>
      <c r="BN169" s="26"/>
    </row>
    <row r="170" spans="1:66" ht="14.45" x14ac:dyDescent="0.3">
      <c r="B170" s="9" t="s">
        <v>511</v>
      </c>
      <c r="C170" s="867"/>
      <c r="D170" s="2942" t="s">
        <v>510</v>
      </c>
      <c r="E170" s="2936">
        <f t="shared" ref="E170:AD170" si="84">+E169/(E167/24)</f>
        <v>21</v>
      </c>
      <c r="F170" s="2732">
        <f t="shared" si="84"/>
        <v>20.730052497467224</v>
      </c>
      <c r="G170" s="2936">
        <f t="shared" ref="G170:H170" si="85">+G169/(G167/24)</f>
        <v>20.999999999999996</v>
      </c>
      <c r="H170" s="2732">
        <f t="shared" si="85"/>
        <v>21.356328233657866</v>
      </c>
      <c r="I170" s="868">
        <f t="shared" si="84"/>
        <v>20.999999999999996</v>
      </c>
      <c r="J170" s="107">
        <f t="shared" si="84"/>
        <v>21.058622652248154</v>
      </c>
      <c r="K170" s="2936">
        <f t="shared" si="84"/>
        <v>21</v>
      </c>
      <c r="L170" s="2732">
        <f t="shared" si="84"/>
        <v>20.845144790033821</v>
      </c>
      <c r="M170" s="869">
        <f t="shared" si="84"/>
        <v>20.999999999999996</v>
      </c>
      <c r="N170" s="353">
        <f t="shared" si="84"/>
        <v>20.984611864309827</v>
      </c>
      <c r="O170" s="2936">
        <f t="shared" ref="O170:P170" si="86">+O169/(O167/24)</f>
        <v>20.999999999999996</v>
      </c>
      <c r="P170" s="2732">
        <f t="shared" si="86"/>
        <v>21.751219768112897</v>
      </c>
      <c r="Q170" s="868">
        <f t="shared" si="84"/>
        <v>20.999999999999996</v>
      </c>
      <c r="R170" s="266">
        <f t="shared" si="84"/>
        <v>21.188968449317521</v>
      </c>
      <c r="S170" s="2936">
        <f t="shared" si="84"/>
        <v>20.999999999999996</v>
      </c>
      <c r="T170" s="2732">
        <f t="shared" si="84"/>
        <v>20.368742037784944</v>
      </c>
      <c r="U170" s="868">
        <f t="shared" ref="U170:X170" si="87">+U169/(U167/24)</f>
        <v>20.999999999999996</v>
      </c>
      <c r="V170" s="266">
        <f t="shared" si="87"/>
        <v>21.020761418780332</v>
      </c>
      <c r="W170" s="2936">
        <f t="shared" si="87"/>
        <v>21</v>
      </c>
      <c r="X170" s="2732">
        <f t="shared" si="87"/>
        <v>21.552240422363621</v>
      </c>
      <c r="Y170" s="869">
        <f t="shared" si="84"/>
        <v>21</v>
      </c>
      <c r="Z170" s="356">
        <f t="shared" si="84"/>
        <v>21.229977668602054</v>
      </c>
      <c r="AA170" s="466">
        <f t="shared" si="84"/>
        <v>21</v>
      </c>
      <c r="AB170" s="466">
        <f t="shared" si="84"/>
        <v>21.111291482964084</v>
      </c>
      <c r="AC170" s="2936">
        <f t="shared" si="84"/>
        <v>20.6</v>
      </c>
      <c r="AD170" s="2732">
        <f t="shared" si="84"/>
        <v>21.33382990609454</v>
      </c>
      <c r="AE170" s="868">
        <f t="shared" ref="AE170:AH170" si="88">+AE169/(AE167/24)</f>
        <v>20.936413199426113</v>
      </c>
      <c r="AF170" s="266">
        <f t="shared" si="88"/>
        <v>21.144171019585183</v>
      </c>
      <c r="AG170" s="2936">
        <f t="shared" si="88"/>
        <v>20.6</v>
      </c>
      <c r="AH170" s="2732">
        <f t="shared" si="88"/>
        <v>19.756143079315706</v>
      </c>
      <c r="AI170" s="868">
        <f t="shared" ref="AI170:AL170" si="89">+AI169/(AI167/24)</f>
        <v>20.891714356805178</v>
      </c>
      <c r="AJ170" s="266">
        <f t="shared" si="89"/>
        <v>21.046350792972305</v>
      </c>
      <c r="AK170" s="2936">
        <f t="shared" si="89"/>
        <v>20.6</v>
      </c>
      <c r="AL170" s="2732">
        <f t="shared" si="89"/>
        <v>20.106630508474566</v>
      </c>
      <c r="AM170" s="869">
        <f t="shared" ref="AM170:AT170" si="90">+AM169/(AM167/24)</f>
        <v>20.599999999999998</v>
      </c>
      <c r="AN170" s="356">
        <f t="shared" si="90"/>
        <v>20.526558300268778</v>
      </c>
      <c r="AO170" s="868">
        <f t="shared" si="90"/>
        <v>20.856374371309862</v>
      </c>
      <c r="AP170" s="266">
        <f t="shared" si="90"/>
        <v>20.934782608695652</v>
      </c>
      <c r="AQ170" s="2936">
        <f t="shared" si="90"/>
        <v>20.6</v>
      </c>
      <c r="AR170" s="2732">
        <f t="shared" si="90"/>
        <v>21.123244411202528</v>
      </c>
      <c r="AS170" s="868">
        <f t="shared" si="90"/>
        <v>20.828671737858397</v>
      </c>
      <c r="AT170" s="266">
        <f t="shared" si="90"/>
        <v>20.954406084957498</v>
      </c>
      <c r="AU170" s="2936">
        <f t="shared" ref="AU170:AX170" si="91">+AU169/(AU167/24)</f>
        <v>20.6</v>
      </c>
      <c r="AV170" s="2936">
        <f t="shared" si="91"/>
        <v>21.464478241228733</v>
      </c>
      <c r="AW170" s="868">
        <f t="shared" si="91"/>
        <v>20.808574986657177</v>
      </c>
      <c r="AX170" s="266">
        <f t="shared" si="91"/>
        <v>20.998989197043404</v>
      </c>
      <c r="AY170" s="2936">
        <f t="shared" ref="AY170:AZ170" si="92">+AY169/(AY167/24)</f>
        <v>20.6</v>
      </c>
      <c r="AZ170" s="2936">
        <f t="shared" si="92"/>
        <v>20.999921150156382</v>
      </c>
      <c r="BA170" s="869">
        <f t="shared" ref="BA170:BD170" si="93">+BA169/(BA167/24)</f>
        <v>20.6</v>
      </c>
      <c r="BB170" s="356">
        <f t="shared" si="93"/>
        <v>21.185084442622792</v>
      </c>
      <c r="BC170" s="466">
        <f t="shared" si="93"/>
        <v>20.6</v>
      </c>
      <c r="BD170" s="466">
        <f t="shared" si="93"/>
        <v>20.878079828151179</v>
      </c>
      <c r="BE170" s="868">
        <f t="shared" ref="BE170:BF170" si="94">+BE169/(BE167/24)</f>
        <v>20.789862348178133</v>
      </c>
      <c r="BF170" s="266">
        <f t="shared" si="94"/>
        <v>20.999074036411663</v>
      </c>
      <c r="BG170" s="26"/>
      <c r="BH170" s="26"/>
      <c r="BI170" s="26"/>
      <c r="BJ170" s="26"/>
      <c r="BK170" s="26"/>
      <c r="BL170" s="26"/>
      <c r="BM170" s="26"/>
      <c r="BN170" s="26"/>
    </row>
    <row r="171" spans="1:66" x14ac:dyDescent="0.25">
      <c r="A171" s="1545">
        <v>0.28799999999999998</v>
      </c>
      <c r="B171" s="9" t="s">
        <v>306</v>
      </c>
      <c r="C171" s="867"/>
      <c r="D171" s="2942" t="s">
        <v>1095</v>
      </c>
      <c r="E171" s="2943">
        <v>0.28799999999999992</v>
      </c>
      <c r="F171" s="2736">
        <v>0.35699999999999998</v>
      </c>
      <c r="G171" s="2943">
        <v>0.28800000000000003</v>
      </c>
      <c r="H171" s="2736">
        <v>0.35299999999999998</v>
      </c>
      <c r="I171" s="870">
        <f>+((E171*E5)+(G171*G5))/I5</f>
        <v>0.28799999999999998</v>
      </c>
      <c r="J171" s="2944">
        <f>+((F171*F5)+(H171*H5))/J5</f>
        <v>0.35492938004711455</v>
      </c>
      <c r="K171" s="2943">
        <v>0.28799999999999998</v>
      </c>
      <c r="L171" s="2736">
        <v>0.3417</v>
      </c>
      <c r="M171" s="871">
        <f>+((E171*E5)+(G171*G5)+(K171*K5))/M5</f>
        <v>0.28799999999999998</v>
      </c>
      <c r="N171" s="871">
        <f>+((F171*F5)+(H171*H5)+(L171*L5))/N5</f>
        <v>0.3504868789650929</v>
      </c>
      <c r="O171" s="2943">
        <v>0.28799999999999998</v>
      </c>
      <c r="P171" s="2736">
        <v>0.30199999999999999</v>
      </c>
      <c r="Q171" s="870">
        <f>+((M171*M5)+(O171*O5))/Q5</f>
        <v>0.28799999999999998</v>
      </c>
      <c r="R171" s="870">
        <f>+((N171*N5)+(P171*P5))/R5</f>
        <v>0.33637289851237151</v>
      </c>
      <c r="S171" s="2943">
        <v>0.28799999999999998</v>
      </c>
      <c r="T171" s="2736">
        <v>0.33800000000000002</v>
      </c>
      <c r="U171" s="870">
        <f>+((Q171*Q5)+(S171*S5))/U5</f>
        <v>0.28799999999999998</v>
      </c>
      <c r="V171" s="870">
        <f>+((R171*R5)+(T171*T5))/V5</f>
        <v>0.33668692994372867</v>
      </c>
      <c r="W171" s="2943">
        <v>0.28799999999999998</v>
      </c>
      <c r="X171" s="2736">
        <v>0.32700000000000001</v>
      </c>
      <c r="Y171" s="871">
        <f>+((O171*O5)+(S171*S5)+(W171*W5))/Y5</f>
        <v>0.28799999999999998</v>
      </c>
      <c r="Z171" s="871">
        <f>+((P171*P5)+(T171*T5)+(X171*X5))/Z5</f>
        <v>0.32107518917020528</v>
      </c>
      <c r="AA171" s="663">
        <f>+((M171*M5)+(Y171*Y5))/AA5</f>
        <v>0.28799999999999998</v>
      </c>
      <c r="AB171" s="663">
        <f>+((N171*N5)+(Z171*Z5))/AB5</f>
        <v>0.33503912777994577</v>
      </c>
      <c r="AC171" s="2943">
        <v>0.28799999999999998</v>
      </c>
      <c r="AD171" s="2736">
        <v>0.34</v>
      </c>
      <c r="AE171" s="870">
        <f>+((AA171*AA5)+(AC171*AC5))/AE5</f>
        <v>0.28799999999999998</v>
      </c>
      <c r="AF171" s="870">
        <f>+((AB171*AB5)+(AD171*AD5))/AF5</f>
        <v>0.33577892371038243</v>
      </c>
      <c r="AG171" s="2943">
        <v>0.28799999999999998</v>
      </c>
      <c r="AH171" s="2736">
        <v>0.36</v>
      </c>
      <c r="AI171" s="870">
        <f>+((AE171*AE5)+(AG171*AG5))/AI5</f>
        <v>0.28799999999999998</v>
      </c>
      <c r="AJ171" s="870">
        <f>+((AF171*AF5)+(AH171*AH5))/AJ5</f>
        <v>0.33737495960842018</v>
      </c>
      <c r="AK171" s="2943">
        <v>0.28799999999999998</v>
      </c>
      <c r="AL171" s="2736">
        <v>0.29499999999999998</v>
      </c>
      <c r="AM171" s="871">
        <f>+((AC171*AC5)+(AG171*AG5)+(AK171*AK5))/AM5</f>
        <v>0.28799999999999998</v>
      </c>
      <c r="AN171" s="871">
        <f>+((AD171*AD5)+(AH171*AH5)+(AL171*AL5))/AN5</f>
        <v>0.32653654443786734</v>
      </c>
      <c r="AO171" s="870">
        <f>+((AK171*AK5)+(AI171*AI5))/AO5</f>
        <v>0.28799999999999998</v>
      </c>
      <c r="AP171" s="870">
        <f>+((AL171*AL5)+(AJ171*AJ5))/AP5</f>
        <v>0.3325202204090183</v>
      </c>
      <c r="AQ171" s="2943">
        <v>0.28799999999999998</v>
      </c>
      <c r="AR171" s="2736">
        <v>0.31900000000000001</v>
      </c>
      <c r="AS171" s="870">
        <f>+((AO171*AO5)+(AQ171*AQ5))/AS5</f>
        <v>0.28799999999999998</v>
      </c>
      <c r="AT171" s="870">
        <f>+((AP171*AP5)+(AR171*AR5))/AT5</f>
        <v>0.33110401248687465</v>
      </c>
      <c r="AU171" s="2943">
        <v>0.28799999999999992</v>
      </c>
      <c r="AV171" s="2736">
        <v>0.37</v>
      </c>
      <c r="AW171" s="870">
        <f>+((AS171*AS5)+(AU171*AU5))/AW5</f>
        <v>0.28799999999999998</v>
      </c>
      <c r="AX171" s="870">
        <f>+((AT171*AT5)+(AV171*AV5))/AX5</f>
        <v>0.33430241234770136</v>
      </c>
      <c r="AY171" s="2943">
        <v>0.28799999999999992</v>
      </c>
      <c r="AZ171" s="2736">
        <v>0.37</v>
      </c>
      <c r="BA171" s="871">
        <f>+((AQ171*AQ5)+(AU171*AU5)+(AY171*AY5))/BA5</f>
        <v>0.28799999999999992</v>
      </c>
      <c r="BB171" s="871">
        <f>+((AR171*AR5)+(AV171*AV5)+(AZ171*AZ5))/BB5</f>
        <v>0.35260703782054592</v>
      </c>
      <c r="BC171" s="663">
        <f>+((AM171*AM5)+(BA171*BA5))/BC5</f>
        <v>0.28799999999999998</v>
      </c>
      <c r="BD171" s="663">
        <f>+((AN171*AN5)+(BB171*BB5))/BD5</f>
        <v>0.34052654350522976</v>
      </c>
      <c r="BE171" s="870">
        <f>+((AW171*AW5)+(AY171*AY5))/BE5</f>
        <v>0.28799999999999992</v>
      </c>
      <c r="BF171" s="870">
        <f>+((AX171*AX5)+(AZ171*AZ5))/BF5</f>
        <v>0.33765124169410338</v>
      </c>
      <c r="BG171" s="26"/>
      <c r="BH171" s="26"/>
      <c r="BI171" s="26"/>
      <c r="BJ171" s="26"/>
      <c r="BK171" s="26"/>
      <c r="BL171" s="26"/>
      <c r="BM171" s="26"/>
      <c r="BN171" s="26"/>
    </row>
    <row r="172" spans="1:66" ht="14.45" x14ac:dyDescent="0.3">
      <c r="B172" s="9" t="s">
        <v>307</v>
      </c>
      <c r="C172" s="867"/>
      <c r="D172" s="2942" t="s">
        <v>213</v>
      </c>
      <c r="E172" s="2716">
        <f>+'POWER DISTRIBUTION'!I26</f>
        <v>7362131.9332452696</v>
      </c>
      <c r="F172" s="2716">
        <f>+'POWER DISTRIBUTION'!J26</f>
        <v>6448268.6666666623</v>
      </c>
      <c r="G172" s="2716">
        <f>+'POWER DISTRIBUTION'!K26</f>
        <v>7621971.8838303965</v>
      </c>
      <c r="H172" s="2716">
        <f>+'POWER DISTRIBUTION'!L26</f>
        <v>6901113.0000000075</v>
      </c>
      <c r="I172" s="673">
        <f>+E172+G172</f>
        <v>14984103.817075666</v>
      </c>
      <c r="J172" s="39">
        <f>+F172+H172</f>
        <v>13349381.66666667</v>
      </c>
      <c r="K172" s="2716">
        <f>+'POWER DISTRIBUTION'!O26</f>
        <v>7362131.9332452696</v>
      </c>
      <c r="L172" s="2716">
        <f>+'POWER DISTRIBUTION'!P26</f>
        <v>6922432.3333333284</v>
      </c>
      <c r="M172" s="781">
        <f>+E172+G172+K172</f>
        <v>22346235.750320934</v>
      </c>
      <c r="N172" s="781">
        <f>+F172+H172+L172</f>
        <v>20271814</v>
      </c>
      <c r="O172" s="2716">
        <f>+'POWER DISTRIBUTION'!S26</f>
        <v>7621971.8838303965</v>
      </c>
      <c r="P172" s="2716">
        <f>+'POWER DISTRIBUTION'!T26</f>
        <v>7841078.3333333544</v>
      </c>
      <c r="Q172" s="782">
        <f>+M172+O172</f>
        <v>29968207.634151332</v>
      </c>
      <c r="R172" s="782">
        <f>+N172+P172</f>
        <v>28112892.333333354</v>
      </c>
      <c r="S172" s="2716">
        <f>+'POWER DISTRIBUTION'!W26</f>
        <v>7621971.8838303965</v>
      </c>
      <c r="T172" s="2716">
        <f>+'POWER DISTRIBUTION'!X26</f>
        <v>6963410.9999999758</v>
      </c>
      <c r="U172" s="782">
        <f>+Q172+S172</f>
        <v>37590179.51798173</v>
      </c>
      <c r="V172" s="782">
        <f>+R172+T172</f>
        <v>35076303.333333328</v>
      </c>
      <c r="W172" s="2716">
        <f>+'POWER DISTRIBUTION'!AA26</f>
        <v>4568265.843085452</v>
      </c>
      <c r="X172" s="2716">
        <f>+'POWER DISTRIBUTION'!AB26</f>
        <v>7182929.0000000158</v>
      </c>
      <c r="Y172" s="781">
        <f>O172+S172+W172</f>
        <v>19812209.610746246</v>
      </c>
      <c r="Z172" s="529">
        <f>P172+T172+X172</f>
        <v>21987418.333333347</v>
      </c>
      <c r="AA172" s="2302">
        <f>M172+Y172</f>
        <v>42158445.361067176</v>
      </c>
      <c r="AB172" s="465">
        <f>N172+Z172</f>
        <v>42259232.333333343</v>
      </c>
      <c r="AC172" s="2716">
        <f>+'POWER DISTRIBUTION'!AG26</f>
        <v>7446359.3750000009</v>
      </c>
      <c r="AD172" s="2716">
        <f>+'POWER DISTRIBUTION'!AH26</f>
        <v>7646136.6666666782</v>
      </c>
      <c r="AE172" s="782">
        <f>+AA172+AC172</f>
        <v>49604804.736067176</v>
      </c>
      <c r="AF172" s="782">
        <f>+AB172+AD172</f>
        <v>49905369.000000022</v>
      </c>
      <c r="AG172" s="2716">
        <f>+'POWER DISTRIBUTION'!AK26</f>
        <v>7200875.0000000009</v>
      </c>
      <c r="AH172" s="2716">
        <f>+'POWER DISTRIBUTION'!AL26</f>
        <v>3903411.3333333209</v>
      </c>
      <c r="AI172" s="782">
        <f>+AE172+AG172</f>
        <v>56805679.736067176</v>
      </c>
      <c r="AJ172" s="782">
        <f>+AF172+AH172</f>
        <v>53808780.333333343</v>
      </c>
      <c r="AK172" s="2716">
        <f>+'POWER DISTRIBUTION'!AO26</f>
        <v>7446359.3750000009</v>
      </c>
      <c r="AL172" s="2716">
        <f>+'POWER DISTRIBUTION'!AP26</f>
        <v>6955442.6666666605</v>
      </c>
      <c r="AM172" s="781">
        <f>AC172+AG172+AK172</f>
        <v>22093593.750000004</v>
      </c>
      <c r="AN172" s="529">
        <f>AD172+AH172+AL172</f>
        <v>18504990.66666666</v>
      </c>
      <c r="AO172" s="782">
        <f t="shared" ref="AO172:AP172" si="95">AI172+AK172</f>
        <v>64252039.111067176</v>
      </c>
      <c r="AP172" s="782">
        <f t="shared" si="95"/>
        <v>60764223</v>
      </c>
      <c r="AQ172" s="2716">
        <f>+'POWER DISTRIBUTION'!AU26</f>
        <v>7446359.3750000009</v>
      </c>
      <c r="AR172" s="2716">
        <f>+'POWER DISTRIBUTION'!AV26</f>
        <v>7131146.0000000056</v>
      </c>
      <c r="AS172" s="782">
        <f>+AO172+AQ172</f>
        <v>71698398.486067176</v>
      </c>
      <c r="AT172" s="782">
        <f>+AP172+AR172</f>
        <v>67895369</v>
      </c>
      <c r="AU172" s="2716">
        <f>+'POWER DISTRIBUTION'!AY26</f>
        <v>6628078.1250000019</v>
      </c>
      <c r="AV172" s="2716">
        <f>+'POWER DISTRIBUTION'!AZ26</f>
        <v>6484069.0000000009</v>
      </c>
      <c r="AW172" s="782">
        <f>+AS172+AU172</f>
        <v>78326476.611067176</v>
      </c>
      <c r="AX172" s="782">
        <f>+AT172+AV172</f>
        <v>74379438</v>
      </c>
      <c r="AY172" s="2716">
        <f>+'POWER DISTRIBUTION'!BC26</f>
        <v>7446359.3750000009</v>
      </c>
      <c r="AZ172" s="2716">
        <f>+'POWER DISTRIBUTION'!BD26</f>
        <v>7313674.9999999972</v>
      </c>
      <c r="BA172" s="781">
        <f>AQ172+AU172+AY172</f>
        <v>21520796.875000004</v>
      </c>
      <c r="BB172" s="529">
        <f>AR172+AV172+AZ172</f>
        <v>20928890.000000004</v>
      </c>
      <c r="BC172" s="465">
        <f>AM172+BA172</f>
        <v>43614390.625000007</v>
      </c>
      <c r="BD172" s="465">
        <f>AN172+BB172</f>
        <v>39433880.666666664</v>
      </c>
      <c r="BE172" s="782">
        <f>+AW172+AY172</f>
        <v>85772835.986067176</v>
      </c>
      <c r="BF172" s="782">
        <f>+AX172+AZ172</f>
        <v>81693113</v>
      </c>
      <c r="BG172" s="26"/>
      <c r="BH172" s="26"/>
      <c r="BI172" s="26"/>
      <c r="BJ172" s="26"/>
      <c r="BK172" s="26"/>
      <c r="BL172" s="26"/>
      <c r="BM172" s="26"/>
      <c r="BN172" s="26"/>
    </row>
    <row r="173" spans="1:66" ht="14.45" x14ac:dyDescent="0.3">
      <c r="B173" s="9" t="s">
        <v>308</v>
      </c>
      <c r="C173" s="867"/>
      <c r="D173" s="2942" t="s">
        <v>2245</v>
      </c>
      <c r="E173" s="2936">
        <f>+E172/E154</f>
        <v>173.2266337234181</v>
      </c>
      <c r="F173" s="2936">
        <f t="shared" ref="F173:BF173" si="96">+F172/F154</f>
        <v>175.49088499639021</v>
      </c>
      <c r="G173" s="2936">
        <f t="shared" si="96"/>
        <v>173.2266337234181</v>
      </c>
      <c r="H173" s="2936">
        <f t="shared" si="96"/>
        <v>175.26925523849937</v>
      </c>
      <c r="I173" s="3202">
        <f>+I172/I154</f>
        <v>173.2266337234181</v>
      </c>
      <c r="J173" s="3202">
        <f>+J172/J154</f>
        <v>175.3762410633347</v>
      </c>
      <c r="K173" s="2936">
        <f t="shared" ref="K173:L173" si="97">+K172/K154</f>
        <v>173.2266337234181</v>
      </c>
      <c r="L173" s="2936">
        <f t="shared" si="97"/>
        <v>180.75415714689808</v>
      </c>
      <c r="M173" s="2936">
        <f t="shared" si="96"/>
        <v>173.2266337234181</v>
      </c>
      <c r="N173" s="2936">
        <f t="shared" si="96"/>
        <v>177.1763449579575</v>
      </c>
      <c r="O173" s="2936">
        <f t="shared" si="96"/>
        <v>173.2266337234181</v>
      </c>
      <c r="P173" s="2936">
        <f t="shared" si="96"/>
        <v>166.58317408486616</v>
      </c>
      <c r="Q173" s="2936">
        <f t="shared" si="96"/>
        <v>173.2266337234181</v>
      </c>
      <c r="R173" s="2936">
        <f t="shared" si="96"/>
        <v>174.08864177849486</v>
      </c>
      <c r="S173" s="2936">
        <f t="shared" ref="S173:T173" si="98">+S172/S154</f>
        <v>173.2266337234181</v>
      </c>
      <c r="T173" s="2936">
        <f t="shared" si="98"/>
        <v>179.77167788613517</v>
      </c>
      <c r="U173" s="2936">
        <f t="shared" si="96"/>
        <v>173.2266337234181</v>
      </c>
      <c r="V173" s="2936">
        <f t="shared" si="96"/>
        <v>175.18808274510369</v>
      </c>
      <c r="W173" s="2936">
        <f t="shared" si="96"/>
        <v>182.73063372341807</v>
      </c>
      <c r="X173" s="2936">
        <f t="shared" si="96"/>
        <v>175.16711517662628</v>
      </c>
      <c r="Y173" s="2936">
        <f t="shared" si="96"/>
        <v>175.32928859067474</v>
      </c>
      <c r="Z173" s="2936">
        <f t="shared" si="96"/>
        <v>173.38737966503157</v>
      </c>
      <c r="AA173" s="2936">
        <f t="shared" si="96"/>
        <v>174.20845190523627</v>
      </c>
      <c r="AB173" s="2936">
        <f t="shared" si="96"/>
        <v>175.18451847025295</v>
      </c>
      <c r="AC173" s="2936">
        <f t="shared" si="96"/>
        <v>163.65625000000003</v>
      </c>
      <c r="AD173" s="2936">
        <f t="shared" si="96"/>
        <v>180.39825320862209</v>
      </c>
      <c r="AE173" s="2936">
        <f t="shared" si="96"/>
        <v>172.53845125588583</v>
      </c>
      <c r="AF173" s="2936">
        <f t="shared" si="96"/>
        <v>188.78481958084905</v>
      </c>
      <c r="AG173" s="2936">
        <f t="shared" si="96"/>
        <v>163.65625000000003</v>
      </c>
      <c r="AH173" s="2936">
        <f t="shared" si="96"/>
        <v>195.35273309027266</v>
      </c>
      <c r="AI173" s="2936">
        <f t="shared" si="96"/>
        <v>171.35951654922226</v>
      </c>
      <c r="AJ173" s="2936">
        <f t="shared" si="96"/>
        <v>189.2463780033022</v>
      </c>
      <c r="AK173" s="2936">
        <f t="shared" si="96"/>
        <v>163.65625000000003</v>
      </c>
      <c r="AL173" s="2936">
        <f t="shared" si="96"/>
        <v>177.43430926621764</v>
      </c>
      <c r="AM173" s="2936">
        <f t="shared" si="96"/>
        <v>163.65625000000003</v>
      </c>
      <c r="AN173" s="2936">
        <f t="shared" si="96"/>
        <v>182.19632953387406</v>
      </c>
      <c r="AO173" s="2936">
        <f t="shared" si="96"/>
        <v>170.42981196569542</v>
      </c>
      <c r="AP173" s="2936">
        <f t="shared" si="96"/>
        <v>187.81519255638369</v>
      </c>
      <c r="AQ173" s="2936">
        <f t="shared" si="96"/>
        <v>163.65625000000003</v>
      </c>
      <c r="AR173" s="2936">
        <f t="shared" si="96"/>
        <v>176.96534592654282</v>
      </c>
      <c r="AS173" s="2936">
        <f t="shared" si="96"/>
        <v>169.70035144631285</v>
      </c>
      <c r="AT173" s="2936">
        <f t="shared" si="96"/>
        <v>186.61348836447382</v>
      </c>
      <c r="AU173" s="2936">
        <f t="shared" si="96"/>
        <v>163.65625000000006</v>
      </c>
      <c r="AV173" s="2936">
        <f t="shared" si="96"/>
        <v>188.84528627201999</v>
      </c>
      <c r="AW173" s="2936">
        <f t="shared" si="96"/>
        <v>169.1716557474453</v>
      </c>
      <c r="AX173" s="2936">
        <f t="shared" si="96"/>
        <v>186.80594555728379</v>
      </c>
      <c r="AY173" s="2936">
        <f t="shared" si="96"/>
        <v>163.65625000000003</v>
      </c>
      <c r="AZ173" s="2936">
        <f t="shared" si="96"/>
        <v>169.79897869989114</v>
      </c>
      <c r="BA173" s="2936">
        <f t="shared" si="96"/>
        <v>163.65625000000003</v>
      </c>
      <c r="BB173" s="2936">
        <f t="shared" si="96"/>
        <v>177.80837221947286</v>
      </c>
      <c r="BC173" s="2936">
        <f t="shared" si="96"/>
        <v>163.65625000000003</v>
      </c>
      <c r="BD173" s="2936">
        <f t="shared" si="96"/>
        <v>179.84087207292134</v>
      </c>
      <c r="BE173" s="2936">
        <f t="shared" si="96"/>
        <v>168.67814353208885</v>
      </c>
      <c r="BF173" s="2936">
        <f t="shared" si="96"/>
        <v>185.14576324718561</v>
      </c>
      <c r="BG173" s="26"/>
      <c r="BH173" s="26"/>
      <c r="BI173" s="26"/>
      <c r="BJ173" s="26"/>
      <c r="BK173" s="26"/>
      <c r="BL173" s="26"/>
      <c r="BM173" s="26"/>
      <c r="BN173" s="26"/>
    </row>
    <row r="174" spans="1:66" ht="15" customHeight="1" x14ac:dyDescent="0.25">
      <c r="B174" s="9" t="s">
        <v>309</v>
      </c>
      <c r="C174" s="867"/>
      <c r="D174" s="2942" t="s">
        <v>301</v>
      </c>
      <c r="E174" s="2933">
        <f>EMD!D35/(EMD!D3*24)</f>
        <v>1.2757452008111396</v>
      </c>
      <c r="F174" s="2933">
        <f>EMD!E35/(EMD!E3*24)</f>
        <v>1.7189975872297982</v>
      </c>
      <c r="G174" s="2933">
        <f>EMD!F35/(EMD!F3*24)</f>
        <v>1.9192660357190869</v>
      </c>
      <c r="H174" s="2933">
        <f>EMD!G35/(EMD!G3*24)</f>
        <v>1.4005629876394965</v>
      </c>
      <c r="I174" s="868">
        <f t="shared" ref="I174:J177" si="99">+((E174*E$2)+(G174*G$2))/I$2</f>
        <v>1.6027803792069815</v>
      </c>
      <c r="J174" s="107">
        <f t="shared" si="99"/>
        <v>1.5571701677658745</v>
      </c>
      <c r="K174" s="2933">
        <f>EMD!J35/(EMD!J3*24)</f>
        <v>1.9335513199793837</v>
      </c>
      <c r="L174" s="2933">
        <f>EMD!K35/(EMD!K3*24)</f>
        <v>1.3309293574714225</v>
      </c>
      <c r="M174" s="869">
        <f t="shared" ref="M174:N177" si="100">+((E174*E$2)+(G174*G$2)+(K174*K$2))/M$2</f>
        <v>1.7118257442967844</v>
      </c>
      <c r="N174" s="869">
        <f t="shared" si="100"/>
        <v>1.48258528525122</v>
      </c>
      <c r="O174" s="2933">
        <f>EMD!N35/(EMD!N3*24)</f>
        <v>1.9207397746704657</v>
      </c>
      <c r="P174" s="2933">
        <f>EMD!O35/(EMD!O3*24)</f>
        <v>1.2567683539183148</v>
      </c>
      <c r="Q174" s="868">
        <f t="shared" ref="Q174:R177" si="101">+((M174*M$2)+(O174*O$2))/Q$2</f>
        <v>1.7649104569327199</v>
      </c>
      <c r="R174" s="868">
        <f t="shared" si="101"/>
        <v>1.4252055731912194</v>
      </c>
      <c r="S174" s="2933">
        <f>EMD!R35/(EMD!R3*24)</f>
        <v>1.9207397746704657</v>
      </c>
      <c r="T174" s="2933">
        <f>EMD!S35/(EMD!S3*24)</f>
        <v>1.405185454312772</v>
      </c>
      <c r="U174" s="868">
        <f t="shared" ref="U174:U177" si="102">+((Q174*Q$2)+(S174*S$2))/U$2</f>
        <v>1.7964837173893873</v>
      </c>
      <c r="V174" s="868">
        <f t="shared" ref="V174:V177" si="103">+((R174*R$2)+(T174*T$2))/V$2</f>
        <v>1.4211492092354554</v>
      </c>
      <c r="W174" s="2933">
        <f>EMD!V35/(EMD!V3*24)</f>
        <v>1.4547986462537776</v>
      </c>
      <c r="X174" s="2933">
        <f>EMD!W35/(EMD!W3*24)</f>
        <v>1.1269722222222223</v>
      </c>
      <c r="Y174" s="869">
        <f t="shared" ref="Y174:Z177" si="104">+((O174*O$2)+(S174*S$2)+(W174*W$2))/Y$2</f>
        <v>1.7688024501867632</v>
      </c>
      <c r="Z174" s="869">
        <f t="shared" si="104"/>
        <v>1.2644536382807647</v>
      </c>
      <c r="AA174" s="493">
        <f t="shared" ref="AA174:AB177" si="105">+((M174*M$2)+(Y174*Y$2))/AA$2</f>
        <v>1.7404697713015824</v>
      </c>
      <c r="AB174" s="493">
        <f t="shared" si="105"/>
        <v>1.3729234736595157</v>
      </c>
      <c r="AC174" s="2933">
        <f>EMD!AB35/(EMD!AB3*24)</f>
        <v>1.7133014887068458</v>
      </c>
      <c r="AD174" s="2933">
        <f>EMD!AC35/(EMD!AC3*24)</f>
        <v>1.8153052440638444</v>
      </c>
      <c r="AE174" s="868">
        <f t="shared" ref="AE174:AE177" si="106">+((AA174*AA$2)+(AC174*AC$2))/AE$2</f>
        <v>1.7365341789630926</v>
      </c>
      <c r="AF174" s="868">
        <f t="shared" ref="AF174:AF177" si="107">+((AB174*AB$2)+(AD174*AD$2))/AF$2</f>
        <v>1.4370068142321053</v>
      </c>
      <c r="AG174" s="2933">
        <f>EMD!AF35/(EMD!AF3*24)</f>
        <v>1.7143906573882697</v>
      </c>
      <c r="AH174" s="2933">
        <f>EMD!AG35/(EMD!AG3*24)</f>
        <v>1.7159274167408449</v>
      </c>
      <c r="AI174" s="868">
        <f t="shared" ref="AI174:AI177" si="108">+((AE174*AE$2)+(AG174*AG$2))/AI$2</f>
        <v>1.7338116148350406</v>
      </c>
      <c r="AJ174" s="868">
        <f t="shared" ref="AJ174:AJ177" si="109">+((AF174*AF$2)+(AH174*AH$2))/AJ$2</f>
        <v>1.4713003309339996</v>
      </c>
      <c r="AK174" s="2933">
        <f>EMD!AJ35/(EMD!AJ3*24)</f>
        <v>1.7133014887068458</v>
      </c>
      <c r="AL174" s="2933">
        <f>EMD!AK35/(EMD!AK3*24)</f>
        <v>1.4570039749590724</v>
      </c>
      <c r="AM174" s="869">
        <f t="shared" ref="AM174:AM177" si="110">+((AC174*AC$2)+(AG174*AG$2)+(AK174*AK$2))/AM$2</f>
        <v>1.7136566524073102</v>
      </c>
      <c r="AN174" s="869">
        <f t="shared" ref="AN174:AN177" si="111">+((AD174*AD$2)+(AH174*AH$2)+(AL174*AL$2))/AN$2</f>
        <v>1.6621674814340845</v>
      </c>
      <c r="AO174" s="868">
        <f t="shared" ref="AO174:AP177" si="112">+((AK174*AK$2)+(AI174*AI$2))/AO$2</f>
        <v>1.7314995642533171</v>
      </c>
      <c r="AP174" s="868">
        <f t="shared" si="112"/>
        <v>1.469688741715008</v>
      </c>
      <c r="AQ174" s="2933">
        <f>EMD!AP35/(EMD!AP3*24)</f>
        <v>1.7133014887068458</v>
      </c>
      <c r="AR174" s="2933">
        <f>EMD!AQ35/(EMD!AQ3*24)</f>
        <v>1.1249193548387098</v>
      </c>
      <c r="AS174" s="868">
        <f t="shared" ref="AS174:AS177" si="113">+((AO174*AO$2)+(AQ174*AQ$2))/AS$2</f>
        <v>1.7296559683646222</v>
      </c>
      <c r="AT174" s="868">
        <f t="shared" ref="AT174:AT177" si="114">+((AP174*AP$2)+(AR174*AR$2))/AT$2</f>
        <v>1.4347611240902849</v>
      </c>
      <c r="AU174" s="2933">
        <f>EMD!AT35/(EMD!AT3*24)</f>
        <v>1.7015268009643851</v>
      </c>
      <c r="AV174" s="2933">
        <f>EMD!AU35/(EMD!AU3*24)</f>
        <v>1.4086205918757468</v>
      </c>
      <c r="AW174" s="868">
        <f t="shared" ref="AW174:AW177" si="115">+((AS174*AS$2)+(AU174*AU$2))/AW$2</f>
        <v>1.7272978345705901</v>
      </c>
      <c r="AX174" s="868">
        <f t="shared" ref="AX174:AX177" si="116">+((AT174*AT$2)+(AV174*AV$2))/AX$2</f>
        <v>1.4325697022279884</v>
      </c>
      <c r="AY174" s="2933">
        <f>EMD!AX35/(EMD!AX3*24)</f>
        <v>1.6540788928699905</v>
      </c>
      <c r="AZ174" s="2933">
        <f>EMD!AY35/(EMD!AY3*24)</f>
        <v>1.9064298786676024</v>
      </c>
      <c r="BA174" s="869">
        <f t="shared" ref="BA174:BA177" si="117">+((AQ174*AQ$2)+(AU174*AU$2)+(AY174*AY$2))/BA$2</f>
        <v>1.6892393583987191</v>
      </c>
      <c r="BB174" s="869">
        <f t="shared" ref="BB174:BB177" si="118">+((AR174*AR$2)+(AV174*AV$2)+(AZ174*AZ$2))/BB$2</f>
        <v>1.4823689201246288</v>
      </c>
      <c r="BC174" s="493">
        <f t="shared" ref="BC174:BD177" si="119">+((AM174*AM$2)+(BA174*BA$2))/BC$2</f>
        <v>0.84846014870508824</v>
      </c>
      <c r="BD174" s="493">
        <f t="shared" si="119"/>
        <v>0.7844729071319243</v>
      </c>
      <c r="BE174" s="868">
        <f t="shared" ref="BE174:BE177" si="120">+((AW174*AW$2)+(AY174*AY$2))/BE$2</f>
        <v>1.721079239522046</v>
      </c>
      <c r="BF174" s="868">
        <f t="shared" ref="BF174:BF177" si="121">+((AX174*AX$2)+(AZ174*AZ$2))/BF$2</f>
        <v>1.472815361048887</v>
      </c>
      <c r="BG174" s="26"/>
      <c r="BH174" s="26"/>
      <c r="BI174" s="26"/>
      <c r="BJ174" s="26"/>
      <c r="BK174" s="26"/>
      <c r="BL174" s="26"/>
      <c r="BM174" s="26"/>
      <c r="BN174" s="26"/>
    </row>
    <row r="175" spans="1:66" x14ac:dyDescent="0.25">
      <c r="B175" s="9" t="s">
        <v>310</v>
      </c>
      <c r="C175" s="867"/>
      <c r="D175" s="2942" t="s">
        <v>301</v>
      </c>
      <c r="E175" s="2934">
        <f>+EMD!D65/(EMD!D3*24)</f>
        <v>2.5369070631268515</v>
      </c>
      <c r="F175" s="2934">
        <f>+EMD!E65/(EMD!E3*24)</f>
        <v>2.8579587439569933</v>
      </c>
      <c r="G175" s="2934">
        <f>+EMD!F65/(EMD!F3*24)</f>
        <v>3.5003978181423614</v>
      </c>
      <c r="H175" s="2934">
        <f>+EMD!G65/(EMD!G3*24)</f>
        <v>2.7043918087332703</v>
      </c>
      <c r="I175" s="794">
        <f t="shared" si="99"/>
        <v>3.0265499058396514</v>
      </c>
      <c r="J175" s="2945">
        <f t="shared" si="99"/>
        <v>2.7799165309744458</v>
      </c>
      <c r="K175" s="2934">
        <f>+EMD!J65/(EMD!J3*24)</f>
        <v>3.479479735798662</v>
      </c>
      <c r="L175" s="2934">
        <f>+EMD!K65/(EMD!K3*24)</f>
        <v>2.6376570524887413</v>
      </c>
      <c r="M175" s="869">
        <f t="shared" si="100"/>
        <v>3.1758674321997646</v>
      </c>
      <c r="N175" s="869">
        <f t="shared" si="100"/>
        <v>2.7330178018033342</v>
      </c>
      <c r="O175" s="2934">
        <f>+EMD!N65/(EMD!N3*24)</f>
        <v>3.4992227469083605</v>
      </c>
      <c r="P175" s="2934">
        <f>+EMD!O65/(EMD!O3*24)</f>
        <v>3.1067939169250067</v>
      </c>
      <c r="Q175" s="868">
        <f t="shared" si="101"/>
        <v>3.258031487576539</v>
      </c>
      <c r="R175" s="868">
        <f t="shared" si="101"/>
        <v>2.8279936999080215</v>
      </c>
      <c r="S175" s="2934">
        <f>+EMD!R65/(EMD!R3*24)</f>
        <v>3.4992227469083605</v>
      </c>
      <c r="T175" s="2934">
        <f>+EMD!S65/(EMD!S3*24)</f>
        <v>2.6059588568210632</v>
      </c>
      <c r="U175" s="868">
        <f t="shared" si="102"/>
        <v>3.3069003048267778</v>
      </c>
      <c r="V175" s="868">
        <f t="shared" si="103"/>
        <v>2.7830062480407292</v>
      </c>
      <c r="W175" s="2934">
        <f>+EMD!V65/(EMD!V3*24)</f>
        <v>2.182304680369167</v>
      </c>
      <c r="X175" s="2934">
        <f>+EMD!W65/(EMD!W3*24)</f>
        <v>2.6039861111111109</v>
      </c>
      <c r="Y175" s="869">
        <f t="shared" si="104"/>
        <v>3.0697929426021018</v>
      </c>
      <c r="Z175" s="869">
        <f t="shared" si="104"/>
        <v>2.7740752099941468</v>
      </c>
      <c r="AA175" s="493">
        <f t="shared" si="105"/>
        <v>3.1225403663911031</v>
      </c>
      <c r="AB175" s="493">
        <f t="shared" si="105"/>
        <v>2.7536586846096442</v>
      </c>
      <c r="AC175" s="2934">
        <f>+EMD!AB65/(EMD!AB3*24)</f>
        <v>4.9288408410064264</v>
      </c>
      <c r="AD175" s="2934">
        <f>+EMD!AC65/(EMD!AC3*24)</f>
        <v>3.2510078488659868</v>
      </c>
      <c r="AE175" s="868">
        <f t="shared" si="106"/>
        <v>3.3842007155176224</v>
      </c>
      <c r="AF175" s="868">
        <f t="shared" si="107"/>
        <v>2.8257045915813577</v>
      </c>
      <c r="AG175" s="2934">
        <f>+EMD!AF65/(EMD!AF3*24)</f>
        <v>4.923987010288938</v>
      </c>
      <c r="AH175" s="2934">
        <f>+EMD!AG65/(EMD!AG3*24)</f>
        <v>0.17953476730427537</v>
      </c>
      <c r="AI175" s="868">
        <f t="shared" si="108"/>
        <v>3.5735187025796695</v>
      </c>
      <c r="AJ175" s="868">
        <f t="shared" si="109"/>
        <v>2.5003558426948311</v>
      </c>
      <c r="AK175" s="2934">
        <f>+EMD!AJ65/(EMD!AJ3*24)</f>
        <v>4.9288408410064264</v>
      </c>
      <c r="AL175" s="2934">
        <f>+EMD!AK65/(EMD!AK3*24)</f>
        <v>3.2671266458293875</v>
      </c>
      <c r="AM175" s="869">
        <f t="shared" si="110"/>
        <v>4.9272580701202884</v>
      </c>
      <c r="AN175" s="869">
        <f t="shared" si="111"/>
        <v>2.2548718734204876</v>
      </c>
      <c r="AO175" s="868">
        <f t="shared" si="112"/>
        <v>3.7263004709114127</v>
      </c>
      <c r="AP175" s="868">
        <f t="shared" si="112"/>
        <v>2.5867918241390901</v>
      </c>
      <c r="AQ175" s="2934">
        <f>+EMD!AP65/(EMD!AP3*24)</f>
        <v>4.9288408410064264</v>
      </c>
      <c r="AR175" s="2934">
        <f>+EMD!AQ65/(EMD!AQ3*24)</f>
        <v>3.354005376344086</v>
      </c>
      <c r="AS175" s="868">
        <f t="shared" si="113"/>
        <v>3.8481264561171167</v>
      </c>
      <c r="AT175" s="868">
        <f t="shared" si="114"/>
        <v>2.664516072891884</v>
      </c>
      <c r="AU175" s="2933">
        <f>+EMD!AT65/(EMD!AT3*24)</f>
        <v>4.8503202328845321</v>
      </c>
      <c r="AV175" s="2933">
        <f>+EMD!AU65/(EMD!AU3*24)</f>
        <v>3.3426503126887104</v>
      </c>
      <c r="AW175" s="868">
        <f t="shared" si="115"/>
        <v>3.9321427008760619</v>
      </c>
      <c r="AX175" s="868">
        <f t="shared" si="116"/>
        <v>2.7213656498808394</v>
      </c>
      <c r="AY175" s="2933">
        <f>+EMD!AX65/(EMD!AX3*24)</f>
        <v>4.9602404616923996</v>
      </c>
      <c r="AZ175" s="2933">
        <f>+EMD!AY65/(EMD!AY3*24)</f>
        <v>3.9783913040750165</v>
      </c>
      <c r="BA175" s="869">
        <f t="shared" si="117"/>
        <v>4.9152276322714501</v>
      </c>
      <c r="BB175" s="869">
        <f t="shared" si="118"/>
        <v>3.565538953869734</v>
      </c>
      <c r="BC175" s="493">
        <f t="shared" si="119"/>
        <v>2.453912957138348</v>
      </c>
      <c r="BD175" s="493">
        <f t="shared" si="119"/>
        <v>1.4475252553505777</v>
      </c>
      <c r="BE175" s="868">
        <f t="shared" si="120"/>
        <v>4.0194605928906002</v>
      </c>
      <c r="BF175" s="868">
        <f t="shared" si="121"/>
        <v>2.8281267328397965</v>
      </c>
      <c r="BG175" s="26"/>
      <c r="BH175" s="26"/>
      <c r="BI175" s="26"/>
      <c r="BJ175" s="26"/>
      <c r="BK175" s="26"/>
      <c r="BL175" s="26"/>
      <c r="BM175" s="26"/>
      <c r="BN175" s="26"/>
    </row>
    <row r="176" spans="1:66" x14ac:dyDescent="0.25">
      <c r="B176" s="9" t="s">
        <v>2098</v>
      </c>
      <c r="C176" s="867"/>
      <c r="D176" s="2942" t="s">
        <v>301</v>
      </c>
      <c r="E176" s="2934">
        <f>+EMD!D91/(EMD!D3*24)</f>
        <v>2.0930194700807765</v>
      </c>
      <c r="F176" s="2934">
        <f>+EMD!E91/(EMD!E3*24)</f>
        <v>1.9470027966705756</v>
      </c>
      <c r="G176" s="2934">
        <f>+EMD!F91/(EMD!F3*24)</f>
        <v>0.59358743372755263</v>
      </c>
      <c r="H176" s="2934">
        <f>+EMD!G91/(EMD!G3*24)</f>
        <v>2.6168685584345672</v>
      </c>
      <c r="I176" s="794">
        <f t="shared" ref="I176" si="122">+((E176*E$2)+(G176*G$2))/I$2</f>
        <v>1.331013025376679</v>
      </c>
      <c r="J176" s="2945">
        <f t="shared" ref="J176" si="123">+((F176*F$2)+(H176*H$2))/J$2</f>
        <v>2.2874263805178505</v>
      </c>
      <c r="K176" s="2934">
        <f>+EMD!J91/(EMD!J3*24)</f>
        <v>0.59800556288022189</v>
      </c>
      <c r="L176" s="2934">
        <f>+EMD!K91/(EMD!K3*24)</f>
        <v>2.4254374067712718</v>
      </c>
      <c r="M176" s="869">
        <f t="shared" ref="M176" si="124">+((E176*E$2)+(G176*G$2)+(K176*K$2))/M$2</f>
        <v>1.0893622135646603</v>
      </c>
      <c r="N176" s="869">
        <f t="shared" ref="N176" si="125">+((F176*F$2)+(H176*H$2)+(L176*L$2))/N$2</f>
        <v>2.3329245210409564</v>
      </c>
      <c r="O176" s="2934">
        <f>+EMD!N91/(EMD!N3*24)</f>
        <v>0.59404322927952558</v>
      </c>
      <c r="P176" s="2934">
        <f>+EMD!O91/(EMD!O3*24)</f>
        <v>2.323436725450891</v>
      </c>
      <c r="Q176" s="868">
        <f t="shared" ref="Q176" si="126">+((M176*M$2)+(O176*O$2))/Q$2</f>
        <v>0.96350247165614245</v>
      </c>
      <c r="R176" s="868">
        <f t="shared" ref="R176" si="127">+((N176*N$2)+(P176*P$2))/R$2</f>
        <v>2.3305136877352841</v>
      </c>
      <c r="S176" s="2934">
        <f>+EMD!R91/(EMD!R3*24)</f>
        <v>0.59404322927952558</v>
      </c>
      <c r="T176" s="2934">
        <f>+EMD!S91/(EMD!S3*24)</f>
        <v>2.1189367707552327</v>
      </c>
      <c r="U176" s="868">
        <f t="shared" ref="U176" si="128">+((Q176*Q$2)+(S176*S$2))/U$2</f>
        <v>0.88864471666480171</v>
      </c>
      <c r="V176" s="868">
        <f t="shared" ref="V176" si="129">+((R176*R$2)+(T176*T$2))/V$2</f>
        <v>2.2876451620726597</v>
      </c>
      <c r="W176" s="2934">
        <f>+EMD!V91/(EMD!V3*24)</f>
        <v>0</v>
      </c>
      <c r="X176" s="2934">
        <f>+EMD!W91/(EMD!W3*24)</f>
        <v>2.8788888888888891</v>
      </c>
      <c r="Y176" s="869">
        <f t="shared" ref="Y176" si="130">+((O176*O$2)+(S176*S$2)+(W176*W$2))/Y$2</f>
        <v>0.40033348060141943</v>
      </c>
      <c r="Z176" s="869">
        <f t="shared" ref="Z176" si="131">+((P176*P$2)+(T176*T$2)+(X176*X$2))/Z$2</f>
        <v>2.4356548374897447</v>
      </c>
      <c r="AA176" s="493">
        <f t="shared" ref="AA176" si="132">+((M176*M$2)+(Y176*Y$2))/AA$2</f>
        <v>0.74296525491647358</v>
      </c>
      <c r="AB176" s="493">
        <f t="shared" ref="AB176" si="133">+((N176*N$2)+(Z176*Z$2))/AB$2</f>
        <v>2.3845703631900741</v>
      </c>
      <c r="AC176" s="2934">
        <f>+EMD!AB91/(EMD!AB3*24)</f>
        <v>0</v>
      </c>
      <c r="AD176" s="2934">
        <f>+EMD!AC91/(EMD!AC3*24)</f>
        <v>1.9850359595859424</v>
      </c>
      <c r="AE176" s="868">
        <f t="shared" ref="AE176" si="134">+((AA176*AA$2)+(AC176*AC$2))/AE$2</f>
        <v>0.63533944696128353</v>
      </c>
      <c r="AF176" s="868">
        <f t="shared" ref="AF176" si="135">+((AB176*AB$2)+(AD176*AD$2))/AF$2</f>
        <v>2.3266938841633076</v>
      </c>
      <c r="AG176" s="2934">
        <f>+EMD!AF91/(EMD!AF3*24)</f>
        <v>0</v>
      </c>
      <c r="AH176" s="2934">
        <f>+EMD!AG91/(EMD!AG3*24)</f>
        <v>0.10842859049519199</v>
      </c>
      <c r="AI176" s="868">
        <f t="shared" ref="AI176" si="136">+((AE176*AE$2)+(AG176*AG$2))/AI$2</f>
        <v>0.55722394118735519</v>
      </c>
      <c r="AJ176" s="868">
        <f t="shared" ref="AJ176" si="137">+((AF176*AF$2)+(AH176*AH$2))/AJ$2</f>
        <v>2.0539563480565719</v>
      </c>
      <c r="AK176" s="2934">
        <f>+EMD!AJ91/(EMD!AJ3*24)</f>
        <v>0</v>
      </c>
      <c r="AL176" s="2934">
        <f>+EMD!AK91/(EMD!AK3*24)</f>
        <v>0.86059399234798206</v>
      </c>
      <c r="AM176" s="869">
        <f t="shared" ref="AM176" si="138">+((AC176*AC$2)+(AG176*AG$2)+(AK176*AK$2))/AM$2</f>
        <v>0</v>
      </c>
      <c r="AN176" s="869">
        <f t="shared" ref="AN176" si="139">+((AD176*AD$2)+(AH176*AH$2)+(AL176*AL$2))/AN$2</f>
        <v>0.9942107198348632</v>
      </c>
      <c r="AO176" s="868">
        <f t="shared" ref="AO176" si="140">+((AK176*AK$2)+(AI176*AI$2))/AO$2</f>
        <v>0.49440960599896244</v>
      </c>
      <c r="AP176" s="868">
        <f t="shared" ref="AP176" si="141">+((AL176*AL$2)+(AJ176*AJ$2))/AP$2</f>
        <v>1.9194318643221489</v>
      </c>
      <c r="AQ176" s="2934">
        <f>+EMD!AP91/(EMD!AP3*24)</f>
        <v>0</v>
      </c>
      <c r="AR176" s="2934">
        <f>+EMD!AQ91/(EMD!AQ3*24)</f>
        <v>1.8096774193548388</v>
      </c>
      <c r="AS176" s="868">
        <f t="shared" ref="AS176" si="142">+((AO176*AO$2)+(AQ176*AQ$2))/AS$2</f>
        <v>0.44432235833240086</v>
      </c>
      <c r="AT176" s="868">
        <f t="shared" ref="AT176" si="143">+((AP176*AP$2)+(AR176*AR$2))/AT$2</f>
        <v>1.9083129499627154</v>
      </c>
      <c r="AU176" s="2933">
        <f>+EMD!AT91/(EMD!AT3*24)</f>
        <v>0</v>
      </c>
      <c r="AV176" s="2933">
        <f>+EMD!AU91/(EMD!AU3*24)</f>
        <v>2.2452563625692821</v>
      </c>
      <c r="AW176" s="868">
        <f t="shared" si="115"/>
        <v>0.4070737773943553</v>
      </c>
      <c r="AX176" s="868">
        <f t="shared" si="116"/>
        <v>1.9365597031153619</v>
      </c>
      <c r="AY176" s="2933">
        <f>+EMD!AX91/(EMD!AX3*24)</f>
        <v>0</v>
      </c>
      <c r="AZ176" s="2933">
        <f>+EMD!AY91/(EMD!AY3*24)</f>
        <v>1.9286132556154405</v>
      </c>
      <c r="BA176" s="869">
        <f>+EMD!AZ91/(EMD!AZ3*24)</f>
        <v>0</v>
      </c>
      <c r="BB176" s="869">
        <f>+EMD!BA91/(EMD!BA3*24)</f>
        <v>1.9861576564002061</v>
      </c>
      <c r="BC176" s="493">
        <f>+EMD!BB91/(EMD!BB3*24)</f>
        <v>0</v>
      </c>
      <c r="BD176" s="493">
        <f>+EMD!BC91/(EMD!BC3*24)</f>
        <v>1.4847339302243185</v>
      </c>
      <c r="BE176" s="868">
        <f>+EMD!BD91/(EMD!BD3*24)</f>
        <v>0</v>
      </c>
      <c r="BF176" s="868">
        <f>+EMD!BE91/(EMD!BE3*24)</f>
        <v>1.9358847993550945</v>
      </c>
      <c r="BG176" s="26"/>
      <c r="BH176" s="26"/>
      <c r="BI176" s="26"/>
      <c r="BJ176" s="26"/>
      <c r="BK176" s="26"/>
      <c r="BL176" s="26"/>
      <c r="BM176" s="26"/>
      <c r="BN176" s="26"/>
    </row>
    <row r="177" spans="2:66" x14ac:dyDescent="0.25">
      <c r="B177" s="9" t="s">
        <v>623</v>
      </c>
      <c r="C177" s="867"/>
      <c r="D177" s="2942" t="s">
        <v>301</v>
      </c>
      <c r="E177" s="2934">
        <f>+EMD!D104/(EMD!D3*24)</f>
        <v>0.77671820308815032</v>
      </c>
      <c r="F177" s="2934">
        <f>+EMD!E104/(EMD!E3*24)</f>
        <v>0.72887849082236555</v>
      </c>
      <c r="G177" s="2934">
        <f>+EMD!F104/(EMD!F3*24)</f>
        <v>0.68181870632457209</v>
      </c>
      <c r="H177" s="2934">
        <f>+EMD!G104/(EMD!G3*24)</f>
        <v>0.82305615540625088</v>
      </c>
      <c r="I177" s="794">
        <f t="shared" si="99"/>
        <v>0.72849058997879079</v>
      </c>
      <c r="J177" s="2945">
        <f t="shared" si="99"/>
        <v>0.7767392711846679</v>
      </c>
      <c r="K177" s="2934">
        <f>+EMD!J104/(EMD!J3*24)</f>
        <v>0.67135331844865054</v>
      </c>
      <c r="L177" s="2934">
        <f>+EMD!K104/(EMD!K3*24)</f>
        <v>0.85493005304187475</v>
      </c>
      <c r="M177" s="869">
        <f t="shared" si="100"/>
        <v>0.70965412683698625</v>
      </c>
      <c r="N177" s="869">
        <f t="shared" si="100"/>
        <v>0.80251645201671418</v>
      </c>
      <c r="O177" s="2934">
        <f>+EMD!N104/(EMD!N3*24)</f>
        <v>0.68106424305522151</v>
      </c>
      <c r="P177" s="2934">
        <f>+EMD!O104/(EMD!O3*24)</f>
        <v>0.97368846012228227</v>
      </c>
      <c r="Q177" s="868">
        <f t="shared" si="101"/>
        <v>0.70238948423670178</v>
      </c>
      <c r="R177" s="868">
        <f t="shared" si="101"/>
        <v>0.84601097866648967</v>
      </c>
      <c r="S177" s="2934">
        <f>+EMD!R104/(EMD!R3*24)</f>
        <v>0.68106424305522151</v>
      </c>
      <c r="T177" s="2934">
        <f>+EMD!S104/(EMD!S3*24)</f>
        <v>0.80047997584738484</v>
      </c>
      <c r="U177" s="868">
        <f t="shared" si="102"/>
        <v>0.69806868373587894</v>
      </c>
      <c r="V177" s="868">
        <f t="shared" si="103"/>
        <v>0.83678574280118079</v>
      </c>
      <c r="W177" s="2934">
        <f>+EMD!V104/(EMD!V3*24)</f>
        <v>0.29371428343994865</v>
      </c>
      <c r="X177" s="2934">
        <f>+EMD!W104/(EMD!W3*24)</f>
        <v>0.91180277777777785</v>
      </c>
      <c r="Y177" s="869">
        <f t="shared" si="104"/>
        <v>0.5547544736154586</v>
      </c>
      <c r="Z177" s="869">
        <f t="shared" si="104"/>
        <v>0.89514461791731537</v>
      </c>
      <c r="AA177" s="493">
        <f t="shared" si="105"/>
        <v>0.63178107712998877</v>
      </c>
      <c r="AB177" s="493">
        <f t="shared" si="105"/>
        <v>0.84908361738750815</v>
      </c>
      <c r="AC177" s="2934">
        <f>+EMD!AB104/(EMD!AB3*24)</f>
        <v>0.84633693295953794</v>
      </c>
      <c r="AD177" s="2934">
        <f>+EMD!AC104/(EMD!AC3*24)</f>
        <v>0.77610504898599497</v>
      </c>
      <c r="AE177" s="794">
        <f t="shared" si="106"/>
        <v>0.66286159830155889</v>
      </c>
      <c r="AF177" s="868">
        <f t="shared" si="107"/>
        <v>0.83851195560971892</v>
      </c>
      <c r="AG177" s="2934">
        <f>+EMD!AF104/(EMD!AF3*24)</f>
        <v>0.84461552960170216</v>
      </c>
      <c r="AH177" s="2934">
        <f>+EMD!AG104/(EMD!AG3*24)</f>
        <v>0.37507023947061896</v>
      </c>
      <c r="AI177" s="794">
        <f t="shared" si="108"/>
        <v>0.68520839313354376</v>
      </c>
      <c r="AJ177" s="868">
        <f t="shared" si="109"/>
        <v>0.78153141674015747</v>
      </c>
      <c r="AK177" s="2934">
        <f>+EMD!AJ104/(EMD!AJ3*24)</f>
        <v>0.84633693295953794</v>
      </c>
      <c r="AL177" s="2934">
        <f>+EMD!AK104/(EMD!AK3*24)</f>
        <v>0.74012228729899621</v>
      </c>
      <c r="AM177" s="869">
        <f t="shared" si="110"/>
        <v>0.845775605777635</v>
      </c>
      <c r="AN177" s="869">
        <f t="shared" si="111"/>
        <v>0.63320820227123154</v>
      </c>
      <c r="AO177" s="868">
        <f t="shared" si="112"/>
        <v>0.70337197398665585</v>
      </c>
      <c r="AP177" s="868">
        <f t="shared" si="112"/>
        <v>0.77686347851224469</v>
      </c>
      <c r="AQ177" s="2934">
        <f>+EMD!AP104/(EMD!AP3*24)</f>
        <v>0.84633693295953794</v>
      </c>
      <c r="AR177" s="2934">
        <f>+EMD!AQ104/(EMD!AQ3*24)</f>
        <v>0.89453494623655916</v>
      </c>
      <c r="AS177" s="868">
        <f t="shared" si="113"/>
        <v>0.71785535218325502</v>
      </c>
      <c r="AT177" s="868">
        <f t="shared" si="114"/>
        <v>0.78878444419673399</v>
      </c>
      <c r="AU177" s="2933">
        <f>+EMD!AT104/(EMD!AT3*24)</f>
        <v>0.82789057548052813</v>
      </c>
      <c r="AV177" s="2933">
        <f>+EMD!AU104/(EMD!AU3*24)</f>
        <v>0.86446101871579173</v>
      </c>
      <c r="AW177" s="868">
        <f t="shared" si="115"/>
        <v>0.72707986192075091</v>
      </c>
      <c r="AX177" s="868">
        <f t="shared" si="116"/>
        <v>0.79512858816839149</v>
      </c>
      <c r="AY177" s="2933">
        <f>+EMD!AX104/(EMD!AX3*24)</f>
        <v>0.8741599081104211</v>
      </c>
      <c r="AZ177" s="2933">
        <f>+EMD!AY104/(EMD!AY3*24)</f>
        <v>0.93345893818654824</v>
      </c>
      <c r="BA177" s="869">
        <f t="shared" si="117"/>
        <v>0.85018153540692798</v>
      </c>
      <c r="BB177" s="869">
        <f t="shared" si="118"/>
        <v>0.89858576601287221</v>
      </c>
      <c r="BC177" s="493">
        <f t="shared" si="119"/>
        <v>0.42281559977579714</v>
      </c>
      <c r="BD177" s="493">
        <f t="shared" si="119"/>
        <v>0.38117225630167623</v>
      </c>
      <c r="BE177" s="868">
        <f t="shared" si="120"/>
        <v>0.73957159187110655</v>
      </c>
      <c r="BF177" s="868">
        <f t="shared" si="121"/>
        <v>0.80687719323842677</v>
      </c>
      <c r="BG177" s="26"/>
      <c r="BH177" s="26"/>
      <c r="BI177" s="26"/>
      <c r="BJ177" s="26"/>
      <c r="BK177" s="26"/>
      <c r="BL177" s="26"/>
      <c r="BM177" s="26"/>
      <c r="BN177" s="26"/>
    </row>
    <row r="178" spans="2:66" thickBot="1" x14ac:dyDescent="0.35">
      <c r="B178" s="12" t="s">
        <v>312</v>
      </c>
      <c r="C178" s="873"/>
      <c r="D178" s="749" t="s">
        <v>551</v>
      </c>
      <c r="E178" s="2935">
        <f>+E154/E169</f>
        <v>79.365079365079367</v>
      </c>
      <c r="F178" s="2935">
        <f t="shared" ref="F178:AB178" si="144">+F154/F169</f>
        <v>78.359722765239042</v>
      </c>
      <c r="G178" s="2935">
        <f>+G154/G169</f>
        <v>79.51567723863738</v>
      </c>
      <c r="H178" s="2935">
        <f t="shared" ref="H178" si="145">+H154/H169</f>
        <v>73.849984370115649</v>
      </c>
      <c r="I178" s="2946">
        <f t="shared" si="144"/>
        <v>79.441612710658035</v>
      </c>
      <c r="J178" s="164">
        <f t="shared" si="144"/>
        <v>75.960279417879377</v>
      </c>
      <c r="K178" s="2935">
        <f>+K154/K169</f>
        <v>79.365079365079367</v>
      </c>
      <c r="L178" s="2935">
        <f t="shared" ref="L178" si="146">+L154/L169</f>
        <v>72.755912991166142</v>
      </c>
      <c r="M178" s="872">
        <f>+M154/M169</f>
        <v>79.416381937390341</v>
      </c>
      <c r="N178" s="377">
        <f>+N154/N169</f>
        <v>74.856738779604783</v>
      </c>
      <c r="O178" s="2935">
        <f>+O154/O169</f>
        <v>79.51567723863738</v>
      </c>
      <c r="P178" s="2935">
        <f t="shared" ref="P178" si="147">+P154/P169</f>
        <v>81.742489146165013</v>
      </c>
      <c r="Q178" s="794">
        <f t="shared" si="144"/>
        <v>79.441612710658035</v>
      </c>
      <c r="R178" s="375">
        <f t="shared" si="144"/>
        <v>76.7409970061303</v>
      </c>
      <c r="S178" s="2935">
        <f>+S154/S169</f>
        <v>79.51567723863738</v>
      </c>
      <c r="T178" s="2935">
        <f t="shared" ref="T178" si="148">+T154/T169</f>
        <v>74.225831177541451</v>
      </c>
      <c r="U178" s="794">
        <f t="shared" ref="U178:V178" si="149">+U154/U169</f>
        <v>79.456619249006806</v>
      </c>
      <c r="V178" s="375">
        <f t="shared" si="149"/>
        <v>76.241200997658154</v>
      </c>
      <c r="W178" s="2935">
        <f>+W154/W169</f>
        <v>72.150072150072148</v>
      </c>
      <c r="X178" s="2935">
        <f t="shared" ref="X178" si="150">+X154/X169</f>
        <v>74.178997829233012</v>
      </c>
      <c r="Y178" s="872">
        <f t="shared" si="144"/>
        <v>77.759427470410131</v>
      </c>
      <c r="Z178" s="377">
        <f t="shared" si="144"/>
        <v>76.832614688626606</v>
      </c>
      <c r="AA178" s="795">
        <f t="shared" si="144"/>
        <v>78.63397832691588</v>
      </c>
      <c r="AB178" s="493">
        <f t="shared" si="144"/>
        <v>75.882596454804272</v>
      </c>
      <c r="AC178" s="2935">
        <f>+AC154/AC169</f>
        <v>79.737829028074728</v>
      </c>
      <c r="AD178" s="2935">
        <f t="shared" ref="AD178" si="151">+AD154/AD169</f>
        <v>76.106108035313511</v>
      </c>
      <c r="AE178" s="794">
        <f t="shared" ref="AE178:AF178" si="152">+AE154/AE169</f>
        <v>78.80663455924477</v>
      </c>
      <c r="AF178" s="375">
        <f t="shared" si="152"/>
        <v>70.760164531210975</v>
      </c>
      <c r="AG178" s="2935">
        <f>+AG154/AG169</f>
        <v>79.997091014872183</v>
      </c>
      <c r="AH178" s="2935">
        <f t="shared" ref="AH178:AJ178" si="153">+AH154/AH169</f>
        <v>75.501039108256222</v>
      </c>
      <c r="AI178" s="794">
        <f t="shared" si="153"/>
        <v>78.962600549284332</v>
      </c>
      <c r="AJ178" s="375">
        <f t="shared" si="153"/>
        <v>71.073792135182543</v>
      </c>
      <c r="AK178" s="2935">
        <f>+AK154/AK169</f>
        <v>79.737829028074728</v>
      </c>
      <c r="AL178" s="2935">
        <f t="shared" ref="AL178" si="154">+AL154/AL169</f>
        <v>76.133946201404896</v>
      </c>
      <c r="AM178" s="872">
        <f t="shared" ref="AM178:AP178" si="155">+AM154/AM169</f>
        <v>79.822144436692184</v>
      </c>
      <c r="AN178" s="377">
        <f t="shared" si="155"/>
        <v>75.997014478656169</v>
      </c>
      <c r="AO178" s="794">
        <f t="shared" si="155"/>
        <v>79.055361819825066</v>
      </c>
      <c r="AP178" s="375">
        <f t="shared" si="155"/>
        <v>71.65079284227312</v>
      </c>
      <c r="AQ178" s="2935">
        <f>+AQ154/AQ169</f>
        <v>79.737829028074728</v>
      </c>
      <c r="AR178" s="2935">
        <f t="shared" ref="AR178" si="156">+AR154/AR169</f>
        <v>76.098797683494894</v>
      </c>
      <c r="AS178" s="794">
        <f t="shared" ref="AS178:AT178" si="157">+AS154/AS169</f>
        <v>79.128296466102185</v>
      </c>
      <c r="AT178" s="375">
        <f t="shared" si="157"/>
        <v>72.117670534133268</v>
      </c>
      <c r="AU178" s="2935">
        <f>+AU154/AU169</f>
        <v>79.595927833025428</v>
      </c>
      <c r="AV178" s="2935">
        <f t="shared" ref="AV178:AX178" si="158">+AV154/AV169</f>
        <v>69.371350641478941</v>
      </c>
      <c r="AW178" s="794">
        <f t="shared" si="158"/>
        <v>79.168982174154664</v>
      </c>
      <c r="AX178" s="375">
        <f t="shared" si="158"/>
        <v>71.872305975155925</v>
      </c>
      <c r="AY178" s="2935">
        <f>+AY154/AY169</f>
        <v>79.737829028074728</v>
      </c>
      <c r="AZ178" s="2935">
        <f t="shared" ref="AZ178" si="159">+AZ154/AZ169</f>
        <v>77.629179057402936</v>
      </c>
      <c r="BA178" s="872">
        <f t="shared" ref="BA178:BF178" si="160">+BA154/BA169</f>
        <v>79.694071730724943</v>
      </c>
      <c r="BB178" s="377">
        <f t="shared" si="160"/>
        <v>74.528123680878039</v>
      </c>
      <c r="BC178" s="795">
        <f t="shared" si="160"/>
        <v>79.758897681155958</v>
      </c>
      <c r="BD178" s="493">
        <f t="shared" si="160"/>
        <v>75.201390135298155</v>
      </c>
      <c r="BE178" s="794">
        <f t="shared" si="160"/>
        <v>79.219551104789474</v>
      </c>
      <c r="BF178" s="375">
        <f t="shared" si="160"/>
        <v>72.396397982957993</v>
      </c>
      <c r="BG178" s="26"/>
      <c r="BH178" s="26"/>
      <c r="BI178" s="26"/>
      <c r="BJ178" s="26"/>
      <c r="BK178" s="26"/>
      <c r="BL178" s="26"/>
      <c r="BM178" s="26"/>
      <c r="BN178" s="26"/>
    </row>
    <row r="179" spans="2:66" thickBot="1" x14ac:dyDescent="0.35">
      <c r="B179" s="1050"/>
      <c r="C179" s="1051"/>
      <c r="D179" s="1051"/>
      <c r="E179" s="1051"/>
      <c r="F179" s="1051"/>
      <c r="G179" s="1051"/>
      <c r="H179" s="1051"/>
      <c r="I179" s="1051"/>
      <c r="J179" s="1051"/>
      <c r="K179" s="1051"/>
      <c r="L179" s="1051"/>
      <c r="M179" s="1051"/>
      <c r="N179" s="1051"/>
      <c r="O179" s="1051"/>
      <c r="P179" s="1051"/>
      <c r="Q179" s="1051"/>
      <c r="R179" s="1051"/>
      <c r="S179" s="1051"/>
      <c r="T179" s="1051"/>
      <c r="U179" s="1051"/>
      <c r="V179" s="1051"/>
      <c r="W179" s="1051"/>
      <c r="X179" s="1051"/>
      <c r="Y179" s="1052"/>
      <c r="Z179" s="1052"/>
      <c r="AA179" s="1052"/>
      <c r="AB179" s="1052"/>
      <c r="AC179" s="1051"/>
      <c r="AD179" s="1051"/>
      <c r="AE179" s="1051"/>
      <c r="AF179" s="1051"/>
      <c r="AG179" s="1051"/>
      <c r="AH179" s="1051"/>
      <c r="AI179" s="1051"/>
      <c r="AJ179" s="1051"/>
      <c r="AK179" s="1051"/>
      <c r="AL179" s="1051"/>
      <c r="AM179" s="1052"/>
      <c r="AN179" s="1052"/>
      <c r="AO179" s="1051"/>
      <c r="AP179" s="1051"/>
      <c r="AQ179" s="1051"/>
      <c r="AR179" s="1051"/>
      <c r="AS179" s="1051"/>
      <c r="AT179" s="1051"/>
      <c r="AU179" s="1051"/>
      <c r="AV179" s="1051"/>
      <c r="AW179" s="1051"/>
      <c r="AX179" s="1051"/>
      <c r="AY179" s="1051"/>
      <c r="AZ179" s="1051"/>
      <c r="BA179" s="1052"/>
      <c r="BB179" s="1052"/>
      <c r="BC179" s="1052"/>
      <c r="BD179" s="1052"/>
      <c r="BE179" s="1051"/>
      <c r="BF179" s="1051"/>
      <c r="BG179" s="26"/>
      <c r="BH179" s="26"/>
      <c r="BI179" s="26"/>
      <c r="BJ179" s="26"/>
      <c r="BK179" s="26"/>
      <c r="BL179" s="26"/>
      <c r="BM179" s="26"/>
      <c r="BN179" s="26"/>
    </row>
    <row r="180" spans="2:66" thickBot="1" x14ac:dyDescent="0.35">
      <c r="B180" s="1053" t="s">
        <v>802</v>
      </c>
      <c r="C180" s="1054"/>
      <c r="D180" s="819" t="s">
        <v>50</v>
      </c>
      <c r="E180" s="1054"/>
      <c r="F180" s="1055">
        <v>304.28999999999985</v>
      </c>
      <c r="G180" s="1054"/>
      <c r="H180" s="1055">
        <v>426.4199999999999</v>
      </c>
      <c r="I180" s="1056"/>
      <c r="J180" s="1057">
        <f>+F180+H180</f>
        <v>730.70999999999981</v>
      </c>
      <c r="K180" s="1054"/>
      <c r="L180" s="1055">
        <v>542.33999999999992</v>
      </c>
      <c r="M180" s="1058"/>
      <c r="N180" s="618">
        <f>+F180+H180+L180</f>
        <v>1273.0499999999997</v>
      </c>
      <c r="O180" s="1054"/>
      <c r="P180" s="1055">
        <v>391.22999999999985</v>
      </c>
      <c r="Q180" s="1056"/>
      <c r="R180" s="373">
        <f>+N180+P180</f>
        <v>1664.2799999999995</v>
      </c>
      <c r="S180" s="1054"/>
      <c r="T180" s="1055">
        <v>364.31999999999994</v>
      </c>
      <c r="U180" s="1056"/>
      <c r="V180" s="373">
        <f>+R180+T180</f>
        <v>2028.5999999999995</v>
      </c>
      <c r="W180" s="1054"/>
      <c r="X180" s="1055">
        <v>440.74999999999983</v>
      </c>
      <c r="Y180" s="1059"/>
      <c r="Z180" s="73">
        <f>P180+T180+X180</f>
        <v>1196.2999999999995</v>
      </c>
      <c r="AA180" s="1060"/>
      <c r="AB180" s="458">
        <f>N180+Z180</f>
        <v>2469.3499999999995</v>
      </c>
      <c r="AC180" s="1054"/>
      <c r="AD180" s="1055">
        <v>368.46</v>
      </c>
      <c r="AE180" s="1056"/>
      <c r="AF180" s="373">
        <f>+AB180+AD180</f>
        <v>2837.8099999999995</v>
      </c>
      <c r="AG180" s="1054"/>
      <c r="AH180" s="1055">
        <v>215.27999999999994</v>
      </c>
      <c r="AI180" s="1056"/>
      <c r="AJ180" s="373">
        <f>+AF180+AH180</f>
        <v>3053.0899999999992</v>
      </c>
      <c r="AK180" s="1054"/>
      <c r="AL180" s="1055">
        <v>509.21999999999974</v>
      </c>
      <c r="AM180" s="1059"/>
      <c r="AN180" s="73">
        <f>AD180+AH180+AL180</f>
        <v>1092.9599999999996</v>
      </c>
      <c r="AO180" s="1056"/>
      <c r="AP180" s="373">
        <f>+AL180+AJ180</f>
        <v>3562.309999999999</v>
      </c>
      <c r="AQ180" s="1054"/>
      <c r="AR180" s="1055">
        <v>285.6599999999998</v>
      </c>
      <c r="AS180" s="1056"/>
      <c r="AT180" s="373">
        <f>+AP180+AR180</f>
        <v>3847.9699999999989</v>
      </c>
      <c r="AU180" s="1054"/>
      <c r="AV180" s="1055">
        <v>320.84999999999997</v>
      </c>
      <c r="AW180" s="1056"/>
      <c r="AX180" s="373">
        <f>+AT180+AV180</f>
        <v>4168.8199999999988</v>
      </c>
      <c r="AY180" s="1054"/>
      <c r="AZ180" s="1055">
        <v>420.20999999999987</v>
      </c>
      <c r="BA180" s="1059"/>
      <c r="BB180" s="73">
        <f>AR180+AV180+AZ180</f>
        <v>1026.7199999999996</v>
      </c>
      <c r="BC180" s="1060"/>
      <c r="BD180" s="458">
        <f>AN180+BB180</f>
        <v>2119.6799999999994</v>
      </c>
      <c r="BE180" s="1056"/>
      <c r="BF180" s="373">
        <f>+AX180+AZ180</f>
        <v>4589.0299999999988</v>
      </c>
      <c r="BG180" s="26"/>
      <c r="BH180" s="26"/>
      <c r="BI180" s="26"/>
      <c r="BJ180" s="26"/>
      <c r="BK180" s="26"/>
      <c r="BL180" s="26"/>
      <c r="BM180" s="26"/>
      <c r="BN180" s="26"/>
    </row>
    <row r="181" spans="2:66" ht="14.45" x14ac:dyDescent="0.3">
      <c r="B181" s="1061" t="s">
        <v>803</v>
      </c>
      <c r="C181" s="271"/>
      <c r="D181" s="159" t="s">
        <v>50</v>
      </c>
      <c r="E181" s="271"/>
      <c r="F181" s="366">
        <v>506.07000000000244</v>
      </c>
      <c r="G181" s="271"/>
      <c r="H181" s="366">
        <v>542.17499999999973</v>
      </c>
      <c r="I181" s="874"/>
      <c r="J181" s="367">
        <f>+F181+H181</f>
        <v>1048.2450000000022</v>
      </c>
      <c r="K181" s="271"/>
      <c r="L181" s="366">
        <v>563.9019999999997</v>
      </c>
      <c r="M181" s="875"/>
      <c r="N181" s="781">
        <f>+F181+H181+L181</f>
        <v>1612.1470000000018</v>
      </c>
      <c r="O181" s="271"/>
      <c r="P181" s="366">
        <v>648.58899999999915</v>
      </c>
      <c r="Q181" s="874"/>
      <c r="R181" s="782">
        <f>+N181+P181</f>
        <v>2260.7360000000008</v>
      </c>
      <c r="S181" s="271"/>
      <c r="T181" s="366">
        <v>532.47499999999968</v>
      </c>
      <c r="U181" s="874"/>
      <c r="V181" s="782">
        <f>+R181+T181</f>
        <v>2793.2110000000002</v>
      </c>
      <c r="W181" s="271"/>
      <c r="X181" s="366">
        <v>226.25699999999944</v>
      </c>
      <c r="Y181" s="876"/>
      <c r="Z181" s="69">
        <f>P181+T181+X181</f>
        <v>1407.3209999999983</v>
      </c>
      <c r="AA181" s="877"/>
      <c r="AB181" s="454">
        <f>N181+Z181</f>
        <v>3019.4679999999998</v>
      </c>
      <c r="AC181" s="271"/>
      <c r="AD181" s="366">
        <v>582.98</v>
      </c>
      <c r="AE181" s="874"/>
      <c r="AF181" s="782">
        <f>+AB181+AD181</f>
        <v>3602.4479999999999</v>
      </c>
      <c r="AG181" s="271"/>
      <c r="AH181" s="366">
        <v>275.33799999999979</v>
      </c>
      <c r="AI181" s="874"/>
      <c r="AJ181" s="782">
        <f>+AF181+AH181</f>
        <v>3877.7859999999996</v>
      </c>
      <c r="AK181" s="271"/>
      <c r="AL181" s="366">
        <v>539.83999999999946</v>
      </c>
      <c r="AM181" s="876"/>
      <c r="AN181" s="69">
        <f>AD181+AH181+AL181</f>
        <v>1398.1579999999992</v>
      </c>
      <c r="AO181" s="874"/>
      <c r="AP181" s="373">
        <f>+AL181+AJ181</f>
        <v>4417.6259999999993</v>
      </c>
      <c r="AQ181" s="271"/>
      <c r="AR181" s="366">
        <v>553.60499999999934</v>
      </c>
      <c r="AS181" s="874"/>
      <c r="AT181" s="782">
        <f>+AP181+AR181</f>
        <v>4971.2309999999989</v>
      </c>
      <c r="AU181" s="271"/>
      <c r="AV181" s="366">
        <v>504.07099999999929</v>
      </c>
      <c r="AW181" s="874"/>
      <c r="AX181" s="782">
        <f>+AT181+AV181</f>
        <v>5475.3019999999979</v>
      </c>
      <c r="AY181" s="271"/>
      <c r="AZ181" s="366">
        <v>595.05399999999952</v>
      </c>
      <c r="BA181" s="876"/>
      <c r="BB181" s="69">
        <f>AR181+AV181+AZ181</f>
        <v>1652.7299999999982</v>
      </c>
      <c r="BC181" s="877"/>
      <c r="BD181" s="454">
        <f>AN181+BB181</f>
        <v>3050.8879999999972</v>
      </c>
      <c r="BE181" s="874"/>
      <c r="BF181" s="782">
        <f>+AX181+AZ181</f>
        <v>6070.355999999997</v>
      </c>
      <c r="BG181" s="26"/>
      <c r="BH181" s="26"/>
      <c r="BI181" s="26"/>
      <c r="BJ181" s="26"/>
      <c r="BK181" s="26"/>
      <c r="BL181" s="26"/>
      <c r="BM181" s="26"/>
      <c r="BN181" s="26"/>
    </row>
    <row r="182" spans="2:66" ht="14.45" x14ac:dyDescent="0.3">
      <c r="B182" s="1062" t="s">
        <v>826</v>
      </c>
      <c r="C182" s="642"/>
      <c r="D182" s="205" t="s">
        <v>50</v>
      </c>
      <c r="E182" s="642"/>
      <c r="F182" s="397">
        <f>SUM(F180:F181)</f>
        <v>810.36000000000229</v>
      </c>
      <c r="G182" s="642"/>
      <c r="H182" s="397">
        <f>SUM(H180:H181)</f>
        <v>968.59499999999957</v>
      </c>
      <c r="I182" s="874"/>
      <c r="J182" s="367">
        <f>SUM(J180:J181)</f>
        <v>1778.955000000002</v>
      </c>
      <c r="K182" s="642"/>
      <c r="L182" s="397">
        <f>SUM(L180:L181)</f>
        <v>1106.2419999999997</v>
      </c>
      <c r="M182" s="875"/>
      <c r="N182" s="446">
        <f>SUM(N180:N181)</f>
        <v>2885.1970000000015</v>
      </c>
      <c r="O182" s="642"/>
      <c r="P182" s="397">
        <f>SUM(P180:P181)</f>
        <v>1039.8189999999991</v>
      </c>
      <c r="Q182" s="874"/>
      <c r="R182" s="367">
        <f>SUM(R180:R181)</f>
        <v>3925.0160000000005</v>
      </c>
      <c r="S182" s="642"/>
      <c r="T182" s="397">
        <f>SUM(T180:T181)</f>
        <v>896.79499999999962</v>
      </c>
      <c r="U182" s="874"/>
      <c r="V182" s="367">
        <f>SUM(V180:V181)</f>
        <v>4821.8109999999997</v>
      </c>
      <c r="W182" s="642"/>
      <c r="X182" s="397">
        <f>SUM(X180:X181)</f>
        <v>667.00699999999927</v>
      </c>
      <c r="Y182" s="876"/>
      <c r="Z182" s="69">
        <f>SUM(Z180:Z181)</f>
        <v>2603.6209999999978</v>
      </c>
      <c r="AA182" s="877"/>
      <c r="AB182" s="454">
        <f>SUM(AB180:AB181)</f>
        <v>5488.8179999999993</v>
      </c>
      <c r="AC182" s="642"/>
      <c r="AD182" s="397">
        <f>SUM(AD180:AD181)</f>
        <v>951.44</v>
      </c>
      <c r="AE182" s="874"/>
      <c r="AF182" s="367">
        <f>SUM(AF180:AF181)</f>
        <v>6440.2579999999998</v>
      </c>
      <c r="AG182" s="642"/>
      <c r="AH182" s="397">
        <f>SUM(AH180:AH181)</f>
        <v>490.61799999999971</v>
      </c>
      <c r="AI182" s="874"/>
      <c r="AJ182" s="367">
        <f>SUM(AJ180:AJ181)</f>
        <v>6930.8759999999984</v>
      </c>
      <c r="AK182" s="642"/>
      <c r="AL182" s="397">
        <f>SUM(AL180:AL181)</f>
        <v>1049.0599999999993</v>
      </c>
      <c r="AM182" s="876"/>
      <c r="AN182" s="69">
        <f>SUM(AN180:AN181)</f>
        <v>2491.1179999999986</v>
      </c>
      <c r="AO182" s="874"/>
      <c r="AP182" s="367">
        <f>SUM(AP180:AP181)</f>
        <v>7979.9359999999979</v>
      </c>
      <c r="AQ182" s="642"/>
      <c r="AR182" s="397">
        <f>SUM(AR180:AR181)</f>
        <v>839.26499999999919</v>
      </c>
      <c r="AS182" s="874"/>
      <c r="AT182" s="367">
        <f>SUM(AT180:AT181)</f>
        <v>8819.2009999999973</v>
      </c>
      <c r="AU182" s="642"/>
      <c r="AV182" s="397">
        <f>SUM(AV180:AV181)</f>
        <v>824.92099999999925</v>
      </c>
      <c r="AW182" s="874"/>
      <c r="AX182" s="367">
        <f>SUM(AX180:AX181)</f>
        <v>9644.1219999999958</v>
      </c>
      <c r="AY182" s="642"/>
      <c r="AZ182" s="397">
        <f>SUM(AZ180:AZ181)</f>
        <v>1015.2639999999994</v>
      </c>
      <c r="BA182" s="876"/>
      <c r="BB182" s="69">
        <f>SUM(BB180:BB181)</f>
        <v>2679.449999999998</v>
      </c>
      <c r="BC182" s="877"/>
      <c r="BD182" s="454">
        <f>SUM(BD180:BD181)</f>
        <v>5170.5679999999966</v>
      </c>
      <c r="BE182" s="874"/>
      <c r="BF182" s="367">
        <f>SUM(BF180:BF181)</f>
        <v>10659.385999999995</v>
      </c>
      <c r="BG182" s="26"/>
      <c r="BH182" s="26"/>
      <c r="BI182" s="26"/>
      <c r="BJ182" s="26"/>
      <c r="BK182" s="26"/>
      <c r="BL182" s="26"/>
      <c r="BM182" s="26"/>
      <c r="BN182" s="26"/>
    </row>
    <row r="183" spans="2:66" ht="14.45" x14ac:dyDescent="0.3">
      <c r="B183" s="1062" t="s">
        <v>822</v>
      </c>
      <c r="C183" s="642"/>
      <c r="D183" s="205" t="s">
        <v>49</v>
      </c>
      <c r="E183" s="642"/>
      <c r="F183" s="442">
        <f>+F182/F5</f>
        <v>2.1130598079158902E-2</v>
      </c>
      <c r="G183" s="642"/>
      <c r="H183" s="442">
        <f>+H182/H5</f>
        <v>2.3533872964635046E-2</v>
      </c>
      <c r="I183" s="874"/>
      <c r="J183" s="439">
        <f>+J182/J5</f>
        <v>2.2374665311692778E-2</v>
      </c>
      <c r="K183" s="642"/>
      <c r="L183" s="442">
        <f>+L182/L5</f>
        <v>2.7520025394481427E-2</v>
      </c>
      <c r="M183" s="875"/>
      <c r="N183" s="440">
        <f>+N182/N5</f>
        <v>2.4102506499546882E-2</v>
      </c>
      <c r="O183" s="642"/>
      <c r="P183" s="442">
        <f>+P182/P5</f>
        <v>2.1154907448055548E-2</v>
      </c>
      <c r="Q183" s="874"/>
      <c r="R183" s="439">
        <f>+R182/R5</f>
        <v>2.3244493851936394E-2</v>
      </c>
      <c r="S183" s="642"/>
      <c r="T183" s="442">
        <f>+T182/T5</f>
        <v>2.2206832640719616E-2</v>
      </c>
      <c r="U183" s="874"/>
      <c r="V183" s="439">
        <f>+V182/V5</f>
        <v>2.3044224699766237E-2</v>
      </c>
      <c r="W183" s="642"/>
      <c r="X183" s="442">
        <f>+X182/X5</f>
        <v>1.5551997312493827E-2</v>
      </c>
      <c r="Y183" s="876"/>
      <c r="Z183" s="440">
        <f>+Z182/Z5</f>
        <v>1.9661070822870934E-2</v>
      </c>
      <c r="AA183" s="877"/>
      <c r="AB183" s="2270">
        <f>+AB182/AB5</f>
        <v>2.1769753987991039E-2</v>
      </c>
      <c r="AC183" s="642"/>
      <c r="AD183" s="442">
        <f>+AD182/AD5</f>
        <v>2.1531156620539869E-2</v>
      </c>
      <c r="AE183" s="874"/>
      <c r="AF183" s="439">
        <f>+AF182/AF5</f>
        <v>2.1734172873698335E-2</v>
      </c>
      <c r="AG183" s="642"/>
      <c r="AH183" s="442">
        <f>+AH182/AH5</f>
        <v>2.3470915885160721E-2</v>
      </c>
      <c r="AI183" s="874"/>
      <c r="AJ183" s="439">
        <f>+AJ182/AJ5</f>
        <v>2.1848614699437861E-2</v>
      </c>
      <c r="AK183" s="642"/>
      <c r="AL183" s="442">
        <f>+AL182/AL5</f>
        <v>2.5558512929480262E-2</v>
      </c>
      <c r="AM183" s="876"/>
      <c r="AN183" s="440">
        <f>+AN182/AN5</f>
        <v>2.347063614367241E-2</v>
      </c>
      <c r="AO183" s="874"/>
      <c r="AP183" s="439">
        <f>+AP182/AP5</f>
        <v>2.2273643738512143E-2</v>
      </c>
      <c r="AQ183" s="642"/>
      <c r="AR183" s="442">
        <f>+AR182/AR5</f>
        <v>2.0021348089075495E-2</v>
      </c>
      <c r="AS183" s="874"/>
      <c r="AT183" s="439">
        <f>+AT182/AT5</f>
        <v>2.2037721627389296E-2</v>
      </c>
      <c r="AU183" s="642"/>
      <c r="AV183" s="442">
        <f>+AV182/AV5</f>
        <v>2.3006784388270772E-2</v>
      </c>
      <c r="AW183" s="874"/>
      <c r="AX183" s="439">
        <f>+AX182/AX5</f>
        <v>2.2117407229882091E-2</v>
      </c>
      <c r="AY183" s="642"/>
      <c r="AZ183" s="442">
        <f>+AZ182/AZ5</f>
        <v>2.2491328247642092E-2</v>
      </c>
      <c r="BA183" s="876"/>
      <c r="BB183" s="440">
        <f>+BB182/BB5</f>
        <v>2.1799334629097916E-2</v>
      </c>
      <c r="BC183" s="877"/>
      <c r="BD183" s="2270">
        <f>+BD182/BD5</f>
        <v>2.2573779061339113E-2</v>
      </c>
      <c r="BE183" s="874"/>
      <c r="BF183" s="439">
        <f>+BF182/BF5</f>
        <v>2.2152485165391565E-2</v>
      </c>
      <c r="BG183" s="26"/>
      <c r="BH183" s="26"/>
      <c r="BI183" s="26"/>
      <c r="BJ183" s="26"/>
      <c r="BK183" s="26"/>
      <c r="BL183" s="26"/>
      <c r="BM183" s="26"/>
      <c r="BN183" s="26"/>
    </row>
    <row r="184" spans="2:66" thickBot="1" x14ac:dyDescent="0.35">
      <c r="B184" s="1062" t="s">
        <v>825</v>
      </c>
      <c r="C184" s="642"/>
      <c r="D184" s="205" t="s">
        <v>50</v>
      </c>
      <c r="E184" s="642"/>
      <c r="F184" s="443">
        <f>+F155</f>
        <v>143.51999999999998</v>
      </c>
      <c r="G184" s="642"/>
      <c r="H184" s="443">
        <f>+H155</f>
        <v>114.79999999999998</v>
      </c>
      <c r="I184" s="874"/>
      <c r="J184" s="444">
        <f>+J155</f>
        <v>258.32000000000005</v>
      </c>
      <c r="K184" s="642"/>
      <c r="L184" s="443">
        <f>+L155</f>
        <v>110.55</v>
      </c>
      <c r="M184" s="875"/>
      <c r="N184" s="445">
        <f>+N155</f>
        <v>368.87000000000012</v>
      </c>
      <c r="O184" s="642"/>
      <c r="P184" s="443">
        <f>+P155</f>
        <v>207.05</v>
      </c>
      <c r="Q184" s="874"/>
      <c r="R184" s="444">
        <f>+R155</f>
        <v>575.91999999999985</v>
      </c>
      <c r="S184" s="642"/>
      <c r="T184" s="443">
        <f>+T155</f>
        <v>65.599999999999994</v>
      </c>
      <c r="U184" s="874"/>
      <c r="V184" s="444">
        <f>+V155</f>
        <v>641.51999999999987</v>
      </c>
      <c r="W184" s="642"/>
      <c r="X184" s="443">
        <f>+X155</f>
        <v>143.50000000000003</v>
      </c>
      <c r="Y184" s="876"/>
      <c r="Z184" s="445">
        <f>+Z155</f>
        <v>416.14999999999992</v>
      </c>
      <c r="AA184" s="877"/>
      <c r="AB184" s="2271">
        <f>+AB155</f>
        <v>785.02</v>
      </c>
      <c r="AC184" s="642"/>
      <c r="AD184" s="443">
        <f>+AD155</f>
        <v>101.49000000000001</v>
      </c>
      <c r="AE184" s="874"/>
      <c r="AF184" s="444">
        <f>+AF155</f>
        <v>886.51</v>
      </c>
      <c r="AG184" s="642"/>
      <c r="AH184" s="443">
        <f>+AH155</f>
        <v>75.84999999999998</v>
      </c>
      <c r="AI184" s="874"/>
      <c r="AJ184" s="444">
        <f>+AJ155</f>
        <v>962.36</v>
      </c>
      <c r="AK184" s="642"/>
      <c r="AL184" s="443">
        <f>+AL155</f>
        <v>98.399999999999991</v>
      </c>
      <c r="AM184" s="876"/>
      <c r="AN184" s="445">
        <f>+AN155</f>
        <v>275.74</v>
      </c>
      <c r="AO184" s="874"/>
      <c r="AP184" s="444">
        <f>+AP155</f>
        <v>1060.76</v>
      </c>
      <c r="AQ184" s="642"/>
      <c r="AR184" s="443">
        <f>+AR155</f>
        <v>69.7</v>
      </c>
      <c r="AS184" s="874"/>
      <c r="AT184" s="444">
        <f>+AT155</f>
        <v>1130.4600000000003</v>
      </c>
      <c r="AU184" s="642"/>
      <c r="AV184" s="443">
        <f>+AV155</f>
        <v>86.1</v>
      </c>
      <c r="AW184" s="874"/>
      <c r="AX184" s="444">
        <f>+AX155</f>
        <v>1216.5600000000004</v>
      </c>
      <c r="AY184" s="642"/>
      <c r="AZ184" s="443">
        <f>+AZ155</f>
        <v>284.95</v>
      </c>
      <c r="BA184" s="876"/>
      <c r="BB184" s="445">
        <f>+BB155</f>
        <v>440.75</v>
      </c>
      <c r="BC184" s="877"/>
      <c r="BD184" s="2271">
        <f>+BD155</f>
        <v>716.49</v>
      </c>
      <c r="BE184" s="874"/>
      <c r="BF184" s="444">
        <f>+BF155</f>
        <v>1501.5100000000002</v>
      </c>
      <c r="BG184" s="26"/>
      <c r="BH184" s="26"/>
      <c r="BI184" s="26"/>
      <c r="BJ184" s="26"/>
      <c r="BK184" s="26"/>
      <c r="BL184" s="26"/>
      <c r="BM184" s="26"/>
      <c r="BN184" s="26"/>
    </row>
    <row r="185" spans="2:66" thickBot="1" x14ac:dyDescent="0.35">
      <c r="B185" s="1063" t="s">
        <v>804</v>
      </c>
      <c r="C185" s="927"/>
      <c r="D185" s="893" t="s">
        <v>50</v>
      </c>
      <c r="E185" s="1064"/>
      <c r="F185" s="1065">
        <v>652.01400000000024</v>
      </c>
      <c r="G185" s="1064"/>
      <c r="H185" s="1065">
        <v>699.73900000000003</v>
      </c>
      <c r="I185" s="1066"/>
      <c r="J185" s="1067">
        <f>+F185+H185</f>
        <v>1351.7530000000002</v>
      </c>
      <c r="K185" s="1064"/>
      <c r="L185" s="1065">
        <v>683.41800000000012</v>
      </c>
      <c r="M185" s="1068"/>
      <c r="N185" s="488">
        <f>+F185+H185+L185</f>
        <v>2035.1710000000003</v>
      </c>
      <c r="O185" s="1064"/>
      <c r="P185" s="1065">
        <v>835.69500000000016</v>
      </c>
      <c r="Q185" s="1066"/>
      <c r="R185" s="589">
        <f>+N185+P185</f>
        <v>2870.8660000000004</v>
      </c>
      <c r="S185" s="1064"/>
      <c r="T185" s="1065">
        <v>686.59700000000021</v>
      </c>
      <c r="U185" s="1066"/>
      <c r="V185" s="589">
        <f>+R185+T185</f>
        <v>3557.4630000000006</v>
      </c>
      <c r="W185" s="1064"/>
      <c r="X185" s="1065">
        <v>729.2010000000007</v>
      </c>
      <c r="Y185" s="1069"/>
      <c r="Z185" s="74">
        <f>P185+T185+X185</f>
        <v>2251.4930000000013</v>
      </c>
      <c r="AA185" s="1070"/>
      <c r="AB185" s="459">
        <f>N185+Z185</f>
        <v>4286.6640000000016</v>
      </c>
      <c r="AC185" s="1064"/>
      <c r="AD185" s="1065">
        <v>751.29</v>
      </c>
      <c r="AE185" s="1066"/>
      <c r="AF185" s="589">
        <f>+AB185+AD185</f>
        <v>5037.9540000000015</v>
      </c>
      <c r="AG185" s="1064"/>
      <c r="AH185" s="1065">
        <v>355.41399999999993</v>
      </c>
      <c r="AI185" s="1066"/>
      <c r="AJ185" s="589">
        <f>+AF185+AH185</f>
        <v>5393.3680000000013</v>
      </c>
      <c r="AK185" s="1064"/>
      <c r="AL185" s="1065">
        <v>697.86400000000026</v>
      </c>
      <c r="AM185" s="1069"/>
      <c r="AN185" s="74">
        <f>AD185+AH185+AL185</f>
        <v>1804.5680000000002</v>
      </c>
      <c r="AO185" s="1066"/>
      <c r="AP185" s="373">
        <f>+AL185+AJ185</f>
        <v>6091.2320000000018</v>
      </c>
      <c r="AQ185" s="1064"/>
      <c r="AR185" s="1065">
        <v>712.69100000000049</v>
      </c>
      <c r="AS185" s="1066"/>
      <c r="AT185" s="589">
        <f>+AP185+AR185</f>
        <v>6803.9230000000025</v>
      </c>
      <c r="AU185" s="1064"/>
      <c r="AV185" s="1065">
        <v>609.08300000000008</v>
      </c>
      <c r="AW185" s="1066"/>
      <c r="AX185" s="589">
        <f>+AT185+AV185</f>
        <v>7413.006000000003</v>
      </c>
      <c r="AY185" s="1064"/>
      <c r="AZ185" s="1065">
        <v>767.47800000000007</v>
      </c>
      <c r="BA185" s="1069"/>
      <c r="BB185" s="74">
        <f>AR185+AV185+AZ185</f>
        <v>2089.2520000000004</v>
      </c>
      <c r="BC185" s="1070"/>
      <c r="BD185" s="459">
        <f>AN185+BB185</f>
        <v>3893.8200000000006</v>
      </c>
      <c r="BE185" s="1066"/>
      <c r="BF185" s="589">
        <f>+AX185+AZ185</f>
        <v>8180.4840000000031</v>
      </c>
      <c r="BG185" s="26"/>
      <c r="BH185" s="26"/>
      <c r="BI185" s="26"/>
      <c r="BJ185" s="26"/>
      <c r="BK185" s="26"/>
      <c r="BL185" s="26"/>
      <c r="BM185" s="26"/>
      <c r="BN185" s="26"/>
    </row>
    <row r="186" spans="2:66" thickBot="1" x14ac:dyDescent="0.35">
      <c r="B186" s="1063" t="s">
        <v>2368</v>
      </c>
      <c r="C186" s="927"/>
      <c r="D186" s="893"/>
      <c r="E186" s="1064"/>
      <c r="F186" s="1065"/>
      <c r="G186" s="1064"/>
      <c r="H186" s="1065"/>
      <c r="I186" s="1066"/>
      <c r="J186" s="1067"/>
      <c r="K186" s="1064"/>
      <c r="L186" s="1065"/>
      <c r="M186" s="1068"/>
      <c r="N186" s="488"/>
      <c r="O186" s="1064"/>
      <c r="P186" s="1065"/>
      <c r="Q186" s="1066"/>
      <c r="R186" s="589"/>
      <c r="S186" s="1064"/>
      <c r="T186" s="1065"/>
      <c r="U186" s="1066"/>
      <c r="V186" s="589"/>
      <c r="W186" s="1064"/>
      <c r="X186" s="1065">
        <v>342.97399999999999</v>
      </c>
      <c r="Y186" s="1069"/>
      <c r="Z186" s="74">
        <f>P186+T186+X186</f>
        <v>342.97399999999999</v>
      </c>
      <c r="AA186" s="1070"/>
      <c r="AB186" s="459">
        <f>N186+Z186</f>
        <v>342.97399999999999</v>
      </c>
      <c r="AC186" s="1064"/>
      <c r="AD186" s="1065"/>
      <c r="AE186" s="1066"/>
      <c r="AF186" s="589"/>
      <c r="AG186" s="1064"/>
      <c r="AH186" s="1065"/>
      <c r="AI186" s="1066"/>
      <c r="AJ186" s="589"/>
      <c r="AK186" s="1064"/>
      <c r="AL186" s="1065"/>
      <c r="AM186" s="1069"/>
      <c r="AN186" s="74"/>
      <c r="AO186" s="1066"/>
      <c r="AP186" s="373"/>
      <c r="AQ186" s="1064"/>
      <c r="AR186" s="1065"/>
      <c r="AS186" s="1066"/>
      <c r="AT186" s="589"/>
      <c r="AU186" s="1064"/>
      <c r="AV186" s="1065"/>
      <c r="AW186" s="1066"/>
      <c r="AX186" s="589"/>
      <c r="AY186" s="1064"/>
      <c r="AZ186" s="1065"/>
      <c r="BA186" s="1069"/>
      <c r="BB186" s="74"/>
      <c r="BC186" s="1070"/>
      <c r="BD186" s="459"/>
      <c r="BE186" s="1066"/>
      <c r="BF186" s="589"/>
      <c r="BG186" s="26"/>
      <c r="BH186" s="26"/>
      <c r="BI186" s="26"/>
      <c r="BJ186" s="26"/>
      <c r="BK186" s="26"/>
      <c r="BL186" s="26"/>
      <c r="BM186" s="26"/>
      <c r="BN186" s="26"/>
    </row>
    <row r="187" spans="2:66" ht="18.600000000000001" thickBot="1" x14ac:dyDescent="0.4">
      <c r="B187" s="883" t="s">
        <v>827</v>
      </c>
      <c r="C187" s="883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Q187" s="154"/>
      <c r="R187" s="154"/>
      <c r="S187" s="154"/>
      <c r="T187" s="154"/>
      <c r="U187" s="154"/>
      <c r="V187" s="154"/>
      <c r="W187" s="154"/>
      <c r="X187" s="154"/>
      <c r="Y187" s="622"/>
      <c r="Z187" s="622"/>
      <c r="AA187" s="622"/>
      <c r="AB187" s="622"/>
      <c r="AC187" s="154"/>
      <c r="AD187" s="93"/>
      <c r="AE187" s="154"/>
      <c r="AF187" s="154"/>
      <c r="AG187" s="154"/>
      <c r="AH187" s="93"/>
      <c r="AI187" s="154"/>
      <c r="AJ187" s="154"/>
      <c r="AK187" s="154"/>
      <c r="AL187" s="93"/>
      <c r="AM187" s="622"/>
      <c r="AN187" s="622"/>
      <c r="AO187" s="154"/>
      <c r="AP187" s="154"/>
      <c r="AQ187" s="154"/>
      <c r="AR187" s="93"/>
      <c r="AS187" s="154"/>
      <c r="AT187" s="154"/>
      <c r="AU187" s="154"/>
      <c r="AV187" s="93"/>
      <c r="AW187" s="154"/>
      <c r="AX187" s="154"/>
      <c r="AY187" s="154"/>
      <c r="AZ187" s="93"/>
      <c r="BA187" s="622"/>
      <c r="BB187" s="622"/>
      <c r="BC187" s="622"/>
      <c r="BD187" s="622"/>
      <c r="BE187" s="154"/>
      <c r="BF187" s="154"/>
      <c r="BG187" s="26"/>
      <c r="BH187" s="26"/>
      <c r="BI187" s="26"/>
      <c r="BJ187" s="26"/>
      <c r="BK187" s="26"/>
      <c r="BL187" s="26"/>
      <c r="BM187" s="26"/>
      <c r="BN187" s="26"/>
    </row>
    <row r="188" spans="2:66" ht="14.45" x14ac:dyDescent="0.3">
      <c r="B188" s="1053" t="s">
        <v>828</v>
      </c>
      <c r="C188" s="1054"/>
      <c r="D188" s="819" t="s">
        <v>50</v>
      </c>
      <c r="E188" s="1071"/>
      <c r="F188" s="1055">
        <f>+F5</f>
        <v>38350.074000000022</v>
      </c>
      <c r="G188" s="1071"/>
      <c r="H188" s="1055">
        <f>+H5</f>
        <v>41157.484000000004</v>
      </c>
      <c r="I188" s="1072"/>
      <c r="J188" s="1057">
        <f>+J5</f>
        <v>79507.558000000019</v>
      </c>
      <c r="K188" s="1071"/>
      <c r="L188" s="1055">
        <f>+L5</f>
        <v>40197.709999999992</v>
      </c>
      <c r="M188" s="1073"/>
      <c r="N188" s="1074">
        <f>+N5</f>
        <v>119705.26800000001</v>
      </c>
      <c r="O188" s="1071"/>
      <c r="P188" s="1055">
        <f>+P5</f>
        <v>49152.613999999987</v>
      </c>
      <c r="Q188" s="1072"/>
      <c r="R188" s="1057">
        <f>+R5</f>
        <v>168857.88199999998</v>
      </c>
      <c r="S188" s="1071"/>
      <c r="T188" s="1055">
        <f>+T5</f>
        <v>40383.741999999998</v>
      </c>
      <c r="U188" s="1072"/>
      <c r="V188" s="1057">
        <f>+V5</f>
        <v>209241.62399999998</v>
      </c>
      <c r="W188" s="1071"/>
      <c r="X188" s="1055">
        <f>+X5</f>
        <v>42888.832000000002</v>
      </c>
      <c r="Y188" s="1075"/>
      <c r="Z188" s="1074">
        <f>+Z5</f>
        <v>132425.18799999999</v>
      </c>
      <c r="AA188" s="1076"/>
      <c r="AB188" s="1077">
        <f>+AB5</f>
        <v>252130.45600000001</v>
      </c>
      <c r="AC188" s="1559"/>
      <c r="AD188" s="1055">
        <f>+AD5</f>
        <v>44188.986999999994</v>
      </c>
      <c r="AE188" s="1072"/>
      <c r="AF188" s="1057">
        <f>+AF5</f>
        <v>296319.44299999997</v>
      </c>
      <c r="AG188" s="1559"/>
      <c r="AH188" s="1055">
        <f>+AH5</f>
        <v>20903.231999999993</v>
      </c>
      <c r="AI188" s="1072"/>
      <c r="AJ188" s="1057">
        <f>+AJ5</f>
        <v>317222.67499999999</v>
      </c>
      <c r="AK188" s="1559"/>
      <c r="AL188" s="1055">
        <f>+AL5</f>
        <v>41045.423999999992</v>
      </c>
      <c r="AM188" s="1075"/>
      <c r="AN188" s="1074">
        <f>+AN5</f>
        <v>106137.64299999998</v>
      </c>
      <c r="AO188" s="1072"/>
      <c r="AP188" s="1057">
        <f>+AP5</f>
        <v>358268.09899999999</v>
      </c>
      <c r="AQ188" s="1559"/>
      <c r="AR188" s="1055">
        <f>+AR5</f>
        <v>41918.505999999979</v>
      </c>
      <c r="AS188" s="1072"/>
      <c r="AT188" s="1057">
        <f>+AT5</f>
        <v>400186.60499999998</v>
      </c>
      <c r="AU188" s="1559"/>
      <c r="AV188" s="1055">
        <f>+AV5</f>
        <v>35855.553999999982</v>
      </c>
      <c r="AW188" s="1072"/>
      <c r="AX188" s="1057">
        <f>+AX5</f>
        <v>436042.15899999999</v>
      </c>
      <c r="AY188" s="1559"/>
      <c r="AZ188" s="1055">
        <f>+AZ5</f>
        <v>45140.241999999977</v>
      </c>
      <c r="BA188" s="1075"/>
      <c r="BB188" s="1074">
        <f>+BB5</f>
        <v>122914.30199999994</v>
      </c>
      <c r="BC188" s="1076"/>
      <c r="BD188" s="1077">
        <f>+BD5</f>
        <v>229051.94499999992</v>
      </c>
      <c r="BE188" s="1072"/>
      <c r="BF188" s="1057">
        <f>+BF5</f>
        <v>481182.40099999995</v>
      </c>
      <c r="BG188" s="26"/>
      <c r="BH188" s="26"/>
      <c r="BI188" s="26"/>
      <c r="BJ188" s="26"/>
      <c r="BK188" s="26"/>
      <c r="BL188" s="26"/>
      <c r="BM188" s="26"/>
      <c r="BN188" s="26"/>
    </row>
    <row r="189" spans="2:66" ht="28.9" x14ac:dyDescent="0.3">
      <c r="B189" s="1079" t="s">
        <v>834</v>
      </c>
      <c r="C189" s="884"/>
      <c r="D189" s="159" t="s">
        <v>50</v>
      </c>
      <c r="E189" s="878"/>
      <c r="F189" s="366">
        <f>+F182</f>
        <v>810.36000000000229</v>
      </c>
      <c r="G189" s="878"/>
      <c r="H189" s="366">
        <f>+H182</f>
        <v>968.59499999999957</v>
      </c>
      <c r="I189" s="879"/>
      <c r="J189" s="367">
        <f>+J182</f>
        <v>1778.955000000002</v>
      </c>
      <c r="K189" s="878"/>
      <c r="L189" s="366">
        <f>+L182</f>
        <v>1106.2419999999997</v>
      </c>
      <c r="M189" s="880"/>
      <c r="N189" s="446">
        <f>+N182</f>
        <v>2885.1970000000015</v>
      </c>
      <c r="O189" s="878"/>
      <c r="P189" s="366">
        <f>+P182</f>
        <v>1039.8189999999991</v>
      </c>
      <c r="Q189" s="879"/>
      <c r="R189" s="367">
        <f>+R182</f>
        <v>3925.0160000000005</v>
      </c>
      <c r="S189" s="878"/>
      <c r="T189" s="366">
        <f>+T182</f>
        <v>896.79499999999962</v>
      </c>
      <c r="U189" s="879"/>
      <c r="V189" s="367">
        <f>+V182</f>
        <v>4821.8109999999997</v>
      </c>
      <c r="W189" s="878"/>
      <c r="X189" s="366">
        <f>+X182</f>
        <v>667.00699999999927</v>
      </c>
      <c r="Y189" s="881"/>
      <c r="Z189" s="446">
        <f>+Z182</f>
        <v>2603.6209999999978</v>
      </c>
      <c r="AA189" s="882"/>
      <c r="AB189" s="470">
        <f>+AB182</f>
        <v>5488.8179999999993</v>
      </c>
      <c r="AC189" s="1560"/>
      <c r="AD189" s="366">
        <f>+AD182</f>
        <v>951.44</v>
      </c>
      <c r="AE189" s="879"/>
      <c r="AF189" s="367">
        <f>+AF182</f>
        <v>6440.2579999999998</v>
      </c>
      <c r="AG189" s="1560"/>
      <c r="AH189" s="366">
        <f>+AH182</f>
        <v>490.61799999999971</v>
      </c>
      <c r="AI189" s="879"/>
      <c r="AJ189" s="367">
        <f>+AJ182</f>
        <v>6930.8759999999984</v>
      </c>
      <c r="AK189" s="1560"/>
      <c r="AL189" s="366">
        <f>+AL182</f>
        <v>1049.0599999999993</v>
      </c>
      <c r="AM189" s="881"/>
      <c r="AN189" s="446">
        <f>+AN182</f>
        <v>2491.1179999999986</v>
      </c>
      <c r="AO189" s="879"/>
      <c r="AP189" s="367">
        <f>+AP182</f>
        <v>7979.9359999999979</v>
      </c>
      <c r="AQ189" s="1560"/>
      <c r="AR189" s="366">
        <f>+AR182</f>
        <v>839.26499999999919</v>
      </c>
      <c r="AS189" s="879"/>
      <c r="AT189" s="367">
        <f>+AT182</f>
        <v>8819.2009999999973</v>
      </c>
      <c r="AU189" s="1560"/>
      <c r="AV189" s="366">
        <f>+AV182</f>
        <v>824.92099999999925</v>
      </c>
      <c r="AW189" s="879"/>
      <c r="AX189" s="367">
        <f>+AX182</f>
        <v>9644.1219999999958</v>
      </c>
      <c r="AY189" s="1560"/>
      <c r="AZ189" s="366">
        <f>+AZ182</f>
        <v>1015.2639999999994</v>
      </c>
      <c r="BA189" s="881"/>
      <c r="BB189" s="446">
        <f>+BB182</f>
        <v>2679.449999999998</v>
      </c>
      <c r="BC189" s="882"/>
      <c r="BD189" s="470">
        <f>+BD182</f>
        <v>5170.5679999999966</v>
      </c>
      <c r="BE189" s="879"/>
      <c r="BF189" s="367">
        <f>+BF182</f>
        <v>10659.385999999995</v>
      </c>
      <c r="BG189" s="26"/>
      <c r="BH189" s="26"/>
      <c r="BI189" s="26"/>
      <c r="BJ189" s="26"/>
      <c r="BK189" s="26"/>
      <c r="BL189" s="26"/>
      <c r="BM189" s="26"/>
      <c r="BN189" s="26"/>
    </row>
    <row r="190" spans="2:66" ht="14.45" x14ac:dyDescent="0.3">
      <c r="B190" s="1061" t="s">
        <v>804</v>
      </c>
      <c r="C190" s="271"/>
      <c r="D190" s="159" t="s">
        <v>50</v>
      </c>
      <c r="E190" s="878"/>
      <c r="F190" s="366">
        <f>+F185</f>
        <v>652.01400000000024</v>
      </c>
      <c r="G190" s="878"/>
      <c r="H190" s="366">
        <f>+H185</f>
        <v>699.73900000000003</v>
      </c>
      <c r="I190" s="879"/>
      <c r="J190" s="367">
        <f>+J185</f>
        <v>1351.7530000000002</v>
      </c>
      <c r="K190" s="878"/>
      <c r="L190" s="366">
        <f>+L185</f>
        <v>683.41800000000012</v>
      </c>
      <c r="M190" s="880"/>
      <c r="N190" s="446">
        <f>+N185</f>
        <v>2035.1710000000003</v>
      </c>
      <c r="O190" s="878"/>
      <c r="P190" s="366">
        <f>+P185</f>
        <v>835.69500000000016</v>
      </c>
      <c r="Q190" s="879"/>
      <c r="R190" s="367">
        <f>+R185</f>
        <v>2870.8660000000004</v>
      </c>
      <c r="S190" s="878"/>
      <c r="T190" s="366">
        <f>+T185</f>
        <v>686.59700000000021</v>
      </c>
      <c r="U190" s="879"/>
      <c r="V190" s="367">
        <f>+V185</f>
        <v>3557.4630000000006</v>
      </c>
      <c r="W190" s="878"/>
      <c r="X190" s="366">
        <f>+X185</f>
        <v>729.2010000000007</v>
      </c>
      <c r="Y190" s="881"/>
      <c r="Z190" s="446">
        <f>+Z185</f>
        <v>2251.4930000000013</v>
      </c>
      <c r="AA190" s="882"/>
      <c r="AB190" s="470">
        <f>+AB185</f>
        <v>4286.6640000000016</v>
      </c>
      <c r="AC190" s="1560"/>
      <c r="AD190" s="366">
        <f>+AD185</f>
        <v>751.29</v>
      </c>
      <c r="AE190" s="879"/>
      <c r="AF190" s="367">
        <f>+AF185</f>
        <v>5037.9540000000015</v>
      </c>
      <c r="AG190" s="1560"/>
      <c r="AH190" s="366">
        <f>+AH185</f>
        <v>355.41399999999993</v>
      </c>
      <c r="AI190" s="879"/>
      <c r="AJ190" s="367">
        <f>+AJ185</f>
        <v>5393.3680000000013</v>
      </c>
      <c r="AK190" s="1560"/>
      <c r="AL190" s="366">
        <f>+AL185</f>
        <v>697.86400000000026</v>
      </c>
      <c r="AM190" s="881"/>
      <c r="AN190" s="446">
        <f>+AN185</f>
        <v>1804.5680000000002</v>
      </c>
      <c r="AO190" s="879"/>
      <c r="AP190" s="367">
        <f>+AP185</f>
        <v>6091.2320000000018</v>
      </c>
      <c r="AQ190" s="1560"/>
      <c r="AR190" s="366">
        <f>+AR185</f>
        <v>712.69100000000049</v>
      </c>
      <c r="AS190" s="879"/>
      <c r="AT190" s="367">
        <f>+AT185</f>
        <v>6803.9230000000025</v>
      </c>
      <c r="AU190" s="1560"/>
      <c r="AV190" s="366">
        <f>+AV185</f>
        <v>609.08300000000008</v>
      </c>
      <c r="AW190" s="879"/>
      <c r="AX190" s="367">
        <f>+AX185</f>
        <v>7413.006000000003</v>
      </c>
      <c r="AY190" s="1560"/>
      <c r="AZ190" s="366">
        <f>+AZ185</f>
        <v>767.47800000000007</v>
      </c>
      <c r="BA190" s="881"/>
      <c r="BB190" s="446">
        <f>+BB185</f>
        <v>2089.2520000000004</v>
      </c>
      <c r="BC190" s="882"/>
      <c r="BD190" s="470">
        <f>+BD185</f>
        <v>3893.8200000000006</v>
      </c>
      <c r="BE190" s="879"/>
      <c r="BF190" s="367">
        <f>+BF185</f>
        <v>8180.4840000000031</v>
      </c>
      <c r="BG190" s="26"/>
      <c r="BH190" s="26"/>
      <c r="BI190" s="26"/>
      <c r="BJ190" s="26"/>
      <c r="BK190" s="26"/>
      <c r="BL190" s="26"/>
      <c r="BM190" s="26"/>
      <c r="BN190" s="26"/>
    </row>
    <row r="191" spans="2:66" ht="14.45" x14ac:dyDescent="0.3">
      <c r="B191" s="1061" t="s">
        <v>832</v>
      </c>
      <c r="C191" s="271"/>
      <c r="D191" s="159" t="s">
        <v>50</v>
      </c>
      <c r="E191" s="878"/>
      <c r="F191" s="366">
        <f>+F153</f>
        <v>36887.700000000004</v>
      </c>
      <c r="G191" s="878"/>
      <c r="H191" s="366">
        <f>+H153</f>
        <v>39489.15</v>
      </c>
      <c r="I191" s="879"/>
      <c r="J191" s="367">
        <f>+J153</f>
        <v>76376.849999999977</v>
      </c>
      <c r="K191" s="878"/>
      <c r="L191" s="366">
        <f>+L153</f>
        <v>38408.050000000003</v>
      </c>
      <c r="M191" s="880"/>
      <c r="N191" s="446">
        <f>+N153</f>
        <v>114784.89999999995</v>
      </c>
      <c r="O191" s="878"/>
      <c r="P191" s="366">
        <f>+P153</f>
        <v>47277.1</v>
      </c>
      <c r="Q191" s="879"/>
      <c r="R191" s="367">
        <f>+R153</f>
        <v>162061.99999999994</v>
      </c>
      <c r="S191" s="878"/>
      <c r="T191" s="366">
        <f>+T153</f>
        <v>38800.350000000006</v>
      </c>
      <c r="U191" s="879"/>
      <c r="V191" s="367">
        <f>+V153</f>
        <v>200862.34999999992</v>
      </c>
      <c r="W191" s="878"/>
      <c r="X191" s="366">
        <f>+X153</f>
        <v>41149.650000000016</v>
      </c>
      <c r="Y191" s="881"/>
      <c r="Z191" s="446">
        <f>+Z153</f>
        <v>127227.10000000003</v>
      </c>
      <c r="AA191" s="882"/>
      <c r="AB191" s="470">
        <f>+AB153</f>
        <v>242012</v>
      </c>
      <c r="AC191" s="1560"/>
      <c r="AD191" s="366">
        <f>+AD153</f>
        <v>42486.250000000007</v>
      </c>
      <c r="AE191" s="879"/>
      <c r="AF191" s="367">
        <f>+AF153</f>
        <v>265237.05000000005</v>
      </c>
      <c r="AG191" s="1560"/>
      <c r="AH191" s="366">
        <f>+AH153</f>
        <v>20057.200000000004</v>
      </c>
      <c r="AI191" s="879"/>
      <c r="AJ191" s="367">
        <f>+AJ153</f>
        <v>285294.25</v>
      </c>
      <c r="AK191" s="1560"/>
      <c r="AL191" s="366">
        <f>+AL153</f>
        <v>39298.500000000015</v>
      </c>
      <c r="AM191" s="881"/>
      <c r="AN191" s="446">
        <f>+AN153</f>
        <v>101841.95000000001</v>
      </c>
      <c r="AO191" s="879"/>
      <c r="AP191" s="367">
        <f>+AP153</f>
        <v>324592.75000000006</v>
      </c>
      <c r="AQ191" s="1560"/>
      <c r="AR191" s="366">
        <f>+AR153</f>
        <v>40366.549999999996</v>
      </c>
      <c r="AS191" s="879"/>
      <c r="AT191" s="367">
        <f>+AT153</f>
        <v>364959.3</v>
      </c>
      <c r="AU191" s="1560"/>
      <c r="AV191" s="366">
        <f>+AV153</f>
        <v>34421.449999999997</v>
      </c>
      <c r="AW191" s="879"/>
      <c r="AX191" s="367">
        <f>+AX153</f>
        <v>399380.75000000006</v>
      </c>
      <c r="AY191" s="1560"/>
      <c r="AZ191" s="366">
        <f>+AZ153</f>
        <v>43357.500000000015</v>
      </c>
      <c r="BA191" s="881"/>
      <c r="BB191" s="446">
        <f>+BB153</f>
        <v>118145.50000000003</v>
      </c>
      <c r="BC191" s="882"/>
      <c r="BD191" s="470">
        <f>+BD153</f>
        <v>219987.45000000004</v>
      </c>
      <c r="BE191" s="879"/>
      <c r="BF191" s="367">
        <f>+BF153</f>
        <v>442738.25000000006</v>
      </c>
      <c r="BG191" s="26"/>
      <c r="BH191" s="26"/>
      <c r="BI191" s="26"/>
      <c r="BJ191" s="26"/>
      <c r="BK191" s="26"/>
      <c r="BL191" s="26"/>
      <c r="BM191" s="26"/>
      <c r="BN191" s="26"/>
    </row>
    <row r="192" spans="2:66" ht="14.45" x14ac:dyDescent="0.3">
      <c r="B192" s="1061" t="s">
        <v>829</v>
      </c>
      <c r="C192" s="271"/>
      <c r="D192" s="159" t="s">
        <v>50</v>
      </c>
      <c r="E192" s="878"/>
      <c r="F192" s="366">
        <f>+F155</f>
        <v>143.51999999999998</v>
      </c>
      <c r="G192" s="878"/>
      <c r="H192" s="366">
        <f>+H155</f>
        <v>114.79999999999998</v>
      </c>
      <c r="I192" s="879"/>
      <c r="J192" s="367">
        <f>+J155</f>
        <v>258.32000000000005</v>
      </c>
      <c r="K192" s="878"/>
      <c r="L192" s="366">
        <f>+L155</f>
        <v>110.55</v>
      </c>
      <c r="M192" s="880"/>
      <c r="N192" s="446">
        <f>+N155</f>
        <v>368.87000000000012</v>
      </c>
      <c r="O192" s="878"/>
      <c r="P192" s="366">
        <f>+P155</f>
        <v>207.05</v>
      </c>
      <c r="Q192" s="879"/>
      <c r="R192" s="367">
        <f>+R155</f>
        <v>575.91999999999985</v>
      </c>
      <c r="S192" s="878"/>
      <c r="T192" s="366">
        <f>+T155</f>
        <v>65.599999999999994</v>
      </c>
      <c r="U192" s="879"/>
      <c r="V192" s="367">
        <f>+V155</f>
        <v>641.51999999999987</v>
      </c>
      <c r="W192" s="878"/>
      <c r="X192" s="366">
        <f>+X155</f>
        <v>143.50000000000003</v>
      </c>
      <c r="Y192" s="881"/>
      <c r="Z192" s="446">
        <f>+Z155</f>
        <v>416.14999999999992</v>
      </c>
      <c r="AA192" s="882"/>
      <c r="AB192" s="470">
        <f>+AB155</f>
        <v>785.02</v>
      </c>
      <c r="AC192" s="1560"/>
      <c r="AD192" s="366">
        <f>+AD155</f>
        <v>101.49000000000001</v>
      </c>
      <c r="AE192" s="879"/>
      <c r="AF192" s="367">
        <f>+AF155</f>
        <v>886.51</v>
      </c>
      <c r="AG192" s="1560"/>
      <c r="AH192" s="366">
        <f>+AH155</f>
        <v>75.84999999999998</v>
      </c>
      <c r="AI192" s="879"/>
      <c r="AJ192" s="367">
        <f>+AJ155</f>
        <v>962.36</v>
      </c>
      <c r="AK192" s="1560"/>
      <c r="AL192" s="366">
        <f>+AL155</f>
        <v>98.399999999999991</v>
      </c>
      <c r="AM192" s="881"/>
      <c r="AN192" s="446">
        <f>+AN155</f>
        <v>275.74</v>
      </c>
      <c r="AO192" s="879"/>
      <c r="AP192" s="367">
        <f>+AP155</f>
        <v>1060.76</v>
      </c>
      <c r="AQ192" s="1560"/>
      <c r="AR192" s="366">
        <f>+AR155</f>
        <v>69.7</v>
      </c>
      <c r="AS192" s="879"/>
      <c r="AT192" s="367">
        <f>+AT155</f>
        <v>1130.4600000000003</v>
      </c>
      <c r="AU192" s="1560"/>
      <c r="AV192" s="366">
        <f>+AV155</f>
        <v>86.1</v>
      </c>
      <c r="AW192" s="879"/>
      <c r="AX192" s="367">
        <f>+AX155</f>
        <v>1216.5600000000004</v>
      </c>
      <c r="AY192" s="1560"/>
      <c r="AZ192" s="366">
        <f>+AZ155</f>
        <v>284.95</v>
      </c>
      <c r="BA192" s="881"/>
      <c r="BB192" s="446">
        <f>+BB155</f>
        <v>440.75</v>
      </c>
      <c r="BC192" s="882"/>
      <c r="BD192" s="470">
        <f>+BD155</f>
        <v>716.49</v>
      </c>
      <c r="BE192" s="879"/>
      <c r="BF192" s="367">
        <f>+BF155</f>
        <v>1501.5100000000002</v>
      </c>
      <c r="BG192" s="26"/>
      <c r="BH192" s="26"/>
      <c r="BI192" s="26"/>
      <c r="BJ192" s="26"/>
      <c r="BK192" s="26"/>
      <c r="BL192" s="26"/>
      <c r="BM192" s="26"/>
      <c r="BN192" s="26"/>
    </row>
    <row r="193" spans="2:66" ht="15.75" thickBot="1" x14ac:dyDescent="0.3">
      <c r="B193" s="1063" t="s">
        <v>830</v>
      </c>
      <c r="C193" s="927"/>
      <c r="D193" s="893" t="s">
        <v>50</v>
      </c>
      <c r="E193" s="1064"/>
      <c r="F193" s="1065">
        <f>+F191-F192</f>
        <v>36744.180000000008</v>
      </c>
      <c r="G193" s="1064"/>
      <c r="H193" s="1065">
        <f>+H191-H192</f>
        <v>39374.35</v>
      </c>
      <c r="I193" s="1066"/>
      <c r="J193" s="1067">
        <f>+J191-J192</f>
        <v>76118.52999999997</v>
      </c>
      <c r="K193" s="1064"/>
      <c r="L193" s="1065">
        <f>+L191-L192</f>
        <v>38297.5</v>
      </c>
      <c r="M193" s="1068"/>
      <c r="N193" s="1080">
        <f>+N191-N192</f>
        <v>114416.02999999996</v>
      </c>
      <c r="O193" s="1064"/>
      <c r="P193" s="1065">
        <f>+P191-P192</f>
        <v>47070.049999999996</v>
      </c>
      <c r="Q193" s="1066"/>
      <c r="R193" s="1067">
        <f>+R191-R192</f>
        <v>161486.07999999993</v>
      </c>
      <c r="S193" s="1064"/>
      <c r="T193" s="1065">
        <f>+T191-T192</f>
        <v>38734.750000000007</v>
      </c>
      <c r="U193" s="1066"/>
      <c r="V193" s="1067">
        <f>+V191-V192</f>
        <v>200220.82999999993</v>
      </c>
      <c r="W193" s="1064"/>
      <c r="X193" s="1065">
        <f>+X191-X192</f>
        <v>41006.150000000016</v>
      </c>
      <c r="Y193" s="1069"/>
      <c r="Z193" s="1080">
        <f>+Z191-Z192</f>
        <v>126810.95000000004</v>
      </c>
      <c r="AA193" s="1070"/>
      <c r="AB193" s="1081">
        <f>+AB191-AB192</f>
        <v>241226.98</v>
      </c>
      <c r="AC193" s="1558"/>
      <c r="AD193" s="1065">
        <f>+AD191-AD192</f>
        <v>42384.760000000009</v>
      </c>
      <c r="AE193" s="1066"/>
      <c r="AF193" s="1067">
        <f>+AF191-AF192</f>
        <v>264350.54000000004</v>
      </c>
      <c r="AG193" s="1558"/>
      <c r="AH193" s="1065">
        <f>+AH191-AH192</f>
        <v>19981.350000000006</v>
      </c>
      <c r="AI193" s="1066"/>
      <c r="AJ193" s="1067">
        <f>+AJ191-AJ192</f>
        <v>284331.89</v>
      </c>
      <c r="AK193" s="1558"/>
      <c r="AL193" s="1065">
        <f>+AL191-AL192</f>
        <v>39200.100000000013</v>
      </c>
      <c r="AM193" s="1069"/>
      <c r="AN193" s="1080">
        <f>+AN191-AN192</f>
        <v>101566.21</v>
      </c>
      <c r="AO193" s="1066"/>
      <c r="AP193" s="1067">
        <f>+AP191-AP192</f>
        <v>323531.99000000005</v>
      </c>
      <c r="AQ193" s="1558"/>
      <c r="AR193" s="1065">
        <f>+AR191-AR192</f>
        <v>40296.85</v>
      </c>
      <c r="AS193" s="1066"/>
      <c r="AT193" s="1067">
        <f>+AT191-AT192</f>
        <v>363828.83999999997</v>
      </c>
      <c r="AU193" s="1558"/>
      <c r="AV193" s="1065">
        <f>+AV191-AV192</f>
        <v>34335.35</v>
      </c>
      <c r="AW193" s="1066"/>
      <c r="AX193" s="1067">
        <f>+AX191-AX192</f>
        <v>398164.19000000006</v>
      </c>
      <c r="AY193" s="1558"/>
      <c r="AZ193" s="1065">
        <f>+AZ191-AZ192</f>
        <v>43072.550000000017</v>
      </c>
      <c r="BA193" s="1069"/>
      <c r="BB193" s="1080">
        <f>+BB191-BB192</f>
        <v>117704.75000000003</v>
      </c>
      <c r="BC193" s="1070"/>
      <c r="BD193" s="1081">
        <f>+BD191-BD192</f>
        <v>219270.96000000005</v>
      </c>
      <c r="BE193" s="1066"/>
      <c r="BF193" s="1067">
        <f>+BF191-BF192</f>
        <v>441236.74000000005</v>
      </c>
      <c r="BG193" s="26"/>
      <c r="BH193" s="26"/>
      <c r="BI193" s="26"/>
      <c r="BJ193" s="26"/>
      <c r="BK193" s="26"/>
      <c r="BL193" s="26"/>
      <c r="BM193" s="26"/>
      <c r="BN193" s="26"/>
    </row>
    <row r="194" spans="2:66" ht="15.75" thickBot="1" x14ac:dyDescent="0.3"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Q194" s="154"/>
      <c r="R194" s="154"/>
      <c r="S194" s="154"/>
      <c r="T194" s="154"/>
      <c r="U194" s="154"/>
      <c r="V194" s="154"/>
      <c r="W194" s="154"/>
      <c r="X194" s="154"/>
      <c r="Y194" s="622"/>
      <c r="Z194" s="622"/>
      <c r="AA194" s="622"/>
      <c r="AB194" s="622"/>
      <c r="AC194" s="154"/>
      <c r="AD194" s="93"/>
      <c r="AE194" s="154"/>
      <c r="AF194" s="154"/>
      <c r="AG194" s="154"/>
      <c r="AH194" s="93"/>
      <c r="AI194" s="154"/>
      <c r="AJ194" s="154"/>
      <c r="AK194" s="154"/>
      <c r="AL194" s="93"/>
      <c r="AM194" s="622"/>
      <c r="AN194" s="622"/>
      <c r="AO194" s="154"/>
      <c r="AP194" s="154"/>
      <c r="AQ194" s="154"/>
      <c r="AR194" s="93"/>
      <c r="AS194" s="154"/>
      <c r="AT194" s="154"/>
      <c r="AU194" s="154"/>
      <c r="AV194" s="93"/>
      <c r="AW194" s="154"/>
      <c r="AX194" s="154"/>
      <c r="AY194" s="154"/>
      <c r="AZ194" s="93"/>
      <c r="BA194" s="622"/>
      <c r="BB194" s="622"/>
      <c r="BC194" s="622"/>
      <c r="BD194" s="622"/>
      <c r="BE194" s="154"/>
      <c r="BF194" s="154"/>
      <c r="BG194" s="26"/>
      <c r="BH194" s="26"/>
      <c r="BI194" s="26"/>
      <c r="BJ194" s="26"/>
      <c r="BK194" s="26"/>
      <c r="BL194" s="26"/>
      <c r="BM194" s="26"/>
      <c r="BN194" s="26"/>
    </row>
    <row r="195" spans="2:66" ht="15.75" thickBot="1" x14ac:dyDescent="0.3">
      <c r="B195" s="791" t="s">
        <v>835</v>
      </c>
      <c r="C195" s="1082"/>
      <c r="D195" s="788" t="s">
        <v>50</v>
      </c>
      <c r="E195" s="1083"/>
      <c r="F195" s="1083">
        <f t="shared" ref="F195:V195" si="161">+F188-F189-F190-F191-F186</f>
        <v>1.4551915228366852E-11</v>
      </c>
      <c r="G195" s="1083"/>
      <c r="H195" s="1083">
        <f t="shared" si="161"/>
        <v>0</v>
      </c>
      <c r="I195" s="1084">
        <f t="shared" si="161"/>
        <v>0</v>
      </c>
      <c r="J195" s="1084">
        <f t="shared" si="161"/>
        <v>4.3655745685100555E-11</v>
      </c>
      <c r="K195" s="1083"/>
      <c r="L195" s="1083">
        <f t="shared" si="161"/>
        <v>-7.2759576141834259E-12</v>
      </c>
      <c r="M195" s="1085"/>
      <c r="N195" s="1085">
        <f t="shared" si="161"/>
        <v>5.8207660913467407E-11</v>
      </c>
      <c r="O195" s="1083"/>
      <c r="P195" s="1083">
        <f t="shared" si="161"/>
        <v>-7.2759576141834259E-12</v>
      </c>
      <c r="Q195" s="1084">
        <f t="shared" si="161"/>
        <v>0</v>
      </c>
      <c r="R195" s="1084">
        <f t="shared" si="161"/>
        <v>2.9103830456733704E-11</v>
      </c>
      <c r="S195" s="1083"/>
      <c r="T195" s="1083">
        <f t="shared" si="161"/>
        <v>-7.2759576141834259E-12</v>
      </c>
      <c r="U195" s="1084"/>
      <c r="V195" s="1084">
        <f t="shared" si="161"/>
        <v>8.7311491370201111E-11</v>
      </c>
      <c r="W195" s="1083"/>
      <c r="X195" s="1083">
        <f>+X188-X189-X190-X191-X186</f>
        <v>-1.2562395568238571E-11</v>
      </c>
      <c r="Y195" s="1086"/>
      <c r="Z195" s="1085">
        <f t="shared" ref="Z195:BG195" si="162">+Z188-Z189-Z190-Z191-Z186</f>
        <v>-4.1666226024972275E-11</v>
      </c>
      <c r="AA195" s="1087"/>
      <c r="AB195" s="1088">
        <f t="shared" si="162"/>
        <v>1.6541434888495132E-11</v>
      </c>
      <c r="AC195" s="1561">
        <f t="shared" si="162"/>
        <v>0</v>
      </c>
      <c r="AD195" s="1083">
        <f t="shared" si="162"/>
        <v>6.9999999832361937E-3</v>
      </c>
      <c r="AE195" s="1084">
        <f t="shared" si="162"/>
        <v>0</v>
      </c>
      <c r="AF195" s="1084">
        <f t="shared" si="162"/>
        <v>19604.180999999924</v>
      </c>
      <c r="AG195" s="1561">
        <f t="shared" si="162"/>
        <v>0</v>
      </c>
      <c r="AH195" s="1083">
        <f t="shared" si="162"/>
        <v>-1.0913936421275139E-11</v>
      </c>
      <c r="AI195" s="1084">
        <f t="shared" si="162"/>
        <v>0</v>
      </c>
      <c r="AJ195" s="1084">
        <f t="shared" si="162"/>
        <v>19604.180999999982</v>
      </c>
      <c r="AK195" s="1561">
        <f t="shared" si="162"/>
        <v>0</v>
      </c>
      <c r="AL195" s="1083">
        <f t="shared" si="162"/>
        <v>-2.1827872842550278E-11</v>
      </c>
      <c r="AM195" s="1086">
        <f t="shared" si="162"/>
        <v>0</v>
      </c>
      <c r="AN195" s="1085">
        <f t="shared" si="162"/>
        <v>6.9999999686842784E-3</v>
      </c>
      <c r="AO195" s="1084">
        <f t="shared" si="162"/>
        <v>0</v>
      </c>
      <c r="AP195" s="1084">
        <f t="shared" si="162"/>
        <v>19604.180999999924</v>
      </c>
      <c r="AQ195" s="1561">
        <f t="shared" si="162"/>
        <v>0</v>
      </c>
      <c r="AR195" s="1083">
        <f t="shared" si="162"/>
        <v>-1.4551915228366852E-11</v>
      </c>
      <c r="AS195" s="1084">
        <f t="shared" si="162"/>
        <v>0</v>
      </c>
      <c r="AT195" s="1084">
        <f t="shared" si="162"/>
        <v>19604.180999999982</v>
      </c>
      <c r="AU195" s="1561">
        <f t="shared" si="162"/>
        <v>0</v>
      </c>
      <c r="AV195" s="1083">
        <f t="shared" si="162"/>
        <v>9.9999999983992893E-2</v>
      </c>
      <c r="AW195" s="1084">
        <f t="shared" si="162"/>
        <v>0</v>
      </c>
      <c r="AX195" s="1084">
        <f t="shared" si="162"/>
        <v>19604.280999999959</v>
      </c>
      <c r="AY195" s="1561">
        <f t="shared" si="162"/>
        <v>0</v>
      </c>
      <c r="AZ195" s="1083">
        <f t="shared" si="162"/>
        <v>-4.3655745685100555E-11</v>
      </c>
      <c r="BA195" s="1086">
        <f t="shared" si="162"/>
        <v>0</v>
      </c>
      <c r="BB195" s="1085">
        <f t="shared" si="162"/>
        <v>9.9999999918509275E-2</v>
      </c>
      <c r="BC195" s="1087">
        <f t="shared" si="162"/>
        <v>0</v>
      </c>
      <c r="BD195" s="1088">
        <f t="shared" si="162"/>
        <v>0.10699999987264164</v>
      </c>
      <c r="BE195" s="1084">
        <f t="shared" si="162"/>
        <v>0</v>
      </c>
      <c r="BF195" s="1084">
        <f t="shared" si="162"/>
        <v>19604.280999999901</v>
      </c>
      <c r="BG195" s="26">
        <f t="shared" si="162"/>
        <v>0</v>
      </c>
      <c r="BH195" s="26"/>
      <c r="BI195" s="26"/>
      <c r="BJ195" s="26"/>
      <c r="BK195" s="26"/>
      <c r="BL195" s="26"/>
      <c r="BM195" s="26"/>
      <c r="BN195" s="26"/>
    </row>
    <row r="196" spans="2:66" ht="15.75" thickBot="1" x14ac:dyDescent="0.3">
      <c r="B196" s="149"/>
      <c r="C196" s="149"/>
      <c r="D196" s="149"/>
      <c r="E196" s="149"/>
      <c r="F196" s="149"/>
      <c r="G196" s="149"/>
      <c r="H196" s="149"/>
      <c r="I196" s="203"/>
      <c r="J196" s="154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  <c r="AC196" s="203"/>
      <c r="AD196" s="93"/>
      <c r="AE196" s="149"/>
      <c r="AF196" s="149"/>
      <c r="AG196" s="203"/>
      <c r="AH196" s="93"/>
      <c r="AI196" s="149"/>
      <c r="AJ196" s="149"/>
      <c r="AK196" s="203"/>
      <c r="AL196" s="93"/>
      <c r="AM196" s="149"/>
      <c r="AN196" s="149"/>
      <c r="AO196" s="26"/>
      <c r="AP196" s="26"/>
      <c r="AQ196" s="203"/>
      <c r="AR196" s="93"/>
      <c r="AS196" s="26"/>
      <c r="AT196" s="26"/>
      <c r="AU196" s="203"/>
      <c r="AV196" s="93"/>
      <c r="AW196" s="26"/>
      <c r="AX196" s="26"/>
      <c r="AY196" s="203"/>
      <c r="AZ196" s="93"/>
      <c r="BA196" s="149"/>
      <c r="BB196" s="149"/>
      <c r="BC196" s="149"/>
      <c r="BD196" s="149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</row>
    <row r="197" spans="2:66" ht="15.75" thickBot="1" x14ac:dyDescent="0.3">
      <c r="B197" s="642" t="s">
        <v>1166</v>
      </c>
      <c r="C197" s="441"/>
      <c r="D197" s="441"/>
      <c r="E197" s="441"/>
      <c r="F197" s="2890">
        <f>+F153</f>
        <v>36887.700000000004</v>
      </c>
      <c r="G197" s="441"/>
      <c r="H197" s="2890">
        <f>+H153</f>
        <v>39489.15</v>
      </c>
      <c r="I197" s="1213"/>
      <c r="J197" s="397">
        <f>+J153</f>
        <v>76376.849999999977</v>
      </c>
      <c r="K197" s="441"/>
      <c r="L197" s="2890">
        <f>+L153</f>
        <v>38408.050000000003</v>
      </c>
      <c r="M197" s="617"/>
      <c r="N197" s="446">
        <f>+N153</f>
        <v>114784.89999999995</v>
      </c>
      <c r="O197" s="441"/>
      <c r="P197" s="2890">
        <f>+P153</f>
        <v>47277.1</v>
      </c>
      <c r="Q197" s="616"/>
      <c r="R197" s="367">
        <f>+R153</f>
        <v>162061.99999999994</v>
      </c>
      <c r="S197" s="441"/>
      <c r="T197" s="2890">
        <f>+T153</f>
        <v>38800.350000000006</v>
      </c>
      <c r="U197" s="616"/>
      <c r="V197" s="367">
        <f>+V153</f>
        <v>200862.34999999992</v>
      </c>
      <c r="W197" s="441"/>
      <c r="X197" s="2890">
        <f>+X153</f>
        <v>41149.650000000016</v>
      </c>
      <c r="Y197" s="1086"/>
      <c r="Z197" s="446">
        <f>+Z153</f>
        <v>127227.10000000003</v>
      </c>
      <c r="AA197" s="1087"/>
      <c r="AB197" s="470">
        <f>+AB153</f>
        <v>242012</v>
      </c>
      <c r="AC197" s="1213"/>
      <c r="AD197" s="366">
        <f>+AD153</f>
        <v>42486.250000000007</v>
      </c>
      <c r="AE197" s="367"/>
      <c r="AF197" s="367">
        <f>+AF153</f>
        <v>265237.05000000005</v>
      </c>
      <c r="AG197" s="1213"/>
      <c r="AH197" s="366">
        <f>+AH153</f>
        <v>20057.200000000004</v>
      </c>
      <c r="AI197" s="367"/>
      <c r="AJ197" s="367">
        <f>+AJ153</f>
        <v>285294.25</v>
      </c>
      <c r="AK197" s="1213"/>
      <c r="AL197" s="366">
        <f>+AL153</f>
        <v>39298.500000000015</v>
      </c>
      <c r="AM197" s="1086"/>
      <c r="AN197" s="446">
        <f>+AN153</f>
        <v>101841.95000000001</v>
      </c>
      <c r="AO197" s="367"/>
      <c r="AP197" s="367">
        <f>+AP153</f>
        <v>324592.75000000006</v>
      </c>
      <c r="AQ197" s="1213"/>
      <c r="AR197" s="366">
        <f>+AR153</f>
        <v>40366.549999999996</v>
      </c>
      <c r="AS197" s="367"/>
      <c r="AT197" s="367">
        <f>+AT153</f>
        <v>364959.3</v>
      </c>
      <c r="AU197" s="1213"/>
      <c r="AV197" s="366">
        <f>+AV153</f>
        <v>34421.449999999997</v>
      </c>
      <c r="AW197" s="367"/>
      <c r="AX197" s="367">
        <f>+AX153</f>
        <v>399380.75000000006</v>
      </c>
      <c r="AY197" s="1213"/>
      <c r="AZ197" s="366">
        <f>+AZ153</f>
        <v>43357.500000000015</v>
      </c>
      <c r="BA197" s="1086"/>
      <c r="BB197" s="446">
        <f>+BB153</f>
        <v>118145.50000000003</v>
      </c>
      <c r="BC197" s="1087"/>
      <c r="BD197" s="470">
        <f>+BD153</f>
        <v>219987.45000000004</v>
      </c>
      <c r="BE197" s="367"/>
      <c r="BF197" s="367">
        <f>+BF153</f>
        <v>442738.25000000006</v>
      </c>
      <c r="BG197" s="26"/>
      <c r="BH197" s="26"/>
      <c r="BI197" s="26"/>
      <c r="BJ197" s="26"/>
      <c r="BK197" s="26"/>
      <c r="BL197" s="26"/>
      <c r="BM197" s="26"/>
      <c r="BN197" s="26"/>
    </row>
    <row r="198" spans="2:66" x14ac:dyDescent="0.25"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</row>
    <row r="199" spans="2:66" x14ac:dyDescent="0.25">
      <c r="E199"/>
      <c r="F199"/>
      <c r="G199"/>
      <c r="H199"/>
      <c r="K199"/>
      <c r="L199"/>
      <c r="O199"/>
      <c r="P199"/>
      <c r="U199" s="87"/>
      <c r="V199" s="93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</row>
    <row r="200" spans="2:66" x14ac:dyDescent="0.25">
      <c r="B200" s="1650" t="s">
        <v>1299</v>
      </c>
      <c r="C200" s="1650"/>
      <c r="D200" s="1650"/>
      <c r="E200" s="1650"/>
      <c r="F200" s="1651">
        <f>+SUM(F7:F117)+SUM(F124:F136)</f>
        <v>36744.180000000008</v>
      </c>
      <c r="G200" s="1650"/>
      <c r="H200" s="1651">
        <f>+SUM(H7:H117)+SUM(H124:H136)</f>
        <v>39374.349999999991</v>
      </c>
      <c r="I200" s="1652"/>
      <c r="J200" s="1651">
        <f>+SUM(J7:J122)+SUM(J124:J136)</f>
        <v>76118.53</v>
      </c>
      <c r="K200" s="1650"/>
      <c r="L200" s="1651">
        <f>+SUM(L7:L117)+SUM(L124:L136)</f>
        <v>28933.699999999997</v>
      </c>
      <c r="M200" s="1652"/>
      <c r="N200" s="1651">
        <f>+SUM(N7:N117)+SUM(N124:N136)</f>
        <v>105052.22999999995</v>
      </c>
      <c r="O200" s="1650"/>
      <c r="P200" s="1651">
        <f>+SUM(P7:P117)+SUM(P124:P136)</f>
        <v>35819.649999999994</v>
      </c>
      <c r="Q200" s="1652"/>
      <c r="R200" s="1651">
        <f>+SUM(R7:R122)+SUM(R124:R136)</f>
        <v>161486.08000000002</v>
      </c>
      <c r="S200" s="1650"/>
      <c r="T200" s="1651">
        <f>+SUM(T7:T117)+SUM(T124:T136)</f>
        <v>38734.750000000007</v>
      </c>
      <c r="U200" s="1652"/>
      <c r="V200" s="1651">
        <f>+SUM(V7:V117)+SUM(V124:V136)</f>
        <v>179606.62999999998</v>
      </c>
      <c r="W200" s="1650"/>
      <c r="X200" s="1651">
        <f>+SUM(X7:X117)+SUM(X124:X136)</f>
        <v>41006.150000000009</v>
      </c>
      <c r="Y200" s="1650"/>
      <c r="Z200" s="1651">
        <f>+SUM(Z7:Z117)+SUM(Z124:Z136)</f>
        <v>115560.55000000003</v>
      </c>
      <c r="AA200" s="1651"/>
      <c r="AB200" s="1651">
        <f>+SUM(AB7:AB117)+SUM(AB124:AB136)</f>
        <v>220612.78000000006</v>
      </c>
      <c r="AC200" s="1650"/>
      <c r="AD200" s="1651">
        <f>+SUM(AD7:AD117)+SUM(AD124:AD136)</f>
        <v>42384.759999999995</v>
      </c>
      <c r="AF200" s="1651">
        <f>+SUM(AF8:AF117)+SUM(AF124:AF136)</f>
        <v>260988.54</v>
      </c>
      <c r="AG200" s="1650"/>
      <c r="AH200" s="1651">
        <f>+SUM(AH7:AH117)+SUM(AH124:AH136)</f>
        <v>19981.350000000006</v>
      </c>
      <c r="AJ200" s="1651">
        <f>+SUM(AJ8:AJ117)+SUM(AJ124:AJ136)</f>
        <v>280969.89</v>
      </c>
      <c r="AK200" s="1650"/>
      <c r="AL200" s="1651">
        <f>+SUM(AL7:AL117)+SUM(AL124:AL136)</f>
        <v>39200.100000000006</v>
      </c>
      <c r="AM200" s="1650"/>
      <c r="AN200" s="1651">
        <f>+SUM(AN7:AN117)+SUM(AN124:AN136)</f>
        <v>101566.21000000004</v>
      </c>
      <c r="AP200" s="1651">
        <f>+SUM(AP8:AP117)+SUM(AP124:AP136)</f>
        <v>320169.98999999993</v>
      </c>
      <c r="AQ200" s="1650"/>
      <c r="AR200" s="1651">
        <f>+SUM(AR7:AR117)+SUM(AR124:AR136)</f>
        <v>40296.849999999991</v>
      </c>
      <c r="AT200" s="1651">
        <f>+SUM(AT7:AT117)+SUM(AT124:AT136)</f>
        <v>360466.83999999991</v>
      </c>
      <c r="AU200" s="1650"/>
      <c r="AV200" s="1651">
        <f>+SUM(AV7:AV117)+SUM(AV124:AV136)</f>
        <v>34335.35</v>
      </c>
      <c r="AX200" s="1651">
        <f>+SUM(AX7:AX117)+SUM(AX124:AX136)</f>
        <v>394802.18999999994</v>
      </c>
      <c r="AY200" s="1650"/>
      <c r="AZ200" s="1651">
        <f>+SUM(AZ7:AZ117)+SUM(AZ124:AZ136)</f>
        <v>43072.55000000001</v>
      </c>
      <c r="BA200" s="1650"/>
      <c r="BB200" s="1651">
        <f>+SUM(BB7:BB117)+SUM(BB124:BB136)</f>
        <v>117704.75000000001</v>
      </c>
      <c r="BC200" s="1651"/>
      <c r="BD200" s="1651">
        <f>+SUM(BD7:BD117)+SUM(BD124:BD136)</f>
        <v>219270.96000000005</v>
      </c>
      <c r="BE200" s="1651"/>
      <c r="BF200" s="1651">
        <f>+SUM(BF7:BF117)+SUM(BF124:BF136)</f>
        <v>437874.74</v>
      </c>
      <c r="BG200" s="26"/>
      <c r="BH200" s="26"/>
      <c r="BI200" s="26"/>
      <c r="BJ200" s="26"/>
      <c r="BK200" s="26"/>
      <c r="BL200" s="26"/>
      <c r="BM200" s="26"/>
      <c r="BN200" s="26"/>
    </row>
    <row r="201" spans="2:66" x14ac:dyDescent="0.25">
      <c r="B201" s="1650" t="s">
        <v>630</v>
      </c>
      <c r="C201" s="1650"/>
      <c r="D201" s="1650"/>
      <c r="E201" s="1652"/>
      <c r="F201" s="1653">
        <f>+F154-F200</f>
        <v>0</v>
      </c>
      <c r="G201" s="1652"/>
      <c r="H201" s="1653">
        <f>+H154-H200</f>
        <v>0</v>
      </c>
      <c r="I201" s="1652"/>
      <c r="J201" s="1653">
        <f>+J154-J200</f>
        <v>0</v>
      </c>
      <c r="K201" s="1652"/>
      <c r="L201" s="1653">
        <f>+L154-L200</f>
        <v>9363.7999999999956</v>
      </c>
      <c r="M201" s="1652"/>
      <c r="N201" s="1653">
        <f>+N154-N200</f>
        <v>9363.7999999999738</v>
      </c>
      <c r="O201" s="1652"/>
      <c r="P201" s="1653">
        <f>+P154-P200</f>
        <v>11250.400000000009</v>
      </c>
      <c r="Q201" s="1652"/>
      <c r="R201" s="1653">
        <f>+R154-R200</f>
        <v>0</v>
      </c>
      <c r="S201" s="1652"/>
      <c r="T201" s="1653">
        <f>+T154-T200</f>
        <v>0</v>
      </c>
      <c r="U201" s="1652"/>
      <c r="V201" s="1653">
        <f>+V154-V200</f>
        <v>20614.199999999953</v>
      </c>
      <c r="W201" s="1652"/>
      <c r="X201" s="1653">
        <f>+X154-X200</f>
        <v>0</v>
      </c>
      <c r="Y201" s="1650"/>
      <c r="Z201" s="1653">
        <f>+Z154-Z200</f>
        <v>11250.400000000023</v>
      </c>
      <c r="AA201" s="1653"/>
      <c r="AB201" s="1653">
        <f>+AB154-AB200</f>
        <v>20614.199999999953</v>
      </c>
      <c r="AC201" s="1650"/>
      <c r="AD201" s="1653">
        <f>+AD154-AD200</f>
        <v>0</v>
      </c>
      <c r="AF201" s="1653">
        <f>+AF154-AF200</f>
        <v>3362.0000000000291</v>
      </c>
      <c r="AG201" s="1650"/>
      <c r="AH201" s="1653">
        <f>+AH154-AH200</f>
        <v>0</v>
      </c>
      <c r="AJ201" s="1653">
        <f>+AJ154-AJ200</f>
        <v>3362</v>
      </c>
      <c r="AK201" s="1650"/>
      <c r="AL201" s="1653">
        <f>+AL154-AL200</f>
        <v>0</v>
      </c>
      <c r="AM201" s="1650"/>
      <c r="AN201" s="1653">
        <f>+AN154-AN200</f>
        <v>0</v>
      </c>
      <c r="AP201" s="1653">
        <f>+AP154-AP200</f>
        <v>3362.0000000000582</v>
      </c>
      <c r="AQ201" s="1650"/>
      <c r="AR201" s="1653">
        <f>+AR154-AR200</f>
        <v>0</v>
      </c>
      <c r="AT201" s="1653">
        <f>+AT154-AT200</f>
        <v>3362.0000000000582</v>
      </c>
      <c r="AU201" s="1650"/>
      <c r="AV201" s="1653">
        <f>+AV154-AV200</f>
        <v>0</v>
      </c>
      <c r="AX201" s="1653">
        <f>+AX154-AX200</f>
        <v>3362.0000000000582</v>
      </c>
      <c r="AY201" s="1650"/>
      <c r="AZ201" s="1653">
        <f>+AZ154-AZ200</f>
        <v>0</v>
      </c>
      <c r="BA201" s="1650"/>
      <c r="BB201" s="1653">
        <f>+BB154-BB200</f>
        <v>0</v>
      </c>
      <c r="BC201" s="1653"/>
      <c r="BD201" s="1653">
        <f>+BD154-BD200</f>
        <v>0</v>
      </c>
      <c r="BE201" s="1653"/>
      <c r="BF201" s="1653">
        <f>+BF154-BF200</f>
        <v>3362.0000000000582</v>
      </c>
      <c r="BG201" s="26"/>
      <c r="BH201" s="26"/>
      <c r="BI201" s="26"/>
      <c r="BJ201" s="26"/>
      <c r="BK201" s="26"/>
      <c r="BL201" s="26"/>
      <c r="BM201" s="26"/>
      <c r="BN201" s="26"/>
    </row>
    <row r="203" spans="2:66" x14ac:dyDescent="0.25">
      <c r="C203" s="279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M203" s="117"/>
      <c r="AN203" s="117"/>
    </row>
    <row r="204" spans="2:66" x14ac:dyDescent="0.25"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</row>
    <row r="205" spans="2:66" x14ac:dyDescent="0.25"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</row>
    <row r="207" spans="2:66" x14ac:dyDescent="0.25">
      <c r="C207" s="2761"/>
    </row>
    <row r="208" spans="2:66" x14ac:dyDescent="0.25">
      <c r="C208" s="279"/>
    </row>
    <row r="209" spans="3:58" x14ac:dyDescent="0.25">
      <c r="E209" s="4979"/>
      <c r="F209" s="4979"/>
      <c r="G209" s="4979"/>
      <c r="H209" s="4979"/>
      <c r="I209" s="4979"/>
      <c r="J209" s="4979"/>
      <c r="K209" s="4979"/>
      <c r="L209" s="4979"/>
      <c r="M209" s="4979"/>
      <c r="N209" s="4979"/>
      <c r="O209" s="4979"/>
      <c r="P209" s="4979"/>
      <c r="Q209" s="4979"/>
      <c r="R209" s="4979"/>
      <c r="S209" s="4979"/>
      <c r="T209" s="4979"/>
      <c r="U209" s="4979"/>
      <c r="V209" s="4979"/>
      <c r="W209" s="4979"/>
      <c r="X209" s="4979"/>
      <c r="Y209" s="4979"/>
      <c r="Z209" s="4979"/>
      <c r="AA209" s="4979"/>
      <c r="AB209" s="4979"/>
      <c r="AC209" s="4979"/>
      <c r="AD209" s="4979"/>
      <c r="AE209" s="4979"/>
      <c r="AF209" s="4979"/>
      <c r="AG209" s="4979"/>
      <c r="AH209" s="4979"/>
      <c r="AI209" s="4979"/>
      <c r="AJ209" s="4979"/>
      <c r="AK209" s="4979"/>
      <c r="AL209" s="4979"/>
      <c r="AM209" s="4979"/>
      <c r="AN209" s="4979"/>
      <c r="AO209" s="4979"/>
      <c r="AP209" s="4979"/>
      <c r="AQ209" s="4979"/>
      <c r="AR209" s="4979"/>
      <c r="AS209" s="4979"/>
      <c r="AT209" s="4979"/>
      <c r="AU209" s="4979"/>
      <c r="AV209" s="4979"/>
      <c r="AW209" s="4979"/>
      <c r="AX209" s="4979"/>
      <c r="AY209" s="4979"/>
      <c r="AZ209" s="4979"/>
      <c r="BA209" s="4979"/>
      <c r="BB209" s="4979"/>
      <c r="BC209" s="4979"/>
      <c r="BD209" s="4979"/>
      <c r="BE209" s="4979"/>
      <c r="BF209" s="4979"/>
    </row>
    <row r="210" spans="3:58" x14ac:dyDescent="0.25">
      <c r="C210" s="1649"/>
    </row>
    <row r="211" spans="3:58" x14ac:dyDescent="0.25">
      <c r="C211" s="2762"/>
    </row>
    <row r="212" spans="3:58" x14ac:dyDescent="0.25">
      <c r="C212" s="2762"/>
    </row>
  </sheetData>
  <autoFilter ref="C3:C178"/>
  <mergeCells count="31"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1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0033CC"/>
    <pageSetUpPr fitToPage="1"/>
  </sheetPr>
  <dimension ref="A1:BN98"/>
  <sheetViews>
    <sheetView zoomScaleNormal="100" workbookViewId="0">
      <pane xSplit="4" topLeftCell="L1" activePane="topRight" state="frozen"/>
      <selection pane="topRight" activeCell="BK100" sqref="BK100"/>
    </sheetView>
  </sheetViews>
  <sheetFormatPr defaultColWidth="8.85546875" defaultRowHeight="15" x14ac:dyDescent="0.25"/>
  <cols>
    <col min="2" max="2" width="39.28515625" bestFit="1" customWidth="1"/>
    <col min="3" max="3" width="17.28515625" bestFit="1" customWidth="1"/>
    <col min="4" max="4" width="24.28515625" bestFit="1" customWidth="1"/>
    <col min="5" max="5" width="10.42578125" customWidth="1"/>
    <col min="6" max="6" width="8.7109375" bestFit="1" customWidth="1"/>
    <col min="7" max="7" width="10.7109375" customWidth="1"/>
    <col min="8" max="8" width="8.7109375" customWidth="1"/>
    <col min="9" max="9" width="9" hidden="1" customWidth="1"/>
    <col min="10" max="10" width="9.42578125" hidden="1" customWidth="1"/>
    <col min="11" max="12" width="8.7109375" customWidth="1"/>
    <col min="13" max="13" width="13.42578125" customWidth="1"/>
    <col min="14" max="14" width="9" customWidth="1"/>
    <col min="15" max="15" width="9.140625" customWidth="1"/>
    <col min="16" max="16" width="8.7109375" bestFit="1" customWidth="1"/>
    <col min="17" max="17" width="12.140625" hidden="1" customWidth="1"/>
    <col min="18" max="18" width="9.42578125" hidden="1" customWidth="1"/>
    <col min="19" max="19" width="8.85546875" customWidth="1"/>
    <col min="20" max="20" width="11.28515625" customWidth="1"/>
    <col min="21" max="22" width="9" hidden="1" customWidth="1"/>
    <col min="23" max="23" width="8.7109375" customWidth="1"/>
    <col min="24" max="24" width="9.5703125" customWidth="1"/>
    <col min="25" max="25" width="9.28515625" customWidth="1"/>
    <col min="26" max="26" width="9" customWidth="1"/>
    <col min="27" max="27" width="9.28515625" customWidth="1"/>
    <col min="28" max="28" width="9" customWidth="1"/>
    <col min="29" max="29" width="8.85546875" hidden="1" customWidth="1"/>
    <col min="30" max="30" width="9.5703125" hidden="1" customWidth="1"/>
    <col min="31" max="48" width="8.85546875" hidden="1" customWidth="1"/>
    <col min="49" max="49" width="9" hidden="1" customWidth="1"/>
    <col min="50" max="58" width="8.85546875" hidden="1" customWidth="1"/>
    <col min="59" max="59" width="0" hidden="1" customWidth="1"/>
  </cols>
  <sheetData>
    <row r="1" spans="1:66" ht="22.9" x14ac:dyDescent="0.4">
      <c r="B1" s="389" t="s">
        <v>95</v>
      </c>
      <c r="C1" s="389"/>
      <c r="D1" s="45"/>
      <c r="E1" s="45"/>
      <c r="F1" s="4384"/>
      <c r="G1" s="45"/>
      <c r="H1" s="599"/>
      <c r="I1" s="45"/>
      <c r="J1" s="45"/>
      <c r="K1" s="154"/>
      <c r="L1" s="599"/>
      <c r="M1" s="93"/>
      <c r="N1" s="93"/>
      <c r="O1" s="154"/>
      <c r="P1" s="1601"/>
      <c r="Q1" s="93"/>
      <c r="R1" s="117"/>
      <c r="S1" s="93"/>
      <c r="T1" s="93"/>
      <c r="U1" s="93"/>
      <c r="V1" s="93"/>
      <c r="W1" s="93"/>
      <c r="X1" s="93"/>
      <c r="Y1" s="93"/>
      <c r="Z1" s="93"/>
      <c r="AA1" s="93"/>
      <c r="AB1" s="93"/>
    </row>
    <row r="2" spans="1:66" thickBot="1" x14ac:dyDescent="0.35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399">
        <f>+I2+K2</f>
        <v>91</v>
      </c>
      <c r="N2" s="399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3">
        <v>31</v>
      </c>
      <c r="T2" s="93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+Y2+M2</f>
        <v>183</v>
      </c>
      <c r="AB2" s="93">
        <f>+Z2+N2</f>
        <v>183</v>
      </c>
      <c r="AC2" s="93">
        <v>31</v>
      </c>
      <c r="AD2" s="93">
        <v>31</v>
      </c>
      <c r="AE2" s="93">
        <f>+AA2+AC2</f>
        <v>214</v>
      </c>
      <c r="AF2" s="93">
        <f>+AB2+AD2</f>
        <v>214</v>
      </c>
      <c r="AG2" s="93">
        <v>30</v>
      </c>
      <c r="AH2" s="93">
        <v>30</v>
      </c>
      <c r="AI2" s="93">
        <f>+AE2+AG2</f>
        <v>244</v>
      </c>
      <c r="AJ2" s="93">
        <f>+AF2+AH2</f>
        <v>244</v>
      </c>
      <c r="AK2" s="93">
        <v>31</v>
      </c>
      <c r="AL2" s="93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93">
        <v>31</v>
      </c>
      <c r="AS2" s="93">
        <f>+AO2+AQ2</f>
        <v>306</v>
      </c>
      <c r="AT2" s="93">
        <f>+AP2+AR2</f>
        <v>306</v>
      </c>
      <c r="AU2" s="93">
        <v>28</v>
      </c>
      <c r="AV2" s="93">
        <v>28</v>
      </c>
      <c r="AW2" s="93">
        <f>+AS2+AU2</f>
        <v>334</v>
      </c>
      <c r="AX2" s="93">
        <f>+AT2+AV2</f>
        <v>334</v>
      </c>
      <c r="AY2" s="93">
        <v>31</v>
      </c>
      <c r="AZ2" s="93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6" ht="15.75" thickBot="1" x14ac:dyDescent="0.3">
      <c r="B3" s="5846" t="s">
        <v>171</v>
      </c>
      <c r="C3" s="6131" t="s">
        <v>850</v>
      </c>
      <c r="D3" s="5769" t="s">
        <v>172</v>
      </c>
      <c r="E3" s="5760" t="s">
        <v>2190</v>
      </c>
      <c r="F3" s="5849"/>
      <c r="G3" s="5760" t="s">
        <v>2242</v>
      </c>
      <c r="H3" s="5760"/>
      <c r="I3" s="5758" t="s">
        <v>14</v>
      </c>
      <c r="J3" s="5759"/>
      <c r="K3" s="5774" t="s">
        <v>2273</v>
      </c>
      <c r="L3" s="5771"/>
      <c r="M3" s="5775" t="s">
        <v>637</v>
      </c>
      <c r="N3" s="5764"/>
      <c r="O3" s="5760" t="s">
        <v>2296</v>
      </c>
      <c r="P3" s="5760"/>
      <c r="Q3" s="5758" t="s">
        <v>17</v>
      </c>
      <c r="R3" s="5759"/>
      <c r="S3" s="5760" t="s">
        <v>2299</v>
      </c>
      <c r="T3" s="5760"/>
      <c r="U3" s="5758" t="s">
        <v>18</v>
      </c>
      <c r="V3" s="5759"/>
      <c r="W3" s="5760" t="s">
        <v>2344</v>
      </c>
      <c r="X3" s="5760"/>
      <c r="Y3" s="5775" t="s">
        <v>660</v>
      </c>
      <c r="Z3" s="5764"/>
      <c r="AA3" s="5765" t="s">
        <v>657</v>
      </c>
      <c r="AB3" s="5766"/>
      <c r="AC3" s="5760" t="s">
        <v>1954</v>
      </c>
      <c r="AD3" s="5760"/>
      <c r="AE3" s="5758" t="s">
        <v>24</v>
      </c>
      <c r="AF3" s="5759"/>
      <c r="AG3" s="5760" t="s">
        <v>1970</v>
      </c>
      <c r="AH3" s="5760"/>
      <c r="AI3" s="5758" t="s">
        <v>27</v>
      </c>
      <c r="AJ3" s="5759"/>
      <c r="AK3" s="5760" t="s">
        <v>1985</v>
      </c>
      <c r="AL3" s="5760"/>
      <c r="AM3" s="5775" t="s">
        <v>662</v>
      </c>
      <c r="AN3" s="5764"/>
      <c r="AO3" s="5758" t="s">
        <v>1666</v>
      </c>
      <c r="AP3" s="5759"/>
      <c r="AQ3" s="5760" t="s">
        <v>2085</v>
      </c>
      <c r="AR3" s="5760"/>
      <c r="AS3" s="5758" t="s">
        <v>28</v>
      </c>
      <c r="AT3" s="5759"/>
      <c r="AU3" s="5760" t="s">
        <v>2099</v>
      </c>
      <c r="AV3" s="5760"/>
      <c r="AW3" s="5758" t="s">
        <v>30</v>
      </c>
      <c r="AX3" s="5759"/>
      <c r="AY3" s="5760" t="s">
        <v>2111</v>
      </c>
      <c r="AZ3" s="5760"/>
      <c r="BA3" s="5775" t="s">
        <v>663</v>
      </c>
      <c r="BB3" s="5764"/>
      <c r="BC3" s="5765" t="s">
        <v>671</v>
      </c>
      <c r="BD3" s="5766"/>
      <c r="BE3" s="5758" t="s">
        <v>1745</v>
      </c>
      <c r="BF3" s="5759"/>
    </row>
    <row r="4" spans="1:66" ht="15.75" thickBot="1" x14ac:dyDescent="0.3">
      <c r="B4" s="6114"/>
      <c r="C4" s="6132"/>
      <c r="D4" s="5770"/>
      <c r="E4" s="546" t="s">
        <v>173</v>
      </c>
      <c r="F4" s="157" t="s">
        <v>174</v>
      </c>
      <c r="G4" s="546" t="s">
        <v>173</v>
      </c>
      <c r="H4" s="178" t="s">
        <v>174</v>
      </c>
      <c r="I4" s="146" t="s">
        <v>173</v>
      </c>
      <c r="J4" s="163" t="s">
        <v>174</v>
      </c>
      <c r="K4" s="232" t="s">
        <v>173</v>
      </c>
      <c r="L4" s="178" t="s">
        <v>174</v>
      </c>
      <c r="M4" s="704" t="s">
        <v>173</v>
      </c>
      <c r="N4" s="170" t="s">
        <v>174</v>
      </c>
      <c r="O4" s="232" t="s">
        <v>173</v>
      </c>
      <c r="P4" s="400" t="s">
        <v>174</v>
      </c>
      <c r="Q4" s="146" t="s">
        <v>173</v>
      </c>
      <c r="R4" s="163" t="s">
        <v>174</v>
      </c>
      <c r="S4" s="232" t="s">
        <v>173</v>
      </c>
      <c r="T4" s="178" t="s">
        <v>174</v>
      </c>
      <c r="U4" s="146" t="s">
        <v>173</v>
      </c>
      <c r="V4" s="163" t="s">
        <v>174</v>
      </c>
      <c r="W4" s="232" t="s">
        <v>173</v>
      </c>
      <c r="X4" s="400" t="s">
        <v>174</v>
      </c>
      <c r="Y4" s="704" t="s">
        <v>173</v>
      </c>
      <c r="Z4" s="170" t="s">
        <v>174</v>
      </c>
      <c r="AA4" s="705" t="s">
        <v>173</v>
      </c>
      <c r="AB4" s="467" t="s">
        <v>174</v>
      </c>
      <c r="AC4" s="232" t="s">
        <v>173</v>
      </c>
      <c r="AD4" s="178" t="s">
        <v>174</v>
      </c>
      <c r="AE4" s="146" t="s">
        <v>173</v>
      </c>
      <c r="AF4" s="163" t="s">
        <v>174</v>
      </c>
      <c r="AG4" s="232" t="s">
        <v>173</v>
      </c>
      <c r="AH4" s="178" t="s">
        <v>174</v>
      </c>
      <c r="AI4" s="146" t="s">
        <v>173</v>
      </c>
      <c r="AJ4" s="163" t="s">
        <v>174</v>
      </c>
      <c r="AK4" s="232" t="s">
        <v>173</v>
      </c>
      <c r="AL4" s="178" t="s">
        <v>174</v>
      </c>
      <c r="AM4" s="704" t="s">
        <v>173</v>
      </c>
      <c r="AN4" s="170" t="s">
        <v>174</v>
      </c>
      <c r="AO4" s="146" t="s">
        <v>173</v>
      </c>
      <c r="AP4" s="163" t="s">
        <v>174</v>
      </c>
      <c r="AQ4" s="232" t="s">
        <v>173</v>
      </c>
      <c r="AR4" s="178" t="s">
        <v>174</v>
      </c>
      <c r="AS4" s="146" t="s">
        <v>173</v>
      </c>
      <c r="AT4" s="163" t="s">
        <v>174</v>
      </c>
      <c r="AU4" s="232" t="s">
        <v>173</v>
      </c>
      <c r="AV4" s="178" t="s">
        <v>174</v>
      </c>
      <c r="AW4" s="146" t="s">
        <v>173</v>
      </c>
      <c r="AX4" s="163" t="s">
        <v>174</v>
      </c>
      <c r="AY4" s="232" t="s">
        <v>173</v>
      </c>
      <c r="AZ4" s="178" t="s">
        <v>174</v>
      </c>
      <c r="BA4" s="704" t="s">
        <v>173</v>
      </c>
      <c r="BB4" s="170" t="s">
        <v>174</v>
      </c>
      <c r="BC4" s="705" t="s">
        <v>173</v>
      </c>
      <c r="BD4" s="467" t="s">
        <v>174</v>
      </c>
      <c r="BE4" s="146" t="s">
        <v>173</v>
      </c>
      <c r="BF4" s="163" t="s">
        <v>174</v>
      </c>
    </row>
    <row r="5" spans="1:66" ht="17.100000000000001" customHeight="1" x14ac:dyDescent="0.3">
      <c r="B5" s="11" t="s">
        <v>847</v>
      </c>
      <c r="C5" s="1"/>
      <c r="D5" s="732" t="s">
        <v>50</v>
      </c>
      <c r="E5" s="885">
        <v>78756.476683937828</v>
      </c>
      <c r="F5" s="577">
        <v>69436.443999999974</v>
      </c>
      <c r="G5" s="885">
        <v>81865.284974093272</v>
      </c>
      <c r="H5" s="577">
        <v>78924.165999999954</v>
      </c>
      <c r="I5" s="886">
        <f>+E5+G5</f>
        <v>160621.76165803109</v>
      </c>
      <c r="J5" s="576">
        <f>+F5+H5</f>
        <v>148360.60999999993</v>
      </c>
      <c r="K5" s="885">
        <v>78756.476683937828</v>
      </c>
      <c r="L5" s="577">
        <v>76378.819999999949</v>
      </c>
      <c r="M5" s="665">
        <f>+E5+G5+K5</f>
        <v>239378.23834196891</v>
      </c>
      <c r="N5" s="665">
        <f>+F5+H5+L5</f>
        <v>224739.42999999988</v>
      </c>
      <c r="O5" s="885">
        <v>81865.284974093272</v>
      </c>
      <c r="P5" s="577">
        <v>91293.134999999951</v>
      </c>
      <c r="Q5" s="886">
        <f>+M5+O5</f>
        <v>321243.52331606217</v>
      </c>
      <c r="R5" s="886">
        <f>+N5+P5</f>
        <v>316032.56499999983</v>
      </c>
      <c r="S5" s="885">
        <v>81865.284974093272</v>
      </c>
      <c r="T5" s="577">
        <v>78744.385999999984</v>
      </c>
      <c r="U5" s="886">
        <f>+Q5+S5</f>
        <v>403108.80829015543</v>
      </c>
      <c r="V5" s="886">
        <f>+R5+T5</f>
        <v>394776.95099999983</v>
      </c>
      <c r="W5" s="885">
        <v>49222.797927461143</v>
      </c>
      <c r="X5" s="577">
        <v>79173.527999999977</v>
      </c>
      <c r="Y5" s="665">
        <f>+O5+S5+W5</f>
        <v>212953.36787564767</v>
      </c>
      <c r="Z5" s="665">
        <f>+P5+T5+X5</f>
        <v>249211.04899999994</v>
      </c>
      <c r="AA5" s="666">
        <f>+M5+Y5</f>
        <v>452331.60621761659</v>
      </c>
      <c r="AB5" s="666">
        <f>+N5+Z5</f>
        <v>473950.47899999982</v>
      </c>
      <c r="AC5" s="885">
        <v>82901.554404145078</v>
      </c>
      <c r="AD5" s="577">
        <v>69381.48</v>
      </c>
      <c r="AE5" s="886">
        <f>+AA5+AC5</f>
        <v>535233.16062176169</v>
      </c>
      <c r="AF5" s="886">
        <f>+AB5+AD5</f>
        <v>543331.9589999998</v>
      </c>
      <c r="AG5" s="885">
        <v>80310.880829015543</v>
      </c>
      <c r="AH5" s="577">
        <v>3338.0060000000003</v>
      </c>
      <c r="AI5" s="886">
        <f>+AE5+AG5</f>
        <v>615544.04145077721</v>
      </c>
      <c r="AJ5" s="886">
        <f>+AF5+AH5</f>
        <v>546669.96499999985</v>
      </c>
      <c r="AK5" s="885">
        <v>82901.554404145078</v>
      </c>
      <c r="AL5" s="577">
        <v>73347.343999999983</v>
      </c>
      <c r="AM5" s="665">
        <f>+AC5+AG5+AK5</f>
        <v>246113.9896373057</v>
      </c>
      <c r="AN5" s="665">
        <f>+AD5+AH5+AL5</f>
        <v>146066.82999999996</v>
      </c>
      <c r="AO5" s="886">
        <f>AI5+AK5</f>
        <v>698445.59585492231</v>
      </c>
      <c r="AP5" s="886">
        <f>AJ5+AL5</f>
        <v>620017.30899999989</v>
      </c>
      <c r="AQ5" s="885">
        <v>82901.554404145078</v>
      </c>
      <c r="AR5" s="577">
        <v>72892.833999999901</v>
      </c>
      <c r="AS5" s="886">
        <f>+AO5+AQ5</f>
        <v>781347.15025906742</v>
      </c>
      <c r="AT5" s="886">
        <f>+AP5+AR5</f>
        <v>692910.14299999981</v>
      </c>
      <c r="AU5" s="885">
        <v>75129.533678756474</v>
      </c>
      <c r="AV5" s="577">
        <v>68607.755999999979</v>
      </c>
      <c r="AW5" s="886">
        <f>+AS5+AU5</f>
        <v>856476.68393782387</v>
      </c>
      <c r="AX5" s="886">
        <f>+AT5+AV5</f>
        <v>761517.89899999974</v>
      </c>
      <c r="AY5" s="885">
        <v>82901.554404145078</v>
      </c>
      <c r="AZ5" s="577">
        <v>80940.831999999951</v>
      </c>
      <c r="BA5" s="665">
        <f>+AQ5+AU5+AY5</f>
        <v>240932.64248704663</v>
      </c>
      <c r="BB5" s="665">
        <f>+AR5+AV5+AZ5</f>
        <v>222441.42199999985</v>
      </c>
      <c r="BC5" s="666">
        <f>+AM5+BA5</f>
        <v>487046.63212435233</v>
      </c>
      <c r="BD5" s="666">
        <f>+AN5+BB5</f>
        <v>368508.2519999998</v>
      </c>
      <c r="BE5" s="886">
        <f>+AW5+AY5</f>
        <v>939378.23834196897</v>
      </c>
      <c r="BF5" s="886">
        <f>+AX5+AZ5</f>
        <v>842458.73099999968</v>
      </c>
      <c r="BG5" s="26"/>
      <c r="BH5" s="26"/>
      <c r="BI5" s="26"/>
      <c r="BJ5" s="26"/>
      <c r="BK5" s="26"/>
      <c r="BL5" s="26"/>
      <c r="BM5" s="26"/>
      <c r="BN5" s="26"/>
    </row>
    <row r="6" spans="1:66" ht="24.75" customHeight="1" thickBot="1" x14ac:dyDescent="0.35">
      <c r="A6" s="149"/>
      <c r="B6" s="3031" t="s">
        <v>313</v>
      </c>
      <c r="C6" s="3032"/>
      <c r="D6" s="3032"/>
      <c r="E6" s="3033"/>
      <c r="F6" s="3034"/>
      <c r="G6" s="3033"/>
      <c r="H6" s="3034"/>
      <c r="I6" s="3033"/>
      <c r="J6" s="3033"/>
      <c r="K6" s="3033"/>
      <c r="L6" s="3034"/>
      <c r="M6" s="578"/>
      <c r="N6" s="578"/>
      <c r="O6" s="3033"/>
      <c r="P6" s="3034"/>
      <c r="Q6" s="578"/>
      <c r="R6" s="578"/>
      <c r="S6" s="3033"/>
      <c r="T6" s="3034"/>
      <c r="U6" s="578"/>
      <c r="V6" s="578"/>
      <c r="W6" s="3033"/>
      <c r="X6" s="3034"/>
      <c r="Y6" s="578"/>
      <c r="Z6" s="578"/>
      <c r="AA6" s="578"/>
      <c r="AB6" s="588"/>
      <c r="AC6" s="3033"/>
      <c r="AD6" s="3034"/>
      <c r="AE6" s="578"/>
      <c r="AF6" s="578"/>
      <c r="AG6" s="3033"/>
      <c r="AH6" s="3034"/>
      <c r="AI6" s="578"/>
      <c r="AJ6" s="578"/>
      <c r="AK6" s="3033"/>
      <c r="AL6" s="3034"/>
      <c r="AM6" s="578"/>
      <c r="AN6" s="578"/>
      <c r="AO6" s="578"/>
      <c r="AP6" s="578"/>
      <c r="AQ6" s="3033"/>
      <c r="AR6" s="3034"/>
      <c r="AS6" s="578"/>
      <c r="AT6" s="578"/>
      <c r="AU6" s="3033"/>
      <c r="AV6" s="3034"/>
      <c r="AW6" s="578"/>
      <c r="AX6" s="578"/>
      <c r="AY6" s="3033"/>
      <c r="AZ6" s="3034"/>
      <c r="BA6" s="578"/>
      <c r="BB6" s="578"/>
      <c r="BC6" s="578"/>
      <c r="BD6" s="588"/>
      <c r="BE6" s="578"/>
      <c r="BF6" s="578"/>
      <c r="BG6" s="26"/>
      <c r="BH6" s="26"/>
      <c r="BI6" s="26"/>
      <c r="BJ6" s="26"/>
      <c r="BK6" s="26"/>
      <c r="BL6" s="26"/>
      <c r="BM6" s="26"/>
      <c r="BN6" s="26"/>
    </row>
    <row r="7" spans="1:66" ht="15.6" x14ac:dyDescent="0.3">
      <c r="A7" s="149"/>
      <c r="B7" s="3037" t="s">
        <v>858</v>
      </c>
      <c r="C7" s="3038" t="s">
        <v>1042</v>
      </c>
      <c r="D7" s="758" t="s">
        <v>50</v>
      </c>
      <c r="E7" s="3039"/>
      <c r="F7" s="275"/>
      <c r="G7" s="3039"/>
      <c r="H7" s="275"/>
      <c r="I7" s="373"/>
      <c r="J7" s="4957">
        <f t="shared" ref="J7:J42" si="0">+F7+H7</f>
        <v>0</v>
      </c>
      <c r="K7" s="3039"/>
      <c r="L7" s="275"/>
      <c r="M7" s="781"/>
      <c r="N7" s="781">
        <f t="shared" ref="N7:N42" si="1">+F7+H7+L7</f>
        <v>0</v>
      </c>
      <c r="O7" s="3039"/>
      <c r="P7" s="275"/>
      <c r="Q7" s="782"/>
      <c r="R7" s="782">
        <f t="shared" ref="R7:R54" si="2">+N7+P7</f>
        <v>0</v>
      </c>
      <c r="S7" s="3039"/>
      <c r="T7" s="275"/>
      <c r="U7" s="782"/>
      <c r="V7" s="782">
        <f t="shared" ref="V7:V42" si="3">+R7+T7</f>
        <v>0</v>
      </c>
      <c r="W7" s="3039"/>
      <c r="X7" s="275"/>
      <c r="Y7" s="801"/>
      <c r="Z7" s="781">
        <f t="shared" ref="Z7:Z42" si="4">+P7+T7+X7</f>
        <v>0</v>
      </c>
      <c r="AA7" s="522"/>
      <c r="AB7" s="662">
        <f t="shared" ref="AB7:AB42" si="5">+N7+Z7</f>
        <v>0</v>
      </c>
      <c r="AC7" s="3039"/>
      <c r="AD7" s="275"/>
      <c r="AE7" s="782"/>
      <c r="AF7" s="782">
        <f t="shared" ref="AF7:AF42" si="6">+AB7+AD7</f>
        <v>0</v>
      </c>
      <c r="AG7" s="3039"/>
      <c r="AH7" s="275"/>
      <c r="AI7" s="782"/>
      <c r="AJ7" s="782">
        <f t="shared" ref="AJ7:AJ42" si="7">+AF7+AH7</f>
        <v>0</v>
      </c>
      <c r="AK7" s="3039"/>
      <c r="AL7" s="275"/>
      <c r="AM7" s="801"/>
      <c r="AN7" s="781">
        <f t="shared" ref="AN7:AN42" si="8">+AD7+AH7+AL7</f>
        <v>0</v>
      </c>
      <c r="AO7" s="782"/>
      <c r="AP7" s="782">
        <f t="shared" ref="AP7:AP42" si="9">AJ7+AL7</f>
        <v>0</v>
      </c>
      <c r="AQ7" s="3039"/>
      <c r="AR7" s="275"/>
      <c r="AS7" s="782"/>
      <c r="AT7" s="782">
        <f t="shared" ref="AT7:AT42" si="10">+AP7+AR7</f>
        <v>0</v>
      </c>
      <c r="AU7" s="3039"/>
      <c r="AV7" s="275"/>
      <c r="AW7" s="782"/>
      <c r="AX7" s="782">
        <f t="shared" ref="AX7:AX42" si="11">+AT7+AV7</f>
        <v>0</v>
      </c>
      <c r="AY7" s="3039"/>
      <c r="AZ7" s="275"/>
      <c r="BA7" s="801"/>
      <c r="BB7" s="781">
        <f t="shared" ref="BB7:BB42" si="12">+AR7+AV7+AZ7</f>
        <v>0</v>
      </c>
      <c r="BC7" s="522"/>
      <c r="BD7" s="662">
        <f t="shared" ref="BD7:BD42" si="13">+AN7+BB7</f>
        <v>0</v>
      </c>
      <c r="BE7" s="782"/>
      <c r="BF7" s="782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5.6" x14ac:dyDescent="0.3">
      <c r="A8" s="149"/>
      <c r="B8" s="887" t="s">
        <v>858</v>
      </c>
      <c r="C8" s="3040" t="s">
        <v>1043</v>
      </c>
      <c r="D8" s="2942" t="s">
        <v>50</v>
      </c>
      <c r="E8" s="3041"/>
      <c r="F8" s="2716"/>
      <c r="G8" s="3041"/>
      <c r="H8" s="2716"/>
      <c r="I8" s="2648"/>
      <c r="J8" s="4957">
        <f t="shared" si="0"/>
        <v>0</v>
      </c>
      <c r="K8" s="3041"/>
      <c r="L8" s="2716"/>
      <c r="M8" s="781"/>
      <c r="N8" s="781">
        <f t="shared" si="1"/>
        <v>0</v>
      </c>
      <c r="O8" s="3041"/>
      <c r="P8" s="2716"/>
      <c r="Q8" s="782"/>
      <c r="R8" s="782">
        <f t="shared" si="2"/>
        <v>0</v>
      </c>
      <c r="S8" s="3041"/>
      <c r="T8" s="2716"/>
      <c r="U8" s="782"/>
      <c r="V8" s="782">
        <f t="shared" si="3"/>
        <v>0</v>
      </c>
      <c r="W8" s="3041"/>
      <c r="X8" s="2716"/>
      <c r="Y8" s="801"/>
      <c r="Z8" s="781">
        <f t="shared" si="4"/>
        <v>0</v>
      </c>
      <c r="AA8" s="522"/>
      <c r="AB8" s="662">
        <f t="shared" si="5"/>
        <v>0</v>
      </c>
      <c r="AC8" s="3041"/>
      <c r="AD8" s="2716"/>
      <c r="AE8" s="782"/>
      <c r="AF8" s="782">
        <f t="shared" si="6"/>
        <v>0</v>
      </c>
      <c r="AG8" s="3041"/>
      <c r="AH8" s="2716"/>
      <c r="AI8" s="782"/>
      <c r="AJ8" s="782">
        <f t="shared" si="7"/>
        <v>0</v>
      </c>
      <c r="AK8" s="3041"/>
      <c r="AL8" s="2716"/>
      <c r="AM8" s="801"/>
      <c r="AN8" s="781">
        <f t="shared" si="8"/>
        <v>0</v>
      </c>
      <c r="AO8" s="782"/>
      <c r="AP8" s="782">
        <f t="shared" si="9"/>
        <v>0</v>
      </c>
      <c r="AQ8" s="3041"/>
      <c r="AR8" s="2716"/>
      <c r="AS8" s="782"/>
      <c r="AT8" s="782">
        <f t="shared" si="10"/>
        <v>0</v>
      </c>
      <c r="AU8" s="3041"/>
      <c r="AV8" s="2716"/>
      <c r="AW8" s="782"/>
      <c r="AX8" s="782">
        <f t="shared" si="11"/>
        <v>0</v>
      </c>
      <c r="AY8" s="3041"/>
      <c r="AZ8" s="2716">
        <v>3802.0499999999997</v>
      </c>
      <c r="BA8" s="801"/>
      <c r="BB8" s="781">
        <f t="shared" si="12"/>
        <v>3802.0499999999997</v>
      </c>
      <c r="BC8" s="522"/>
      <c r="BD8" s="662">
        <f t="shared" si="13"/>
        <v>3802.0499999999997</v>
      </c>
      <c r="BE8" s="782"/>
      <c r="BF8" s="782">
        <f t="shared" ref="BF8:BF42" si="14">+AX8+AZ8</f>
        <v>3802.0499999999997</v>
      </c>
      <c r="BG8" s="26"/>
      <c r="BH8" s="26"/>
      <c r="BI8" s="26"/>
      <c r="BJ8" s="26"/>
      <c r="BK8" s="26"/>
      <c r="BL8" s="26"/>
      <c r="BM8" s="26"/>
      <c r="BN8" s="26"/>
    </row>
    <row r="9" spans="1:66" ht="16.149999999999999" thickBot="1" x14ac:dyDescent="0.35">
      <c r="A9" s="149"/>
      <c r="B9" s="3042" t="s">
        <v>858</v>
      </c>
      <c r="C9" s="3043" t="s">
        <v>1012</v>
      </c>
      <c r="D9" s="749" t="s">
        <v>50</v>
      </c>
      <c r="E9" s="3044"/>
      <c r="F9" s="234"/>
      <c r="G9" s="3044"/>
      <c r="H9" s="234"/>
      <c r="I9" s="589"/>
      <c r="J9" s="4957">
        <f t="shared" si="0"/>
        <v>0</v>
      </c>
      <c r="K9" s="3044"/>
      <c r="L9" s="234"/>
      <c r="M9" s="781"/>
      <c r="N9" s="781">
        <f t="shared" si="1"/>
        <v>0</v>
      </c>
      <c r="O9" s="3044"/>
      <c r="P9" s="234"/>
      <c r="Q9" s="782"/>
      <c r="R9" s="782">
        <f t="shared" si="2"/>
        <v>0</v>
      </c>
      <c r="S9" s="3044"/>
      <c r="T9" s="234"/>
      <c r="U9" s="782"/>
      <c r="V9" s="782">
        <f t="shared" si="3"/>
        <v>0</v>
      </c>
      <c r="W9" s="3044"/>
      <c r="X9" s="234"/>
      <c r="Y9" s="801"/>
      <c r="Z9" s="781">
        <f t="shared" si="4"/>
        <v>0</v>
      </c>
      <c r="AA9" s="522"/>
      <c r="AB9" s="662">
        <f t="shared" si="5"/>
        <v>0</v>
      </c>
      <c r="AC9" s="3044"/>
      <c r="AD9" s="234"/>
      <c r="AE9" s="782"/>
      <c r="AF9" s="782">
        <f t="shared" si="6"/>
        <v>0</v>
      </c>
      <c r="AG9" s="3044"/>
      <c r="AH9" s="234"/>
      <c r="AI9" s="782"/>
      <c r="AJ9" s="782">
        <f t="shared" si="7"/>
        <v>0</v>
      </c>
      <c r="AK9" s="3044"/>
      <c r="AL9" s="234"/>
      <c r="AM9" s="801"/>
      <c r="AN9" s="781">
        <f t="shared" si="8"/>
        <v>0</v>
      </c>
      <c r="AO9" s="782"/>
      <c r="AP9" s="782">
        <f t="shared" si="9"/>
        <v>0</v>
      </c>
      <c r="AQ9" s="3044"/>
      <c r="AR9" s="234"/>
      <c r="AS9" s="782"/>
      <c r="AT9" s="782">
        <f t="shared" si="10"/>
        <v>0</v>
      </c>
      <c r="AU9" s="3044"/>
      <c r="AV9" s="234"/>
      <c r="AW9" s="782"/>
      <c r="AX9" s="782">
        <f t="shared" si="11"/>
        <v>0</v>
      </c>
      <c r="AY9" s="3044"/>
      <c r="AZ9" s="234"/>
      <c r="BA9" s="801"/>
      <c r="BB9" s="781">
        <f t="shared" si="12"/>
        <v>0</v>
      </c>
      <c r="BC9" s="522"/>
      <c r="BD9" s="662">
        <f t="shared" si="13"/>
        <v>0</v>
      </c>
      <c r="BE9" s="782"/>
      <c r="BF9" s="782">
        <f t="shared" si="14"/>
        <v>0</v>
      </c>
      <c r="BG9" s="26"/>
      <c r="BH9" s="26"/>
      <c r="BI9" s="26"/>
      <c r="BJ9" s="26"/>
      <c r="BK9" s="26"/>
      <c r="BL9" s="26"/>
      <c r="BM9" s="26"/>
      <c r="BN9" s="26"/>
    </row>
    <row r="10" spans="1:66" ht="16.149999999999999" thickBot="1" x14ac:dyDescent="0.35">
      <c r="A10" s="149"/>
      <c r="B10" s="4812" t="s">
        <v>2118</v>
      </c>
      <c r="C10" s="4813" t="s">
        <v>1042</v>
      </c>
      <c r="D10" s="825" t="s">
        <v>50</v>
      </c>
      <c r="E10" s="4814"/>
      <c r="F10" s="2298"/>
      <c r="G10" s="4814"/>
      <c r="H10" s="2298"/>
      <c r="I10" s="3611"/>
      <c r="J10" s="4957">
        <f t="shared" si="0"/>
        <v>0</v>
      </c>
      <c r="K10" s="4814"/>
      <c r="L10" s="2298">
        <v>2343.0900000000006</v>
      </c>
      <c r="M10" s="4809"/>
      <c r="N10" s="781">
        <f t="shared" si="1"/>
        <v>2343.0900000000006</v>
      </c>
      <c r="O10" s="4814"/>
      <c r="P10" s="2298"/>
      <c r="Q10" s="4807"/>
      <c r="R10" s="782">
        <f t="shared" si="2"/>
        <v>2343.0900000000006</v>
      </c>
      <c r="S10" s="4814"/>
      <c r="T10" s="2298"/>
      <c r="U10" s="4807"/>
      <c r="V10" s="782">
        <f t="shared" si="3"/>
        <v>2343.0900000000006</v>
      </c>
      <c r="W10" s="4814"/>
      <c r="X10" s="2298"/>
      <c r="Y10" s="4815"/>
      <c r="Z10" s="781">
        <f t="shared" si="4"/>
        <v>0</v>
      </c>
      <c r="AA10" s="4816"/>
      <c r="AB10" s="662">
        <f t="shared" si="5"/>
        <v>2343.0900000000006</v>
      </c>
      <c r="AC10" s="4814"/>
      <c r="AD10" s="2298"/>
      <c r="AE10" s="4807"/>
      <c r="AF10" s="4807"/>
      <c r="AG10" s="4814"/>
      <c r="AH10" s="2298"/>
      <c r="AI10" s="4807"/>
      <c r="AJ10" s="4807"/>
      <c r="AK10" s="4814"/>
      <c r="AL10" s="2298"/>
      <c r="AM10" s="4815"/>
      <c r="AN10" s="4809"/>
      <c r="AO10" s="4807"/>
      <c r="AP10" s="4807"/>
      <c r="AQ10" s="4814"/>
      <c r="AR10" s="2298"/>
      <c r="AS10" s="4807"/>
      <c r="AT10" s="4807"/>
      <c r="AU10" s="4814"/>
      <c r="AV10" s="2298"/>
      <c r="AW10" s="4807"/>
      <c r="AX10" s="782">
        <f t="shared" si="11"/>
        <v>0</v>
      </c>
      <c r="AY10" s="4814"/>
      <c r="AZ10" s="2298">
        <f>3161.57-34.5</f>
        <v>3127.07</v>
      </c>
      <c r="BA10" s="4815"/>
      <c r="BB10" s="781">
        <f t="shared" si="12"/>
        <v>3127.07</v>
      </c>
      <c r="BC10" s="4816"/>
      <c r="BD10" s="662">
        <f t="shared" si="13"/>
        <v>3127.07</v>
      </c>
      <c r="BE10" s="4807"/>
      <c r="BF10" s="782">
        <f t="shared" si="14"/>
        <v>3127.07</v>
      </c>
      <c r="BG10" s="26"/>
      <c r="BH10" s="26"/>
      <c r="BI10" s="26"/>
      <c r="BJ10" s="26"/>
      <c r="BK10" s="26"/>
      <c r="BL10" s="26"/>
      <c r="BM10" s="26"/>
      <c r="BN10" s="26"/>
    </row>
    <row r="11" spans="1:66" ht="15.6" x14ac:dyDescent="0.3">
      <c r="A11" s="26"/>
      <c r="B11" s="3037" t="s">
        <v>857</v>
      </c>
      <c r="C11" s="3038" t="s">
        <v>1042</v>
      </c>
      <c r="D11" s="758" t="s">
        <v>50</v>
      </c>
      <c r="E11" s="158"/>
      <c r="F11" s="275">
        <v>3073.6349999999993</v>
      </c>
      <c r="G11" s="158"/>
      <c r="H11" s="275">
        <v>7484.0600000000068</v>
      </c>
      <c r="I11" s="373"/>
      <c r="J11" s="4957">
        <f t="shared" si="0"/>
        <v>10557.695000000007</v>
      </c>
      <c r="K11" s="158"/>
      <c r="L11" s="275">
        <v>2680.9949999999994</v>
      </c>
      <c r="M11" s="781"/>
      <c r="N11" s="781">
        <f t="shared" si="1"/>
        <v>13238.690000000006</v>
      </c>
      <c r="O11" s="158"/>
      <c r="P11" s="275">
        <v>8612.9100000000144</v>
      </c>
      <c r="Q11" s="782"/>
      <c r="R11" s="782">
        <f t="shared" si="2"/>
        <v>21851.60000000002</v>
      </c>
      <c r="S11" s="158"/>
      <c r="T11" s="275">
        <v>2746.4349999999995</v>
      </c>
      <c r="U11" s="782"/>
      <c r="V11" s="782">
        <f t="shared" si="3"/>
        <v>24598.035000000018</v>
      </c>
      <c r="W11" s="158"/>
      <c r="X11" s="275">
        <v>2824.1449999999995</v>
      </c>
      <c r="Y11" s="801"/>
      <c r="Z11" s="781">
        <f t="shared" si="4"/>
        <v>14183.490000000013</v>
      </c>
      <c r="AA11" s="522"/>
      <c r="AB11" s="662">
        <f t="shared" si="5"/>
        <v>27422.180000000018</v>
      </c>
      <c r="AC11" s="158"/>
      <c r="AD11" s="275">
        <v>11458.67</v>
      </c>
      <c r="AE11" s="782"/>
      <c r="AF11" s="782">
        <f t="shared" si="6"/>
        <v>38880.85000000002</v>
      </c>
      <c r="AG11" s="158"/>
      <c r="AH11" s="275"/>
      <c r="AI11" s="782"/>
      <c r="AJ11" s="782">
        <f t="shared" si="7"/>
        <v>38880.85000000002</v>
      </c>
      <c r="AK11" s="158"/>
      <c r="AL11" s="275">
        <v>5603.1950000000061</v>
      </c>
      <c r="AM11" s="801"/>
      <c r="AN11" s="781">
        <f t="shared" si="8"/>
        <v>17061.865000000005</v>
      </c>
      <c r="AO11" s="782"/>
      <c r="AP11" s="782">
        <f t="shared" si="9"/>
        <v>44484.045000000027</v>
      </c>
      <c r="AQ11" s="158"/>
      <c r="AR11" s="275">
        <v>5935.1350000000057</v>
      </c>
      <c r="AS11" s="782"/>
      <c r="AT11" s="782">
        <f t="shared" si="10"/>
        <v>50419.180000000037</v>
      </c>
      <c r="AU11" s="158"/>
      <c r="AV11" s="275">
        <v>5905.9600000000064</v>
      </c>
      <c r="AW11" s="782"/>
      <c r="AX11" s="782">
        <f t="shared" si="11"/>
        <v>56325.140000000043</v>
      </c>
      <c r="AY11" s="158"/>
      <c r="AZ11" s="275">
        <v>5147.265000000004</v>
      </c>
      <c r="BA11" s="801"/>
      <c r="BB11" s="781">
        <f t="shared" si="12"/>
        <v>16988.360000000015</v>
      </c>
      <c r="BC11" s="522"/>
      <c r="BD11" s="662">
        <f t="shared" si="13"/>
        <v>34050.22500000002</v>
      </c>
      <c r="BE11" s="782"/>
      <c r="BF11" s="782">
        <f t="shared" si="14"/>
        <v>61472.40500000005</v>
      </c>
      <c r="BG11" s="26"/>
      <c r="BH11" s="26"/>
      <c r="BI11" s="26"/>
      <c r="BJ11" s="26"/>
      <c r="BK11" s="26"/>
      <c r="BL11" s="26"/>
      <c r="BM11" s="26"/>
      <c r="BN11" s="26"/>
    </row>
    <row r="12" spans="1:66" ht="15" customHeight="1" x14ac:dyDescent="0.3">
      <c r="B12" s="887" t="s">
        <v>857</v>
      </c>
      <c r="C12" s="3040" t="s">
        <v>1043</v>
      </c>
      <c r="D12" s="2942" t="s">
        <v>50</v>
      </c>
      <c r="E12" s="2647"/>
      <c r="F12" s="2716">
        <v>5074.1500000000015</v>
      </c>
      <c r="G12" s="2647"/>
      <c r="H12" s="2716">
        <v>10903.48000000002</v>
      </c>
      <c r="I12" s="2648"/>
      <c r="J12" s="4957">
        <f t="shared" si="0"/>
        <v>15977.630000000021</v>
      </c>
      <c r="K12" s="2647"/>
      <c r="L12" s="2716">
        <v>7717.4150000000072</v>
      </c>
      <c r="M12" s="781"/>
      <c r="N12" s="781">
        <f t="shared" si="1"/>
        <v>23695.045000000027</v>
      </c>
      <c r="O12" s="2647"/>
      <c r="P12" s="2716">
        <v>4122.7200000000021</v>
      </c>
      <c r="Q12" s="782"/>
      <c r="R12" s="782">
        <f t="shared" si="2"/>
        <v>27817.765000000029</v>
      </c>
      <c r="S12" s="2647"/>
      <c r="T12" s="2716">
        <v>3936.6249999999991</v>
      </c>
      <c r="U12" s="782"/>
      <c r="V12" s="782">
        <f t="shared" si="3"/>
        <v>31754.390000000029</v>
      </c>
      <c r="W12" s="2647"/>
      <c r="X12" s="2716">
        <v>12586.515000000023</v>
      </c>
      <c r="Y12" s="801"/>
      <c r="Z12" s="781">
        <f t="shared" si="4"/>
        <v>20645.860000000022</v>
      </c>
      <c r="AA12" s="522"/>
      <c r="AB12" s="662">
        <f t="shared" si="5"/>
        <v>44340.90500000005</v>
      </c>
      <c r="AC12" s="2647"/>
      <c r="AD12" s="2716">
        <v>7562.41</v>
      </c>
      <c r="AE12" s="782"/>
      <c r="AF12" s="782">
        <f t="shared" si="6"/>
        <v>51903.315000000046</v>
      </c>
      <c r="AG12" s="2647"/>
      <c r="AH12" s="2716"/>
      <c r="AI12" s="782"/>
      <c r="AJ12" s="782">
        <f t="shared" si="7"/>
        <v>51903.315000000046</v>
      </c>
      <c r="AK12" s="2647"/>
      <c r="AL12" s="2716">
        <v>7036.6150000000025</v>
      </c>
      <c r="AM12" s="801"/>
      <c r="AN12" s="781">
        <f t="shared" si="8"/>
        <v>14599.025000000001</v>
      </c>
      <c r="AO12" s="782"/>
      <c r="AP12" s="782">
        <f t="shared" si="9"/>
        <v>58939.930000000051</v>
      </c>
      <c r="AQ12" s="2647"/>
      <c r="AR12" s="2716">
        <v>3977.5249999999987</v>
      </c>
      <c r="AS12" s="782"/>
      <c r="AT12" s="782">
        <f t="shared" si="10"/>
        <v>62917.455000000053</v>
      </c>
      <c r="AU12" s="2647"/>
      <c r="AV12" s="2716">
        <v>4997.0800000000027</v>
      </c>
      <c r="AW12" s="782"/>
      <c r="AX12" s="782">
        <f t="shared" si="11"/>
        <v>67914.535000000062</v>
      </c>
      <c r="AY12" s="2647"/>
      <c r="AZ12" s="2716">
        <v>7862.2250000000022</v>
      </c>
      <c r="BA12" s="801"/>
      <c r="BB12" s="781">
        <f t="shared" si="12"/>
        <v>16836.830000000002</v>
      </c>
      <c r="BC12" s="522"/>
      <c r="BD12" s="662">
        <f t="shared" si="13"/>
        <v>31435.855000000003</v>
      </c>
      <c r="BE12" s="782"/>
      <c r="BF12" s="782">
        <f t="shared" si="14"/>
        <v>75776.760000000068</v>
      </c>
      <c r="BG12" s="26"/>
      <c r="BH12" s="26"/>
      <c r="BI12" s="26"/>
      <c r="BJ12" s="26"/>
      <c r="BK12" s="26"/>
      <c r="BL12" s="26"/>
      <c r="BM12" s="26"/>
      <c r="BN12" s="26"/>
    </row>
    <row r="13" spans="1:66" ht="15.6" x14ac:dyDescent="0.3">
      <c r="A13" s="26"/>
      <c r="B13" s="887" t="s">
        <v>857</v>
      </c>
      <c r="C13" s="3040" t="s">
        <v>1012</v>
      </c>
      <c r="D13" s="2942" t="s">
        <v>50</v>
      </c>
      <c r="E13" s="2647"/>
      <c r="F13" s="2716"/>
      <c r="G13" s="2647"/>
      <c r="H13" s="2716"/>
      <c r="I13" s="2648"/>
      <c r="J13" s="4957">
        <f t="shared" si="0"/>
        <v>0</v>
      </c>
      <c r="K13" s="2647"/>
      <c r="L13" s="2716"/>
      <c r="M13" s="781"/>
      <c r="N13" s="781">
        <f t="shared" si="1"/>
        <v>0</v>
      </c>
      <c r="O13" s="2647"/>
      <c r="P13" s="2716"/>
      <c r="Q13" s="782"/>
      <c r="R13" s="782">
        <f t="shared" si="2"/>
        <v>0</v>
      </c>
      <c r="S13" s="2647"/>
      <c r="T13" s="2716"/>
      <c r="U13" s="782"/>
      <c r="V13" s="782">
        <f t="shared" si="3"/>
        <v>0</v>
      </c>
      <c r="W13" s="2647"/>
      <c r="X13" s="2716"/>
      <c r="Y13" s="801"/>
      <c r="Z13" s="781">
        <f t="shared" si="4"/>
        <v>0</v>
      </c>
      <c r="AA13" s="522"/>
      <c r="AB13" s="662">
        <f t="shared" si="5"/>
        <v>0</v>
      </c>
      <c r="AC13" s="2647"/>
      <c r="AD13" s="2716"/>
      <c r="AE13" s="782"/>
      <c r="AF13" s="782">
        <f t="shared" si="6"/>
        <v>0</v>
      </c>
      <c r="AG13" s="2647"/>
      <c r="AH13" s="2716"/>
      <c r="AI13" s="782"/>
      <c r="AJ13" s="782">
        <f t="shared" si="7"/>
        <v>0</v>
      </c>
      <c r="AK13" s="2647"/>
      <c r="AL13" s="2716"/>
      <c r="AM13" s="801"/>
      <c r="AN13" s="781">
        <f t="shared" si="8"/>
        <v>0</v>
      </c>
      <c r="AO13" s="782"/>
      <c r="AP13" s="782">
        <f t="shared" si="9"/>
        <v>0</v>
      </c>
      <c r="AQ13" s="2647"/>
      <c r="AR13" s="2716"/>
      <c r="AS13" s="782"/>
      <c r="AT13" s="782">
        <f t="shared" si="10"/>
        <v>0</v>
      </c>
      <c r="AU13" s="2647"/>
      <c r="AV13" s="2716"/>
      <c r="AW13" s="782"/>
      <c r="AX13" s="782">
        <f t="shared" si="11"/>
        <v>0</v>
      </c>
      <c r="AY13" s="2647"/>
      <c r="AZ13" s="2716"/>
      <c r="BA13" s="801"/>
      <c r="BB13" s="781">
        <f t="shared" si="12"/>
        <v>0</v>
      </c>
      <c r="BC13" s="522"/>
      <c r="BD13" s="662">
        <f t="shared" si="13"/>
        <v>0</v>
      </c>
      <c r="BE13" s="782"/>
      <c r="BF13" s="782">
        <f t="shared" si="14"/>
        <v>0</v>
      </c>
      <c r="BG13" s="26"/>
      <c r="BH13" s="26"/>
      <c r="BI13" s="26"/>
      <c r="BJ13" s="26"/>
      <c r="BK13" s="26"/>
      <c r="BL13" s="26"/>
      <c r="BM13" s="26"/>
      <c r="BN13" s="26"/>
    </row>
    <row r="14" spans="1:66" ht="15.6" x14ac:dyDescent="0.3">
      <c r="A14" s="26"/>
      <c r="B14" s="887" t="s">
        <v>857</v>
      </c>
      <c r="C14" s="3040" t="s">
        <v>1044</v>
      </c>
      <c r="D14" s="2942" t="s">
        <v>50</v>
      </c>
      <c r="E14" s="2647"/>
      <c r="F14" s="2716"/>
      <c r="G14" s="2647"/>
      <c r="H14" s="2716"/>
      <c r="I14" s="2648"/>
      <c r="J14" s="4957">
        <f t="shared" si="0"/>
        <v>0</v>
      </c>
      <c r="K14" s="2647"/>
      <c r="L14" s="2716">
        <v>1914.7949999999998</v>
      </c>
      <c r="M14" s="781"/>
      <c r="N14" s="781">
        <f t="shared" si="1"/>
        <v>1914.7949999999998</v>
      </c>
      <c r="O14" s="2647"/>
      <c r="P14" s="2716"/>
      <c r="Q14" s="782"/>
      <c r="R14" s="782">
        <f t="shared" si="2"/>
        <v>1914.7949999999998</v>
      </c>
      <c r="S14" s="2647"/>
      <c r="T14" s="2716">
        <v>1443.7700000000002</v>
      </c>
      <c r="U14" s="782"/>
      <c r="V14" s="782">
        <f t="shared" si="3"/>
        <v>3358.5650000000001</v>
      </c>
      <c r="W14" s="2647"/>
      <c r="X14" s="2716"/>
      <c r="Y14" s="801"/>
      <c r="Z14" s="781">
        <f t="shared" si="4"/>
        <v>1443.7700000000002</v>
      </c>
      <c r="AA14" s="522"/>
      <c r="AB14" s="662">
        <f t="shared" si="5"/>
        <v>3358.5650000000001</v>
      </c>
      <c r="AC14" s="2647"/>
      <c r="AD14" s="2716"/>
      <c r="AE14" s="782"/>
      <c r="AF14" s="782">
        <f t="shared" si="6"/>
        <v>3358.5650000000001</v>
      </c>
      <c r="AG14" s="2647"/>
      <c r="AH14" s="2716"/>
      <c r="AI14" s="782"/>
      <c r="AJ14" s="782">
        <f t="shared" si="7"/>
        <v>3358.5650000000001</v>
      </c>
      <c r="AK14" s="2647"/>
      <c r="AL14" s="2716">
        <v>1032.2749999999999</v>
      </c>
      <c r="AM14" s="801"/>
      <c r="AN14" s="781">
        <f t="shared" si="8"/>
        <v>1032.2749999999999</v>
      </c>
      <c r="AO14" s="782"/>
      <c r="AP14" s="782">
        <f t="shared" si="9"/>
        <v>4390.84</v>
      </c>
      <c r="AQ14" s="2647"/>
      <c r="AR14" s="2716">
        <v>977.50999999999976</v>
      </c>
      <c r="AS14" s="782"/>
      <c r="AT14" s="782">
        <f t="shared" si="10"/>
        <v>5368.35</v>
      </c>
      <c r="AU14" s="2647"/>
      <c r="AV14" s="2716"/>
      <c r="AW14" s="782"/>
      <c r="AX14" s="782">
        <f t="shared" si="11"/>
        <v>5368.35</v>
      </c>
      <c r="AY14" s="2647"/>
      <c r="AZ14" s="2716"/>
      <c r="BA14" s="801"/>
      <c r="BB14" s="781">
        <f t="shared" si="12"/>
        <v>977.50999999999976</v>
      </c>
      <c r="BC14" s="522"/>
      <c r="BD14" s="662">
        <f t="shared" si="13"/>
        <v>2009.7849999999996</v>
      </c>
      <c r="BE14" s="782"/>
      <c r="BF14" s="782">
        <f t="shared" si="14"/>
        <v>5368.35</v>
      </c>
      <c r="BG14" s="26"/>
      <c r="BH14" s="26"/>
      <c r="BI14" s="26"/>
      <c r="BJ14" s="26"/>
      <c r="BK14" s="26"/>
      <c r="BL14" s="26"/>
      <c r="BM14" s="26"/>
      <c r="BN14" s="26"/>
    </row>
    <row r="15" spans="1:66" ht="16.149999999999999" thickBot="1" x14ac:dyDescent="0.35">
      <c r="A15" s="26"/>
      <c r="B15" s="3042" t="s">
        <v>857</v>
      </c>
      <c r="C15" s="3043" t="s">
        <v>1147</v>
      </c>
      <c r="D15" s="749" t="s">
        <v>50</v>
      </c>
      <c r="E15" s="109"/>
      <c r="F15" s="234">
        <v>5058.57</v>
      </c>
      <c r="G15" s="109"/>
      <c r="H15" s="234">
        <v>2936.62</v>
      </c>
      <c r="I15" s="589"/>
      <c r="J15" s="4957">
        <f t="shared" si="0"/>
        <v>7995.19</v>
      </c>
      <c r="K15" s="109"/>
      <c r="L15" s="234">
        <v>1650.3149999999996</v>
      </c>
      <c r="M15" s="781"/>
      <c r="N15" s="781">
        <f t="shared" si="1"/>
        <v>9645.5049999999992</v>
      </c>
      <c r="O15" s="109"/>
      <c r="P15" s="234">
        <v>3276.0899999999988</v>
      </c>
      <c r="Q15" s="782"/>
      <c r="R15" s="782">
        <f t="shared" si="2"/>
        <v>12921.594999999998</v>
      </c>
      <c r="S15" s="109"/>
      <c r="T15" s="234"/>
      <c r="U15" s="782"/>
      <c r="V15" s="782">
        <f t="shared" si="3"/>
        <v>12921.594999999998</v>
      </c>
      <c r="W15" s="109"/>
      <c r="X15" s="234">
        <v>2259.7249999999995</v>
      </c>
      <c r="Y15" s="801"/>
      <c r="Z15" s="781">
        <f t="shared" si="4"/>
        <v>5535.8149999999987</v>
      </c>
      <c r="AA15" s="522"/>
      <c r="AB15" s="662">
        <f t="shared" si="5"/>
        <v>15181.319999999998</v>
      </c>
      <c r="AC15" s="109"/>
      <c r="AD15" s="234"/>
      <c r="AE15" s="782"/>
      <c r="AF15" s="782">
        <f t="shared" si="6"/>
        <v>15181.319999999998</v>
      </c>
      <c r="AG15" s="109"/>
      <c r="AH15" s="234"/>
      <c r="AI15" s="782"/>
      <c r="AJ15" s="782">
        <f t="shared" si="7"/>
        <v>15181.319999999998</v>
      </c>
      <c r="AK15" s="109"/>
      <c r="AL15" s="234">
        <v>3042.9599999999991</v>
      </c>
      <c r="AM15" s="801"/>
      <c r="AN15" s="781">
        <f t="shared" si="8"/>
        <v>3042.9599999999991</v>
      </c>
      <c r="AO15" s="782"/>
      <c r="AP15" s="782">
        <f t="shared" si="9"/>
        <v>18224.28</v>
      </c>
      <c r="AQ15" s="109"/>
      <c r="AR15" s="234">
        <v>3615.5599999999995</v>
      </c>
      <c r="AS15" s="782"/>
      <c r="AT15" s="782">
        <f t="shared" si="10"/>
        <v>21839.839999999997</v>
      </c>
      <c r="AU15" s="109"/>
      <c r="AV15" s="234">
        <v>3969.3449999999993</v>
      </c>
      <c r="AW15" s="782"/>
      <c r="AX15" s="782">
        <f t="shared" si="11"/>
        <v>25809.184999999998</v>
      </c>
      <c r="AY15" s="109"/>
      <c r="AZ15" s="234">
        <v>5505.8849999999993</v>
      </c>
      <c r="BA15" s="801"/>
      <c r="BB15" s="781">
        <f t="shared" si="12"/>
        <v>13090.789999999997</v>
      </c>
      <c r="BC15" s="522"/>
      <c r="BD15" s="662">
        <f t="shared" si="13"/>
        <v>16133.749999999996</v>
      </c>
      <c r="BE15" s="782"/>
      <c r="BF15" s="782">
        <f t="shared" si="14"/>
        <v>31315.069999999996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3">
      <c r="B16" s="3035" t="s">
        <v>949</v>
      </c>
      <c r="C16" s="3036" t="s">
        <v>1043</v>
      </c>
      <c r="D16" s="60" t="s">
        <v>50</v>
      </c>
      <c r="E16" s="1202"/>
      <c r="F16" s="1306"/>
      <c r="G16" s="1202"/>
      <c r="H16" s="1306"/>
      <c r="I16" s="572"/>
      <c r="J16" s="4957">
        <f t="shared" si="0"/>
        <v>0</v>
      </c>
      <c r="K16" s="1202"/>
      <c r="L16" s="1306"/>
      <c r="M16" s="781"/>
      <c r="N16" s="781">
        <f t="shared" si="1"/>
        <v>0</v>
      </c>
      <c r="O16" s="1202"/>
      <c r="P16" s="1306">
        <v>3445.0850000000009</v>
      </c>
      <c r="Q16" s="782"/>
      <c r="R16" s="782">
        <f t="shared" si="2"/>
        <v>3445.0850000000009</v>
      </c>
      <c r="S16" s="1202"/>
      <c r="T16" s="1306"/>
      <c r="U16" s="782"/>
      <c r="V16" s="782">
        <f t="shared" si="3"/>
        <v>3445.0850000000009</v>
      </c>
      <c r="W16" s="1202"/>
      <c r="X16" s="1306">
        <v>1057.6499999999996</v>
      </c>
      <c r="Y16" s="801"/>
      <c r="Z16" s="781">
        <f t="shared" si="4"/>
        <v>4502.7350000000006</v>
      </c>
      <c r="AA16" s="522"/>
      <c r="AB16" s="662">
        <f t="shared" si="5"/>
        <v>4502.7350000000006</v>
      </c>
      <c r="AC16" s="1202"/>
      <c r="AD16" s="1306"/>
      <c r="AE16" s="782"/>
      <c r="AF16" s="782">
        <f t="shared" si="6"/>
        <v>4502.7350000000006</v>
      </c>
      <c r="AG16" s="1202"/>
      <c r="AH16" s="1306"/>
      <c r="AI16" s="782"/>
      <c r="AJ16" s="782">
        <f t="shared" si="7"/>
        <v>4502.7350000000006</v>
      </c>
      <c r="AK16" s="1202"/>
      <c r="AL16" s="1306"/>
      <c r="AM16" s="801"/>
      <c r="AN16" s="781">
        <f t="shared" si="8"/>
        <v>0</v>
      </c>
      <c r="AO16" s="782"/>
      <c r="AP16" s="782">
        <f t="shared" si="9"/>
        <v>4502.7350000000006</v>
      </c>
      <c r="AQ16" s="1202"/>
      <c r="AR16" s="1306"/>
      <c r="AS16" s="782"/>
      <c r="AT16" s="782">
        <f t="shared" si="10"/>
        <v>4502.7350000000006</v>
      </c>
      <c r="AU16" s="1202"/>
      <c r="AV16" s="1306">
        <v>2372.199999999998</v>
      </c>
      <c r="AW16" s="782"/>
      <c r="AX16" s="782">
        <f t="shared" si="11"/>
        <v>6874.9349999999986</v>
      </c>
      <c r="AY16" s="1202"/>
      <c r="AZ16" s="1306"/>
      <c r="BA16" s="801"/>
      <c r="BB16" s="781">
        <f t="shared" si="12"/>
        <v>2372.199999999998</v>
      </c>
      <c r="BC16" s="522"/>
      <c r="BD16" s="662">
        <f t="shared" si="13"/>
        <v>2372.199999999998</v>
      </c>
      <c r="BE16" s="782"/>
      <c r="BF16" s="782">
        <f t="shared" si="14"/>
        <v>6874.9349999999986</v>
      </c>
      <c r="BG16" s="26"/>
      <c r="BH16" s="26"/>
      <c r="BI16" s="26"/>
      <c r="BJ16" s="26"/>
      <c r="BK16" s="26"/>
      <c r="BL16" s="26"/>
      <c r="BM16" s="26"/>
      <c r="BN16" s="26"/>
    </row>
    <row r="17" spans="2:66" ht="15" customHeight="1" x14ac:dyDescent="0.3">
      <c r="B17" s="3035" t="s">
        <v>949</v>
      </c>
      <c r="C17" s="3036" t="s">
        <v>1042</v>
      </c>
      <c r="D17" s="60"/>
      <c r="E17" s="1202"/>
      <c r="F17" s="1306"/>
      <c r="G17" s="1202"/>
      <c r="H17" s="1306"/>
      <c r="I17" s="572"/>
      <c r="J17" s="5554"/>
      <c r="K17" s="1202"/>
      <c r="L17" s="1306"/>
      <c r="M17" s="5555"/>
      <c r="N17" s="5555"/>
      <c r="O17" s="1202"/>
      <c r="P17" s="1306"/>
      <c r="Q17" s="5554"/>
      <c r="R17" s="5554"/>
      <c r="S17" s="1202"/>
      <c r="T17" s="1306"/>
      <c r="U17" s="5554"/>
      <c r="V17" s="5554"/>
      <c r="W17" s="1202"/>
      <c r="X17" s="1306">
        <v>1104.3</v>
      </c>
      <c r="Y17" s="5585"/>
      <c r="Z17" s="781">
        <f t="shared" ref="Z17" si="15">+P17+T17+X17</f>
        <v>1104.3</v>
      </c>
      <c r="AA17" s="522"/>
      <c r="AB17" s="662">
        <f t="shared" ref="AB17" si="16">+N17+Z17</f>
        <v>1104.3</v>
      </c>
      <c r="AC17" s="1202"/>
      <c r="AD17" s="1306"/>
      <c r="AE17" s="5554"/>
      <c r="AF17" s="5554"/>
      <c r="AG17" s="1202"/>
      <c r="AH17" s="1306"/>
      <c r="AI17" s="5554"/>
      <c r="AJ17" s="5554"/>
      <c r="AK17" s="1202"/>
      <c r="AL17" s="1306"/>
      <c r="AM17" s="5585"/>
      <c r="AN17" s="5555"/>
      <c r="AO17" s="5554"/>
      <c r="AP17" s="5554"/>
      <c r="AQ17" s="1202"/>
      <c r="AR17" s="1306"/>
      <c r="AS17" s="5554"/>
      <c r="AT17" s="5554"/>
      <c r="AU17" s="1202"/>
      <c r="AV17" s="1306"/>
      <c r="AW17" s="5554"/>
      <c r="AX17" s="5554"/>
      <c r="AY17" s="1202"/>
      <c r="AZ17" s="1306"/>
      <c r="BA17" s="5585"/>
      <c r="BB17" s="5555"/>
      <c r="BC17" s="5586"/>
      <c r="BD17" s="5587"/>
      <c r="BE17" s="5554"/>
      <c r="BF17" s="5554"/>
      <c r="BG17" s="26"/>
      <c r="BH17" s="26"/>
      <c r="BI17" s="26"/>
      <c r="BJ17" s="26"/>
      <c r="BK17" s="26"/>
      <c r="BL17" s="26"/>
      <c r="BM17" s="26"/>
      <c r="BN17" s="26"/>
    </row>
    <row r="18" spans="2:66" ht="15" customHeight="1" x14ac:dyDescent="0.3">
      <c r="B18" s="887" t="s">
        <v>1564</v>
      </c>
      <c r="C18" s="3040" t="s">
        <v>1042</v>
      </c>
      <c r="D18" s="2942" t="s">
        <v>50</v>
      </c>
      <c r="E18" s="2647"/>
      <c r="F18" s="2716">
        <v>1808.4699999999996</v>
      </c>
      <c r="G18" s="2647"/>
      <c r="H18" s="2716"/>
      <c r="I18" s="2648"/>
      <c r="J18" s="4957">
        <f t="shared" si="0"/>
        <v>1808.4699999999996</v>
      </c>
      <c r="K18" s="2647"/>
      <c r="L18" s="2716"/>
      <c r="M18" s="781"/>
      <c r="N18" s="781">
        <f t="shared" si="1"/>
        <v>1808.4699999999996</v>
      </c>
      <c r="O18" s="2647"/>
      <c r="P18" s="2716">
        <v>2233.145</v>
      </c>
      <c r="Q18" s="782"/>
      <c r="R18" s="782">
        <f t="shared" si="2"/>
        <v>4041.6149999999998</v>
      </c>
      <c r="S18" s="2647"/>
      <c r="T18" s="2716"/>
      <c r="U18" s="782"/>
      <c r="V18" s="782">
        <f t="shared" si="3"/>
        <v>4041.6149999999998</v>
      </c>
      <c r="W18" s="2647"/>
      <c r="X18" s="2716"/>
      <c r="Y18" s="801"/>
      <c r="Z18" s="781">
        <f t="shared" si="4"/>
        <v>2233.145</v>
      </c>
      <c r="AA18" s="522"/>
      <c r="AB18" s="662">
        <f t="shared" si="5"/>
        <v>4041.6149999999998</v>
      </c>
      <c r="AC18" s="2647"/>
      <c r="AD18" s="2716">
        <v>2569.52</v>
      </c>
      <c r="AE18" s="782"/>
      <c r="AF18" s="782">
        <f t="shared" si="6"/>
        <v>6611.1350000000002</v>
      </c>
      <c r="AG18" s="2647"/>
      <c r="AH18" s="2716"/>
      <c r="AI18" s="782"/>
      <c r="AJ18" s="782">
        <f t="shared" si="7"/>
        <v>6611.1350000000002</v>
      </c>
      <c r="AK18" s="2647"/>
      <c r="AL18" s="2716"/>
      <c r="AM18" s="801"/>
      <c r="AN18" s="781">
        <f t="shared" si="8"/>
        <v>2569.52</v>
      </c>
      <c r="AO18" s="782"/>
      <c r="AP18" s="782">
        <f t="shared" si="9"/>
        <v>6611.1350000000002</v>
      </c>
      <c r="AQ18" s="2647"/>
      <c r="AR18" s="2716"/>
      <c r="AS18" s="782"/>
      <c r="AT18" s="782">
        <f t="shared" si="10"/>
        <v>6611.1350000000002</v>
      </c>
      <c r="AU18" s="2647"/>
      <c r="AV18" s="2716"/>
      <c r="AW18" s="782"/>
      <c r="AX18" s="782">
        <f t="shared" si="11"/>
        <v>6611.1350000000002</v>
      </c>
      <c r="AY18" s="2647"/>
      <c r="AZ18" s="2716"/>
      <c r="BA18" s="801"/>
      <c r="BB18" s="781">
        <f t="shared" si="12"/>
        <v>0</v>
      </c>
      <c r="BC18" s="522"/>
      <c r="BD18" s="662">
        <f t="shared" si="13"/>
        <v>2569.52</v>
      </c>
      <c r="BE18" s="782"/>
      <c r="BF18" s="782">
        <f t="shared" si="14"/>
        <v>6611.1350000000002</v>
      </c>
      <c r="BG18" s="26"/>
      <c r="BH18" s="26"/>
      <c r="BI18" s="26"/>
      <c r="BJ18" s="26"/>
      <c r="BK18" s="26"/>
      <c r="BL18" s="26"/>
      <c r="BM18" s="26"/>
      <c r="BN18" s="26"/>
    </row>
    <row r="19" spans="2:66" ht="15" customHeight="1" x14ac:dyDescent="0.3">
      <c r="B19" s="5541" t="s">
        <v>1564</v>
      </c>
      <c r="C19" s="5542" t="s">
        <v>1044</v>
      </c>
      <c r="D19" s="5543" t="s">
        <v>50</v>
      </c>
      <c r="E19" s="5544"/>
      <c r="F19" s="5545"/>
      <c r="G19" s="5544"/>
      <c r="H19" s="5545"/>
      <c r="I19" s="5546"/>
      <c r="J19" s="5444"/>
      <c r="K19" s="5544"/>
      <c r="L19" s="5545"/>
      <c r="M19" s="5450"/>
      <c r="N19" s="781">
        <f t="shared" si="1"/>
        <v>0</v>
      </c>
      <c r="O19" s="5544"/>
      <c r="P19" s="5545"/>
      <c r="Q19" s="5444"/>
      <c r="R19" s="782">
        <f t="shared" si="2"/>
        <v>0</v>
      </c>
      <c r="S19" s="5544"/>
      <c r="T19" s="5545">
        <v>1092.5949999999998</v>
      </c>
      <c r="U19" s="5444"/>
      <c r="V19" s="782">
        <f t="shared" si="3"/>
        <v>1092.5949999999998</v>
      </c>
      <c r="W19" s="5544"/>
      <c r="X19" s="5545"/>
      <c r="Y19" s="5452"/>
      <c r="Z19" s="781">
        <f t="shared" si="4"/>
        <v>1092.5949999999998</v>
      </c>
      <c r="AA19" s="5410"/>
      <c r="AB19" s="662">
        <f t="shared" si="5"/>
        <v>1092.5949999999998</v>
      </c>
      <c r="AC19" s="5544"/>
      <c r="AD19" s="5545"/>
      <c r="AE19" s="5444"/>
      <c r="AF19" s="5444"/>
      <c r="AG19" s="5544"/>
      <c r="AH19" s="5545"/>
      <c r="AI19" s="5444"/>
      <c r="AJ19" s="5444"/>
      <c r="AK19" s="5544"/>
      <c r="AL19" s="5545"/>
      <c r="AM19" s="5452"/>
      <c r="AN19" s="5450"/>
      <c r="AO19" s="5444"/>
      <c r="AP19" s="5444"/>
      <c r="AQ19" s="5544"/>
      <c r="AR19" s="5545"/>
      <c r="AS19" s="5444"/>
      <c r="AT19" s="5444"/>
      <c r="AU19" s="5544"/>
      <c r="AV19" s="5545"/>
      <c r="AW19" s="5444"/>
      <c r="AX19" s="5444"/>
      <c r="AY19" s="5544"/>
      <c r="AZ19" s="5545"/>
      <c r="BA19" s="5452"/>
      <c r="BB19" s="5450"/>
      <c r="BC19" s="5410"/>
      <c r="BD19" s="5422"/>
      <c r="BE19" s="5444"/>
      <c r="BF19" s="5444"/>
      <c r="BG19" s="26"/>
      <c r="BH19" s="26"/>
      <c r="BI19" s="26"/>
      <c r="BJ19" s="26"/>
      <c r="BK19" s="26"/>
      <c r="BL19" s="26"/>
      <c r="BM19" s="26"/>
      <c r="BN19" s="26"/>
    </row>
    <row r="20" spans="2:66" ht="15" customHeight="1" thickBot="1" x14ac:dyDescent="0.35">
      <c r="B20" s="3045" t="s">
        <v>1564</v>
      </c>
      <c r="C20" s="3046" t="s">
        <v>1043</v>
      </c>
      <c r="D20" s="3047" t="s">
        <v>50</v>
      </c>
      <c r="E20" s="2940"/>
      <c r="F20" s="2979">
        <v>4663.2450000000026</v>
      </c>
      <c r="G20" s="2940"/>
      <c r="H20" s="2979"/>
      <c r="I20" s="2941"/>
      <c r="J20" s="4957">
        <f t="shared" si="0"/>
        <v>4663.2450000000026</v>
      </c>
      <c r="K20" s="2940"/>
      <c r="L20" s="2979"/>
      <c r="M20" s="781"/>
      <c r="N20" s="781">
        <f t="shared" si="1"/>
        <v>4663.2450000000026</v>
      </c>
      <c r="O20" s="2940"/>
      <c r="P20" s="2979">
        <v>4350.0300000000016</v>
      </c>
      <c r="Q20" s="782"/>
      <c r="R20" s="782">
        <f t="shared" si="2"/>
        <v>9013.2750000000051</v>
      </c>
      <c r="S20" s="2940"/>
      <c r="T20" s="2979">
        <v>8407.0550000000094</v>
      </c>
      <c r="U20" s="782"/>
      <c r="V20" s="782">
        <f t="shared" si="3"/>
        <v>17420.330000000016</v>
      </c>
      <c r="W20" s="2940"/>
      <c r="X20" s="2979"/>
      <c r="Y20" s="801"/>
      <c r="Z20" s="781">
        <f t="shared" si="4"/>
        <v>12757.08500000001</v>
      </c>
      <c r="AA20" s="522"/>
      <c r="AB20" s="662">
        <f t="shared" si="5"/>
        <v>17420.330000000013</v>
      </c>
      <c r="AC20" s="2940"/>
      <c r="AD20" s="2979">
        <v>535.79</v>
      </c>
      <c r="AE20" s="782"/>
      <c r="AF20" s="782">
        <f t="shared" si="6"/>
        <v>17956.120000000014</v>
      </c>
      <c r="AG20" s="2940"/>
      <c r="AH20" s="2979"/>
      <c r="AI20" s="782"/>
      <c r="AJ20" s="782">
        <f t="shared" si="7"/>
        <v>17956.120000000014</v>
      </c>
      <c r="AK20" s="2940"/>
      <c r="AL20" s="2979"/>
      <c r="AM20" s="801"/>
      <c r="AN20" s="781">
        <f t="shared" si="8"/>
        <v>535.79</v>
      </c>
      <c r="AO20" s="782"/>
      <c r="AP20" s="782">
        <f t="shared" si="9"/>
        <v>17956.120000000014</v>
      </c>
      <c r="AQ20" s="2940"/>
      <c r="AR20" s="2979"/>
      <c r="AS20" s="782"/>
      <c r="AT20" s="782">
        <f t="shared" si="10"/>
        <v>17956.120000000014</v>
      </c>
      <c r="AU20" s="2940"/>
      <c r="AV20" s="2979"/>
      <c r="AW20" s="782"/>
      <c r="AX20" s="782">
        <f t="shared" si="11"/>
        <v>17956.120000000014</v>
      </c>
      <c r="AY20" s="2940"/>
      <c r="AZ20" s="2979"/>
      <c r="BA20" s="801"/>
      <c r="BB20" s="781">
        <f t="shared" si="12"/>
        <v>0</v>
      </c>
      <c r="BC20" s="522"/>
      <c r="BD20" s="662">
        <f t="shared" si="13"/>
        <v>535.79</v>
      </c>
      <c r="BE20" s="782"/>
      <c r="BF20" s="782">
        <f t="shared" si="14"/>
        <v>17956.120000000014</v>
      </c>
      <c r="BG20" s="26"/>
      <c r="BH20" s="26"/>
      <c r="BI20" s="26"/>
      <c r="BJ20" s="26"/>
      <c r="BK20" s="26"/>
      <c r="BL20" s="26"/>
      <c r="BM20" s="26"/>
      <c r="BN20" s="26"/>
    </row>
    <row r="21" spans="2:66" ht="15" customHeight="1" thickBot="1" x14ac:dyDescent="0.35">
      <c r="B21" s="3048" t="s">
        <v>1571</v>
      </c>
      <c r="C21" s="3049" t="s">
        <v>1125</v>
      </c>
      <c r="D21" s="3050" t="s">
        <v>50</v>
      </c>
      <c r="E21" s="3051"/>
      <c r="F21" s="3052"/>
      <c r="G21" s="3051"/>
      <c r="H21" s="3052"/>
      <c r="I21" s="3053"/>
      <c r="J21" s="4957">
        <f t="shared" si="0"/>
        <v>0</v>
      </c>
      <c r="K21" s="3051"/>
      <c r="L21" s="3052"/>
      <c r="M21" s="781"/>
      <c r="N21" s="781">
        <f t="shared" si="1"/>
        <v>0</v>
      </c>
      <c r="O21" s="3051"/>
      <c r="P21" s="3052"/>
      <c r="Q21" s="782"/>
      <c r="R21" s="782">
        <f t="shared" si="2"/>
        <v>0</v>
      </c>
      <c r="S21" s="3051"/>
      <c r="T21" s="3052"/>
      <c r="U21" s="782"/>
      <c r="V21" s="782">
        <f t="shared" si="3"/>
        <v>0</v>
      </c>
      <c r="W21" s="3051"/>
      <c r="X21" s="3052"/>
      <c r="Y21" s="801"/>
      <c r="Z21" s="781">
        <f t="shared" si="4"/>
        <v>0</v>
      </c>
      <c r="AA21" s="522"/>
      <c r="AB21" s="662">
        <f t="shared" si="5"/>
        <v>0</v>
      </c>
      <c r="AC21" s="3051"/>
      <c r="AD21" s="3052"/>
      <c r="AE21" s="782"/>
      <c r="AF21" s="782">
        <f t="shared" si="6"/>
        <v>0</v>
      </c>
      <c r="AG21" s="3051"/>
      <c r="AH21" s="3052"/>
      <c r="AI21" s="782"/>
      <c r="AJ21" s="782">
        <f t="shared" si="7"/>
        <v>0</v>
      </c>
      <c r="AK21" s="3051"/>
      <c r="AL21" s="3052"/>
      <c r="AM21" s="801"/>
      <c r="AN21" s="781">
        <f t="shared" si="8"/>
        <v>0</v>
      </c>
      <c r="AO21" s="782"/>
      <c r="AP21" s="782">
        <f t="shared" si="9"/>
        <v>0</v>
      </c>
      <c r="AQ21" s="3051"/>
      <c r="AR21" s="3052"/>
      <c r="AS21" s="782"/>
      <c r="AT21" s="782">
        <f t="shared" si="10"/>
        <v>0</v>
      </c>
      <c r="AU21" s="3051"/>
      <c r="AV21" s="3052"/>
      <c r="AW21" s="782"/>
      <c r="AX21" s="782">
        <f t="shared" si="11"/>
        <v>0</v>
      </c>
      <c r="AY21" s="3051"/>
      <c r="AZ21" s="3052"/>
      <c r="BA21" s="801"/>
      <c r="BB21" s="781">
        <f t="shared" si="12"/>
        <v>0</v>
      </c>
      <c r="BC21" s="522"/>
      <c r="BD21" s="662">
        <f t="shared" si="13"/>
        <v>0</v>
      </c>
      <c r="BE21" s="782"/>
      <c r="BF21" s="782">
        <f t="shared" si="14"/>
        <v>0</v>
      </c>
      <c r="BG21" s="26"/>
      <c r="BH21" s="26"/>
      <c r="BI21" s="26"/>
      <c r="BJ21" s="26"/>
      <c r="BK21" s="26"/>
      <c r="BL21" s="26"/>
      <c r="BM21" s="26"/>
      <c r="BN21" s="26"/>
    </row>
    <row r="22" spans="2:66" ht="15" customHeight="1" x14ac:dyDescent="0.3">
      <c r="B22" s="3035" t="s">
        <v>859</v>
      </c>
      <c r="C22" s="3036" t="s">
        <v>1042</v>
      </c>
      <c r="D22" s="60" t="s">
        <v>50</v>
      </c>
      <c r="E22" s="1202"/>
      <c r="F22" s="1306"/>
      <c r="G22" s="1202"/>
      <c r="H22" s="1306">
        <v>2016.3700000000003</v>
      </c>
      <c r="I22" s="572"/>
      <c r="J22" s="4957">
        <f t="shared" si="0"/>
        <v>2016.3700000000003</v>
      </c>
      <c r="K22" s="1202"/>
      <c r="L22" s="1306">
        <v>2018.4149999999995</v>
      </c>
      <c r="M22" s="781"/>
      <c r="N22" s="781">
        <f t="shared" si="1"/>
        <v>4034.7849999999999</v>
      </c>
      <c r="O22" s="1202"/>
      <c r="P22" s="1306">
        <v>2157.4749999999995</v>
      </c>
      <c r="Q22" s="782"/>
      <c r="R22" s="782">
        <f t="shared" si="2"/>
        <v>6192.2599999999993</v>
      </c>
      <c r="S22" s="1202"/>
      <c r="T22" s="1306"/>
      <c r="U22" s="782"/>
      <c r="V22" s="782">
        <f t="shared" si="3"/>
        <v>6192.2599999999993</v>
      </c>
      <c r="W22" s="1202"/>
      <c r="X22" s="1306"/>
      <c r="Y22" s="801"/>
      <c r="Z22" s="781">
        <f t="shared" si="4"/>
        <v>2157.4749999999995</v>
      </c>
      <c r="AA22" s="522"/>
      <c r="AB22" s="662">
        <f t="shared" si="5"/>
        <v>6192.2599999999993</v>
      </c>
      <c r="AC22" s="1202"/>
      <c r="AD22" s="1306"/>
      <c r="AE22" s="782"/>
      <c r="AF22" s="782">
        <f t="shared" si="6"/>
        <v>6192.2599999999993</v>
      </c>
      <c r="AG22" s="1202"/>
      <c r="AH22" s="1306"/>
      <c r="AI22" s="782"/>
      <c r="AJ22" s="782">
        <f t="shared" si="7"/>
        <v>6192.2599999999993</v>
      </c>
      <c r="AK22" s="1202"/>
      <c r="AL22" s="1306"/>
      <c r="AM22" s="801"/>
      <c r="AN22" s="781">
        <f t="shared" si="8"/>
        <v>0</v>
      </c>
      <c r="AO22" s="782"/>
      <c r="AP22" s="782">
        <f t="shared" si="9"/>
        <v>6192.2599999999993</v>
      </c>
      <c r="AQ22" s="1202"/>
      <c r="AR22" s="1306">
        <v>1830.1849999999999</v>
      </c>
      <c r="AS22" s="782"/>
      <c r="AT22" s="782">
        <f t="shared" si="10"/>
        <v>8022.4449999999997</v>
      </c>
      <c r="AU22" s="1202"/>
      <c r="AV22" s="1306"/>
      <c r="AW22" s="782"/>
      <c r="AX22" s="782">
        <f t="shared" si="11"/>
        <v>8022.4449999999997</v>
      </c>
      <c r="AY22" s="1202"/>
      <c r="AZ22" s="1306"/>
      <c r="BA22" s="801"/>
      <c r="BB22" s="781">
        <f t="shared" si="12"/>
        <v>1830.1849999999999</v>
      </c>
      <c r="BC22" s="522"/>
      <c r="BD22" s="662">
        <f t="shared" si="13"/>
        <v>1830.1849999999999</v>
      </c>
      <c r="BE22" s="782"/>
      <c r="BF22" s="782">
        <f t="shared" si="14"/>
        <v>8022.4449999999997</v>
      </c>
      <c r="BG22" s="26"/>
      <c r="BH22" s="26"/>
      <c r="BI22" s="26"/>
      <c r="BJ22" s="26"/>
      <c r="BK22" s="26"/>
      <c r="BL22" s="26"/>
      <c r="BM22" s="26"/>
      <c r="BN22" s="26"/>
    </row>
    <row r="23" spans="2:66" ht="15" customHeight="1" x14ac:dyDescent="0.3">
      <c r="B23" s="887" t="s">
        <v>859</v>
      </c>
      <c r="C23" s="3040" t="s">
        <v>1043</v>
      </c>
      <c r="D23" s="2942" t="s">
        <v>50</v>
      </c>
      <c r="E23" s="2647"/>
      <c r="F23" s="2716"/>
      <c r="G23" s="2647"/>
      <c r="H23" s="2716">
        <v>5116.5899999999983</v>
      </c>
      <c r="I23" s="2648"/>
      <c r="J23" s="4957">
        <f t="shared" si="0"/>
        <v>5116.5899999999983</v>
      </c>
      <c r="K23" s="2647"/>
      <c r="L23" s="2716"/>
      <c r="M23" s="781"/>
      <c r="N23" s="781">
        <f t="shared" si="1"/>
        <v>5116.5899999999983</v>
      </c>
      <c r="O23" s="2647"/>
      <c r="P23" s="2716">
        <v>5458.1050000000059</v>
      </c>
      <c r="Q23" s="782"/>
      <c r="R23" s="782">
        <f t="shared" si="2"/>
        <v>10574.695000000003</v>
      </c>
      <c r="S23" s="2647"/>
      <c r="T23" s="2716">
        <v>3828.2400000000007</v>
      </c>
      <c r="U23" s="782"/>
      <c r="V23" s="782">
        <f t="shared" si="3"/>
        <v>14402.935000000005</v>
      </c>
      <c r="W23" s="2647"/>
      <c r="X23" s="2716"/>
      <c r="Y23" s="801"/>
      <c r="Z23" s="781">
        <f t="shared" si="4"/>
        <v>9286.3450000000066</v>
      </c>
      <c r="AA23" s="522"/>
      <c r="AB23" s="662">
        <f t="shared" si="5"/>
        <v>14402.935000000005</v>
      </c>
      <c r="AC23" s="2647"/>
      <c r="AD23" s="2716"/>
      <c r="AE23" s="782"/>
      <c r="AF23" s="782">
        <f t="shared" si="6"/>
        <v>14402.935000000005</v>
      </c>
      <c r="AG23" s="2647"/>
      <c r="AH23" s="2716"/>
      <c r="AI23" s="782"/>
      <c r="AJ23" s="782">
        <f t="shared" si="7"/>
        <v>14402.935000000005</v>
      </c>
      <c r="AK23" s="2647"/>
      <c r="AL23" s="2716"/>
      <c r="AM23" s="801"/>
      <c r="AN23" s="781">
        <f t="shared" si="8"/>
        <v>0</v>
      </c>
      <c r="AO23" s="782"/>
      <c r="AP23" s="782">
        <f t="shared" si="9"/>
        <v>14402.935000000005</v>
      </c>
      <c r="AQ23" s="2647"/>
      <c r="AR23" s="2716">
        <v>3836.4199999999996</v>
      </c>
      <c r="AS23" s="782"/>
      <c r="AT23" s="782">
        <f t="shared" si="10"/>
        <v>18239.355000000003</v>
      </c>
      <c r="AU23" s="2647"/>
      <c r="AV23" s="2716"/>
      <c r="AW23" s="782"/>
      <c r="AX23" s="782">
        <f t="shared" si="11"/>
        <v>18239.355000000003</v>
      </c>
      <c r="AY23" s="2647"/>
      <c r="AZ23" s="2716"/>
      <c r="BA23" s="801"/>
      <c r="BB23" s="781">
        <f t="shared" si="12"/>
        <v>3836.4199999999996</v>
      </c>
      <c r="BC23" s="522"/>
      <c r="BD23" s="662">
        <f t="shared" si="13"/>
        <v>3836.4199999999996</v>
      </c>
      <c r="BE23" s="782"/>
      <c r="BF23" s="782">
        <f t="shared" si="14"/>
        <v>18239.355000000003</v>
      </c>
      <c r="BG23" s="26"/>
      <c r="BH23" s="26"/>
      <c r="BI23" s="26"/>
      <c r="BJ23" s="26"/>
      <c r="BK23" s="26"/>
      <c r="BL23" s="26"/>
      <c r="BM23" s="26"/>
      <c r="BN23" s="26"/>
    </row>
    <row r="24" spans="2:66" ht="15" customHeight="1" x14ac:dyDescent="0.3">
      <c r="B24" s="887" t="s">
        <v>859</v>
      </c>
      <c r="C24" s="3040" t="s">
        <v>1147</v>
      </c>
      <c r="D24" s="2942" t="s">
        <v>50</v>
      </c>
      <c r="E24" s="2647"/>
      <c r="F24" s="2716"/>
      <c r="G24" s="2647"/>
      <c r="H24" s="2716"/>
      <c r="I24" s="2648"/>
      <c r="J24" s="4957">
        <f t="shared" si="0"/>
        <v>0</v>
      </c>
      <c r="K24" s="2647"/>
      <c r="L24" s="2716"/>
      <c r="M24" s="781"/>
      <c r="N24" s="781">
        <f t="shared" si="1"/>
        <v>0</v>
      </c>
      <c r="O24" s="2647"/>
      <c r="P24" s="2716"/>
      <c r="Q24" s="782"/>
      <c r="R24" s="782">
        <f t="shared" si="2"/>
        <v>0</v>
      </c>
      <c r="S24" s="2647"/>
      <c r="T24" s="2716"/>
      <c r="U24" s="782"/>
      <c r="V24" s="782">
        <f t="shared" si="3"/>
        <v>0</v>
      </c>
      <c r="W24" s="2647"/>
      <c r="X24" s="2716"/>
      <c r="Y24" s="801"/>
      <c r="Z24" s="781">
        <f t="shared" si="4"/>
        <v>0</v>
      </c>
      <c r="AA24" s="522"/>
      <c r="AB24" s="662">
        <f t="shared" si="5"/>
        <v>0</v>
      </c>
      <c r="AC24" s="2647"/>
      <c r="AD24" s="2716"/>
      <c r="AE24" s="782"/>
      <c r="AF24" s="782">
        <f t="shared" si="6"/>
        <v>0</v>
      </c>
      <c r="AG24" s="2647"/>
      <c r="AH24" s="2716"/>
      <c r="AI24" s="782"/>
      <c r="AJ24" s="782">
        <f t="shared" si="7"/>
        <v>0</v>
      </c>
      <c r="AK24" s="2647"/>
      <c r="AL24" s="2716"/>
      <c r="AM24" s="801"/>
      <c r="AN24" s="781">
        <f t="shared" si="8"/>
        <v>0</v>
      </c>
      <c r="AO24" s="782"/>
      <c r="AP24" s="782">
        <f t="shared" si="9"/>
        <v>0</v>
      </c>
      <c r="AQ24" s="2647"/>
      <c r="AR24" s="2716"/>
      <c r="AS24" s="782"/>
      <c r="AT24" s="782">
        <f t="shared" si="10"/>
        <v>0</v>
      </c>
      <c r="AU24" s="2647"/>
      <c r="AV24" s="2716"/>
      <c r="AW24" s="782"/>
      <c r="AX24" s="782">
        <f t="shared" si="11"/>
        <v>0</v>
      </c>
      <c r="AY24" s="2647"/>
      <c r="AZ24" s="2716"/>
      <c r="BA24" s="801"/>
      <c r="BB24" s="781">
        <f t="shared" si="12"/>
        <v>0</v>
      </c>
      <c r="BC24" s="522"/>
      <c r="BD24" s="662">
        <f t="shared" si="13"/>
        <v>0</v>
      </c>
      <c r="BE24" s="782"/>
      <c r="BF24" s="782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2:66" ht="15" customHeight="1" x14ac:dyDescent="0.3">
      <c r="B25" s="887" t="s">
        <v>859</v>
      </c>
      <c r="C25" s="3040" t="s">
        <v>1044</v>
      </c>
      <c r="D25" s="2942" t="s">
        <v>50</v>
      </c>
      <c r="E25" s="2647"/>
      <c r="F25" s="2716"/>
      <c r="G25" s="2647"/>
      <c r="H25" s="2716"/>
      <c r="I25" s="2648"/>
      <c r="J25" s="4957">
        <f t="shared" si="0"/>
        <v>0</v>
      </c>
      <c r="K25" s="2647"/>
      <c r="L25" s="2716"/>
      <c r="M25" s="781"/>
      <c r="N25" s="781">
        <f t="shared" si="1"/>
        <v>0</v>
      </c>
      <c r="O25" s="2647"/>
      <c r="P25" s="2716"/>
      <c r="Q25" s="782"/>
      <c r="R25" s="782">
        <f t="shared" si="2"/>
        <v>0</v>
      </c>
      <c r="S25" s="2647"/>
      <c r="T25" s="2716">
        <v>513.29500000000007</v>
      </c>
      <c r="U25" s="782"/>
      <c r="V25" s="782">
        <f t="shared" si="3"/>
        <v>513.29500000000007</v>
      </c>
      <c r="W25" s="2647"/>
      <c r="X25" s="2716"/>
      <c r="Y25" s="801"/>
      <c r="Z25" s="781">
        <f t="shared" si="4"/>
        <v>513.29500000000007</v>
      </c>
      <c r="AA25" s="522"/>
      <c r="AB25" s="662">
        <f t="shared" si="5"/>
        <v>513.29500000000007</v>
      </c>
      <c r="AC25" s="2647"/>
      <c r="AD25" s="2716"/>
      <c r="AE25" s="782"/>
      <c r="AF25" s="782">
        <f t="shared" si="6"/>
        <v>513.29500000000007</v>
      </c>
      <c r="AG25" s="2647"/>
      <c r="AH25" s="2716"/>
      <c r="AI25" s="782"/>
      <c r="AJ25" s="782">
        <f t="shared" si="7"/>
        <v>513.29500000000007</v>
      </c>
      <c r="AK25" s="2647"/>
      <c r="AL25" s="2716"/>
      <c r="AM25" s="801"/>
      <c r="AN25" s="781">
        <f t="shared" si="8"/>
        <v>0</v>
      </c>
      <c r="AO25" s="782"/>
      <c r="AP25" s="782">
        <f t="shared" si="9"/>
        <v>513.29500000000007</v>
      </c>
      <c r="AQ25" s="2647"/>
      <c r="AR25" s="2716">
        <v>834.36</v>
      </c>
      <c r="AS25" s="782"/>
      <c r="AT25" s="782">
        <f t="shared" si="10"/>
        <v>1347.6550000000002</v>
      </c>
      <c r="AU25" s="2647"/>
      <c r="AV25" s="2716"/>
      <c r="AW25" s="782"/>
      <c r="AX25" s="782">
        <f t="shared" si="11"/>
        <v>1347.6550000000002</v>
      </c>
      <c r="AY25" s="2647"/>
      <c r="AZ25" s="2716"/>
      <c r="BA25" s="801"/>
      <c r="BB25" s="781">
        <f t="shared" si="12"/>
        <v>834.36</v>
      </c>
      <c r="BC25" s="522"/>
      <c r="BD25" s="662">
        <f t="shared" si="13"/>
        <v>834.36</v>
      </c>
      <c r="BE25" s="782"/>
      <c r="BF25" s="782">
        <f t="shared" si="14"/>
        <v>1347.6550000000002</v>
      </c>
      <c r="BG25" s="26"/>
      <c r="BH25" s="26"/>
      <c r="BI25" s="26"/>
      <c r="BJ25" s="26"/>
      <c r="BK25" s="26"/>
      <c r="BL25" s="26"/>
      <c r="BM25" s="26"/>
      <c r="BN25" s="26"/>
    </row>
    <row r="26" spans="2:66" ht="15" customHeight="1" thickBot="1" x14ac:dyDescent="0.35">
      <c r="B26" s="3045" t="s">
        <v>859</v>
      </c>
      <c r="C26" s="3046" t="s">
        <v>1125</v>
      </c>
      <c r="D26" s="3047" t="s">
        <v>50</v>
      </c>
      <c r="E26" s="2940"/>
      <c r="F26" s="2979"/>
      <c r="G26" s="2940"/>
      <c r="H26" s="2979">
        <v>137.01500000000001</v>
      </c>
      <c r="I26" s="2941"/>
      <c r="J26" s="4957">
        <f t="shared" si="0"/>
        <v>137.01500000000001</v>
      </c>
      <c r="K26" s="2940"/>
      <c r="L26" s="2979"/>
      <c r="M26" s="781"/>
      <c r="N26" s="781">
        <f t="shared" si="1"/>
        <v>137.01500000000001</v>
      </c>
      <c r="O26" s="2940"/>
      <c r="P26" s="2979"/>
      <c r="Q26" s="782"/>
      <c r="R26" s="782">
        <f t="shared" si="2"/>
        <v>137.01500000000001</v>
      </c>
      <c r="S26" s="2940"/>
      <c r="T26" s="2979"/>
      <c r="U26" s="782"/>
      <c r="V26" s="782">
        <f t="shared" si="3"/>
        <v>137.01500000000001</v>
      </c>
      <c r="W26" s="2940"/>
      <c r="X26" s="2979"/>
      <c r="Y26" s="801"/>
      <c r="Z26" s="781">
        <f t="shared" si="4"/>
        <v>0</v>
      </c>
      <c r="AA26" s="522"/>
      <c r="AB26" s="662">
        <f t="shared" si="5"/>
        <v>137.01500000000001</v>
      </c>
      <c r="AC26" s="2940"/>
      <c r="AD26" s="2979"/>
      <c r="AE26" s="782"/>
      <c r="AF26" s="782">
        <f t="shared" si="6"/>
        <v>137.01500000000001</v>
      </c>
      <c r="AG26" s="2940"/>
      <c r="AH26" s="2979"/>
      <c r="AI26" s="782"/>
      <c r="AJ26" s="782">
        <f t="shared" si="7"/>
        <v>137.01500000000001</v>
      </c>
      <c r="AK26" s="2940"/>
      <c r="AL26" s="2979"/>
      <c r="AM26" s="801"/>
      <c r="AN26" s="781">
        <f t="shared" si="8"/>
        <v>0</v>
      </c>
      <c r="AO26" s="782"/>
      <c r="AP26" s="782">
        <f t="shared" si="9"/>
        <v>137.01500000000001</v>
      </c>
      <c r="AQ26" s="2940"/>
      <c r="AR26" s="2979"/>
      <c r="AS26" s="782"/>
      <c r="AT26" s="782">
        <f t="shared" si="10"/>
        <v>137.01500000000001</v>
      </c>
      <c r="AU26" s="2940"/>
      <c r="AV26" s="2979"/>
      <c r="AW26" s="782"/>
      <c r="AX26" s="782">
        <f t="shared" si="11"/>
        <v>137.01500000000001</v>
      </c>
      <c r="AY26" s="2940"/>
      <c r="AZ26" s="2979"/>
      <c r="BA26" s="801"/>
      <c r="BB26" s="781">
        <f t="shared" si="12"/>
        <v>0</v>
      </c>
      <c r="BC26" s="522"/>
      <c r="BD26" s="662">
        <f t="shared" si="13"/>
        <v>0</v>
      </c>
      <c r="BE26" s="782"/>
      <c r="BF26" s="782">
        <f t="shared" si="14"/>
        <v>137.01500000000001</v>
      </c>
      <c r="BG26" s="26"/>
      <c r="BH26" s="26"/>
      <c r="BI26" s="26"/>
      <c r="BJ26" s="26"/>
      <c r="BK26" s="26"/>
      <c r="BL26" s="26"/>
      <c r="BM26" s="26"/>
      <c r="BN26" s="26"/>
    </row>
    <row r="27" spans="2:66" ht="15.6" x14ac:dyDescent="0.3">
      <c r="B27" s="3037" t="s">
        <v>860</v>
      </c>
      <c r="C27" s="3038" t="s">
        <v>1042</v>
      </c>
      <c r="D27" s="758" t="s">
        <v>50</v>
      </c>
      <c r="E27" s="275"/>
      <c r="F27" s="275">
        <v>2571.4500000000003</v>
      </c>
      <c r="G27" s="275"/>
      <c r="H27" s="275">
        <v>3124.4149999999986</v>
      </c>
      <c r="I27" s="373"/>
      <c r="J27" s="4957">
        <f t="shared" si="0"/>
        <v>5695.8649999999989</v>
      </c>
      <c r="K27" s="275"/>
      <c r="L27" s="275">
        <v>2251.5450000000001</v>
      </c>
      <c r="M27" s="781"/>
      <c r="N27" s="781">
        <f t="shared" si="1"/>
        <v>7947.4099999999989</v>
      </c>
      <c r="O27" s="275"/>
      <c r="P27" s="275">
        <v>5681.0200000000013</v>
      </c>
      <c r="Q27" s="782"/>
      <c r="R27" s="782">
        <f t="shared" si="2"/>
        <v>13628.43</v>
      </c>
      <c r="S27" s="275"/>
      <c r="T27" s="275"/>
      <c r="U27" s="782"/>
      <c r="V27" s="782">
        <f t="shared" si="3"/>
        <v>13628.43</v>
      </c>
      <c r="W27" s="275"/>
      <c r="X27" s="275">
        <v>2472.8049999999994</v>
      </c>
      <c r="Y27" s="801"/>
      <c r="Z27" s="781">
        <f t="shared" si="4"/>
        <v>8153.8250000000007</v>
      </c>
      <c r="AA27" s="522"/>
      <c r="AB27" s="662">
        <f t="shared" si="5"/>
        <v>16101.235000000001</v>
      </c>
      <c r="AC27" s="275"/>
      <c r="AD27" s="275">
        <v>3028.65</v>
      </c>
      <c r="AE27" s="782"/>
      <c r="AF27" s="782">
        <f t="shared" si="6"/>
        <v>19129.885000000002</v>
      </c>
      <c r="AG27" s="275"/>
      <c r="AH27" s="275">
        <v>1674.8249999999998</v>
      </c>
      <c r="AI27" s="782"/>
      <c r="AJ27" s="782">
        <f t="shared" si="7"/>
        <v>20804.710000000003</v>
      </c>
      <c r="AK27" s="275"/>
      <c r="AL27" s="275">
        <f>3084.065-5.41</f>
        <v>3078.6550000000002</v>
      </c>
      <c r="AM27" s="801"/>
      <c r="AN27" s="781">
        <f t="shared" si="8"/>
        <v>7782.130000000001</v>
      </c>
      <c r="AO27" s="782"/>
      <c r="AP27" s="782">
        <f t="shared" si="9"/>
        <v>23883.365000000002</v>
      </c>
      <c r="AQ27" s="275"/>
      <c r="AR27" s="275">
        <v>1118.6149999999998</v>
      </c>
      <c r="AS27" s="782"/>
      <c r="AT27" s="782">
        <f t="shared" si="10"/>
        <v>25001.980000000003</v>
      </c>
      <c r="AU27" s="275"/>
      <c r="AV27" s="275">
        <v>6324.470000000003</v>
      </c>
      <c r="AW27" s="782"/>
      <c r="AX27" s="782">
        <f t="shared" si="11"/>
        <v>31326.450000000004</v>
      </c>
      <c r="AY27" s="275"/>
      <c r="AZ27" s="275">
        <v>5320.2250000000004</v>
      </c>
      <c r="BA27" s="801"/>
      <c r="BB27" s="781">
        <f t="shared" si="12"/>
        <v>12763.310000000003</v>
      </c>
      <c r="BC27" s="522"/>
      <c r="BD27" s="662">
        <f t="shared" si="13"/>
        <v>20545.440000000002</v>
      </c>
      <c r="BE27" s="782"/>
      <c r="BF27" s="782">
        <f t="shared" si="14"/>
        <v>36646.675000000003</v>
      </c>
      <c r="BG27" s="26"/>
      <c r="BH27" s="26"/>
      <c r="BI27" s="26"/>
      <c r="BJ27" s="26"/>
      <c r="BK27" s="26"/>
      <c r="BL27" s="26"/>
      <c r="BM27" s="26"/>
      <c r="BN27" s="26"/>
    </row>
    <row r="28" spans="2:66" ht="15.6" x14ac:dyDescent="0.3">
      <c r="B28" s="887" t="s">
        <v>860</v>
      </c>
      <c r="C28" s="3040" t="s">
        <v>1043</v>
      </c>
      <c r="D28" s="2942" t="s">
        <v>50</v>
      </c>
      <c r="E28" s="2716"/>
      <c r="F28" s="2716">
        <v>9303.1850000000104</v>
      </c>
      <c r="G28" s="2716"/>
      <c r="H28" s="2716">
        <v>2761.84</v>
      </c>
      <c r="I28" s="2648"/>
      <c r="J28" s="4957">
        <f t="shared" si="0"/>
        <v>12065.025000000011</v>
      </c>
      <c r="K28" s="2716"/>
      <c r="L28" s="2716">
        <v>7930.2000000000016</v>
      </c>
      <c r="M28" s="781"/>
      <c r="N28" s="781">
        <f t="shared" si="1"/>
        <v>19995.225000000013</v>
      </c>
      <c r="O28" s="2716"/>
      <c r="P28" s="2716">
        <v>17149.980000000036</v>
      </c>
      <c r="Q28" s="782"/>
      <c r="R28" s="782">
        <f t="shared" si="2"/>
        <v>37145.205000000045</v>
      </c>
      <c r="S28" s="2716"/>
      <c r="T28" s="2716">
        <v>8461.9500000000007</v>
      </c>
      <c r="U28" s="782"/>
      <c r="V28" s="782">
        <f t="shared" si="3"/>
        <v>45607.155000000042</v>
      </c>
      <c r="W28" s="2716"/>
      <c r="X28" s="2716">
        <v>13465.740000000033</v>
      </c>
      <c r="Y28" s="801"/>
      <c r="Z28" s="781">
        <f t="shared" si="4"/>
        <v>39077.670000000071</v>
      </c>
      <c r="AA28" s="522"/>
      <c r="AB28" s="662">
        <f t="shared" si="5"/>
        <v>59072.895000000084</v>
      </c>
      <c r="AC28" s="2716"/>
      <c r="AD28" s="2716">
        <v>1443.77</v>
      </c>
      <c r="AE28" s="782"/>
      <c r="AF28" s="782">
        <f t="shared" si="6"/>
        <v>60516.665000000081</v>
      </c>
      <c r="AG28" s="2716"/>
      <c r="AH28" s="2716"/>
      <c r="AI28" s="782"/>
      <c r="AJ28" s="782">
        <f t="shared" si="7"/>
        <v>60516.665000000081</v>
      </c>
      <c r="AK28" s="2716"/>
      <c r="AL28" s="2716">
        <v>6709.5900000000147</v>
      </c>
      <c r="AM28" s="801"/>
      <c r="AN28" s="781">
        <f t="shared" si="8"/>
        <v>8153.3600000000151</v>
      </c>
      <c r="AO28" s="782"/>
      <c r="AP28" s="782">
        <f t="shared" si="9"/>
        <v>67226.255000000092</v>
      </c>
      <c r="AQ28" s="2716"/>
      <c r="AR28" s="2716">
        <v>5290.4000000000024</v>
      </c>
      <c r="AS28" s="782"/>
      <c r="AT28" s="782">
        <f t="shared" si="10"/>
        <v>72516.655000000101</v>
      </c>
      <c r="AU28" s="2716"/>
      <c r="AV28" s="2716">
        <v>5712.6700000000083</v>
      </c>
      <c r="AW28" s="782"/>
      <c r="AX28" s="782">
        <f t="shared" si="11"/>
        <v>78229.325000000114</v>
      </c>
      <c r="AY28" s="2716"/>
      <c r="AZ28" s="2716">
        <v>11248.450000000015</v>
      </c>
      <c r="BA28" s="801"/>
      <c r="BB28" s="781">
        <f t="shared" si="12"/>
        <v>22251.520000000026</v>
      </c>
      <c r="BC28" s="522"/>
      <c r="BD28" s="662">
        <f t="shared" si="13"/>
        <v>30404.880000000041</v>
      </c>
      <c r="BE28" s="782"/>
      <c r="BF28" s="782">
        <f t="shared" si="14"/>
        <v>89477.775000000125</v>
      </c>
      <c r="BG28" s="26"/>
      <c r="BH28" s="26"/>
      <c r="BI28" s="26"/>
      <c r="BJ28" s="26"/>
      <c r="BK28" s="26"/>
      <c r="BL28" s="26"/>
      <c r="BM28" s="26"/>
      <c r="BN28" s="26"/>
    </row>
    <row r="29" spans="2:66" ht="15.6" x14ac:dyDescent="0.3">
      <c r="B29" s="887" t="s">
        <v>860</v>
      </c>
      <c r="C29" s="3040" t="s">
        <v>1147</v>
      </c>
      <c r="D29" s="2942" t="s">
        <v>50</v>
      </c>
      <c r="E29" s="2716"/>
      <c r="F29" s="2716">
        <v>14295.540000000015</v>
      </c>
      <c r="G29" s="2716"/>
      <c r="H29" s="2716">
        <v>8564.9000000000124</v>
      </c>
      <c r="I29" s="2648"/>
      <c r="J29" s="4957">
        <f t="shared" si="0"/>
        <v>22860.440000000028</v>
      </c>
      <c r="K29" s="2716"/>
      <c r="L29" s="2716">
        <v>7993.1250000000064</v>
      </c>
      <c r="M29" s="781"/>
      <c r="N29" s="781">
        <f t="shared" si="1"/>
        <v>30853.565000000035</v>
      </c>
      <c r="O29" s="2716"/>
      <c r="P29" s="2716">
        <v>7960.655000000007</v>
      </c>
      <c r="Q29" s="782"/>
      <c r="R29" s="782">
        <f t="shared" si="2"/>
        <v>38814.220000000045</v>
      </c>
      <c r="S29" s="2716"/>
      <c r="T29" s="2716">
        <v>7257.2500000000045</v>
      </c>
      <c r="U29" s="782"/>
      <c r="V29" s="782">
        <f t="shared" si="3"/>
        <v>46071.470000000052</v>
      </c>
      <c r="W29" s="2716"/>
      <c r="X29" s="2716">
        <v>13499.48500000001</v>
      </c>
      <c r="Y29" s="801"/>
      <c r="Z29" s="781">
        <f t="shared" si="4"/>
        <v>28717.390000000021</v>
      </c>
      <c r="AA29" s="522"/>
      <c r="AB29" s="662">
        <f t="shared" si="5"/>
        <v>59570.95500000006</v>
      </c>
      <c r="AC29" s="2716"/>
      <c r="AD29" s="2716">
        <v>11021.86</v>
      </c>
      <c r="AE29" s="782"/>
      <c r="AF29" s="782">
        <f t="shared" si="6"/>
        <v>70592.815000000061</v>
      </c>
      <c r="AG29" s="2716"/>
      <c r="AH29" s="2716"/>
      <c r="AI29" s="782"/>
      <c r="AJ29" s="782">
        <f t="shared" si="7"/>
        <v>70592.815000000061</v>
      </c>
      <c r="AK29" s="2716"/>
      <c r="AL29" s="2716">
        <v>11115.110000000017</v>
      </c>
      <c r="AM29" s="801"/>
      <c r="AN29" s="781">
        <f t="shared" si="8"/>
        <v>22136.970000000016</v>
      </c>
      <c r="AO29" s="782"/>
      <c r="AP29" s="782">
        <f t="shared" si="9"/>
        <v>81707.925000000076</v>
      </c>
      <c r="AQ29" s="2716"/>
      <c r="AR29" s="2716">
        <v>10765.540000000045</v>
      </c>
      <c r="AS29" s="782"/>
      <c r="AT29" s="782">
        <f t="shared" si="10"/>
        <v>92473.465000000113</v>
      </c>
      <c r="AU29" s="2716"/>
      <c r="AV29" s="2716">
        <v>12197.285000000036</v>
      </c>
      <c r="AW29" s="782"/>
      <c r="AX29" s="782">
        <f t="shared" si="11"/>
        <v>104670.75000000015</v>
      </c>
      <c r="AY29" s="2716"/>
      <c r="AZ29" s="2716">
        <v>12472.825000000019</v>
      </c>
      <c r="BA29" s="801"/>
      <c r="BB29" s="781">
        <f t="shared" si="12"/>
        <v>35435.650000000096</v>
      </c>
      <c r="BC29" s="522"/>
      <c r="BD29" s="662">
        <f t="shared" si="13"/>
        <v>57572.620000000112</v>
      </c>
      <c r="BE29" s="782"/>
      <c r="BF29" s="782">
        <f t="shared" si="14"/>
        <v>117143.57500000016</v>
      </c>
      <c r="BG29" s="26"/>
      <c r="BH29" s="26"/>
      <c r="BI29" s="26"/>
      <c r="BJ29" s="26"/>
      <c r="BK29" s="26"/>
      <c r="BL29" s="26"/>
      <c r="BM29" s="26"/>
      <c r="BN29" s="26"/>
    </row>
    <row r="30" spans="2:66" ht="15.6" x14ac:dyDescent="0.3">
      <c r="B30" s="887" t="s">
        <v>860</v>
      </c>
      <c r="C30" s="3040" t="s">
        <v>1012</v>
      </c>
      <c r="D30" s="2942" t="s">
        <v>50</v>
      </c>
      <c r="E30" s="2716"/>
      <c r="F30" s="2716"/>
      <c r="G30" s="2716"/>
      <c r="H30" s="2716"/>
      <c r="I30" s="2648"/>
      <c r="J30" s="4957">
        <f t="shared" si="0"/>
        <v>0</v>
      </c>
      <c r="K30" s="2716"/>
      <c r="L30" s="2716"/>
      <c r="M30" s="781"/>
      <c r="N30" s="781">
        <f t="shared" si="1"/>
        <v>0</v>
      </c>
      <c r="O30" s="2716"/>
      <c r="P30" s="2716"/>
      <c r="Q30" s="782"/>
      <c r="R30" s="782">
        <f t="shared" si="2"/>
        <v>0</v>
      </c>
      <c r="S30" s="2716"/>
      <c r="T30" s="2716"/>
      <c r="U30" s="782"/>
      <c r="V30" s="782">
        <f t="shared" si="3"/>
        <v>0</v>
      </c>
      <c r="W30" s="2716"/>
      <c r="X30" s="2716"/>
      <c r="Y30" s="801"/>
      <c r="Z30" s="781">
        <f t="shared" si="4"/>
        <v>0</v>
      </c>
      <c r="AA30" s="522"/>
      <c r="AB30" s="662">
        <f t="shared" si="5"/>
        <v>0</v>
      </c>
      <c r="AC30" s="2716"/>
      <c r="AD30" s="2716">
        <f>1042.88-16.8</f>
        <v>1026.0800000000002</v>
      </c>
      <c r="AE30" s="782"/>
      <c r="AF30" s="782">
        <f t="shared" si="6"/>
        <v>1026.0800000000002</v>
      </c>
      <c r="AG30" s="2716"/>
      <c r="AH30" s="2716"/>
      <c r="AI30" s="782"/>
      <c r="AJ30" s="782">
        <f t="shared" si="7"/>
        <v>1026.0800000000002</v>
      </c>
      <c r="AK30" s="2716"/>
      <c r="AL30" s="2716"/>
      <c r="AM30" s="801"/>
      <c r="AN30" s="781">
        <f t="shared" si="8"/>
        <v>1026.0800000000002</v>
      </c>
      <c r="AO30" s="782"/>
      <c r="AP30" s="782">
        <f t="shared" si="9"/>
        <v>1026.0800000000002</v>
      </c>
      <c r="AQ30" s="2716"/>
      <c r="AR30" s="2716"/>
      <c r="AS30" s="782"/>
      <c r="AT30" s="782">
        <f t="shared" si="10"/>
        <v>1026.0800000000002</v>
      </c>
      <c r="AU30" s="2716"/>
      <c r="AV30" s="2716">
        <v>1224.9549999999997</v>
      </c>
      <c r="AW30" s="782"/>
      <c r="AX30" s="782">
        <f t="shared" si="11"/>
        <v>2251.0349999999999</v>
      </c>
      <c r="AY30" s="2716"/>
      <c r="AZ30" s="2716"/>
      <c r="BA30" s="801"/>
      <c r="BB30" s="781">
        <f t="shared" si="12"/>
        <v>1224.9549999999997</v>
      </c>
      <c r="BC30" s="522"/>
      <c r="BD30" s="662">
        <f t="shared" si="13"/>
        <v>2251.0349999999999</v>
      </c>
      <c r="BE30" s="782"/>
      <c r="BF30" s="782">
        <f t="shared" si="14"/>
        <v>2251.0349999999999</v>
      </c>
      <c r="BG30" s="26"/>
      <c r="BH30" s="26"/>
      <c r="BI30" s="26"/>
      <c r="BJ30" s="26"/>
      <c r="BK30" s="26"/>
      <c r="BL30" s="26"/>
      <c r="BM30" s="26"/>
      <c r="BN30" s="26"/>
    </row>
    <row r="31" spans="2:66" ht="15.6" x14ac:dyDescent="0.3">
      <c r="B31" s="887" t="s">
        <v>860</v>
      </c>
      <c r="C31" s="3040" t="s">
        <v>1044</v>
      </c>
      <c r="D31" s="2942" t="s">
        <v>50</v>
      </c>
      <c r="E31" s="2716"/>
      <c r="F31" s="2716">
        <v>1294.6199999999992</v>
      </c>
      <c r="G31" s="2716"/>
      <c r="H31" s="2716"/>
      <c r="I31" s="2648"/>
      <c r="J31" s="4957">
        <f t="shared" si="0"/>
        <v>1294.6199999999992</v>
      </c>
      <c r="K31" s="2716"/>
      <c r="L31" s="2716"/>
      <c r="M31" s="781"/>
      <c r="N31" s="781">
        <f t="shared" si="1"/>
        <v>1294.6199999999992</v>
      </c>
      <c r="O31" s="2716"/>
      <c r="P31" s="2716"/>
      <c r="Q31" s="782"/>
      <c r="R31" s="782">
        <f t="shared" si="2"/>
        <v>1294.6199999999992</v>
      </c>
      <c r="S31" s="2716"/>
      <c r="T31" s="2716"/>
      <c r="U31" s="782"/>
      <c r="V31" s="782">
        <f t="shared" si="3"/>
        <v>1294.6199999999992</v>
      </c>
      <c r="W31" s="2716"/>
      <c r="X31" s="2716">
        <v>1566.47</v>
      </c>
      <c r="Y31" s="801"/>
      <c r="Z31" s="781">
        <f t="shared" si="4"/>
        <v>1566.47</v>
      </c>
      <c r="AA31" s="522"/>
      <c r="AB31" s="662">
        <f t="shared" si="5"/>
        <v>2861.0899999999992</v>
      </c>
      <c r="AC31" s="2716"/>
      <c r="AD31" s="2716"/>
      <c r="AE31" s="782"/>
      <c r="AF31" s="782">
        <f t="shared" si="6"/>
        <v>2861.0899999999992</v>
      </c>
      <c r="AG31" s="2716"/>
      <c r="AH31" s="2716"/>
      <c r="AI31" s="782"/>
      <c r="AJ31" s="782">
        <f t="shared" si="7"/>
        <v>2861.0899999999992</v>
      </c>
      <c r="AK31" s="2716"/>
      <c r="AL31" s="2716"/>
      <c r="AM31" s="801"/>
      <c r="AN31" s="781">
        <f t="shared" si="8"/>
        <v>0</v>
      </c>
      <c r="AO31" s="782"/>
      <c r="AP31" s="782">
        <f t="shared" si="9"/>
        <v>2861.0899999999992</v>
      </c>
      <c r="AQ31" s="2716"/>
      <c r="AR31" s="2716"/>
      <c r="AS31" s="782"/>
      <c r="AT31" s="782">
        <f t="shared" si="10"/>
        <v>2861.0899999999992</v>
      </c>
      <c r="AU31" s="2716"/>
      <c r="AV31" s="2716">
        <v>1799.5999999999995</v>
      </c>
      <c r="AW31" s="782"/>
      <c r="AX31" s="782">
        <f t="shared" si="11"/>
        <v>4660.6899999999987</v>
      </c>
      <c r="AY31" s="2716"/>
      <c r="AZ31" s="2716"/>
      <c r="BA31" s="801"/>
      <c r="BB31" s="781">
        <f t="shared" si="12"/>
        <v>1799.5999999999995</v>
      </c>
      <c r="BC31" s="522"/>
      <c r="BD31" s="662">
        <f t="shared" si="13"/>
        <v>1799.5999999999995</v>
      </c>
      <c r="BE31" s="782"/>
      <c r="BF31" s="782">
        <f t="shared" si="14"/>
        <v>4660.6899999999987</v>
      </c>
      <c r="BG31" s="26"/>
      <c r="BH31" s="26"/>
      <c r="BI31" s="26"/>
      <c r="BJ31" s="26"/>
      <c r="BK31" s="26"/>
      <c r="BL31" s="26"/>
      <c r="BM31" s="26"/>
      <c r="BN31" s="26"/>
    </row>
    <row r="32" spans="2:66" ht="16.149999999999999" thickBot="1" x14ac:dyDescent="0.35">
      <c r="B32" s="3042" t="s">
        <v>860</v>
      </c>
      <c r="C32" s="3043" t="s">
        <v>1125</v>
      </c>
      <c r="D32" s="749" t="s">
        <v>50</v>
      </c>
      <c r="E32" s="234"/>
      <c r="F32" s="234"/>
      <c r="G32" s="234"/>
      <c r="H32" s="234"/>
      <c r="I32" s="589"/>
      <c r="J32" s="4957">
        <f t="shared" si="0"/>
        <v>0</v>
      </c>
      <c r="K32" s="234"/>
      <c r="L32" s="234">
        <v>1015.7500000000002</v>
      </c>
      <c r="M32" s="781"/>
      <c r="N32" s="781">
        <f t="shared" si="1"/>
        <v>1015.7500000000002</v>
      </c>
      <c r="O32" s="234"/>
      <c r="P32" s="234"/>
      <c r="Q32" s="782"/>
      <c r="R32" s="782">
        <f t="shared" si="2"/>
        <v>1015.7500000000002</v>
      </c>
      <c r="S32" s="234"/>
      <c r="T32" s="234"/>
      <c r="U32" s="782"/>
      <c r="V32" s="782">
        <f t="shared" si="3"/>
        <v>1015.7500000000002</v>
      </c>
      <c r="W32" s="234"/>
      <c r="X32" s="234"/>
      <c r="Y32" s="801"/>
      <c r="Z32" s="781">
        <f t="shared" si="4"/>
        <v>0</v>
      </c>
      <c r="AA32" s="522"/>
      <c r="AB32" s="662">
        <f t="shared" si="5"/>
        <v>1015.7500000000002</v>
      </c>
      <c r="AC32" s="234"/>
      <c r="AD32" s="234"/>
      <c r="AE32" s="782"/>
      <c r="AF32" s="782">
        <f t="shared" si="6"/>
        <v>1015.7500000000002</v>
      </c>
      <c r="AG32" s="234"/>
      <c r="AH32" s="234"/>
      <c r="AI32" s="782"/>
      <c r="AJ32" s="782">
        <f t="shared" si="7"/>
        <v>1015.7500000000002</v>
      </c>
      <c r="AK32" s="234"/>
      <c r="AL32" s="234"/>
      <c r="AM32" s="801"/>
      <c r="AN32" s="781">
        <f t="shared" si="8"/>
        <v>0</v>
      </c>
      <c r="AO32" s="782"/>
      <c r="AP32" s="782">
        <f t="shared" si="9"/>
        <v>1015.7500000000002</v>
      </c>
      <c r="AQ32" s="234"/>
      <c r="AR32" s="234"/>
      <c r="AS32" s="782"/>
      <c r="AT32" s="782">
        <f t="shared" si="10"/>
        <v>1015.7500000000002</v>
      </c>
      <c r="AU32" s="234"/>
      <c r="AV32" s="234"/>
      <c r="AW32" s="782"/>
      <c r="AX32" s="782">
        <f t="shared" si="11"/>
        <v>1015.7500000000002</v>
      </c>
      <c r="AY32" s="234"/>
      <c r="AZ32" s="234"/>
      <c r="BA32" s="801"/>
      <c r="BB32" s="781">
        <f t="shared" si="12"/>
        <v>0</v>
      </c>
      <c r="BC32" s="522"/>
      <c r="BD32" s="662">
        <f t="shared" si="13"/>
        <v>0</v>
      </c>
      <c r="BE32" s="782"/>
      <c r="BF32" s="782">
        <f t="shared" si="14"/>
        <v>1015.7500000000002</v>
      </c>
      <c r="BG32" s="26"/>
      <c r="BH32" s="26"/>
      <c r="BI32" s="26"/>
      <c r="BJ32" s="26"/>
      <c r="BK32" s="26"/>
      <c r="BL32" s="26"/>
      <c r="BM32" s="26"/>
      <c r="BN32" s="26"/>
    </row>
    <row r="33" spans="1:66" ht="15.6" x14ac:dyDescent="0.3">
      <c r="B33" s="3035" t="s">
        <v>861</v>
      </c>
      <c r="C33" s="3036" t="s">
        <v>1042</v>
      </c>
      <c r="D33" s="60" t="s">
        <v>50</v>
      </c>
      <c r="E33" s="1306"/>
      <c r="F33" s="1306"/>
      <c r="G33" s="1306"/>
      <c r="H33" s="1306">
        <v>5288.4400000000078</v>
      </c>
      <c r="I33" s="572"/>
      <c r="J33" s="4957">
        <f t="shared" si="0"/>
        <v>5288.4400000000078</v>
      </c>
      <c r="K33" s="1306"/>
      <c r="L33" s="1306">
        <v>2984.5349999999999</v>
      </c>
      <c r="M33" s="781"/>
      <c r="N33" s="781">
        <f t="shared" si="1"/>
        <v>8272.9750000000076</v>
      </c>
      <c r="O33" s="1306"/>
      <c r="P33" s="1306">
        <v>4280.3100000000004</v>
      </c>
      <c r="Q33" s="782"/>
      <c r="R33" s="782">
        <f t="shared" si="2"/>
        <v>12553.285000000007</v>
      </c>
      <c r="S33" s="1306"/>
      <c r="T33" s="1306">
        <v>2877.3150000000005</v>
      </c>
      <c r="U33" s="782"/>
      <c r="V33" s="782">
        <f t="shared" si="3"/>
        <v>15430.600000000008</v>
      </c>
      <c r="W33" s="1306"/>
      <c r="X33" s="1306"/>
      <c r="Y33" s="801"/>
      <c r="Z33" s="781">
        <f t="shared" si="4"/>
        <v>7157.6250000000009</v>
      </c>
      <c r="AA33" s="522"/>
      <c r="AB33" s="662">
        <f t="shared" si="5"/>
        <v>15430.600000000009</v>
      </c>
      <c r="AC33" s="1306"/>
      <c r="AD33" s="1306">
        <v>1799.6</v>
      </c>
      <c r="AE33" s="782"/>
      <c r="AF33" s="782">
        <f t="shared" si="6"/>
        <v>17230.200000000008</v>
      </c>
      <c r="AG33" s="1306"/>
      <c r="AH33" s="1306"/>
      <c r="AI33" s="782"/>
      <c r="AJ33" s="782">
        <f t="shared" si="7"/>
        <v>17230.200000000008</v>
      </c>
      <c r="AK33" s="1306"/>
      <c r="AL33" s="1306">
        <v>3885.4999999999991</v>
      </c>
      <c r="AM33" s="801"/>
      <c r="AN33" s="781">
        <f t="shared" si="8"/>
        <v>5685.0999999999985</v>
      </c>
      <c r="AO33" s="782"/>
      <c r="AP33" s="782">
        <f t="shared" si="9"/>
        <v>21115.700000000008</v>
      </c>
      <c r="AQ33" s="1306"/>
      <c r="AR33" s="1306">
        <v>2505.1249999999982</v>
      </c>
      <c r="AS33" s="782"/>
      <c r="AT33" s="782">
        <f t="shared" si="10"/>
        <v>23620.825000000004</v>
      </c>
      <c r="AU33" s="1306"/>
      <c r="AV33" s="1306">
        <v>4476.5049999999992</v>
      </c>
      <c r="AW33" s="782"/>
      <c r="AX33" s="782">
        <f t="shared" si="11"/>
        <v>28097.33</v>
      </c>
      <c r="AY33" s="1306"/>
      <c r="AZ33" s="1306">
        <v>2640.17</v>
      </c>
      <c r="BA33" s="801"/>
      <c r="BB33" s="781">
        <f t="shared" si="12"/>
        <v>9621.7999999999975</v>
      </c>
      <c r="BC33" s="522"/>
      <c r="BD33" s="662">
        <f t="shared" si="13"/>
        <v>15306.899999999996</v>
      </c>
      <c r="BE33" s="782"/>
      <c r="BF33" s="782">
        <f t="shared" si="14"/>
        <v>30737.5</v>
      </c>
      <c r="BG33" s="26"/>
      <c r="BH33" s="26"/>
      <c r="BI33" s="26"/>
      <c r="BJ33" s="26"/>
      <c r="BK33" s="26"/>
      <c r="BL33" s="26"/>
      <c r="BM33" s="26"/>
      <c r="BN33" s="26"/>
    </row>
    <row r="34" spans="1:66" ht="15.6" x14ac:dyDescent="0.3">
      <c r="B34" s="887" t="s">
        <v>861</v>
      </c>
      <c r="C34" s="3040" t="s">
        <v>1043</v>
      </c>
      <c r="D34" s="2942" t="s">
        <v>50</v>
      </c>
      <c r="E34" s="2716"/>
      <c r="F34" s="2716">
        <v>2634.3349999999991</v>
      </c>
      <c r="G34" s="2716"/>
      <c r="H34" s="2716">
        <v>5431.1950000000006</v>
      </c>
      <c r="I34" s="2648"/>
      <c r="J34" s="4957">
        <f t="shared" si="0"/>
        <v>8065.53</v>
      </c>
      <c r="K34" s="2716"/>
      <c r="L34" s="2716">
        <v>9161.6000000000058</v>
      </c>
      <c r="M34" s="781"/>
      <c r="N34" s="781">
        <f t="shared" si="1"/>
        <v>17227.130000000005</v>
      </c>
      <c r="O34" s="2716"/>
      <c r="P34" s="2716">
        <v>11702.685000000034</v>
      </c>
      <c r="Q34" s="782"/>
      <c r="R34" s="782">
        <f t="shared" si="2"/>
        <v>28929.815000000039</v>
      </c>
      <c r="S34" s="2716"/>
      <c r="T34" s="2716">
        <v>9842.5850000000064</v>
      </c>
      <c r="U34" s="782"/>
      <c r="V34" s="782">
        <f t="shared" si="3"/>
        <v>38772.400000000045</v>
      </c>
      <c r="W34" s="2716"/>
      <c r="X34" s="2716">
        <v>6349.7249999999995</v>
      </c>
      <c r="Y34" s="801"/>
      <c r="Z34" s="781">
        <f t="shared" si="4"/>
        <v>27894.995000000039</v>
      </c>
      <c r="AA34" s="522"/>
      <c r="AB34" s="662">
        <f t="shared" si="5"/>
        <v>45122.125000000044</v>
      </c>
      <c r="AC34" s="2716"/>
      <c r="AD34" s="2716">
        <v>2449.91</v>
      </c>
      <c r="AE34" s="782"/>
      <c r="AF34" s="782">
        <f t="shared" si="6"/>
        <v>47572.035000000047</v>
      </c>
      <c r="AG34" s="2716"/>
      <c r="AH34" s="2716"/>
      <c r="AI34" s="782"/>
      <c r="AJ34" s="782">
        <f t="shared" si="7"/>
        <v>47572.035000000047</v>
      </c>
      <c r="AK34" s="2716"/>
      <c r="AL34" s="2716">
        <v>4785.2999999999965</v>
      </c>
      <c r="AM34" s="801"/>
      <c r="AN34" s="781">
        <f t="shared" si="8"/>
        <v>7235.2099999999964</v>
      </c>
      <c r="AO34" s="782"/>
      <c r="AP34" s="782">
        <f t="shared" si="9"/>
        <v>52357.335000000043</v>
      </c>
      <c r="AQ34" s="2716"/>
      <c r="AR34" s="2716">
        <v>4404.9299999999994</v>
      </c>
      <c r="AS34" s="782"/>
      <c r="AT34" s="782">
        <f t="shared" si="10"/>
        <v>56762.265000000043</v>
      </c>
      <c r="AU34" s="2716"/>
      <c r="AV34" s="2716">
        <v>2836.46</v>
      </c>
      <c r="AW34" s="782"/>
      <c r="AX34" s="782">
        <f t="shared" si="11"/>
        <v>59598.725000000042</v>
      </c>
      <c r="AY34" s="2716"/>
      <c r="AZ34" s="2716">
        <v>1729.2950000000003</v>
      </c>
      <c r="BA34" s="801"/>
      <c r="BB34" s="781">
        <f t="shared" si="12"/>
        <v>8970.6849999999995</v>
      </c>
      <c r="BC34" s="522"/>
      <c r="BD34" s="662">
        <f t="shared" si="13"/>
        <v>16205.894999999997</v>
      </c>
      <c r="BE34" s="782"/>
      <c r="BF34" s="782">
        <f t="shared" si="14"/>
        <v>61328.02000000004</v>
      </c>
      <c r="BG34" s="26"/>
      <c r="BH34" s="26"/>
      <c r="BI34" s="26"/>
      <c r="BJ34" s="26"/>
      <c r="BK34" s="26"/>
      <c r="BL34" s="26"/>
      <c r="BM34" s="26"/>
      <c r="BN34" s="26"/>
    </row>
    <row r="35" spans="1:66" ht="15.75" x14ac:dyDescent="0.25">
      <c r="B35" s="887" t="s">
        <v>861</v>
      </c>
      <c r="C35" s="3040" t="s">
        <v>1147</v>
      </c>
      <c r="D35" s="2942" t="s">
        <v>50</v>
      </c>
      <c r="E35" s="2716"/>
      <c r="F35" s="2716">
        <v>3836.4199999999996</v>
      </c>
      <c r="G35" s="2716"/>
      <c r="H35" s="2716">
        <v>8096.2000000000035</v>
      </c>
      <c r="I35" s="2648"/>
      <c r="J35" s="4957">
        <f t="shared" si="0"/>
        <v>11932.620000000003</v>
      </c>
      <c r="K35" s="2716"/>
      <c r="L35" s="2716">
        <v>10118.940000000015</v>
      </c>
      <c r="M35" s="781"/>
      <c r="N35" s="781">
        <f t="shared" si="1"/>
        <v>22051.560000000019</v>
      </c>
      <c r="O35" s="2716"/>
      <c r="P35" s="2716">
        <v>7626.2800000000061</v>
      </c>
      <c r="Q35" s="782"/>
      <c r="R35" s="782">
        <f t="shared" si="2"/>
        <v>29677.840000000026</v>
      </c>
      <c r="S35" s="2716"/>
      <c r="T35" s="2716">
        <v>10797.600000000008</v>
      </c>
      <c r="U35" s="782"/>
      <c r="V35" s="782">
        <f t="shared" si="3"/>
        <v>40475.440000000031</v>
      </c>
      <c r="W35" s="2716"/>
      <c r="X35" s="2716">
        <v>4776.67</v>
      </c>
      <c r="Y35" s="801"/>
      <c r="Z35" s="781">
        <f t="shared" si="4"/>
        <v>23200.55000000001</v>
      </c>
      <c r="AA35" s="522"/>
      <c r="AB35" s="662">
        <f t="shared" si="5"/>
        <v>45252.11000000003</v>
      </c>
      <c r="AC35" s="2716"/>
      <c r="AD35" s="2716">
        <v>15172.55</v>
      </c>
      <c r="AE35" s="782"/>
      <c r="AF35" s="782">
        <f t="shared" si="6"/>
        <v>60424.660000000033</v>
      </c>
      <c r="AG35" s="2716"/>
      <c r="AH35" s="2716"/>
      <c r="AI35" s="782"/>
      <c r="AJ35" s="782">
        <f t="shared" si="7"/>
        <v>60424.660000000033</v>
      </c>
      <c r="AK35" s="2716"/>
      <c r="AL35" s="2716">
        <v>10141.085000000015</v>
      </c>
      <c r="AM35" s="801"/>
      <c r="AN35" s="781">
        <f t="shared" si="8"/>
        <v>25313.635000000017</v>
      </c>
      <c r="AO35" s="782"/>
      <c r="AP35" s="782">
        <f t="shared" si="9"/>
        <v>70565.745000000054</v>
      </c>
      <c r="AQ35" s="2716"/>
      <c r="AR35" s="2716">
        <v>11311.77000000003</v>
      </c>
      <c r="AS35" s="782"/>
      <c r="AT35" s="782">
        <f t="shared" si="10"/>
        <v>81877.515000000087</v>
      </c>
      <c r="AU35" s="2716"/>
      <c r="AV35" s="2716">
        <v>8294.9450000000033</v>
      </c>
      <c r="AW35" s="782"/>
      <c r="AX35" s="782">
        <f t="shared" si="11"/>
        <v>90172.460000000094</v>
      </c>
      <c r="AY35" s="2716"/>
      <c r="AZ35" s="2716">
        <v>12979.250000000018</v>
      </c>
      <c r="BA35" s="801"/>
      <c r="BB35" s="781">
        <f t="shared" si="12"/>
        <v>32585.965000000051</v>
      </c>
      <c r="BC35" s="522"/>
      <c r="BD35" s="662">
        <f t="shared" si="13"/>
        <v>57899.600000000064</v>
      </c>
      <c r="BE35" s="782"/>
      <c r="BF35" s="782">
        <f t="shared" si="14"/>
        <v>103151.71000000011</v>
      </c>
      <c r="BG35" s="26"/>
      <c r="BH35" s="26"/>
      <c r="BI35" s="26"/>
      <c r="BJ35" s="26"/>
      <c r="BK35" s="26"/>
      <c r="BL35" s="26"/>
      <c r="BM35" s="26"/>
      <c r="BN35" s="26"/>
    </row>
    <row r="36" spans="1:66" ht="15.75" x14ac:dyDescent="0.25">
      <c r="B36" s="887" t="s">
        <v>861</v>
      </c>
      <c r="C36" s="3040" t="s">
        <v>1044</v>
      </c>
      <c r="D36" s="2942" t="s">
        <v>50</v>
      </c>
      <c r="E36" s="2716"/>
      <c r="F36" s="2716"/>
      <c r="G36" s="2716"/>
      <c r="H36" s="2716">
        <v>603.27499999999998</v>
      </c>
      <c r="I36" s="2648"/>
      <c r="J36" s="4957">
        <f t="shared" si="0"/>
        <v>603.27499999999998</v>
      </c>
      <c r="K36" s="2716"/>
      <c r="L36" s="2716"/>
      <c r="M36" s="781"/>
      <c r="N36" s="781">
        <f t="shared" si="1"/>
        <v>603.27499999999998</v>
      </c>
      <c r="O36" s="2716"/>
      <c r="P36" s="2716"/>
      <c r="Q36" s="782"/>
      <c r="R36" s="782">
        <f t="shared" si="2"/>
        <v>603.27499999999998</v>
      </c>
      <c r="S36" s="2716"/>
      <c r="T36" s="2716"/>
      <c r="U36" s="782"/>
      <c r="V36" s="782">
        <f t="shared" si="3"/>
        <v>603.27499999999998</v>
      </c>
      <c r="W36" s="2716"/>
      <c r="X36" s="2716">
        <v>1212.6849999999999</v>
      </c>
      <c r="Y36" s="801"/>
      <c r="Z36" s="781">
        <f t="shared" si="4"/>
        <v>1212.6849999999999</v>
      </c>
      <c r="AA36" s="522"/>
      <c r="AB36" s="662">
        <f t="shared" si="5"/>
        <v>1815.96</v>
      </c>
      <c r="AC36" s="2716"/>
      <c r="AD36" s="2716"/>
      <c r="AE36" s="782"/>
      <c r="AF36" s="782">
        <f t="shared" si="6"/>
        <v>1815.96</v>
      </c>
      <c r="AG36" s="2716"/>
      <c r="AH36" s="2716"/>
      <c r="AI36" s="782"/>
      <c r="AJ36" s="782">
        <f t="shared" si="7"/>
        <v>1815.96</v>
      </c>
      <c r="AK36" s="2716"/>
      <c r="AL36" s="2716"/>
      <c r="AM36" s="801"/>
      <c r="AN36" s="781">
        <f t="shared" si="8"/>
        <v>0</v>
      </c>
      <c r="AO36" s="782"/>
      <c r="AP36" s="782">
        <f t="shared" si="9"/>
        <v>1815.96</v>
      </c>
      <c r="AQ36" s="2716"/>
      <c r="AR36" s="2716"/>
      <c r="AS36" s="782"/>
      <c r="AT36" s="782">
        <f t="shared" si="10"/>
        <v>1815.96</v>
      </c>
      <c r="AU36" s="2716"/>
      <c r="AV36" s="2716"/>
      <c r="AW36" s="782"/>
      <c r="AX36" s="782">
        <f t="shared" si="11"/>
        <v>1815.96</v>
      </c>
      <c r="AY36" s="2716"/>
      <c r="AZ36" s="2716"/>
      <c r="BA36" s="801"/>
      <c r="BB36" s="781">
        <f t="shared" si="12"/>
        <v>0</v>
      </c>
      <c r="BC36" s="522"/>
      <c r="BD36" s="662">
        <f t="shared" si="13"/>
        <v>0</v>
      </c>
      <c r="BE36" s="782"/>
      <c r="BF36" s="782">
        <f t="shared" si="14"/>
        <v>1815.96</v>
      </c>
      <c r="BG36" s="26"/>
      <c r="BH36" s="26"/>
      <c r="BI36" s="26"/>
      <c r="BJ36" s="26"/>
      <c r="BK36" s="26"/>
      <c r="BL36" s="26"/>
      <c r="BM36" s="26"/>
      <c r="BN36" s="26"/>
    </row>
    <row r="37" spans="1:66" ht="16.5" thickBot="1" x14ac:dyDescent="0.3">
      <c r="B37" s="3045" t="s">
        <v>861</v>
      </c>
      <c r="C37" s="3046" t="s">
        <v>1012</v>
      </c>
      <c r="D37" s="3047" t="s">
        <v>50</v>
      </c>
      <c r="E37" s="2979"/>
      <c r="F37" s="2979"/>
      <c r="G37" s="2979"/>
      <c r="H37" s="2979"/>
      <c r="I37" s="2941"/>
      <c r="J37" s="4957">
        <f t="shared" si="0"/>
        <v>0</v>
      </c>
      <c r="K37" s="2979"/>
      <c r="L37" s="2979"/>
      <c r="M37" s="781"/>
      <c r="N37" s="781">
        <f t="shared" si="1"/>
        <v>0</v>
      </c>
      <c r="O37" s="2979"/>
      <c r="P37" s="2979"/>
      <c r="Q37" s="782"/>
      <c r="R37" s="782">
        <f t="shared" si="2"/>
        <v>0</v>
      </c>
      <c r="S37" s="2979"/>
      <c r="T37" s="2979"/>
      <c r="U37" s="782"/>
      <c r="V37" s="782">
        <f t="shared" si="3"/>
        <v>0</v>
      </c>
      <c r="W37" s="2979"/>
      <c r="X37" s="2979"/>
      <c r="Y37" s="801"/>
      <c r="Z37" s="781">
        <f t="shared" si="4"/>
        <v>0</v>
      </c>
      <c r="AA37" s="522"/>
      <c r="AB37" s="662">
        <f t="shared" si="5"/>
        <v>0</v>
      </c>
      <c r="AC37" s="2979"/>
      <c r="AD37" s="2979">
        <v>509.21</v>
      </c>
      <c r="AE37" s="782"/>
      <c r="AF37" s="782">
        <f t="shared" si="6"/>
        <v>509.21</v>
      </c>
      <c r="AG37" s="2979"/>
      <c r="AH37" s="2979"/>
      <c r="AI37" s="782"/>
      <c r="AJ37" s="782">
        <f t="shared" si="7"/>
        <v>509.21</v>
      </c>
      <c r="AK37" s="2979"/>
      <c r="AL37" s="2979"/>
      <c r="AM37" s="801"/>
      <c r="AN37" s="781">
        <f t="shared" si="8"/>
        <v>509.21</v>
      </c>
      <c r="AO37" s="782"/>
      <c r="AP37" s="782">
        <f t="shared" si="9"/>
        <v>509.21</v>
      </c>
      <c r="AQ37" s="2979"/>
      <c r="AR37" s="2979">
        <v>730.06499999999994</v>
      </c>
      <c r="AS37" s="782"/>
      <c r="AT37" s="782">
        <f t="shared" si="10"/>
        <v>1239.2749999999999</v>
      </c>
      <c r="AU37" s="2979"/>
      <c r="AV37" s="2979"/>
      <c r="AW37" s="782"/>
      <c r="AX37" s="782">
        <f t="shared" si="11"/>
        <v>1239.2749999999999</v>
      </c>
      <c r="AY37" s="2979"/>
      <c r="AZ37" s="2979"/>
      <c r="BA37" s="801"/>
      <c r="BB37" s="781">
        <f t="shared" si="12"/>
        <v>730.06499999999994</v>
      </c>
      <c r="BC37" s="522"/>
      <c r="BD37" s="662">
        <f t="shared" si="13"/>
        <v>1239.2749999999999</v>
      </c>
      <c r="BE37" s="782"/>
      <c r="BF37" s="782">
        <f t="shared" si="14"/>
        <v>1239.2749999999999</v>
      </c>
      <c r="BG37" s="26"/>
      <c r="BH37" s="26"/>
      <c r="BI37" s="26"/>
      <c r="BJ37" s="26"/>
      <c r="BK37" s="26"/>
      <c r="BL37" s="26"/>
      <c r="BM37" s="26"/>
      <c r="BN37" s="26"/>
    </row>
    <row r="38" spans="1:66" ht="15.75" x14ac:dyDescent="0.25">
      <c r="B38" s="3037" t="s">
        <v>862</v>
      </c>
      <c r="C38" s="3038" t="s">
        <v>1042</v>
      </c>
      <c r="D38" s="758" t="s">
        <v>50</v>
      </c>
      <c r="E38" s="275"/>
      <c r="F38" s="275">
        <v>1484.6699999999998</v>
      </c>
      <c r="G38" s="275"/>
      <c r="H38" s="275">
        <v>1982.0050000000001</v>
      </c>
      <c r="I38" s="373"/>
      <c r="J38" s="4957">
        <f t="shared" si="0"/>
        <v>3466.6750000000002</v>
      </c>
      <c r="K38" s="275"/>
      <c r="L38" s="275">
        <v>1614.58</v>
      </c>
      <c r="M38" s="781"/>
      <c r="N38" s="781">
        <f t="shared" si="1"/>
        <v>5081.2550000000001</v>
      </c>
      <c r="O38" s="275"/>
      <c r="P38" s="275"/>
      <c r="Q38" s="782"/>
      <c r="R38" s="782">
        <f t="shared" si="2"/>
        <v>5081.2550000000001</v>
      </c>
      <c r="S38" s="275"/>
      <c r="T38" s="275"/>
      <c r="U38" s="782"/>
      <c r="V38" s="782">
        <f t="shared" si="3"/>
        <v>5081.2550000000001</v>
      </c>
      <c r="W38" s="275"/>
      <c r="X38" s="275">
        <v>1095.3749999999998</v>
      </c>
      <c r="Y38" s="801"/>
      <c r="Z38" s="781">
        <f t="shared" si="4"/>
        <v>1095.3749999999998</v>
      </c>
      <c r="AA38" s="522"/>
      <c r="AB38" s="662">
        <f t="shared" si="5"/>
        <v>6176.63</v>
      </c>
      <c r="AC38" s="275"/>
      <c r="AD38" s="275"/>
      <c r="AE38" s="782"/>
      <c r="AF38" s="782">
        <f t="shared" si="6"/>
        <v>6176.63</v>
      </c>
      <c r="AG38" s="275"/>
      <c r="AH38" s="275"/>
      <c r="AI38" s="782"/>
      <c r="AJ38" s="782">
        <f t="shared" si="7"/>
        <v>6176.63</v>
      </c>
      <c r="AK38" s="275"/>
      <c r="AL38" s="275">
        <v>2241.3200000000006</v>
      </c>
      <c r="AM38" s="801"/>
      <c r="AN38" s="781">
        <f t="shared" si="8"/>
        <v>2241.3200000000006</v>
      </c>
      <c r="AO38" s="782"/>
      <c r="AP38" s="782">
        <f t="shared" si="9"/>
        <v>8417.9500000000007</v>
      </c>
      <c r="AQ38" s="275"/>
      <c r="AR38" s="275">
        <v>1548.0650000000001</v>
      </c>
      <c r="AS38" s="782"/>
      <c r="AT38" s="782">
        <f t="shared" si="10"/>
        <v>9966.0150000000012</v>
      </c>
      <c r="AU38" s="275"/>
      <c r="AV38" s="275">
        <v>1419.2300000000002</v>
      </c>
      <c r="AW38" s="782"/>
      <c r="AX38" s="782">
        <f t="shared" si="11"/>
        <v>11385.245000000001</v>
      </c>
      <c r="AY38" s="275"/>
      <c r="AZ38" s="275"/>
      <c r="BA38" s="801"/>
      <c r="BB38" s="781">
        <f t="shared" si="12"/>
        <v>2967.2950000000001</v>
      </c>
      <c r="BC38" s="522"/>
      <c r="BD38" s="662">
        <f t="shared" si="13"/>
        <v>5208.6150000000007</v>
      </c>
      <c r="BE38" s="782"/>
      <c r="BF38" s="782">
        <f t="shared" si="14"/>
        <v>11385.245000000001</v>
      </c>
      <c r="BG38" s="26"/>
      <c r="BH38" s="26"/>
      <c r="BI38" s="26"/>
      <c r="BJ38" s="26"/>
      <c r="BK38" s="26"/>
      <c r="BL38" s="26"/>
      <c r="BM38" s="26"/>
      <c r="BN38" s="26"/>
    </row>
    <row r="39" spans="1:66" ht="15" customHeight="1" x14ac:dyDescent="0.25">
      <c r="B39" s="887" t="s">
        <v>862</v>
      </c>
      <c r="C39" s="3040" t="s">
        <v>1043</v>
      </c>
      <c r="D39" s="2942" t="s">
        <v>50</v>
      </c>
      <c r="E39" s="2716"/>
      <c r="F39" s="2716">
        <v>1803.6899999999996</v>
      </c>
      <c r="G39" s="2716"/>
      <c r="H39" s="2716">
        <v>2044.0000000000002</v>
      </c>
      <c r="I39" s="2648"/>
      <c r="J39" s="4957">
        <f t="shared" si="0"/>
        <v>3847.6899999999996</v>
      </c>
      <c r="K39" s="2716"/>
      <c r="L39" s="2716"/>
      <c r="M39" s="781"/>
      <c r="N39" s="781">
        <f t="shared" si="1"/>
        <v>3847.6899999999996</v>
      </c>
      <c r="O39" s="2716"/>
      <c r="P39" s="2716"/>
      <c r="Q39" s="782"/>
      <c r="R39" s="782">
        <f t="shared" si="2"/>
        <v>3847.6899999999996</v>
      </c>
      <c r="S39" s="2716"/>
      <c r="T39" s="2716">
        <v>2517.2899999999991</v>
      </c>
      <c r="U39" s="782"/>
      <c r="V39" s="782">
        <f t="shared" si="3"/>
        <v>6364.9799999999987</v>
      </c>
      <c r="W39" s="2716"/>
      <c r="X39" s="2716">
        <v>3394.7</v>
      </c>
      <c r="Y39" s="801"/>
      <c r="Z39" s="781">
        <f t="shared" si="4"/>
        <v>5911.9899999999989</v>
      </c>
      <c r="AA39" s="522"/>
      <c r="AB39" s="662">
        <f t="shared" si="5"/>
        <v>9759.6799999999985</v>
      </c>
      <c r="AC39" s="2716"/>
      <c r="AD39" s="2716"/>
      <c r="AE39" s="782"/>
      <c r="AF39" s="782">
        <f t="shared" si="6"/>
        <v>9759.6799999999985</v>
      </c>
      <c r="AG39" s="2716"/>
      <c r="AH39" s="2716"/>
      <c r="AI39" s="782"/>
      <c r="AJ39" s="782">
        <f t="shared" si="7"/>
        <v>9759.6799999999985</v>
      </c>
      <c r="AK39" s="2716"/>
      <c r="AL39" s="2716">
        <v>629.8599999999999</v>
      </c>
      <c r="AM39" s="801"/>
      <c r="AN39" s="781">
        <f t="shared" si="8"/>
        <v>629.8599999999999</v>
      </c>
      <c r="AO39" s="782"/>
      <c r="AP39" s="782">
        <f t="shared" si="9"/>
        <v>10389.539999999999</v>
      </c>
      <c r="AQ39" s="2716"/>
      <c r="AR39" s="2716">
        <v>1572.605</v>
      </c>
      <c r="AS39" s="782"/>
      <c r="AT39" s="782">
        <f t="shared" si="10"/>
        <v>11962.144999999999</v>
      </c>
      <c r="AU39" s="2716"/>
      <c r="AV39" s="2716"/>
      <c r="AW39" s="782"/>
      <c r="AX39" s="782">
        <f t="shared" si="11"/>
        <v>11962.144999999999</v>
      </c>
      <c r="AY39" s="2716"/>
      <c r="AZ39" s="2716">
        <v>1848.6800000000003</v>
      </c>
      <c r="BA39" s="801"/>
      <c r="BB39" s="781">
        <f t="shared" si="12"/>
        <v>3421.2850000000003</v>
      </c>
      <c r="BC39" s="522"/>
      <c r="BD39" s="662">
        <f t="shared" si="13"/>
        <v>4051.1450000000004</v>
      </c>
      <c r="BE39" s="782"/>
      <c r="BF39" s="782">
        <f t="shared" si="14"/>
        <v>13810.824999999999</v>
      </c>
      <c r="BG39" s="26"/>
      <c r="BH39" s="26"/>
      <c r="BI39" s="26"/>
      <c r="BJ39" s="26"/>
      <c r="BK39" s="26"/>
      <c r="BL39" s="26"/>
      <c r="BM39" s="26"/>
      <c r="BN39" s="26"/>
    </row>
    <row r="40" spans="1:66" ht="15" customHeight="1" x14ac:dyDescent="0.25">
      <c r="B40" s="887" t="s">
        <v>862</v>
      </c>
      <c r="C40" s="3040" t="s">
        <v>1147</v>
      </c>
      <c r="D40" s="2942" t="s">
        <v>50</v>
      </c>
      <c r="E40" s="2716"/>
      <c r="F40" s="2716">
        <v>8355.6899999999987</v>
      </c>
      <c r="G40" s="2716"/>
      <c r="H40" s="2716">
        <v>9685.2300000000105</v>
      </c>
      <c r="I40" s="2648"/>
      <c r="J40" s="4957">
        <f t="shared" si="0"/>
        <v>18040.920000000009</v>
      </c>
      <c r="K40" s="2716"/>
      <c r="L40" s="2716">
        <v>12248.71500000002</v>
      </c>
      <c r="M40" s="781"/>
      <c r="N40" s="781">
        <f t="shared" si="1"/>
        <v>30289.635000000031</v>
      </c>
      <c r="O40" s="2716"/>
      <c r="P40" s="2716"/>
      <c r="Q40" s="782"/>
      <c r="R40" s="782">
        <f t="shared" si="2"/>
        <v>30289.635000000031</v>
      </c>
      <c r="S40" s="2716"/>
      <c r="T40" s="2716">
        <v>10931.275000000014</v>
      </c>
      <c r="U40" s="782"/>
      <c r="V40" s="782">
        <f t="shared" si="3"/>
        <v>41220.910000000047</v>
      </c>
      <c r="W40" s="2716"/>
      <c r="X40" s="2716">
        <v>8653.0450000000092</v>
      </c>
      <c r="Y40" s="801"/>
      <c r="Z40" s="781">
        <f t="shared" si="4"/>
        <v>19584.320000000022</v>
      </c>
      <c r="AA40" s="522"/>
      <c r="AB40" s="662">
        <f t="shared" si="5"/>
        <v>49873.955000000053</v>
      </c>
      <c r="AC40" s="2716"/>
      <c r="AD40" s="2716">
        <v>8169.78</v>
      </c>
      <c r="AE40" s="782"/>
      <c r="AF40" s="782">
        <f t="shared" si="6"/>
        <v>58043.735000000052</v>
      </c>
      <c r="AG40" s="2716"/>
      <c r="AH40" s="2716">
        <v>1494.8950000000002</v>
      </c>
      <c r="AI40" s="782"/>
      <c r="AJ40" s="782">
        <f t="shared" si="7"/>
        <v>59538.630000000048</v>
      </c>
      <c r="AK40" s="2716"/>
      <c r="AL40" s="2716">
        <v>9599.7750000000106</v>
      </c>
      <c r="AM40" s="801"/>
      <c r="AN40" s="781">
        <f t="shared" si="8"/>
        <v>19264.450000000012</v>
      </c>
      <c r="AO40" s="782"/>
      <c r="AP40" s="782">
        <f t="shared" si="9"/>
        <v>69138.405000000057</v>
      </c>
      <c r="AQ40" s="2716"/>
      <c r="AR40" s="2716">
        <v>9831.3050000000112</v>
      </c>
      <c r="AS40" s="782"/>
      <c r="AT40" s="782">
        <f t="shared" si="10"/>
        <v>78969.710000000065</v>
      </c>
      <c r="AU40" s="2716"/>
      <c r="AV40" s="2716">
        <v>4459.2950000000001</v>
      </c>
      <c r="AW40" s="782"/>
      <c r="AX40" s="782">
        <f t="shared" si="11"/>
        <v>83429.005000000063</v>
      </c>
      <c r="AY40" s="2716"/>
      <c r="AZ40" s="2716">
        <v>4327.2199999999993</v>
      </c>
      <c r="BA40" s="801"/>
      <c r="BB40" s="781">
        <f t="shared" si="12"/>
        <v>18617.820000000011</v>
      </c>
      <c r="BC40" s="522"/>
      <c r="BD40" s="662">
        <f t="shared" si="13"/>
        <v>37882.270000000019</v>
      </c>
      <c r="BE40" s="782"/>
      <c r="BF40" s="782">
        <f t="shared" si="14"/>
        <v>87756.225000000064</v>
      </c>
      <c r="BG40" s="26"/>
      <c r="BH40" s="26"/>
      <c r="BI40" s="26"/>
      <c r="BJ40" s="26"/>
      <c r="BK40" s="26"/>
      <c r="BL40" s="26"/>
      <c r="BM40" s="26"/>
      <c r="BN40" s="26"/>
    </row>
    <row r="41" spans="1:66" ht="15" customHeight="1" thickBot="1" x14ac:dyDescent="0.3">
      <c r="B41" s="3042" t="s">
        <v>862</v>
      </c>
      <c r="C41" s="3043" t="s">
        <v>1044</v>
      </c>
      <c r="D41" s="749" t="s">
        <v>50</v>
      </c>
      <c r="E41" s="234"/>
      <c r="F41" s="234">
        <v>1637.7850000000005</v>
      </c>
      <c r="G41" s="234"/>
      <c r="H41" s="234"/>
      <c r="I41" s="589"/>
      <c r="J41" s="4957">
        <f t="shared" si="0"/>
        <v>1637.7850000000005</v>
      </c>
      <c r="K41" s="234"/>
      <c r="L41" s="234"/>
      <c r="M41" s="781"/>
      <c r="N41" s="781">
        <f t="shared" si="1"/>
        <v>1637.7850000000005</v>
      </c>
      <c r="O41" s="234"/>
      <c r="P41" s="234"/>
      <c r="Q41" s="782"/>
      <c r="R41" s="782">
        <f t="shared" si="2"/>
        <v>1637.7850000000005</v>
      </c>
      <c r="S41" s="234"/>
      <c r="T41" s="234">
        <v>1200.415</v>
      </c>
      <c r="U41" s="782"/>
      <c r="V41" s="782">
        <f t="shared" si="3"/>
        <v>2838.2000000000007</v>
      </c>
      <c r="W41" s="234"/>
      <c r="X41" s="234"/>
      <c r="Y41" s="801"/>
      <c r="Z41" s="781">
        <f t="shared" si="4"/>
        <v>1200.415</v>
      </c>
      <c r="AA41" s="522"/>
      <c r="AB41" s="662">
        <f t="shared" si="5"/>
        <v>2838.2000000000007</v>
      </c>
      <c r="AC41" s="234"/>
      <c r="AD41" s="234"/>
      <c r="AE41" s="782"/>
      <c r="AF41" s="782">
        <f t="shared" si="6"/>
        <v>2838.2000000000007</v>
      </c>
      <c r="AG41" s="234"/>
      <c r="AH41" s="234"/>
      <c r="AI41" s="782"/>
      <c r="AJ41" s="782">
        <f t="shared" si="7"/>
        <v>2838.2000000000007</v>
      </c>
      <c r="AK41" s="234"/>
      <c r="AL41" s="234"/>
      <c r="AM41" s="801"/>
      <c r="AN41" s="781">
        <f t="shared" si="8"/>
        <v>0</v>
      </c>
      <c r="AO41" s="782"/>
      <c r="AP41" s="782">
        <f t="shared" si="9"/>
        <v>2838.2000000000007</v>
      </c>
      <c r="AQ41" s="234"/>
      <c r="AR41" s="234"/>
      <c r="AS41" s="782"/>
      <c r="AT41" s="782">
        <f t="shared" si="10"/>
        <v>2838.2000000000007</v>
      </c>
      <c r="AU41" s="234"/>
      <c r="AV41" s="234"/>
      <c r="AW41" s="782"/>
      <c r="AX41" s="782">
        <f t="shared" si="11"/>
        <v>2838.2000000000007</v>
      </c>
      <c r="AY41" s="234"/>
      <c r="AZ41" s="234"/>
      <c r="BA41" s="801"/>
      <c r="BB41" s="781">
        <f t="shared" si="12"/>
        <v>0</v>
      </c>
      <c r="BC41" s="522"/>
      <c r="BD41" s="662">
        <f t="shared" si="13"/>
        <v>0</v>
      </c>
      <c r="BE41" s="782"/>
      <c r="BF41" s="782">
        <f t="shared" si="14"/>
        <v>2838.2000000000007</v>
      </c>
      <c r="BG41" s="26"/>
      <c r="BH41" s="26"/>
      <c r="BI41" s="26"/>
      <c r="BJ41" s="26"/>
      <c r="BK41" s="26"/>
      <c r="BL41" s="26"/>
      <c r="BM41" s="26"/>
      <c r="BN41" s="26"/>
    </row>
    <row r="42" spans="1:66" ht="16.5" thickBot="1" x14ac:dyDescent="0.3">
      <c r="B42" s="3057" t="s">
        <v>863</v>
      </c>
      <c r="C42" s="3058" t="s">
        <v>1042</v>
      </c>
      <c r="D42" s="830" t="s">
        <v>50</v>
      </c>
      <c r="E42" s="3059"/>
      <c r="F42" s="3059"/>
      <c r="G42" s="3059"/>
      <c r="H42" s="3059"/>
      <c r="I42" s="3060"/>
      <c r="J42" s="4957">
        <f t="shared" si="0"/>
        <v>0</v>
      </c>
      <c r="K42" s="3059"/>
      <c r="L42" s="3059"/>
      <c r="M42" s="781"/>
      <c r="N42" s="781">
        <f t="shared" si="1"/>
        <v>0</v>
      </c>
      <c r="O42" s="3059"/>
      <c r="P42" s="3059"/>
      <c r="Q42" s="782"/>
      <c r="R42" s="782">
        <f t="shared" si="2"/>
        <v>0</v>
      </c>
      <c r="S42" s="3059"/>
      <c r="T42" s="3059"/>
      <c r="U42" s="782"/>
      <c r="V42" s="782">
        <f t="shared" si="3"/>
        <v>0</v>
      </c>
      <c r="W42" s="3059"/>
      <c r="X42" s="3059"/>
      <c r="Y42" s="801"/>
      <c r="Z42" s="781">
        <f t="shared" si="4"/>
        <v>0</v>
      </c>
      <c r="AA42" s="522"/>
      <c r="AB42" s="662">
        <f t="shared" si="5"/>
        <v>0</v>
      </c>
      <c r="AC42" s="3059"/>
      <c r="AD42" s="3059"/>
      <c r="AE42" s="782"/>
      <c r="AF42" s="782">
        <f t="shared" si="6"/>
        <v>0</v>
      </c>
      <c r="AG42" s="3059"/>
      <c r="AH42" s="3059"/>
      <c r="AI42" s="782"/>
      <c r="AJ42" s="782">
        <f t="shared" si="7"/>
        <v>0</v>
      </c>
      <c r="AK42" s="3059"/>
      <c r="AL42" s="3059">
        <v>1729.39</v>
      </c>
      <c r="AM42" s="801"/>
      <c r="AN42" s="781">
        <f t="shared" si="8"/>
        <v>1729.39</v>
      </c>
      <c r="AO42" s="782"/>
      <c r="AP42" s="782">
        <f t="shared" si="9"/>
        <v>1729.39</v>
      </c>
      <c r="AQ42" s="3059"/>
      <c r="AR42" s="3059"/>
      <c r="AS42" s="782"/>
      <c r="AT42" s="782">
        <f t="shared" si="10"/>
        <v>1729.39</v>
      </c>
      <c r="AU42" s="3059"/>
      <c r="AV42" s="3059"/>
      <c r="AW42" s="782"/>
      <c r="AX42" s="782">
        <f t="shared" si="11"/>
        <v>1729.39</v>
      </c>
      <c r="AY42" s="3059"/>
      <c r="AZ42" s="3059"/>
      <c r="BA42" s="801"/>
      <c r="BB42" s="781">
        <f t="shared" si="12"/>
        <v>0</v>
      </c>
      <c r="BC42" s="522"/>
      <c r="BD42" s="662">
        <f t="shared" si="13"/>
        <v>1729.39</v>
      </c>
      <c r="BE42" s="782"/>
      <c r="BF42" s="782">
        <f t="shared" si="14"/>
        <v>1729.39</v>
      </c>
      <c r="BG42" s="26"/>
      <c r="BH42" s="26"/>
      <c r="BI42" s="26"/>
      <c r="BJ42" s="26"/>
      <c r="BK42" s="26"/>
      <c r="BL42" s="26"/>
      <c r="BM42" s="26"/>
      <c r="BN42" s="26"/>
    </row>
    <row r="43" spans="1:66" ht="15.75" x14ac:dyDescent="0.25">
      <c r="A43" s="149"/>
      <c r="B43" s="3054" t="s">
        <v>829</v>
      </c>
      <c r="C43" s="3055"/>
      <c r="D43" s="3056"/>
      <c r="E43" s="1306"/>
      <c r="F43" s="1306"/>
      <c r="G43" s="1306"/>
      <c r="H43" s="1306"/>
      <c r="I43" s="1306"/>
      <c r="J43" s="1306"/>
      <c r="K43" s="1306"/>
      <c r="L43" s="1306"/>
      <c r="M43" s="1134"/>
      <c r="N43" s="1134"/>
      <c r="O43" s="1306"/>
      <c r="P43" s="1306"/>
      <c r="Q43" s="1134"/>
      <c r="R43" s="782">
        <f t="shared" si="2"/>
        <v>0</v>
      </c>
      <c r="S43" s="1306"/>
      <c r="T43" s="1306"/>
      <c r="U43" s="1134"/>
      <c r="V43" s="1134"/>
      <c r="W43" s="1306"/>
      <c r="X43" s="1306"/>
      <c r="Y43" s="1137"/>
      <c r="Z43" s="1134"/>
      <c r="AA43" s="1137"/>
      <c r="AB43" s="596"/>
      <c r="AC43" s="1306"/>
      <c r="AD43" s="1306"/>
      <c r="AE43" s="1134"/>
      <c r="AF43" s="1134"/>
      <c r="AG43" s="1306"/>
      <c r="AH43" s="1306"/>
      <c r="AI43" s="1134"/>
      <c r="AJ43" s="1134"/>
      <c r="AK43" s="1306"/>
      <c r="AL43" s="1306"/>
      <c r="AM43" s="1137"/>
      <c r="AN43" s="1134"/>
      <c r="AO43" s="1134"/>
      <c r="AP43" s="1134"/>
      <c r="AQ43" s="1306"/>
      <c r="AR43" s="1306"/>
      <c r="AS43" s="1134"/>
      <c r="AT43" s="1134"/>
      <c r="AU43" s="1306"/>
      <c r="AV43" s="1306"/>
      <c r="AW43" s="1134"/>
      <c r="AX43" s="1134"/>
      <c r="AY43" s="1306"/>
      <c r="AZ43" s="1306"/>
      <c r="BA43" s="1137"/>
      <c r="BB43" s="1134"/>
      <c r="BC43" s="1137"/>
      <c r="BD43" s="596"/>
      <c r="BE43" s="1134"/>
      <c r="BF43" s="1134"/>
      <c r="BG43" s="26"/>
      <c r="BH43" s="26"/>
      <c r="BI43" s="26"/>
      <c r="BJ43" s="26"/>
      <c r="BK43" s="26"/>
      <c r="BL43" s="26"/>
      <c r="BM43" s="26"/>
      <c r="BN43" s="26"/>
    </row>
    <row r="44" spans="1:66" ht="15" customHeight="1" x14ac:dyDescent="0.25">
      <c r="B44" s="1640" t="s">
        <v>1033</v>
      </c>
      <c r="C44" s="1641"/>
      <c r="D44" s="1639" t="s">
        <v>50</v>
      </c>
      <c r="E44" s="200"/>
      <c r="F44" s="1134"/>
      <c r="G44" s="200"/>
      <c r="H44" s="1134"/>
      <c r="I44" s="782"/>
      <c r="J44" s="782">
        <f t="shared" ref="J44:J54" si="17">+F44+H44</f>
        <v>0</v>
      </c>
      <c r="K44" s="200"/>
      <c r="L44" s="1134"/>
      <c r="M44" s="781"/>
      <c r="N44" s="781">
        <f t="shared" ref="N44:N54" si="18">+F44+H44+L44</f>
        <v>0</v>
      </c>
      <c r="O44" s="200"/>
      <c r="P44" s="1134"/>
      <c r="Q44" s="782"/>
      <c r="R44" s="782">
        <f t="shared" si="2"/>
        <v>0</v>
      </c>
      <c r="S44" s="200"/>
      <c r="T44" s="1134"/>
      <c r="U44" s="782"/>
      <c r="V44" s="782">
        <f t="shared" ref="V44:V53" si="19">+R44+T44</f>
        <v>0</v>
      </c>
      <c r="W44" s="200"/>
      <c r="X44" s="1134"/>
      <c r="Y44" s="801"/>
      <c r="Z44" s="781">
        <f t="shared" ref="Z44:Z54" si="20">+P44+T44+X44</f>
        <v>0</v>
      </c>
      <c r="AA44" s="522"/>
      <c r="AB44" s="662">
        <f t="shared" ref="AB44:AB54" si="21">+N44+Z44</f>
        <v>0</v>
      </c>
      <c r="AC44" s="200"/>
      <c r="AD44" s="1134"/>
      <c r="AE44" s="782"/>
      <c r="AF44" s="782">
        <f t="shared" ref="AF44:AF54" si="22">+AB44+AD44</f>
        <v>0</v>
      </c>
      <c r="AG44" s="200"/>
      <c r="AH44" s="1134"/>
      <c r="AI44" s="782"/>
      <c r="AJ44" s="782">
        <f t="shared" ref="AJ44:AJ54" si="23">+AF44+AH44</f>
        <v>0</v>
      </c>
      <c r="AK44" s="200"/>
      <c r="AL44" s="1134">
        <v>0.68</v>
      </c>
      <c r="AM44" s="801"/>
      <c r="AN44" s="781">
        <f t="shared" ref="AN44:AN54" si="24">+AD44+AH44+AL44</f>
        <v>0.68</v>
      </c>
      <c r="AO44" s="782"/>
      <c r="AP44" s="782">
        <f t="shared" ref="AP44:AP54" si="25">AJ44+AL44</f>
        <v>0.68</v>
      </c>
      <c r="AQ44" s="200"/>
      <c r="AR44" s="1134"/>
      <c r="AS44" s="782"/>
      <c r="AT44" s="782">
        <f t="shared" ref="AT44:AT54" si="26">+AP44+AR44</f>
        <v>0.68</v>
      </c>
      <c r="AU44" s="200"/>
      <c r="AV44" s="1134"/>
      <c r="AW44" s="782"/>
      <c r="AX44" s="782">
        <f t="shared" ref="AX44:AX54" si="27">+AT44+AV44</f>
        <v>0.68</v>
      </c>
      <c r="AY44" s="200"/>
      <c r="AZ44" s="1134"/>
      <c r="BA44" s="801"/>
      <c r="BB44" s="781">
        <f t="shared" ref="BB44:BB52" si="28">+AR44+AV44+AZ44</f>
        <v>0</v>
      </c>
      <c r="BC44" s="522"/>
      <c r="BD44" s="662">
        <f>+AN44+BB44</f>
        <v>0.68</v>
      </c>
      <c r="BE44" s="782"/>
      <c r="BF44" s="782">
        <f t="shared" ref="BF44:BF54" si="29">+AX44+AZ44</f>
        <v>0.68</v>
      </c>
      <c r="BG44" s="26"/>
      <c r="BH44" s="26"/>
      <c r="BI44" s="26"/>
      <c r="BJ44" s="26"/>
      <c r="BK44" s="26"/>
      <c r="BL44" s="26"/>
      <c r="BM44" s="26"/>
      <c r="BN44" s="26"/>
    </row>
    <row r="45" spans="1:66" ht="15" customHeight="1" x14ac:dyDescent="0.25">
      <c r="B45" s="1640" t="s">
        <v>1031</v>
      </c>
      <c r="C45" s="1641"/>
      <c r="D45" s="1639" t="s">
        <v>50</v>
      </c>
      <c r="E45" s="200"/>
      <c r="F45" s="1134">
        <v>12.71</v>
      </c>
      <c r="G45" s="200"/>
      <c r="H45" s="1134">
        <v>8.67</v>
      </c>
      <c r="I45" s="782"/>
      <c r="J45" s="782">
        <f t="shared" si="17"/>
        <v>21.380000000000003</v>
      </c>
      <c r="K45" s="200"/>
      <c r="L45" s="1134">
        <v>12.03</v>
      </c>
      <c r="M45" s="781"/>
      <c r="N45" s="781">
        <f t="shared" si="18"/>
        <v>33.410000000000004</v>
      </c>
      <c r="O45" s="200"/>
      <c r="P45" s="1134"/>
      <c r="Q45" s="782"/>
      <c r="R45" s="782">
        <f t="shared" si="2"/>
        <v>33.410000000000004</v>
      </c>
      <c r="S45" s="200"/>
      <c r="T45" s="1134">
        <v>5.49</v>
      </c>
      <c r="U45" s="782"/>
      <c r="V45" s="782">
        <f t="shared" si="19"/>
        <v>38.900000000000006</v>
      </c>
      <c r="W45" s="200"/>
      <c r="X45" s="1134">
        <v>10.32</v>
      </c>
      <c r="Y45" s="801"/>
      <c r="Z45" s="781">
        <f t="shared" si="20"/>
        <v>15.81</v>
      </c>
      <c r="AA45" s="522"/>
      <c r="AB45" s="662">
        <f t="shared" si="21"/>
        <v>49.220000000000006</v>
      </c>
      <c r="AC45" s="200"/>
      <c r="AD45" s="191"/>
      <c r="AE45" s="782"/>
      <c r="AF45" s="782">
        <f t="shared" si="22"/>
        <v>49.220000000000006</v>
      </c>
      <c r="AG45" s="200"/>
      <c r="AH45" s="191"/>
      <c r="AI45" s="782"/>
      <c r="AJ45" s="782">
        <f t="shared" si="23"/>
        <v>49.220000000000006</v>
      </c>
      <c r="AK45" s="200"/>
      <c r="AL45" s="191">
        <v>1.5</v>
      </c>
      <c r="AM45" s="801"/>
      <c r="AN45" s="781">
        <f t="shared" si="24"/>
        <v>1.5</v>
      </c>
      <c r="AO45" s="782"/>
      <c r="AP45" s="782">
        <f t="shared" si="25"/>
        <v>50.720000000000006</v>
      </c>
      <c r="AQ45" s="200"/>
      <c r="AR45" s="191">
        <v>31.73</v>
      </c>
      <c r="AS45" s="782"/>
      <c r="AT45" s="782">
        <f t="shared" si="26"/>
        <v>82.45</v>
      </c>
      <c r="AU45" s="200"/>
      <c r="AV45" s="191">
        <v>13.12</v>
      </c>
      <c r="AW45" s="782"/>
      <c r="AX45" s="782">
        <f t="shared" si="27"/>
        <v>95.570000000000007</v>
      </c>
      <c r="AY45" s="200"/>
      <c r="AZ45" s="191"/>
      <c r="BA45" s="801"/>
      <c r="BB45" s="781">
        <f t="shared" si="28"/>
        <v>44.85</v>
      </c>
      <c r="BC45" s="522"/>
      <c r="BD45" s="662">
        <f t="shared" ref="BD45:BD52" si="30">+AN45+BB45</f>
        <v>46.35</v>
      </c>
      <c r="BE45" s="782"/>
      <c r="BF45" s="782">
        <f t="shared" si="29"/>
        <v>95.570000000000007</v>
      </c>
      <c r="BG45" s="26"/>
      <c r="BH45" s="26"/>
      <c r="BI45" s="26"/>
      <c r="BJ45" s="26"/>
      <c r="BK45" s="26"/>
      <c r="BL45" s="26"/>
      <c r="BM45" s="26"/>
      <c r="BN45" s="26"/>
    </row>
    <row r="46" spans="1:66" ht="15.75" customHeight="1" x14ac:dyDescent="0.25">
      <c r="B46" s="1642" t="s">
        <v>1030</v>
      </c>
      <c r="C46" s="1643"/>
      <c r="D46" s="1644" t="s">
        <v>50</v>
      </c>
      <c r="E46" s="201"/>
      <c r="F46" s="1134">
        <v>5.7600000000000007</v>
      </c>
      <c r="G46" s="201"/>
      <c r="H46" s="1134">
        <v>12.48</v>
      </c>
      <c r="I46" s="276"/>
      <c r="J46" s="782">
        <f t="shared" si="17"/>
        <v>18.240000000000002</v>
      </c>
      <c r="K46" s="201"/>
      <c r="L46" s="1134">
        <v>7.02</v>
      </c>
      <c r="M46" s="1203"/>
      <c r="N46" s="781">
        <f t="shared" si="18"/>
        <v>25.26</v>
      </c>
      <c r="O46" s="201"/>
      <c r="P46" s="1134">
        <v>14.62</v>
      </c>
      <c r="Q46" s="276"/>
      <c r="R46" s="782">
        <f t="shared" si="2"/>
        <v>39.880000000000003</v>
      </c>
      <c r="S46" s="201"/>
      <c r="T46" s="1134"/>
      <c r="U46" s="276"/>
      <c r="V46" s="782">
        <f t="shared" si="19"/>
        <v>39.880000000000003</v>
      </c>
      <c r="W46" s="201"/>
      <c r="X46" s="1134">
        <v>8.6300000000000008</v>
      </c>
      <c r="Y46" s="888"/>
      <c r="Z46" s="781">
        <f t="shared" si="20"/>
        <v>23.25</v>
      </c>
      <c r="AA46" s="522"/>
      <c r="AB46" s="662">
        <f t="shared" si="21"/>
        <v>48.510000000000005</v>
      </c>
      <c r="AC46" s="201"/>
      <c r="AD46" s="191">
        <v>32.03</v>
      </c>
      <c r="AE46" s="276"/>
      <c r="AF46" s="782">
        <f t="shared" si="22"/>
        <v>80.540000000000006</v>
      </c>
      <c r="AG46" s="201"/>
      <c r="AH46" s="191"/>
      <c r="AI46" s="276"/>
      <c r="AJ46" s="782">
        <f t="shared" si="23"/>
        <v>80.540000000000006</v>
      </c>
      <c r="AK46" s="201"/>
      <c r="AL46" s="191">
        <v>12.34</v>
      </c>
      <c r="AM46" s="888"/>
      <c r="AN46" s="781">
        <f t="shared" si="24"/>
        <v>44.370000000000005</v>
      </c>
      <c r="AO46" s="276"/>
      <c r="AP46" s="782">
        <f t="shared" si="25"/>
        <v>92.88000000000001</v>
      </c>
      <c r="AQ46" s="201"/>
      <c r="AR46" s="191">
        <v>19.579999999999998</v>
      </c>
      <c r="AS46" s="276"/>
      <c r="AT46" s="782">
        <f t="shared" si="26"/>
        <v>112.46000000000001</v>
      </c>
      <c r="AU46" s="201"/>
      <c r="AV46" s="191">
        <v>15.89</v>
      </c>
      <c r="AW46" s="276"/>
      <c r="AX46" s="782">
        <f t="shared" si="27"/>
        <v>128.35000000000002</v>
      </c>
      <c r="AY46" s="201"/>
      <c r="AZ46" s="191">
        <v>19.47</v>
      </c>
      <c r="BA46" s="888"/>
      <c r="BB46" s="781">
        <f t="shared" si="28"/>
        <v>54.94</v>
      </c>
      <c r="BC46" s="522"/>
      <c r="BD46" s="662">
        <f t="shared" si="30"/>
        <v>99.31</v>
      </c>
      <c r="BE46" s="276"/>
      <c r="BF46" s="782">
        <f t="shared" si="29"/>
        <v>147.82000000000002</v>
      </c>
      <c r="BG46" s="26"/>
      <c r="BH46" s="26"/>
      <c r="BI46" s="26"/>
      <c r="BJ46" s="26"/>
      <c r="BK46" s="26"/>
      <c r="BL46" s="26"/>
      <c r="BM46" s="26"/>
      <c r="BN46" s="26"/>
    </row>
    <row r="47" spans="1:66" ht="15.75" x14ac:dyDescent="0.25">
      <c r="B47" s="1640" t="s">
        <v>1029</v>
      </c>
      <c r="C47" s="1641"/>
      <c r="D47" s="1639" t="s">
        <v>50</v>
      </c>
      <c r="E47" s="200"/>
      <c r="F47" s="1134">
        <v>46.59</v>
      </c>
      <c r="G47" s="200"/>
      <c r="H47" s="1134">
        <v>9.0399999999999991</v>
      </c>
      <c r="I47" s="782"/>
      <c r="J47" s="782">
        <f t="shared" si="17"/>
        <v>55.63</v>
      </c>
      <c r="K47" s="200"/>
      <c r="L47" s="1134">
        <v>11.93</v>
      </c>
      <c r="M47" s="781"/>
      <c r="N47" s="781">
        <f t="shared" si="18"/>
        <v>67.56</v>
      </c>
      <c r="O47" s="200"/>
      <c r="P47" s="1134">
        <v>24.45</v>
      </c>
      <c r="Q47" s="782"/>
      <c r="R47" s="782">
        <f t="shared" si="2"/>
        <v>92.01</v>
      </c>
      <c r="S47" s="200"/>
      <c r="T47" s="1134">
        <v>19.12</v>
      </c>
      <c r="U47" s="782"/>
      <c r="V47" s="782">
        <f t="shared" si="19"/>
        <v>111.13000000000001</v>
      </c>
      <c r="W47" s="200"/>
      <c r="X47" s="1134">
        <v>75.41</v>
      </c>
      <c r="Y47" s="801"/>
      <c r="Z47" s="781">
        <f t="shared" si="20"/>
        <v>118.97999999999999</v>
      </c>
      <c r="AA47" s="522"/>
      <c r="AB47" s="662">
        <f t="shared" si="21"/>
        <v>186.54</v>
      </c>
      <c r="AC47" s="200"/>
      <c r="AD47" s="4978">
        <v>83.000000000000014</v>
      </c>
      <c r="AE47" s="782"/>
      <c r="AF47" s="782">
        <f t="shared" si="22"/>
        <v>269.54000000000002</v>
      </c>
      <c r="AG47" s="200"/>
      <c r="AH47" s="191">
        <v>16.39</v>
      </c>
      <c r="AI47" s="782"/>
      <c r="AJ47" s="782">
        <f t="shared" si="23"/>
        <v>285.93</v>
      </c>
      <c r="AK47" s="200"/>
      <c r="AL47" s="4978">
        <v>76.3</v>
      </c>
      <c r="AM47" s="801"/>
      <c r="AN47" s="781">
        <f t="shared" si="24"/>
        <v>175.69</v>
      </c>
      <c r="AO47" s="782"/>
      <c r="AP47" s="782">
        <f t="shared" si="25"/>
        <v>362.23</v>
      </c>
      <c r="AQ47" s="200"/>
      <c r="AR47" s="191">
        <v>7.54</v>
      </c>
      <c r="AS47" s="782"/>
      <c r="AT47" s="782">
        <f t="shared" si="26"/>
        <v>369.77000000000004</v>
      </c>
      <c r="AU47" s="200"/>
      <c r="AV47" s="191">
        <v>37.68</v>
      </c>
      <c r="AW47" s="782"/>
      <c r="AX47" s="782">
        <f t="shared" si="27"/>
        <v>407.45000000000005</v>
      </c>
      <c r="AY47" s="200"/>
      <c r="AZ47" s="191">
        <v>26.13</v>
      </c>
      <c r="BA47" s="801"/>
      <c r="BB47" s="781">
        <f t="shared" si="28"/>
        <v>71.349999999999994</v>
      </c>
      <c r="BC47" s="522"/>
      <c r="BD47" s="662">
        <f t="shared" si="30"/>
        <v>247.04</v>
      </c>
      <c r="BE47" s="782"/>
      <c r="BF47" s="782">
        <f t="shared" si="29"/>
        <v>433.58000000000004</v>
      </c>
      <c r="BG47" s="26"/>
      <c r="BH47" s="26"/>
      <c r="BI47" s="26"/>
      <c r="BJ47" s="26"/>
      <c r="BK47" s="26"/>
      <c r="BL47" s="26"/>
      <c r="BM47" s="26"/>
      <c r="BN47" s="26"/>
    </row>
    <row r="48" spans="1:66" ht="15.75" x14ac:dyDescent="0.25">
      <c r="B48" s="1640" t="s">
        <v>1328</v>
      </c>
      <c r="C48" s="1641"/>
      <c r="D48" s="1639" t="s">
        <v>50</v>
      </c>
      <c r="E48" s="200"/>
      <c r="F48" s="1134"/>
      <c r="G48" s="200"/>
      <c r="H48" s="1134"/>
      <c r="I48" s="782"/>
      <c r="J48" s="782">
        <f t="shared" si="17"/>
        <v>0</v>
      </c>
      <c r="K48" s="200"/>
      <c r="L48" s="1134"/>
      <c r="M48" s="781"/>
      <c r="N48" s="781">
        <f t="shared" si="18"/>
        <v>0</v>
      </c>
      <c r="O48" s="200"/>
      <c r="P48" s="1134"/>
      <c r="Q48" s="782"/>
      <c r="R48" s="782">
        <f t="shared" si="2"/>
        <v>0</v>
      </c>
      <c r="S48" s="200"/>
      <c r="T48" s="1134"/>
      <c r="U48" s="782"/>
      <c r="V48" s="782">
        <f t="shared" si="19"/>
        <v>0</v>
      </c>
      <c r="W48" s="200"/>
      <c r="X48" s="1134"/>
      <c r="Y48" s="801"/>
      <c r="Z48" s="781">
        <f t="shared" si="20"/>
        <v>0</v>
      </c>
      <c r="AA48" s="522"/>
      <c r="AB48" s="662">
        <f t="shared" si="21"/>
        <v>0</v>
      </c>
      <c r="AC48" s="200"/>
      <c r="AD48" s="191"/>
      <c r="AE48" s="782"/>
      <c r="AF48" s="782">
        <f t="shared" si="22"/>
        <v>0</v>
      </c>
      <c r="AG48" s="200"/>
      <c r="AH48" s="191"/>
      <c r="AI48" s="782"/>
      <c r="AJ48" s="782">
        <f t="shared" si="23"/>
        <v>0</v>
      </c>
      <c r="AK48" s="200"/>
      <c r="AL48" s="191"/>
      <c r="AM48" s="801"/>
      <c r="AN48" s="781">
        <f t="shared" si="24"/>
        <v>0</v>
      </c>
      <c r="AO48" s="782"/>
      <c r="AP48" s="782">
        <f t="shared" si="25"/>
        <v>0</v>
      </c>
      <c r="AQ48" s="200"/>
      <c r="AR48" s="191">
        <v>45.08</v>
      </c>
      <c r="AS48" s="782"/>
      <c r="AT48" s="782">
        <f t="shared" si="26"/>
        <v>45.08</v>
      </c>
      <c r="AU48" s="200"/>
      <c r="AV48" s="191"/>
      <c r="AW48" s="782"/>
      <c r="AX48" s="782">
        <f t="shared" si="27"/>
        <v>45.08</v>
      </c>
      <c r="AY48" s="200"/>
      <c r="AZ48" s="191"/>
      <c r="BA48" s="801"/>
      <c r="BB48" s="781">
        <f t="shared" si="28"/>
        <v>45.08</v>
      </c>
      <c r="BC48" s="522"/>
      <c r="BD48" s="662">
        <f t="shared" si="30"/>
        <v>45.08</v>
      </c>
      <c r="BE48" s="782"/>
      <c r="BF48" s="782">
        <f t="shared" si="29"/>
        <v>45.08</v>
      </c>
      <c r="BG48" s="26"/>
      <c r="BH48" s="26"/>
      <c r="BI48" s="26"/>
      <c r="BJ48" s="26"/>
      <c r="BK48" s="26"/>
      <c r="BL48" s="26"/>
      <c r="BM48" s="26"/>
      <c r="BN48" s="26"/>
    </row>
    <row r="49" spans="1:66" ht="15.75" x14ac:dyDescent="0.25">
      <c r="B49" s="1640" t="s">
        <v>1670</v>
      </c>
      <c r="C49" s="1641"/>
      <c r="D49" s="1639" t="s">
        <v>50</v>
      </c>
      <c r="E49" s="200"/>
      <c r="F49" s="1134"/>
      <c r="G49" s="200"/>
      <c r="H49" s="1134"/>
      <c r="I49" s="782"/>
      <c r="J49" s="782">
        <f t="shared" si="17"/>
        <v>0</v>
      </c>
      <c r="K49" s="200"/>
      <c r="L49" s="1134"/>
      <c r="M49" s="781"/>
      <c r="N49" s="781">
        <f t="shared" si="18"/>
        <v>0</v>
      </c>
      <c r="O49" s="200"/>
      <c r="P49" s="1134"/>
      <c r="Q49" s="782"/>
      <c r="R49" s="782">
        <f t="shared" si="2"/>
        <v>0</v>
      </c>
      <c r="S49" s="200"/>
      <c r="T49" s="1134"/>
      <c r="U49" s="782"/>
      <c r="V49" s="782">
        <f t="shared" si="19"/>
        <v>0</v>
      </c>
      <c r="W49" s="200"/>
      <c r="X49" s="1134"/>
      <c r="Y49" s="801"/>
      <c r="Z49" s="781">
        <f t="shared" si="20"/>
        <v>0</v>
      </c>
      <c r="AA49" s="522"/>
      <c r="AB49" s="662">
        <f t="shared" si="21"/>
        <v>0</v>
      </c>
      <c r="AC49" s="200"/>
      <c r="AD49" s="191"/>
      <c r="AE49" s="782"/>
      <c r="AF49" s="782">
        <f t="shared" si="22"/>
        <v>0</v>
      </c>
      <c r="AG49" s="200"/>
      <c r="AH49" s="191"/>
      <c r="AI49" s="782"/>
      <c r="AJ49" s="782">
        <f t="shared" si="23"/>
        <v>0</v>
      </c>
      <c r="AK49" s="200"/>
      <c r="AL49" s="191"/>
      <c r="AM49" s="801"/>
      <c r="AN49" s="781">
        <f t="shared" si="24"/>
        <v>0</v>
      </c>
      <c r="AO49" s="782"/>
      <c r="AP49" s="782">
        <f t="shared" si="25"/>
        <v>0</v>
      </c>
      <c r="AQ49" s="200"/>
      <c r="AR49" s="191"/>
      <c r="AS49" s="782"/>
      <c r="AT49" s="782">
        <f t="shared" si="26"/>
        <v>0</v>
      </c>
      <c r="AU49" s="200"/>
      <c r="AV49" s="191"/>
      <c r="AW49" s="782"/>
      <c r="AX49" s="782">
        <f t="shared" si="27"/>
        <v>0</v>
      </c>
      <c r="AY49" s="200"/>
      <c r="AZ49" s="191"/>
      <c r="BA49" s="801"/>
      <c r="BB49" s="781">
        <f t="shared" si="28"/>
        <v>0</v>
      </c>
      <c r="BC49" s="522"/>
      <c r="BD49" s="662">
        <f t="shared" si="30"/>
        <v>0</v>
      </c>
      <c r="BE49" s="782"/>
      <c r="BF49" s="782">
        <f t="shared" si="29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5.75" x14ac:dyDescent="0.25">
      <c r="B50" s="1640" t="s">
        <v>1271</v>
      </c>
      <c r="C50" s="1641"/>
      <c r="D50" s="1639" t="s">
        <v>50</v>
      </c>
      <c r="E50" s="200"/>
      <c r="F50" s="1134">
        <v>17.07</v>
      </c>
      <c r="G50" s="200"/>
      <c r="H50" s="1134"/>
      <c r="I50" s="782"/>
      <c r="J50" s="782">
        <f t="shared" si="17"/>
        <v>17.07</v>
      </c>
      <c r="K50" s="200"/>
      <c r="L50" s="1134"/>
      <c r="M50" s="781"/>
      <c r="N50" s="781">
        <f t="shared" si="18"/>
        <v>17.07</v>
      </c>
      <c r="O50" s="200"/>
      <c r="P50" s="1134">
        <v>3.77</v>
      </c>
      <c r="Q50" s="782"/>
      <c r="R50" s="782">
        <f t="shared" si="2"/>
        <v>20.84</v>
      </c>
      <c r="S50" s="200"/>
      <c r="T50" s="1134">
        <v>25.96</v>
      </c>
      <c r="U50" s="782"/>
      <c r="V50" s="782">
        <f t="shared" si="19"/>
        <v>46.8</v>
      </c>
      <c r="W50" s="200"/>
      <c r="X50" s="1134"/>
      <c r="Y50" s="801"/>
      <c r="Z50" s="781">
        <f t="shared" si="20"/>
        <v>29.73</v>
      </c>
      <c r="AA50" s="522"/>
      <c r="AB50" s="662">
        <f t="shared" si="21"/>
        <v>46.8</v>
      </c>
      <c r="AC50" s="200"/>
      <c r="AD50" s="191">
        <v>39.9</v>
      </c>
      <c r="AE50" s="782"/>
      <c r="AF50" s="782">
        <f t="shared" si="22"/>
        <v>86.699999999999989</v>
      </c>
      <c r="AG50" s="200"/>
      <c r="AH50" s="191"/>
      <c r="AI50" s="782"/>
      <c r="AJ50" s="782">
        <f t="shared" si="23"/>
        <v>86.699999999999989</v>
      </c>
      <c r="AK50" s="200"/>
      <c r="AL50" s="191"/>
      <c r="AM50" s="801"/>
      <c r="AN50" s="781">
        <f t="shared" si="24"/>
        <v>39.9</v>
      </c>
      <c r="AO50" s="782"/>
      <c r="AP50" s="782">
        <f t="shared" si="25"/>
        <v>86.699999999999989</v>
      </c>
      <c r="AQ50" s="200"/>
      <c r="AR50" s="191"/>
      <c r="AS50" s="782"/>
      <c r="AT50" s="782">
        <f t="shared" si="26"/>
        <v>86.699999999999989</v>
      </c>
      <c r="AU50" s="200"/>
      <c r="AV50" s="191"/>
      <c r="AW50" s="782"/>
      <c r="AX50" s="782">
        <f t="shared" si="27"/>
        <v>86.699999999999989</v>
      </c>
      <c r="AY50" s="200"/>
      <c r="AZ50" s="191"/>
      <c r="BA50" s="801"/>
      <c r="BB50" s="781">
        <f t="shared" si="28"/>
        <v>0</v>
      </c>
      <c r="BC50" s="522"/>
      <c r="BD50" s="662">
        <f t="shared" si="30"/>
        <v>39.9</v>
      </c>
      <c r="BE50" s="782"/>
      <c r="BF50" s="782">
        <f t="shared" si="29"/>
        <v>86.699999999999989</v>
      </c>
      <c r="BG50" s="26"/>
      <c r="BH50" s="26"/>
      <c r="BI50" s="26"/>
      <c r="BJ50" s="26"/>
      <c r="BK50" s="26"/>
      <c r="BL50" s="26"/>
      <c r="BM50" s="26"/>
      <c r="BN50" s="26"/>
    </row>
    <row r="51" spans="1:66" ht="15.75" x14ac:dyDescent="0.25">
      <c r="B51" s="1640" t="s">
        <v>1378</v>
      </c>
      <c r="C51" s="1641"/>
      <c r="D51" s="1639" t="s">
        <v>50</v>
      </c>
      <c r="E51" s="200"/>
      <c r="F51" s="1134"/>
      <c r="G51" s="200"/>
      <c r="H51" s="1134"/>
      <c r="I51" s="782"/>
      <c r="J51" s="782">
        <f t="shared" si="17"/>
        <v>0</v>
      </c>
      <c r="K51" s="200"/>
      <c r="L51" s="1134"/>
      <c r="M51" s="781"/>
      <c r="N51" s="781">
        <f t="shared" si="18"/>
        <v>0</v>
      </c>
      <c r="O51" s="200"/>
      <c r="P51" s="1134">
        <v>0.68</v>
      </c>
      <c r="Q51" s="782"/>
      <c r="R51" s="782">
        <f t="shared" si="2"/>
        <v>0.68</v>
      </c>
      <c r="S51" s="200"/>
      <c r="T51" s="1134"/>
      <c r="U51" s="782"/>
      <c r="V51" s="782">
        <f t="shared" si="19"/>
        <v>0.68</v>
      </c>
      <c r="W51" s="200"/>
      <c r="X51" s="1134">
        <v>1.66</v>
      </c>
      <c r="Y51" s="801"/>
      <c r="Z51" s="781">
        <f t="shared" si="20"/>
        <v>2.34</v>
      </c>
      <c r="AA51" s="522"/>
      <c r="AB51" s="662">
        <f t="shared" si="21"/>
        <v>2.34</v>
      </c>
      <c r="AC51" s="200"/>
      <c r="AD51" s="191"/>
      <c r="AE51" s="782"/>
      <c r="AF51" s="782">
        <f t="shared" si="22"/>
        <v>2.34</v>
      </c>
      <c r="AG51" s="200"/>
      <c r="AH51" s="191"/>
      <c r="AI51" s="782"/>
      <c r="AJ51" s="782">
        <f t="shared" si="23"/>
        <v>2.34</v>
      </c>
      <c r="AK51" s="200"/>
      <c r="AL51" s="191"/>
      <c r="AM51" s="801"/>
      <c r="AN51" s="781">
        <f t="shared" si="24"/>
        <v>0</v>
      </c>
      <c r="AO51" s="782"/>
      <c r="AP51" s="782">
        <f t="shared" si="25"/>
        <v>2.34</v>
      </c>
      <c r="AQ51" s="200"/>
      <c r="AR51" s="191"/>
      <c r="AS51" s="782"/>
      <c r="AT51" s="782">
        <f t="shared" si="26"/>
        <v>2.34</v>
      </c>
      <c r="AU51" s="200"/>
      <c r="AV51" s="191"/>
      <c r="AW51" s="782"/>
      <c r="AX51" s="782">
        <f t="shared" si="27"/>
        <v>2.34</v>
      </c>
      <c r="AY51" s="200"/>
      <c r="AZ51" s="191"/>
      <c r="BA51" s="801"/>
      <c r="BB51" s="781">
        <f t="shared" si="28"/>
        <v>0</v>
      </c>
      <c r="BC51" s="522"/>
      <c r="BD51" s="662">
        <f t="shared" si="30"/>
        <v>0</v>
      </c>
      <c r="BE51" s="782"/>
      <c r="BF51" s="782">
        <f t="shared" si="29"/>
        <v>2.34</v>
      </c>
      <c r="BG51" s="26"/>
      <c r="BH51" s="26"/>
      <c r="BI51" s="26"/>
      <c r="BJ51" s="26"/>
      <c r="BK51" s="26"/>
      <c r="BL51" s="26"/>
      <c r="BM51" s="26"/>
      <c r="BN51" s="26"/>
    </row>
    <row r="52" spans="1:66" ht="15.75" x14ac:dyDescent="0.25">
      <c r="B52" s="1640" t="s">
        <v>1048</v>
      </c>
      <c r="C52" s="1641"/>
      <c r="D52" s="1639" t="s">
        <v>50</v>
      </c>
      <c r="E52" s="200"/>
      <c r="F52" s="1134">
        <v>2.2999999999999998</v>
      </c>
      <c r="G52" s="200"/>
      <c r="H52" s="1134">
        <v>1.1000000000000001</v>
      </c>
      <c r="I52" s="782"/>
      <c r="J52" s="782">
        <f t="shared" si="17"/>
        <v>3.4</v>
      </c>
      <c r="K52" s="200"/>
      <c r="L52" s="1134">
        <v>3.83</v>
      </c>
      <c r="M52" s="781"/>
      <c r="N52" s="781">
        <f t="shared" si="18"/>
        <v>7.23</v>
      </c>
      <c r="O52" s="200"/>
      <c r="P52" s="1134">
        <v>0.63</v>
      </c>
      <c r="Q52" s="782"/>
      <c r="R52" s="782">
        <f t="shared" si="2"/>
        <v>7.86</v>
      </c>
      <c r="S52" s="200"/>
      <c r="T52" s="1134"/>
      <c r="U52" s="782"/>
      <c r="V52" s="782">
        <f t="shared" si="19"/>
        <v>7.86</v>
      </c>
      <c r="W52" s="200"/>
      <c r="X52" s="1134">
        <v>2.5299999999999998</v>
      </c>
      <c r="Y52" s="801"/>
      <c r="Z52" s="781">
        <f t="shared" si="20"/>
        <v>3.1599999999999997</v>
      </c>
      <c r="AA52" s="522"/>
      <c r="AB52" s="662">
        <f t="shared" si="21"/>
        <v>10.39</v>
      </c>
      <c r="AC52" s="200"/>
      <c r="AD52" s="191">
        <v>1.51</v>
      </c>
      <c r="AE52" s="782"/>
      <c r="AF52" s="782">
        <f t="shared" si="22"/>
        <v>11.9</v>
      </c>
      <c r="AG52" s="200"/>
      <c r="AH52" s="191"/>
      <c r="AI52" s="782"/>
      <c r="AJ52" s="782">
        <f t="shared" si="23"/>
        <v>11.9</v>
      </c>
      <c r="AK52" s="200"/>
      <c r="AL52" s="191">
        <v>2.83</v>
      </c>
      <c r="AM52" s="801"/>
      <c r="AN52" s="781">
        <f t="shared" si="24"/>
        <v>4.34</v>
      </c>
      <c r="AO52" s="782"/>
      <c r="AP52" s="782">
        <f t="shared" si="25"/>
        <v>14.73</v>
      </c>
      <c r="AQ52" s="200"/>
      <c r="AR52" s="191">
        <v>1.5</v>
      </c>
      <c r="AS52" s="782"/>
      <c r="AT52" s="782">
        <f t="shared" si="26"/>
        <v>16.23</v>
      </c>
      <c r="AU52" s="200"/>
      <c r="AV52" s="191">
        <v>0.9</v>
      </c>
      <c r="AW52" s="782"/>
      <c r="AX52" s="782">
        <f t="shared" si="27"/>
        <v>17.13</v>
      </c>
      <c r="AY52" s="200"/>
      <c r="AZ52" s="191">
        <v>2.1</v>
      </c>
      <c r="BA52" s="801"/>
      <c r="BB52" s="781">
        <f t="shared" si="28"/>
        <v>4.5</v>
      </c>
      <c r="BC52" s="522"/>
      <c r="BD52" s="662">
        <f t="shared" si="30"/>
        <v>8.84</v>
      </c>
      <c r="BE52" s="782"/>
      <c r="BF52" s="782">
        <f t="shared" si="29"/>
        <v>19.23</v>
      </c>
      <c r="BG52" s="26"/>
      <c r="BH52" s="26"/>
      <c r="BI52" s="26"/>
      <c r="BJ52" s="26"/>
      <c r="BK52" s="26"/>
      <c r="BL52" s="26"/>
      <c r="BM52" s="26"/>
      <c r="BN52" s="26"/>
    </row>
    <row r="53" spans="1:66" ht="15.75" x14ac:dyDescent="0.25">
      <c r="B53" s="5446" t="s">
        <v>2277</v>
      </c>
      <c r="C53" s="5447"/>
      <c r="D53" s="1639" t="s">
        <v>50</v>
      </c>
      <c r="E53" s="5448"/>
      <c r="F53" s="5449"/>
      <c r="G53" s="5448"/>
      <c r="H53" s="5449"/>
      <c r="I53" s="5444"/>
      <c r="J53" s="5444"/>
      <c r="K53" s="5448"/>
      <c r="L53" s="5449">
        <v>0.48</v>
      </c>
      <c r="M53" s="5450"/>
      <c r="N53" s="781">
        <f t="shared" si="18"/>
        <v>0.48</v>
      </c>
      <c r="O53" s="5448"/>
      <c r="P53" s="5449"/>
      <c r="Q53" s="5444"/>
      <c r="R53" s="782">
        <f t="shared" si="2"/>
        <v>0.48</v>
      </c>
      <c r="S53" s="5448"/>
      <c r="T53" s="5449"/>
      <c r="U53" s="5444"/>
      <c r="V53" s="782">
        <f t="shared" si="19"/>
        <v>0.48</v>
      </c>
      <c r="W53" s="5448"/>
      <c r="X53" s="5449"/>
      <c r="Y53" s="5452"/>
      <c r="Z53" s="781">
        <f t="shared" si="20"/>
        <v>0</v>
      </c>
      <c r="AA53" s="5410"/>
      <c r="AB53" s="662">
        <f t="shared" si="21"/>
        <v>0.48</v>
      </c>
      <c r="AC53" s="5448"/>
      <c r="AD53" s="5451"/>
      <c r="AE53" s="5444"/>
      <c r="AF53" s="5444"/>
      <c r="AG53" s="5448"/>
      <c r="AH53" s="5451"/>
      <c r="AI53" s="5444"/>
      <c r="AJ53" s="5444"/>
      <c r="AK53" s="5448"/>
      <c r="AL53" s="5451"/>
      <c r="AM53" s="5452"/>
      <c r="AN53" s="5450"/>
      <c r="AO53" s="5444"/>
      <c r="AP53" s="5444"/>
      <c r="AQ53" s="5448"/>
      <c r="AR53" s="5451"/>
      <c r="AS53" s="5444"/>
      <c r="AT53" s="5444"/>
      <c r="AU53" s="5448"/>
      <c r="AV53" s="5451"/>
      <c r="AW53" s="5444"/>
      <c r="AX53" s="5444"/>
      <c r="AY53" s="5448"/>
      <c r="AZ53" s="5451"/>
      <c r="BA53" s="5452"/>
      <c r="BB53" s="5450"/>
      <c r="BC53" s="5410"/>
      <c r="BD53" s="5422"/>
      <c r="BE53" s="5444"/>
      <c r="BF53" s="5444"/>
      <c r="BG53" s="26"/>
      <c r="BH53" s="26"/>
      <c r="BI53" s="26"/>
      <c r="BJ53" s="26"/>
      <c r="BK53" s="26"/>
      <c r="BL53" s="26"/>
      <c r="BM53" s="26"/>
      <c r="BN53" s="26"/>
    </row>
    <row r="54" spans="1:66" ht="16.5" thickBot="1" x14ac:dyDescent="0.3">
      <c r="B54" s="1640" t="s">
        <v>1047</v>
      </c>
      <c r="C54" s="1641"/>
      <c r="D54" s="1639" t="s">
        <v>50</v>
      </c>
      <c r="E54" s="1134"/>
      <c r="F54" s="1134"/>
      <c r="G54" s="1134"/>
      <c r="H54" s="1134"/>
      <c r="I54" s="782"/>
      <c r="J54" s="782">
        <f t="shared" si="17"/>
        <v>0</v>
      </c>
      <c r="K54" s="1134"/>
      <c r="L54" s="1134"/>
      <c r="M54" s="781"/>
      <c r="N54" s="781">
        <f t="shared" si="18"/>
        <v>0</v>
      </c>
      <c r="O54" s="1134"/>
      <c r="P54" s="1134"/>
      <c r="Q54" s="782"/>
      <c r="R54" s="782">
        <f t="shared" si="2"/>
        <v>0</v>
      </c>
      <c r="S54" s="1134"/>
      <c r="T54" s="1134"/>
      <c r="U54" s="782"/>
      <c r="V54" s="782">
        <f t="shared" ref="V54" si="31">+R54+T54</f>
        <v>0</v>
      </c>
      <c r="W54" s="1134"/>
      <c r="X54" s="1134"/>
      <c r="Y54" s="801"/>
      <c r="Z54" s="781">
        <f t="shared" si="20"/>
        <v>0</v>
      </c>
      <c r="AA54" s="522"/>
      <c r="AB54" s="662">
        <f t="shared" si="21"/>
        <v>0</v>
      </c>
      <c r="AC54" s="1134"/>
      <c r="AD54" s="1134"/>
      <c r="AE54" s="782"/>
      <c r="AF54" s="782">
        <f t="shared" si="22"/>
        <v>0</v>
      </c>
      <c r="AG54" s="1134"/>
      <c r="AH54" s="1134"/>
      <c r="AI54" s="782"/>
      <c r="AJ54" s="782">
        <f t="shared" si="23"/>
        <v>0</v>
      </c>
      <c r="AK54" s="1134"/>
      <c r="AL54" s="1134"/>
      <c r="AM54" s="801"/>
      <c r="AN54" s="781">
        <f t="shared" si="24"/>
        <v>0</v>
      </c>
      <c r="AO54" s="782"/>
      <c r="AP54" s="782">
        <f t="shared" si="25"/>
        <v>0</v>
      </c>
      <c r="AQ54" s="1134"/>
      <c r="AR54" s="1134"/>
      <c r="AS54" s="782"/>
      <c r="AT54" s="782">
        <f t="shared" si="26"/>
        <v>0</v>
      </c>
      <c r="AU54" s="1134"/>
      <c r="AV54" s="1134"/>
      <c r="AW54" s="782"/>
      <c r="AX54" s="782">
        <f t="shared" si="27"/>
        <v>0</v>
      </c>
      <c r="AY54" s="1134"/>
      <c r="AZ54" s="4977">
        <v>36.15</v>
      </c>
      <c r="BA54" s="801"/>
      <c r="BB54" s="781">
        <f t="shared" ref="BB54" si="32">+AR54+AV54+AZ54</f>
        <v>36.15</v>
      </c>
      <c r="BC54" s="522"/>
      <c r="BD54" s="662">
        <f>+AN54+BB54</f>
        <v>36.15</v>
      </c>
      <c r="BE54" s="782"/>
      <c r="BF54" s="782">
        <f t="shared" si="29"/>
        <v>36.15</v>
      </c>
      <c r="BG54" s="26"/>
      <c r="BH54" s="26"/>
      <c r="BI54" s="26"/>
      <c r="BJ54" s="26"/>
      <c r="BK54" s="26"/>
      <c r="BL54" s="26"/>
      <c r="BM54" s="26"/>
      <c r="BN54" s="26"/>
    </row>
    <row r="55" spans="1:66" ht="16.5" thickBot="1" x14ac:dyDescent="0.3">
      <c r="A55" s="149"/>
      <c r="B55" s="3061" t="s">
        <v>300</v>
      </c>
      <c r="C55" s="3068"/>
      <c r="D55" s="3069" t="s">
        <v>50</v>
      </c>
      <c r="E55" s="3070">
        <f>+E56</f>
        <v>76000</v>
      </c>
      <c r="F55" s="3070">
        <f>SUM(F7:F54)</f>
        <v>66979.885000000038</v>
      </c>
      <c r="G55" s="3070">
        <f>+G56</f>
        <v>79000</v>
      </c>
      <c r="H55" s="3070">
        <f>SUM(H7:H54)</f>
        <v>76206.925000000061</v>
      </c>
      <c r="I55" s="2901">
        <f>+I56</f>
        <v>155000</v>
      </c>
      <c r="J55" s="2901">
        <f>SUM(J7:J54)</f>
        <v>143186.81000000008</v>
      </c>
      <c r="K55" s="3070">
        <f>+K56</f>
        <v>76000</v>
      </c>
      <c r="L55" s="3070">
        <f>SUM(L7:L54)</f>
        <v>73679.305000000051</v>
      </c>
      <c r="M55" s="801">
        <f>+M56</f>
        <v>231000</v>
      </c>
      <c r="N55" s="801">
        <f>SUM(N7:N54)</f>
        <v>216866.11500000019</v>
      </c>
      <c r="O55" s="3070">
        <f>+O56</f>
        <v>79000</v>
      </c>
      <c r="P55" s="3070">
        <f>SUM(P7:P54)</f>
        <v>88100.640000000101</v>
      </c>
      <c r="Q55" s="1137">
        <f>+Q56</f>
        <v>310000</v>
      </c>
      <c r="R55" s="1137">
        <f>SUM(R7:R54)</f>
        <v>304966.75500000018</v>
      </c>
      <c r="S55" s="3070">
        <f>+S56</f>
        <v>79000</v>
      </c>
      <c r="T55" s="3070">
        <f>SUM(T7:T54)</f>
        <v>75904.265000000043</v>
      </c>
      <c r="U55" s="1137">
        <f>+U56</f>
        <v>389000</v>
      </c>
      <c r="V55" s="1137">
        <f>SUM(V7:V54)</f>
        <v>380871.02000000031</v>
      </c>
      <c r="W55" s="3070">
        <f>+W56</f>
        <v>47500</v>
      </c>
      <c r="X55" s="3070">
        <f>SUM(X7:X54)</f>
        <v>76417.585000000079</v>
      </c>
      <c r="Y55" s="801">
        <f>+Y56</f>
        <v>205500</v>
      </c>
      <c r="Z55" s="801">
        <f>SUM(Z7:Z54)</f>
        <v>240422.49000000025</v>
      </c>
      <c r="AA55" s="522">
        <f>+AA56</f>
        <v>436500</v>
      </c>
      <c r="AB55" s="522">
        <f>SUM(AB7:AB54)</f>
        <v>457288.60500000051</v>
      </c>
      <c r="AC55" s="3070">
        <f>+AC56</f>
        <v>80000</v>
      </c>
      <c r="AD55" s="3070">
        <f>SUM(AD7:AD54)</f>
        <v>66904.240000000005</v>
      </c>
      <c r="AE55" s="1137">
        <f>+AE56</f>
        <v>516500</v>
      </c>
      <c r="AF55" s="1137">
        <f>SUM(AF7:AF54)</f>
        <v>519652.38000000047</v>
      </c>
      <c r="AG55" s="3070">
        <f>+AG56</f>
        <v>77500</v>
      </c>
      <c r="AH55" s="3070">
        <f>SUM(AH7:AH54)</f>
        <v>3186.11</v>
      </c>
      <c r="AI55" s="1137">
        <f>+AI56</f>
        <v>594000</v>
      </c>
      <c r="AJ55" s="1137">
        <f>SUM(AJ7:AJ54)</f>
        <v>522838.49000000046</v>
      </c>
      <c r="AK55" s="3070">
        <f>+AK56</f>
        <v>80000</v>
      </c>
      <c r="AL55" s="3070">
        <f>SUM(AL7:AL54)</f>
        <v>70724.280000000057</v>
      </c>
      <c r="AM55" s="801">
        <f>+AM56</f>
        <v>237500</v>
      </c>
      <c r="AN55" s="801">
        <f>SUM(AN7:AN54)</f>
        <v>140814.63000000006</v>
      </c>
      <c r="AO55" s="1137">
        <f>+AO56</f>
        <v>674000</v>
      </c>
      <c r="AP55" s="1137">
        <f>SUM(AP7:AP54)</f>
        <v>593562.77000000037</v>
      </c>
      <c r="AQ55" s="3070">
        <f>+AQ56</f>
        <v>80000</v>
      </c>
      <c r="AR55" s="3070">
        <f>SUM(AR7:AR54)</f>
        <v>70190.5450000001</v>
      </c>
      <c r="AS55" s="1137">
        <f>+AS56</f>
        <v>754000</v>
      </c>
      <c r="AT55" s="1137">
        <f>SUM(AT7:AT54)</f>
        <v>663753.31500000053</v>
      </c>
      <c r="AU55" s="3070">
        <f>+AU56</f>
        <v>72500</v>
      </c>
      <c r="AV55" s="3070">
        <f>SUM(AV7:AV54)</f>
        <v>66057.59000000004</v>
      </c>
      <c r="AW55" s="1137">
        <f>+AW56</f>
        <v>826500</v>
      </c>
      <c r="AX55" s="1137">
        <f>SUM(AX7:AX54)</f>
        <v>729810.90500000038</v>
      </c>
      <c r="AY55" s="3070">
        <f>+AY56</f>
        <v>80000</v>
      </c>
      <c r="AZ55" s="3070">
        <f>SUM(AZ7:AZ54)</f>
        <v>78094.460000000079</v>
      </c>
      <c r="BA55" s="801">
        <f>+BA56</f>
        <v>232500</v>
      </c>
      <c r="BB55" s="801">
        <f>SUM(BB7:BB54)</f>
        <v>214342.59500000018</v>
      </c>
      <c r="BC55" s="522">
        <f>+BC56</f>
        <v>470000</v>
      </c>
      <c r="BD55" s="522">
        <f>SUM(BD7:BD54)</f>
        <v>355157.22500000033</v>
      </c>
      <c r="BE55" s="256">
        <f>AW55+AY55</f>
        <v>906500</v>
      </c>
      <c r="BF55" s="256">
        <f>SUM(BF7:BF54)</f>
        <v>807905.36500000034</v>
      </c>
      <c r="BG55" s="26"/>
      <c r="BH55" s="26"/>
      <c r="BI55" s="26"/>
      <c r="BJ55" s="26"/>
      <c r="BK55" s="26"/>
      <c r="BL55" s="26"/>
      <c r="BM55" s="26"/>
      <c r="BN55" s="26"/>
    </row>
    <row r="56" spans="1:66" ht="16.5" thickBot="1" x14ac:dyDescent="0.3">
      <c r="A56" s="149"/>
      <c r="B56" s="906" t="s">
        <v>824</v>
      </c>
      <c r="C56" s="906"/>
      <c r="D56" s="907" t="s">
        <v>50</v>
      </c>
      <c r="E56" s="2409">
        <f>+'Maj Production Summ'!E31</f>
        <v>76000</v>
      </c>
      <c r="F56" s="2409">
        <f>SUM(F7:F42)</f>
        <v>66895.455000000031</v>
      </c>
      <c r="G56" s="2409">
        <f>+'Maj Production Summ'!G31</f>
        <v>79000</v>
      </c>
      <c r="H56" s="2409">
        <f>SUM(H7:H42)</f>
        <v>76175.635000000068</v>
      </c>
      <c r="I56" s="1187">
        <f>+'Maj Production Summ'!I31</f>
        <v>155000</v>
      </c>
      <c r="J56" s="41">
        <f>SUM(J7:J42)</f>
        <v>143071.09000000008</v>
      </c>
      <c r="K56" s="2409">
        <f>+'Maj Production Summ'!K31</f>
        <v>76000</v>
      </c>
      <c r="L56" s="2409">
        <f>SUM(L7:L42)</f>
        <v>73644.015000000058</v>
      </c>
      <c r="M56" s="801">
        <f>+'Maj Production Summ'!M31</f>
        <v>231000</v>
      </c>
      <c r="N56" s="801">
        <f>SUM(N7:N42)</f>
        <v>216715.10500000016</v>
      </c>
      <c r="O56" s="2409">
        <f>+'Maj Production Summ'!O31</f>
        <v>79000</v>
      </c>
      <c r="P56" s="2409">
        <f>SUM(P7:P42)</f>
        <v>88056.490000000107</v>
      </c>
      <c r="Q56" s="1137">
        <f>+'Maj Production Summ'!Q31</f>
        <v>310000</v>
      </c>
      <c r="R56" s="1137">
        <f>SUM(R7:R42)</f>
        <v>304771.5950000002</v>
      </c>
      <c r="S56" s="2409">
        <f>+'Maj Production Summ'!S31</f>
        <v>79000</v>
      </c>
      <c r="T56" s="2409">
        <f>SUM(T7:T42)</f>
        <v>75853.695000000036</v>
      </c>
      <c r="U56" s="1137">
        <f>+'Maj Production Summ'!U31</f>
        <v>389000</v>
      </c>
      <c r="V56" s="1137">
        <f>SUM(V7:V42)</f>
        <v>380625.29000000033</v>
      </c>
      <c r="W56" s="2409">
        <f>+'Maj Production Summ'!W31</f>
        <v>47500</v>
      </c>
      <c r="X56" s="2409">
        <f>SUM(X7:X42)</f>
        <v>76319.035000000062</v>
      </c>
      <c r="Y56" s="801">
        <f>+'Maj Production Summ'!Y31</f>
        <v>205500</v>
      </c>
      <c r="Z56" s="801">
        <f>SUM(Z7:Z42)</f>
        <v>240229.22000000023</v>
      </c>
      <c r="AA56" s="522">
        <f>+'Maj Production Summ'!AA31</f>
        <v>436500</v>
      </c>
      <c r="AB56" s="522">
        <f>SUM(AB7:AB42)</f>
        <v>456944.32500000054</v>
      </c>
      <c r="AC56" s="2409">
        <f>+'Maj Production Summ'!AC31</f>
        <v>80000</v>
      </c>
      <c r="AD56" s="2409">
        <f>SUM(AD7:AD42)</f>
        <v>66747.800000000017</v>
      </c>
      <c r="AE56" s="1137">
        <f>+'Maj Production Summ'!AE31</f>
        <v>516500</v>
      </c>
      <c r="AF56" s="1137">
        <f>SUM(AF7:AF42)</f>
        <v>519152.14000000048</v>
      </c>
      <c r="AG56" s="2409">
        <f>+'Maj Production Summ'!AG31</f>
        <v>77500</v>
      </c>
      <c r="AH56" s="2409">
        <f>SUM(AH7:AH42)</f>
        <v>3169.7200000000003</v>
      </c>
      <c r="AI56" s="1137">
        <f>+'Maj Production Summ'!AI31</f>
        <v>594000</v>
      </c>
      <c r="AJ56" s="1137">
        <f>SUM(AJ7:AJ42)</f>
        <v>522321.86000000045</v>
      </c>
      <c r="AK56" s="2409">
        <f>+'Maj Production Summ'!AK31</f>
        <v>80000</v>
      </c>
      <c r="AL56" s="2409">
        <f>SUM(AL7:AL42)</f>
        <v>70630.630000000063</v>
      </c>
      <c r="AM56" s="801">
        <f>+'Maj Production Summ'!AM31</f>
        <v>237500</v>
      </c>
      <c r="AN56" s="801">
        <f>SUM(AN7:AN42)</f>
        <v>140548.15000000008</v>
      </c>
      <c r="AO56" s="1137">
        <f>+'Maj Production Summ'!AO31</f>
        <v>674000</v>
      </c>
      <c r="AP56" s="1137">
        <f>SUM(AP7:AP42)</f>
        <v>592952.49000000046</v>
      </c>
      <c r="AQ56" s="2409">
        <f>+'Maj Production Summ'!AQ31</f>
        <v>80000</v>
      </c>
      <c r="AR56" s="2409">
        <f>SUM(AR7:AR42)</f>
        <v>70085.115000000107</v>
      </c>
      <c r="AS56" s="1137">
        <f>+'Maj Production Summ'!AS31</f>
        <v>754000</v>
      </c>
      <c r="AT56" s="1137">
        <f>SUM(AT7:AT42)</f>
        <v>663037.60500000068</v>
      </c>
      <c r="AU56" s="2409">
        <f>+'Maj Production Summ'!AU31</f>
        <v>72500</v>
      </c>
      <c r="AV56" s="2409">
        <f>SUM(AV7:AV42)</f>
        <v>65990.000000000058</v>
      </c>
      <c r="AW56" s="1137">
        <f>+'Maj Production Summ'!AW31</f>
        <v>826500</v>
      </c>
      <c r="AX56" s="1137">
        <f>SUM(AX7:AX42)</f>
        <v>729027.60500000056</v>
      </c>
      <c r="AY56" s="2409">
        <f>+'Maj Production Summ'!AY31</f>
        <v>80000</v>
      </c>
      <c r="AZ56" s="2409">
        <f>SUM(AZ7:AZ42)</f>
        <v>78010.610000000073</v>
      </c>
      <c r="BA56" s="801">
        <f>+'Maj Production Summ'!BA31</f>
        <v>232500</v>
      </c>
      <c r="BB56" s="801">
        <f>SUM(BB7:BB42)</f>
        <v>214085.72500000018</v>
      </c>
      <c r="BC56" s="522">
        <f>+'Maj Production Summ'!BC31</f>
        <v>470000</v>
      </c>
      <c r="BD56" s="522">
        <f>SUM(BD7:BD42)</f>
        <v>354633.87500000029</v>
      </c>
      <c r="BE56" s="256">
        <f>AW56+AY56</f>
        <v>906500</v>
      </c>
      <c r="BF56" s="256">
        <f>SUM(BF7:BF42)</f>
        <v>807038.21500000055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thickBot="1" x14ac:dyDescent="0.3">
      <c r="A57" s="149"/>
      <c r="B57" s="3067" t="s">
        <v>823</v>
      </c>
      <c r="C57" s="3071"/>
      <c r="D57" s="3072" t="s">
        <v>50</v>
      </c>
      <c r="E57" s="3073"/>
      <c r="F57" s="3074">
        <f>+SUM(F44:F54)</f>
        <v>84.429999999999993</v>
      </c>
      <c r="G57" s="3073"/>
      <c r="H57" s="3074">
        <f>+SUM(H44:H54)</f>
        <v>31.29</v>
      </c>
      <c r="I57" s="2902"/>
      <c r="J57" s="3075">
        <f>+SUM(J44:J54)</f>
        <v>115.72</v>
      </c>
      <c r="K57" s="3073"/>
      <c r="L57" s="3074">
        <f>+SUM(L44:L54)</f>
        <v>35.289999999999992</v>
      </c>
      <c r="M57" s="801"/>
      <c r="N57" s="816">
        <f>+SUM(N44:N54)</f>
        <v>151.01</v>
      </c>
      <c r="O57" s="3073"/>
      <c r="P57" s="3074">
        <f>+SUM(P44:P54)</f>
        <v>44.150000000000006</v>
      </c>
      <c r="Q57" s="1137"/>
      <c r="R57" s="814">
        <f>+SUM(R44:R54)</f>
        <v>195.16000000000003</v>
      </c>
      <c r="S57" s="3073"/>
      <c r="T57" s="3074">
        <f>+SUM(T44:T54)</f>
        <v>50.57</v>
      </c>
      <c r="U57" s="1137"/>
      <c r="V57" s="814">
        <f>+SUM(V44:V54)</f>
        <v>245.73000000000005</v>
      </c>
      <c r="W57" s="3073"/>
      <c r="X57" s="3074">
        <f>+SUM(X44:X54)</f>
        <v>98.55</v>
      </c>
      <c r="Y57" s="801"/>
      <c r="Z57" s="816">
        <f>+SUM(Z44:Z54)</f>
        <v>193.26999999999998</v>
      </c>
      <c r="AA57" s="522"/>
      <c r="AB57" s="817">
        <f>+SUM(AB44:AB54)</f>
        <v>344.28</v>
      </c>
      <c r="AC57" s="3073"/>
      <c r="AD57" s="3074">
        <f>+SUM(AD44:AD54)</f>
        <v>156.44</v>
      </c>
      <c r="AE57" s="1137"/>
      <c r="AF57" s="814">
        <f>+SUM(AF44:AF54)</f>
        <v>500.24</v>
      </c>
      <c r="AG57" s="3073"/>
      <c r="AH57" s="3074">
        <f>+SUM(AH44:AH54)</f>
        <v>16.39</v>
      </c>
      <c r="AI57" s="1137"/>
      <c r="AJ57" s="814">
        <f>+SUM(AJ44:AJ54)</f>
        <v>516.63</v>
      </c>
      <c r="AK57" s="3073"/>
      <c r="AL57" s="3074">
        <f>+SUM(AL44:AL54)</f>
        <v>93.649999999999991</v>
      </c>
      <c r="AM57" s="801"/>
      <c r="AN57" s="816">
        <f>+SUM(AN44:AN54)</f>
        <v>266.47999999999996</v>
      </c>
      <c r="AO57" s="1137"/>
      <c r="AP57" s="814">
        <f>+SUM(AP44:AP54)</f>
        <v>610.28000000000009</v>
      </c>
      <c r="AQ57" s="3073"/>
      <c r="AR57" s="3074">
        <f>+SUM(AR44:AR54)</f>
        <v>105.43</v>
      </c>
      <c r="AS57" s="1137"/>
      <c r="AT57" s="814">
        <f>+SUM(AT44:AT54)</f>
        <v>715.71000000000015</v>
      </c>
      <c r="AU57" s="3073"/>
      <c r="AV57" s="3074">
        <f>+SUM(AV44:AV54)</f>
        <v>67.59</v>
      </c>
      <c r="AW57" s="1137"/>
      <c r="AX57" s="814">
        <f>+SUM(AX44:AX54)</f>
        <v>783.30000000000018</v>
      </c>
      <c r="AY57" s="3073"/>
      <c r="AZ57" s="3074">
        <f>+SUM(AZ44:AZ54)</f>
        <v>83.85</v>
      </c>
      <c r="BA57" s="801"/>
      <c r="BB57" s="816">
        <f>+SUM(BB44:BB54)</f>
        <v>256.86999999999995</v>
      </c>
      <c r="BC57" s="522"/>
      <c r="BD57" s="817">
        <f>+SUM(BD44:BD54)</f>
        <v>523.34999999999991</v>
      </c>
      <c r="BE57" s="256"/>
      <c r="BF57" s="815">
        <f>+SUM(BF44:BF54)</f>
        <v>867.15000000000009</v>
      </c>
      <c r="BG57" s="26"/>
      <c r="BH57" s="26"/>
      <c r="BI57" s="26"/>
      <c r="BJ57" s="26"/>
      <c r="BK57" s="26"/>
      <c r="BL57" s="26"/>
      <c r="BM57" s="26"/>
      <c r="BN57" s="26"/>
    </row>
    <row r="58" spans="1:66" ht="16.5" thickBot="1" x14ac:dyDescent="0.3">
      <c r="A58" s="149"/>
      <c r="B58" s="5337" t="s">
        <v>315</v>
      </c>
      <c r="C58" s="2692"/>
      <c r="D58" s="5338" t="s">
        <v>49</v>
      </c>
      <c r="E58" s="5339">
        <f>+E56/E5*100</f>
        <v>96.5</v>
      </c>
      <c r="F58" s="5339">
        <f>+F56/F5*100</f>
        <v>96.340554248429044</v>
      </c>
      <c r="G58" s="5339">
        <f t="shared" ref="G58:H58" si="33">+G56/G5*100</f>
        <v>96.499999999999986</v>
      </c>
      <c r="H58" s="5339">
        <f t="shared" si="33"/>
        <v>96.517503903684087</v>
      </c>
      <c r="I58" s="3065">
        <f t="shared" ref="I58:N58" si="34">+I56/I5*100</f>
        <v>96.5</v>
      </c>
      <c r="J58" s="3066">
        <f t="shared" si="34"/>
        <v>96.434687077655013</v>
      </c>
      <c r="K58" s="5339">
        <f t="shared" si="34"/>
        <v>96.5</v>
      </c>
      <c r="L58" s="5339">
        <f t="shared" si="34"/>
        <v>96.419419676816304</v>
      </c>
      <c r="M58" s="816">
        <f t="shared" si="34"/>
        <v>96.5</v>
      </c>
      <c r="N58" s="816">
        <f t="shared" si="34"/>
        <v>96.429498375073877</v>
      </c>
      <c r="O58" s="5339">
        <f t="shared" ref="O58:P58" si="35">+O56/O5*100</f>
        <v>96.499999999999986</v>
      </c>
      <c r="P58" s="5339">
        <f t="shared" si="35"/>
        <v>96.454667703108399</v>
      </c>
      <c r="Q58" s="814">
        <f t="shared" ref="Q58:V58" si="36">+Q56/Q5*100</f>
        <v>96.5</v>
      </c>
      <c r="R58" s="814">
        <f t="shared" si="36"/>
        <v>96.436769103209457</v>
      </c>
      <c r="S58" s="5339">
        <f t="shared" si="36"/>
        <v>96.499999999999986</v>
      </c>
      <c r="T58" s="5339">
        <f t="shared" si="36"/>
        <v>96.329019569725332</v>
      </c>
      <c r="U58" s="814">
        <f t="shared" si="36"/>
        <v>96.500000000000014</v>
      </c>
      <c r="V58" s="814">
        <f t="shared" si="36"/>
        <v>96.415276787524633</v>
      </c>
      <c r="W58" s="5339">
        <f t="shared" ref="W58:X58" si="37">+W56/W5*100</f>
        <v>96.5</v>
      </c>
      <c r="X58" s="5339">
        <f t="shared" si="37"/>
        <v>96.394637106483472</v>
      </c>
      <c r="Y58" s="816">
        <f t="shared" ref="Y58:AJ58" si="38">+Y56/Y5*100</f>
        <v>96.5</v>
      </c>
      <c r="Z58" s="2432">
        <f t="shared" si="38"/>
        <v>96.395894549603327</v>
      </c>
      <c r="AA58" s="817">
        <f t="shared" si="38"/>
        <v>96.5</v>
      </c>
      <c r="AB58" s="817">
        <f t="shared" si="38"/>
        <v>96.411828924430893</v>
      </c>
      <c r="AC58" s="3064">
        <f t="shared" si="38"/>
        <v>96.5</v>
      </c>
      <c r="AD58" s="3064">
        <f t="shared" si="38"/>
        <v>96.204059065906378</v>
      </c>
      <c r="AE58" s="814">
        <f t="shared" si="38"/>
        <v>96.5</v>
      </c>
      <c r="AF58" s="814">
        <f t="shared" si="38"/>
        <v>95.549715307654239</v>
      </c>
      <c r="AG58" s="3064">
        <f t="shared" si="38"/>
        <v>96.5</v>
      </c>
      <c r="AH58" s="3064">
        <f t="shared" si="38"/>
        <v>94.958487192653337</v>
      </c>
      <c r="AI58" s="814">
        <f t="shared" si="38"/>
        <v>96.5</v>
      </c>
      <c r="AJ58" s="814">
        <f t="shared" si="38"/>
        <v>95.54610522639571</v>
      </c>
      <c r="AK58" s="3064">
        <f t="shared" ref="AK58:BF58" si="39">+AK56/AK5*100</f>
        <v>96.5</v>
      </c>
      <c r="AL58" s="3064">
        <f t="shared" si="39"/>
        <v>96.296097647380492</v>
      </c>
      <c r="AM58" s="816">
        <f t="shared" si="39"/>
        <v>96.5</v>
      </c>
      <c r="AN58" s="2432">
        <f t="shared" si="39"/>
        <v>96.22181161869544</v>
      </c>
      <c r="AO58" s="814">
        <f t="shared" si="39"/>
        <v>96.5</v>
      </c>
      <c r="AP58" s="814">
        <f t="shared" si="39"/>
        <v>95.634828478635356</v>
      </c>
      <c r="AQ58" s="3064">
        <f t="shared" si="39"/>
        <v>96.5</v>
      </c>
      <c r="AR58" s="4744">
        <f t="shared" si="39"/>
        <v>96.148154975014705</v>
      </c>
      <c r="AS58" s="814">
        <f t="shared" si="39"/>
        <v>96.5</v>
      </c>
      <c r="AT58" s="814">
        <f t="shared" si="39"/>
        <v>95.688829453316416</v>
      </c>
      <c r="AU58" s="4744">
        <f t="shared" si="39"/>
        <v>96.500000000000014</v>
      </c>
      <c r="AV58" s="4744">
        <f t="shared" si="39"/>
        <v>96.184460544082043</v>
      </c>
      <c r="AW58" s="814">
        <f t="shared" si="39"/>
        <v>96.5</v>
      </c>
      <c r="AX58" s="814">
        <f t="shared" si="39"/>
        <v>95.733482556002386</v>
      </c>
      <c r="AY58" s="4744">
        <f t="shared" si="39"/>
        <v>96.5</v>
      </c>
      <c r="AZ58" s="4744">
        <f t="shared" si="39"/>
        <v>96.379797529138472</v>
      </c>
      <c r="BA58" s="816">
        <f t="shared" si="39"/>
        <v>96.5</v>
      </c>
      <c r="BB58" s="2432">
        <f t="shared" si="39"/>
        <v>96.243641618151642</v>
      </c>
      <c r="BC58" s="817">
        <f t="shared" si="39"/>
        <v>96.5</v>
      </c>
      <c r="BD58" s="817">
        <f t="shared" si="39"/>
        <v>96.234988789342083</v>
      </c>
      <c r="BE58" s="815">
        <f t="shared" si="39"/>
        <v>96.5</v>
      </c>
      <c r="BF58" s="815">
        <f t="shared" si="39"/>
        <v>95.795578501755813</v>
      </c>
      <c r="BG58" s="26"/>
      <c r="BH58" s="26"/>
      <c r="BI58" s="26"/>
      <c r="BJ58" s="26"/>
      <c r="BK58" s="26"/>
      <c r="BL58" s="26"/>
      <c r="BM58" s="26"/>
      <c r="BN58" s="26"/>
    </row>
    <row r="59" spans="1:66" x14ac:dyDescent="0.25">
      <c r="A59" s="149"/>
      <c r="B59" s="890" t="s">
        <v>817</v>
      </c>
      <c r="C59" s="3401"/>
      <c r="D59" s="5308" t="s">
        <v>50</v>
      </c>
      <c r="E59" s="2286"/>
      <c r="F59" s="5344">
        <f>+SUM(F7:F42)</f>
        <v>66895.455000000031</v>
      </c>
      <c r="G59" s="2286"/>
      <c r="H59" s="5344">
        <f>+SUM(H7:H42)</f>
        <v>76175.635000000068</v>
      </c>
      <c r="I59" s="3063"/>
      <c r="J59" s="3063">
        <f>+SUM(J7:J42)</f>
        <v>143071.09000000008</v>
      </c>
      <c r="K59" s="2286"/>
      <c r="L59" s="5344">
        <f>+SUM(L7:L42)</f>
        <v>73644.015000000058</v>
      </c>
      <c r="M59" s="378"/>
      <c r="N59" s="378">
        <f>+SUM(N7:N42)</f>
        <v>216715.10500000016</v>
      </c>
      <c r="O59" s="2286"/>
      <c r="P59" s="5344">
        <f>+SUM(P7:P42)</f>
        <v>88056.490000000107</v>
      </c>
      <c r="Q59" s="457"/>
      <c r="R59" s="457">
        <f>+SUM(R7:R42)</f>
        <v>304771.5950000002</v>
      </c>
      <c r="S59" s="2286"/>
      <c r="T59" s="5344">
        <f>+SUM(T7:T42)</f>
        <v>75853.695000000036</v>
      </c>
      <c r="U59" s="457"/>
      <c r="V59" s="457">
        <f>+SUM(V7:V42)</f>
        <v>380625.29000000033</v>
      </c>
      <c r="W59" s="2286"/>
      <c r="X59" s="5344">
        <f>+SUM(X7:X42)</f>
        <v>76319.035000000062</v>
      </c>
      <c r="Y59" s="378"/>
      <c r="Z59" s="378">
        <f>+SUM(Z7:Z42)</f>
        <v>240229.22000000023</v>
      </c>
      <c r="AA59" s="544"/>
      <c r="AB59" s="544">
        <f>+SUM(AB7:AB42)</f>
        <v>456944.32500000054</v>
      </c>
      <c r="AC59" s="3062"/>
      <c r="AD59" s="3062">
        <f>+SUM(AD7:AD42)</f>
        <v>66747.800000000017</v>
      </c>
      <c r="AE59" s="457"/>
      <c r="AF59" s="457">
        <f>+SUM(AF7:AF42)</f>
        <v>519152.14000000048</v>
      </c>
      <c r="AG59" s="3062"/>
      <c r="AH59" s="3062">
        <f>+SUM(AH7:AH42)</f>
        <v>3169.7200000000003</v>
      </c>
      <c r="AI59" s="457"/>
      <c r="AJ59" s="457">
        <f>+SUM(AJ7:AJ42)</f>
        <v>522321.86000000045</v>
      </c>
      <c r="AK59" s="3062"/>
      <c r="AL59" s="3062">
        <f>+SUM(AL7:AL42)</f>
        <v>70630.630000000063</v>
      </c>
      <c r="AM59" s="378"/>
      <c r="AN59" s="378">
        <f>+SUM(AN7:AN42)</f>
        <v>140548.15000000008</v>
      </c>
      <c r="AO59" s="457"/>
      <c r="AP59" s="457">
        <f>+SUM(AP7:AP42)</f>
        <v>592952.49000000046</v>
      </c>
      <c r="AQ59" s="3062"/>
      <c r="AR59" s="3062">
        <f>+SUM(AR7:AR42)</f>
        <v>70085.115000000107</v>
      </c>
      <c r="AS59" s="457"/>
      <c r="AT59" s="457">
        <f>+SUM(AT7:AT42)</f>
        <v>663037.60500000068</v>
      </c>
      <c r="AU59" s="3062"/>
      <c r="AV59" s="3062">
        <f>+SUM(AV7:AV42)</f>
        <v>65990.000000000058</v>
      </c>
      <c r="AW59" s="457"/>
      <c r="AX59" s="457">
        <f>+SUM(AX7:AX42)</f>
        <v>729027.60500000056</v>
      </c>
      <c r="AY59" s="3062"/>
      <c r="AZ59" s="3062">
        <f>+SUM(AZ7:AZ42)</f>
        <v>78010.610000000073</v>
      </c>
      <c r="BA59" s="378"/>
      <c r="BB59" s="378">
        <f>+SUM(BB7:BB42)</f>
        <v>214085.72500000018</v>
      </c>
      <c r="BC59" s="544"/>
      <c r="BD59" s="544">
        <f>+SUM(BD7:BD42)</f>
        <v>354633.87500000029</v>
      </c>
      <c r="BE59" s="376"/>
      <c r="BF59" s="376">
        <f>+SUM(BF7:BF42)</f>
        <v>807038.21500000055</v>
      </c>
      <c r="BG59" s="26"/>
      <c r="BH59" s="26"/>
      <c r="BI59" s="26"/>
      <c r="BJ59" s="26"/>
      <c r="BK59" s="26"/>
      <c r="BL59" s="26"/>
      <c r="BM59" s="26"/>
      <c r="BN59" s="26"/>
    </row>
    <row r="60" spans="1:66" x14ac:dyDescent="0.25">
      <c r="A60" s="149"/>
      <c r="B60" s="5345" t="s">
        <v>816</v>
      </c>
      <c r="C60" s="5341"/>
      <c r="D60" s="5342" t="s">
        <v>49</v>
      </c>
      <c r="E60" s="5343"/>
      <c r="F60" s="5346">
        <f>+F59/F56</f>
        <v>1</v>
      </c>
      <c r="G60" s="5343"/>
      <c r="H60" s="5346">
        <f>+H59/H56</f>
        <v>1</v>
      </c>
      <c r="I60" s="1549"/>
      <c r="J60" s="1549">
        <f>+J59/J56</f>
        <v>1</v>
      </c>
      <c r="K60" s="5343"/>
      <c r="L60" s="5346">
        <f>+L59/L56</f>
        <v>1</v>
      </c>
      <c r="M60" s="1497"/>
      <c r="N60" s="1497">
        <f>+N59/N56</f>
        <v>1</v>
      </c>
      <c r="O60" s="5343"/>
      <c r="P60" s="5346">
        <f>+P59/P56</f>
        <v>1</v>
      </c>
      <c r="Q60" s="623"/>
      <c r="R60" s="623">
        <f>+R59/R56</f>
        <v>1</v>
      </c>
      <c r="S60" s="5343"/>
      <c r="T60" s="5346">
        <f>+T59/T56</f>
        <v>1</v>
      </c>
      <c r="U60" s="623"/>
      <c r="V60" s="623">
        <f>+V59/V56</f>
        <v>1</v>
      </c>
      <c r="W60" s="5343"/>
      <c r="X60" s="5346">
        <f>+X59/X56</f>
        <v>1</v>
      </c>
      <c r="Y60" s="1497"/>
      <c r="Z60" s="1497">
        <f>+Z59/Z56</f>
        <v>1</v>
      </c>
      <c r="AA60" s="1620"/>
      <c r="AB60" s="1620">
        <f>+AB59/AB56</f>
        <v>1</v>
      </c>
      <c r="AC60" s="1701"/>
      <c r="AD60" s="623">
        <f>+AD59/AD56</f>
        <v>1</v>
      </c>
      <c r="AE60" s="623"/>
      <c r="AF60" s="623">
        <f>+AF59/AF56</f>
        <v>1</v>
      </c>
      <c r="AG60" s="1701"/>
      <c r="AH60" s="623">
        <f>+AH59/AH56</f>
        <v>1</v>
      </c>
      <c r="AI60" s="623"/>
      <c r="AJ60" s="623">
        <f>+AJ59/AJ56</f>
        <v>1</v>
      </c>
      <c r="AK60" s="1701"/>
      <c r="AL60" s="623">
        <f>+AL59/AL56</f>
        <v>1</v>
      </c>
      <c r="AM60" s="1497"/>
      <c r="AN60" s="1497">
        <f>+AN59/AN56</f>
        <v>1</v>
      </c>
      <c r="AO60" s="623"/>
      <c r="AP60" s="623">
        <f>+AP59/AP56</f>
        <v>1</v>
      </c>
      <c r="AQ60" s="1701"/>
      <c r="AR60" s="623">
        <f>+AR59/AR56</f>
        <v>1</v>
      </c>
      <c r="AS60" s="623"/>
      <c r="AT60" s="623">
        <f>+AT59/AT56</f>
        <v>1</v>
      </c>
      <c r="AU60" s="1701"/>
      <c r="AV60" s="623">
        <f>+AV59/AV56</f>
        <v>1</v>
      </c>
      <c r="AW60" s="623"/>
      <c r="AX60" s="623">
        <f>+AX59/AX56</f>
        <v>1</v>
      </c>
      <c r="AY60" s="1701"/>
      <c r="AZ60" s="623">
        <f>+AZ59/AZ56</f>
        <v>1</v>
      </c>
      <c r="BA60" s="1497"/>
      <c r="BB60" s="1497">
        <f>+BB59/BB56</f>
        <v>1</v>
      </c>
      <c r="BC60" s="1620"/>
      <c r="BD60" s="1620">
        <f>+BD59/BD56</f>
        <v>1</v>
      </c>
      <c r="BE60" s="1549"/>
      <c r="BF60" s="1549">
        <f>+BF59/BF56</f>
        <v>1</v>
      </c>
      <c r="BG60" s="26"/>
      <c r="BH60" s="26"/>
      <c r="BI60" s="26"/>
      <c r="BJ60" s="26"/>
      <c r="BK60" s="26"/>
      <c r="BL60" s="26"/>
      <c r="BM60" s="26"/>
      <c r="BN60" s="26"/>
    </row>
    <row r="61" spans="1:66" ht="15.75" thickBot="1" x14ac:dyDescent="0.3">
      <c r="A61" s="149"/>
      <c r="B61" s="5345" t="s">
        <v>1484</v>
      </c>
      <c r="C61" s="5341"/>
      <c r="D61" s="5342" t="s">
        <v>49</v>
      </c>
      <c r="E61" s="5343"/>
      <c r="F61" s="5346">
        <f>F62/F64</f>
        <v>0.44306562699111018</v>
      </c>
      <c r="G61" s="5343"/>
      <c r="H61" s="5346">
        <f>H62/H64</f>
        <v>0.43944534986240613</v>
      </c>
      <c r="I61" s="1697"/>
      <c r="J61" s="1696">
        <f>J62/J64</f>
        <v>0.44114053531852021</v>
      </c>
      <c r="K61" s="5343"/>
      <c r="L61" s="5346">
        <f>L62/L64</f>
        <v>0.47821287634186055</v>
      </c>
      <c r="M61" s="1698"/>
      <c r="N61" s="1698">
        <f>N62/N64</f>
        <v>0.45373974208675266</v>
      </c>
      <c r="O61" s="5343"/>
      <c r="P61" s="5346">
        <f>P62/P64</f>
        <v>0.4398272198096646</v>
      </c>
      <c r="Q61" s="1696"/>
      <c r="R61" s="1696">
        <f>R62/R64</f>
        <v>0.44972217960604866</v>
      </c>
      <c r="S61" s="5343"/>
      <c r="T61" s="5346">
        <f>T62/T64</f>
        <v>0.38700353281233274</v>
      </c>
      <c r="U61" s="1696"/>
      <c r="V61" s="1696">
        <f>V62/V64</f>
        <v>0.43720932716079047</v>
      </c>
      <c r="W61" s="5343"/>
      <c r="X61" s="5346">
        <f>X62/X64</f>
        <v>0.40465091499960043</v>
      </c>
      <c r="Y61" s="1698"/>
      <c r="Z61" s="1698">
        <f>Z62/Z64</f>
        <v>0.41195631022783996</v>
      </c>
      <c r="AA61" s="1699"/>
      <c r="AB61" s="1700">
        <f>AB62/AB64</f>
        <v>0.43177269128466078</v>
      </c>
      <c r="AC61" s="1702"/>
      <c r="AD61" s="1696">
        <f>AD62/AD64</f>
        <v>0.39324545951527667</v>
      </c>
      <c r="AE61" s="1696"/>
      <c r="AF61" s="2062">
        <f>AF62/AF64</f>
        <v>0.42685103279171904</v>
      </c>
      <c r="AG61" s="1702"/>
      <c r="AH61" s="1696">
        <f>AH62/AH64</f>
        <v>0.29197994987468673</v>
      </c>
      <c r="AI61" s="1696"/>
      <c r="AJ61" s="2062">
        <f>AJ62/AJ64</f>
        <v>0.42602103769510763</v>
      </c>
      <c r="AK61" s="1702"/>
      <c r="AL61" s="1696">
        <f>AL62/AL64</f>
        <v>0.36963014013324147</v>
      </c>
      <c r="AM61" s="1698"/>
      <c r="AN61" s="1698">
        <f>AN62/AN64</f>
        <v>0.3790557494303925</v>
      </c>
      <c r="AO61" s="1696"/>
      <c r="AP61" s="2062">
        <f>AP62/AP64</f>
        <v>0.41934540806613907</v>
      </c>
      <c r="AQ61" s="1702"/>
      <c r="AR61" s="1696">
        <f>AR62/AR64</f>
        <v>0.37997800416763139</v>
      </c>
      <c r="AS61" s="1696"/>
      <c r="AT61" s="1696">
        <f>AT62/AT64</f>
        <v>0.41520747140423458</v>
      </c>
      <c r="AU61" s="1702"/>
      <c r="AV61" s="1696">
        <f>AV62/AV64</f>
        <v>0.36794824625950456</v>
      </c>
      <c r="AW61" s="1696"/>
      <c r="AX61" s="4799">
        <f>AX62/AX64</f>
        <v>0.41094161666703566</v>
      </c>
      <c r="AY61" s="1702"/>
      <c r="AZ61" s="1696">
        <f>AZ62/AZ64</f>
        <v>0.48070266753415747</v>
      </c>
      <c r="BA61" s="1497"/>
      <c r="BB61" s="1497">
        <f>BB62/BB64</f>
        <v>0.41291562887691419</v>
      </c>
      <c r="BC61" s="1620"/>
      <c r="BD61" s="1620">
        <f>BD62/BD64</f>
        <v>0.39949353774744339</v>
      </c>
      <c r="BE61" s="1549"/>
      <c r="BF61" s="1549">
        <f>BF62/BF64</f>
        <v>0.41764704410885506</v>
      </c>
      <c r="BG61" s="26"/>
      <c r="BH61" s="26"/>
      <c r="BI61" s="26"/>
      <c r="BJ61" s="26"/>
      <c r="BK61" s="26"/>
      <c r="BL61" s="26"/>
      <c r="BM61" s="26"/>
      <c r="BN61" s="26"/>
    </row>
    <row r="62" spans="1:66" ht="15.6" hidden="1" x14ac:dyDescent="0.3">
      <c r="A62" s="149"/>
      <c r="B62" s="5345" t="s">
        <v>1998</v>
      </c>
      <c r="C62" s="5341"/>
      <c r="D62" s="5342" t="s">
        <v>354</v>
      </c>
      <c r="E62" s="5343"/>
      <c r="F62" s="5347">
        <v>14603</v>
      </c>
      <c r="G62" s="5343"/>
      <c r="H62" s="5347">
        <v>16448</v>
      </c>
      <c r="I62" s="1697"/>
      <c r="J62" s="782">
        <f t="shared" ref="J62:J64" si="40">+F62+H62</f>
        <v>31051</v>
      </c>
      <c r="K62" s="5343"/>
      <c r="L62" s="5347">
        <v>17329</v>
      </c>
      <c r="M62" s="1698"/>
      <c r="N62" s="781">
        <f t="shared" ref="N62:N64" si="41">+F62+H62+L62</f>
        <v>48380</v>
      </c>
      <c r="O62" s="5343"/>
      <c r="P62" s="5347">
        <v>19041</v>
      </c>
      <c r="Q62" s="1696"/>
      <c r="R62" s="782">
        <f t="shared" ref="R62:R64" si="42">+N62+P62</f>
        <v>67421</v>
      </c>
      <c r="S62" s="5343"/>
      <c r="T62" s="5347">
        <v>14460</v>
      </c>
      <c r="U62" s="1696"/>
      <c r="V62" s="782">
        <f t="shared" ref="V62:V64" si="43">+R62+T62</f>
        <v>81881</v>
      </c>
      <c r="W62" s="5343"/>
      <c r="X62" s="5347">
        <v>15191</v>
      </c>
      <c r="Y62" s="1698"/>
      <c r="Z62" s="781">
        <f t="shared" ref="Z62:Z64" si="44">+P62+T62+X62</f>
        <v>48692</v>
      </c>
      <c r="AA62" s="1699"/>
      <c r="AB62" s="662">
        <f t="shared" ref="AB62:AB64" si="45">+N62+Z62</f>
        <v>97072</v>
      </c>
      <c r="AC62" s="1702"/>
      <c r="AD62" s="3070">
        <v>12948</v>
      </c>
      <c r="AE62" s="1696"/>
      <c r="AF62" s="782">
        <f t="shared" ref="AF62:AF64" si="46">+AB62+AD62</f>
        <v>110020</v>
      </c>
      <c r="AG62" s="1702"/>
      <c r="AH62" s="3070">
        <v>466</v>
      </c>
      <c r="AI62" s="1696"/>
      <c r="AJ62" s="782">
        <f t="shared" ref="AJ62:AJ64" si="47">+AF62+AH62</f>
        <v>110486</v>
      </c>
      <c r="AK62" s="1702"/>
      <c r="AL62" s="3070">
        <v>12872</v>
      </c>
      <c r="AM62" s="1698"/>
      <c r="AN62" s="781">
        <f t="shared" ref="AN62:AN64" si="48">+AD62+AH62+AL62</f>
        <v>26286</v>
      </c>
      <c r="AO62" s="1696"/>
      <c r="AP62" s="782">
        <f t="shared" ref="AP62:AP64" si="49">AJ62+AL62</f>
        <v>123358</v>
      </c>
      <c r="AQ62" s="1702"/>
      <c r="AR62" s="3070">
        <v>13129</v>
      </c>
      <c r="AS62" s="1696"/>
      <c r="AT62" s="782">
        <f t="shared" ref="AT62:AT64" si="50">+AP62+AR62</f>
        <v>136487</v>
      </c>
      <c r="AU62" s="1702"/>
      <c r="AV62" s="3070">
        <v>12001</v>
      </c>
      <c r="AW62" s="1696"/>
      <c r="AX62" s="782">
        <f t="shared" ref="AX62:AX64" si="51">+AT62+AV62</f>
        <v>148488</v>
      </c>
      <c r="AY62" s="1702"/>
      <c r="AZ62" s="3070">
        <v>18471</v>
      </c>
      <c r="BA62" s="1698"/>
      <c r="BB62" s="781">
        <f t="shared" ref="BB62:BB64" si="52">+AR62+AV62+AZ62</f>
        <v>43601</v>
      </c>
      <c r="BC62" s="1699"/>
      <c r="BD62" s="662">
        <f t="shared" ref="BD62:BD64" si="53">+AN62+BB62</f>
        <v>69887</v>
      </c>
      <c r="BE62" s="1697"/>
      <c r="BF62" s="782">
        <f t="shared" ref="BF62:BF64" si="54">+AX62+AZ62</f>
        <v>166959</v>
      </c>
      <c r="BG62" s="26"/>
      <c r="BH62" s="26"/>
      <c r="BI62" s="26"/>
      <c r="BJ62" s="26"/>
      <c r="BK62" s="26"/>
      <c r="BL62" s="26"/>
      <c r="BM62" s="26"/>
      <c r="BN62" s="26"/>
    </row>
    <row r="63" spans="1:66" ht="15.6" hidden="1" x14ac:dyDescent="0.3">
      <c r="A63" s="149"/>
      <c r="B63" s="5345" t="s">
        <v>1999</v>
      </c>
      <c r="C63" s="5341"/>
      <c r="D63" s="5342" t="s">
        <v>354</v>
      </c>
      <c r="E63" s="5343"/>
      <c r="F63" s="5347">
        <v>18356</v>
      </c>
      <c r="G63" s="5343"/>
      <c r="H63" s="5347">
        <v>20981</v>
      </c>
      <c r="I63" s="1697"/>
      <c r="J63" s="782">
        <f t="shared" si="40"/>
        <v>39337</v>
      </c>
      <c r="K63" s="5343"/>
      <c r="L63" s="5347">
        <v>18908</v>
      </c>
      <c r="M63" s="1698"/>
      <c r="N63" s="781">
        <f t="shared" si="41"/>
        <v>58245</v>
      </c>
      <c r="O63" s="5343"/>
      <c r="P63" s="5347">
        <v>24251</v>
      </c>
      <c r="Q63" s="1696"/>
      <c r="R63" s="782">
        <f t="shared" si="42"/>
        <v>82496</v>
      </c>
      <c r="S63" s="5343"/>
      <c r="T63" s="5347">
        <v>22904</v>
      </c>
      <c r="U63" s="1696"/>
      <c r="V63" s="782">
        <f t="shared" si="43"/>
        <v>105400</v>
      </c>
      <c r="W63" s="5343"/>
      <c r="X63" s="5347">
        <v>22350</v>
      </c>
      <c r="Y63" s="1698"/>
      <c r="Z63" s="781">
        <f t="shared" si="44"/>
        <v>69505</v>
      </c>
      <c r="AA63" s="1699"/>
      <c r="AB63" s="662">
        <f t="shared" si="45"/>
        <v>127750</v>
      </c>
      <c r="AC63" s="1702"/>
      <c r="AD63" s="3070">
        <v>19978</v>
      </c>
      <c r="AE63" s="1696"/>
      <c r="AF63" s="782">
        <f t="shared" si="46"/>
        <v>147728</v>
      </c>
      <c r="AG63" s="1702"/>
      <c r="AH63" s="3070">
        <v>1130</v>
      </c>
      <c r="AI63" s="1696"/>
      <c r="AJ63" s="782">
        <f t="shared" si="47"/>
        <v>148858</v>
      </c>
      <c r="AK63" s="1702"/>
      <c r="AL63" s="3070">
        <v>21952</v>
      </c>
      <c r="AM63" s="1698"/>
      <c r="AN63" s="781">
        <f t="shared" si="48"/>
        <v>43060</v>
      </c>
      <c r="AO63" s="1696"/>
      <c r="AP63" s="782">
        <f t="shared" si="49"/>
        <v>170810</v>
      </c>
      <c r="AQ63" s="1702"/>
      <c r="AR63" s="3070">
        <v>21423</v>
      </c>
      <c r="AS63" s="1696"/>
      <c r="AT63" s="782">
        <f t="shared" si="50"/>
        <v>192233</v>
      </c>
      <c r="AU63" s="1702"/>
      <c r="AV63" s="3070">
        <v>20615</v>
      </c>
      <c r="AW63" s="1696"/>
      <c r="AX63" s="782">
        <f t="shared" si="51"/>
        <v>212848</v>
      </c>
      <c r="AY63" s="1702"/>
      <c r="AZ63" s="3070">
        <v>19954</v>
      </c>
      <c r="BA63" s="1698"/>
      <c r="BB63" s="781">
        <f t="shared" si="52"/>
        <v>61992</v>
      </c>
      <c r="BC63" s="1699"/>
      <c r="BD63" s="662">
        <f t="shared" si="53"/>
        <v>105052</v>
      </c>
      <c r="BE63" s="1697"/>
      <c r="BF63" s="782">
        <f t="shared" si="54"/>
        <v>232802</v>
      </c>
      <c r="BG63" s="26"/>
      <c r="BH63" s="26"/>
      <c r="BI63" s="26"/>
      <c r="BJ63" s="26"/>
      <c r="BK63" s="26"/>
      <c r="BL63" s="26"/>
      <c r="BM63" s="26"/>
      <c r="BN63" s="26"/>
    </row>
    <row r="64" spans="1:66" ht="16.149999999999999" hidden="1" thickBot="1" x14ac:dyDescent="0.35">
      <c r="A64" s="149"/>
      <c r="B64" s="5348" t="s">
        <v>2000</v>
      </c>
      <c r="C64" s="5349"/>
      <c r="D64" s="5350" t="s">
        <v>354</v>
      </c>
      <c r="E64" s="5351"/>
      <c r="F64" s="5352">
        <f>F62+F63</f>
        <v>32959</v>
      </c>
      <c r="G64" s="5351"/>
      <c r="H64" s="5352">
        <f>H62+H63</f>
        <v>37429</v>
      </c>
      <c r="I64" s="1697"/>
      <c r="J64" s="782">
        <f t="shared" si="40"/>
        <v>70388</v>
      </c>
      <c r="K64" s="5351"/>
      <c r="L64" s="5352">
        <f>L62+L63</f>
        <v>36237</v>
      </c>
      <c r="M64" s="1698"/>
      <c r="N64" s="781">
        <f t="shared" si="41"/>
        <v>106625</v>
      </c>
      <c r="O64" s="5351"/>
      <c r="P64" s="5352">
        <f>P62+P63</f>
        <v>43292</v>
      </c>
      <c r="Q64" s="1696"/>
      <c r="R64" s="782">
        <f t="shared" si="42"/>
        <v>149917</v>
      </c>
      <c r="S64" s="5351"/>
      <c r="T64" s="5352">
        <f>T62+T63</f>
        <v>37364</v>
      </c>
      <c r="U64" s="1696"/>
      <c r="V64" s="782">
        <f t="shared" si="43"/>
        <v>187281</v>
      </c>
      <c r="W64" s="5351"/>
      <c r="X64" s="5352">
        <f>X62+X63</f>
        <v>37541</v>
      </c>
      <c r="Y64" s="1698"/>
      <c r="Z64" s="781">
        <f t="shared" si="44"/>
        <v>118197</v>
      </c>
      <c r="AA64" s="1699"/>
      <c r="AB64" s="662">
        <f t="shared" si="45"/>
        <v>224822</v>
      </c>
      <c r="AC64" s="1702"/>
      <c r="AD64" s="3070">
        <f>AD62+AD63</f>
        <v>32926</v>
      </c>
      <c r="AE64" s="1696"/>
      <c r="AF64" s="782">
        <f t="shared" si="46"/>
        <v>257748</v>
      </c>
      <c r="AG64" s="1702"/>
      <c r="AH64" s="3070">
        <f>AH62+AH63</f>
        <v>1596</v>
      </c>
      <c r="AI64" s="1696"/>
      <c r="AJ64" s="782">
        <f t="shared" si="47"/>
        <v>259344</v>
      </c>
      <c r="AK64" s="1702"/>
      <c r="AL64" s="3070">
        <f>AL62+AL63</f>
        <v>34824</v>
      </c>
      <c r="AM64" s="1698"/>
      <c r="AN64" s="781">
        <f t="shared" si="48"/>
        <v>69346</v>
      </c>
      <c r="AO64" s="1696"/>
      <c r="AP64" s="782">
        <f t="shared" si="49"/>
        <v>294168</v>
      </c>
      <c r="AQ64" s="1702"/>
      <c r="AR64" s="3070">
        <f>AR62+AR63</f>
        <v>34552</v>
      </c>
      <c r="AS64" s="1696"/>
      <c r="AT64" s="782">
        <f t="shared" si="50"/>
        <v>328720</v>
      </c>
      <c r="AU64" s="1702"/>
      <c r="AV64" s="3070">
        <f>AV62+AV63</f>
        <v>32616</v>
      </c>
      <c r="AW64" s="1696"/>
      <c r="AX64" s="782">
        <f t="shared" si="51"/>
        <v>361336</v>
      </c>
      <c r="AY64" s="1702"/>
      <c r="AZ64" s="3070">
        <f>AZ62+AZ63</f>
        <v>38425</v>
      </c>
      <c r="BA64" s="1698"/>
      <c r="BB64" s="781">
        <f t="shared" si="52"/>
        <v>105593</v>
      </c>
      <c r="BC64" s="1699"/>
      <c r="BD64" s="662">
        <f t="shared" si="53"/>
        <v>174939</v>
      </c>
      <c r="BE64" s="1697"/>
      <c r="BF64" s="782">
        <f t="shared" si="54"/>
        <v>399761</v>
      </c>
      <c r="BG64" s="26"/>
      <c r="BH64" s="26"/>
      <c r="BI64" s="26"/>
      <c r="BJ64" s="26"/>
      <c r="BK64" s="26"/>
      <c r="BL64" s="26"/>
      <c r="BM64" s="26"/>
      <c r="BN64" s="26"/>
    </row>
    <row r="65" spans="1:66" ht="18.75" x14ac:dyDescent="0.25">
      <c r="A65" s="149"/>
      <c r="B65" s="1695" t="s">
        <v>53</v>
      </c>
      <c r="C65" s="1703"/>
      <c r="D65" s="1703"/>
      <c r="E65" s="5340"/>
      <c r="F65" s="5340"/>
      <c r="G65" s="5340"/>
      <c r="H65" s="5340"/>
      <c r="I65" s="591"/>
      <c r="J65" s="591"/>
      <c r="K65" s="5340"/>
      <c r="L65" s="5340"/>
      <c r="M65" s="591"/>
      <c r="N65" s="591"/>
      <c r="O65" s="5340"/>
      <c r="P65" s="5340"/>
      <c r="Q65" s="591"/>
      <c r="R65" s="591"/>
      <c r="S65" s="5340"/>
      <c r="T65" s="5340"/>
      <c r="U65" s="591"/>
      <c r="V65" s="591"/>
      <c r="W65" s="5340"/>
      <c r="X65" s="5340"/>
      <c r="Y65" s="591"/>
      <c r="Z65" s="591"/>
      <c r="AA65" s="591"/>
      <c r="AB65" s="592"/>
      <c r="AC65" s="591"/>
      <c r="AD65" s="591"/>
      <c r="AE65" s="591"/>
      <c r="AF65" s="591"/>
      <c r="AG65" s="591"/>
      <c r="AH65" s="591"/>
      <c r="AI65" s="591"/>
      <c r="AJ65" s="591"/>
      <c r="AK65" s="591"/>
      <c r="AL65" s="591"/>
      <c r="AM65" s="591"/>
      <c r="AN65" s="591"/>
      <c r="AO65" s="591"/>
      <c r="AP65" s="591"/>
      <c r="AQ65" s="591"/>
      <c r="AR65" s="591"/>
      <c r="AS65" s="591"/>
      <c r="AT65" s="591"/>
      <c r="AU65" s="591"/>
      <c r="AV65" s="591"/>
      <c r="AW65" s="591"/>
      <c r="AX65" s="591"/>
      <c r="AY65" s="591"/>
      <c r="AZ65" s="591"/>
      <c r="BA65" s="591"/>
      <c r="BB65" s="591"/>
      <c r="BC65" s="591"/>
      <c r="BD65" s="592"/>
      <c r="BE65" s="591"/>
      <c r="BF65" s="591"/>
      <c r="BG65" s="26"/>
      <c r="BH65" s="26"/>
      <c r="BI65" s="26"/>
      <c r="BJ65" s="26"/>
      <c r="BK65" s="26"/>
      <c r="BL65" s="26"/>
      <c r="BM65" s="26"/>
      <c r="BN65" s="26"/>
    </row>
    <row r="66" spans="1:66" x14ac:dyDescent="0.25">
      <c r="B66" s="9" t="s">
        <v>93</v>
      </c>
      <c r="C66" s="776"/>
      <c r="D66" s="159" t="s">
        <v>221</v>
      </c>
      <c r="E66" s="159">
        <f>+E2*24</f>
        <v>720</v>
      </c>
      <c r="F66" s="159">
        <f>+F2*24</f>
        <v>720</v>
      </c>
      <c r="G66" s="159">
        <f>+G2*24</f>
        <v>744</v>
      </c>
      <c r="H66" s="159">
        <f>+H2*24</f>
        <v>744</v>
      </c>
      <c r="I66" s="590">
        <f>+E66+G66</f>
        <v>1464</v>
      </c>
      <c r="J66" s="590">
        <f>+F66+H66</f>
        <v>1464</v>
      </c>
      <c r="K66" s="159">
        <f>+K2*24</f>
        <v>720</v>
      </c>
      <c r="L66" s="159">
        <f>+L2*24</f>
        <v>720</v>
      </c>
      <c r="M66" s="946">
        <f>+E66+G66+K66</f>
        <v>2184</v>
      </c>
      <c r="N66" s="946">
        <f>+F66+H66+L66</f>
        <v>2184</v>
      </c>
      <c r="O66" s="159">
        <f>+O2*24</f>
        <v>744</v>
      </c>
      <c r="P66" s="159">
        <f>+P2*24</f>
        <v>744</v>
      </c>
      <c r="Q66" s="590">
        <f>+M66+O66</f>
        <v>2928</v>
      </c>
      <c r="R66" s="590">
        <f>+N66+P66</f>
        <v>2928</v>
      </c>
      <c r="S66" s="159">
        <f>+S2*24</f>
        <v>744</v>
      </c>
      <c r="T66" s="159">
        <f>+T2*24</f>
        <v>744</v>
      </c>
      <c r="U66" s="590">
        <f>+Q66+S66</f>
        <v>3672</v>
      </c>
      <c r="V66" s="590">
        <f>+R66+T66</f>
        <v>3672</v>
      </c>
      <c r="W66" s="159">
        <f>+W2*24</f>
        <v>720</v>
      </c>
      <c r="X66" s="159">
        <f>+X2*24</f>
        <v>720</v>
      </c>
      <c r="Y66" s="781">
        <f>+O66+S66+W66</f>
        <v>2208</v>
      </c>
      <c r="Z66" s="781">
        <f>+P66+T66+X66</f>
        <v>2208</v>
      </c>
      <c r="AA66" s="465">
        <f>+M66+Y66</f>
        <v>4392</v>
      </c>
      <c r="AB66" s="454">
        <f>+N66+Z66</f>
        <v>4392</v>
      </c>
      <c r="AC66" s="159">
        <f>+AC2*24</f>
        <v>744</v>
      </c>
      <c r="AD66" s="159">
        <f>+AD2*24</f>
        <v>744</v>
      </c>
      <c r="AE66" s="590">
        <f>+AA66+AC66</f>
        <v>5136</v>
      </c>
      <c r="AF66" s="590">
        <f>+AB66+AD66</f>
        <v>5136</v>
      </c>
      <c r="AG66" s="159">
        <f>+AG2*24</f>
        <v>720</v>
      </c>
      <c r="AH66" s="159">
        <f>+AH2*24</f>
        <v>720</v>
      </c>
      <c r="AI66" s="590">
        <f>+AE66+AG66</f>
        <v>5856</v>
      </c>
      <c r="AJ66" s="590">
        <f>+AF66+AH66</f>
        <v>5856</v>
      </c>
      <c r="AK66" s="159">
        <f>+AK2*24</f>
        <v>744</v>
      </c>
      <c r="AL66" s="159">
        <f>+AL2*24</f>
        <v>744</v>
      </c>
      <c r="AM66" s="781">
        <f>+AC66+AG66+AK66</f>
        <v>2208</v>
      </c>
      <c r="AN66" s="781">
        <f>+AD66+AH66+AL66</f>
        <v>2208</v>
      </c>
      <c r="AO66" s="782">
        <f t="shared" ref="AO66" si="55">AI66+AK66</f>
        <v>6600</v>
      </c>
      <c r="AP66" s="782">
        <f t="shared" ref="AP66" si="56">AJ66+AL66</f>
        <v>6600</v>
      </c>
      <c r="AQ66" s="159">
        <f>+AQ2*24</f>
        <v>744</v>
      </c>
      <c r="AR66" s="159">
        <f>+AR2*24</f>
        <v>744</v>
      </c>
      <c r="AS66" s="590">
        <f>+AO66+AQ66</f>
        <v>7344</v>
      </c>
      <c r="AT66" s="590">
        <f>+AP66+AR66</f>
        <v>7344</v>
      </c>
      <c r="AU66" s="159">
        <f>+AU2*24</f>
        <v>672</v>
      </c>
      <c r="AV66" s="159">
        <f>+AV2*24</f>
        <v>672</v>
      </c>
      <c r="AW66" s="590">
        <f>+AS66+AU66</f>
        <v>8016</v>
      </c>
      <c r="AX66" s="590">
        <f>+AT66+AV66</f>
        <v>8016</v>
      </c>
      <c r="AY66" s="159">
        <f>+AY2*24</f>
        <v>744</v>
      </c>
      <c r="AZ66" s="159">
        <f>+AZ2*24</f>
        <v>744</v>
      </c>
      <c r="BA66" s="781">
        <f>+AQ66+AU66+AY66</f>
        <v>2160</v>
      </c>
      <c r="BB66" s="781">
        <f>+AR66+AV66+AZ66</f>
        <v>2160</v>
      </c>
      <c r="BC66" s="465">
        <f t="shared" ref="BC66" si="57">+AM66+BA66</f>
        <v>4368</v>
      </c>
      <c r="BD66" s="454">
        <f t="shared" ref="BD66" si="58">+AN66+BB66</f>
        <v>4368</v>
      </c>
      <c r="BE66" s="590">
        <f>+AW66+AY66</f>
        <v>8760</v>
      </c>
      <c r="BF66" s="590">
        <f>+AX66+AZ66</f>
        <v>8760</v>
      </c>
      <c r="BG66" s="26"/>
      <c r="BH66" s="26"/>
      <c r="BI66" s="26"/>
      <c r="BJ66" s="26"/>
      <c r="BK66" s="26"/>
      <c r="BL66" s="26"/>
      <c r="BM66" s="26"/>
      <c r="BN66" s="26"/>
    </row>
    <row r="67" spans="1:66" x14ac:dyDescent="0.25">
      <c r="B67" s="9" t="s">
        <v>303</v>
      </c>
      <c r="C67" s="776"/>
      <c r="D67" s="159" t="s">
        <v>49</v>
      </c>
      <c r="E67" s="102">
        <f t="shared" ref="E67:AD67" si="59">+E68/E66*100</f>
        <v>90</v>
      </c>
      <c r="F67" s="102">
        <f t="shared" si="59"/>
        <v>81.256944444444457</v>
      </c>
      <c r="G67" s="102">
        <f t="shared" ref="G67:H67" si="60">+G68/G66*100</f>
        <v>90.322580645161281</v>
      </c>
      <c r="H67" s="102">
        <f t="shared" si="60"/>
        <v>89.128584229390682</v>
      </c>
      <c r="I67" s="266">
        <f t="shared" si="59"/>
        <v>90.163934426229503</v>
      </c>
      <c r="J67" s="266">
        <f t="shared" si="59"/>
        <v>85.257285974499098</v>
      </c>
      <c r="K67" s="102">
        <f t="shared" si="59"/>
        <v>90</v>
      </c>
      <c r="L67" s="102">
        <f t="shared" si="59"/>
        <v>87.942129629629633</v>
      </c>
      <c r="M67" s="353">
        <f t="shared" si="59"/>
        <v>90.109890109890117</v>
      </c>
      <c r="N67" s="353">
        <f t="shared" si="59"/>
        <v>86.14239926739927</v>
      </c>
      <c r="O67" s="102">
        <f t="shared" ref="O67:P67" si="61">+O68/O66*100</f>
        <v>90.322580645161281</v>
      </c>
      <c r="P67" s="102">
        <f t="shared" si="61"/>
        <v>91.711469534050181</v>
      </c>
      <c r="Q67" s="266">
        <f t="shared" si="59"/>
        <v>90.163934426229503</v>
      </c>
      <c r="R67" s="266">
        <f t="shared" si="59"/>
        <v>87.557490892531874</v>
      </c>
      <c r="S67" s="102">
        <f t="shared" si="59"/>
        <v>90.322580645161281</v>
      </c>
      <c r="T67" s="102">
        <f t="shared" si="59"/>
        <v>87.069892473118259</v>
      </c>
      <c r="U67" s="266">
        <f t="shared" ref="U67:X67" si="62">+U68/U66*100</f>
        <v>90.196078431372555</v>
      </c>
      <c r="V67" s="266">
        <f t="shared" si="62"/>
        <v>87.458696441539573</v>
      </c>
      <c r="W67" s="102">
        <f t="shared" si="62"/>
        <v>60</v>
      </c>
      <c r="X67" s="102">
        <f t="shared" si="62"/>
        <v>89.976851851819518</v>
      </c>
      <c r="Y67" s="353">
        <f t="shared" si="59"/>
        <v>80.434782608695656</v>
      </c>
      <c r="Z67" s="353">
        <f t="shared" si="59"/>
        <v>89.581823671487044</v>
      </c>
      <c r="AA67" s="466">
        <f t="shared" si="59"/>
        <v>85.245901639344254</v>
      </c>
      <c r="AB67" s="474">
        <f t="shared" si="59"/>
        <v>87.871508803880545</v>
      </c>
      <c r="AC67" s="102">
        <f t="shared" si="59"/>
        <v>93.548387096774192</v>
      </c>
      <c r="AD67" s="102">
        <f t="shared" si="59"/>
        <v>89.021057347670236</v>
      </c>
      <c r="AE67" s="266">
        <f t="shared" ref="AE67:AH67" si="63">+AE68/AE66*100</f>
        <v>86.44859813084112</v>
      </c>
      <c r="AF67" s="266">
        <f t="shared" si="63"/>
        <v>88.038032191065042</v>
      </c>
      <c r="AG67" s="102">
        <f t="shared" si="63"/>
        <v>93.333333333333329</v>
      </c>
      <c r="AH67" s="102">
        <f t="shared" si="63"/>
        <v>5.7430555555555545</v>
      </c>
      <c r="AI67" s="266">
        <f t="shared" ref="AI67:AL67" si="64">+AI68/AI66*100</f>
        <v>87.295081967213122</v>
      </c>
      <c r="AJ67" s="266">
        <f t="shared" si="64"/>
        <v>77.919797358830266</v>
      </c>
      <c r="AK67" s="102">
        <f t="shared" si="64"/>
        <v>93.548387096774192</v>
      </c>
      <c r="AL67" s="102">
        <f t="shared" si="64"/>
        <v>88.333333333333343</v>
      </c>
      <c r="AM67" s="353">
        <f t="shared" ref="AM67:AT67" si="65">+AM68/AM66*100</f>
        <v>93.478260869565219</v>
      </c>
      <c r="AN67" s="353">
        <f t="shared" si="65"/>
        <v>61.633454106280197</v>
      </c>
      <c r="AO67" s="266">
        <f t="shared" si="65"/>
        <v>88</v>
      </c>
      <c r="AP67" s="266">
        <f t="shared" si="65"/>
        <v>79.093686868683349</v>
      </c>
      <c r="AQ67" s="102">
        <f t="shared" si="65"/>
        <v>93.548387096774192</v>
      </c>
      <c r="AR67" s="102">
        <f t="shared" si="65"/>
        <v>85.763888888888886</v>
      </c>
      <c r="AS67" s="266">
        <f t="shared" si="65"/>
        <v>88.562091503267965</v>
      </c>
      <c r="AT67" s="266">
        <f t="shared" si="65"/>
        <v>79.76942628903096</v>
      </c>
      <c r="AU67" s="102">
        <f t="shared" ref="AU67:AX67" si="66">+AU68/AU66*100</f>
        <v>92.857142857142861</v>
      </c>
      <c r="AV67" s="102">
        <f t="shared" si="66"/>
        <v>87.976190476190467</v>
      </c>
      <c r="AW67" s="266">
        <f t="shared" si="66"/>
        <v>88.922155688622752</v>
      </c>
      <c r="AX67" s="266">
        <f t="shared" si="66"/>
        <v>80.457418496337738</v>
      </c>
      <c r="AY67" s="102">
        <f t="shared" ref="AY67:AZ67" si="67">+AY68/AY66*100</f>
        <v>93.548387096774192</v>
      </c>
      <c r="AZ67" s="102">
        <f t="shared" si="67"/>
        <v>89.3010752688172</v>
      </c>
      <c r="BA67" s="353">
        <f t="shared" ref="BA67:BD67" si="68">+BA68/BA66*100</f>
        <v>93.333333333333329</v>
      </c>
      <c r="BB67" s="353">
        <f t="shared" si="68"/>
        <v>87.670524691358025</v>
      </c>
      <c r="BC67" s="466">
        <f t="shared" si="68"/>
        <v>93.406593406593402</v>
      </c>
      <c r="BD67" s="474">
        <f t="shared" si="68"/>
        <v>74.508928571428584</v>
      </c>
      <c r="BE67" s="266">
        <f t="shared" ref="BE67:BF67" si="69">+BE68/BE66*100</f>
        <v>89.31506849315069</v>
      </c>
      <c r="BF67" s="266">
        <f t="shared" si="69"/>
        <v>81.208523592082571</v>
      </c>
      <c r="BG67" s="26"/>
      <c r="BH67" s="26"/>
      <c r="BI67" s="26"/>
      <c r="BJ67" s="26"/>
      <c r="BK67" s="26"/>
      <c r="BL67" s="26"/>
      <c r="BM67" s="26"/>
      <c r="BN67" s="26"/>
    </row>
    <row r="68" spans="1:66" x14ac:dyDescent="0.25">
      <c r="B68" s="9" t="s">
        <v>302</v>
      </c>
      <c r="C68" s="776"/>
      <c r="D68" s="159" t="s">
        <v>221</v>
      </c>
      <c r="E68" s="205">
        <v>648</v>
      </c>
      <c r="F68" s="1134">
        <v>585.05000000000007</v>
      </c>
      <c r="G68" s="205">
        <v>672</v>
      </c>
      <c r="H68" s="1134">
        <v>663.11666666666667</v>
      </c>
      <c r="I68" s="590">
        <f>+E68+G68</f>
        <v>1320</v>
      </c>
      <c r="J68" s="782">
        <f>+F68+H68</f>
        <v>1248.1666666666667</v>
      </c>
      <c r="K68" s="205">
        <v>648</v>
      </c>
      <c r="L68" s="1134">
        <v>633.18333333333339</v>
      </c>
      <c r="M68" s="946">
        <f>+E68+G68+K68</f>
        <v>1968</v>
      </c>
      <c r="N68" s="781">
        <f>+F68+H68+L68</f>
        <v>1881.3500000000001</v>
      </c>
      <c r="O68" s="205">
        <v>672</v>
      </c>
      <c r="P68" s="1134">
        <v>682.33333333333337</v>
      </c>
      <c r="Q68" s="590">
        <f>+M68+O68</f>
        <v>2640</v>
      </c>
      <c r="R68" s="782">
        <f>+N68+P68</f>
        <v>2563.6833333333334</v>
      </c>
      <c r="S68" s="205">
        <v>672</v>
      </c>
      <c r="T68" s="1134">
        <v>647.79999999999984</v>
      </c>
      <c r="U68" s="590">
        <f>+Q68+S68</f>
        <v>3312</v>
      </c>
      <c r="V68" s="782">
        <f>+R68+T68</f>
        <v>3211.4833333333331</v>
      </c>
      <c r="W68" s="205">
        <v>432</v>
      </c>
      <c r="X68" s="1134">
        <v>647.83333333310054</v>
      </c>
      <c r="Y68" s="781">
        <f>+O68+S68+W68</f>
        <v>1776</v>
      </c>
      <c r="Z68" s="781">
        <f>+P68+T68+X68</f>
        <v>1977.9666666664339</v>
      </c>
      <c r="AA68" s="465">
        <f>+M68+Y68</f>
        <v>3744</v>
      </c>
      <c r="AB68" s="454">
        <f>+N68+Z68</f>
        <v>3859.3166666664338</v>
      </c>
      <c r="AC68" s="205">
        <v>696</v>
      </c>
      <c r="AD68" s="1134">
        <v>662.31666666666661</v>
      </c>
      <c r="AE68" s="590">
        <f>+AA68+AC68</f>
        <v>4440</v>
      </c>
      <c r="AF68" s="782">
        <f>+AB68+AD68</f>
        <v>4521.6333333331004</v>
      </c>
      <c r="AG68" s="205">
        <v>672</v>
      </c>
      <c r="AH68" s="1134">
        <v>41.349999999999994</v>
      </c>
      <c r="AI68" s="590">
        <f>+AE68+AG68</f>
        <v>5112</v>
      </c>
      <c r="AJ68" s="782">
        <f>+AF68+AH68</f>
        <v>4562.9833333331007</v>
      </c>
      <c r="AK68" s="205">
        <v>696</v>
      </c>
      <c r="AL68" s="1134">
        <v>657.2</v>
      </c>
      <c r="AM68" s="781">
        <f>+AC68+AG68+AK68</f>
        <v>2064</v>
      </c>
      <c r="AN68" s="781">
        <f>+AD68+AH68+AL68</f>
        <v>1360.8666666666668</v>
      </c>
      <c r="AO68" s="782">
        <f t="shared" ref="AO68" si="70">AI68+AK68</f>
        <v>5808</v>
      </c>
      <c r="AP68" s="782">
        <f t="shared" ref="AP68" si="71">AJ68+AL68</f>
        <v>5220.1833333331006</v>
      </c>
      <c r="AQ68" s="205">
        <v>696</v>
      </c>
      <c r="AR68" s="1134">
        <v>638.08333333333326</v>
      </c>
      <c r="AS68" s="590">
        <f>+AO68+AQ68</f>
        <v>6504</v>
      </c>
      <c r="AT68" s="782">
        <f>+AP68+AR68</f>
        <v>5858.2666666664336</v>
      </c>
      <c r="AU68" s="205">
        <v>624</v>
      </c>
      <c r="AV68" s="1134">
        <v>591.19999999999993</v>
      </c>
      <c r="AW68" s="590">
        <f>+AS68+AU68</f>
        <v>7128</v>
      </c>
      <c r="AX68" s="782">
        <f>+AT68+AV68</f>
        <v>6449.4666666664334</v>
      </c>
      <c r="AY68" s="205">
        <v>696</v>
      </c>
      <c r="AZ68" s="1134">
        <v>664.4</v>
      </c>
      <c r="BA68" s="781">
        <f>+AQ68+AU68+AY68</f>
        <v>2016</v>
      </c>
      <c r="BB68" s="781">
        <f>+AR68+AV68+AZ68</f>
        <v>1893.6833333333334</v>
      </c>
      <c r="BC68" s="465">
        <f t="shared" ref="BC68" si="72">+AM68+BA68</f>
        <v>4080</v>
      </c>
      <c r="BD68" s="454">
        <f t="shared" ref="BD68" si="73">+AN68+BB68</f>
        <v>3254.55</v>
      </c>
      <c r="BE68" s="590">
        <f>+AW68+AY68</f>
        <v>7824</v>
      </c>
      <c r="BF68" s="782">
        <f>+AX68+AZ68</f>
        <v>7113.866666666433</v>
      </c>
      <c r="BG68" s="26"/>
      <c r="BH68" s="26"/>
      <c r="BI68" s="26"/>
      <c r="BJ68" s="26"/>
      <c r="BK68" s="26"/>
      <c r="BL68" s="26"/>
      <c r="BM68" s="26"/>
      <c r="BN68" s="26"/>
    </row>
    <row r="69" spans="1:66" x14ac:dyDescent="0.25">
      <c r="B69" s="9" t="s">
        <v>304</v>
      </c>
      <c r="C69" s="776"/>
      <c r="D69" s="159" t="s">
        <v>49</v>
      </c>
      <c r="E69" s="191">
        <f t="shared" ref="E69:AD69" si="74">+E70/E68*100</f>
        <v>85.416666666666657</v>
      </c>
      <c r="F69" s="191">
        <f t="shared" si="74"/>
        <v>89.026578924878208</v>
      </c>
      <c r="G69" s="191">
        <f t="shared" ref="G69:H69" si="75">+G70/G68*100</f>
        <v>85.416666666666657</v>
      </c>
      <c r="H69" s="191">
        <f t="shared" si="75"/>
        <v>89.292985145901909</v>
      </c>
      <c r="I69" s="266">
        <f t="shared" si="74"/>
        <v>85.416666666666657</v>
      </c>
      <c r="J69" s="266">
        <f t="shared" si="74"/>
        <v>89.168113232741348</v>
      </c>
      <c r="K69" s="191">
        <f t="shared" si="74"/>
        <v>85.416666666666657</v>
      </c>
      <c r="L69" s="191">
        <f t="shared" si="74"/>
        <v>89.794951435866395</v>
      </c>
      <c r="M69" s="353">
        <f t="shared" si="74"/>
        <v>85.416666666666657</v>
      </c>
      <c r="N69" s="353">
        <f t="shared" si="74"/>
        <v>89.379080624728687</v>
      </c>
      <c r="O69" s="191">
        <f t="shared" ref="O69:P69" si="76">+O70/O68*100</f>
        <v>85.416666666666657</v>
      </c>
      <c r="P69" s="191">
        <f t="shared" si="76"/>
        <v>91.998045920859767</v>
      </c>
      <c r="Q69" s="266">
        <f t="shared" si="74"/>
        <v>85.416666666666657</v>
      </c>
      <c r="R69" s="266">
        <f t="shared" si="74"/>
        <v>90.076127446837546</v>
      </c>
      <c r="S69" s="191">
        <f t="shared" si="74"/>
        <v>85.416666666666657</v>
      </c>
      <c r="T69" s="191">
        <f t="shared" si="74"/>
        <v>88.592158073479467</v>
      </c>
      <c r="U69" s="266">
        <f t="shared" ref="U69:X69" si="77">+U70/U68*100</f>
        <v>85.416666666666657</v>
      </c>
      <c r="V69" s="266">
        <f t="shared" si="77"/>
        <v>89.776790579638671</v>
      </c>
      <c r="W69" s="191">
        <f t="shared" si="77"/>
        <v>85.416666666666657</v>
      </c>
      <c r="X69" s="191">
        <f t="shared" si="77"/>
        <v>88.752251093336241</v>
      </c>
      <c r="Y69" s="353">
        <f t="shared" si="74"/>
        <v>85.416666666666657</v>
      </c>
      <c r="Z69" s="353">
        <f t="shared" si="74"/>
        <v>89.819511619659863</v>
      </c>
      <c r="AA69" s="466">
        <f t="shared" si="74"/>
        <v>85.416666666666657</v>
      </c>
      <c r="AB69" s="474">
        <f t="shared" si="74"/>
        <v>89.60480914150601</v>
      </c>
      <c r="AC69" s="191">
        <f t="shared" si="74"/>
        <v>83.333333333333343</v>
      </c>
      <c r="AD69" s="191">
        <f t="shared" si="74"/>
        <v>79.715141296962656</v>
      </c>
      <c r="AE69" s="266">
        <f>+AE70/AE68*100</f>
        <v>85.090090090090087</v>
      </c>
      <c r="AF69" s="266">
        <f t="shared" ref="AF69:AH69" si="78">+AF70/AF68*100</f>
        <v>88.156197244351119</v>
      </c>
      <c r="AG69" s="191">
        <f t="shared" si="78"/>
        <v>83.333333333333343</v>
      </c>
      <c r="AH69" s="191">
        <f t="shared" si="78"/>
        <v>72.067714631197106</v>
      </c>
      <c r="AI69" s="266">
        <f t="shared" ref="AI69:AL69" si="79">+AI70/AI68*100</f>
        <v>84.859154929577457</v>
      </c>
      <c r="AJ69" s="266">
        <f t="shared" si="79"/>
        <v>88.01040255095522</v>
      </c>
      <c r="AK69" s="191">
        <f t="shared" si="79"/>
        <v>83.333333333333343</v>
      </c>
      <c r="AL69" s="191">
        <f t="shared" si="79"/>
        <v>87.548184215865277</v>
      </c>
      <c r="AM69" s="353">
        <f t="shared" ref="AM69:AT69" si="80">+AM70/AM68*100</f>
        <v>83.333333333333343</v>
      </c>
      <c r="AN69" s="353">
        <f t="shared" si="80"/>
        <v>83.265566060843568</v>
      </c>
      <c r="AO69" s="266">
        <f t="shared" si="80"/>
        <v>84.676308539944898</v>
      </c>
      <c r="AP69" s="266">
        <f t="shared" si="80"/>
        <v>87.952211129232268</v>
      </c>
      <c r="AQ69" s="191">
        <f t="shared" si="80"/>
        <v>83.333333333333343</v>
      </c>
      <c r="AR69" s="191">
        <f t="shared" si="80"/>
        <v>87.271777458534686</v>
      </c>
      <c r="AS69" s="266">
        <f t="shared" si="80"/>
        <v>84.532595325953267</v>
      </c>
      <c r="AT69" s="266">
        <f t="shared" si="80"/>
        <v>87.878098186033327</v>
      </c>
      <c r="AU69" s="191">
        <f t="shared" ref="AU69:AX69" si="81">+AU70/AU68*100</f>
        <v>83.333333333333343</v>
      </c>
      <c r="AV69" s="191">
        <f t="shared" si="81"/>
        <v>84.796459179070823</v>
      </c>
      <c r="AW69" s="266">
        <f t="shared" si="81"/>
        <v>84.427609427609426</v>
      </c>
      <c r="AX69" s="266">
        <f t="shared" si="81"/>
        <v>87.595615141298424</v>
      </c>
      <c r="AY69" s="191">
        <f t="shared" ref="AY69:AZ69" si="82">+AY70/AY68*100</f>
        <v>83.333333333333343</v>
      </c>
      <c r="AZ69" s="191">
        <f t="shared" si="82"/>
        <v>87.801023479831429</v>
      </c>
      <c r="BA69" s="353">
        <f t="shared" ref="BA69:BD69" si="83">+BA70/BA68*100</f>
        <v>83.333333333333343</v>
      </c>
      <c r="BB69" s="353">
        <f t="shared" si="83"/>
        <v>86.684679768704726</v>
      </c>
      <c r="BC69" s="466">
        <f t="shared" si="83"/>
        <v>83.333333333333343</v>
      </c>
      <c r="BD69" s="474">
        <f t="shared" si="83"/>
        <v>85.25500197159873</v>
      </c>
      <c r="BE69" s="266">
        <f t="shared" ref="BE69:BF69" si="84">+BE70/BE68*100</f>
        <v>84.330265848670763</v>
      </c>
      <c r="BF69" s="266">
        <f t="shared" si="84"/>
        <v>87.614799265279956</v>
      </c>
      <c r="BG69" s="26"/>
      <c r="BH69" s="26"/>
      <c r="BI69" s="26"/>
      <c r="BJ69" s="26"/>
      <c r="BK69" s="26"/>
      <c r="BL69" s="26"/>
      <c r="BM69" s="26"/>
      <c r="BN69" s="26"/>
    </row>
    <row r="70" spans="1:66" x14ac:dyDescent="0.25">
      <c r="B70" s="9" t="s">
        <v>305</v>
      </c>
      <c r="C70" s="776"/>
      <c r="D70" s="159" t="s">
        <v>221</v>
      </c>
      <c r="E70" s="1134">
        <v>553.5</v>
      </c>
      <c r="F70" s="1134">
        <v>520.85</v>
      </c>
      <c r="G70" s="1134">
        <v>574</v>
      </c>
      <c r="H70" s="1134">
        <v>592.11666666666656</v>
      </c>
      <c r="I70" s="782">
        <f>+E70+G70</f>
        <v>1127.5</v>
      </c>
      <c r="J70" s="782">
        <f>+F70+H70</f>
        <v>1112.9666666666667</v>
      </c>
      <c r="K70" s="1134">
        <v>553.5</v>
      </c>
      <c r="L70" s="1134">
        <v>568.56666666666672</v>
      </c>
      <c r="M70" s="946">
        <f>+E70+G70+K70</f>
        <v>1681</v>
      </c>
      <c r="N70" s="781">
        <f>+F70+H70+L70</f>
        <v>1681.5333333333333</v>
      </c>
      <c r="O70" s="1134">
        <v>574</v>
      </c>
      <c r="P70" s="1134">
        <v>627.73333333333323</v>
      </c>
      <c r="Q70" s="590">
        <f>+M70+O70</f>
        <v>2255</v>
      </c>
      <c r="R70" s="782">
        <f>+N70+P70</f>
        <v>2309.2666666666664</v>
      </c>
      <c r="S70" s="1134">
        <v>574</v>
      </c>
      <c r="T70" s="1134">
        <v>573.89999999999986</v>
      </c>
      <c r="U70" s="590">
        <f>+Q70+S70</f>
        <v>2829</v>
      </c>
      <c r="V70" s="782">
        <f>+R70+T70</f>
        <v>2883.1666666666661</v>
      </c>
      <c r="W70" s="1134">
        <v>369</v>
      </c>
      <c r="X70" s="1134">
        <v>574.96666666612339</v>
      </c>
      <c r="Y70" s="781">
        <f>+O70+S70+W70</f>
        <v>1517</v>
      </c>
      <c r="Z70" s="781">
        <f>+P70+T70+X70</f>
        <v>1776.5999999994565</v>
      </c>
      <c r="AA70" s="465">
        <f>+M70+Y70</f>
        <v>3198</v>
      </c>
      <c r="AB70" s="454">
        <f>+N70+Z70</f>
        <v>3458.1333333327898</v>
      </c>
      <c r="AC70" s="1134">
        <v>580</v>
      </c>
      <c r="AD70" s="1134">
        <v>527.96666666666647</v>
      </c>
      <c r="AE70" s="590">
        <f>+AA70+AC70</f>
        <v>3778</v>
      </c>
      <c r="AF70" s="782">
        <f>+AB70+AD70</f>
        <v>3986.0999999994565</v>
      </c>
      <c r="AG70" s="1134">
        <v>560</v>
      </c>
      <c r="AH70" s="1134">
        <v>29.8</v>
      </c>
      <c r="AI70" s="590">
        <f>+AE70+AG70</f>
        <v>4338</v>
      </c>
      <c r="AJ70" s="782">
        <f>+AF70+AH70</f>
        <v>4015.8999999994567</v>
      </c>
      <c r="AK70" s="1134">
        <v>580</v>
      </c>
      <c r="AL70" s="1134">
        <v>575.36666666666667</v>
      </c>
      <c r="AM70" s="781">
        <f>+AC70+AG70+AK70</f>
        <v>1720</v>
      </c>
      <c r="AN70" s="781">
        <f>+AD70+AH70+AL70</f>
        <v>1133.1333333333332</v>
      </c>
      <c r="AO70" s="782">
        <f t="shared" ref="AO70:AP70" si="85">AI70+AK70</f>
        <v>4918</v>
      </c>
      <c r="AP70" s="782">
        <f t="shared" si="85"/>
        <v>4591.2666666661235</v>
      </c>
      <c r="AQ70" s="1134">
        <v>580</v>
      </c>
      <c r="AR70" s="1134">
        <v>556.86666666666667</v>
      </c>
      <c r="AS70" s="590">
        <f>+AO70+AQ70</f>
        <v>5498</v>
      </c>
      <c r="AT70" s="782">
        <f>+AP70+AR70</f>
        <v>5148.1333333327902</v>
      </c>
      <c r="AU70" s="1134">
        <v>520</v>
      </c>
      <c r="AV70" s="1134">
        <v>501.31666666666666</v>
      </c>
      <c r="AW70" s="590">
        <f>+AS70+AU70</f>
        <v>6018</v>
      </c>
      <c r="AX70" s="782">
        <f>+AT70+AV70</f>
        <v>5649.4499999994568</v>
      </c>
      <c r="AY70" s="1134">
        <v>580</v>
      </c>
      <c r="AZ70" s="1134">
        <v>583.35</v>
      </c>
      <c r="BA70" s="781">
        <f>+AQ70+AU70+AY70</f>
        <v>1680</v>
      </c>
      <c r="BB70" s="781">
        <f>+AR70+AV70+AZ70</f>
        <v>1641.5333333333333</v>
      </c>
      <c r="BC70" s="465">
        <f t="shared" ref="BC70" si="86">+AM70+BA70</f>
        <v>3400</v>
      </c>
      <c r="BD70" s="454">
        <f t="shared" ref="BD70" si="87">+AN70+BB70</f>
        <v>2774.6666666666665</v>
      </c>
      <c r="BE70" s="590">
        <f>+AW70+AY70</f>
        <v>6598</v>
      </c>
      <c r="BF70" s="782">
        <f>+AX70+AZ70</f>
        <v>6232.7999999994572</v>
      </c>
      <c r="BG70" s="26"/>
      <c r="BH70" s="26"/>
      <c r="BI70" s="26"/>
      <c r="BJ70" s="26"/>
      <c r="BK70" s="26"/>
      <c r="BL70" s="26"/>
      <c r="BM70" s="26"/>
      <c r="BN70" s="26"/>
    </row>
    <row r="71" spans="1:66" x14ac:dyDescent="0.25">
      <c r="B71" s="9" t="s">
        <v>511</v>
      </c>
      <c r="C71" s="776"/>
      <c r="D71" s="159" t="s">
        <v>510</v>
      </c>
      <c r="E71" s="191">
        <f t="shared" ref="E71:AD71" si="88">+E70/(E68/24)</f>
        <v>20.5</v>
      </c>
      <c r="F71" s="191">
        <f t="shared" si="88"/>
        <v>21.366378941970773</v>
      </c>
      <c r="G71" s="191">
        <f t="shared" ref="G71:H71" si="89">+G70/(G68/24)</f>
        <v>20.5</v>
      </c>
      <c r="H71" s="191">
        <f t="shared" si="89"/>
        <v>21.430316435016458</v>
      </c>
      <c r="I71" s="266">
        <f t="shared" si="88"/>
        <v>20.5</v>
      </c>
      <c r="J71" s="266">
        <f t="shared" si="88"/>
        <v>21.400347175857924</v>
      </c>
      <c r="K71" s="191">
        <f t="shared" si="88"/>
        <v>20.5</v>
      </c>
      <c r="L71" s="191">
        <f t="shared" si="88"/>
        <v>21.550788344607934</v>
      </c>
      <c r="M71" s="353">
        <f t="shared" si="88"/>
        <v>20.5</v>
      </c>
      <c r="N71" s="353">
        <f t="shared" si="88"/>
        <v>21.450979349934887</v>
      </c>
      <c r="O71" s="191">
        <f t="shared" ref="O71:P71" si="90">+O70/(O68/24)</f>
        <v>20.5</v>
      </c>
      <c r="P71" s="191">
        <f t="shared" si="90"/>
        <v>22.079531021006346</v>
      </c>
      <c r="Q71" s="266">
        <f t="shared" si="88"/>
        <v>20.5</v>
      </c>
      <c r="R71" s="266">
        <f t="shared" si="88"/>
        <v>21.61827058724101</v>
      </c>
      <c r="S71" s="191">
        <f t="shared" si="88"/>
        <v>20.5</v>
      </c>
      <c r="T71" s="191">
        <f t="shared" si="88"/>
        <v>21.262117937635072</v>
      </c>
      <c r="U71" s="266">
        <f t="shared" ref="U71:X71" si="91">+U70/(U68/24)</f>
        <v>20.5</v>
      </c>
      <c r="V71" s="266">
        <f t="shared" si="91"/>
        <v>21.546429739113286</v>
      </c>
      <c r="W71" s="191">
        <f t="shared" si="91"/>
        <v>20.5</v>
      </c>
      <c r="X71" s="191">
        <f t="shared" si="91"/>
        <v>21.300540262400702</v>
      </c>
      <c r="Y71" s="353">
        <f t="shared" si="88"/>
        <v>20.5</v>
      </c>
      <c r="Z71" s="353">
        <f t="shared" si="88"/>
        <v>21.556682788718366</v>
      </c>
      <c r="AA71" s="466">
        <f t="shared" si="88"/>
        <v>20.5</v>
      </c>
      <c r="AB71" s="474">
        <f t="shared" si="88"/>
        <v>21.505154193961442</v>
      </c>
      <c r="AC71" s="191">
        <f t="shared" si="88"/>
        <v>20</v>
      </c>
      <c r="AD71" s="191">
        <f t="shared" si="88"/>
        <v>19.131633911271038</v>
      </c>
      <c r="AE71" s="266">
        <f t="shared" ref="AE71:AH71" si="92">+AE70/(AE68/24)</f>
        <v>20.421621621621622</v>
      </c>
      <c r="AF71" s="266">
        <f t="shared" si="92"/>
        <v>21.15748733864427</v>
      </c>
      <c r="AG71" s="191">
        <f t="shared" si="92"/>
        <v>20</v>
      </c>
      <c r="AH71" s="191">
        <f t="shared" si="92"/>
        <v>17.296251511487306</v>
      </c>
      <c r="AI71" s="266">
        <f t="shared" ref="AI71:AL71" si="93">+AI70/(AI68/24)</f>
        <v>20.366197183098592</v>
      </c>
      <c r="AJ71" s="266">
        <f t="shared" si="93"/>
        <v>21.122496612229252</v>
      </c>
      <c r="AK71" s="191">
        <f t="shared" si="93"/>
        <v>20</v>
      </c>
      <c r="AL71" s="191">
        <f t="shared" si="93"/>
        <v>21.011564211807666</v>
      </c>
      <c r="AM71" s="353">
        <f t="shared" ref="AM71:AT71" si="94">+AM70/(AM68/24)</f>
        <v>20</v>
      </c>
      <c r="AN71" s="353">
        <f t="shared" si="94"/>
        <v>19.983735854602454</v>
      </c>
      <c r="AO71" s="266">
        <f t="shared" si="94"/>
        <v>20.322314049586776</v>
      </c>
      <c r="AP71" s="266">
        <f t="shared" si="94"/>
        <v>21.108530671015746</v>
      </c>
      <c r="AQ71" s="191">
        <f t="shared" si="94"/>
        <v>20</v>
      </c>
      <c r="AR71" s="191">
        <f t="shared" si="94"/>
        <v>20.945226590048325</v>
      </c>
      <c r="AS71" s="266">
        <f t="shared" si="94"/>
        <v>20.287822878228781</v>
      </c>
      <c r="AT71" s="266">
        <f t="shared" si="94"/>
        <v>21.090743564647997</v>
      </c>
      <c r="AU71" s="191">
        <f t="shared" ref="AU71:AX71" si="95">+AU70/(AU68/24)</f>
        <v>20</v>
      </c>
      <c r="AV71" s="191">
        <f t="shared" si="95"/>
        <v>20.351150202976999</v>
      </c>
      <c r="AW71" s="266">
        <f t="shared" si="95"/>
        <v>20.262626262626263</v>
      </c>
      <c r="AX71" s="266">
        <f t="shared" si="95"/>
        <v>21.022947633911624</v>
      </c>
      <c r="AY71" s="191">
        <f t="shared" ref="AY71:AZ71" si="96">+AY70/(AY68/24)</f>
        <v>20</v>
      </c>
      <c r="AZ71" s="191">
        <f t="shared" si="96"/>
        <v>21.072245635159543</v>
      </c>
      <c r="BA71" s="353">
        <f t="shared" ref="BA71:BD71" si="97">+BA70/(BA68/24)</f>
        <v>20</v>
      </c>
      <c r="BB71" s="353">
        <f t="shared" si="97"/>
        <v>20.804323144489135</v>
      </c>
      <c r="BC71" s="466">
        <f t="shared" si="97"/>
        <v>20</v>
      </c>
      <c r="BD71" s="474">
        <f t="shared" si="97"/>
        <v>20.461200473183695</v>
      </c>
      <c r="BE71" s="266">
        <f t="shared" ref="BE71:BF71" si="98">+BE70/(BE68/24)</f>
        <v>20.239263803680981</v>
      </c>
      <c r="BF71" s="266">
        <f t="shared" si="98"/>
        <v>21.027551823667189</v>
      </c>
      <c r="BG71" s="26"/>
      <c r="BH71" s="26"/>
      <c r="BI71" s="26"/>
      <c r="BJ71" s="26"/>
      <c r="BK71" s="26"/>
      <c r="BL71" s="26"/>
      <c r="BM71" s="26"/>
      <c r="BN71" s="26"/>
    </row>
    <row r="72" spans="1:66" ht="14.25" customHeight="1" x14ac:dyDescent="0.25">
      <c r="A72">
        <v>0.28799999999999998</v>
      </c>
      <c r="B72" s="9" t="s">
        <v>306</v>
      </c>
      <c r="C72" s="776"/>
      <c r="D72" s="159" t="s">
        <v>1095</v>
      </c>
      <c r="E72" s="264">
        <v>0.24600000000000005</v>
      </c>
      <c r="F72" s="264">
        <v>0.26800000000000002</v>
      </c>
      <c r="G72" s="264">
        <v>0.24600000000000002</v>
      </c>
      <c r="H72" s="264">
        <v>0.26600000000000001</v>
      </c>
      <c r="I72" s="381">
        <f>+((E72*E5)+(G72*G5))/I5</f>
        <v>0.24600000000000005</v>
      </c>
      <c r="J72" s="381">
        <f>+((F72*F5)+(H72*H5))/J5</f>
        <v>0.26693604958890371</v>
      </c>
      <c r="K72" s="264">
        <v>0.24600000000000005</v>
      </c>
      <c r="L72" s="264">
        <v>0.25700000000000001</v>
      </c>
      <c r="M72" s="382">
        <f>+((E72*E5)+(G72*G5)+(K72*K5))/M5</f>
        <v>0.24600000000000005</v>
      </c>
      <c r="N72" s="382">
        <f>+((F72*F5)+(H72*H5)+(L72*L5))/N5</f>
        <v>0.26355923341088833</v>
      </c>
      <c r="O72" s="264">
        <v>0.24599999999999997</v>
      </c>
      <c r="P72" s="264">
        <v>0.23100000000000001</v>
      </c>
      <c r="Q72" s="381">
        <f>+((M72*M5)+(O72*O5))/Q5</f>
        <v>0.24600000000000005</v>
      </c>
      <c r="R72" s="381">
        <f>+((N72*N5)+(P72*P5))/R5</f>
        <v>0.25415376441665116</v>
      </c>
      <c r="S72" s="264">
        <v>0.24599999999999997</v>
      </c>
      <c r="T72" s="264">
        <v>0.25700000000000001</v>
      </c>
      <c r="U72" s="381">
        <f>+((Q72*Q5)+(S72*S5))/U5</f>
        <v>0.24600000000000005</v>
      </c>
      <c r="V72" s="381">
        <f>+((R72*R5)+(T72*T5))/V5</f>
        <v>0.25472149024981955</v>
      </c>
      <c r="W72" s="264">
        <v>0.24600000000000002</v>
      </c>
      <c r="X72" s="264">
        <v>0.25940000000000002</v>
      </c>
      <c r="Y72" s="382">
        <f>+((O72*O5)+(S72*S5)+(W72*W5))/Y5</f>
        <v>0.24600000000000002</v>
      </c>
      <c r="Z72" s="382">
        <f>+((P72*P5)+(T72*T5)+(X72*X5))/Z5</f>
        <v>0.24823792844834899</v>
      </c>
      <c r="AA72" s="663">
        <f>+((M72*M5)+(Y72*Y5))/AA5</f>
        <v>0.24600000000000002</v>
      </c>
      <c r="AB72" s="663">
        <f>+((N72*N5)+(Z72*Z5))/AB5</f>
        <v>0.25550303629548604</v>
      </c>
      <c r="AC72" s="264">
        <v>0.24600000000000005</v>
      </c>
      <c r="AD72" s="264">
        <v>0.317</v>
      </c>
      <c r="AE72" s="381">
        <f>+((AA72*AA5)+(AC72*AC5))/AE5</f>
        <v>0.24600000000000005</v>
      </c>
      <c r="AF72" s="381">
        <f>+((AB72*AB5)+(AD72*AD5))/AF5</f>
        <v>0.2633559709271584</v>
      </c>
      <c r="AG72" s="264">
        <v>0.24600000000000002</v>
      </c>
      <c r="AH72" s="264">
        <v>0.57799999999999996</v>
      </c>
      <c r="AI72" s="381">
        <f>+((AE72*AE5)+(AG72*AG5))/AI5</f>
        <v>0.24600000000000005</v>
      </c>
      <c r="AJ72" s="381">
        <f>+((AF72*AF5)+(AH72*AH5))/AJ5</f>
        <v>0.26527720992719989</v>
      </c>
      <c r="AK72" s="264">
        <v>0.24600000000000005</v>
      </c>
      <c r="AL72" s="264">
        <v>0.27400000000000002</v>
      </c>
      <c r="AM72" s="382">
        <f>+((AC72*AC5)+(AG72*AG5)+(AK72*AK5))/AM5</f>
        <v>0.24600000000000002</v>
      </c>
      <c r="AN72" s="382">
        <f>+((AD72*AD5)+(AH72*AH5)+(AL72*AL5))/AN5</f>
        <v>0.30137211086185695</v>
      </c>
      <c r="AO72" s="381">
        <f>+((AK72*AK5)+(AI72*AI5))/AO5</f>
        <v>0.24600000000000005</v>
      </c>
      <c r="AP72" s="381">
        <f>+((AL72*AL5)+(AJ72*AJ5))/AP5</f>
        <v>0.26630910609335906</v>
      </c>
      <c r="AQ72" s="264">
        <v>0.24600000000000005</v>
      </c>
      <c r="AR72" s="264">
        <v>0.254</v>
      </c>
      <c r="AS72" s="381">
        <f>+((AO72*AO5)+(AQ72*AQ5))/AS5</f>
        <v>0.24600000000000002</v>
      </c>
      <c r="AT72" s="381">
        <f>+((AP72*AP5)+(AR72*AR5))/AT5</f>
        <v>0.26501421145771853</v>
      </c>
      <c r="AU72" s="264">
        <v>0.24600000000000002</v>
      </c>
      <c r="AV72" s="264">
        <v>0.28799999999999998</v>
      </c>
      <c r="AW72" s="381">
        <f>+((AS72*AS5)+(AU72*AU5))/AW5</f>
        <v>0.24600000000000005</v>
      </c>
      <c r="AX72" s="381">
        <f>+((AT72*AT5)+(AV72*AV5))/AX5</f>
        <v>0.26708507988227859</v>
      </c>
      <c r="AY72" s="264">
        <v>0.246</v>
      </c>
      <c r="AZ72" s="264">
        <v>0.254</v>
      </c>
      <c r="BA72" s="382">
        <f>+((AQ72*AQ5)+(AU72*AU5)+(AY72*AY5))/BA5</f>
        <v>0.24600000000000002</v>
      </c>
      <c r="BB72" s="382">
        <f>+((AR72*AR5)+(AV72*AV5)+(AZ72*AZ5))/BB5</f>
        <v>0.26448664265417254</v>
      </c>
      <c r="BC72" s="663">
        <f>+((AM72*AM5)+(BA72*BA5))/BC5</f>
        <v>0.24600000000000005</v>
      </c>
      <c r="BD72" s="663">
        <f>+((AN72*AN5)+(BB72*BB5))/BD5</f>
        <v>0.27910705721726964</v>
      </c>
      <c r="BE72" s="381">
        <f>+((AW72*AW5)+(AY72*AY5))/BE5</f>
        <v>0.24600000000000002</v>
      </c>
      <c r="BF72" s="381">
        <f>+((AX72*AX5)+(AZ72*AZ5))/BF5</f>
        <v>0.26582790583506927</v>
      </c>
      <c r="BG72" s="26"/>
      <c r="BH72" s="26"/>
      <c r="BI72" s="26"/>
      <c r="BJ72" s="26"/>
      <c r="BK72" s="26"/>
      <c r="BL72" s="26"/>
      <c r="BM72" s="26"/>
      <c r="BN72" s="26"/>
    </row>
    <row r="73" spans="1:66" x14ac:dyDescent="0.25">
      <c r="B73" s="9" t="s">
        <v>307</v>
      </c>
      <c r="C73" s="776"/>
      <c r="D73" s="159" t="s">
        <v>213</v>
      </c>
      <c r="E73" s="1134">
        <f>+'POWER DISTRIBUTION'!I27</f>
        <v>6233283.9851005385</v>
      </c>
      <c r="F73" s="1134">
        <f>+'POWER DISTRIBUTION'!J27</f>
        <v>5507826.6666666735</v>
      </c>
      <c r="G73" s="1134">
        <f>+'POWER DISTRIBUTION'!K27</f>
        <v>6479334.6687229276</v>
      </c>
      <c r="H73" s="1134">
        <f>+'POWER DISTRIBUTION'!L27</f>
        <v>6109584.9999999991</v>
      </c>
      <c r="I73" s="782">
        <f>+E73+G73</f>
        <v>12712618.653823465</v>
      </c>
      <c r="J73" s="782">
        <f>+F73+H73</f>
        <v>11617411.666666672</v>
      </c>
      <c r="K73" s="1134">
        <f>+'POWER DISTRIBUTION'!O27</f>
        <v>6233283.9851005385</v>
      </c>
      <c r="L73" s="1134">
        <f>+'POWER DISTRIBUTION'!P27</f>
        <v>6101723.3333333191</v>
      </c>
      <c r="M73" s="946">
        <f>+E73+G73+K73</f>
        <v>18945902.638924003</v>
      </c>
      <c r="N73" s="781">
        <f>+F73+H73+L73</f>
        <v>17719134.999999993</v>
      </c>
      <c r="O73" s="1134">
        <f>+'POWER DISTRIBUTION'!S27</f>
        <v>6479334.6687229276</v>
      </c>
      <c r="P73" s="1134">
        <f>+'POWER DISTRIBUTION'!T27</f>
        <v>6624798.3333333451</v>
      </c>
      <c r="Q73" s="782">
        <f>+M73+O73</f>
        <v>25425237.30764693</v>
      </c>
      <c r="R73" s="782">
        <f>+N73+P73</f>
        <v>24343933.333333336</v>
      </c>
      <c r="S73" s="1134">
        <f>+'POWER DISTRIBUTION'!W27</f>
        <v>6479334.6687229276</v>
      </c>
      <c r="T73" s="1134">
        <f>+'POWER DISTRIBUTION'!X27</f>
        <v>6379560.0000000093</v>
      </c>
      <c r="U73" s="782">
        <f>+Q73+S73</f>
        <v>31904571.976369858</v>
      </c>
      <c r="V73" s="782">
        <f>+R73+T73</f>
        <v>30723493.333333343</v>
      </c>
      <c r="W73" s="1134">
        <f>+'POWER DISTRIBUTION'!AA27</f>
        <v>4068602.4906878364</v>
      </c>
      <c r="X73" s="1134">
        <f>+'POWER DISTRIBUTION'!AB27</f>
        <v>6181474.9999999786</v>
      </c>
      <c r="Y73" s="781">
        <f>+O73+S73+W73</f>
        <v>17027271.828133691</v>
      </c>
      <c r="Z73" s="781">
        <f>+P73+T73+X73</f>
        <v>19185833.333333332</v>
      </c>
      <c r="AA73" s="465">
        <f>+M73+Y73</f>
        <v>35973174.46705769</v>
      </c>
      <c r="AB73" s="454">
        <f>+N73+Z73</f>
        <v>36904968.333333328</v>
      </c>
      <c r="AC73" s="1134">
        <f>+'POWER DISTRIBUTION'!AG27</f>
        <v>6325388.6010362692</v>
      </c>
      <c r="AD73" s="1134">
        <f>+'POWER DISTRIBUTION'!AH27</f>
        <v>5771476.6666666688</v>
      </c>
      <c r="AE73" s="782">
        <f>+AA73+AC73</f>
        <v>42298563.068093956</v>
      </c>
      <c r="AF73" s="782">
        <f>+AB73+AD73</f>
        <v>42676445</v>
      </c>
      <c r="AG73" s="1134">
        <f>+'POWER DISTRIBUTION'!AK27</f>
        <v>6127720.2072538845</v>
      </c>
      <c r="AH73" s="1134">
        <f>+'POWER DISTRIBUTION'!AL27</f>
        <v>1297988.3333333321</v>
      </c>
      <c r="AI73" s="782">
        <f>+AE73+AG73</f>
        <v>48426283.275347844</v>
      </c>
      <c r="AJ73" s="782">
        <f>+AF73+AH73</f>
        <v>43974433.333333328</v>
      </c>
      <c r="AK73" s="1134">
        <f>+'POWER DISTRIBUTION'!AO27</f>
        <v>6325388.6010362692</v>
      </c>
      <c r="AL73" s="1134">
        <f>+'POWER DISTRIBUTION'!AP27</f>
        <v>5964551.6666666651</v>
      </c>
      <c r="AM73" s="781">
        <f>+AC73+AG73+AK73</f>
        <v>18778497.409326423</v>
      </c>
      <c r="AN73" s="781">
        <f>+AD73+AH73+AL73</f>
        <v>13034016.666666666</v>
      </c>
      <c r="AO73" s="782">
        <f t="shared" ref="AO73:AP73" si="99">AI73+AK73</f>
        <v>54751671.876384109</v>
      </c>
      <c r="AP73" s="782">
        <f t="shared" si="99"/>
        <v>49938984.999999993</v>
      </c>
      <c r="AQ73" s="1134">
        <f>+'POWER DISTRIBUTION'!AU27</f>
        <v>6325388.6010362692</v>
      </c>
      <c r="AR73" s="1134">
        <f>+'POWER DISTRIBUTION'!AV27</f>
        <v>5982429.999999987</v>
      </c>
      <c r="AS73" s="782">
        <f>+AO73+AQ73</f>
        <v>61077060.477420375</v>
      </c>
      <c r="AT73" s="782">
        <f>+AP73+AR73</f>
        <v>55921414.999999978</v>
      </c>
      <c r="AU73" s="1134">
        <f>+'POWER DISTRIBUTION'!AY27</f>
        <v>5732383.4196891198</v>
      </c>
      <c r="AV73" s="1134">
        <f>+'POWER DISTRIBUTION'!AZ27</f>
        <v>5421545.0000000056</v>
      </c>
      <c r="AW73" s="782">
        <f>+AS73+AU73</f>
        <v>66809443.897109494</v>
      </c>
      <c r="AX73" s="782">
        <f>+AT73+AV73</f>
        <v>61342959.999999985</v>
      </c>
      <c r="AY73" s="1134">
        <f>+'POWER DISTRIBUTION'!BC27</f>
        <v>6325388.6010362692</v>
      </c>
      <c r="AZ73" s="1134">
        <f>+'POWER DISTRIBUTION'!BD27</f>
        <v>6017245.0000000037</v>
      </c>
      <c r="BA73" s="781">
        <f>+AQ73+AU73+AY73</f>
        <v>18383160.621761657</v>
      </c>
      <c r="BB73" s="781">
        <f>+AR73+AV73+AZ73</f>
        <v>17421219.999999996</v>
      </c>
      <c r="BC73" s="465">
        <f t="shared" ref="BC73" si="100">+AM73+BA73</f>
        <v>37161658.031088084</v>
      </c>
      <c r="BD73" s="454">
        <f t="shared" ref="BD73" si="101">+AN73+BB73</f>
        <v>30455236.666666664</v>
      </c>
      <c r="BE73" s="782">
        <f>+AW73+AY73</f>
        <v>73134832.498145759</v>
      </c>
      <c r="BF73" s="782">
        <f>+AX73+AZ73</f>
        <v>67360204.999999985</v>
      </c>
      <c r="BG73" s="26"/>
      <c r="BH73" s="26"/>
      <c r="BI73" s="26"/>
      <c r="BJ73" s="26"/>
      <c r="BK73" s="26"/>
      <c r="BL73" s="26"/>
      <c r="BM73" s="26"/>
      <c r="BN73" s="26"/>
    </row>
    <row r="74" spans="1:66" x14ac:dyDescent="0.25">
      <c r="B74" s="9" t="s">
        <v>308</v>
      </c>
      <c r="C74" s="776"/>
      <c r="D74" s="2942" t="s">
        <v>2245</v>
      </c>
      <c r="E74" s="191">
        <f>+E73/E56</f>
        <v>82.016894540796557</v>
      </c>
      <c r="F74" s="191">
        <f t="shared" ref="F74:BF74" si="102">+F73/F56</f>
        <v>82.334841233483957</v>
      </c>
      <c r="G74" s="191">
        <f t="shared" si="102"/>
        <v>82.016894540796557</v>
      </c>
      <c r="H74" s="191">
        <f t="shared" si="102"/>
        <v>80.20392609789198</v>
      </c>
      <c r="I74" s="266">
        <f t="shared" si="102"/>
        <v>82.016894540796542</v>
      </c>
      <c r="J74" s="266">
        <f t="shared" si="102"/>
        <v>81.200273700764171</v>
      </c>
      <c r="K74" s="191">
        <f t="shared" ref="K74:L74" si="103">+K73/K56</f>
        <v>82.016894540796557</v>
      </c>
      <c r="L74" s="191">
        <f t="shared" si="103"/>
        <v>82.854300289484684</v>
      </c>
      <c r="M74" s="191">
        <f t="shared" si="102"/>
        <v>82.016894540796542</v>
      </c>
      <c r="N74" s="191">
        <f t="shared" si="102"/>
        <v>81.762344161474019</v>
      </c>
      <c r="O74" s="191">
        <f t="shared" si="102"/>
        <v>82.016894540796557</v>
      </c>
      <c r="P74" s="191">
        <f t="shared" si="102"/>
        <v>75.233504462116727</v>
      </c>
      <c r="Q74" s="266">
        <f t="shared" si="102"/>
        <v>82.016894540796542</v>
      </c>
      <c r="R74" s="266">
        <f t="shared" si="102"/>
        <v>79.875991505485672</v>
      </c>
      <c r="S74" s="191">
        <f t="shared" ref="S74:T74" si="104">+S73/S56</f>
        <v>82.016894540796557</v>
      </c>
      <c r="T74" s="102">
        <f t="shared" si="104"/>
        <v>84.103483686589115</v>
      </c>
      <c r="U74" s="266">
        <f t="shared" si="102"/>
        <v>82.016894540796557</v>
      </c>
      <c r="V74" s="266">
        <f t="shared" si="102"/>
        <v>80.718475993366908</v>
      </c>
      <c r="W74" s="191">
        <f t="shared" si="102"/>
        <v>85.654789277638656</v>
      </c>
      <c r="X74" s="102">
        <f t="shared" si="102"/>
        <v>80.995193400964439</v>
      </c>
      <c r="Y74" s="353">
        <f t="shared" si="102"/>
        <v>82.857770453205305</v>
      </c>
      <c r="Z74" s="353">
        <f t="shared" si="102"/>
        <v>79.864694783312842</v>
      </c>
      <c r="AA74" s="466">
        <f t="shared" si="102"/>
        <v>82.412770829456335</v>
      </c>
      <c r="AB74" s="474">
        <f t="shared" si="102"/>
        <v>80.764693452168999</v>
      </c>
      <c r="AC74" s="191">
        <f t="shared" si="102"/>
        <v>79.067357512953365</v>
      </c>
      <c r="AD74" s="191">
        <f t="shared" si="102"/>
        <v>86.466919758653731</v>
      </c>
      <c r="AE74" s="191">
        <f t="shared" si="102"/>
        <v>81.894604197664961</v>
      </c>
      <c r="AF74" s="191">
        <f t="shared" si="102"/>
        <v>82.204120356703072</v>
      </c>
      <c r="AG74" s="191">
        <f t="shared" si="102"/>
        <v>79.06735751295335</v>
      </c>
      <c r="AH74" s="191">
        <f t="shared" si="102"/>
        <v>409.4962120734109</v>
      </c>
      <c r="AI74" s="191">
        <f t="shared" si="102"/>
        <v>81.52572941977752</v>
      </c>
      <c r="AJ74" s="191">
        <f t="shared" si="102"/>
        <v>84.190298551420554</v>
      </c>
      <c r="AK74" s="191">
        <f t="shared" si="102"/>
        <v>79.067357512953365</v>
      </c>
      <c r="AL74" s="191">
        <f t="shared" si="102"/>
        <v>84.44709705501225</v>
      </c>
      <c r="AM74" s="191">
        <f t="shared" si="102"/>
        <v>79.067357512953365</v>
      </c>
      <c r="AN74" s="191">
        <f t="shared" si="102"/>
        <v>92.737020492028236</v>
      </c>
      <c r="AO74" s="191">
        <f t="shared" si="102"/>
        <v>81.233934534694527</v>
      </c>
      <c r="AP74" s="191">
        <f t="shared" si="102"/>
        <v>84.220887579036827</v>
      </c>
      <c r="AQ74" s="191">
        <f t="shared" si="102"/>
        <v>79.067357512953365</v>
      </c>
      <c r="AR74" s="191">
        <f t="shared" si="102"/>
        <v>85.359494665878458</v>
      </c>
      <c r="AS74" s="191">
        <f t="shared" si="102"/>
        <v>81.004058988621182</v>
      </c>
      <c r="AT74" s="191">
        <f t="shared" si="102"/>
        <v>84.341241851583845</v>
      </c>
      <c r="AU74" s="191">
        <f t="shared" si="102"/>
        <v>79.067357512953379</v>
      </c>
      <c r="AV74" s="191">
        <f t="shared" si="102"/>
        <v>82.157069252917125</v>
      </c>
      <c r="AW74" s="191">
        <f t="shared" si="102"/>
        <v>80.834172894264356</v>
      </c>
      <c r="AX74" s="191">
        <f t="shared" si="102"/>
        <v>84.143535278063908</v>
      </c>
      <c r="AY74" s="191">
        <f t="shared" si="102"/>
        <v>79.067357512953365</v>
      </c>
      <c r="AZ74" s="191">
        <f t="shared" si="102"/>
        <v>77.133674509146871</v>
      </c>
      <c r="BA74" s="191">
        <f t="shared" si="102"/>
        <v>79.067357512953365</v>
      </c>
      <c r="BB74" s="191">
        <f t="shared" si="102"/>
        <v>81.374972572318782</v>
      </c>
      <c r="BC74" s="191">
        <f t="shared" si="102"/>
        <v>79.067357512953365</v>
      </c>
      <c r="BD74" s="191">
        <f t="shared" si="102"/>
        <v>85.877968275497196</v>
      </c>
      <c r="BE74" s="191">
        <f t="shared" si="102"/>
        <v>80.678248756917554</v>
      </c>
      <c r="BF74" s="191">
        <f t="shared" si="102"/>
        <v>83.465942192093024</v>
      </c>
      <c r="BG74" s="26"/>
      <c r="BH74" s="26"/>
      <c r="BI74" s="26"/>
      <c r="BJ74" s="26"/>
      <c r="BK74" s="26"/>
      <c r="BL74" s="26"/>
      <c r="BM74" s="26"/>
      <c r="BN74" s="26"/>
    </row>
    <row r="75" spans="1:66" ht="15" customHeight="1" x14ac:dyDescent="0.25">
      <c r="B75" s="9" t="s">
        <v>309</v>
      </c>
      <c r="C75" s="776"/>
      <c r="D75" s="159" t="s">
        <v>301</v>
      </c>
      <c r="E75" s="1136">
        <f>+EMD!D37/(EMD!D3*24)</f>
        <v>1.9385416864260954</v>
      </c>
      <c r="F75" s="1344">
        <f>+EMD!E37/(EMD!E3*24)</f>
        <v>2.2591295740298878</v>
      </c>
      <c r="G75" s="1136">
        <f>+EMD!F37/(EMD!F3*24)</f>
        <v>2.9281689541658613</v>
      </c>
      <c r="H75" s="1344">
        <f>+EMD!G37/(EMD!G3*24)</f>
        <v>2.0312948524864605</v>
      </c>
      <c r="I75" s="375">
        <f t="shared" ref="I75:J78" si="105">+((E75*E$2)+(G75*G$2))/I$2</f>
        <v>2.4414670192118781</v>
      </c>
      <c r="J75" s="375">
        <f t="shared" si="105"/>
        <v>2.1433447155406049</v>
      </c>
      <c r="K75" s="1136">
        <f>+EMD!J37/(EMD!J3*24)</f>
        <v>2.938102243489551</v>
      </c>
      <c r="L75" s="1344">
        <f>+EMD!K37/(EMD!K3*24)</f>
        <v>1.900419937576324</v>
      </c>
      <c r="M75" s="377">
        <f t="shared" ref="M75:N78" si="106">+((E75*E$2)+(G75*G$2)+(K75*K$2))/M$2</f>
        <v>2.6051929173253967</v>
      </c>
      <c r="N75" s="377">
        <f t="shared" si="106"/>
        <v>2.0632596239040288</v>
      </c>
      <c r="O75" s="1136">
        <f>+EMD!N37/(EMD!N3*24)</f>
        <v>2.930417395269731</v>
      </c>
      <c r="P75" s="1344">
        <f>+EMD!O37/(EMD!O3*24)</f>
        <v>1.7820872997481387</v>
      </c>
      <c r="Q75" s="375">
        <f t="shared" ref="Q75:R78" si="107">+((M75*M$2)+(O75*O$2))/Q$2</f>
        <v>2.6878319240161703</v>
      </c>
      <c r="R75" s="375">
        <f t="shared" si="107"/>
        <v>1.9918141972742534</v>
      </c>
      <c r="S75" s="1136">
        <f>+EMD!R37/(EMD!R3*24)</f>
        <v>2.930417395269731</v>
      </c>
      <c r="T75" s="1344">
        <f>+EMD!S37/(EMD!S3*24)</f>
        <v>2.0287058667729823</v>
      </c>
      <c r="U75" s="375">
        <f t="shared" ref="U75:V78" si="108">+((Q75*Q$2)+(S75*S$2))/U$2</f>
        <v>2.7369832286492453</v>
      </c>
      <c r="V75" s="375">
        <f t="shared" si="108"/>
        <v>1.9992889799831461</v>
      </c>
      <c r="W75" s="1136">
        <f>+EMD!V37/(EMD!V3*24)</f>
        <v>2.3487837211019547</v>
      </c>
      <c r="X75" s="1344">
        <f>+EMD!W37/(EMD!W3*24)</f>
        <v>1.6394861111111112</v>
      </c>
      <c r="Y75" s="377">
        <f t="shared" ref="Y75:Z78" si="109">+((O75*O$2)+(S75*S$2)+(W75*W$2))/Y$2</f>
        <v>2.740754240649804</v>
      </c>
      <c r="Z75" s="377">
        <f t="shared" si="109"/>
        <v>1.8186866466900879</v>
      </c>
      <c r="AA75" s="493">
        <f t="shared" ref="AA75:AB78" si="110">+((M75*M$2)+(Y75*Y$2))/AA$2</f>
        <v>2.673343965116902</v>
      </c>
      <c r="AB75" s="493">
        <f t="shared" si="110"/>
        <v>1.9403049031188782</v>
      </c>
      <c r="AC75" s="1136">
        <f>+EMD!AB37/(EMD!AB3*24)</f>
        <v>2.5597580745697002</v>
      </c>
      <c r="AD75" s="1344">
        <f>+EMD!AC37/(EMD!AC3*24)</f>
        <v>2.5658897851131868</v>
      </c>
      <c r="AE75" s="375">
        <f t="shared" ref="AE75:AF78" si="111">+((AA75*AA$2)+(AC75*AC$2))/AE$2</f>
        <v>2.6568899342432415</v>
      </c>
      <c r="AF75" s="375">
        <f t="shared" si="111"/>
        <v>2.0309270121928202</v>
      </c>
      <c r="AG75" s="1136">
        <f>+EMD!AF37/(EMD!AF3*24)</f>
        <v>2.5659332613524386</v>
      </c>
      <c r="AH75" s="1344">
        <f>+EMD!AG37/(EMD!AG3*24)</f>
        <v>0.47004464823727815</v>
      </c>
      <c r="AI75" s="375">
        <f t="shared" ref="AI75:AJ78" si="112">+((AE75*AE$2)+(AG75*AG$2))/AI$2</f>
        <v>2.6457067367566673</v>
      </c>
      <c r="AJ75" s="375">
        <f t="shared" si="112"/>
        <v>1.8390152461327125</v>
      </c>
      <c r="AK75" s="1136">
        <f>+EMD!AJ37/(EMD!AJ3*24)</f>
        <v>2.5597580745697002</v>
      </c>
      <c r="AL75" s="1344">
        <f>+EMD!AK37/(EMD!AK3*24)</f>
        <v>2.3853387398182062</v>
      </c>
      <c r="AM75" s="377">
        <f t="shared" ref="AM75:AN78" si="113">+((AC75*AC$2)+(AG75*AG$2)+(AK75*AK$2))/AM$2</f>
        <v>2.5617717224336367</v>
      </c>
      <c r="AN75" s="377">
        <f t="shared" si="113"/>
        <v>1.8216241708694734</v>
      </c>
      <c r="AO75" s="375">
        <f t="shared" ref="AO75:AP78" si="114">+((AK75*AK$2)+(AI75*AI$2))/AO$2</f>
        <v>2.6360179784737729</v>
      </c>
      <c r="AP75" s="375">
        <f t="shared" si="114"/>
        <v>1.9006008036027136</v>
      </c>
      <c r="AQ75" s="1136">
        <f>+EMD!AP37/(EMD!AP3*24)</f>
        <v>2.5597580745697002</v>
      </c>
      <c r="AR75" s="1344">
        <f>+EMD!AQ37/(EMD!AQ3*24)</f>
        <v>1.5668951612903226</v>
      </c>
      <c r="AS75" s="375">
        <f t="shared" ref="AS75:AT78" si="115">+((AO75*AO$2)+(AQ75*AQ$2))/AS$2</f>
        <v>2.6282923019344717</v>
      </c>
      <c r="AT75" s="375">
        <f t="shared" si="115"/>
        <v>1.8667940228455759</v>
      </c>
      <c r="AU75" s="1136">
        <f>+EMD!AT37/(EMD!AT3*24)</f>
        <v>2.5882624785347073</v>
      </c>
      <c r="AV75" s="1344">
        <f>+EMD!AU37/(EMD!AU3*24)</f>
        <v>2.0877565975569401</v>
      </c>
      <c r="AW75" s="375">
        <f t="shared" ref="AW75:AW78" si="116">+((AS75*AS$2)+(AU75*AU$2))/AW$2</f>
        <v>2.6249365083560483</v>
      </c>
      <c r="AX75" s="375">
        <f t="shared" ref="AX75:AX78" si="117">+((AT75*AT$2)+(AV75*AV$2))/AX$2</f>
        <v>1.8853178315040136</v>
      </c>
      <c r="AY75" s="1136">
        <f>+EMD!AX37/(EMD!AX3*24)</f>
        <v>2.4712765557654475</v>
      </c>
      <c r="AZ75" s="1344">
        <f>+EMD!AY37/(EMD!AY3*24)</f>
        <v>2.2807241016418409</v>
      </c>
      <c r="BA75" s="377">
        <f>+((AQ75*AQ$2)+(AU75*AU$2)+(AY75*AY$2))/BA$2</f>
        <v>2.5381491437706818</v>
      </c>
      <c r="BB75" s="377">
        <f t="shared" ref="BB75:BB78" si="118">+((AR75*AR$2)+(AV75*AV$2)+(AZ75*AZ$2))/BB$2</f>
        <v>1.9748153542499045</v>
      </c>
      <c r="BC75" s="493">
        <f t="shared" ref="BC75:BD78" si="119">+((AM75*AM$2)+(BA75*BA$2))/BC$2</f>
        <v>2.5500902274904171</v>
      </c>
      <c r="BD75" s="493">
        <f t="shared" si="119"/>
        <v>1.8973780527608954</v>
      </c>
      <c r="BE75" s="375">
        <f t="shared" ref="BE75:BE78" si="120">+((AW75*AW$2)+(AY75*AY$2))/BE$2</f>
        <v>2.6118859370401344</v>
      </c>
      <c r="BF75" s="375">
        <f t="shared" ref="BF75:BF78" si="121">+((AX75*AX$2)+(AZ75*AZ$2))/BF$2</f>
        <v>1.9189002818444867</v>
      </c>
      <c r="BG75" s="26"/>
      <c r="BH75" s="26"/>
      <c r="BI75" s="26"/>
      <c r="BJ75" s="26"/>
      <c r="BK75" s="26"/>
      <c r="BL75" s="26"/>
      <c r="BM75" s="26"/>
      <c r="BN75" s="26"/>
    </row>
    <row r="76" spans="1:66" x14ac:dyDescent="0.25">
      <c r="B76" s="9" t="s">
        <v>310</v>
      </c>
      <c r="C76" s="776"/>
      <c r="D76" s="159" t="s">
        <v>301</v>
      </c>
      <c r="E76" s="1136">
        <f>+EMD!D67/(EMD!D3*24)</f>
        <v>3.854923454411836</v>
      </c>
      <c r="F76" s="1344">
        <f>+EMD!E67/(EMD!E3*24)</f>
        <v>3.910312555159221</v>
      </c>
      <c r="G76" s="1136">
        <f>+EMD!F67/(EMD!F3*24)</f>
        <v>5.3404562095916654</v>
      </c>
      <c r="H76" s="1344">
        <f>+EMD!G67/(EMD!G3*24)</f>
        <v>3.8820114523643721</v>
      </c>
      <c r="I76" s="375">
        <f t="shared" si="105"/>
        <v>4.609866329995028</v>
      </c>
      <c r="J76" s="375">
        <f t="shared" si="105"/>
        <v>3.89593002750938</v>
      </c>
      <c r="K76" s="1136">
        <f>+EMD!J67/(EMD!J3*24)</f>
        <v>5.2871972480334684</v>
      </c>
      <c r="L76" s="1344">
        <f>+EMD!K67/(EMD!K3*24)</f>
        <v>3.7998522613771097</v>
      </c>
      <c r="M76" s="377">
        <f t="shared" si="106"/>
        <v>4.8331622370406677</v>
      </c>
      <c r="N76" s="377">
        <f t="shared" si="106"/>
        <v>3.8642560386745655</v>
      </c>
      <c r="O76" s="1136">
        <f>+EMD!N67/(EMD!N3*24)</f>
        <v>5.3386634372285346</v>
      </c>
      <c r="P76" s="1344">
        <f>+EMD!O67/(EMD!O3*24)</f>
        <v>4.3762835552303434</v>
      </c>
      <c r="Q76" s="375">
        <f t="shared" si="107"/>
        <v>4.9616092633179125</v>
      </c>
      <c r="R76" s="375">
        <f t="shared" si="107"/>
        <v>3.9943613912420171</v>
      </c>
      <c r="S76" s="1136">
        <f>+EMD!R67/(EMD!R3*24)</f>
        <v>5.3386634372285346</v>
      </c>
      <c r="T76" s="1344">
        <f>+EMD!S67/(EMD!S3*24)</f>
        <v>3.8371216163423538</v>
      </c>
      <c r="U76" s="375">
        <f t="shared" si="108"/>
        <v>5.0380058606462086</v>
      </c>
      <c r="V76" s="375">
        <f t="shared" si="108"/>
        <v>3.9625023518832618</v>
      </c>
      <c r="W76" s="1136">
        <f>+EMD!V67/(EMD!V3*24)</f>
        <v>3.523347867373225</v>
      </c>
      <c r="X76" s="1344">
        <f>+EMD!W67/(EMD!W3*24)</f>
        <v>3.8756666666666666</v>
      </c>
      <c r="Y76" s="377">
        <f t="shared" si="109"/>
        <v>4.7467127079278901</v>
      </c>
      <c r="Z76" s="377">
        <f t="shared" si="109"/>
        <v>4.031364786073409</v>
      </c>
      <c r="AA76" s="493">
        <f t="shared" si="110"/>
        <v>4.7897012715850638</v>
      </c>
      <c r="AB76" s="493">
        <f t="shared" si="110"/>
        <v>3.9482669936510333</v>
      </c>
      <c r="AC76" s="1136">
        <f>+EMD!AB67/(EMD!AB3*24)</f>
        <v>7.3639346164099893</v>
      </c>
      <c r="AD76" s="1344">
        <f>+EMD!AC67/(EMD!AC3*24)</f>
        <v>4.8123354194413981</v>
      </c>
      <c r="AE76" s="375">
        <f t="shared" si="111"/>
        <v>5.162604232751292</v>
      </c>
      <c r="AF76" s="375">
        <f t="shared" si="111"/>
        <v>4.0734357843029088</v>
      </c>
      <c r="AG76" s="1136">
        <f>+EMD!AF67/(EMD!AF3*24)</f>
        <v>7.3697450424837943</v>
      </c>
      <c r="AH76" s="1344">
        <f>+EMD!AG67/(EMD!AG3*24)</f>
        <v>0.14568066163997337</v>
      </c>
      <c r="AI76" s="375">
        <f t="shared" si="112"/>
        <v>5.4339740044397145</v>
      </c>
      <c r="AJ76" s="375">
        <f t="shared" si="112"/>
        <v>3.5905150725000885</v>
      </c>
      <c r="AK76" s="1136">
        <f>+EMD!AJ67/(EMD!AJ3*24)</f>
        <v>7.3639346164099893</v>
      </c>
      <c r="AL76" s="1344">
        <f>+EMD!AK67/(EMD!AK3*24)</f>
        <v>5.4330271836382149</v>
      </c>
      <c r="AM76" s="377">
        <f t="shared" si="113"/>
        <v>7.3658293205644911</v>
      </c>
      <c r="AN76" s="377">
        <f t="shared" si="113"/>
        <v>3.4997463102681219</v>
      </c>
      <c r="AO76" s="375">
        <f t="shared" si="114"/>
        <v>5.6515332006981822</v>
      </c>
      <c r="AP76" s="375">
        <f t="shared" si="114"/>
        <v>3.7982164377556598</v>
      </c>
      <c r="AQ76" s="1136">
        <f>+EMD!AP67/(EMD!AP3*24)</f>
        <v>7.3639346164099893</v>
      </c>
      <c r="AR76" s="1344">
        <f>+EMD!AQ67/(EMD!AQ3*24)</f>
        <v>4.6403091397849456</v>
      </c>
      <c r="AS76" s="375">
        <f t="shared" si="115"/>
        <v>5.8250117754925155</v>
      </c>
      <c r="AT76" s="375">
        <f t="shared" si="115"/>
        <v>3.8835264827324831</v>
      </c>
      <c r="AU76" s="1136">
        <f>+EMD!AT67/(EMD!AT3*24)</f>
        <v>7.3780218216589377</v>
      </c>
      <c r="AV76" s="1344">
        <f>+EMD!AU67/(EMD!AU3*24)</f>
        <v>4.8707748058961888</v>
      </c>
      <c r="AW76" s="375">
        <f t="shared" si="116"/>
        <v>5.9552042344525757</v>
      </c>
      <c r="AX76" s="375">
        <f t="shared" si="117"/>
        <v>3.9662898152132726</v>
      </c>
      <c r="AY76" s="1136">
        <f>+EMD!AX67/(EMD!AX3*24)</f>
        <v>7.4108472194276924</v>
      </c>
      <c r="AZ76" s="1344">
        <f>+EMD!AY67/(EMD!AY3*24)</f>
        <v>4.9440903935913632</v>
      </c>
      <c r="BA76" s="377">
        <f>+((AQ76*AQ$2)+(AU76*AU$2)+(AY76*AY$2))/BA$2</f>
        <v>7.3844760879713149</v>
      </c>
      <c r="BB76" s="377">
        <f t="shared" si="118"/>
        <v>4.8166453344417652</v>
      </c>
      <c r="BC76" s="493">
        <f t="shared" si="119"/>
        <v>7.375050249501931</v>
      </c>
      <c r="BD76" s="493">
        <f t="shared" si="119"/>
        <v>4.1509601134309122</v>
      </c>
      <c r="BE76" s="375">
        <f t="shared" si="120"/>
        <v>6.0788341866011475</v>
      </c>
      <c r="BF76" s="375">
        <f t="shared" si="121"/>
        <v>4.0493358917330555</v>
      </c>
      <c r="BG76" s="26"/>
      <c r="BH76" s="26"/>
      <c r="BI76" s="26"/>
      <c r="BJ76" s="26"/>
      <c r="BK76" s="26"/>
      <c r="BL76" s="26"/>
      <c r="BM76" s="26"/>
      <c r="BN76" s="26"/>
    </row>
    <row r="77" spans="1:66" x14ac:dyDescent="0.25">
      <c r="B77" s="9" t="s">
        <v>2098</v>
      </c>
      <c r="C77" s="776"/>
      <c r="D77" s="159" t="s">
        <v>301</v>
      </c>
      <c r="E77" s="1136">
        <f>+EMD!D89/(EMD!D3*24)</f>
        <v>3.1804199542928133</v>
      </c>
      <c r="F77" s="1344">
        <f>+EMD!E89/(EMD!E3*24)</f>
        <v>2.6662570313164009</v>
      </c>
      <c r="G77" s="1136">
        <f>+EMD!F89/(EMD!F3*24)</f>
        <v>0.90561926417500849</v>
      </c>
      <c r="H77" s="1344">
        <f>+EMD!G89/(EMD!G3*24)</f>
        <v>3.8243487432435179</v>
      </c>
      <c r="I77" s="375">
        <f t="shared" ref="I77" si="122">+((E77*E$2)+(G77*G$2))/I$2</f>
        <v>2.0243737019378631</v>
      </c>
      <c r="J77" s="375">
        <f t="shared" ref="J77" si="123">+((F77*F$2)+(H77*H$2))/J$2</f>
        <v>3.2547954422957557</v>
      </c>
      <c r="K77" s="1136">
        <f>+EMD!J89/(EMD!J3*24)</f>
        <v>0.90869141551223265</v>
      </c>
      <c r="L77" s="1344">
        <f>+EMD!K89/(EMD!K3*24)</f>
        <v>3.4352418209536273</v>
      </c>
      <c r="M77" s="377">
        <f t="shared" ref="M77" si="124">+((E77*E$2)+(G77*G$2)+(K77*K$2))/M$2</f>
        <v>1.6565663547645784</v>
      </c>
      <c r="N77" s="377">
        <f t="shared" ref="N77" si="125">+((F77*F$2)+(H77*H$2)+(L77*L$2))/N$2</f>
        <v>3.3142832594357134</v>
      </c>
      <c r="O77" s="1136">
        <f>+EMD!N89/(EMD!N3*24)</f>
        <v>0.90631465833084468</v>
      </c>
      <c r="P77" s="1344">
        <f>+EMD!O89/(EMD!O3*24)</f>
        <v>3.3405924576568791</v>
      </c>
      <c r="Q77" s="375">
        <f t="shared" ref="Q77" si="126">+((M77*M$2)+(O77*O$2))/Q$2</f>
        <v>1.4659286286215802</v>
      </c>
      <c r="R77" s="375">
        <f t="shared" ref="R77" si="127">+((N77*N$2)+(P77*P$2))/R$2</f>
        <v>3.3209683835738786</v>
      </c>
      <c r="S77" s="1136">
        <f>+EMD!R89/(EMD!R3*24)</f>
        <v>0.90631465833084468</v>
      </c>
      <c r="T77" s="1344">
        <f>+EMD!S89/(EMD!S3*24)</f>
        <v>3.2347257116139616</v>
      </c>
      <c r="U77" s="375">
        <f t="shared" ref="U77" si="128">+((Q77*Q$2)+(S77*S$2))/U$2</f>
        <v>1.3525427915038497</v>
      </c>
      <c r="V77" s="375">
        <f t="shared" ref="V77" si="129">+((R77*R$2)+(T77*T$2))/V$2</f>
        <v>3.3034943781440913</v>
      </c>
      <c r="W77" s="1136">
        <f>+EMD!V89/(EMD!V3*24)</f>
        <v>0</v>
      </c>
      <c r="X77" s="1344">
        <f>+EMD!W89/(EMD!W3*24)</f>
        <v>4.1248611111111115</v>
      </c>
      <c r="Y77" s="377">
        <f t="shared" ref="Y77" si="130">+((O77*O$2)+(S77*S$2)+(W77*W$2))/Y$2</f>
        <v>0.6107772697446997</v>
      </c>
      <c r="Z77" s="377">
        <f t="shared" ref="Z77" si="131">+((P77*P$2)+(T77*T$2)+(X77*X$2))/Z$2</f>
        <v>3.5606597454427109</v>
      </c>
      <c r="AA77" s="493">
        <f t="shared" ref="AA77" si="132">+((M77*M$2)+(Y77*Y$2))/AA$2</f>
        <v>1.1308144650278087</v>
      </c>
      <c r="AB77" s="493">
        <f t="shared" ref="AB77" si="133">+((N77*N$2)+(Z77*Z$2))/AB$2</f>
        <v>3.4381446622370455</v>
      </c>
      <c r="AC77" s="1136">
        <f>+EMD!AB89/(EMD!AB3*24)</f>
        <v>0</v>
      </c>
      <c r="AD77" s="1344">
        <f>+EMD!AC89/(EMD!AC3*24)</f>
        <v>2.966433793679335</v>
      </c>
      <c r="AE77" s="375">
        <f t="shared" ref="AE77" si="134">+((AA77*AA$2)+(AC77*AC$2))/AE$2</f>
        <v>0.96700489299107006</v>
      </c>
      <c r="AF77" s="375">
        <f t="shared" ref="AF77" si="135">+((AB77*AB$2)+(AD77*AD$2))/AF$2</f>
        <v>3.3698127139880314</v>
      </c>
      <c r="AG77" s="1136">
        <f>+EMD!AF89/(EMD!AF3*24)</f>
        <v>0</v>
      </c>
      <c r="AH77" s="1344">
        <f>+EMD!AG89/(EMD!AG3*24)</f>
        <v>7.8999765671547456E-2</v>
      </c>
      <c r="AI77" s="375">
        <f t="shared" ref="AI77" si="136">+((AE77*AE$2)+(AG77*AG$2))/AI$2</f>
        <v>0.84811084877085652</v>
      </c>
      <c r="AJ77" s="375">
        <f t="shared" ref="AJ77" si="137">+((AF77*AF$2)+(AH77*AH$2))/AJ$2</f>
        <v>2.965204564604857</v>
      </c>
      <c r="AK77" s="1136">
        <f>+EMD!AJ89/(EMD!AJ3*24)</f>
        <v>0</v>
      </c>
      <c r="AL77" s="1344">
        <f>+EMD!AK89/(EMD!AK3*24)</f>
        <v>1.4143515764122583</v>
      </c>
      <c r="AM77" s="377">
        <f t="shared" ref="AM77" si="138">+((AC77*AC$2)+(AG77*AG$2)+(AK77*AK$2))/AM$2</f>
        <v>0</v>
      </c>
      <c r="AN77" s="377">
        <f t="shared" ref="AN77" si="139">+((AD77*AD$2)+(AH77*AH$2)+(AL77*AL$2))/AN$2</f>
        <v>1.5018949939454982</v>
      </c>
      <c r="AO77" s="375">
        <f t="shared" ref="AO77" si="140">+((AK77*AK$2)+(AI77*AI$2))/AO$2</f>
        <v>0.75250562581850544</v>
      </c>
      <c r="AP77" s="375">
        <f t="shared" ref="AP77" si="141">+((AL77*AL$2)+(AJ77*AJ$2))/AP$2</f>
        <v>2.7903811368449642</v>
      </c>
      <c r="AQ77" s="1136">
        <f>+EMD!AP89/(EMD!AP3*24)</f>
        <v>0</v>
      </c>
      <c r="AR77" s="1344">
        <f>+EMD!AQ89/(EMD!AQ3*24)</f>
        <v>2.5043010752688173</v>
      </c>
      <c r="AS77" s="375">
        <f t="shared" ref="AS77" si="142">+((AO77*AO$2)+(AQ77*AQ$2))/AS$2</f>
        <v>0.67627139575192485</v>
      </c>
      <c r="AT77" s="375">
        <f t="shared" ref="AT77" si="143">+((AP77*AP$2)+(AR77*AR$2))/AT$2</f>
        <v>2.7613991698225444</v>
      </c>
      <c r="AU77" s="1136">
        <f>+EMD!AT89/(EMD!AT3*24)</f>
        <v>0</v>
      </c>
      <c r="AV77" s="1344">
        <f>+EMD!AU89/(EMD!AU3*24)</f>
        <v>3.4434370712431104</v>
      </c>
      <c r="AW77" s="375">
        <f t="shared" si="116"/>
        <v>0.61957798532960773</v>
      </c>
      <c r="AX77" s="375">
        <f t="shared" si="117"/>
        <v>2.8185759998817534</v>
      </c>
      <c r="AY77" s="1136">
        <f>+EMD!AX89/(EMD!AX3*24)</f>
        <v>0</v>
      </c>
      <c r="AZ77" s="1344">
        <f>+EMD!AY89/(EMD!AY3*24)</f>
        <v>2.4165564408565343</v>
      </c>
      <c r="BA77" s="377">
        <f>+EMD!AZ89/(EMD!AZ3*24)</f>
        <v>0</v>
      </c>
      <c r="BB77" s="377">
        <f>+EMD!BA89/(EMD!BA3*24)</f>
        <v>2.7662535666076997</v>
      </c>
      <c r="BC77" s="493">
        <f>+EMD!BB89/(EMD!BB3*24)</f>
        <v>0</v>
      </c>
      <c r="BD77" s="493">
        <f>+EMD!BC89/(EMD!BC3*24)</f>
        <v>2.127127255152081</v>
      </c>
      <c r="BE77" s="375">
        <f>+EMD!BD89/(EMD!BD3*24)</f>
        <v>0</v>
      </c>
      <c r="BF77" s="375">
        <f>+EMD!BE89/(EMD!BE3*24)</f>
        <v>2.7844318729508442</v>
      </c>
      <c r="BG77" s="26"/>
      <c r="BH77" s="26"/>
      <c r="BI77" s="26"/>
      <c r="BJ77" s="26"/>
      <c r="BK77" s="26"/>
      <c r="BL77" s="26"/>
      <c r="BM77" s="26"/>
      <c r="BN77" s="26"/>
    </row>
    <row r="78" spans="1:66" x14ac:dyDescent="0.25">
      <c r="B78" s="9" t="s">
        <v>311</v>
      </c>
      <c r="C78" s="776"/>
      <c r="D78" s="159" t="s">
        <v>301</v>
      </c>
      <c r="E78" s="1136">
        <f>+EMD!D106/(EMD!D3*24)</f>
        <v>1.1802518358172152</v>
      </c>
      <c r="F78" s="1344">
        <f>+EMD!E106/(EMD!E3*24)</f>
        <v>1.0011636689987986</v>
      </c>
      <c r="G78" s="1136">
        <f>+EMD!F106/(EMD!F3*24)</f>
        <v>1.0402311774777622</v>
      </c>
      <c r="H78" s="1344">
        <f>+EMD!G106/(EMD!G3*24)</f>
        <v>1.1569572507081309</v>
      </c>
      <c r="I78" s="375">
        <f t="shared" si="105"/>
        <v>1.1090937963332308</v>
      </c>
      <c r="J78" s="375">
        <f t="shared" si="105"/>
        <v>1.0803374564248527</v>
      </c>
      <c r="K78" s="1136">
        <f>+EMD!J106/(EMD!J3*24)</f>
        <v>1.0201460239127076</v>
      </c>
      <c r="L78" s="1344">
        <f>+EMD!K106/(EMD!K3*24)</f>
        <v>1.2030890547647561</v>
      </c>
      <c r="M78" s="377">
        <f t="shared" si="106"/>
        <v>1.0797703548759154</v>
      </c>
      <c r="N78" s="377">
        <f t="shared" si="106"/>
        <v>1.1208050163171286</v>
      </c>
      <c r="O78" s="1136">
        <f>+EMD!N106/(EMD!N3*24)</f>
        <v>1.0390801145811881</v>
      </c>
      <c r="P78" s="1344">
        <f>+EMD!O106/(EMD!O3*24)</f>
        <v>1.353272680953324</v>
      </c>
      <c r="Q78" s="375">
        <f t="shared" si="107"/>
        <v>1.0694310315223372</v>
      </c>
      <c r="R78" s="375">
        <f t="shared" si="107"/>
        <v>1.1798746688066535</v>
      </c>
      <c r="S78" s="1136">
        <f>+EMD!R106/(EMD!R3*24)</f>
        <v>1.0390801145811881</v>
      </c>
      <c r="T78" s="1344">
        <f>+EMD!S106/(EMD!S3*24)</f>
        <v>1.1708114928373015</v>
      </c>
      <c r="U78" s="375">
        <f t="shared" si="108"/>
        <v>1.0632814993316468</v>
      </c>
      <c r="V78" s="375">
        <f t="shared" si="108"/>
        <v>1.1780383390350855</v>
      </c>
      <c r="W78" s="1136">
        <f>+EMD!V106/(EMD!V3*24)</f>
        <v>0.47420399336729552</v>
      </c>
      <c r="X78" s="1344">
        <f>+EMD!W106/(EMD!W3*24)</f>
        <v>1.3226972222222222</v>
      </c>
      <c r="Y78" s="377">
        <f t="shared" si="109"/>
        <v>0.85488137940274489</v>
      </c>
      <c r="Z78" s="377">
        <f t="shared" si="109"/>
        <v>1.2818209353714787</v>
      </c>
      <c r="AA78" s="493">
        <f t="shared" si="110"/>
        <v>0.96671141638667135</v>
      </c>
      <c r="AB78" s="493">
        <f t="shared" si="110"/>
        <v>1.2017529100493702</v>
      </c>
      <c r="AC78" s="1136">
        <f>+EMD!AB106/(EMD!AB3*24)</f>
        <v>1.264469687459904</v>
      </c>
      <c r="AD78" s="1344">
        <f>+EMD!AC106/(EMD!AC3*24)</f>
        <v>1.1412438484013216</v>
      </c>
      <c r="AE78" s="375">
        <f t="shared" si="111"/>
        <v>1.0098446238785883</v>
      </c>
      <c r="AF78" s="375">
        <f t="shared" si="111"/>
        <v>1.1929875786891389</v>
      </c>
      <c r="AG78" s="1136">
        <f>+EMD!AF106/(EMD!AF3*24)</f>
        <v>1.2641384104142313</v>
      </c>
      <c r="AH78" s="1344">
        <f>+EMD!AG106/(EMD!AG3*24)</f>
        <v>5.4654185085132805E-2</v>
      </c>
      <c r="AI78" s="375">
        <f t="shared" si="112"/>
        <v>1.0411102533706755</v>
      </c>
      <c r="AJ78" s="375">
        <f t="shared" si="112"/>
        <v>1.0530285548853677</v>
      </c>
      <c r="AK78" s="1136">
        <f>+EMD!AJ106/(EMD!AJ3*24)</f>
        <v>1.264469687459904</v>
      </c>
      <c r="AL78" s="1344">
        <f>+EMD!AK106/(EMD!AK3*24)</f>
        <v>1.2028770779834996</v>
      </c>
      <c r="AM78" s="377">
        <f t="shared" si="113"/>
        <v>1.2643616623363152</v>
      </c>
      <c r="AN78" s="377">
        <f t="shared" si="113"/>
        <v>0.80768885076612451</v>
      </c>
      <c r="AO78" s="375">
        <f t="shared" si="114"/>
        <v>1.0662889532134614</v>
      </c>
      <c r="AP78" s="375">
        <f t="shared" si="114"/>
        <v>1.0699205702164298</v>
      </c>
      <c r="AQ78" s="1136">
        <f>+EMD!AP106/(EMD!AP3*24)</f>
        <v>1.264469687459904</v>
      </c>
      <c r="AR78" s="1344">
        <f>+EMD!AQ106/(EMD!AQ3*24)</f>
        <v>1.2119018817204301</v>
      </c>
      <c r="AS78" s="375">
        <f t="shared" si="115"/>
        <v>1.0863660864214344</v>
      </c>
      <c r="AT78" s="375">
        <f t="shared" si="115"/>
        <v>1.0843042978524562</v>
      </c>
      <c r="AU78" s="1136">
        <f>+EMD!AT106/(EMD!AT3*24)</f>
        <v>1.2593384433523294</v>
      </c>
      <c r="AV78" s="1344">
        <f>+EMD!AU106/(EMD!AU3*24)</f>
        <v>1.2445854914091616</v>
      </c>
      <c r="AW78" s="375">
        <f t="shared" si="116"/>
        <v>1.1008667630503717</v>
      </c>
      <c r="AX78" s="375">
        <f t="shared" si="117"/>
        <v>1.097741044617689</v>
      </c>
      <c r="AY78" s="1136">
        <f>+EMD!AX106/(EMD!AX3*24)</f>
        <v>1.306038603246453</v>
      </c>
      <c r="AZ78" s="1344">
        <f>+EMD!AY106/(EMD!AY3*24)</f>
        <v>1.1505086594640479</v>
      </c>
      <c r="BA78" s="377">
        <f>+((AQ78*AQ$2)+(AU78*AU$2)+(AY78*AY$2))/BA$2</f>
        <v>1.2771914825084698</v>
      </c>
      <c r="BB78" s="377">
        <f t="shared" si="118"/>
        <v>1.2009235615130593</v>
      </c>
      <c r="BC78" s="493">
        <f t="shared" si="119"/>
        <v>1.2707060789049631</v>
      </c>
      <c r="BD78" s="493">
        <f t="shared" si="119"/>
        <v>1.0021455758607627</v>
      </c>
      <c r="BE78" s="375">
        <f t="shared" si="120"/>
        <v>1.1182923166012717</v>
      </c>
      <c r="BF78" s="375">
        <f t="shared" si="121"/>
        <v>1.1022226776594346</v>
      </c>
      <c r="BG78" s="26"/>
      <c r="BH78" s="26"/>
      <c r="BI78" s="26"/>
      <c r="BJ78" s="26"/>
      <c r="BK78" s="26"/>
      <c r="BL78" s="26"/>
      <c r="BM78" s="26"/>
      <c r="BN78" s="26"/>
    </row>
    <row r="79" spans="1:66" ht="15.75" thickBot="1" x14ac:dyDescent="0.3">
      <c r="B79" s="12" t="s">
        <v>312</v>
      </c>
      <c r="C79" s="892"/>
      <c r="D79" s="893" t="s">
        <v>551</v>
      </c>
      <c r="E79" s="191">
        <f>+E56/E70</f>
        <v>137.30803974706413</v>
      </c>
      <c r="F79" s="102">
        <f t="shared" ref="F79:AB79" si="144">+F56/F70</f>
        <v>128.43516367476246</v>
      </c>
      <c r="G79" s="191">
        <f>+G56/G70</f>
        <v>137.63066202090593</v>
      </c>
      <c r="H79" s="102">
        <f t="shared" ref="H79" si="145">+H56/H70</f>
        <v>128.64970585751695</v>
      </c>
      <c r="I79" s="266">
        <f t="shared" si="144"/>
        <v>137.47228381374723</v>
      </c>
      <c r="J79" s="266">
        <f t="shared" si="144"/>
        <v>128.54930366288306</v>
      </c>
      <c r="K79" s="191">
        <f>+K56/K70</f>
        <v>137.30803974706413</v>
      </c>
      <c r="L79" s="102">
        <f t="shared" ref="L79" si="146">+L56/L70</f>
        <v>129.52573430263243</v>
      </c>
      <c r="M79" s="353">
        <f t="shared" ref="M79:N79" si="147">+M56/M70</f>
        <v>137.41820345032718</v>
      </c>
      <c r="N79" s="353">
        <f t="shared" si="147"/>
        <v>128.87945823256561</v>
      </c>
      <c r="O79" s="191">
        <f>+O56/O70</f>
        <v>137.63066202090593</v>
      </c>
      <c r="P79" s="102">
        <f t="shared" ref="P79" si="148">+P56/P70</f>
        <v>140.27690632965184</v>
      </c>
      <c r="Q79" s="266">
        <f t="shared" si="144"/>
        <v>137.47228381374723</v>
      </c>
      <c r="R79" s="266">
        <f t="shared" si="144"/>
        <v>131.97765307889961</v>
      </c>
      <c r="S79" s="191">
        <f>+S56/S70</f>
        <v>137.63066202090593</v>
      </c>
      <c r="T79" s="102">
        <f t="shared" ref="T79" si="149">+T56/T70</f>
        <v>132.17232096184014</v>
      </c>
      <c r="U79" s="266">
        <f t="shared" ref="U79:V79" si="150">+U56/U70</f>
        <v>137.50441852244609</v>
      </c>
      <c r="V79" s="266">
        <f t="shared" si="150"/>
        <v>132.01640210416801</v>
      </c>
      <c r="W79" s="191">
        <f>+W56/W70</f>
        <v>128.72628726287263</v>
      </c>
      <c r="X79" s="102">
        <f t="shared" ref="X79" si="151">+X56/X70</f>
        <v>132.73645138861181</v>
      </c>
      <c r="Y79" s="377">
        <f t="shared" si="144"/>
        <v>135.46473302570863</v>
      </c>
      <c r="Z79" s="377">
        <f t="shared" si="144"/>
        <v>135.21851851856002</v>
      </c>
      <c r="AA79" s="493">
        <f t="shared" si="144"/>
        <v>136.49155722326455</v>
      </c>
      <c r="AB79" s="466">
        <f t="shared" si="144"/>
        <v>132.13612112509804</v>
      </c>
      <c r="AC79" s="191">
        <f>+AC56/AC70</f>
        <v>137.93103448275863</v>
      </c>
      <c r="AD79" s="102">
        <f t="shared" ref="AD79" si="152">+AD56/AD70</f>
        <v>126.42426920891478</v>
      </c>
      <c r="AE79" s="266">
        <f t="shared" ref="AE79:AF79" si="153">+AE56/AE70</f>
        <v>136.71254632080465</v>
      </c>
      <c r="AF79" s="266">
        <f t="shared" si="153"/>
        <v>130.24062115854375</v>
      </c>
      <c r="AG79" s="191">
        <f>+AG56/AG70</f>
        <v>138.39285714285714</v>
      </c>
      <c r="AH79" s="102">
        <f t="shared" ref="AH79:AJ79" si="154">+AH56/AH70</f>
        <v>106.36644295302014</v>
      </c>
      <c r="AI79" s="266">
        <f t="shared" si="154"/>
        <v>136.92946058091286</v>
      </c>
      <c r="AJ79" s="266">
        <f t="shared" si="154"/>
        <v>130.06346273564358</v>
      </c>
      <c r="AK79" s="191">
        <f>+AK56/AK70</f>
        <v>137.93103448275863</v>
      </c>
      <c r="AL79" s="102">
        <f t="shared" ref="AL79" si="155">+AL56/AL70</f>
        <v>122.75759805341532</v>
      </c>
      <c r="AM79" s="377">
        <f t="shared" ref="AM79:AP79" si="156">+AM56/AM70</f>
        <v>138.08139534883722</v>
      </c>
      <c r="AN79" s="377">
        <f t="shared" si="156"/>
        <v>124.03496205212693</v>
      </c>
      <c r="AO79" s="266">
        <f t="shared" si="156"/>
        <v>137.04758031720212</v>
      </c>
      <c r="AP79" s="266">
        <f t="shared" si="156"/>
        <v>129.14790907376408</v>
      </c>
      <c r="AQ79" s="191">
        <f>+AQ56/AQ70</f>
        <v>137.93103448275863</v>
      </c>
      <c r="AR79" s="102">
        <f t="shared" ref="AR79" si="157">+AR56/AR70</f>
        <v>125.85618640009596</v>
      </c>
      <c r="AS79" s="266">
        <f t="shared" ref="AS79:AT79" si="158">+AS56/AS70</f>
        <v>137.14077846489633</v>
      </c>
      <c r="AT79" s="266">
        <f t="shared" si="158"/>
        <v>128.79184785425215</v>
      </c>
      <c r="AU79" s="191">
        <f>+AU56/AU70</f>
        <v>139.42307692307693</v>
      </c>
      <c r="AV79" s="102">
        <f t="shared" ref="AV79:AX79" si="159">+AV56/AV70</f>
        <v>131.63336547092669</v>
      </c>
      <c r="AW79" s="266">
        <f t="shared" si="159"/>
        <v>137.33798604187439</v>
      </c>
      <c r="AX79" s="266">
        <f t="shared" si="159"/>
        <v>129.04399631823819</v>
      </c>
      <c r="AY79" s="191">
        <f>+AY56/AY70</f>
        <v>137.93103448275863</v>
      </c>
      <c r="AZ79" s="102">
        <f t="shared" ref="AZ79" si="160">+AZ56/AZ70</f>
        <v>133.72865346704393</v>
      </c>
      <c r="BA79" s="377">
        <f t="shared" ref="BA79:BF79" si="161">+BA56/BA70</f>
        <v>138.39285714285714</v>
      </c>
      <c r="BB79" s="377">
        <f t="shared" si="161"/>
        <v>130.41814055963948</v>
      </c>
      <c r="BC79" s="493">
        <f t="shared" si="161"/>
        <v>138.23529411764707</v>
      </c>
      <c r="BD79" s="493">
        <f t="shared" si="161"/>
        <v>127.81134370494965</v>
      </c>
      <c r="BE79" s="266">
        <f t="shared" si="161"/>
        <v>137.39011821764171</v>
      </c>
      <c r="BF79" s="266">
        <f t="shared" si="161"/>
        <v>129.48245010269395</v>
      </c>
      <c r="BG79" s="26"/>
      <c r="BH79" s="26"/>
      <c r="BI79" s="26"/>
      <c r="BJ79" s="26"/>
      <c r="BK79" s="26"/>
      <c r="BL79" s="26"/>
      <c r="BM79" s="26"/>
      <c r="BN79" s="26"/>
    </row>
    <row r="80" spans="1:66" x14ac:dyDescent="0.25">
      <c r="B80" s="154"/>
      <c r="C80" s="154"/>
      <c r="D80" s="154"/>
      <c r="E80" s="579"/>
      <c r="F80" s="579"/>
      <c r="G80" s="579"/>
      <c r="H80" s="579"/>
      <c r="I80" s="579"/>
      <c r="J80" s="579"/>
      <c r="K80" s="579"/>
      <c r="L80" s="579"/>
      <c r="M80" s="579"/>
      <c r="N80" s="579"/>
      <c r="O80" s="579"/>
      <c r="P80" s="579"/>
      <c r="Q80" s="579"/>
      <c r="R80" s="579"/>
      <c r="S80" s="579"/>
      <c r="T80" s="579"/>
      <c r="U80" s="579"/>
      <c r="V80" s="579"/>
      <c r="W80" s="579"/>
      <c r="X80" s="579"/>
      <c r="Y80" s="579"/>
      <c r="Z80" s="579"/>
      <c r="AA80" s="579"/>
      <c r="AB80" s="579"/>
      <c r="AC80" s="579"/>
      <c r="AD80" s="579"/>
      <c r="AE80" s="579"/>
      <c r="AF80" s="579"/>
      <c r="AG80" s="579"/>
      <c r="AH80" s="579"/>
      <c r="AI80" s="579"/>
      <c r="AJ80" s="579"/>
      <c r="AK80" s="579"/>
      <c r="AL80" s="579"/>
      <c r="AM80" s="579"/>
      <c r="AN80" s="579"/>
      <c r="AO80" s="579"/>
      <c r="AP80" s="579"/>
      <c r="AQ80" s="579"/>
      <c r="AR80" s="579"/>
      <c r="AS80" s="579"/>
      <c r="AT80" s="579"/>
      <c r="AU80" s="579"/>
      <c r="AV80" s="579"/>
      <c r="AW80" s="579"/>
      <c r="AX80" s="579"/>
      <c r="AY80" s="579"/>
      <c r="AZ80" s="579"/>
      <c r="BA80" s="579"/>
      <c r="BB80" s="579"/>
      <c r="BC80" s="579"/>
      <c r="BD80" s="579"/>
      <c r="BE80" s="579"/>
      <c r="BF80" s="579"/>
      <c r="BG80" s="26"/>
      <c r="BH80" s="26"/>
      <c r="BI80" s="26"/>
      <c r="BJ80" s="26"/>
      <c r="BK80" s="26"/>
      <c r="BL80" s="26"/>
      <c r="BM80" s="26"/>
      <c r="BN80" s="26"/>
    </row>
    <row r="81" spans="2:66" x14ac:dyDescent="0.25">
      <c r="B81" s="271" t="s">
        <v>805</v>
      </c>
      <c r="C81" s="894"/>
      <c r="D81" s="13" t="s">
        <v>50</v>
      </c>
      <c r="E81" s="899"/>
      <c r="F81" s="366">
        <v>189.255</v>
      </c>
      <c r="G81" s="899"/>
      <c r="H81" s="366">
        <v>140.41500000000002</v>
      </c>
      <c r="I81" s="646"/>
      <c r="J81" s="39">
        <f>+F81+H81</f>
        <v>329.67</v>
      </c>
      <c r="K81" s="899"/>
      <c r="L81" s="366">
        <v>205.53499999999997</v>
      </c>
      <c r="M81" s="645"/>
      <c r="N81" s="781">
        <f>+F81+H81+L81</f>
        <v>535.20499999999993</v>
      </c>
      <c r="O81" s="899"/>
      <c r="P81" s="366">
        <v>211.64</v>
      </c>
      <c r="Q81" s="646"/>
      <c r="R81" s="782">
        <f>+N81+P81</f>
        <v>746.84499999999991</v>
      </c>
      <c r="S81" s="899"/>
      <c r="T81" s="366">
        <v>268.61999999999995</v>
      </c>
      <c r="U81" s="646"/>
      <c r="V81" s="782">
        <f>+R81+T81</f>
        <v>1015.4649999999999</v>
      </c>
      <c r="W81" s="899"/>
      <c r="X81" s="366">
        <v>170.94</v>
      </c>
      <c r="Y81" s="781"/>
      <c r="Z81" s="781">
        <f>+P81+T81+X81</f>
        <v>651.19999999999993</v>
      </c>
      <c r="AA81" s="465"/>
      <c r="AB81" s="454">
        <f>+N81+Z81</f>
        <v>1186.4049999999997</v>
      </c>
      <c r="AC81" s="899"/>
      <c r="AD81" s="366">
        <v>211.63999999999987</v>
      </c>
      <c r="AE81" s="646"/>
      <c r="AF81" s="782">
        <f>+AB81+AD81</f>
        <v>1398.0449999999996</v>
      </c>
      <c r="AG81" s="899"/>
      <c r="AH81" s="366">
        <v>42.734999999999999</v>
      </c>
      <c r="AI81" s="646"/>
      <c r="AJ81" s="782">
        <f>+AF81+AH81</f>
        <v>1440.7799999999995</v>
      </c>
      <c r="AK81" s="899"/>
      <c r="AL81" s="366">
        <v>227.92000000000002</v>
      </c>
      <c r="AM81" s="781"/>
      <c r="AN81" s="781">
        <f>+AD81+AH81+AL81</f>
        <v>482.2949999999999</v>
      </c>
      <c r="AO81" s="646"/>
      <c r="AP81" s="782">
        <f t="shared" ref="AP81:AP82" si="162">AJ81+AL81</f>
        <v>1668.6999999999996</v>
      </c>
      <c r="AQ81" s="899"/>
      <c r="AR81" s="366">
        <v>319.49499999999983</v>
      </c>
      <c r="AS81" s="646"/>
      <c r="AT81" s="782">
        <f>+AP81+AR81</f>
        <v>1988.1949999999995</v>
      </c>
      <c r="AU81" s="899"/>
      <c r="AV81" s="366">
        <v>309.32</v>
      </c>
      <c r="AW81" s="646"/>
      <c r="AX81" s="782">
        <f>+AT81+AV81</f>
        <v>2297.5149999999994</v>
      </c>
      <c r="AY81" s="899"/>
      <c r="AZ81" s="366">
        <v>203.50000000000003</v>
      </c>
      <c r="BA81" s="781"/>
      <c r="BB81" s="781">
        <f>+AR81+AV81+AZ81</f>
        <v>832.31499999999983</v>
      </c>
      <c r="BC81" s="465"/>
      <c r="BD81" s="454">
        <f t="shared" ref="BD81:BD82" si="163">+AN81+BB81</f>
        <v>1314.6099999999997</v>
      </c>
      <c r="BE81" s="646"/>
      <c r="BF81" s="782">
        <f>+AX81+AZ81</f>
        <v>2501.0149999999994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271" t="s">
        <v>803</v>
      </c>
      <c r="C82" s="894"/>
      <c r="D82" s="13" t="s">
        <v>50</v>
      </c>
      <c r="E82" s="899"/>
      <c r="F82" s="366">
        <v>1082.7799999999988</v>
      </c>
      <c r="G82" s="899"/>
      <c r="H82" s="366">
        <v>1231.5809999999985</v>
      </c>
      <c r="I82" s="646"/>
      <c r="J82" s="39">
        <f>+F82+H82</f>
        <v>2314.3609999999971</v>
      </c>
      <c r="K82" s="899"/>
      <c r="L82" s="366">
        <v>1191.5699999999988</v>
      </c>
      <c r="M82" s="645"/>
      <c r="N82" s="781">
        <f>+F82+H82+L82</f>
        <v>3505.9309999999959</v>
      </c>
      <c r="O82" s="899"/>
      <c r="P82" s="366">
        <v>1424.8509999999985</v>
      </c>
      <c r="Q82" s="646"/>
      <c r="R82" s="782">
        <f>+N82+P82</f>
        <v>4930.7819999999947</v>
      </c>
      <c r="S82" s="899"/>
      <c r="T82" s="366">
        <v>1228.706999999999</v>
      </c>
      <c r="U82" s="646"/>
      <c r="V82" s="782">
        <f>+R82+T82</f>
        <v>6159.4889999999941</v>
      </c>
      <c r="W82" s="899"/>
      <c r="X82" s="366">
        <v>1236.1709999999982</v>
      </c>
      <c r="Y82" s="645"/>
      <c r="Z82" s="781">
        <f>+P82+T82+X82</f>
        <v>3889.7289999999957</v>
      </c>
      <c r="AA82" s="465"/>
      <c r="AB82" s="454">
        <f>+N82+Z82</f>
        <v>7395.6599999999917</v>
      </c>
      <c r="AC82" s="899"/>
      <c r="AD82" s="366">
        <v>1073.5489999999986</v>
      </c>
      <c r="AE82" s="646"/>
      <c r="AF82" s="782">
        <f>+AB82+AD82</f>
        <v>8469.2089999999898</v>
      </c>
      <c r="AG82" s="899"/>
      <c r="AH82" s="366">
        <v>51.413999999999966</v>
      </c>
      <c r="AI82" s="646"/>
      <c r="AJ82" s="782">
        <f>+AF82+AH82</f>
        <v>8520.6229999999905</v>
      </c>
      <c r="AK82" s="899"/>
      <c r="AL82" s="366">
        <v>1134.2779999999998</v>
      </c>
      <c r="AM82" s="645"/>
      <c r="AN82" s="781">
        <f>+AD82+AH82+AL82</f>
        <v>2259.2409999999982</v>
      </c>
      <c r="AO82" s="646"/>
      <c r="AP82" s="782">
        <f t="shared" si="162"/>
        <v>9654.9009999999907</v>
      </c>
      <c r="AQ82" s="899"/>
      <c r="AR82" s="366">
        <v>1128.8039999999978</v>
      </c>
      <c r="AS82" s="646"/>
      <c r="AT82" s="782">
        <f>+AP82+AR82</f>
        <v>10783.704999999989</v>
      </c>
      <c r="AU82" s="899"/>
      <c r="AV82" s="366">
        <v>1065.8339999999992</v>
      </c>
      <c r="AW82" s="646"/>
      <c r="AX82" s="782">
        <f>+AT82+AV82</f>
        <v>11849.538999999988</v>
      </c>
      <c r="AY82" s="899"/>
      <c r="AZ82" s="366">
        <v>1261.9579999999983</v>
      </c>
      <c r="BA82" s="645"/>
      <c r="BB82" s="781">
        <f>+AR82+AV82+AZ82</f>
        <v>3456.5959999999955</v>
      </c>
      <c r="BC82" s="465"/>
      <c r="BD82" s="454">
        <f t="shared" si="163"/>
        <v>5715.8369999999941</v>
      </c>
      <c r="BE82" s="646"/>
      <c r="BF82" s="782">
        <f>+AX82+AZ82</f>
        <v>13111.496999999987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25">
      <c r="B83" s="642" t="s">
        <v>826</v>
      </c>
      <c r="C83" s="642"/>
      <c r="D83" s="205" t="s">
        <v>50</v>
      </c>
      <c r="E83" s="899"/>
      <c r="F83" s="366">
        <f>SUM(F81:F82)</f>
        <v>1272.0349999999989</v>
      </c>
      <c r="G83" s="899"/>
      <c r="H83" s="366">
        <f>SUM(H81:H82)</f>
        <v>1371.9959999999985</v>
      </c>
      <c r="I83" s="646"/>
      <c r="J83" s="367">
        <f>SUM(J81:J82)</f>
        <v>2644.0309999999972</v>
      </c>
      <c r="K83" s="899"/>
      <c r="L83" s="366">
        <f>SUM(L81:L82)</f>
        <v>1397.1049999999987</v>
      </c>
      <c r="M83" s="645"/>
      <c r="N83" s="446">
        <f>SUM(N81:N82)</f>
        <v>4041.1359999999959</v>
      </c>
      <c r="O83" s="899"/>
      <c r="P83" s="366">
        <f>SUM(P81:P82)</f>
        <v>1636.4909999999986</v>
      </c>
      <c r="Q83" s="646"/>
      <c r="R83" s="367">
        <f>SUM(R81:R82)</f>
        <v>5677.626999999995</v>
      </c>
      <c r="S83" s="899"/>
      <c r="T83" s="366">
        <f>SUM(T81:T82)</f>
        <v>1497.3269999999989</v>
      </c>
      <c r="U83" s="646"/>
      <c r="V83" s="367">
        <f>SUM(V81:V82)</f>
        <v>7174.9539999999943</v>
      </c>
      <c r="W83" s="899"/>
      <c r="X83" s="366">
        <f>SUM(X81:X82)</f>
        <v>1407.1109999999983</v>
      </c>
      <c r="Y83" s="645"/>
      <c r="Z83" s="446">
        <f>SUM(Z81:Z82)</f>
        <v>4540.9289999999955</v>
      </c>
      <c r="AA83" s="840"/>
      <c r="AB83" s="470">
        <f>SUM(AB81:AB82)</f>
        <v>8582.0649999999914</v>
      </c>
      <c r="AC83" s="899"/>
      <c r="AD83" s="366">
        <f>SUM(AD81:AD82)</f>
        <v>1285.1889999999985</v>
      </c>
      <c r="AE83" s="646"/>
      <c r="AF83" s="367">
        <f>SUM(AF81:AF82)</f>
        <v>9867.2539999999899</v>
      </c>
      <c r="AG83" s="899"/>
      <c r="AH83" s="366">
        <f>SUM(AH81:AH82)</f>
        <v>94.148999999999972</v>
      </c>
      <c r="AI83" s="646"/>
      <c r="AJ83" s="367">
        <f>SUM(AJ81:AJ82)</f>
        <v>9961.4029999999893</v>
      </c>
      <c r="AK83" s="899"/>
      <c r="AL83" s="366">
        <f>SUM(AL81:AL82)</f>
        <v>1362.1979999999999</v>
      </c>
      <c r="AM83" s="645"/>
      <c r="AN83" s="446">
        <f>SUM(AN81:AN82)</f>
        <v>2741.5359999999982</v>
      </c>
      <c r="AO83" s="646"/>
      <c r="AP83" s="367">
        <f>SUM(AP81:AP82)</f>
        <v>11323.60099999999</v>
      </c>
      <c r="AQ83" s="899"/>
      <c r="AR83" s="366">
        <f>SUM(AR81:AR82)</f>
        <v>1448.2989999999977</v>
      </c>
      <c r="AS83" s="646"/>
      <c r="AT83" s="367">
        <f>SUM(AT81:AT82)</f>
        <v>12771.899999999989</v>
      </c>
      <c r="AU83" s="899"/>
      <c r="AV83" s="366">
        <f>SUM(AV81:AV82)</f>
        <v>1375.1539999999991</v>
      </c>
      <c r="AW83" s="646"/>
      <c r="AX83" s="367">
        <f>SUM(AX81:AX82)</f>
        <v>14147.053999999987</v>
      </c>
      <c r="AY83" s="899"/>
      <c r="AZ83" s="366">
        <f>SUM(AZ81:AZ82)</f>
        <v>1465.4579999999983</v>
      </c>
      <c r="BA83" s="645"/>
      <c r="BB83" s="446">
        <f>SUM(BB81:BB82)</f>
        <v>4288.9109999999955</v>
      </c>
      <c r="BC83" s="840"/>
      <c r="BD83" s="470">
        <f>SUM(BD81:BD82)</f>
        <v>7030.4469999999937</v>
      </c>
      <c r="BE83" s="646"/>
      <c r="BF83" s="367">
        <f>SUM(BF81:BF82)</f>
        <v>15612.511999999986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25">
      <c r="B84" s="642" t="s">
        <v>822</v>
      </c>
      <c r="C84" s="642"/>
      <c r="D84" s="205" t="s">
        <v>49</v>
      </c>
      <c r="E84" s="899"/>
      <c r="F84" s="438">
        <f>+F83/F5</f>
        <v>1.8319414513796234E-2</v>
      </c>
      <c r="G84" s="899"/>
      <c r="H84" s="438">
        <f>+H83/H5</f>
        <v>1.7383725030429835E-2</v>
      </c>
      <c r="I84" s="646"/>
      <c r="J84" s="439">
        <f>+J83/J5</f>
        <v>1.7821650908553144E-2</v>
      </c>
      <c r="K84" s="899"/>
      <c r="L84" s="438">
        <f>+L83/L5</f>
        <v>1.829178560234368E-2</v>
      </c>
      <c r="M84" s="645"/>
      <c r="N84" s="445">
        <f>+N83/N5</f>
        <v>1.7981428537039532E-2</v>
      </c>
      <c r="O84" s="899"/>
      <c r="P84" s="438">
        <f>+P83/P5</f>
        <v>1.7925674257982263E-2</v>
      </c>
      <c r="Q84" s="646"/>
      <c r="R84" s="444">
        <f>+R83/R5</f>
        <v>1.7965322655910471E-2</v>
      </c>
      <c r="S84" s="899"/>
      <c r="T84" s="438">
        <f>+T83/T5</f>
        <v>1.9015031750961892E-2</v>
      </c>
      <c r="U84" s="646"/>
      <c r="V84" s="444">
        <f>+V83/V5</f>
        <v>1.8174703416258965E-2</v>
      </c>
      <c r="W84" s="899"/>
      <c r="X84" s="438">
        <f>+X83/X5</f>
        <v>1.7772493351565673E-2</v>
      </c>
      <c r="Y84" s="645"/>
      <c r="Z84" s="440">
        <f>+Z83/Z5</f>
        <v>1.8221218594525464E-2</v>
      </c>
      <c r="AA84" s="840"/>
      <c r="AB84" s="664">
        <f>+AB83/AB5</f>
        <v>1.8107514139678704E-2</v>
      </c>
      <c r="AC84" s="899"/>
      <c r="AD84" s="438">
        <f>+AD83/AD5</f>
        <v>1.8523516650264575E-2</v>
      </c>
      <c r="AE84" s="646"/>
      <c r="AF84" s="1621">
        <f>+AF83/AF5</f>
        <v>1.8160636120431107E-2</v>
      </c>
      <c r="AG84" s="899"/>
      <c r="AH84" s="438">
        <f>+AH83/AH5</f>
        <v>2.8205162003902919E-2</v>
      </c>
      <c r="AI84" s="646"/>
      <c r="AJ84" s="1621">
        <f>+AJ83/AJ5</f>
        <v>1.8221968715621668E-2</v>
      </c>
      <c r="AK84" s="899"/>
      <c r="AL84" s="438">
        <f>+AL83/AL5</f>
        <v>1.8571879030820804E-2</v>
      </c>
      <c r="AM84" s="645"/>
      <c r="AN84" s="440">
        <f>+AN83/AN5</f>
        <v>1.8769052494669727E-2</v>
      </c>
      <c r="AO84" s="646"/>
      <c r="AP84" s="1621">
        <f>+AP83/AP5</f>
        <v>1.8263362708798168E-2</v>
      </c>
      <c r="AQ84" s="899"/>
      <c r="AR84" s="438">
        <f>+AR83/AR5</f>
        <v>1.9868880389531839E-2</v>
      </c>
      <c r="AS84" s="646"/>
      <c r="AT84" s="1621">
        <f>+AT83/AT5</f>
        <v>1.8432260126404285E-2</v>
      </c>
      <c r="AU84" s="899"/>
      <c r="AV84" s="438">
        <f>+AV83/AV5</f>
        <v>2.004371050993126E-2</v>
      </c>
      <c r="AW84" s="646"/>
      <c r="AX84" s="1621">
        <f>+AX83/AX5</f>
        <v>1.857744121126691E-2</v>
      </c>
      <c r="AY84" s="899"/>
      <c r="AZ84" s="438">
        <f>+AZ83/AZ5</f>
        <v>1.8105299436506895E-2</v>
      </c>
      <c r="BA84" s="645"/>
      <c r="BB84" s="440">
        <f>+BB83/BB5</f>
        <v>1.928108066131675E-2</v>
      </c>
      <c r="BC84" s="840"/>
      <c r="BD84" s="664">
        <f>+BD83/BD5</f>
        <v>1.9078126369881123E-2</v>
      </c>
      <c r="BE84" s="646"/>
      <c r="BF84" s="1621">
        <f>+BF83/BF5</f>
        <v>1.8532079288285035E-2</v>
      </c>
      <c r="BG84" s="26"/>
      <c r="BH84" s="26"/>
      <c r="BI84" s="26"/>
      <c r="BJ84" s="26"/>
      <c r="BK84" s="26"/>
      <c r="BL84" s="26"/>
      <c r="BM84" s="26"/>
      <c r="BN84" s="26"/>
    </row>
    <row r="85" spans="2:66" x14ac:dyDescent="0.25">
      <c r="B85" s="642" t="s">
        <v>825</v>
      </c>
      <c r="C85" s="642"/>
      <c r="D85" s="205" t="s">
        <v>50</v>
      </c>
      <c r="E85" s="899"/>
      <c r="F85" s="366">
        <f>+F57</f>
        <v>84.429999999999993</v>
      </c>
      <c r="G85" s="899"/>
      <c r="H85" s="366">
        <f>+H57</f>
        <v>31.29</v>
      </c>
      <c r="I85" s="646"/>
      <c r="J85" s="367">
        <f>+J57</f>
        <v>115.72</v>
      </c>
      <c r="K85" s="899"/>
      <c r="L85" s="366">
        <f>+L57</f>
        <v>35.289999999999992</v>
      </c>
      <c r="M85" s="645"/>
      <c r="N85" s="446">
        <f>+N57</f>
        <v>151.01</v>
      </c>
      <c r="O85" s="899"/>
      <c r="P85" s="366">
        <f>+P57</f>
        <v>44.150000000000006</v>
      </c>
      <c r="Q85" s="646"/>
      <c r="R85" s="367">
        <f>+R57</f>
        <v>195.16000000000003</v>
      </c>
      <c r="S85" s="899"/>
      <c r="T85" s="366">
        <f>+T57</f>
        <v>50.57</v>
      </c>
      <c r="U85" s="646"/>
      <c r="V85" s="367">
        <f>+V57</f>
        <v>245.73000000000005</v>
      </c>
      <c r="W85" s="899"/>
      <c r="X85" s="366">
        <f>+X57</f>
        <v>98.55</v>
      </c>
      <c r="Y85" s="645"/>
      <c r="Z85" s="446">
        <f>+Z57</f>
        <v>193.26999999999998</v>
      </c>
      <c r="AA85" s="840"/>
      <c r="AB85" s="470">
        <f>+AB57</f>
        <v>344.28</v>
      </c>
      <c r="AC85" s="899"/>
      <c r="AD85" s="366">
        <f>+AD57</f>
        <v>156.44</v>
      </c>
      <c r="AE85" s="646"/>
      <c r="AF85" s="367">
        <f>+AF57</f>
        <v>500.24</v>
      </c>
      <c r="AG85" s="899"/>
      <c r="AH85" s="366">
        <f>+AH57</f>
        <v>16.39</v>
      </c>
      <c r="AI85" s="646"/>
      <c r="AJ85" s="367">
        <f>+AJ57</f>
        <v>516.63</v>
      </c>
      <c r="AK85" s="899"/>
      <c r="AL85" s="366">
        <f>+AL57</f>
        <v>93.649999999999991</v>
      </c>
      <c r="AM85" s="645"/>
      <c r="AN85" s="446">
        <f>+AN57</f>
        <v>266.47999999999996</v>
      </c>
      <c r="AO85" s="646"/>
      <c r="AP85" s="367">
        <f>+AP57</f>
        <v>610.28000000000009</v>
      </c>
      <c r="AQ85" s="899"/>
      <c r="AR85" s="366">
        <f>+AR57</f>
        <v>105.43</v>
      </c>
      <c r="AS85" s="646"/>
      <c r="AT85" s="367">
        <f>+AT57</f>
        <v>715.71000000000015</v>
      </c>
      <c r="AU85" s="899"/>
      <c r="AV85" s="366">
        <f>+AV57</f>
        <v>67.59</v>
      </c>
      <c r="AW85" s="646"/>
      <c r="AX85" s="367">
        <f>+AX57</f>
        <v>783.30000000000018</v>
      </c>
      <c r="AY85" s="899"/>
      <c r="AZ85" s="366">
        <f>+AZ57</f>
        <v>83.85</v>
      </c>
      <c r="BA85" s="645"/>
      <c r="BB85" s="446">
        <f>+BB57</f>
        <v>256.86999999999995</v>
      </c>
      <c r="BC85" s="840"/>
      <c r="BD85" s="470">
        <f>+BD57</f>
        <v>523.34999999999991</v>
      </c>
      <c r="BE85" s="646"/>
      <c r="BF85" s="367">
        <f>+BF57</f>
        <v>867.15000000000009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25">
      <c r="B86" s="271" t="s">
        <v>806</v>
      </c>
      <c r="C86" s="894"/>
      <c r="D86" s="13" t="s">
        <v>50</v>
      </c>
      <c r="E86" s="899"/>
      <c r="F86" s="366">
        <v>1184.5240000000003</v>
      </c>
      <c r="G86" s="899"/>
      <c r="H86" s="366">
        <v>1345.2450000000008</v>
      </c>
      <c r="I86" s="646"/>
      <c r="J86" s="39">
        <f>+F86+H86</f>
        <v>2529.7690000000011</v>
      </c>
      <c r="K86" s="899"/>
      <c r="L86" s="366">
        <v>1302.4100000000014</v>
      </c>
      <c r="M86" s="645"/>
      <c r="N86" s="781">
        <f>+F86+H86+L86</f>
        <v>3832.1790000000028</v>
      </c>
      <c r="O86" s="899"/>
      <c r="P86" s="366">
        <v>1556.0040000000015</v>
      </c>
      <c r="Q86" s="646"/>
      <c r="R86" s="782">
        <f>+N86+P86</f>
        <v>5388.1830000000045</v>
      </c>
      <c r="S86" s="899"/>
      <c r="T86" s="366">
        <v>1342.794000000001</v>
      </c>
      <c r="U86" s="646"/>
      <c r="V86" s="782">
        <f>+R86+T86</f>
        <v>6730.9770000000053</v>
      </c>
      <c r="W86" s="899"/>
      <c r="X86" s="366">
        <v>1348.8320000000012</v>
      </c>
      <c r="Y86" s="645"/>
      <c r="Z86" s="781">
        <f>+P86+T86+X86</f>
        <v>4247.6300000000037</v>
      </c>
      <c r="AA86" s="465"/>
      <c r="AB86" s="454">
        <f>+N86+Z86</f>
        <v>8079.8090000000066</v>
      </c>
      <c r="AC86" s="899"/>
      <c r="AD86" s="366">
        <v>1192.071000000001</v>
      </c>
      <c r="AE86" s="646"/>
      <c r="AF86" s="782">
        <f>+AB86+AD86</f>
        <v>9271.8800000000083</v>
      </c>
      <c r="AG86" s="899"/>
      <c r="AH86" s="366">
        <v>57.746999999999986</v>
      </c>
      <c r="AI86" s="646"/>
      <c r="AJ86" s="782">
        <f>+AF86+AH86</f>
        <v>9329.6270000000077</v>
      </c>
      <c r="AK86" s="899"/>
      <c r="AL86" s="366">
        <v>1260.8660000000002</v>
      </c>
      <c r="AM86" s="645"/>
      <c r="AN86" s="781">
        <f>+AD86+AH86+AL86</f>
        <v>2510.6840000000011</v>
      </c>
      <c r="AO86" s="646"/>
      <c r="AP86" s="782">
        <f t="shared" ref="AP86" si="164">AJ86+AL86</f>
        <v>10590.493000000008</v>
      </c>
      <c r="AQ86" s="899"/>
      <c r="AR86" s="366">
        <v>1253.9900000000009</v>
      </c>
      <c r="AS86" s="646"/>
      <c r="AT86" s="782">
        <f>+AP86+AR86</f>
        <v>11844.483000000009</v>
      </c>
      <c r="AU86" s="899"/>
      <c r="AV86" s="366">
        <v>1175.0120000000002</v>
      </c>
      <c r="AW86" s="646"/>
      <c r="AX86" s="782">
        <f>+AT86+AV86</f>
        <v>13019.49500000001</v>
      </c>
      <c r="AY86" s="899"/>
      <c r="AZ86" s="366">
        <v>1380.9140000000011</v>
      </c>
      <c r="BA86" s="645"/>
      <c r="BB86" s="781">
        <f>+AR86+AV86+AZ86</f>
        <v>3809.9160000000024</v>
      </c>
      <c r="BC86" s="465"/>
      <c r="BD86" s="454">
        <f t="shared" ref="BD86" si="165">+AN86+BB86</f>
        <v>6320.600000000004</v>
      </c>
      <c r="BE86" s="646"/>
      <c r="BF86" s="782">
        <f>+AX86+AZ86</f>
        <v>14400.409000000011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25">
      <c r="B87" s="154"/>
      <c r="C87" s="154"/>
      <c r="D87" s="154"/>
      <c r="E87" s="579"/>
      <c r="F87" s="579"/>
      <c r="G87" s="579"/>
      <c r="H87" s="579"/>
      <c r="I87" s="579"/>
      <c r="J87" s="579"/>
      <c r="K87" s="579"/>
      <c r="L87" s="579"/>
      <c r="M87" s="579"/>
      <c r="N87" s="579"/>
      <c r="O87" s="579"/>
      <c r="P87" s="579"/>
      <c r="Q87" s="579"/>
      <c r="R87" s="579"/>
      <c r="S87" s="579"/>
      <c r="T87" s="579"/>
      <c r="U87" s="579"/>
      <c r="V87" s="579"/>
      <c r="W87" s="579"/>
      <c r="X87" s="579"/>
      <c r="Y87" s="579"/>
      <c r="Z87" s="579"/>
      <c r="AA87" s="579"/>
      <c r="AB87" s="579"/>
      <c r="AC87" s="579"/>
      <c r="AD87" s="579"/>
      <c r="AE87" s="579"/>
      <c r="AF87" s="579"/>
      <c r="AG87" s="579"/>
      <c r="AH87" s="579"/>
      <c r="AI87" s="579"/>
      <c r="AJ87" s="579"/>
      <c r="AK87" s="579"/>
      <c r="AL87" s="579"/>
      <c r="AM87" s="579"/>
      <c r="AN87" s="579"/>
      <c r="AO87" s="579"/>
      <c r="AP87" s="579"/>
      <c r="AQ87" s="579"/>
      <c r="AR87" s="579"/>
      <c r="AS87" s="579"/>
      <c r="AT87" s="579"/>
      <c r="AU87" s="579"/>
      <c r="AV87" s="579"/>
      <c r="AW87" s="579"/>
      <c r="AX87" s="579"/>
      <c r="AY87" s="579"/>
      <c r="AZ87" s="579"/>
      <c r="BA87" s="579"/>
      <c r="BB87" s="579"/>
      <c r="BC87" s="579"/>
      <c r="BD87" s="579"/>
      <c r="BE87" s="579"/>
      <c r="BF87" s="579"/>
      <c r="BG87" s="26"/>
      <c r="BH87" s="26"/>
      <c r="BI87" s="26"/>
      <c r="BJ87" s="26"/>
      <c r="BK87" s="26"/>
      <c r="BL87" s="26"/>
      <c r="BM87" s="26"/>
      <c r="BN87" s="26"/>
    </row>
    <row r="88" spans="2:66" ht="18.75" x14ac:dyDescent="0.3">
      <c r="B88" s="883" t="s">
        <v>827</v>
      </c>
      <c r="C88" s="883"/>
      <c r="D88" s="154"/>
      <c r="E88" s="579"/>
      <c r="F88" s="579"/>
      <c r="G88" s="579"/>
      <c r="H88" s="579"/>
      <c r="I88" s="579"/>
      <c r="J88" s="579"/>
      <c r="K88" s="579"/>
      <c r="L88" s="579"/>
      <c r="M88" s="579"/>
      <c r="N88" s="579"/>
      <c r="O88" s="579"/>
      <c r="P88" s="579"/>
      <c r="Q88" s="579"/>
      <c r="R88" s="579"/>
      <c r="S88" s="579"/>
      <c r="T88" s="579"/>
      <c r="U88" s="579"/>
      <c r="V88" s="579"/>
      <c r="W88" s="579"/>
      <c r="X88" s="579"/>
      <c r="Y88" s="579"/>
      <c r="Z88" s="579"/>
      <c r="AA88" s="579"/>
      <c r="AB88" s="579"/>
      <c r="AC88" s="579"/>
      <c r="AD88" s="579"/>
      <c r="AE88" s="579"/>
      <c r="AF88" s="579"/>
      <c r="AG88" s="579"/>
      <c r="AH88" s="579"/>
      <c r="AI88" s="579"/>
      <c r="AJ88" s="579"/>
      <c r="AK88" s="579"/>
      <c r="AL88" s="579"/>
      <c r="AM88" s="579"/>
      <c r="AN88" s="579"/>
      <c r="AO88" s="579"/>
      <c r="AP88" s="579"/>
      <c r="AQ88" s="579"/>
      <c r="AR88" s="579"/>
      <c r="AS88" s="579"/>
      <c r="AT88" s="579"/>
      <c r="AU88" s="579"/>
      <c r="AV88" s="579"/>
      <c r="AW88" s="579"/>
      <c r="AX88" s="579"/>
      <c r="AY88" s="579"/>
      <c r="AZ88" s="579"/>
      <c r="BA88" s="579"/>
      <c r="BB88" s="579"/>
      <c r="BC88" s="579"/>
      <c r="BD88" s="579"/>
      <c r="BE88" s="579"/>
      <c r="BF88" s="579"/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271" t="s">
        <v>828</v>
      </c>
      <c r="C89" s="271"/>
      <c r="D89" s="159" t="s">
        <v>50</v>
      </c>
      <c r="E89" s="799"/>
      <c r="F89" s="366">
        <f>+F5</f>
        <v>69436.443999999974</v>
      </c>
      <c r="G89" s="799"/>
      <c r="H89" s="366">
        <f>+H5</f>
        <v>78924.165999999954</v>
      </c>
      <c r="I89" s="895"/>
      <c r="J89" s="367">
        <f>+J5</f>
        <v>148360.60999999993</v>
      </c>
      <c r="K89" s="799"/>
      <c r="L89" s="366">
        <f>+L5</f>
        <v>76378.819999999949</v>
      </c>
      <c r="M89" s="896"/>
      <c r="N89" s="446">
        <f>+N5</f>
        <v>224739.42999999988</v>
      </c>
      <c r="O89" s="799"/>
      <c r="P89" s="366">
        <f>+P5</f>
        <v>91293.134999999951</v>
      </c>
      <c r="Q89" s="895"/>
      <c r="R89" s="367">
        <f>+R5</f>
        <v>316032.56499999983</v>
      </c>
      <c r="S89" s="799"/>
      <c r="T89" s="366">
        <f>+T5</f>
        <v>78744.385999999984</v>
      </c>
      <c r="U89" s="895"/>
      <c r="V89" s="367">
        <f>+V5</f>
        <v>394776.95099999983</v>
      </c>
      <c r="W89" s="799"/>
      <c r="X89" s="366">
        <f>+X5</f>
        <v>79173.527999999977</v>
      </c>
      <c r="Y89" s="896"/>
      <c r="Z89" s="446">
        <f>+Z5</f>
        <v>249211.04899999994</v>
      </c>
      <c r="AA89" s="897"/>
      <c r="AB89" s="470">
        <f>+AB5</f>
        <v>473950.47899999982</v>
      </c>
      <c r="AC89" s="799"/>
      <c r="AD89" s="366">
        <f>+AD5</f>
        <v>69381.48</v>
      </c>
      <c r="AE89" s="895"/>
      <c r="AF89" s="367">
        <f>+AF5</f>
        <v>543331.9589999998</v>
      </c>
      <c r="AG89" s="799"/>
      <c r="AH89" s="366">
        <f>+AH5</f>
        <v>3338.0060000000003</v>
      </c>
      <c r="AI89" s="895"/>
      <c r="AJ89" s="367">
        <f>+AJ5</f>
        <v>546669.96499999985</v>
      </c>
      <c r="AK89" s="799"/>
      <c r="AL89" s="366">
        <f>+AL5</f>
        <v>73347.343999999983</v>
      </c>
      <c r="AM89" s="896"/>
      <c r="AN89" s="446">
        <f>+AN5</f>
        <v>146066.82999999996</v>
      </c>
      <c r="AO89" s="895"/>
      <c r="AP89" s="367">
        <f>+AP5</f>
        <v>620017.30899999989</v>
      </c>
      <c r="AQ89" s="799"/>
      <c r="AR89" s="366">
        <f>+AR5</f>
        <v>72892.833999999901</v>
      </c>
      <c r="AS89" s="895"/>
      <c r="AT89" s="367">
        <f>+AT5</f>
        <v>692910.14299999981</v>
      </c>
      <c r="AU89" s="799"/>
      <c r="AV89" s="366">
        <f>+AV5</f>
        <v>68607.755999999979</v>
      </c>
      <c r="AW89" s="895"/>
      <c r="AX89" s="367">
        <f>+AX5</f>
        <v>761517.89899999974</v>
      </c>
      <c r="AY89" s="799"/>
      <c r="AZ89" s="366">
        <f>+AZ5</f>
        <v>80940.831999999951</v>
      </c>
      <c r="BA89" s="896"/>
      <c r="BB89" s="446">
        <f>+BB5</f>
        <v>222441.42199999985</v>
      </c>
      <c r="BC89" s="897"/>
      <c r="BD89" s="470">
        <f>+BD5</f>
        <v>368508.2519999998</v>
      </c>
      <c r="BE89" s="895"/>
      <c r="BF89" s="367">
        <f>+BF5</f>
        <v>842458.73099999968</v>
      </c>
      <c r="BG89" s="26"/>
      <c r="BH89" s="26"/>
      <c r="BI89" s="26"/>
      <c r="BJ89" s="26"/>
      <c r="BK89" s="26"/>
      <c r="BL89" s="26"/>
      <c r="BM89" s="26"/>
      <c r="BN89" s="26"/>
    </row>
    <row r="90" spans="2:66" ht="30" x14ac:dyDescent="0.25">
      <c r="B90" s="898" t="s">
        <v>833</v>
      </c>
      <c r="C90" s="898"/>
      <c r="D90" s="159" t="s">
        <v>50</v>
      </c>
      <c r="E90" s="799"/>
      <c r="F90" s="366">
        <f>+F83</f>
        <v>1272.0349999999989</v>
      </c>
      <c r="G90" s="799"/>
      <c r="H90" s="366">
        <f>+H83</f>
        <v>1371.9959999999985</v>
      </c>
      <c r="I90" s="895"/>
      <c r="J90" s="367">
        <f>+J83</f>
        <v>2644.0309999999972</v>
      </c>
      <c r="K90" s="799"/>
      <c r="L90" s="366">
        <f>+L83</f>
        <v>1397.1049999999987</v>
      </c>
      <c r="M90" s="896"/>
      <c r="N90" s="446">
        <f>+N83</f>
        <v>4041.1359999999959</v>
      </c>
      <c r="O90" s="799"/>
      <c r="P90" s="366">
        <f>+P83</f>
        <v>1636.4909999999986</v>
      </c>
      <c r="Q90" s="895"/>
      <c r="R90" s="367">
        <f>+R83</f>
        <v>5677.626999999995</v>
      </c>
      <c r="S90" s="799"/>
      <c r="T90" s="366">
        <f>+T83</f>
        <v>1497.3269999999989</v>
      </c>
      <c r="U90" s="895"/>
      <c r="V90" s="367">
        <f>+V83</f>
        <v>7174.9539999999943</v>
      </c>
      <c r="W90" s="799"/>
      <c r="X90" s="366">
        <f>+X83</f>
        <v>1407.1109999999983</v>
      </c>
      <c r="Y90" s="896"/>
      <c r="Z90" s="446">
        <f>+Z83</f>
        <v>4540.9289999999955</v>
      </c>
      <c r="AA90" s="897"/>
      <c r="AB90" s="470">
        <f>+AB83</f>
        <v>8582.0649999999914</v>
      </c>
      <c r="AC90" s="799"/>
      <c r="AD90" s="366">
        <f>+AD83</f>
        <v>1285.1889999999985</v>
      </c>
      <c r="AE90" s="895"/>
      <c r="AF90" s="367">
        <f>+AF83</f>
        <v>9867.2539999999899</v>
      </c>
      <c r="AG90" s="799"/>
      <c r="AH90" s="366">
        <f>+AH83</f>
        <v>94.148999999999972</v>
      </c>
      <c r="AI90" s="895"/>
      <c r="AJ90" s="367">
        <f>+AJ83</f>
        <v>9961.4029999999893</v>
      </c>
      <c r="AK90" s="799"/>
      <c r="AL90" s="366">
        <f>+AL83</f>
        <v>1362.1979999999999</v>
      </c>
      <c r="AM90" s="896"/>
      <c r="AN90" s="446">
        <f>+AN83</f>
        <v>2741.5359999999982</v>
      </c>
      <c r="AO90" s="895"/>
      <c r="AP90" s="367">
        <f>+AP83</f>
        <v>11323.60099999999</v>
      </c>
      <c r="AQ90" s="799"/>
      <c r="AR90" s="366">
        <f>+AR83</f>
        <v>1448.2989999999977</v>
      </c>
      <c r="AS90" s="895"/>
      <c r="AT90" s="367">
        <f>+AT83</f>
        <v>12771.899999999989</v>
      </c>
      <c r="AU90" s="799"/>
      <c r="AV90" s="366">
        <f>+AV83</f>
        <v>1375.1539999999991</v>
      </c>
      <c r="AW90" s="895"/>
      <c r="AX90" s="367">
        <f>+AX83</f>
        <v>14147.053999999987</v>
      </c>
      <c r="AY90" s="799"/>
      <c r="AZ90" s="366">
        <f>+AZ83</f>
        <v>1465.4579999999983</v>
      </c>
      <c r="BA90" s="896"/>
      <c r="BB90" s="446">
        <f>+BB83</f>
        <v>4288.9109999999955</v>
      </c>
      <c r="BC90" s="897"/>
      <c r="BD90" s="470">
        <f>+BD83</f>
        <v>7030.4469999999937</v>
      </c>
      <c r="BE90" s="895"/>
      <c r="BF90" s="367">
        <f>+BF83</f>
        <v>15612.511999999986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271" t="s">
        <v>804</v>
      </c>
      <c r="C91" s="271"/>
      <c r="D91" s="159" t="s">
        <v>50</v>
      </c>
      <c r="E91" s="799"/>
      <c r="F91" s="366">
        <f>+F86</f>
        <v>1184.5240000000003</v>
      </c>
      <c r="G91" s="799"/>
      <c r="H91" s="366">
        <f>+H86</f>
        <v>1345.2450000000008</v>
      </c>
      <c r="I91" s="895"/>
      <c r="J91" s="367">
        <f>+J86</f>
        <v>2529.7690000000011</v>
      </c>
      <c r="K91" s="799"/>
      <c r="L91" s="366">
        <f>+L86</f>
        <v>1302.4100000000014</v>
      </c>
      <c r="M91" s="896"/>
      <c r="N91" s="446">
        <f>+N86</f>
        <v>3832.1790000000028</v>
      </c>
      <c r="O91" s="799"/>
      <c r="P91" s="366">
        <f>+P86</f>
        <v>1556.0040000000015</v>
      </c>
      <c r="Q91" s="895"/>
      <c r="R91" s="367">
        <f>+R86</f>
        <v>5388.1830000000045</v>
      </c>
      <c r="S91" s="799"/>
      <c r="T91" s="366">
        <f>+T86</f>
        <v>1342.794000000001</v>
      </c>
      <c r="U91" s="895"/>
      <c r="V91" s="367">
        <f>+V86</f>
        <v>6730.9770000000053</v>
      </c>
      <c r="W91" s="799"/>
      <c r="X91" s="366">
        <f>+X86</f>
        <v>1348.8320000000012</v>
      </c>
      <c r="Y91" s="896"/>
      <c r="Z91" s="446">
        <f>+Z86</f>
        <v>4247.6300000000037</v>
      </c>
      <c r="AA91" s="897"/>
      <c r="AB91" s="470">
        <f>+AB86</f>
        <v>8079.8090000000066</v>
      </c>
      <c r="AC91" s="799"/>
      <c r="AD91" s="366">
        <f>+AD86</f>
        <v>1192.071000000001</v>
      </c>
      <c r="AE91" s="895"/>
      <c r="AF91" s="367">
        <f>+AF86</f>
        <v>9271.8800000000083</v>
      </c>
      <c r="AG91" s="799"/>
      <c r="AH91" s="366">
        <f>+AH86</f>
        <v>57.746999999999986</v>
      </c>
      <c r="AI91" s="895"/>
      <c r="AJ91" s="367">
        <f>+AJ86</f>
        <v>9329.6270000000077</v>
      </c>
      <c r="AK91" s="799"/>
      <c r="AL91" s="366">
        <f>+AL86</f>
        <v>1260.8660000000002</v>
      </c>
      <c r="AM91" s="896"/>
      <c r="AN91" s="446">
        <f>+AN86</f>
        <v>2510.6840000000011</v>
      </c>
      <c r="AO91" s="895"/>
      <c r="AP91" s="367">
        <f>+AP86</f>
        <v>10590.493000000008</v>
      </c>
      <c r="AQ91" s="799"/>
      <c r="AR91" s="366">
        <f>+AR86</f>
        <v>1253.9900000000009</v>
      </c>
      <c r="AS91" s="895"/>
      <c r="AT91" s="367">
        <f>+AT86</f>
        <v>11844.483000000009</v>
      </c>
      <c r="AU91" s="799"/>
      <c r="AV91" s="366">
        <f>+AV86</f>
        <v>1175.0120000000002</v>
      </c>
      <c r="AW91" s="895"/>
      <c r="AX91" s="367">
        <f>+AX86</f>
        <v>13019.49500000001</v>
      </c>
      <c r="AY91" s="799"/>
      <c r="AZ91" s="366">
        <f>+AZ86</f>
        <v>1380.9140000000011</v>
      </c>
      <c r="BA91" s="896"/>
      <c r="BB91" s="446">
        <f>+BB86</f>
        <v>3809.9160000000024</v>
      </c>
      <c r="BC91" s="897"/>
      <c r="BD91" s="470">
        <f>+BD86</f>
        <v>6320.600000000004</v>
      </c>
      <c r="BE91" s="895"/>
      <c r="BF91" s="367">
        <f>+BF86</f>
        <v>14400.409000000011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271" t="s">
        <v>831</v>
      </c>
      <c r="C92" s="271"/>
      <c r="D92" s="159" t="s">
        <v>50</v>
      </c>
      <c r="E92" s="799"/>
      <c r="F92" s="366">
        <f>+F55</f>
        <v>66979.885000000038</v>
      </c>
      <c r="G92" s="799"/>
      <c r="H92" s="366">
        <f>+H55</f>
        <v>76206.925000000061</v>
      </c>
      <c r="I92" s="895"/>
      <c r="J92" s="367">
        <f>+J55</f>
        <v>143186.81000000008</v>
      </c>
      <c r="K92" s="799"/>
      <c r="L92" s="366">
        <f>+L55</f>
        <v>73679.305000000051</v>
      </c>
      <c r="M92" s="896"/>
      <c r="N92" s="446">
        <f>+N55</f>
        <v>216866.11500000019</v>
      </c>
      <c r="O92" s="799"/>
      <c r="P92" s="366">
        <f>+P55</f>
        <v>88100.640000000101</v>
      </c>
      <c r="Q92" s="895"/>
      <c r="R92" s="367">
        <f>+R55</f>
        <v>304966.75500000018</v>
      </c>
      <c r="S92" s="799"/>
      <c r="T92" s="366">
        <f>+T55</f>
        <v>75904.265000000043</v>
      </c>
      <c r="U92" s="895"/>
      <c r="V92" s="367">
        <f>+V55</f>
        <v>380871.02000000031</v>
      </c>
      <c r="W92" s="799"/>
      <c r="X92" s="366">
        <f>+X55</f>
        <v>76417.585000000079</v>
      </c>
      <c r="Y92" s="896"/>
      <c r="Z92" s="446">
        <f>+Z55</f>
        <v>240422.49000000025</v>
      </c>
      <c r="AA92" s="897"/>
      <c r="AB92" s="470">
        <f>+AB55</f>
        <v>457288.60500000051</v>
      </c>
      <c r="AC92" s="799"/>
      <c r="AD92" s="366">
        <f>+AD55</f>
        <v>66904.240000000005</v>
      </c>
      <c r="AE92" s="895"/>
      <c r="AF92" s="367">
        <f>+AF55</f>
        <v>519652.38000000047</v>
      </c>
      <c r="AG92" s="799"/>
      <c r="AH92" s="366">
        <f>+AH55</f>
        <v>3186.11</v>
      </c>
      <c r="AI92" s="895"/>
      <c r="AJ92" s="367">
        <f>+AJ55</f>
        <v>522838.49000000046</v>
      </c>
      <c r="AK92" s="799"/>
      <c r="AL92" s="366">
        <f>+AL55</f>
        <v>70724.280000000057</v>
      </c>
      <c r="AM92" s="896"/>
      <c r="AN92" s="446">
        <f>+AN55</f>
        <v>140814.63000000006</v>
      </c>
      <c r="AO92" s="895"/>
      <c r="AP92" s="367">
        <f>+AP55</f>
        <v>593562.77000000037</v>
      </c>
      <c r="AQ92" s="799"/>
      <c r="AR92" s="366">
        <f>+AR55</f>
        <v>70190.5450000001</v>
      </c>
      <c r="AS92" s="895"/>
      <c r="AT92" s="367">
        <f>+AT55</f>
        <v>663753.31500000053</v>
      </c>
      <c r="AU92" s="799"/>
      <c r="AV92" s="366">
        <f>+AV55</f>
        <v>66057.59000000004</v>
      </c>
      <c r="AW92" s="895"/>
      <c r="AX92" s="367">
        <f>+AX55</f>
        <v>729810.90500000038</v>
      </c>
      <c r="AY92" s="799"/>
      <c r="AZ92" s="366">
        <f>+AZ55</f>
        <v>78094.460000000079</v>
      </c>
      <c r="BA92" s="896"/>
      <c r="BB92" s="446">
        <f>+BB55</f>
        <v>214342.59500000018</v>
      </c>
      <c r="BC92" s="897"/>
      <c r="BD92" s="470">
        <f>+BD55</f>
        <v>355157.22500000033</v>
      </c>
      <c r="BE92" s="895"/>
      <c r="BF92" s="367">
        <f>+BF55</f>
        <v>807905.36500000034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271" t="s">
        <v>829</v>
      </c>
      <c r="C93" s="271"/>
      <c r="D93" s="159" t="s">
        <v>50</v>
      </c>
      <c r="E93" s="799"/>
      <c r="F93" s="366">
        <f>+F57</f>
        <v>84.429999999999993</v>
      </c>
      <c r="G93" s="799"/>
      <c r="H93" s="366">
        <f>+H57</f>
        <v>31.29</v>
      </c>
      <c r="I93" s="895"/>
      <c r="J93" s="367">
        <f>+J57</f>
        <v>115.72</v>
      </c>
      <c r="K93" s="799"/>
      <c r="L93" s="366">
        <f>+L57</f>
        <v>35.289999999999992</v>
      </c>
      <c r="M93" s="896"/>
      <c r="N93" s="446">
        <f>+N57</f>
        <v>151.01</v>
      </c>
      <c r="O93" s="799"/>
      <c r="P93" s="366">
        <f>+P57</f>
        <v>44.150000000000006</v>
      </c>
      <c r="Q93" s="895"/>
      <c r="R93" s="367">
        <f>+R57</f>
        <v>195.16000000000003</v>
      </c>
      <c r="S93" s="799"/>
      <c r="T93" s="366">
        <f>+T57</f>
        <v>50.57</v>
      </c>
      <c r="U93" s="895"/>
      <c r="V93" s="367">
        <f>+V57</f>
        <v>245.73000000000005</v>
      </c>
      <c r="W93" s="799"/>
      <c r="X93" s="366">
        <f>+X57</f>
        <v>98.55</v>
      </c>
      <c r="Y93" s="896"/>
      <c r="Z93" s="446">
        <f>+Z57</f>
        <v>193.26999999999998</v>
      </c>
      <c r="AA93" s="897"/>
      <c r="AB93" s="470">
        <f>+AB57</f>
        <v>344.28</v>
      </c>
      <c r="AC93" s="799"/>
      <c r="AD93" s="366">
        <f>+AD57</f>
        <v>156.44</v>
      </c>
      <c r="AE93" s="895"/>
      <c r="AF93" s="367">
        <f>+AF57</f>
        <v>500.24</v>
      </c>
      <c r="AG93" s="799"/>
      <c r="AH93" s="366">
        <f>+AH57</f>
        <v>16.39</v>
      </c>
      <c r="AI93" s="895"/>
      <c r="AJ93" s="367">
        <f>+AJ57</f>
        <v>516.63</v>
      </c>
      <c r="AK93" s="799"/>
      <c r="AL93" s="366">
        <f>+AL57</f>
        <v>93.649999999999991</v>
      </c>
      <c r="AM93" s="896"/>
      <c r="AN93" s="446">
        <f>+AN57</f>
        <v>266.47999999999996</v>
      </c>
      <c r="AO93" s="895"/>
      <c r="AP93" s="367">
        <f>+AP57</f>
        <v>610.28000000000009</v>
      </c>
      <c r="AQ93" s="799"/>
      <c r="AR93" s="366">
        <f>+AR57</f>
        <v>105.43</v>
      </c>
      <c r="AS93" s="895"/>
      <c r="AT93" s="367">
        <f>+AT57</f>
        <v>715.71000000000015</v>
      </c>
      <c r="AU93" s="799"/>
      <c r="AV93" s="366">
        <f>+AV57</f>
        <v>67.59</v>
      </c>
      <c r="AW93" s="895"/>
      <c r="AX93" s="367">
        <f>+AX57</f>
        <v>783.30000000000018</v>
      </c>
      <c r="AY93" s="799"/>
      <c r="AZ93" s="366">
        <f>+AZ57</f>
        <v>83.85</v>
      </c>
      <c r="BA93" s="896"/>
      <c r="BB93" s="446">
        <f>+BB57</f>
        <v>256.86999999999995</v>
      </c>
      <c r="BC93" s="897"/>
      <c r="BD93" s="470">
        <f>+BD57</f>
        <v>523.34999999999991</v>
      </c>
      <c r="BE93" s="895"/>
      <c r="BF93" s="367">
        <f>+BF57</f>
        <v>867.15000000000009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B94" s="271" t="s">
        <v>830</v>
      </c>
      <c r="C94" s="271"/>
      <c r="D94" s="159" t="s">
        <v>50</v>
      </c>
      <c r="E94" s="799"/>
      <c r="F94" s="366">
        <f>+F92-F93</f>
        <v>66895.455000000045</v>
      </c>
      <c r="G94" s="799"/>
      <c r="H94" s="366">
        <f>+H92-H93</f>
        <v>76175.635000000068</v>
      </c>
      <c r="I94" s="895"/>
      <c r="J94" s="367">
        <f>+J92-J93</f>
        <v>143071.09000000008</v>
      </c>
      <c r="K94" s="799"/>
      <c r="L94" s="366">
        <f>+L92-L93</f>
        <v>73644.015000000058</v>
      </c>
      <c r="M94" s="896"/>
      <c r="N94" s="446">
        <f>+N92-N93</f>
        <v>216715.10500000019</v>
      </c>
      <c r="O94" s="799"/>
      <c r="P94" s="366">
        <f>+P92-P93</f>
        <v>88056.490000000107</v>
      </c>
      <c r="Q94" s="895"/>
      <c r="R94" s="367">
        <f>+R92-R93</f>
        <v>304771.5950000002</v>
      </c>
      <c r="S94" s="799"/>
      <c r="T94" s="366">
        <f>+T92-T93</f>
        <v>75853.695000000036</v>
      </c>
      <c r="U94" s="895"/>
      <c r="V94" s="367">
        <f>+V92-V93</f>
        <v>380625.29000000033</v>
      </c>
      <c r="W94" s="799"/>
      <c r="X94" s="366">
        <f>+X92-X93</f>
        <v>76319.035000000076</v>
      </c>
      <c r="Y94" s="896"/>
      <c r="Z94" s="446">
        <f>+Z92-Z93</f>
        <v>240229.22000000026</v>
      </c>
      <c r="AA94" s="897"/>
      <c r="AB94" s="470">
        <f>+AB92-AB93</f>
        <v>456944.32500000048</v>
      </c>
      <c r="AC94" s="799"/>
      <c r="AD94" s="366">
        <f>+AD92-AD93</f>
        <v>66747.8</v>
      </c>
      <c r="AE94" s="895"/>
      <c r="AF94" s="367">
        <f>+AF92-AF93</f>
        <v>519152.14000000048</v>
      </c>
      <c r="AG94" s="799"/>
      <c r="AH94" s="366">
        <f>+AH92-AH93</f>
        <v>3169.7200000000003</v>
      </c>
      <c r="AI94" s="895"/>
      <c r="AJ94" s="367">
        <f>+AJ92-AJ93</f>
        <v>522321.86000000045</v>
      </c>
      <c r="AK94" s="799"/>
      <c r="AL94" s="366">
        <f>+AL92-AL93</f>
        <v>70630.630000000063</v>
      </c>
      <c r="AM94" s="896"/>
      <c r="AN94" s="446">
        <f>+AN92-AN93</f>
        <v>140548.15000000005</v>
      </c>
      <c r="AO94" s="895"/>
      <c r="AP94" s="367">
        <f>+AP92-AP93</f>
        <v>592952.49000000034</v>
      </c>
      <c r="AQ94" s="799"/>
      <c r="AR94" s="366">
        <f>+AR92-AR93</f>
        <v>70085.115000000107</v>
      </c>
      <c r="AS94" s="895"/>
      <c r="AT94" s="367">
        <f>+AT92-AT93</f>
        <v>663037.60500000056</v>
      </c>
      <c r="AU94" s="799"/>
      <c r="AV94" s="366">
        <f>+AV92-AV93</f>
        <v>65990.000000000044</v>
      </c>
      <c r="AW94" s="895"/>
      <c r="AX94" s="367">
        <f>+AX92-AX93</f>
        <v>729027.60500000033</v>
      </c>
      <c r="AY94" s="799"/>
      <c r="AZ94" s="366">
        <f>+AZ92-AZ93</f>
        <v>78010.610000000073</v>
      </c>
      <c r="BA94" s="896"/>
      <c r="BB94" s="446">
        <f>+BB92-BB93</f>
        <v>214085.72500000018</v>
      </c>
      <c r="BC94" s="897"/>
      <c r="BD94" s="470">
        <f>+BD92-BD93</f>
        <v>354633.87500000035</v>
      </c>
      <c r="BE94" s="895"/>
      <c r="BF94" s="367">
        <f>+BF92-BF93</f>
        <v>807038.21500000032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25">
      <c r="B95" s="154"/>
      <c r="C95" s="154"/>
      <c r="D95" s="154"/>
      <c r="E95" s="579"/>
      <c r="F95" s="579"/>
      <c r="G95" s="579"/>
      <c r="H95" s="579"/>
      <c r="I95" s="579"/>
      <c r="J95" s="579"/>
      <c r="K95" s="579"/>
      <c r="L95" s="579"/>
      <c r="M95" s="579"/>
      <c r="N95" s="579"/>
      <c r="O95" s="579"/>
      <c r="P95" s="579"/>
      <c r="Q95" s="579"/>
      <c r="R95" s="579"/>
      <c r="S95" s="579"/>
      <c r="T95" s="579"/>
      <c r="U95" s="579"/>
      <c r="V95" s="579"/>
      <c r="W95" s="579"/>
      <c r="X95" s="579"/>
      <c r="Y95" s="579"/>
      <c r="Z95" s="579"/>
      <c r="AA95" s="579"/>
      <c r="AB95" s="579"/>
      <c r="AC95" s="579"/>
      <c r="AD95" s="579"/>
      <c r="AE95" s="579"/>
      <c r="AF95" s="579"/>
      <c r="AG95" s="579"/>
      <c r="AH95" s="579"/>
      <c r="AI95" s="579"/>
      <c r="AJ95" s="579"/>
      <c r="AK95" s="579"/>
      <c r="AL95" s="579"/>
      <c r="AM95" s="579"/>
      <c r="AN95" s="579"/>
      <c r="AO95" s="579"/>
      <c r="AP95" s="579"/>
      <c r="AQ95" s="579"/>
      <c r="AR95" s="579"/>
      <c r="AS95" s="579"/>
      <c r="AT95" s="579"/>
      <c r="AU95" s="579"/>
      <c r="AV95" s="579"/>
      <c r="AW95" s="579"/>
      <c r="AX95" s="579"/>
      <c r="AY95" s="579"/>
      <c r="AZ95" s="579"/>
      <c r="BA95" s="579"/>
      <c r="BB95" s="579"/>
      <c r="BC95" s="579"/>
      <c r="BD95" s="579"/>
      <c r="BE95" s="579"/>
      <c r="BF95" s="579"/>
      <c r="BG95" s="26"/>
      <c r="BH95" s="26"/>
      <c r="BI95" s="26"/>
      <c r="BJ95" s="26"/>
      <c r="BK95" s="26"/>
      <c r="BL95" s="26"/>
      <c r="BM95" s="26"/>
      <c r="BN95" s="26"/>
    </row>
    <row r="96" spans="2:66" x14ac:dyDescent="0.25">
      <c r="B96" s="271" t="s">
        <v>835</v>
      </c>
      <c r="C96" s="271"/>
      <c r="D96" s="159" t="s">
        <v>50</v>
      </c>
      <c r="E96" s="799"/>
      <c r="F96" s="366">
        <f>+F89-F90-F91-F92</f>
        <v>0</v>
      </c>
      <c r="G96" s="799"/>
      <c r="H96" s="366">
        <f>+H89-H90-H91-H92</f>
        <v>0</v>
      </c>
      <c r="I96" s="895"/>
      <c r="J96" s="367">
        <f>+J89-J90-J91-J92</f>
        <v>0</v>
      </c>
      <c r="K96" s="799"/>
      <c r="L96" s="366">
        <f>+L89-L90-L91-L92</f>
        <v>0</v>
      </c>
      <c r="M96" s="896"/>
      <c r="N96" s="446">
        <f>+N89-N90-N91-N92</f>
        <v>-3.2014213502407074E-10</v>
      </c>
      <c r="O96" s="799"/>
      <c r="P96" s="366">
        <f>+P89-P90-P91-P92</f>
        <v>-1.4551915228366852E-10</v>
      </c>
      <c r="Q96" s="895"/>
      <c r="R96" s="367">
        <f>+R89-R90-R91-R92</f>
        <v>0</v>
      </c>
      <c r="S96" s="799"/>
      <c r="T96" s="366">
        <f>+T89-T90-T91-T92</f>
        <v>0</v>
      </c>
      <c r="U96" s="895"/>
      <c r="V96" s="367">
        <f>+V89-V90-V91-V92</f>
        <v>-4.6566128730773926E-10</v>
      </c>
      <c r="W96" s="799"/>
      <c r="X96" s="366">
        <f>+X89-X90-X91-X92</f>
        <v>0</v>
      </c>
      <c r="Y96" s="896"/>
      <c r="Z96" s="446">
        <f>+Z89-Z90-Z91-Z92</f>
        <v>-3.2014213502407074E-10</v>
      </c>
      <c r="AA96" s="897"/>
      <c r="AB96" s="470">
        <f>+AB89-AB90-AB91-AB92</f>
        <v>-6.9849193096160889E-10</v>
      </c>
      <c r="AC96" s="799"/>
      <c r="AD96" s="366">
        <f>+AD89-AD90-AD91-AD92</f>
        <v>-2.0000000004074536E-2</v>
      </c>
      <c r="AE96" s="895"/>
      <c r="AF96" s="367">
        <f>+AF89-AF90-AF91-AF92</f>
        <v>4540.4449999993667</v>
      </c>
      <c r="AG96" s="799"/>
      <c r="AH96" s="366">
        <f>+AH89-AH90-AH91-AH92</f>
        <v>0</v>
      </c>
      <c r="AI96" s="895"/>
      <c r="AJ96" s="367">
        <f>+AJ89-AJ90-AJ91-AJ92</f>
        <v>4540.4449999994831</v>
      </c>
      <c r="AK96" s="799"/>
      <c r="AL96" s="366">
        <f>+AL89-AL90-AL91-AL92</f>
        <v>0</v>
      </c>
      <c r="AM96" s="896"/>
      <c r="AN96" s="446">
        <f>+AN89-AN90-AN91-AN92</f>
        <v>-2.0000000105937943E-2</v>
      </c>
      <c r="AO96" s="895"/>
      <c r="AP96" s="367">
        <f>+AP89-AP90-AP91-AP92</f>
        <v>4540.4449999994831</v>
      </c>
      <c r="AQ96" s="799"/>
      <c r="AR96" s="366">
        <f>+AR89-AR90-AR91-AR92</f>
        <v>-2.0372681319713593E-10</v>
      </c>
      <c r="AS96" s="895"/>
      <c r="AT96" s="367">
        <f>+AT89-AT90-AT91-AT92</f>
        <v>4540.4449999992503</v>
      </c>
      <c r="AU96" s="799"/>
      <c r="AV96" s="366">
        <f>+AV89-AV90-AV91-AV92</f>
        <v>0</v>
      </c>
      <c r="AW96" s="895"/>
      <c r="AX96" s="367">
        <f>+AX89-AX90-AX91-AX92</f>
        <v>4540.4449999993667</v>
      </c>
      <c r="AY96" s="799"/>
      <c r="AZ96" s="366">
        <f>+AZ89-AZ90-AZ91-AZ92</f>
        <v>-1.3096723705530167E-10</v>
      </c>
      <c r="BA96" s="896"/>
      <c r="BB96" s="446">
        <f>+BB89-BB90-BB91-BB92</f>
        <v>-3.2014213502407074E-10</v>
      </c>
      <c r="BC96" s="897"/>
      <c r="BD96" s="470">
        <f>+BD89-BD90-BD91-BD92</f>
        <v>-2.0000000484287739E-2</v>
      </c>
      <c r="BE96" s="895"/>
      <c r="BF96" s="367">
        <f>+BF89-BF90-BF91-BF92</f>
        <v>4540.4449999993667</v>
      </c>
      <c r="BG96" s="26"/>
      <c r="BH96" s="26"/>
      <c r="BI96" s="26"/>
      <c r="BJ96" s="26"/>
      <c r="BK96" s="26"/>
      <c r="BL96" s="26"/>
      <c r="BM96" s="26"/>
      <c r="BN96" s="26"/>
    </row>
    <row r="97" spans="5:66" x14ac:dyDescent="0.25">
      <c r="BG97" s="26"/>
      <c r="BH97" s="26"/>
      <c r="BI97" s="26"/>
      <c r="BJ97" s="26"/>
      <c r="BK97" s="26"/>
      <c r="BL97" s="26"/>
      <c r="BM97" s="26"/>
      <c r="BN97" s="26"/>
    </row>
    <row r="98" spans="5:66" ht="15" customHeight="1" x14ac:dyDescent="0.25">
      <c r="E98" s="26">
        <f>E56-'Maj Production Summ'!E31</f>
        <v>0</v>
      </c>
      <c r="F98" s="26">
        <f>F56-'Maj Production Summ'!F31</f>
        <v>0</v>
      </c>
      <c r="G98" s="26">
        <f>G56-'Maj Production Summ'!G31</f>
        <v>0</v>
      </c>
      <c r="H98" s="26">
        <f>H56-'Maj Production Summ'!H31</f>
        <v>0</v>
      </c>
      <c r="I98" s="26">
        <f>I56-'Maj Production Summ'!I31</f>
        <v>0</v>
      </c>
      <c r="J98" s="26">
        <f>J56-'Maj Production Summ'!J31</f>
        <v>0</v>
      </c>
      <c r="K98" s="26">
        <f>K56-'Maj Production Summ'!K31</f>
        <v>0</v>
      </c>
      <c r="L98" s="26">
        <f>L56-'Maj Production Summ'!L31</f>
        <v>0</v>
      </c>
      <c r="M98" s="26">
        <f>M56-'Maj Production Summ'!M31</f>
        <v>0</v>
      </c>
      <c r="N98" s="26">
        <f>N56-'Maj Production Summ'!N31</f>
        <v>0</v>
      </c>
      <c r="O98" s="26">
        <f>O56-'Maj Production Summ'!O31</f>
        <v>0</v>
      </c>
      <c r="P98" s="26">
        <f>P56-'Maj Production Summ'!P31</f>
        <v>0</v>
      </c>
      <c r="Q98" s="26">
        <f>Q56-'Maj Production Summ'!Q31</f>
        <v>0</v>
      </c>
      <c r="R98" s="26">
        <f>R56-'Maj Production Summ'!R31</f>
        <v>0</v>
      </c>
      <c r="S98" s="26">
        <f>S56-'Maj Production Summ'!S31</f>
        <v>0</v>
      </c>
      <c r="T98" s="26">
        <f>T56-'Maj Production Summ'!T31</f>
        <v>0</v>
      </c>
      <c r="U98" s="26">
        <f>U56-'Maj Production Summ'!U31</f>
        <v>0</v>
      </c>
      <c r="V98" s="26">
        <f>V56-'Maj Production Summ'!V31</f>
        <v>0</v>
      </c>
      <c r="W98" s="26">
        <f>W56-'Maj Production Summ'!W31</f>
        <v>0</v>
      </c>
      <c r="X98" s="26">
        <f>X56-'Maj Production Summ'!X31</f>
        <v>0</v>
      </c>
      <c r="Y98" s="26">
        <f>Y56-'Maj Production Summ'!Y31</f>
        <v>0</v>
      </c>
      <c r="Z98" s="26">
        <f>Z56-'Maj Production Summ'!Z31</f>
        <v>0</v>
      </c>
      <c r="AA98" s="26">
        <f>AA56-'Maj Production Summ'!AA31</f>
        <v>0</v>
      </c>
      <c r="AB98" s="26">
        <f>AB56-'Maj Production Summ'!AB31</f>
        <v>0</v>
      </c>
      <c r="AC98" s="26">
        <f>AC56-'Maj Production Summ'!AC31</f>
        <v>0</v>
      </c>
      <c r="AD98" s="26">
        <f>AD56-'Maj Production Summ'!AD31</f>
        <v>0</v>
      </c>
      <c r="AE98" s="26">
        <f>AE56-'Maj Production Summ'!AE31</f>
        <v>0</v>
      </c>
      <c r="AF98" s="26">
        <f>AF56-'Maj Production Summ'!AF31</f>
        <v>-4539.9849999998696</v>
      </c>
      <c r="AG98" s="26">
        <f>AG56-'Maj Production Summ'!AG31</f>
        <v>0</v>
      </c>
      <c r="AH98" s="26">
        <f>AH56-'Maj Production Summ'!AH31</f>
        <v>0</v>
      </c>
      <c r="AI98" s="26">
        <f>AI56-'Maj Production Summ'!AI31</f>
        <v>0</v>
      </c>
      <c r="AJ98" s="26">
        <f>AJ56-'Maj Production Summ'!AJ31</f>
        <v>-4539.9849999998696</v>
      </c>
      <c r="AK98" s="26">
        <f>AK56-'Maj Production Summ'!AK31</f>
        <v>0</v>
      </c>
      <c r="AL98" s="26">
        <f>AL56-'Maj Production Summ'!AL31</f>
        <v>0</v>
      </c>
      <c r="AM98" s="26">
        <f>AM56-'Maj Production Summ'!AM31</f>
        <v>0</v>
      </c>
      <c r="AN98" s="26">
        <f>AN56-'Maj Production Summ'!AN31</f>
        <v>0</v>
      </c>
      <c r="AO98" s="26">
        <f>AO56-'Maj Production Summ'!AO31</f>
        <v>0</v>
      </c>
      <c r="AP98" s="26">
        <f>AP56-'Maj Production Summ'!AP31</f>
        <v>-4539.9849999998696</v>
      </c>
      <c r="AQ98" s="26">
        <f>AQ56-'Maj Production Summ'!AQ31</f>
        <v>0</v>
      </c>
      <c r="AR98" s="26">
        <f>AR56-'Maj Production Summ'!AR31</f>
        <v>0</v>
      </c>
      <c r="AS98" s="26">
        <f>AS56-'Maj Production Summ'!AS31</f>
        <v>0</v>
      </c>
      <c r="AT98" s="26">
        <f>AT56-'Maj Production Summ'!AT31</f>
        <v>-4539.9849999997532</v>
      </c>
      <c r="AU98" s="26">
        <f>AU56-'Maj Production Summ'!AU31</f>
        <v>0</v>
      </c>
      <c r="AV98" s="26">
        <f>AV56-'Maj Production Summ'!AV31</f>
        <v>0</v>
      </c>
      <c r="AW98" s="26">
        <f>AW56-'Maj Production Summ'!AW31</f>
        <v>0</v>
      </c>
      <c r="AX98" s="26">
        <f>AX56-'Maj Production Summ'!AX31</f>
        <v>-4539.984999999986</v>
      </c>
      <c r="AY98" s="26">
        <f>AY56-'Maj Production Summ'!AY31</f>
        <v>0</v>
      </c>
      <c r="AZ98" s="26">
        <f>AZ56-'Maj Production Summ'!AZ31</f>
        <v>0</v>
      </c>
      <c r="BA98" s="26">
        <f>BA56-'Maj Production Summ'!BA31</f>
        <v>0</v>
      </c>
      <c r="BB98" s="26">
        <f>BB56-'Maj Production Summ'!BB31</f>
        <v>0</v>
      </c>
      <c r="BC98" s="26">
        <f>BC56-'Maj Production Summ'!BC31</f>
        <v>0</v>
      </c>
      <c r="BD98" s="26">
        <f>BD56-'Maj Production Summ'!BD31</f>
        <v>0</v>
      </c>
      <c r="BE98" s="26">
        <f>BE56-'Maj Production Summ'!BE31</f>
        <v>0</v>
      </c>
      <c r="BF98" s="26">
        <f>BF56-'Maj Production Summ'!BF31</f>
        <v>-4539.9850000001024</v>
      </c>
      <c r="BG98" s="26"/>
      <c r="BH98" s="26"/>
      <c r="BI98" s="26"/>
      <c r="BJ98" s="26"/>
      <c r="BK98" s="26"/>
      <c r="BL98" s="26"/>
      <c r="BM98" s="26"/>
      <c r="BN98" s="26"/>
    </row>
  </sheetData>
  <autoFilter ref="C5:C79"/>
  <mergeCells count="30"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  <mergeCell ref="W3:X3"/>
    <mergeCell ref="Y3:Z3"/>
    <mergeCell ref="AA3:AB3"/>
    <mergeCell ref="AG3:AH3"/>
    <mergeCell ref="AI3:AJ3"/>
    <mergeCell ref="AC3:AD3"/>
    <mergeCell ref="AE3:AF3"/>
    <mergeCell ref="AQ3:AR3"/>
    <mergeCell ref="AS3:AT3"/>
    <mergeCell ref="AK3:AL3"/>
    <mergeCell ref="AM3:AN3"/>
    <mergeCell ref="AO3:AP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3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  <pageSetUpPr fitToPage="1"/>
  </sheetPr>
  <dimension ref="A1:BT179"/>
  <sheetViews>
    <sheetView topLeftCell="A121" zoomScaleNormal="100" workbookViewId="0">
      <pane xSplit="5" topLeftCell="F1" activePane="topRight" state="frozen"/>
      <selection pane="topRight" activeCell="B144" sqref="B144"/>
    </sheetView>
  </sheetViews>
  <sheetFormatPr defaultColWidth="9.140625" defaultRowHeight="15" x14ac:dyDescent="0.25"/>
  <cols>
    <col min="2" max="2" width="33.140625" customWidth="1"/>
    <col min="3" max="3" width="14.28515625" customWidth="1"/>
    <col min="4" max="4" width="12" customWidth="1"/>
    <col min="5" max="5" width="24.28515625" bestFit="1" customWidth="1"/>
    <col min="6" max="6" width="8.5703125" bestFit="1" customWidth="1"/>
    <col min="7" max="7" width="11.85546875" customWidth="1"/>
    <col min="8" max="8" width="8.7109375" customWidth="1"/>
    <col min="9" max="9" width="8.5703125" customWidth="1"/>
    <col min="10" max="10" width="10.28515625" hidden="1" customWidth="1"/>
    <col min="11" max="11" width="9.42578125" hidden="1" customWidth="1"/>
    <col min="12" max="13" width="8.5703125" customWidth="1"/>
    <col min="14" max="15" width="10.28515625" customWidth="1"/>
    <col min="16" max="17" width="8.5703125" customWidth="1"/>
    <col min="18" max="18" width="12.140625" hidden="1" customWidth="1"/>
    <col min="19" max="19" width="9.42578125" hidden="1" customWidth="1"/>
    <col min="20" max="21" width="8.5703125" customWidth="1"/>
    <col min="22" max="22" width="9.7109375" hidden="1" customWidth="1"/>
    <col min="23" max="23" width="12.85546875" hidden="1" customWidth="1"/>
    <col min="24" max="25" width="9.140625" customWidth="1"/>
    <col min="26" max="26" width="11.28515625" customWidth="1"/>
    <col min="27" max="27" width="10.28515625" customWidth="1"/>
    <col min="28" max="29" width="9.7109375" customWidth="1"/>
    <col min="30" max="34" width="9.140625" hidden="1" customWidth="1"/>
    <col min="35" max="35" width="9.5703125" hidden="1" customWidth="1"/>
    <col min="36" max="44" width="9.140625" hidden="1" customWidth="1"/>
    <col min="45" max="45" width="13.28515625" hidden="1" customWidth="1"/>
    <col min="46" max="59" width="9.140625" hidden="1" customWidth="1"/>
    <col min="60" max="60" width="9.5703125" hidden="1" customWidth="1"/>
    <col min="61" max="61" width="9.5703125" customWidth="1"/>
    <col min="62" max="65" width="9.140625" customWidth="1"/>
    <col min="66" max="66" width="9.5703125" bestFit="1" customWidth="1"/>
    <col min="68" max="68" width="9.5703125" bestFit="1" customWidth="1"/>
    <col min="69" max="69" width="9.28515625" bestFit="1" customWidth="1"/>
    <col min="70" max="70" width="9.5703125" bestFit="1" customWidth="1"/>
  </cols>
  <sheetData>
    <row r="1" spans="1:72" ht="22.9" x14ac:dyDescent="0.4">
      <c r="A1" s="149"/>
      <c r="B1" s="793" t="s">
        <v>115</v>
      </c>
      <c r="C1" s="793"/>
      <c r="D1" s="793"/>
      <c r="E1" s="527"/>
      <c r="F1" s="527"/>
      <c r="G1" s="527"/>
      <c r="H1" s="527"/>
      <c r="I1" s="527"/>
      <c r="J1" s="527"/>
      <c r="K1" s="527"/>
      <c r="L1" s="154"/>
      <c r="M1" s="154"/>
      <c r="N1" s="154"/>
      <c r="O1" s="154"/>
      <c r="P1" s="154"/>
      <c r="Q1" s="154"/>
      <c r="R1" s="154"/>
      <c r="S1" s="154"/>
      <c r="T1" s="154"/>
      <c r="U1" s="93"/>
      <c r="V1" s="154"/>
      <c r="W1" s="154"/>
      <c r="X1" s="154"/>
      <c r="Y1" s="154"/>
      <c r="Z1" s="154"/>
      <c r="AA1" s="154"/>
      <c r="AB1" s="154"/>
      <c r="AC1" s="154"/>
      <c r="AD1" s="154"/>
      <c r="AE1" s="154"/>
    </row>
    <row r="2" spans="1:72" thickBot="1" x14ac:dyDescent="0.35">
      <c r="A2" s="149"/>
      <c r="B2" s="527"/>
      <c r="C2" s="527"/>
      <c r="D2" s="527"/>
      <c r="E2" s="527"/>
      <c r="F2" s="399">
        <v>30</v>
      </c>
      <c r="G2" s="399">
        <v>30</v>
      </c>
      <c r="H2" s="399">
        <v>31</v>
      </c>
      <c r="I2" s="399">
        <v>31</v>
      </c>
      <c r="J2" s="399">
        <f>+F2+H2</f>
        <v>61</v>
      </c>
      <c r="K2" s="399">
        <f>+G2+I2</f>
        <v>61</v>
      </c>
      <c r="L2" s="399">
        <v>30</v>
      </c>
      <c r="M2" s="399">
        <v>30</v>
      </c>
      <c r="N2" s="399">
        <f>+J2+L2</f>
        <v>91</v>
      </c>
      <c r="O2" s="399">
        <f>+K2+M2</f>
        <v>91</v>
      </c>
      <c r="P2" s="399">
        <v>31</v>
      </c>
      <c r="Q2" s="399">
        <v>31</v>
      </c>
      <c r="R2" s="399">
        <f>+N2+P2</f>
        <v>122</v>
      </c>
      <c r="S2" s="399">
        <f>+O2+Q2</f>
        <v>122</v>
      </c>
      <c r="T2" s="399">
        <v>31</v>
      </c>
      <c r="U2" s="97">
        <v>31</v>
      </c>
      <c r="V2" s="399">
        <f>+R2+T2</f>
        <v>153</v>
      </c>
      <c r="W2" s="399">
        <f>+S2+U2</f>
        <v>153</v>
      </c>
      <c r="X2" s="399">
        <v>30</v>
      </c>
      <c r="Y2" s="399">
        <v>30</v>
      </c>
      <c r="Z2" s="399">
        <f>+P2+T2+X2</f>
        <v>92</v>
      </c>
      <c r="AA2" s="399">
        <f>+Q2+U2+Y2</f>
        <v>92</v>
      </c>
      <c r="AB2" s="399">
        <f>+Z2+N2</f>
        <v>183</v>
      </c>
      <c r="AC2" s="399">
        <f>+AA2+O2</f>
        <v>183</v>
      </c>
      <c r="AD2" s="399">
        <v>31</v>
      </c>
      <c r="AE2" s="399">
        <v>31</v>
      </c>
      <c r="AF2" s="399">
        <f>+AB2+AD2</f>
        <v>214</v>
      </c>
      <c r="AG2" s="399">
        <f>+AC2+AE2</f>
        <v>214</v>
      </c>
      <c r="AH2" s="399">
        <v>30</v>
      </c>
      <c r="AI2" s="97">
        <v>30</v>
      </c>
      <c r="AJ2" s="399">
        <f>+AF2+AH2</f>
        <v>244</v>
      </c>
      <c r="AK2" s="399">
        <f>+AG2+AI2</f>
        <v>244</v>
      </c>
      <c r="AL2" s="399">
        <v>31</v>
      </c>
      <c r="AM2" s="97">
        <v>31</v>
      </c>
      <c r="AN2" s="399">
        <f>+AD2+AH2+AL2</f>
        <v>92</v>
      </c>
      <c r="AO2" s="399">
        <f>+AE2+AI2+AM2</f>
        <v>92</v>
      </c>
      <c r="AP2" s="399">
        <f>AJ2+AL2</f>
        <v>275</v>
      </c>
      <c r="AQ2" s="399">
        <f>AK2+AM2</f>
        <v>275</v>
      </c>
      <c r="AR2" s="399">
        <v>31</v>
      </c>
      <c r="AS2" s="97">
        <v>31</v>
      </c>
      <c r="AT2" s="399">
        <f>+AP2+AR2</f>
        <v>306</v>
      </c>
      <c r="AU2" s="399">
        <f>+AQ2+AS2</f>
        <v>306</v>
      </c>
      <c r="AV2" s="399">
        <v>28</v>
      </c>
      <c r="AW2" s="97">
        <v>28</v>
      </c>
      <c r="AX2" s="399">
        <f>+AT2+AV2</f>
        <v>334</v>
      </c>
      <c r="AY2" s="399">
        <f>+AU2+AW2</f>
        <v>334</v>
      </c>
      <c r="AZ2" s="399">
        <v>31</v>
      </c>
      <c r="BA2" s="97">
        <v>31</v>
      </c>
      <c r="BB2" s="399">
        <f>+AR2+AV2+AZ2</f>
        <v>90</v>
      </c>
      <c r="BC2" s="399">
        <f>+AS2+AW2+BA2</f>
        <v>90</v>
      </c>
      <c r="BD2" s="399">
        <f>+AN2+BB2</f>
        <v>182</v>
      </c>
      <c r="BE2" s="399">
        <f>+AO2+BC2</f>
        <v>182</v>
      </c>
      <c r="BF2" s="399">
        <f>+AX2+AZ2</f>
        <v>365</v>
      </c>
      <c r="BG2" s="399">
        <f>+AY2+BA2</f>
        <v>365</v>
      </c>
    </row>
    <row r="3" spans="1:72" ht="15.75" thickBot="1" x14ac:dyDescent="0.3">
      <c r="B3" s="6139" t="s">
        <v>171</v>
      </c>
      <c r="C3" s="6135" t="s">
        <v>850</v>
      </c>
      <c r="D3" s="6137" t="s">
        <v>851</v>
      </c>
      <c r="E3" s="6141" t="s">
        <v>172</v>
      </c>
      <c r="F3" s="5774" t="s">
        <v>2190</v>
      </c>
      <c r="G3" s="5771"/>
      <c r="H3" s="5774" t="s">
        <v>2242</v>
      </c>
      <c r="I3" s="5771"/>
      <c r="J3" s="5836" t="s">
        <v>14</v>
      </c>
      <c r="K3" s="6143"/>
      <c r="L3" s="5774" t="s">
        <v>2273</v>
      </c>
      <c r="M3" s="5771"/>
      <c r="N3" s="5763" t="s">
        <v>637</v>
      </c>
      <c r="O3" s="5764"/>
      <c r="P3" s="5774" t="s">
        <v>2296</v>
      </c>
      <c r="Q3" s="5771"/>
      <c r="R3" s="5758" t="s">
        <v>17</v>
      </c>
      <c r="S3" s="5759"/>
      <c r="T3" s="5774" t="s">
        <v>2299</v>
      </c>
      <c r="U3" s="5771"/>
      <c r="V3" s="5758" t="s">
        <v>18</v>
      </c>
      <c r="W3" s="5759"/>
      <c r="X3" s="5760" t="s">
        <v>2344</v>
      </c>
      <c r="Y3" s="5760"/>
      <c r="Z3" s="5775" t="s">
        <v>660</v>
      </c>
      <c r="AA3" s="5764"/>
      <c r="AB3" s="5765" t="s">
        <v>657</v>
      </c>
      <c r="AC3" s="5766"/>
      <c r="AD3" s="5760" t="s">
        <v>1954</v>
      </c>
      <c r="AE3" s="5760"/>
      <c r="AF3" s="5758" t="s">
        <v>24</v>
      </c>
      <c r="AG3" s="5759"/>
      <c r="AH3" s="5774" t="s">
        <v>1970</v>
      </c>
      <c r="AI3" s="5771"/>
      <c r="AJ3" s="5758" t="s">
        <v>27</v>
      </c>
      <c r="AK3" s="5759"/>
      <c r="AL3" s="5774" t="s">
        <v>1985</v>
      </c>
      <c r="AM3" s="5771"/>
      <c r="AN3" s="5775" t="s">
        <v>662</v>
      </c>
      <c r="AO3" s="5764"/>
      <c r="AP3" s="5758" t="s">
        <v>1666</v>
      </c>
      <c r="AQ3" s="5759"/>
      <c r="AR3" s="5774" t="s">
        <v>2085</v>
      </c>
      <c r="AS3" s="5771"/>
      <c r="AT3" s="5758" t="s">
        <v>28</v>
      </c>
      <c r="AU3" s="5759"/>
      <c r="AV3" s="5774" t="s">
        <v>2099</v>
      </c>
      <c r="AW3" s="5771"/>
      <c r="AX3" s="5758" t="s">
        <v>30</v>
      </c>
      <c r="AY3" s="5759"/>
      <c r="AZ3" s="5774" t="s">
        <v>2111</v>
      </c>
      <c r="BA3" s="5771"/>
      <c r="BB3" s="5775" t="s">
        <v>663</v>
      </c>
      <c r="BC3" s="5764"/>
      <c r="BD3" s="6133" t="s">
        <v>671</v>
      </c>
      <c r="BE3" s="6134"/>
      <c r="BF3" s="5758" t="s">
        <v>1745</v>
      </c>
      <c r="BG3" s="5759"/>
    </row>
    <row r="4" spans="1:72" x14ac:dyDescent="0.25">
      <c r="B4" s="6140"/>
      <c r="C4" s="6136"/>
      <c r="D4" s="6138"/>
      <c r="E4" s="6142"/>
      <c r="F4" s="3965" t="s">
        <v>173</v>
      </c>
      <c r="G4" s="3966" t="s">
        <v>174</v>
      </c>
      <c r="H4" s="3965" t="s">
        <v>173</v>
      </c>
      <c r="I4" s="3966" t="s">
        <v>174</v>
      </c>
      <c r="J4" s="5618" t="s">
        <v>173</v>
      </c>
      <c r="K4" s="5614" t="s">
        <v>174</v>
      </c>
      <c r="L4" s="3965" t="s">
        <v>173</v>
      </c>
      <c r="M4" s="3966" t="s">
        <v>174</v>
      </c>
      <c r="N4" s="5619" t="s">
        <v>173</v>
      </c>
      <c r="O4" s="5615" t="s">
        <v>174</v>
      </c>
      <c r="P4" s="5620" t="s">
        <v>173</v>
      </c>
      <c r="Q4" s="5616" t="s">
        <v>174</v>
      </c>
      <c r="R4" s="3968" t="s">
        <v>173</v>
      </c>
      <c r="S4" s="3969" t="s">
        <v>174</v>
      </c>
      <c r="T4" s="5620" t="s">
        <v>173</v>
      </c>
      <c r="U4" s="3966" t="s">
        <v>174</v>
      </c>
      <c r="V4" s="3968" t="s">
        <v>173</v>
      </c>
      <c r="W4" s="3969" t="s">
        <v>174</v>
      </c>
      <c r="X4" s="5621" t="s">
        <v>173</v>
      </c>
      <c r="Y4" s="5616" t="s">
        <v>174</v>
      </c>
      <c r="Z4" s="3970" t="s">
        <v>173</v>
      </c>
      <c r="AA4" s="5615" t="s">
        <v>174</v>
      </c>
      <c r="AB4" s="5622" t="s">
        <v>173</v>
      </c>
      <c r="AC4" s="5617" t="s">
        <v>174</v>
      </c>
      <c r="AD4" s="5621" t="s">
        <v>173</v>
      </c>
      <c r="AE4" s="5616" t="s">
        <v>174</v>
      </c>
      <c r="AF4" s="3968" t="s">
        <v>173</v>
      </c>
      <c r="AG4" s="3969" t="s">
        <v>174</v>
      </c>
      <c r="AH4" s="5620" t="s">
        <v>173</v>
      </c>
      <c r="AI4" s="3966" t="s">
        <v>174</v>
      </c>
      <c r="AJ4" s="3968" t="s">
        <v>173</v>
      </c>
      <c r="AK4" s="3969" t="s">
        <v>174</v>
      </c>
      <c r="AL4" s="5620" t="s">
        <v>173</v>
      </c>
      <c r="AM4" s="3966" t="s">
        <v>174</v>
      </c>
      <c r="AN4" s="3970" t="s">
        <v>173</v>
      </c>
      <c r="AO4" s="5615" t="s">
        <v>174</v>
      </c>
      <c r="AP4" s="3968" t="s">
        <v>173</v>
      </c>
      <c r="AQ4" s="3969" t="s">
        <v>174</v>
      </c>
      <c r="AR4" s="5620" t="s">
        <v>173</v>
      </c>
      <c r="AS4" s="3966" t="s">
        <v>174</v>
      </c>
      <c r="AT4" s="3968" t="s">
        <v>173</v>
      </c>
      <c r="AU4" s="3969" t="s">
        <v>174</v>
      </c>
      <c r="AV4" s="5620" t="s">
        <v>173</v>
      </c>
      <c r="AW4" s="3966" t="s">
        <v>174</v>
      </c>
      <c r="AX4" s="3968" t="s">
        <v>173</v>
      </c>
      <c r="AY4" s="3969" t="s">
        <v>174</v>
      </c>
      <c r="AZ4" s="5620" t="s">
        <v>173</v>
      </c>
      <c r="BA4" s="3966" t="s">
        <v>174</v>
      </c>
      <c r="BB4" s="3970" t="s">
        <v>173</v>
      </c>
      <c r="BC4" s="5615" t="s">
        <v>174</v>
      </c>
      <c r="BD4" s="5623" t="s">
        <v>173</v>
      </c>
      <c r="BE4" s="5624" t="s">
        <v>174</v>
      </c>
      <c r="BF4" s="3968" t="s">
        <v>173</v>
      </c>
      <c r="BG4" s="3969" t="s">
        <v>174</v>
      </c>
    </row>
    <row r="5" spans="1:72" ht="14.45" hidden="1" x14ac:dyDescent="0.3">
      <c r="B5" s="5626"/>
      <c r="C5" s="5627" t="s">
        <v>2359</v>
      </c>
      <c r="D5" s="5628"/>
      <c r="E5" s="5627"/>
      <c r="F5" s="5627"/>
      <c r="G5" s="5629">
        <f>G7-G6</f>
        <v>52840.79</v>
      </c>
      <c r="H5" s="5627"/>
      <c r="I5" s="5629">
        <f>I7-I6</f>
        <v>60969.777000000002</v>
      </c>
      <c r="J5" s="5630"/>
      <c r="K5" s="5630"/>
      <c r="L5" s="5627"/>
      <c r="M5" s="5629">
        <f>M7-M6</f>
        <v>60087.909999999974</v>
      </c>
      <c r="N5" s="5631"/>
      <c r="O5" s="5632">
        <f t="shared" ref="O5:O6" si="0">+G5+I5+M5</f>
        <v>173898.47699999998</v>
      </c>
      <c r="P5" s="5633"/>
      <c r="Q5" s="5629">
        <f>Q7-Q6</f>
        <v>60960.812000000013</v>
      </c>
      <c r="R5" s="5630"/>
      <c r="S5" s="5630"/>
      <c r="T5" s="5633"/>
      <c r="U5" s="5629">
        <f>U7-U6</f>
        <v>46984.822000000007</v>
      </c>
      <c r="V5" s="5630"/>
      <c r="W5" s="5634">
        <f t="shared" ref="W5:W6" si="1">+S5+U5</f>
        <v>46984.822000000007</v>
      </c>
      <c r="X5" s="5633"/>
      <c r="Y5" s="5629">
        <f>Y7-Y6</f>
        <v>53203.589000000007</v>
      </c>
      <c r="Z5" s="5631"/>
      <c r="AA5" s="5632">
        <f>+Q5+U5+Y5</f>
        <v>161149.22300000003</v>
      </c>
      <c r="AB5" s="5635"/>
      <c r="AC5" s="5635">
        <f t="shared" ref="AC5:AC6" si="2">+AA5+O5</f>
        <v>335047.7</v>
      </c>
      <c r="AD5" s="5633"/>
      <c r="AE5" s="5633"/>
      <c r="AF5" s="5630"/>
      <c r="AG5" s="5630"/>
      <c r="AH5" s="5633"/>
      <c r="AI5" s="5627"/>
      <c r="AJ5" s="5630"/>
      <c r="AK5" s="5630"/>
      <c r="AL5" s="5633"/>
      <c r="AM5" s="5627"/>
      <c r="AN5" s="5631"/>
      <c r="AO5" s="5631"/>
      <c r="AP5" s="5630"/>
      <c r="AQ5" s="5630"/>
      <c r="AR5" s="5633"/>
      <c r="AS5" s="5627"/>
      <c r="AT5" s="5630"/>
      <c r="AU5" s="5630"/>
      <c r="AV5" s="5633"/>
      <c r="AW5" s="5627"/>
      <c r="AX5" s="5630"/>
      <c r="AY5" s="5630"/>
      <c r="AZ5" s="5633"/>
      <c r="BA5" s="5627"/>
      <c r="BB5" s="5631"/>
      <c r="BC5" s="5631"/>
      <c r="BD5" s="5636"/>
      <c r="BE5" s="5636"/>
      <c r="BF5" s="5630"/>
      <c r="BG5" s="5630"/>
      <c r="BH5" s="5637"/>
    </row>
    <row r="6" spans="1:72" ht="14.45" hidden="1" x14ac:dyDescent="0.3">
      <c r="B6" s="5626"/>
      <c r="C6" s="5627" t="s">
        <v>2360</v>
      </c>
      <c r="D6" s="5628"/>
      <c r="E6" s="5627"/>
      <c r="F6" s="5627"/>
      <c r="G6" s="5627"/>
      <c r="H6" s="5627"/>
      <c r="I6" s="5627"/>
      <c r="J6" s="5630"/>
      <c r="K6" s="5630"/>
      <c r="L6" s="5627"/>
      <c r="M6" s="5629">
        <v>2132.9</v>
      </c>
      <c r="N6" s="5631"/>
      <c r="O6" s="5632">
        <f t="shared" si="0"/>
        <v>2132.9</v>
      </c>
      <c r="P6" s="5633"/>
      <c r="Q6" s="5633"/>
      <c r="R6" s="5630"/>
      <c r="S6" s="5630"/>
      <c r="T6" s="5633"/>
      <c r="U6" s="5629">
        <v>535.9</v>
      </c>
      <c r="V6" s="5630"/>
      <c r="W6" s="5634">
        <f t="shared" si="1"/>
        <v>535.9</v>
      </c>
      <c r="X6" s="5633"/>
      <c r="Y6" s="5633"/>
      <c r="Z6" s="5631"/>
      <c r="AA6" s="5632">
        <f>+Q6+U6+Y6</f>
        <v>535.9</v>
      </c>
      <c r="AB6" s="5635"/>
      <c r="AC6" s="5638">
        <f t="shared" si="2"/>
        <v>2668.8</v>
      </c>
      <c r="AD6" s="5633"/>
      <c r="AE6" s="5633"/>
      <c r="AF6" s="5630"/>
      <c r="AG6" s="5630"/>
      <c r="AH6" s="5633"/>
      <c r="AI6" s="5627"/>
      <c r="AJ6" s="5630"/>
      <c r="AK6" s="5630"/>
      <c r="AL6" s="5633"/>
      <c r="AM6" s="5627"/>
      <c r="AN6" s="5631"/>
      <c r="AO6" s="5631"/>
      <c r="AP6" s="5630"/>
      <c r="AQ6" s="5630"/>
      <c r="AR6" s="5633"/>
      <c r="AS6" s="5627"/>
      <c r="AT6" s="5630"/>
      <c r="AU6" s="5630"/>
      <c r="AV6" s="5633"/>
      <c r="AW6" s="5627"/>
      <c r="AX6" s="5630"/>
      <c r="AY6" s="5630"/>
      <c r="AZ6" s="5633"/>
      <c r="BA6" s="5627"/>
      <c r="BB6" s="5631"/>
      <c r="BC6" s="5631"/>
      <c r="BD6" s="5636"/>
      <c r="BE6" s="5636"/>
      <c r="BF6" s="5630"/>
      <c r="BG6" s="5630"/>
      <c r="BH6" s="5637"/>
    </row>
    <row r="7" spans="1:72" ht="17.100000000000001" customHeight="1" thickBot="1" x14ac:dyDescent="0.35">
      <c r="B7" s="5625" t="s">
        <v>847</v>
      </c>
      <c r="C7" s="3081"/>
      <c r="D7" s="3082"/>
      <c r="E7" s="3083" t="s">
        <v>50</v>
      </c>
      <c r="F7" s="3084">
        <v>65435.356200527705</v>
      </c>
      <c r="G7" s="577">
        <v>52840.79</v>
      </c>
      <c r="H7" s="3084">
        <v>68601.583113456465</v>
      </c>
      <c r="I7" s="577">
        <v>60969.777000000002</v>
      </c>
      <c r="J7" s="886">
        <f>+H7+F7</f>
        <v>134036.93931398418</v>
      </c>
      <c r="K7" s="3085">
        <f>+G7+I7</f>
        <v>113810.56700000001</v>
      </c>
      <c r="L7" s="3084">
        <v>65963.06068601583</v>
      </c>
      <c r="M7" s="577">
        <v>62220.809999999976</v>
      </c>
      <c r="N7" s="2032">
        <f>+F7+H7+L7</f>
        <v>200000</v>
      </c>
      <c r="O7" s="2033">
        <f>+G7+I7+M7</f>
        <v>176031.37699999998</v>
      </c>
      <c r="P7" s="3084">
        <v>68601.583113456465</v>
      </c>
      <c r="Q7" s="577">
        <v>60960.812000000013</v>
      </c>
      <c r="R7" s="2041">
        <f>+N7+P7</f>
        <v>268601.58311345649</v>
      </c>
      <c r="S7" s="99">
        <f>+O7+Q7</f>
        <v>236992.18899999998</v>
      </c>
      <c r="T7" s="3084">
        <v>68601.583113456465</v>
      </c>
      <c r="U7" s="577">
        <v>47520.722000000009</v>
      </c>
      <c r="V7" s="2041">
        <f>+R7+T7</f>
        <v>337203.16622691299</v>
      </c>
      <c r="W7" s="99">
        <f>+S7+U7</f>
        <v>284512.91099999996</v>
      </c>
      <c r="X7" s="3084">
        <v>35356.200527704488</v>
      </c>
      <c r="Y7" s="577">
        <v>53203.589000000007</v>
      </c>
      <c r="Z7" s="900">
        <f>+P7+T7+X7</f>
        <v>172559.36675461743</v>
      </c>
      <c r="AA7" s="91">
        <f>+Q7+U7+Y7</f>
        <v>161685.12300000002</v>
      </c>
      <c r="AB7" s="2312">
        <f>+N7+Z7</f>
        <v>372559.36675461743</v>
      </c>
      <c r="AC7" s="468">
        <f>+AA7+O7</f>
        <v>337716.5</v>
      </c>
      <c r="AD7" s="3084">
        <v>56992.084432717675</v>
      </c>
      <c r="AE7" s="4980">
        <v>47718.038999999997</v>
      </c>
      <c r="AF7" s="2041">
        <f>+AB7+AD7</f>
        <v>429551.45118733507</v>
      </c>
      <c r="AG7" s="99">
        <f>+AC7+AE7</f>
        <v>385434.53899999999</v>
      </c>
      <c r="AH7" s="3084">
        <v>54881.266490765171</v>
      </c>
      <c r="AI7" s="577">
        <v>9162.5960000000014</v>
      </c>
      <c r="AJ7" s="2041">
        <f>+AF7+AH7</f>
        <v>484432.71767810022</v>
      </c>
      <c r="AK7" s="99">
        <f>+AG7+AI7</f>
        <v>394597.13500000001</v>
      </c>
      <c r="AL7" s="2018">
        <v>56992.084432717675</v>
      </c>
      <c r="AM7" s="4981">
        <v>43999</v>
      </c>
      <c r="AN7" s="900">
        <f>+AD7+AH7+AL7</f>
        <v>168865.43535620053</v>
      </c>
      <c r="AO7" s="91">
        <f>+AE7+AI7+AM7</f>
        <v>100879.63499999999</v>
      </c>
      <c r="AP7" s="2041">
        <f>+AL7+AJ7</f>
        <v>541424.80211081787</v>
      </c>
      <c r="AQ7" s="2041">
        <f>+AM7+AK7</f>
        <v>438596.13500000001</v>
      </c>
      <c r="AR7" s="2018">
        <v>56992.084432717675</v>
      </c>
      <c r="AS7" s="4981">
        <v>54570.189000000006</v>
      </c>
      <c r="AT7" s="2041">
        <f>+AP7+AR7</f>
        <v>598416.88654353551</v>
      </c>
      <c r="AU7" s="99">
        <f>+AQ7+AS7</f>
        <v>493166.32400000002</v>
      </c>
      <c r="AV7" s="2018">
        <v>50659.630606860155</v>
      </c>
      <c r="AW7" s="1772">
        <v>54216.333000000006</v>
      </c>
      <c r="AX7" s="2041">
        <f>+AT7+AV7</f>
        <v>649076.51715039567</v>
      </c>
      <c r="AY7" s="99">
        <f>+AU7+AW7</f>
        <v>547382.65700000001</v>
      </c>
      <c r="AZ7" s="2018">
        <v>63324.538258575194</v>
      </c>
      <c r="BA7" s="1772">
        <v>65968.552000000011</v>
      </c>
      <c r="BB7" s="900">
        <f>+AR7+AV7+AZ7</f>
        <v>170976.25329815302</v>
      </c>
      <c r="BC7" s="91">
        <f>+AS7+AW7+BA7</f>
        <v>174755.07400000002</v>
      </c>
      <c r="BD7" s="901">
        <f>+AN7+BB7</f>
        <v>339841.68865435355</v>
      </c>
      <c r="BE7" s="901">
        <f>+AO7+BC7</f>
        <v>275634.70900000003</v>
      </c>
      <c r="BF7" s="2041">
        <f>+AX7+AZ7</f>
        <v>712401.05540897092</v>
      </c>
      <c r="BG7" s="99">
        <f>+AY7+BA7</f>
        <v>613351.20900000003</v>
      </c>
      <c r="BH7" s="26"/>
      <c r="BI7" s="26"/>
      <c r="BJ7" s="26"/>
      <c r="BK7" s="26"/>
      <c r="BL7" s="26"/>
      <c r="BM7" s="26"/>
      <c r="BN7" s="549"/>
    </row>
    <row r="8" spans="1:72" ht="14.45" x14ac:dyDescent="0.3">
      <c r="B8" s="3090" t="s">
        <v>852</v>
      </c>
      <c r="C8" s="3091" t="s">
        <v>947</v>
      </c>
      <c r="D8" s="3092">
        <v>42.24</v>
      </c>
      <c r="E8" s="1329" t="s">
        <v>50</v>
      </c>
      <c r="F8" s="3093"/>
      <c r="G8" s="88">
        <v>495.54500000000007</v>
      </c>
      <c r="H8" s="3093"/>
      <c r="I8" s="88">
        <v>459.78500000000008</v>
      </c>
      <c r="J8" s="3094"/>
      <c r="K8" s="4957">
        <f>+G8+I8</f>
        <v>955.33000000000015</v>
      </c>
      <c r="L8" s="3093"/>
      <c r="M8" s="88"/>
      <c r="N8" s="2034"/>
      <c r="O8" s="69">
        <f>+G8+I8+M8</f>
        <v>955.33000000000015</v>
      </c>
      <c r="P8" s="3093"/>
      <c r="Q8" s="88">
        <v>825.04300000000001</v>
      </c>
      <c r="R8" s="2042"/>
      <c r="S8" s="39">
        <f>+O8+Q8</f>
        <v>1780.373</v>
      </c>
      <c r="T8" s="3093"/>
      <c r="U8" s="88">
        <v>407.125</v>
      </c>
      <c r="V8" s="2042"/>
      <c r="W8" s="39">
        <f>+S8+U8</f>
        <v>2187.498</v>
      </c>
      <c r="X8" s="3093"/>
      <c r="Y8" s="88">
        <v>296.09300000000002</v>
      </c>
      <c r="Z8" s="902"/>
      <c r="AA8" s="781">
        <f>+Q8+U8+Y8</f>
        <v>1528.2610000000002</v>
      </c>
      <c r="AB8" s="4199"/>
      <c r="AC8" s="465">
        <f>+AA8+O8</f>
        <v>2483.5910000000003</v>
      </c>
      <c r="AD8" s="3093"/>
      <c r="AE8" s="88"/>
      <c r="AF8" s="2042"/>
      <c r="AG8" s="39">
        <f>+AC8+AE8</f>
        <v>2483.5910000000003</v>
      </c>
      <c r="AH8" s="3093"/>
      <c r="AI8" s="88"/>
      <c r="AJ8" s="2042"/>
      <c r="AK8" s="39">
        <f>+AG8+AI8</f>
        <v>2483.5910000000003</v>
      </c>
      <c r="AL8" s="3093"/>
      <c r="AM8" s="88">
        <v>2026.1429999999996</v>
      </c>
      <c r="AN8" s="902"/>
      <c r="AO8" s="781">
        <f>+AE8+AI8+AM8</f>
        <v>2026.1429999999996</v>
      </c>
      <c r="AP8" s="2042"/>
      <c r="AQ8" s="39">
        <f>AK8+AM8</f>
        <v>4509.7340000000004</v>
      </c>
      <c r="AR8" s="3093"/>
      <c r="AS8" s="88">
        <v>472.02799999999996</v>
      </c>
      <c r="AT8" s="2042"/>
      <c r="AU8" s="39">
        <f>+AQ8+AS8</f>
        <v>4981.7620000000006</v>
      </c>
      <c r="AV8" s="3093"/>
      <c r="AW8" s="88">
        <v>995.15700000000004</v>
      </c>
      <c r="AX8" s="2042"/>
      <c r="AY8" s="39">
        <f>+AU8+AW8</f>
        <v>5976.9190000000008</v>
      </c>
      <c r="AZ8" s="3093"/>
      <c r="BA8" s="88">
        <v>818.29199999999992</v>
      </c>
      <c r="BB8" s="902"/>
      <c r="BC8" s="781">
        <f>+AS8+AW8+BA8</f>
        <v>2285.4769999999999</v>
      </c>
      <c r="BD8" s="903"/>
      <c r="BE8" s="700">
        <f>+AO8+BC8</f>
        <v>4311.619999999999</v>
      </c>
      <c r="BF8" s="2042"/>
      <c r="BG8" s="39">
        <f>+AY8+BA8</f>
        <v>6795.2110000000011</v>
      </c>
      <c r="BH8" s="26"/>
      <c r="BI8" s="26"/>
      <c r="BJ8" s="26"/>
      <c r="BK8" s="26"/>
      <c r="BL8" s="26"/>
      <c r="BM8" s="26"/>
      <c r="BN8" s="1219"/>
    </row>
    <row r="9" spans="1:72" ht="14.45" x14ac:dyDescent="0.3">
      <c r="B9" s="1090" t="s">
        <v>852</v>
      </c>
      <c r="C9" s="2894" t="s">
        <v>1013</v>
      </c>
      <c r="D9" s="2895">
        <v>42.24</v>
      </c>
      <c r="E9" s="1392" t="s">
        <v>50</v>
      </c>
      <c r="F9" s="2019"/>
      <c r="G9" s="18">
        <v>2825.8679999999999</v>
      </c>
      <c r="H9" s="2019"/>
      <c r="I9" s="18">
        <v>6491.6309999999985</v>
      </c>
      <c r="J9" s="2025"/>
      <c r="K9" s="4957">
        <f t="shared" ref="K9:K87" si="3">+G9+I9</f>
        <v>9317.498999999998</v>
      </c>
      <c r="L9" s="2019"/>
      <c r="M9" s="18">
        <v>3305.3959999999988</v>
      </c>
      <c r="N9" s="2034"/>
      <c r="O9" s="69">
        <f t="shared" ref="O9:O87" si="4">+G9+I9+M9</f>
        <v>12622.894999999997</v>
      </c>
      <c r="P9" s="2019"/>
      <c r="Q9" s="18">
        <v>3240.4470000000001</v>
      </c>
      <c r="R9" s="2042"/>
      <c r="S9" s="39">
        <f t="shared" ref="S9:S80" si="5">+O9+Q9</f>
        <v>15863.341999999997</v>
      </c>
      <c r="T9" s="2019"/>
      <c r="U9" s="18">
        <v>2545.2549999999997</v>
      </c>
      <c r="V9" s="2042"/>
      <c r="W9" s="39">
        <f t="shared" ref="W9:W87" si="6">+S9+U9</f>
        <v>18408.596999999998</v>
      </c>
      <c r="X9" s="2019"/>
      <c r="Y9" s="18">
        <v>2017.1290000000004</v>
      </c>
      <c r="Z9" s="902"/>
      <c r="AA9" s="781">
        <f t="shared" ref="AA9:AA72" si="7">+Q9+U9+Y9</f>
        <v>7802.8310000000001</v>
      </c>
      <c r="AB9" s="4199"/>
      <c r="AC9" s="465">
        <f t="shared" ref="AC9:AC72" si="8">+AA9+O9</f>
        <v>20425.725999999995</v>
      </c>
      <c r="AD9" s="2019"/>
      <c r="AE9" s="18">
        <v>2577.018</v>
      </c>
      <c r="AF9" s="2042"/>
      <c r="AG9" s="39">
        <f t="shared" ref="AG9:AG39" si="9">+AC9+AE9</f>
        <v>23002.743999999995</v>
      </c>
      <c r="AH9" s="2019"/>
      <c r="AI9" s="18"/>
      <c r="AJ9" s="2042"/>
      <c r="AK9" s="39">
        <f t="shared" ref="AK9:AK39" si="10">+AG9+AI9</f>
        <v>23002.743999999995</v>
      </c>
      <c r="AL9" s="2019"/>
      <c r="AM9" s="18">
        <v>5141.098</v>
      </c>
      <c r="AN9" s="902"/>
      <c r="AO9" s="781">
        <f t="shared" ref="AO9:AO87" si="11">+AE9+AI9+AM9</f>
        <v>7718.116</v>
      </c>
      <c r="AP9" s="2042"/>
      <c r="AQ9" s="39">
        <f t="shared" ref="AQ9:AQ90" si="12">AK9+AM9</f>
        <v>28143.841999999997</v>
      </c>
      <c r="AR9" s="2019"/>
      <c r="AS9" s="18">
        <v>2347.7169999999996</v>
      </c>
      <c r="AT9" s="2042"/>
      <c r="AU9" s="39">
        <f t="shared" ref="AU9:AU90" si="13">+AQ9+AS9</f>
        <v>30491.558999999997</v>
      </c>
      <c r="AV9" s="2019"/>
      <c r="AW9" s="18">
        <v>3193.2939999999999</v>
      </c>
      <c r="AX9" s="2042"/>
      <c r="AY9" s="39">
        <f t="shared" ref="AY9:AY90" si="14">+AU9+AW9</f>
        <v>33684.852999999996</v>
      </c>
      <c r="AZ9" s="2019"/>
      <c r="BA9" s="18">
        <v>2870.5039999999999</v>
      </c>
      <c r="BB9" s="902"/>
      <c r="BC9" s="781">
        <f t="shared" ref="BC9:BC87" si="15">+AS9+AW9+BA9</f>
        <v>8411.5149999999994</v>
      </c>
      <c r="BD9" s="903"/>
      <c r="BE9" s="700">
        <f t="shared" ref="BE9:BE87" si="16">+AO9+BC9</f>
        <v>16129.630999999999</v>
      </c>
      <c r="BF9" s="2042"/>
      <c r="BG9" s="39">
        <f t="shared" ref="BG9:BG87" si="17">+AY9+BA9</f>
        <v>36555.356999999996</v>
      </c>
      <c r="BH9" s="26"/>
      <c r="BI9" s="26"/>
      <c r="BJ9" s="26"/>
      <c r="BK9" s="26"/>
      <c r="BL9" s="26"/>
      <c r="BM9" s="26"/>
      <c r="BN9" s="1219"/>
    </row>
    <row r="10" spans="1:72" ht="14.45" x14ac:dyDescent="0.3">
      <c r="B10" s="1090" t="s">
        <v>910</v>
      </c>
      <c r="C10" s="2894" t="s">
        <v>947</v>
      </c>
      <c r="D10" s="2895">
        <v>49.32</v>
      </c>
      <c r="E10" s="1392" t="s">
        <v>50</v>
      </c>
      <c r="F10" s="2019"/>
      <c r="G10" s="18"/>
      <c r="H10" s="2019"/>
      <c r="I10" s="18">
        <v>632.70000000000005</v>
      </c>
      <c r="J10" s="2025"/>
      <c r="K10" s="4957">
        <f t="shared" si="3"/>
        <v>632.70000000000005</v>
      </c>
      <c r="L10" s="2019"/>
      <c r="M10" s="18"/>
      <c r="N10" s="2034"/>
      <c r="O10" s="69">
        <f t="shared" si="4"/>
        <v>632.70000000000005</v>
      </c>
      <c r="P10" s="2019"/>
      <c r="Q10" s="18">
        <v>152.68199999999999</v>
      </c>
      <c r="R10" s="2042"/>
      <c r="S10" s="39">
        <f t="shared" si="5"/>
        <v>785.38200000000006</v>
      </c>
      <c r="T10" s="2019"/>
      <c r="U10" s="18">
        <v>94.540999999999997</v>
      </c>
      <c r="V10" s="2042"/>
      <c r="W10" s="39">
        <f t="shared" si="6"/>
        <v>879.923</v>
      </c>
      <c r="X10" s="2019"/>
      <c r="Y10" s="18"/>
      <c r="Z10" s="902"/>
      <c r="AA10" s="781">
        <f t="shared" si="7"/>
        <v>247.22299999999998</v>
      </c>
      <c r="AB10" s="4199"/>
      <c r="AC10" s="465">
        <f t="shared" si="8"/>
        <v>879.923</v>
      </c>
      <c r="AD10" s="2019"/>
      <c r="AE10" s="18"/>
      <c r="AF10" s="2042"/>
      <c r="AG10" s="39">
        <f t="shared" si="9"/>
        <v>879.923</v>
      </c>
      <c r="AH10" s="2019"/>
      <c r="AI10" s="18"/>
      <c r="AJ10" s="2042"/>
      <c r="AK10" s="39">
        <f t="shared" si="10"/>
        <v>879.923</v>
      </c>
      <c r="AL10" s="2019"/>
      <c r="AM10" s="18">
        <v>273.72800000000001</v>
      </c>
      <c r="AN10" s="902"/>
      <c r="AO10" s="781">
        <f t="shared" si="11"/>
        <v>273.72800000000001</v>
      </c>
      <c r="AP10" s="2042"/>
      <c r="AQ10" s="39">
        <f t="shared" si="12"/>
        <v>1153.6510000000001</v>
      </c>
      <c r="AR10" s="2019"/>
      <c r="AS10" s="18">
        <v>310.22500000000002</v>
      </c>
      <c r="AT10" s="2042"/>
      <c r="AU10" s="39">
        <f t="shared" si="13"/>
        <v>1463.8760000000002</v>
      </c>
      <c r="AV10" s="2019"/>
      <c r="AW10" s="18">
        <v>592.18499999999995</v>
      </c>
      <c r="AX10" s="2042"/>
      <c r="AY10" s="39">
        <f t="shared" si="14"/>
        <v>2056.0610000000001</v>
      </c>
      <c r="AZ10" s="2019"/>
      <c r="BA10" s="18">
        <v>377.97300000000001</v>
      </c>
      <c r="BB10" s="902"/>
      <c r="BC10" s="781">
        <f t="shared" si="15"/>
        <v>1280.383</v>
      </c>
      <c r="BD10" s="903"/>
      <c r="BE10" s="700">
        <f t="shared" si="16"/>
        <v>1554.1110000000001</v>
      </c>
      <c r="BF10" s="2042"/>
      <c r="BG10" s="39">
        <f t="shared" si="17"/>
        <v>2434.0340000000001</v>
      </c>
      <c r="BH10" s="26"/>
      <c r="BI10" s="26"/>
      <c r="BJ10" s="26"/>
      <c r="BK10" s="26"/>
      <c r="BL10" s="26"/>
      <c r="BM10" s="26"/>
      <c r="BN10" s="1219"/>
    </row>
    <row r="11" spans="1:72" ht="14.45" x14ac:dyDescent="0.3">
      <c r="B11" s="1090" t="s">
        <v>910</v>
      </c>
      <c r="C11" s="2894" t="s">
        <v>1013</v>
      </c>
      <c r="D11" s="2895">
        <v>49.32</v>
      </c>
      <c r="E11" s="1392" t="s">
        <v>50</v>
      </c>
      <c r="F11" s="2019"/>
      <c r="G11" s="18">
        <v>632.702</v>
      </c>
      <c r="H11" s="2019"/>
      <c r="I11" s="18">
        <v>960.57</v>
      </c>
      <c r="J11" s="2025"/>
      <c r="K11" s="4957">
        <f t="shared" si="3"/>
        <v>1593.2719999999999</v>
      </c>
      <c r="L11" s="2019"/>
      <c r="M11" s="18">
        <v>559.976</v>
      </c>
      <c r="N11" s="2034"/>
      <c r="O11" s="69">
        <f t="shared" si="4"/>
        <v>2153.248</v>
      </c>
      <c r="P11" s="2019"/>
      <c r="Q11" s="18">
        <v>443.53799999999995</v>
      </c>
      <c r="R11" s="2042"/>
      <c r="S11" s="39">
        <f t="shared" si="5"/>
        <v>2596.7860000000001</v>
      </c>
      <c r="T11" s="2019"/>
      <c r="U11" s="18">
        <v>737.06700000000001</v>
      </c>
      <c r="V11" s="2042"/>
      <c r="W11" s="39">
        <f t="shared" si="6"/>
        <v>3333.8530000000001</v>
      </c>
      <c r="X11" s="2019"/>
      <c r="Y11" s="18">
        <v>509.07</v>
      </c>
      <c r="Z11" s="902"/>
      <c r="AA11" s="781">
        <f t="shared" si="7"/>
        <v>1689.675</v>
      </c>
      <c r="AB11" s="4199"/>
      <c r="AC11" s="465">
        <f t="shared" si="8"/>
        <v>3842.9229999999998</v>
      </c>
      <c r="AD11" s="2019"/>
      <c r="AE11" s="18"/>
      <c r="AF11" s="2042"/>
      <c r="AG11" s="39">
        <f t="shared" si="9"/>
        <v>3842.9229999999998</v>
      </c>
      <c r="AH11" s="2019"/>
      <c r="AI11" s="18"/>
      <c r="AJ11" s="2042"/>
      <c r="AK11" s="39">
        <f t="shared" si="10"/>
        <v>3842.9229999999998</v>
      </c>
      <c r="AL11" s="2019"/>
      <c r="AM11" s="18">
        <v>985.42200000000003</v>
      </c>
      <c r="AN11" s="902"/>
      <c r="AO11" s="781">
        <f t="shared" si="11"/>
        <v>985.42200000000003</v>
      </c>
      <c r="AP11" s="2042"/>
      <c r="AQ11" s="39">
        <f t="shared" si="12"/>
        <v>4828.3449999999993</v>
      </c>
      <c r="AR11" s="2019"/>
      <c r="AS11" s="18">
        <v>736.2170000000001</v>
      </c>
      <c r="AT11" s="2042"/>
      <c r="AU11" s="39">
        <f t="shared" si="13"/>
        <v>5564.5619999999999</v>
      </c>
      <c r="AV11" s="2019"/>
      <c r="AW11" s="18">
        <v>604.52</v>
      </c>
      <c r="AX11" s="2042"/>
      <c r="AY11" s="39">
        <f t="shared" si="14"/>
        <v>6169.0820000000003</v>
      </c>
      <c r="AZ11" s="2019"/>
      <c r="BA11" s="18">
        <v>570.822</v>
      </c>
      <c r="BB11" s="902"/>
      <c r="BC11" s="781">
        <f t="shared" si="15"/>
        <v>1911.5590000000002</v>
      </c>
      <c r="BD11" s="903"/>
      <c r="BE11" s="700">
        <f t="shared" si="16"/>
        <v>2896.9810000000002</v>
      </c>
      <c r="BF11" s="2042"/>
      <c r="BG11" s="39">
        <f t="shared" si="17"/>
        <v>6739.9040000000005</v>
      </c>
      <c r="BH11" s="26"/>
      <c r="BI11" s="26"/>
      <c r="BJ11" s="26"/>
      <c r="BK11" s="26"/>
      <c r="BL11" s="26"/>
      <c r="BM11" s="26"/>
      <c r="BN11" s="1219"/>
    </row>
    <row r="12" spans="1:72" ht="14.45" x14ac:dyDescent="0.3">
      <c r="B12" s="1090" t="s">
        <v>910</v>
      </c>
      <c r="C12" s="2894" t="s">
        <v>947</v>
      </c>
      <c r="D12" s="2895">
        <v>36.53</v>
      </c>
      <c r="E12" s="1392" t="s">
        <v>50</v>
      </c>
      <c r="F12" s="2019"/>
      <c r="G12" s="18"/>
      <c r="H12" s="2019"/>
      <c r="I12" s="18">
        <v>149.02000000000001</v>
      </c>
      <c r="J12" s="2025"/>
      <c r="K12" s="4957">
        <f t="shared" si="3"/>
        <v>149.02000000000001</v>
      </c>
      <c r="L12" s="2019"/>
      <c r="M12" s="18"/>
      <c r="N12" s="2034"/>
      <c r="O12" s="69">
        <f t="shared" si="4"/>
        <v>149.02000000000001</v>
      </c>
      <c r="P12" s="2019"/>
      <c r="Q12" s="18"/>
      <c r="R12" s="2042"/>
      <c r="S12" s="39">
        <f t="shared" si="5"/>
        <v>149.02000000000001</v>
      </c>
      <c r="T12" s="2019"/>
      <c r="U12" s="18">
        <v>217.69</v>
      </c>
      <c r="V12" s="2042"/>
      <c r="W12" s="39">
        <f t="shared" si="6"/>
        <v>366.71000000000004</v>
      </c>
      <c r="X12" s="2019"/>
      <c r="Y12" s="18">
        <v>579.52300000000002</v>
      </c>
      <c r="Z12" s="2896"/>
      <c r="AA12" s="781">
        <f t="shared" si="7"/>
        <v>797.21299999999997</v>
      </c>
      <c r="AB12" s="4200"/>
      <c r="AC12" s="465">
        <f t="shared" si="8"/>
        <v>946.23299999999995</v>
      </c>
      <c r="AD12" s="2019"/>
      <c r="AE12" s="18"/>
      <c r="AF12" s="2042"/>
      <c r="AG12" s="39">
        <f t="shared" si="9"/>
        <v>946.23299999999995</v>
      </c>
      <c r="AH12" s="2019"/>
      <c r="AI12" s="18"/>
      <c r="AJ12" s="2042"/>
      <c r="AK12" s="39">
        <f t="shared" si="10"/>
        <v>946.23299999999995</v>
      </c>
      <c r="AL12" s="2019"/>
      <c r="AM12" s="18">
        <v>220.51899999999998</v>
      </c>
      <c r="AN12" s="2896"/>
      <c r="AO12" s="781">
        <f t="shared" si="11"/>
        <v>220.51899999999998</v>
      </c>
      <c r="AP12" s="2042"/>
      <c r="AQ12" s="39">
        <f t="shared" si="12"/>
        <v>1166.752</v>
      </c>
      <c r="AR12" s="2019"/>
      <c r="AS12" s="18"/>
      <c r="AT12" s="2042"/>
      <c r="AU12" s="39">
        <f t="shared" si="13"/>
        <v>1166.752</v>
      </c>
      <c r="AV12" s="2019"/>
      <c r="AW12" s="18"/>
      <c r="AX12" s="2042"/>
      <c r="AY12" s="39">
        <f t="shared" si="14"/>
        <v>1166.752</v>
      </c>
      <c r="AZ12" s="2019"/>
      <c r="BA12" s="18"/>
      <c r="BB12" s="2896"/>
      <c r="BC12" s="781">
        <f t="shared" si="15"/>
        <v>0</v>
      </c>
      <c r="BD12" s="2897"/>
      <c r="BE12" s="700">
        <f t="shared" si="16"/>
        <v>220.51899999999998</v>
      </c>
      <c r="BF12" s="2042"/>
      <c r="BG12" s="39">
        <f t="shared" si="17"/>
        <v>1166.752</v>
      </c>
      <c r="BH12" s="26"/>
      <c r="BI12" s="26"/>
      <c r="BJ12" s="26"/>
      <c r="BK12" s="26"/>
      <c r="BL12" s="26"/>
      <c r="BM12" s="26"/>
      <c r="BN12" s="1219"/>
    </row>
    <row r="13" spans="1:72" ht="14.45" x14ac:dyDescent="0.3">
      <c r="B13" s="1090" t="s">
        <v>852</v>
      </c>
      <c r="C13" s="2894" t="s">
        <v>947</v>
      </c>
      <c r="D13" s="2895">
        <v>36.520000000000003</v>
      </c>
      <c r="E13" s="1392" t="s">
        <v>50</v>
      </c>
      <c r="F13" s="2019"/>
      <c r="G13" s="18"/>
      <c r="H13" s="2019"/>
      <c r="I13" s="18"/>
      <c r="J13" s="2025"/>
      <c r="K13" s="4957">
        <f t="shared" si="3"/>
        <v>0</v>
      </c>
      <c r="L13" s="2019"/>
      <c r="M13" s="18"/>
      <c r="N13" s="2034"/>
      <c r="O13" s="69">
        <f t="shared" si="4"/>
        <v>0</v>
      </c>
      <c r="P13" s="2019"/>
      <c r="Q13" s="18"/>
      <c r="R13" s="2042"/>
      <c r="S13" s="39">
        <f t="shared" si="5"/>
        <v>0</v>
      </c>
      <c r="T13" s="2019"/>
      <c r="U13" s="18"/>
      <c r="V13" s="2042"/>
      <c r="W13" s="39">
        <f t="shared" si="6"/>
        <v>0</v>
      </c>
      <c r="X13" s="2019"/>
      <c r="Y13" s="18"/>
      <c r="Z13" s="902"/>
      <c r="AA13" s="781">
        <f t="shared" si="7"/>
        <v>0</v>
      </c>
      <c r="AB13" s="4199"/>
      <c r="AC13" s="465">
        <f t="shared" si="8"/>
        <v>0</v>
      </c>
      <c r="AD13" s="2019"/>
      <c r="AE13" s="18"/>
      <c r="AF13" s="2042"/>
      <c r="AG13" s="39">
        <f t="shared" si="9"/>
        <v>0</v>
      </c>
      <c r="AH13" s="2019"/>
      <c r="AI13" s="18"/>
      <c r="AJ13" s="2042"/>
      <c r="AK13" s="39">
        <f t="shared" si="10"/>
        <v>0</v>
      </c>
      <c r="AL13" s="2019"/>
      <c r="AM13" s="18"/>
      <c r="AN13" s="902"/>
      <c r="AO13" s="781">
        <f t="shared" si="11"/>
        <v>0</v>
      </c>
      <c r="AP13" s="2042"/>
      <c r="AQ13" s="39">
        <f t="shared" si="12"/>
        <v>0</v>
      </c>
      <c r="AR13" s="2019"/>
      <c r="AS13" s="18"/>
      <c r="AT13" s="2042"/>
      <c r="AU13" s="39">
        <f t="shared" si="13"/>
        <v>0</v>
      </c>
      <c r="AV13" s="2019"/>
      <c r="AW13" s="18"/>
      <c r="AX13" s="2042"/>
      <c r="AY13" s="39">
        <f t="shared" si="14"/>
        <v>0</v>
      </c>
      <c r="AZ13" s="2019"/>
      <c r="BA13" s="18"/>
      <c r="BB13" s="902"/>
      <c r="BC13" s="781">
        <f t="shared" si="15"/>
        <v>0</v>
      </c>
      <c r="BD13" s="903"/>
      <c r="BE13" s="700">
        <f t="shared" si="16"/>
        <v>0</v>
      </c>
      <c r="BF13" s="2042"/>
      <c r="BG13" s="39">
        <f t="shared" si="17"/>
        <v>0</v>
      </c>
      <c r="BH13" s="26"/>
      <c r="BI13" s="26"/>
      <c r="BJ13" s="26"/>
      <c r="BK13" s="26"/>
      <c r="BL13" s="26"/>
      <c r="BM13" s="26"/>
      <c r="BN13" s="1219"/>
    </row>
    <row r="14" spans="1:72" thickBot="1" x14ac:dyDescent="0.35">
      <c r="B14" s="3095" t="s">
        <v>852</v>
      </c>
      <c r="C14" s="3096" t="s">
        <v>1013</v>
      </c>
      <c r="D14" s="3097">
        <v>36.53</v>
      </c>
      <c r="E14" s="1412" t="s">
        <v>50</v>
      </c>
      <c r="F14" s="3098"/>
      <c r="G14" s="38"/>
      <c r="H14" s="3098"/>
      <c r="I14" s="38">
        <v>391.86699999999996</v>
      </c>
      <c r="J14" s="3099"/>
      <c r="K14" s="4957">
        <f t="shared" si="3"/>
        <v>391.86699999999996</v>
      </c>
      <c r="L14" s="3098"/>
      <c r="M14" s="38"/>
      <c r="N14" s="2034"/>
      <c r="O14" s="69">
        <f t="shared" si="4"/>
        <v>391.86699999999996</v>
      </c>
      <c r="P14" s="3098"/>
      <c r="Q14" s="38">
        <v>894.154</v>
      </c>
      <c r="R14" s="2042"/>
      <c r="S14" s="39">
        <f t="shared" si="5"/>
        <v>1286.021</v>
      </c>
      <c r="T14" s="3098"/>
      <c r="U14" s="38">
        <v>441.10100000000006</v>
      </c>
      <c r="V14" s="2042"/>
      <c r="W14" s="39">
        <f t="shared" si="6"/>
        <v>1727.1220000000001</v>
      </c>
      <c r="X14" s="3098"/>
      <c r="Y14" s="38">
        <v>1500.3639999999998</v>
      </c>
      <c r="Z14" s="902"/>
      <c r="AA14" s="781">
        <f t="shared" si="7"/>
        <v>2835.6189999999997</v>
      </c>
      <c r="AB14" s="4199"/>
      <c r="AC14" s="465">
        <f t="shared" si="8"/>
        <v>3227.4859999999999</v>
      </c>
      <c r="AD14" s="3098"/>
      <c r="AE14" s="38"/>
      <c r="AF14" s="2042"/>
      <c r="AG14" s="39">
        <f t="shared" si="9"/>
        <v>3227.4859999999999</v>
      </c>
      <c r="AH14" s="3098"/>
      <c r="AI14" s="38"/>
      <c r="AJ14" s="2042"/>
      <c r="AK14" s="39">
        <f t="shared" si="10"/>
        <v>3227.4859999999999</v>
      </c>
      <c r="AL14" s="3098"/>
      <c r="AM14" s="38">
        <v>1018.143</v>
      </c>
      <c r="AN14" s="902"/>
      <c r="AO14" s="781">
        <f t="shared" si="11"/>
        <v>1018.143</v>
      </c>
      <c r="AP14" s="2042"/>
      <c r="AQ14" s="39">
        <f t="shared" si="12"/>
        <v>4245.6289999999999</v>
      </c>
      <c r="AR14" s="3098"/>
      <c r="AS14" s="38">
        <v>510.96000000000004</v>
      </c>
      <c r="AT14" s="2042"/>
      <c r="AU14" s="39">
        <f t="shared" si="13"/>
        <v>4756.5889999999999</v>
      </c>
      <c r="AV14" s="3098"/>
      <c r="AW14" s="38"/>
      <c r="AX14" s="2042"/>
      <c r="AY14" s="39">
        <f t="shared" si="14"/>
        <v>4756.5889999999999</v>
      </c>
      <c r="AZ14" s="3098"/>
      <c r="BA14" s="38"/>
      <c r="BB14" s="902"/>
      <c r="BC14" s="781">
        <f t="shared" si="15"/>
        <v>510.96000000000004</v>
      </c>
      <c r="BD14" s="903"/>
      <c r="BE14" s="700">
        <f t="shared" si="16"/>
        <v>1529.1030000000001</v>
      </c>
      <c r="BF14" s="2042"/>
      <c r="BG14" s="39">
        <f t="shared" si="17"/>
        <v>4756.5889999999999</v>
      </c>
      <c r="BH14" s="26"/>
      <c r="BI14" s="26"/>
      <c r="BJ14" s="26"/>
      <c r="BK14" s="26"/>
      <c r="BL14" s="26"/>
      <c r="BM14" s="26"/>
      <c r="BN14" s="1219"/>
      <c r="BP14" s="26"/>
      <c r="BQ14" s="26"/>
      <c r="BR14" s="26"/>
      <c r="BS14" s="279"/>
      <c r="BT14" s="26"/>
    </row>
    <row r="15" spans="1:72" ht="14.45" x14ac:dyDescent="0.3">
      <c r="B15" s="4064" t="s">
        <v>1909</v>
      </c>
      <c r="C15" s="4065" t="s">
        <v>1013</v>
      </c>
      <c r="D15" s="4066">
        <v>57.1</v>
      </c>
      <c r="E15" s="4067" t="s">
        <v>50</v>
      </c>
      <c r="F15" s="4068"/>
      <c r="G15" s="3964"/>
      <c r="H15" s="4068"/>
      <c r="I15" s="3964">
        <v>319.988</v>
      </c>
      <c r="J15" s="4069"/>
      <c r="K15" s="4957">
        <f t="shared" si="3"/>
        <v>319.988</v>
      </c>
      <c r="L15" s="4068"/>
      <c r="M15" s="3964">
        <v>652.11799999999994</v>
      </c>
      <c r="N15" s="2034"/>
      <c r="O15" s="69">
        <f t="shared" si="4"/>
        <v>972.10599999999999</v>
      </c>
      <c r="P15" s="4068"/>
      <c r="Q15" s="3964"/>
      <c r="R15" s="2042"/>
      <c r="S15" s="39">
        <f t="shared" si="5"/>
        <v>972.10599999999999</v>
      </c>
      <c r="T15" s="4068"/>
      <c r="U15" s="3964">
        <v>666.96699999999998</v>
      </c>
      <c r="V15" s="2042"/>
      <c r="W15" s="39">
        <f t="shared" si="6"/>
        <v>1639.0729999999999</v>
      </c>
      <c r="X15" s="4068"/>
      <c r="Y15" s="3964">
        <v>305.96699999999998</v>
      </c>
      <c r="Z15" s="2896"/>
      <c r="AA15" s="781">
        <f t="shared" si="7"/>
        <v>972.93399999999997</v>
      </c>
      <c r="AB15" s="4200"/>
      <c r="AC15" s="465">
        <f t="shared" si="8"/>
        <v>1945.04</v>
      </c>
      <c r="AD15" s="4068"/>
      <c r="AE15" s="3964">
        <v>634.21799999999996</v>
      </c>
      <c r="AF15" s="2042"/>
      <c r="AG15" s="39">
        <f t="shared" si="9"/>
        <v>2579.2579999999998</v>
      </c>
      <c r="AH15" s="4068"/>
      <c r="AI15" s="3964"/>
      <c r="AJ15" s="2042"/>
      <c r="AK15" s="39">
        <f t="shared" si="10"/>
        <v>2579.2579999999998</v>
      </c>
      <c r="AL15" s="4068"/>
      <c r="AM15" s="3964"/>
      <c r="AN15" s="2896"/>
      <c r="AO15" s="781">
        <f t="shared" si="11"/>
        <v>634.21799999999996</v>
      </c>
      <c r="AP15" s="2042"/>
      <c r="AQ15" s="39">
        <f t="shared" si="12"/>
        <v>2579.2579999999998</v>
      </c>
      <c r="AR15" s="4068"/>
      <c r="AS15" s="3964">
        <v>462.03999999999996</v>
      </c>
      <c r="AT15" s="2042"/>
      <c r="AU15" s="39">
        <f t="shared" si="13"/>
        <v>3041.2979999999998</v>
      </c>
      <c r="AV15" s="4068"/>
      <c r="AW15" s="3964"/>
      <c r="AX15" s="2042"/>
      <c r="AY15" s="39">
        <f t="shared" si="14"/>
        <v>3041.2979999999998</v>
      </c>
      <c r="AZ15" s="4068"/>
      <c r="BA15" s="3964">
        <v>1009.7049999999999</v>
      </c>
      <c r="BB15" s="2896"/>
      <c r="BC15" s="781">
        <f t="shared" si="15"/>
        <v>1471.7449999999999</v>
      </c>
      <c r="BD15" s="2897"/>
      <c r="BE15" s="700">
        <f t="shared" si="16"/>
        <v>2105.9629999999997</v>
      </c>
      <c r="BF15" s="2042"/>
      <c r="BG15" s="39">
        <f t="shared" si="17"/>
        <v>4051.0029999999997</v>
      </c>
      <c r="BH15" s="26"/>
      <c r="BI15" s="26"/>
      <c r="BJ15" s="26"/>
      <c r="BK15" s="26"/>
      <c r="BL15" s="26"/>
      <c r="BM15" s="26"/>
      <c r="BN15" s="1219"/>
      <c r="BP15" s="26"/>
      <c r="BQ15" s="26"/>
      <c r="BR15" s="26"/>
      <c r="BT15" s="26"/>
    </row>
    <row r="16" spans="1:72" ht="14.45" x14ac:dyDescent="0.3">
      <c r="B16" s="4064" t="s">
        <v>1909</v>
      </c>
      <c r="C16" s="4065" t="s">
        <v>947</v>
      </c>
      <c r="D16" s="4066">
        <v>57.1</v>
      </c>
      <c r="E16" s="4067" t="s">
        <v>50</v>
      </c>
      <c r="F16" s="4068"/>
      <c r="G16" s="3964"/>
      <c r="H16" s="4068"/>
      <c r="I16" s="3964">
        <v>268.17200000000003</v>
      </c>
      <c r="J16" s="4069"/>
      <c r="K16" s="4957">
        <f t="shared" si="3"/>
        <v>268.17200000000003</v>
      </c>
      <c r="L16" s="4068"/>
      <c r="M16" s="3964">
        <v>141.42400000000001</v>
      </c>
      <c r="N16" s="2034"/>
      <c r="O16" s="69">
        <f t="shared" si="4"/>
        <v>409.596</v>
      </c>
      <c r="P16" s="4068"/>
      <c r="Q16" s="3964"/>
      <c r="R16" s="2042"/>
      <c r="S16" s="39">
        <f t="shared" si="5"/>
        <v>409.596</v>
      </c>
      <c r="T16" s="4068"/>
      <c r="U16" s="3964"/>
      <c r="V16" s="2042"/>
      <c r="W16" s="39">
        <f t="shared" si="6"/>
        <v>409.596</v>
      </c>
      <c r="X16" s="4068"/>
      <c r="Y16" s="3964">
        <v>195.041</v>
      </c>
      <c r="Z16" s="4341"/>
      <c r="AA16" s="781">
        <f t="shared" si="7"/>
        <v>195.041</v>
      </c>
      <c r="AB16" s="4342"/>
      <c r="AC16" s="465">
        <f t="shared" si="8"/>
        <v>604.63699999999994</v>
      </c>
      <c r="AD16" s="4068"/>
      <c r="AE16" s="3964">
        <v>253.55799999999999</v>
      </c>
      <c r="AF16" s="2042"/>
      <c r="AG16" s="39">
        <f t="shared" si="9"/>
        <v>858.19499999999994</v>
      </c>
      <c r="AH16" s="4068"/>
      <c r="AI16" s="3964"/>
      <c r="AJ16" s="2042"/>
      <c r="AK16" s="39">
        <f t="shared" si="10"/>
        <v>858.19499999999994</v>
      </c>
      <c r="AL16" s="4068"/>
      <c r="AM16" s="3964"/>
      <c r="AN16" s="4341"/>
      <c r="AO16" s="781">
        <f t="shared" si="11"/>
        <v>253.55799999999999</v>
      </c>
      <c r="AP16" s="2042"/>
      <c r="AQ16" s="39">
        <f t="shared" si="12"/>
        <v>858.19499999999994</v>
      </c>
      <c r="AR16" s="4068"/>
      <c r="AS16" s="3964"/>
      <c r="AT16" s="2042"/>
      <c r="AU16" s="39">
        <f t="shared" si="13"/>
        <v>858.19499999999994</v>
      </c>
      <c r="AV16" s="4068"/>
      <c r="AW16" s="3964"/>
      <c r="AX16" s="2042"/>
      <c r="AY16" s="39">
        <f t="shared" si="14"/>
        <v>858.19499999999994</v>
      </c>
      <c r="AZ16" s="4068"/>
      <c r="BA16" s="3964"/>
      <c r="BB16" s="4341"/>
      <c r="BC16" s="781">
        <f t="shared" si="15"/>
        <v>0</v>
      </c>
      <c r="BD16" s="4343"/>
      <c r="BE16" s="700">
        <f t="shared" si="16"/>
        <v>253.55799999999999</v>
      </c>
      <c r="BF16" s="2042"/>
      <c r="BG16" s="39">
        <f t="shared" si="17"/>
        <v>858.19499999999994</v>
      </c>
      <c r="BH16" s="26"/>
      <c r="BI16" s="26"/>
      <c r="BJ16" s="26"/>
      <c r="BK16" s="26"/>
      <c r="BL16" s="26"/>
      <c r="BM16" s="26"/>
      <c r="BN16" s="1219"/>
      <c r="BP16" s="26"/>
      <c r="BQ16" s="26"/>
      <c r="BR16" s="26"/>
      <c r="BS16" s="279"/>
      <c r="BT16" s="26"/>
    </row>
    <row r="17" spans="2:72" ht="14.45" x14ac:dyDescent="0.3">
      <c r="B17" s="4064" t="s">
        <v>1909</v>
      </c>
      <c r="C17" s="4065" t="s">
        <v>1013</v>
      </c>
      <c r="D17" s="4066">
        <v>50.22</v>
      </c>
      <c r="E17" s="4067" t="s">
        <v>50</v>
      </c>
      <c r="F17" s="4068"/>
      <c r="G17" s="3964"/>
      <c r="H17" s="4068"/>
      <c r="I17" s="3964">
        <v>3471.6990000000005</v>
      </c>
      <c r="J17" s="4069"/>
      <c r="K17" s="4957">
        <f t="shared" si="3"/>
        <v>3471.6990000000005</v>
      </c>
      <c r="L17" s="4068"/>
      <c r="M17" s="3964">
        <v>2275.6989999999996</v>
      </c>
      <c r="N17" s="2034"/>
      <c r="O17" s="69">
        <f t="shared" si="4"/>
        <v>5747.3980000000001</v>
      </c>
      <c r="P17" s="4068"/>
      <c r="Q17" s="3964"/>
      <c r="R17" s="2042"/>
      <c r="S17" s="39">
        <f t="shared" si="5"/>
        <v>5747.3980000000001</v>
      </c>
      <c r="T17" s="4068"/>
      <c r="U17" s="3964">
        <v>2892.7500000000005</v>
      </c>
      <c r="V17" s="2042"/>
      <c r="W17" s="39">
        <f t="shared" si="6"/>
        <v>8640.148000000001</v>
      </c>
      <c r="X17" s="4068"/>
      <c r="Y17" s="3964">
        <v>2383.12</v>
      </c>
      <c r="Z17" s="2896"/>
      <c r="AA17" s="781">
        <f t="shared" si="7"/>
        <v>5275.8700000000008</v>
      </c>
      <c r="AB17" s="4200"/>
      <c r="AC17" s="465">
        <f t="shared" si="8"/>
        <v>11023.268</v>
      </c>
      <c r="AD17" s="4068"/>
      <c r="AE17" s="3964">
        <v>2977.6329999999998</v>
      </c>
      <c r="AF17" s="2042"/>
      <c r="AG17" s="39">
        <f t="shared" si="9"/>
        <v>14000.901</v>
      </c>
      <c r="AH17" s="4068"/>
      <c r="AI17" s="3964"/>
      <c r="AJ17" s="2042"/>
      <c r="AK17" s="39">
        <f t="shared" si="10"/>
        <v>14000.901</v>
      </c>
      <c r="AL17" s="4068"/>
      <c r="AM17" s="3964"/>
      <c r="AN17" s="2896"/>
      <c r="AO17" s="781">
        <f t="shared" si="11"/>
        <v>2977.6329999999998</v>
      </c>
      <c r="AP17" s="2042"/>
      <c r="AQ17" s="39">
        <f t="shared" si="12"/>
        <v>14000.901</v>
      </c>
      <c r="AR17" s="4068"/>
      <c r="AS17" s="3964">
        <v>3646.2919999999999</v>
      </c>
      <c r="AT17" s="2042"/>
      <c r="AU17" s="39">
        <f t="shared" si="13"/>
        <v>17647.192999999999</v>
      </c>
      <c r="AV17" s="4068"/>
      <c r="AW17" s="3964"/>
      <c r="AX17" s="2042"/>
      <c r="AY17" s="39">
        <f t="shared" si="14"/>
        <v>17647.192999999999</v>
      </c>
      <c r="AZ17" s="4068"/>
      <c r="BA17" s="3964">
        <v>2542.3900000000003</v>
      </c>
      <c r="BB17" s="2896"/>
      <c r="BC17" s="781">
        <f t="shared" si="15"/>
        <v>6188.6820000000007</v>
      </c>
      <c r="BD17" s="2897"/>
      <c r="BE17" s="700">
        <f t="shared" si="16"/>
        <v>9166.3150000000005</v>
      </c>
      <c r="BF17" s="2042"/>
      <c r="BG17" s="39">
        <f t="shared" si="17"/>
        <v>20189.582999999999</v>
      </c>
      <c r="BH17" s="26"/>
      <c r="BI17" s="26"/>
      <c r="BJ17" s="26"/>
      <c r="BK17" s="26"/>
      <c r="BL17" s="26"/>
      <c r="BM17" s="26"/>
      <c r="BN17" s="1219"/>
      <c r="BP17" s="26"/>
      <c r="BQ17" s="26"/>
      <c r="BR17" s="26"/>
      <c r="BT17" s="26"/>
    </row>
    <row r="18" spans="2:72" thickBot="1" x14ac:dyDescent="0.35">
      <c r="B18" s="4064" t="s">
        <v>1909</v>
      </c>
      <c r="C18" s="4065" t="s">
        <v>947</v>
      </c>
      <c r="D18" s="4066">
        <v>50.22</v>
      </c>
      <c r="E18" s="4067" t="s">
        <v>50</v>
      </c>
      <c r="F18" s="4068"/>
      <c r="G18" s="3964"/>
      <c r="H18" s="4068"/>
      <c r="I18" s="3964">
        <v>321.09100000000001</v>
      </c>
      <c r="J18" s="4069"/>
      <c r="K18" s="4957">
        <f t="shared" si="3"/>
        <v>321.09100000000001</v>
      </c>
      <c r="L18" s="4068"/>
      <c r="M18" s="3964"/>
      <c r="N18" s="2034"/>
      <c r="O18" s="69">
        <f t="shared" si="4"/>
        <v>321.09100000000001</v>
      </c>
      <c r="P18" s="4068"/>
      <c r="Q18" s="3964"/>
      <c r="R18" s="2042"/>
      <c r="S18" s="39">
        <f t="shared" si="5"/>
        <v>321.09100000000001</v>
      </c>
      <c r="T18" s="4068"/>
      <c r="U18" s="3964"/>
      <c r="V18" s="2042"/>
      <c r="W18" s="39">
        <f t="shared" si="6"/>
        <v>321.09100000000001</v>
      </c>
      <c r="X18" s="4068"/>
      <c r="Y18" s="3964">
        <v>455.50200000000007</v>
      </c>
      <c r="Z18" s="2896"/>
      <c r="AA18" s="781">
        <f t="shared" si="7"/>
        <v>455.50200000000007</v>
      </c>
      <c r="AB18" s="4200"/>
      <c r="AC18" s="465">
        <f t="shared" si="8"/>
        <v>776.59300000000007</v>
      </c>
      <c r="AD18" s="4068"/>
      <c r="AE18" s="3964">
        <v>406.78300000000002</v>
      </c>
      <c r="AF18" s="2042"/>
      <c r="AG18" s="39">
        <f t="shared" si="9"/>
        <v>1183.3760000000002</v>
      </c>
      <c r="AH18" s="4068"/>
      <c r="AI18" s="3964"/>
      <c r="AJ18" s="2042"/>
      <c r="AK18" s="39">
        <f t="shared" si="10"/>
        <v>1183.3760000000002</v>
      </c>
      <c r="AL18" s="4068"/>
      <c r="AM18" s="3964"/>
      <c r="AN18" s="2896"/>
      <c r="AO18" s="781">
        <f t="shared" si="11"/>
        <v>406.78300000000002</v>
      </c>
      <c r="AP18" s="2042"/>
      <c r="AQ18" s="39">
        <f t="shared" si="12"/>
        <v>1183.3760000000002</v>
      </c>
      <c r="AR18" s="4068"/>
      <c r="AS18" s="3964">
        <v>1128.9750000000001</v>
      </c>
      <c r="AT18" s="2042"/>
      <c r="AU18" s="39">
        <f t="shared" si="13"/>
        <v>2312.3510000000006</v>
      </c>
      <c r="AV18" s="4068"/>
      <c r="AW18" s="3964"/>
      <c r="AX18" s="2042"/>
      <c r="AY18" s="39">
        <f t="shared" si="14"/>
        <v>2312.3510000000006</v>
      </c>
      <c r="AZ18" s="4068"/>
      <c r="BA18" s="3964">
        <v>722.17400000000009</v>
      </c>
      <c r="BB18" s="2896"/>
      <c r="BC18" s="781">
        <f t="shared" si="15"/>
        <v>1851.1490000000003</v>
      </c>
      <c r="BD18" s="2897"/>
      <c r="BE18" s="700">
        <f t="shared" si="16"/>
        <v>2257.9320000000002</v>
      </c>
      <c r="BF18" s="2042"/>
      <c r="BG18" s="39">
        <f t="shared" si="17"/>
        <v>3034.5250000000005</v>
      </c>
      <c r="BH18" s="26"/>
      <c r="BI18" s="26"/>
      <c r="BJ18" s="26"/>
      <c r="BK18" s="26"/>
      <c r="BL18" s="26"/>
      <c r="BM18" s="26"/>
      <c r="BN18" s="1219"/>
    </row>
    <row r="19" spans="2:72" ht="14.45" x14ac:dyDescent="0.3">
      <c r="B19" s="3090" t="s">
        <v>853</v>
      </c>
      <c r="C19" s="3091" t="s">
        <v>1013</v>
      </c>
      <c r="D19" s="3092">
        <v>66.3</v>
      </c>
      <c r="E19" s="1329" t="s">
        <v>50</v>
      </c>
      <c r="F19" s="3093"/>
      <c r="G19" s="88"/>
      <c r="H19" s="3093"/>
      <c r="I19" s="88"/>
      <c r="J19" s="3094"/>
      <c r="K19" s="4957">
        <f t="shared" si="3"/>
        <v>0</v>
      </c>
      <c r="L19" s="3093"/>
      <c r="M19" s="88"/>
      <c r="N19" s="2034"/>
      <c r="O19" s="69">
        <f t="shared" si="4"/>
        <v>0</v>
      </c>
      <c r="P19" s="3093"/>
      <c r="Q19" s="88"/>
      <c r="R19" s="2042"/>
      <c r="S19" s="39">
        <f t="shared" si="5"/>
        <v>0</v>
      </c>
      <c r="T19" s="3093"/>
      <c r="U19" s="88"/>
      <c r="V19" s="2042"/>
      <c r="W19" s="39">
        <f t="shared" si="6"/>
        <v>0</v>
      </c>
      <c r="X19" s="3093"/>
      <c r="Y19" s="88"/>
      <c r="Z19" s="902"/>
      <c r="AA19" s="781">
        <f t="shared" si="7"/>
        <v>0</v>
      </c>
      <c r="AB19" s="4199"/>
      <c r="AC19" s="465">
        <f t="shared" si="8"/>
        <v>0</v>
      </c>
      <c r="AD19" s="3093"/>
      <c r="AE19" s="88"/>
      <c r="AF19" s="2042"/>
      <c r="AG19" s="39">
        <f t="shared" si="9"/>
        <v>0</v>
      </c>
      <c r="AH19" s="3093"/>
      <c r="AI19" s="88"/>
      <c r="AJ19" s="2042"/>
      <c r="AK19" s="39">
        <f t="shared" si="10"/>
        <v>0</v>
      </c>
      <c r="AL19" s="3093"/>
      <c r="AM19" s="88"/>
      <c r="AN19" s="902"/>
      <c r="AO19" s="781">
        <f t="shared" si="11"/>
        <v>0</v>
      </c>
      <c r="AP19" s="2042"/>
      <c r="AQ19" s="39">
        <f t="shared" si="12"/>
        <v>0</v>
      </c>
      <c r="AR19" s="3093"/>
      <c r="AS19" s="88"/>
      <c r="AT19" s="2042"/>
      <c r="AU19" s="39">
        <f t="shared" si="13"/>
        <v>0</v>
      </c>
      <c r="AV19" s="3093"/>
      <c r="AW19" s="88"/>
      <c r="AX19" s="2042"/>
      <c r="AY19" s="39">
        <f t="shared" si="14"/>
        <v>0</v>
      </c>
      <c r="AZ19" s="3093"/>
      <c r="BA19" s="88"/>
      <c r="BB19" s="902"/>
      <c r="BC19" s="781">
        <f t="shared" si="15"/>
        <v>0</v>
      </c>
      <c r="BD19" s="903"/>
      <c r="BE19" s="700">
        <f t="shared" si="16"/>
        <v>0</v>
      </c>
      <c r="BF19" s="2042"/>
      <c r="BG19" s="39">
        <f t="shared" si="17"/>
        <v>0</v>
      </c>
      <c r="BH19" s="26"/>
      <c r="BI19" s="26"/>
      <c r="BJ19" s="26"/>
      <c r="BK19" s="26"/>
      <c r="BL19" s="26"/>
      <c r="BM19" s="26"/>
      <c r="BN19" s="1219"/>
    </row>
    <row r="20" spans="2:72" ht="14.45" x14ac:dyDescent="0.3">
      <c r="B20" s="1090" t="s">
        <v>853</v>
      </c>
      <c r="C20" s="2894" t="s">
        <v>947</v>
      </c>
      <c r="D20" s="2895">
        <v>66.3</v>
      </c>
      <c r="E20" s="1392" t="s">
        <v>50</v>
      </c>
      <c r="F20" s="2019"/>
      <c r="G20" s="18"/>
      <c r="H20" s="2019"/>
      <c r="I20" s="18"/>
      <c r="J20" s="2025"/>
      <c r="K20" s="4957">
        <f t="shared" si="3"/>
        <v>0</v>
      </c>
      <c r="L20" s="2019"/>
      <c r="M20" s="18"/>
      <c r="N20" s="2034"/>
      <c r="O20" s="69">
        <f t="shared" si="4"/>
        <v>0</v>
      </c>
      <c r="P20" s="2019"/>
      <c r="Q20" s="18"/>
      <c r="R20" s="2042"/>
      <c r="S20" s="39">
        <f t="shared" si="5"/>
        <v>0</v>
      </c>
      <c r="T20" s="2019"/>
      <c r="U20" s="18"/>
      <c r="V20" s="2042"/>
      <c r="W20" s="39">
        <f t="shared" si="6"/>
        <v>0</v>
      </c>
      <c r="X20" s="2019"/>
      <c r="Y20" s="18"/>
      <c r="Z20" s="902"/>
      <c r="AA20" s="781">
        <f t="shared" si="7"/>
        <v>0</v>
      </c>
      <c r="AB20" s="4199"/>
      <c r="AC20" s="465">
        <f t="shared" si="8"/>
        <v>0</v>
      </c>
      <c r="AD20" s="2019"/>
      <c r="AE20" s="18"/>
      <c r="AF20" s="2042"/>
      <c r="AG20" s="39">
        <f t="shared" si="9"/>
        <v>0</v>
      </c>
      <c r="AH20" s="2019"/>
      <c r="AI20" s="18"/>
      <c r="AJ20" s="2042"/>
      <c r="AK20" s="39">
        <f t="shared" si="10"/>
        <v>0</v>
      </c>
      <c r="AL20" s="2019"/>
      <c r="AM20" s="18"/>
      <c r="AN20" s="902"/>
      <c r="AO20" s="781">
        <f t="shared" si="11"/>
        <v>0</v>
      </c>
      <c r="AP20" s="2042"/>
      <c r="AQ20" s="39">
        <f t="shared" si="12"/>
        <v>0</v>
      </c>
      <c r="AR20" s="2019"/>
      <c r="AS20" s="18"/>
      <c r="AT20" s="2042"/>
      <c r="AU20" s="39">
        <f t="shared" si="13"/>
        <v>0</v>
      </c>
      <c r="AV20" s="2019"/>
      <c r="AW20" s="18"/>
      <c r="AX20" s="2042"/>
      <c r="AY20" s="39">
        <f t="shared" si="14"/>
        <v>0</v>
      </c>
      <c r="AZ20" s="2019"/>
      <c r="BA20" s="18"/>
      <c r="BB20" s="902"/>
      <c r="BC20" s="781">
        <f t="shared" si="15"/>
        <v>0</v>
      </c>
      <c r="BD20" s="903"/>
      <c r="BE20" s="700">
        <f t="shared" si="16"/>
        <v>0</v>
      </c>
      <c r="BF20" s="2042"/>
      <c r="BG20" s="39">
        <f t="shared" si="17"/>
        <v>0</v>
      </c>
      <c r="BH20" s="26"/>
      <c r="BI20" s="26"/>
      <c r="BJ20" s="26"/>
      <c r="BK20" s="26"/>
      <c r="BL20" s="26"/>
      <c r="BM20" s="26"/>
      <c r="BN20" s="1219"/>
    </row>
    <row r="21" spans="2:72" ht="14.45" x14ac:dyDescent="0.3">
      <c r="B21" s="1090" t="s">
        <v>853</v>
      </c>
      <c r="C21" s="2894" t="s">
        <v>1013</v>
      </c>
      <c r="D21" s="2895">
        <v>66.31</v>
      </c>
      <c r="E21" s="1392" t="s">
        <v>50</v>
      </c>
      <c r="F21" s="2019"/>
      <c r="G21" s="18">
        <v>3919.8780000000015</v>
      </c>
      <c r="H21" s="2019"/>
      <c r="I21" s="18">
        <v>5290.4709999999977</v>
      </c>
      <c r="J21" s="2025"/>
      <c r="K21" s="4957">
        <f t="shared" si="3"/>
        <v>9210.3489999999983</v>
      </c>
      <c r="L21" s="2019"/>
      <c r="M21" s="18">
        <v>5534.0719999999992</v>
      </c>
      <c r="N21" s="2034"/>
      <c r="O21" s="69">
        <f t="shared" si="4"/>
        <v>14744.420999999998</v>
      </c>
      <c r="P21" s="2019"/>
      <c r="Q21" s="18">
        <v>5783.0740000000042</v>
      </c>
      <c r="R21" s="2042"/>
      <c r="S21" s="39">
        <f t="shared" si="5"/>
        <v>20527.495000000003</v>
      </c>
      <c r="T21" s="2019"/>
      <c r="U21" s="18">
        <v>4264.5920000000006</v>
      </c>
      <c r="V21" s="2042"/>
      <c r="W21" s="39">
        <f t="shared" si="6"/>
        <v>24792.087000000003</v>
      </c>
      <c r="X21" s="2019"/>
      <c r="Y21" s="18">
        <v>3508.817</v>
      </c>
      <c r="Z21" s="902"/>
      <c r="AA21" s="781">
        <f t="shared" si="7"/>
        <v>13556.483000000004</v>
      </c>
      <c r="AB21" s="4199"/>
      <c r="AC21" s="465">
        <f t="shared" si="8"/>
        <v>28300.904000000002</v>
      </c>
      <c r="AD21" s="2019"/>
      <c r="AE21" s="18">
        <v>6294.9840000000004</v>
      </c>
      <c r="AF21" s="2042"/>
      <c r="AG21" s="39">
        <f t="shared" si="9"/>
        <v>34595.888000000006</v>
      </c>
      <c r="AH21" s="2019"/>
      <c r="AI21" s="18"/>
      <c r="AJ21" s="2042"/>
      <c r="AK21" s="39">
        <f t="shared" si="10"/>
        <v>34595.888000000006</v>
      </c>
      <c r="AL21" s="2019"/>
      <c r="AM21" s="18">
        <v>2451.4859999999999</v>
      </c>
      <c r="AN21" s="902"/>
      <c r="AO21" s="781">
        <f t="shared" si="11"/>
        <v>8746.4700000000012</v>
      </c>
      <c r="AP21" s="2042"/>
      <c r="AQ21" s="39">
        <f t="shared" si="12"/>
        <v>37047.374000000003</v>
      </c>
      <c r="AR21" s="2019"/>
      <c r="AS21" s="18">
        <v>5247.85</v>
      </c>
      <c r="AT21" s="2042"/>
      <c r="AU21" s="39">
        <f t="shared" si="13"/>
        <v>42295.224000000002</v>
      </c>
      <c r="AV21" s="2019"/>
      <c r="AW21" s="18">
        <v>5502.1159999999991</v>
      </c>
      <c r="AX21" s="2042"/>
      <c r="AY21" s="39">
        <f>+AU21+AW21</f>
        <v>47797.340000000004</v>
      </c>
      <c r="AZ21" s="2019"/>
      <c r="BA21" s="18">
        <v>6913.7199999999957</v>
      </c>
      <c r="BB21" s="902"/>
      <c r="BC21" s="781">
        <f t="shared" si="15"/>
        <v>17663.685999999994</v>
      </c>
      <c r="BD21" s="903"/>
      <c r="BE21" s="700">
        <f t="shared" si="16"/>
        <v>26410.155999999995</v>
      </c>
      <c r="BF21" s="2042"/>
      <c r="BG21" s="39">
        <f t="shared" si="17"/>
        <v>54711.06</v>
      </c>
      <c r="BH21" s="26"/>
      <c r="BI21" s="26"/>
      <c r="BJ21" s="26"/>
      <c r="BK21" s="26"/>
      <c r="BL21" s="26"/>
      <c r="BM21" s="26"/>
      <c r="BN21" s="1219"/>
    </row>
    <row r="22" spans="2:72" ht="14.45" x14ac:dyDescent="0.3">
      <c r="B22" s="1090" t="s">
        <v>853</v>
      </c>
      <c r="C22" s="2894" t="s">
        <v>1633</v>
      </c>
      <c r="D22" s="4817">
        <v>66.31</v>
      </c>
      <c r="E22" s="1392" t="s">
        <v>50</v>
      </c>
      <c r="F22" s="4818"/>
      <c r="G22" s="4819">
        <v>212.09199999999998</v>
      </c>
      <c r="H22" s="4818"/>
      <c r="I22" s="4819"/>
      <c r="J22" s="4820"/>
      <c r="K22" s="4957">
        <f t="shared" si="3"/>
        <v>212.09199999999998</v>
      </c>
      <c r="L22" s="4818"/>
      <c r="M22" s="4819">
        <v>251.41899999999998</v>
      </c>
      <c r="N22" s="4821"/>
      <c r="O22" s="69">
        <f t="shared" si="4"/>
        <v>463.51099999999997</v>
      </c>
      <c r="P22" s="4818"/>
      <c r="Q22" s="4819">
        <v>1317.7949999999998</v>
      </c>
      <c r="R22" s="4822"/>
      <c r="S22" s="39">
        <f t="shared" si="5"/>
        <v>1781.3059999999998</v>
      </c>
      <c r="T22" s="4818"/>
      <c r="U22" s="4819"/>
      <c r="V22" s="4822"/>
      <c r="W22" s="39">
        <f t="shared" si="6"/>
        <v>1781.3059999999998</v>
      </c>
      <c r="X22" s="4818"/>
      <c r="Y22" s="4819"/>
      <c r="Z22" s="4823"/>
      <c r="AA22" s="781">
        <f t="shared" si="7"/>
        <v>1317.7949999999998</v>
      </c>
      <c r="AB22" s="4824"/>
      <c r="AC22" s="465">
        <f t="shared" si="8"/>
        <v>1781.3059999999998</v>
      </c>
      <c r="AD22" s="4818"/>
      <c r="AE22" s="4819"/>
      <c r="AF22" s="4822"/>
      <c r="AG22" s="4808"/>
      <c r="AH22" s="4818"/>
      <c r="AI22" s="4819"/>
      <c r="AJ22" s="4822"/>
      <c r="AK22" s="4808"/>
      <c r="AL22" s="4818"/>
      <c r="AM22" s="4819"/>
      <c r="AN22" s="4823"/>
      <c r="AO22" s="781">
        <f t="shared" si="11"/>
        <v>0</v>
      </c>
      <c r="AP22" s="4822"/>
      <c r="AQ22" s="4808"/>
      <c r="AR22" s="4818"/>
      <c r="AS22" s="4819"/>
      <c r="AT22" s="4822"/>
      <c r="AU22" s="4808"/>
      <c r="AV22" s="4818"/>
      <c r="AW22" s="4819"/>
      <c r="AX22" s="4822"/>
      <c r="AY22" s="4808"/>
      <c r="AZ22" s="4818"/>
      <c r="BA22" s="4819">
        <v>234.27600000000001</v>
      </c>
      <c r="BB22" s="4823"/>
      <c r="BC22" s="781">
        <f t="shared" si="15"/>
        <v>234.27600000000001</v>
      </c>
      <c r="BD22" s="4825"/>
      <c r="BE22" s="700">
        <f t="shared" si="16"/>
        <v>234.27600000000001</v>
      </c>
      <c r="BF22" s="4822"/>
      <c r="BG22" s="39">
        <f t="shared" si="17"/>
        <v>234.27600000000001</v>
      </c>
      <c r="BH22" s="26"/>
      <c r="BI22" s="26"/>
      <c r="BJ22" s="26"/>
      <c r="BK22" s="26"/>
      <c r="BL22" s="26"/>
      <c r="BM22" s="26"/>
      <c r="BN22" s="1219"/>
    </row>
    <row r="23" spans="2:72" ht="15" customHeight="1" x14ac:dyDescent="0.3">
      <c r="B23" s="1090" t="s">
        <v>853</v>
      </c>
      <c r="C23" s="2894" t="s">
        <v>947</v>
      </c>
      <c r="D23" s="2895">
        <v>66.31</v>
      </c>
      <c r="E23" s="1392" t="s">
        <v>50</v>
      </c>
      <c r="F23" s="2019"/>
      <c r="G23" s="18">
        <v>408.476</v>
      </c>
      <c r="H23" s="2019"/>
      <c r="I23" s="18">
        <v>1554.7009999999998</v>
      </c>
      <c r="J23" s="2025"/>
      <c r="K23" s="4957">
        <f t="shared" si="3"/>
        <v>1963.1769999999997</v>
      </c>
      <c r="L23" s="2019"/>
      <c r="M23" s="18">
        <v>1074.116</v>
      </c>
      <c r="N23" s="2034"/>
      <c r="O23" s="69">
        <f t="shared" si="4"/>
        <v>3037.2929999999997</v>
      </c>
      <c r="P23" s="2019"/>
      <c r="Q23" s="18"/>
      <c r="R23" s="2042"/>
      <c r="S23" s="39">
        <f t="shared" si="5"/>
        <v>3037.2929999999997</v>
      </c>
      <c r="T23" s="2019"/>
      <c r="U23" s="18">
        <v>314.27499999999998</v>
      </c>
      <c r="V23" s="2042"/>
      <c r="W23" s="39">
        <f t="shared" si="6"/>
        <v>3351.5679999999998</v>
      </c>
      <c r="X23" s="2019"/>
      <c r="Y23" s="18">
        <v>1084.9309999999998</v>
      </c>
      <c r="Z23" s="2896"/>
      <c r="AA23" s="781">
        <f t="shared" si="7"/>
        <v>1399.2059999999997</v>
      </c>
      <c r="AB23" s="4200"/>
      <c r="AC23" s="465">
        <f t="shared" si="8"/>
        <v>4436.4989999999998</v>
      </c>
      <c r="AD23" s="2019"/>
      <c r="AE23" s="18">
        <v>444.226</v>
      </c>
      <c r="AF23" s="2042"/>
      <c r="AG23" s="39">
        <f t="shared" si="9"/>
        <v>4880.7249999999995</v>
      </c>
      <c r="AH23" s="2019"/>
      <c r="AI23" s="18"/>
      <c r="AJ23" s="2042"/>
      <c r="AK23" s="39">
        <f t="shared" si="10"/>
        <v>4880.7249999999995</v>
      </c>
      <c r="AL23" s="2019"/>
      <c r="AM23" s="18">
        <v>888.11800000000005</v>
      </c>
      <c r="AN23" s="2896"/>
      <c r="AO23" s="781">
        <f t="shared" si="11"/>
        <v>1332.3440000000001</v>
      </c>
      <c r="AP23" s="2042"/>
      <c r="AQ23" s="39">
        <f t="shared" si="12"/>
        <v>5768.8429999999998</v>
      </c>
      <c r="AR23" s="2019"/>
      <c r="AS23" s="18">
        <v>1880.7190000000003</v>
      </c>
      <c r="AT23" s="2042"/>
      <c r="AU23" s="39">
        <f t="shared" si="13"/>
        <v>7649.5619999999999</v>
      </c>
      <c r="AV23" s="2019"/>
      <c r="AW23" s="18">
        <v>1296.7910000000004</v>
      </c>
      <c r="AX23" s="2042"/>
      <c r="AY23" s="39">
        <f t="shared" si="14"/>
        <v>8946.353000000001</v>
      </c>
      <c r="AZ23" s="2019"/>
      <c r="BA23" s="18">
        <v>153.28</v>
      </c>
      <c r="BB23" s="2896"/>
      <c r="BC23" s="781">
        <f t="shared" si="15"/>
        <v>3330.7900000000009</v>
      </c>
      <c r="BD23" s="2897"/>
      <c r="BE23" s="700">
        <f t="shared" si="16"/>
        <v>4663.1340000000009</v>
      </c>
      <c r="BF23" s="2042"/>
      <c r="BG23" s="39">
        <f t="shared" si="17"/>
        <v>9099.6330000000016</v>
      </c>
      <c r="BH23" s="26"/>
      <c r="BI23" s="26"/>
      <c r="BJ23" s="26"/>
      <c r="BK23" s="26"/>
      <c r="BL23" s="26"/>
      <c r="BM23" s="26"/>
      <c r="BN23" s="1219"/>
    </row>
    <row r="24" spans="2:72" ht="15" customHeight="1" x14ac:dyDescent="0.3">
      <c r="B24" s="1090" t="s">
        <v>854</v>
      </c>
      <c r="C24" s="2894" t="s">
        <v>1013</v>
      </c>
      <c r="D24" s="2895">
        <v>57.38</v>
      </c>
      <c r="E24" s="1392" t="s">
        <v>50</v>
      </c>
      <c r="F24" s="1126"/>
      <c r="G24" s="18">
        <v>1072.3130000000001</v>
      </c>
      <c r="H24" s="1126"/>
      <c r="I24" s="18">
        <v>4743.454999999999</v>
      </c>
      <c r="J24" s="437"/>
      <c r="K24" s="4957">
        <f t="shared" si="3"/>
        <v>5815.7679999999991</v>
      </c>
      <c r="L24" s="1126"/>
      <c r="M24" s="18">
        <v>2113.4860000000003</v>
      </c>
      <c r="N24" s="72"/>
      <c r="O24" s="69">
        <f t="shared" si="4"/>
        <v>7929.253999999999</v>
      </c>
      <c r="P24" s="1126"/>
      <c r="Q24" s="18">
        <v>2842.0549999999998</v>
      </c>
      <c r="R24" s="61"/>
      <c r="S24" s="39">
        <f t="shared" si="5"/>
        <v>10771.308999999999</v>
      </c>
      <c r="T24" s="1126"/>
      <c r="U24" s="18">
        <v>1577.72</v>
      </c>
      <c r="V24" s="61"/>
      <c r="W24" s="39">
        <f t="shared" si="6"/>
        <v>12349.028999999999</v>
      </c>
      <c r="X24" s="1126"/>
      <c r="Y24" s="18">
        <v>1052.1249999999998</v>
      </c>
      <c r="Z24" s="781"/>
      <c r="AA24" s="781">
        <f t="shared" si="7"/>
        <v>5471.9</v>
      </c>
      <c r="AB24" s="465"/>
      <c r="AC24" s="465">
        <f t="shared" si="8"/>
        <v>13401.153999999999</v>
      </c>
      <c r="AD24" s="1126"/>
      <c r="AE24" s="18">
        <v>2932.777</v>
      </c>
      <c r="AF24" s="2042"/>
      <c r="AG24" s="39">
        <f t="shared" si="9"/>
        <v>16333.930999999999</v>
      </c>
      <c r="AH24" s="1126"/>
      <c r="AI24" s="18"/>
      <c r="AJ24" s="2042"/>
      <c r="AK24" s="39">
        <f t="shared" si="10"/>
        <v>16333.930999999999</v>
      </c>
      <c r="AL24" s="1126"/>
      <c r="AM24" s="18">
        <v>1410.8320000000001</v>
      </c>
      <c r="AN24" s="781"/>
      <c r="AO24" s="781">
        <f t="shared" si="11"/>
        <v>4343.6090000000004</v>
      </c>
      <c r="AP24" s="2042"/>
      <c r="AQ24" s="39">
        <f t="shared" si="12"/>
        <v>17744.762999999999</v>
      </c>
      <c r="AR24" s="1126"/>
      <c r="AS24" s="18">
        <v>3891.4189999999985</v>
      </c>
      <c r="AT24" s="2042"/>
      <c r="AU24" s="39">
        <f t="shared" si="13"/>
        <v>21636.181999999997</v>
      </c>
      <c r="AV24" s="1126"/>
      <c r="AW24" s="18">
        <v>2656.7739999999999</v>
      </c>
      <c r="AX24" s="2042"/>
      <c r="AY24" s="39">
        <f t="shared" si="14"/>
        <v>24292.955999999998</v>
      </c>
      <c r="AZ24" s="1126"/>
      <c r="BA24" s="18">
        <v>5398.3130000000001</v>
      </c>
      <c r="BB24" s="781"/>
      <c r="BC24" s="781">
        <f t="shared" si="15"/>
        <v>11946.505999999998</v>
      </c>
      <c r="BD24" s="700"/>
      <c r="BE24" s="700">
        <f t="shared" si="16"/>
        <v>16290.114999999998</v>
      </c>
      <c r="BF24" s="2042"/>
      <c r="BG24" s="39">
        <f t="shared" si="17"/>
        <v>29691.269</v>
      </c>
      <c r="BH24" s="26"/>
      <c r="BI24" s="26"/>
      <c r="BJ24" s="26"/>
      <c r="BK24" s="26"/>
      <c r="BL24" s="26"/>
      <c r="BM24" s="26"/>
      <c r="BN24" s="1219"/>
    </row>
    <row r="25" spans="2:72" ht="15" customHeight="1" thickBot="1" x14ac:dyDescent="0.35">
      <c r="B25" s="3095" t="s">
        <v>854</v>
      </c>
      <c r="C25" s="3096" t="s">
        <v>947</v>
      </c>
      <c r="D25" s="3097">
        <v>57.38</v>
      </c>
      <c r="E25" s="1412" t="s">
        <v>50</v>
      </c>
      <c r="F25" s="3098"/>
      <c r="G25" s="38">
        <v>974.24799999999993</v>
      </c>
      <c r="H25" s="3098"/>
      <c r="I25" s="38">
        <v>1834.2080000000017</v>
      </c>
      <c r="J25" s="3099"/>
      <c r="K25" s="4957">
        <f t="shared" si="3"/>
        <v>2808.4560000000015</v>
      </c>
      <c r="L25" s="3098"/>
      <c r="M25" s="38">
        <v>3896.5000000000009</v>
      </c>
      <c r="N25" s="2034"/>
      <c r="O25" s="69">
        <f t="shared" si="4"/>
        <v>6704.9560000000019</v>
      </c>
      <c r="P25" s="3098"/>
      <c r="Q25" s="38">
        <v>1135.345</v>
      </c>
      <c r="R25" s="2042"/>
      <c r="S25" s="39">
        <f t="shared" si="5"/>
        <v>7840.3010000000022</v>
      </c>
      <c r="T25" s="3098"/>
      <c r="U25" s="38">
        <v>528.68100000000004</v>
      </c>
      <c r="V25" s="2042"/>
      <c r="W25" s="39">
        <f t="shared" si="6"/>
        <v>8368.9820000000018</v>
      </c>
      <c r="X25" s="3098"/>
      <c r="Y25" s="38"/>
      <c r="Z25" s="902"/>
      <c r="AA25" s="781">
        <f t="shared" si="7"/>
        <v>1664.0260000000001</v>
      </c>
      <c r="AB25" s="4199"/>
      <c r="AC25" s="465">
        <f t="shared" si="8"/>
        <v>8368.9820000000018</v>
      </c>
      <c r="AD25" s="3098"/>
      <c r="AE25" s="38">
        <v>1355.385</v>
      </c>
      <c r="AF25" s="2042"/>
      <c r="AG25" s="39">
        <f t="shared" si="9"/>
        <v>9724.367000000002</v>
      </c>
      <c r="AH25" s="3098"/>
      <c r="AI25" s="38"/>
      <c r="AJ25" s="2042"/>
      <c r="AK25" s="39">
        <f t="shared" si="10"/>
        <v>9724.367000000002</v>
      </c>
      <c r="AL25" s="3098"/>
      <c r="AM25" s="38">
        <v>1326.625</v>
      </c>
      <c r="AN25" s="902"/>
      <c r="AO25" s="781">
        <f t="shared" si="11"/>
        <v>2682.01</v>
      </c>
      <c r="AP25" s="2042"/>
      <c r="AQ25" s="39">
        <f t="shared" si="12"/>
        <v>11050.992000000002</v>
      </c>
      <c r="AR25" s="3098"/>
      <c r="AS25" s="38">
        <v>1677.864</v>
      </c>
      <c r="AT25" s="2042"/>
      <c r="AU25" s="39">
        <f t="shared" si="13"/>
        <v>12728.856000000002</v>
      </c>
      <c r="AV25" s="3098"/>
      <c r="AW25" s="38">
        <v>3401.8390000000009</v>
      </c>
      <c r="AX25" s="2042"/>
      <c r="AY25" s="39">
        <f t="shared" si="14"/>
        <v>16130.695000000003</v>
      </c>
      <c r="AZ25" s="3098"/>
      <c r="BA25" s="38">
        <v>978.53</v>
      </c>
      <c r="BB25" s="902"/>
      <c r="BC25" s="781">
        <f t="shared" si="15"/>
        <v>6058.2330000000011</v>
      </c>
      <c r="BD25" s="903"/>
      <c r="BE25" s="700">
        <f t="shared" si="16"/>
        <v>8740.2430000000022</v>
      </c>
      <c r="BF25" s="2042"/>
      <c r="BG25" s="39">
        <f t="shared" si="17"/>
        <v>17109.225000000002</v>
      </c>
      <c r="BH25" s="26"/>
      <c r="BI25" s="26"/>
      <c r="BJ25" s="26"/>
      <c r="BK25" s="26"/>
      <c r="BL25" s="26"/>
      <c r="BM25" s="26"/>
      <c r="BN25" s="1219"/>
    </row>
    <row r="26" spans="2:72" ht="15" customHeight="1" x14ac:dyDescent="0.3">
      <c r="B26" s="3090" t="s">
        <v>919</v>
      </c>
      <c r="C26" s="3091" t="s">
        <v>947</v>
      </c>
      <c r="D26" s="3092">
        <v>77.58</v>
      </c>
      <c r="E26" s="1329" t="s">
        <v>50</v>
      </c>
      <c r="F26" s="3093"/>
      <c r="G26" s="88">
        <v>513.57799999999997</v>
      </c>
      <c r="H26" s="3093"/>
      <c r="I26" s="88">
        <v>459.72199999999998</v>
      </c>
      <c r="J26" s="3094"/>
      <c r="K26" s="4957">
        <f t="shared" si="3"/>
        <v>973.3</v>
      </c>
      <c r="L26" s="3093"/>
      <c r="M26" s="88">
        <v>452.06</v>
      </c>
      <c r="N26" s="2034"/>
      <c r="O26" s="69">
        <f t="shared" si="4"/>
        <v>1425.36</v>
      </c>
      <c r="P26" s="3093"/>
      <c r="Q26" s="88">
        <v>396.56700000000001</v>
      </c>
      <c r="R26" s="2042"/>
      <c r="S26" s="39">
        <f t="shared" si="5"/>
        <v>1821.9269999999999</v>
      </c>
      <c r="T26" s="3093"/>
      <c r="U26" s="88">
        <v>479.91899999999998</v>
      </c>
      <c r="V26" s="2042"/>
      <c r="W26" s="39">
        <f t="shared" si="6"/>
        <v>2301.846</v>
      </c>
      <c r="X26" s="3093"/>
      <c r="Y26" s="88">
        <v>594.05300000000011</v>
      </c>
      <c r="Z26" s="902"/>
      <c r="AA26" s="781">
        <f t="shared" si="7"/>
        <v>1470.5390000000002</v>
      </c>
      <c r="AB26" s="4199"/>
      <c r="AC26" s="465">
        <f t="shared" si="8"/>
        <v>2895.8990000000003</v>
      </c>
      <c r="AD26" s="3093"/>
      <c r="AE26" s="88">
        <v>423.42999999999995</v>
      </c>
      <c r="AF26" s="2042"/>
      <c r="AG26" s="39">
        <f t="shared" si="9"/>
        <v>3319.3290000000002</v>
      </c>
      <c r="AH26" s="3093"/>
      <c r="AI26" s="88">
        <v>148.166</v>
      </c>
      <c r="AJ26" s="2042"/>
      <c r="AK26" s="39">
        <f t="shared" si="10"/>
        <v>3467.4950000000003</v>
      </c>
      <c r="AL26" s="3093"/>
      <c r="AM26" s="88">
        <v>528.88900000000001</v>
      </c>
      <c r="AN26" s="902"/>
      <c r="AO26" s="781">
        <f t="shared" si="11"/>
        <v>1100.4850000000001</v>
      </c>
      <c r="AP26" s="2042"/>
      <c r="AQ26" s="39">
        <f t="shared" si="12"/>
        <v>3996.3840000000005</v>
      </c>
      <c r="AR26" s="3093"/>
      <c r="AS26" s="88">
        <v>224.92599999999999</v>
      </c>
      <c r="AT26" s="2042"/>
      <c r="AU26" s="39">
        <f t="shared" si="13"/>
        <v>4221.3100000000004</v>
      </c>
      <c r="AV26" s="3093"/>
      <c r="AW26" s="88">
        <v>337.13100000000003</v>
      </c>
      <c r="AX26" s="2042"/>
      <c r="AY26" s="39">
        <f t="shared" si="14"/>
        <v>4558.4410000000007</v>
      </c>
      <c r="AZ26" s="3093"/>
      <c r="BA26" s="88">
        <v>1462.5219999999999</v>
      </c>
      <c r="BB26" s="902"/>
      <c r="BC26" s="781">
        <f t="shared" si="15"/>
        <v>2024.579</v>
      </c>
      <c r="BD26" s="903"/>
      <c r="BE26" s="700">
        <f t="shared" si="16"/>
        <v>3125.0640000000003</v>
      </c>
      <c r="BF26" s="2042"/>
      <c r="BG26" s="39">
        <f t="shared" si="17"/>
        <v>6020.9630000000006</v>
      </c>
      <c r="BH26" s="26"/>
      <c r="BI26" s="26"/>
      <c r="BJ26" s="26"/>
      <c r="BK26" s="26"/>
      <c r="BL26" s="26"/>
      <c r="BM26" s="26"/>
      <c r="BN26" s="1219"/>
    </row>
    <row r="27" spans="2:72" ht="15" customHeight="1" x14ac:dyDescent="0.3">
      <c r="B27" s="3086" t="s">
        <v>919</v>
      </c>
      <c r="C27" s="4065" t="s">
        <v>1633</v>
      </c>
      <c r="D27" s="3087">
        <v>77.58</v>
      </c>
      <c r="E27" s="1407" t="s">
        <v>50</v>
      </c>
      <c r="F27" s="3088"/>
      <c r="G27" s="29"/>
      <c r="H27" s="3088"/>
      <c r="I27" s="29"/>
      <c r="J27" s="3089"/>
      <c r="K27" s="4957">
        <f t="shared" si="3"/>
        <v>0</v>
      </c>
      <c r="L27" s="3088"/>
      <c r="M27" s="29">
        <v>275.834</v>
      </c>
      <c r="N27" s="5453"/>
      <c r="O27" s="69">
        <f t="shared" si="4"/>
        <v>275.834</v>
      </c>
      <c r="P27" s="3088"/>
      <c r="Q27" s="29"/>
      <c r="R27" s="5454"/>
      <c r="S27" s="39">
        <f t="shared" si="5"/>
        <v>275.834</v>
      </c>
      <c r="T27" s="3088"/>
      <c r="U27" s="29"/>
      <c r="V27" s="5454"/>
      <c r="W27" s="39">
        <f t="shared" si="6"/>
        <v>275.834</v>
      </c>
      <c r="X27" s="3088"/>
      <c r="Y27" s="29"/>
      <c r="Z27" s="5442"/>
      <c r="AA27" s="781">
        <f t="shared" si="7"/>
        <v>0</v>
      </c>
      <c r="AB27" s="4199"/>
      <c r="AC27" s="465">
        <f t="shared" si="8"/>
        <v>275.834</v>
      </c>
      <c r="AD27" s="3088"/>
      <c r="AE27" s="29"/>
      <c r="AF27" s="5454"/>
      <c r="AG27" s="4866"/>
      <c r="AH27" s="3088"/>
      <c r="AI27" s="29"/>
      <c r="AJ27" s="5454"/>
      <c r="AK27" s="4866"/>
      <c r="AL27" s="3088"/>
      <c r="AM27" s="29"/>
      <c r="AN27" s="5442"/>
      <c r="AO27" s="5450"/>
      <c r="AP27" s="5454"/>
      <c r="AQ27" s="4866"/>
      <c r="AR27" s="3088"/>
      <c r="AS27" s="29"/>
      <c r="AT27" s="5454"/>
      <c r="AU27" s="4866"/>
      <c r="AV27" s="3088"/>
      <c r="AW27" s="29"/>
      <c r="AX27" s="5454"/>
      <c r="AY27" s="4866"/>
      <c r="AZ27" s="3088"/>
      <c r="BA27" s="29"/>
      <c r="BB27" s="5442"/>
      <c r="BC27" s="5450"/>
      <c r="BD27" s="5457"/>
      <c r="BE27" s="5458"/>
      <c r="BF27" s="5454"/>
      <c r="BG27" s="4866"/>
      <c r="BH27" s="26"/>
      <c r="BI27" s="26"/>
      <c r="BJ27" s="26"/>
      <c r="BK27" s="26"/>
      <c r="BL27" s="26"/>
      <c r="BM27" s="26"/>
      <c r="BN27" s="1219"/>
    </row>
    <row r="28" spans="2:72" ht="15" customHeight="1" x14ac:dyDescent="0.3">
      <c r="B28" s="3086" t="s">
        <v>919</v>
      </c>
      <c r="C28" s="4065" t="s">
        <v>2278</v>
      </c>
      <c r="D28" s="3087">
        <v>77.58</v>
      </c>
      <c r="E28" s="1407" t="s">
        <v>50</v>
      </c>
      <c r="F28" s="3088"/>
      <c r="G28" s="29"/>
      <c r="H28" s="3088"/>
      <c r="I28" s="29"/>
      <c r="J28" s="3089"/>
      <c r="K28" s="4957">
        <f t="shared" si="3"/>
        <v>0</v>
      </c>
      <c r="L28" s="3088"/>
      <c r="M28" s="29">
        <v>229.86200000000002</v>
      </c>
      <c r="N28" s="5453"/>
      <c r="O28" s="69">
        <f t="shared" si="4"/>
        <v>229.86200000000002</v>
      </c>
      <c r="P28" s="3088"/>
      <c r="Q28" s="29"/>
      <c r="R28" s="5454"/>
      <c r="S28" s="39">
        <f t="shared" si="5"/>
        <v>229.86200000000002</v>
      </c>
      <c r="T28" s="3088"/>
      <c r="U28" s="29"/>
      <c r="V28" s="5454"/>
      <c r="W28" s="39">
        <f t="shared" si="6"/>
        <v>229.86200000000002</v>
      </c>
      <c r="X28" s="3088"/>
      <c r="Y28" s="29"/>
      <c r="Z28" s="5442"/>
      <c r="AA28" s="781">
        <f t="shared" si="7"/>
        <v>0</v>
      </c>
      <c r="AB28" s="4199"/>
      <c r="AC28" s="465">
        <f t="shared" si="8"/>
        <v>229.86200000000002</v>
      </c>
      <c r="AD28" s="3088"/>
      <c r="AE28" s="29"/>
      <c r="AF28" s="5454"/>
      <c r="AG28" s="4866"/>
      <c r="AH28" s="3088"/>
      <c r="AI28" s="29"/>
      <c r="AJ28" s="5454"/>
      <c r="AK28" s="4866"/>
      <c r="AL28" s="3088"/>
      <c r="AM28" s="29"/>
      <c r="AN28" s="5442"/>
      <c r="AO28" s="5450"/>
      <c r="AP28" s="5454"/>
      <c r="AQ28" s="4866"/>
      <c r="AR28" s="3088"/>
      <c r="AS28" s="29"/>
      <c r="AT28" s="5454"/>
      <c r="AU28" s="4866"/>
      <c r="AV28" s="3088"/>
      <c r="AW28" s="29"/>
      <c r="AX28" s="5454"/>
      <c r="AY28" s="4866"/>
      <c r="AZ28" s="3088"/>
      <c r="BA28" s="29"/>
      <c r="BB28" s="5442"/>
      <c r="BC28" s="5450"/>
      <c r="BD28" s="5457"/>
      <c r="BE28" s="5458"/>
      <c r="BF28" s="5454"/>
      <c r="BG28" s="4866"/>
      <c r="BH28" s="26"/>
      <c r="BI28" s="26"/>
      <c r="BJ28" s="26"/>
      <c r="BK28" s="26"/>
      <c r="BL28" s="26"/>
      <c r="BM28" s="26"/>
      <c r="BN28" s="1219"/>
    </row>
    <row r="29" spans="2:72" ht="15" customHeight="1" x14ac:dyDescent="0.3">
      <c r="B29" s="1090" t="s">
        <v>919</v>
      </c>
      <c r="C29" s="2894" t="s">
        <v>1013</v>
      </c>
      <c r="D29" s="2895">
        <v>77.58</v>
      </c>
      <c r="E29" s="1392" t="s">
        <v>50</v>
      </c>
      <c r="F29" s="2019"/>
      <c r="G29" s="18">
        <v>2950.0410000000002</v>
      </c>
      <c r="H29" s="2019"/>
      <c r="I29" s="18">
        <v>2511.3139999999994</v>
      </c>
      <c r="J29" s="2025"/>
      <c r="K29" s="4957">
        <f t="shared" si="3"/>
        <v>5461.3549999999996</v>
      </c>
      <c r="L29" s="2019"/>
      <c r="M29" s="18">
        <v>2941.9840000000008</v>
      </c>
      <c r="N29" s="2034"/>
      <c r="O29" s="69">
        <f t="shared" si="4"/>
        <v>8403.3389999999999</v>
      </c>
      <c r="P29" s="2019"/>
      <c r="Q29" s="18">
        <v>3050.1450000000004</v>
      </c>
      <c r="R29" s="2042"/>
      <c r="S29" s="39">
        <f t="shared" si="5"/>
        <v>11453.484</v>
      </c>
      <c r="T29" s="2019"/>
      <c r="U29" s="18">
        <v>2511.2669999999998</v>
      </c>
      <c r="V29" s="2042"/>
      <c r="W29" s="39">
        <f t="shared" si="6"/>
        <v>13964.751</v>
      </c>
      <c r="X29" s="2019"/>
      <c r="Y29" s="18">
        <v>2726.049</v>
      </c>
      <c r="Z29" s="902"/>
      <c r="AA29" s="781">
        <f t="shared" si="7"/>
        <v>8287.4609999999993</v>
      </c>
      <c r="AB29" s="4199"/>
      <c r="AC29" s="465">
        <f t="shared" si="8"/>
        <v>16690.8</v>
      </c>
      <c r="AD29" s="2019"/>
      <c r="AE29" s="18">
        <v>3554.6419999999998</v>
      </c>
      <c r="AF29" s="2042"/>
      <c r="AG29" s="39">
        <f t="shared" si="9"/>
        <v>20245.441999999999</v>
      </c>
      <c r="AH29" s="2019"/>
      <c r="AI29" s="18">
        <v>1881.767000000001</v>
      </c>
      <c r="AJ29" s="2042"/>
      <c r="AK29" s="39">
        <f t="shared" si="10"/>
        <v>22127.208999999999</v>
      </c>
      <c r="AL29" s="2019"/>
      <c r="AM29" s="18">
        <v>3587.078</v>
      </c>
      <c r="AN29" s="902"/>
      <c r="AO29" s="781">
        <f t="shared" si="11"/>
        <v>9023.487000000001</v>
      </c>
      <c r="AP29" s="2042"/>
      <c r="AQ29" s="39">
        <f t="shared" si="12"/>
        <v>25714.287</v>
      </c>
      <c r="AR29" s="2019"/>
      <c r="AS29" s="18">
        <v>1117.4050000000002</v>
      </c>
      <c r="AT29" s="2042"/>
      <c r="AU29" s="39">
        <f t="shared" si="13"/>
        <v>26831.691999999999</v>
      </c>
      <c r="AV29" s="2019"/>
      <c r="AW29" s="18">
        <v>3242.7780000000007</v>
      </c>
      <c r="AX29" s="2042"/>
      <c r="AY29" s="39">
        <f t="shared" si="14"/>
        <v>30074.47</v>
      </c>
      <c r="AZ29" s="2019"/>
      <c r="BA29" s="18">
        <v>3123.219000000001</v>
      </c>
      <c r="BB29" s="902"/>
      <c r="BC29" s="781">
        <f t="shared" si="15"/>
        <v>7483.4020000000019</v>
      </c>
      <c r="BD29" s="903"/>
      <c r="BE29" s="700">
        <f t="shared" si="16"/>
        <v>16506.889000000003</v>
      </c>
      <c r="BF29" s="2042"/>
      <c r="BG29" s="39">
        <f t="shared" si="17"/>
        <v>33197.688999999998</v>
      </c>
      <c r="BH29" s="26"/>
      <c r="BI29" s="26"/>
      <c r="BJ29" s="26"/>
      <c r="BK29" s="26"/>
      <c r="BL29" s="26"/>
      <c r="BM29" s="26"/>
      <c r="BN29" s="1219"/>
    </row>
    <row r="30" spans="2:72" ht="15" customHeight="1" x14ac:dyDescent="0.3">
      <c r="B30" s="1090" t="s">
        <v>1074</v>
      </c>
      <c r="C30" s="2894" t="s">
        <v>947</v>
      </c>
      <c r="D30" s="2895">
        <v>67.16</v>
      </c>
      <c r="E30" s="1392" t="s">
        <v>50</v>
      </c>
      <c r="F30" s="2019"/>
      <c r="G30" s="18">
        <v>808.44500000000005</v>
      </c>
      <c r="H30" s="2019"/>
      <c r="I30" s="18">
        <v>423.45800000000003</v>
      </c>
      <c r="J30" s="2025"/>
      <c r="K30" s="4957">
        <f t="shared" si="3"/>
        <v>1231.903</v>
      </c>
      <c r="L30" s="2019"/>
      <c r="M30" s="18">
        <v>776.39</v>
      </c>
      <c r="N30" s="2034"/>
      <c r="O30" s="69">
        <f t="shared" si="4"/>
        <v>2008.2930000000001</v>
      </c>
      <c r="P30" s="2019"/>
      <c r="Q30" s="18">
        <v>1354.7659999999998</v>
      </c>
      <c r="R30" s="2042"/>
      <c r="S30" s="39">
        <f t="shared" si="5"/>
        <v>3363.0590000000002</v>
      </c>
      <c r="T30" s="2019"/>
      <c r="U30" s="18"/>
      <c r="V30" s="2042"/>
      <c r="W30" s="39">
        <f t="shared" si="6"/>
        <v>3363.0590000000002</v>
      </c>
      <c r="X30" s="2019"/>
      <c r="Y30" s="18">
        <v>627.25300000000004</v>
      </c>
      <c r="Z30" s="902"/>
      <c r="AA30" s="781">
        <f t="shared" si="7"/>
        <v>1982.0189999999998</v>
      </c>
      <c r="AB30" s="4199"/>
      <c r="AC30" s="465">
        <f t="shared" si="8"/>
        <v>3990.3119999999999</v>
      </c>
      <c r="AD30" s="2019"/>
      <c r="AE30" s="18">
        <v>412.39399999999995</v>
      </c>
      <c r="AF30" s="2042"/>
      <c r="AG30" s="39">
        <f t="shared" si="9"/>
        <v>4402.7060000000001</v>
      </c>
      <c r="AH30" s="2019"/>
      <c r="AI30" s="18"/>
      <c r="AJ30" s="2042"/>
      <c r="AK30" s="39">
        <f t="shared" si="10"/>
        <v>4402.7060000000001</v>
      </c>
      <c r="AL30" s="2019"/>
      <c r="AM30" s="18">
        <v>618.529</v>
      </c>
      <c r="AN30" s="902"/>
      <c r="AO30" s="781">
        <f t="shared" si="11"/>
        <v>1030.923</v>
      </c>
      <c r="AP30" s="2042"/>
      <c r="AQ30" s="39">
        <f t="shared" si="12"/>
        <v>5021.2350000000006</v>
      </c>
      <c r="AR30" s="2019"/>
      <c r="AS30" s="18">
        <v>434.44400000000002</v>
      </c>
      <c r="AT30" s="2042"/>
      <c r="AU30" s="39">
        <f t="shared" si="13"/>
        <v>5455.679000000001</v>
      </c>
      <c r="AV30" s="2019"/>
      <c r="AW30" s="18">
        <v>530.173</v>
      </c>
      <c r="AX30" s="2042"/>
      <c r="AY30" s="39">
        <f t="shared" si="14"/>
        <v>5985.8520000000008</v>
      </c>
      <c r="AZ30" s="2019"/>
      <c r="BA30" s="18">
        <v>261.35300000000001</v>
      </c>
      <c r="BB30" s="902"/>
      <c r="BC30" s="781">
        <f t="shared" si="15"/>
        <v>1225.97</v>
      </c>
      <c r="BD30" s="903"/>
      <c r="BE30" s="700">
        <f t="shared" si="16"/>
        <v>2256.893</v>
      </c>
      <c r="BF30" s="2042"/>
      <c r="BG30" s="39">
        <f t="shared" si="17"/>
        <v>6247.2050000000008</v>
      </c>
      <c r="BH30" s="26"/>
      <c r="BI30" s="26"/>
      <c r="BJ30" s="26"/>
      <c r="BK30" s="26"/>
      <c r="BL30" s="26"/>
      <c r="BM30" s="26"/>
      <c r="BN30" s="1219"/>
    </row>
    <row r="31" spans="2:72" ht="15" customHeight="1" x14ac:dyDescent="0.3">
      <c r="B31" s="1090" t="s">
        <v>1074</v>
      </c>
      <c r="C31" s="2894" t="s">
        <v>1013</v>
      </c>
      <c r="D31" s="2895">
        <v>67.16</v>
      </c>
      <c r="E31" s="1392" t="s">
        <v>50</v>
      </c>
      <c r="F31" s="2019"/>
      <c r="G31" s="18">
        <v>2264.8240000000005</v>
      </c>
      <c r="H31" s="2019"/>
      <c r="I31" s="18">
        <v>1004.057</v>
      </c>
      <c r="J31" s="2025"/>
      <c r="K31" s="4957">
        <f t="shared" si="3"/>
        <v>3268.8810000000003</v>
      </c>
      <c r="L31" s="2019"/>
      <c r="M31" s="18">
        <v>1621.7879999999998</v>
      </c>
      <c r="N31" s="2034"/>
      <c r="O31" s="69">
        <f t="shared" si="4"/>
        <v>4890.6689999999999</v>
      </c>
      <c r="P31" s="2019"/>
      <c r="Q31" s="18">
        <v>2443.4170000000004</v>
      </c>
      <c r="R31" s="2042"/>
      <c r="S31" s="39">
        <f t="shared" si="5"/>
        <v>7334.0860000000002</v>
      </c>
      <c r="T31" s="2019"/>
      <c r="U31" s="18">
        <v>610.00199999999995</v>
      </c>
      <c r="V31" s="2042"/>
      <c r="W31" s="39">
        <f t="shared" si="6"/>
        <v>7944.0879999999997</v>
      </c>
      <c r="X31" s="2019"/>
      <c r="Y31" s="18">
        <v>943.14499999999987</v>
      </c>
      <c r="Z31" s="902"/>
      <c r="AA31" s="781">
        <f t="shared" si="7"/>
        <v>3996.5640000000003</v>
      </c>
      <c r="AB31" s="4199"/>
      <c r="AC31" s="465">
        <f t="shared" si="8"/>
        <v>8887.2330000000002</v>
      </c>
      <c r="AD31" s="2019"/>
      <c r="AE31" s="18">
        <v>1126.606</v>
      </c>
      <c r="AF31" s="2042"/>
      <c r="AG31" s="39">
        <f t="shared" si="9"/>
        <v>10013.839</v>
      </c>
      <c r="AH31" s="2019"/>
      <c r="AI31" s="18"/>
      <c r="AJ31" s="2042"/>
      <c r="AK31" s="39">
        <f t="shared" si="10"/>
        <v>10013.839</v>
      </c>
      <c r="AL31" s="2019"/>
      <c r="AM31" s="18">
        <v>1183.0869999999998</v>
      </c>
      <c r="AN31" s="902"/>
      <c r="AO31" s="781">
        <f t="shared" si="11"/>
        <v>2309.6929999999998</v>
      </c>
      <c r="AP31" s="2042"/>
      <c r="AQ31" s="39">
        <f t="shared" si="12"/>
        <v>11196.925999999999</v>
      </c>
      <c r="AR31" s="2019"/>
      <c r="AS31" s="18">
        <v>1501.9960000000001</v>
      </c>
      <c r="AT31" s="2042"/>
      <c r="AU31" s="39">
        <f t="shared" si="13"/>
        <v>12698.921999999999</v>
      </c>
      <c r="AV31" s="2019"/>
      <c r="AW31" s="18">
        <v>787.7170000000001</v>
      </c>
      <c r="AX31" s="2042"/>
      <c r="AY31" s="39">
        <f t="shared" si="14"/>
        <v>13486.638999999999</v>
      </c>
      <c r="AZ31" s="2019"/>
      <c r="BA31" s="18">
        <v>1635.325</v>
      </c>
      <c r="BB31" s="902"/>
      <c r="BC31" s="781">
        <f t="shared" si="15"/>
        <v>3925.0380000000005</v>
      </c>
      <c r="BD31" s="903"/>
      <c r="BE31" s="700">
        <f t="shared" si="16"/>
        <v>6234.7309999999998</v>
      </c>
      <c r="BF31" s="2042"/>
      <c r="BG31" s="39">
        <f t="shared" si="17"/>
        <v>15121.964</v>
      </c>
      <c r="BH31" s="26"/>
      <c r="BI31" s="26"/>
      <c r="BJ31" s="26"/>
      <c r="BK31" s="26"/>
      <c r="BL31" s="26"/>
      <c r="BM31" s="26"/>
      <c r="BN31" s="1219"/>
    </row>
    <row r="32" spans="2:72" ht="15" customHeight="1" x14ac:dyDescent="0.3">
      <c r="B32" s="1090" t="s">
        <v>919</v>
      </c>
      <c r="C32" s="2894" t="s">
        <v>1013</v>
      </c>
      <c r="D32" s="2895">
        <v>92.37</v>
      </c>
      <c r="E32" s="1392" t="s">
        <v>50</v>
      </c>
      <c r="F32" s="2019"/>
      <c r="G32" s="18">
        <v>443.37999999999994</v>
      </c>
      <c r="H32" s="2019"/>
      <c r="I32" s="18">
        <v>203.166</v>
      </c>
      <c r="J32" s="2025"/>
      <c r="K32" s="4957">
        <f t="shared" si="3"/>
        <v>646.54599999999994</v>
      </c>
      <c r="L32" s="2019"/>
      <c r="M32" s="18"/>
      <c r="N32" s="2034"/>
      <c r="O32" s="69">
        <f t="shared" si="4"/>
        <v>646.54599999999994</v>
      </c>
      <c r="P32" s="2019"/>
      <c r="Q32" s="18"/>
      <c r="R32" s="2042"/>
      <c r="S32" s="39">
        <f t="shared" si="5"/>
        <v>646.54599999999994</v>
      </c>
      <c r="T32" s="2019"/>
      <c r="U32" s="18"/>
      <c r="V32" s="2042"/>
      <c r="W32" s="39">
        <f t="shared" si="6"/>
        <v>646.54599999999994</v>
      </c>
      <c r="X32" s="2019"/>
      <c r="Y32" s="18">
        <v>524.90899999999999</v>
      </c>
      <c r="Z32" s="902"/>
      <c r="AA32" s="781">
        <f t="shared" si="7"/>
        <v>524.90899999999999</v>
      </c>
      <c r="AB32" s="4199"/>
      <c r="AC32" s="465">
        <f t="shared" si="8"/>
        <v>1171.4549999999999</v>
      </c>
      <c r="AD32" s="2019"/>
      <c r="AE32" s="18"/>
      <c r="AF32" s="2042"/>
      <c r="AG32" s="39">
        <f t="shared" si="9"/>
        <v>1171.4549999999999</v>
      </c>
      <c r="AH32" s="2019"/>
      <c r="AI32" s="18"/>
      <c r="AJ32" s="2042"/>
      <c r="AK32" s="39">
        <f t="shared" si="10"/>
        <v>1171.4549999999999</v>
      </c>
      <c r="AL32" s="2019"/>
      <c r="AM32" s="18">
        <v>39.823999999999984</v>
      </c>
      <c r="AN32" s="902"/>
      <c r="AO32" s="781">
        <f t="shared" si="11"/>
        <v>39.823999999999984</v>
      </c>
      <c r="AP32" s="2042"/>
      <c r="AQ32" s="39">
        <f t="shared" si="12"/>
        <v>1211.279</v>
      </c>
      <c r="AR32" s="2019"/>
      <c r="AS32" s="18"/>
      <c r="AT32" s="2042"/>
      <c r="AU32" s="39">
        <f t="shared" si="13"/>
        <v>1211.279</v>
      </c>
      <c r="AV32" s="2019"/>
      <c r="AW32" s="18">
        <v>434.76400000000001</v>
      </c>
      <c r="AX32" s="2042"/>
      <c r="AY32" s="39">
        <f t="shared" si="14"/>
        <v>1646.0430000000001</v>
      </c>
      <c r="AZ32" s="2019"/>
      <c r="BA32" s="18">
        <v>113.502</v>
      </c>
      <c r="BB32" s="902"/>
      <c r="BC32" s="781">
        <f t="shared" si="15"/>
        <v>548.26599999999996</v>
      </c>
      <c r="BD32" s="903"/>
      <c r="BE32" s="700">
        <f t="shared" si="16"/>
        <v>588.08999999999992</v>
      </c>
      <c r="BF32" s="2042"/>
      <c r="BG32" s="39">
        <f t="shared" si="17"/>
        <v>1759.5450000000001</v>
      </c>
      <c r="BH32" s="26"/>
      <c r="BI32" s="26"/>
      <c r="BJ32" s="26"/>
      <c r="BK32" s="26"/>
      <c r="BL32" s="26"/>
      <c r="BM32" s="26"/>
      <c r="BN32" s="1219"/>
      <c r="BS32" s="1649"/>
    </row>
    <row r="33" spans="1:66" ht="15" customHeight="1" thickBot="1" x14ac:dyDescent="0.35">
      <c r="B33" s="3095" t="s">
        <v>919</v>
      </c>
      <c r="C33" s="3096" t="s">
        <v>947</v>
      </c>
      <c r="D33" s="3097">
        <v>92.37</v>
      </c>
      <c r="E33" s="1412" t="s">
        <v>50</v>
      </c>
      <c r="F33" s="3098"/>
      <c r="G33" s="38"/>
      <c r="H33" s="3098"/>
      <c r="I33" s="38"/>
      <c r="J33" s="3099"/>
      <c r="K33" s="4957">
        <f t="shared" si="3"/>
        <v>0</v>
      </c>
      <c r="L33" s="3098"/>
      <c r="M33" s="38"/>
      <c r="N33" s="2034"/>
      <c r="O33" s="69">
        <f t="shared" si="4"/>
        <v>0</v>
      </c>
      <c r="P33" s="3098"/>
      <c r="Q33" s="38"/>
      <c r="R33" s="2042"/>
      <c r="S33" s="39">
        <f t="shared" si="5"/>
        <v>0</v>
      </c>
      <c r="T33" s="3098"/>
      <c r="U33" s="38"/>
      <c r="V33" s="2042"/>
      <c r="W33" s="39">
        <f t="shared" si="6"/>
        <v>0</v>
      </c>
      <c r="X33" s="3098"/>
      <c r="Y33" s="38"/>
      <c r="Z33" s="2896"/>
      <c r="AA33" s="781">
        <f t="shared" si="7"/>
        <v>0</v>
      </c>
      <c r="AB33" s="4200"/>
      <c r="AC33" s="465">
        <f t="shared" si="8"/>
        <v>0</v>
      </c>
      <c r="AD33" s="3098"/>
      <c r="AE33" s="38"/>
      <c r="AF33" s="2042"/>
      <c r="AG33" s="39">
        <f t="shared" si="9"/>
        <v>0</v>
      </c>
      <c r="AH33" s="3098"/>
      <c r="AI33" s="38"/>
      <c r="AJ33" s="2042"/>
      <c r="AK33" s="39">
        <f t="shared" si="10"/>
        <v>0</v>
      </c>
      <c r="AL33" s="3098"/>
      <c r="AM33" s="38"/>
      <c r="AN33" s="2896"/>
      <c r="AO33" s="781">
        <f t="shared" si="11"/>
        <v>0</v>
      </c>
      <c r="AP33" s="2042"/>
      <c r="AQ33" s="39">
        <f t="shared" si="12"/>
        <v>0</v>
      </c>
      <c r="AR33" s="3098"/>
      <c r="AS33" s="38"/>
      <c r="AT33" s="2042"/>
      <c r="AU33" s="39">
        <f t="shared" si="13"/>
        <v>0</v>
      </c>
      <c r="AV33" s="3098"/>
      <c r="AW33" s="38">
        <v>138.61500000000001</v>
      </c>
      <c r="AX33" s="2042"/>
      <c r="AY33" s="39">
        <f t="shared" si="14"/>
        <v>138.61500000000001</v>
      </c>
      <c r="AZ33" s="3098"/>
      <c r="BA33" s="38"/>
      <c r="BB33" s="2896"/>
      <c r="BC33" s="781">
        <f t="shared" si="15"/>
        <v>138.61500000000001</v>
      </c>
      <c r="BD33" s="2897"/>
      <c r="BE33" s="700">
        <f t="shared" si="16"/>
        <v>138.61500000000001</v>
      </c>
      <c r="BF33" s="2042"/>
      <c r="BG33" s="39">
        <f t="shared" si="17"/>
        <v>138.61500000000001</v>
      </c>
      <c r="BH33" s="26"/>
      <c r="BI33" s="26"/>
      <c r="BJ33" s="26"/>
      <c r="BK33" s="26"/>
      <c r="BL33" s="26"/>
      <c r="BM33" s="26"/>
      <c r="BN33" s="1219"/>
    </row>
    <row r="34" spans="1:66" ht="15" customHeight="1" x14ac:dyDescent="0.3">
      <c r="B34" s="3090" t="s">
        <v>1286</v>
      </c>
      <c r="C34" s="3091" t="s">
        <v>1013</v>
      </c>
      <c r="D34" s="3092">
        <v>79.36</v>
      </c>
      <c r="E34" s="1329" t="s">
        <v>50</v>
      </c>
      <c r="F34" s="3093"/>
      <c r="G34" s="88">
        <v>1044.961</v>
      </c>
      <c r="H34" s="3093"/>
      <c r="I34" s="88">
        <v>423.31900000000007</v>
      </c>
      <c r="J34" s="3094"/>
      <c r="K34" s="4957">
        <f t="shared" si="3"/>
        <v>1468.2800000000002</v>
      </c>
      <c r="L34" s="3093"/>
      <c r="M34" s="88">
        <v>432.125</v>
      </c>
      <c r="N34" s="2034"/>
      <c r="O34" s="69">
        <f t="shared" si="4"/>
        <v>1900.4050000000002</v>
      </c>
      <c r="P34" s="3093"/>
      <c r="Q34" s="88">
        <v>840.68100000000004</v>
      </c>
      <c r="R34" s="2042"/>
      <c r="S34" s="39">
        <f t="shared" si="5"/>
        <v>2741.0860000000002</v>
      </c>
      <c r="T34" s="3093"/>
      <c r="U34" s="88">
        <v>963.54099999999994</v>
      </c>
      <c r="V34" s="2042"/>
      <c r="W34" s="39">
        <f t="shared" si="6"/>
        <v>3704.6270000000004</v>
      </c>
      <c r="X34" s="3093"/>
      <c r="Y34" s="88">
        <v>1767.8939999999998</v>
      </c>
      <c r="Z34" s="902"/>
      <c r="AA34" s="781">
        <f t="shared" si="7"/>
        <v>3572.116</v>
      </c>
      <c r="AB34" s="4199"/>
      <c r="AC34" s="465">
        <f t="shared" si="8"/>
        <v>5472.5210000000006</v>
      </c>
      <c r="AD34" s="3093"/>
      <c r="AE34" s="88">
        <v>600.15200000000004</v>
      </c>
      <c r="AF34" s="2042"/>
      <c r="AG34" s="39">
        <f t="shared" si="9"/>
        <v>6072.6730000000007</v>
      </c>
      <c r="AH34" s="3093"/>
      <c r="AI34" s="88"/>
      <c r="AJ34" s="2042"/>
      <c r="AK34" s="39">
        <f t="shared" si="10"/>
        <v>6072.6730000000007</v>
      </c>
      <c r="AL34" s="3093"/>
      <c r="AM34" s="88">
        <v>1083.771</v>
      </c>
      <c r="AN34" s="902"/>
      <c r="AO34" s="781">
        <f t="shared" si="11"/>
        <v>1683.923</v>
      </c>
      <c r="AP34" s="2042"/>
      <c r="AQ34" s="39">
        <f t="shared" si="12"/>
        <v>7156.4440000000004</v>
      </c>
      <c r="AR34" s="3093"/>
      <c r="AS34" s="88">
        <v>413.697</v>
      </c>
      <c r="AT34" s="2042"/>
      <c r="AU34" s="39">
        <f t="shared" si="13"/>
        <v>7570.1410000000005</v>
      </c>
      <c r="AV34" s="3093"/>
      <c r="AW34" s="88">
        <v>206.81</v>
      </c>
      <c r="AX34" s="2042"/>
      <c r="AY34" s="39">
        <f t="shared" si="14"/>
        <v>7776.9510000000009</v>
      </c>
      <c r="AZ34" s="3093"/>
      <c r="BA34" s="88">
        <v>1622.2330000000002</v>
      </c>
      <c r="BB34" s="902"/>
      <c r="BC34" s="781">
        <f t="shared" si="15"/>
        <v>2242.7400000000002</v>
      </c>
      <c r="BD34" s="903"/>
      <c r="BE34" s="700">
        <f t="shared" si="16"/>
        <v>3926.6630000000005</v>
      </c>
      <c r="BF34" s="2042"/>
      <c r="BG34" s="39">
        <f t="shared" si="17"/>
        <v>9399.1840000000011</v>
      </c>
      <c r="BH34" s="26"/>
      <c r="BI34" s="26"/>
      <c r="BJ34" s="26"/>
      <c r="BK34" s="26"/>
      <c r="BL34" s="26"/>
      <c r="BM34" s="26"/>
      <c r="BN34" s="1219"/>
    </row>
    <row r="35" spans="1:66" ht="15" customHeight="1" x14ac:dyDescent="0.3">
      <c r="B35" s="1090" t="s">
        <v>1286</v>
      </c>
      <c r="C35" s="2894" t="s">
        <v>1617</v>
      </c>
      <c r="D35" s="2895">
        <v>79.36</v>
      </c>
      <c r="E35" s="1392" t="s">
        <v>50</v>
      </c>
      <c r="F35" s="2019"/>
      <c r="G35" s="18"/>
      <c r="H35" s="2019"/>
      <c r="I35" s="18"/>
      <c r="J35" s="2025"/>
      <c r="K35" s="4957">
        <f t="shared" si="3"/>
        <v>0</v>
      </c>
      <c r="L35" s="2019"/>
      <c r="M35" s="18"/>
      <c r="N35" s="2034"/>
      <c r="O35" s="69">
        <f t="shared" si="4"/>
        <v>0</v>
      </c>
      <c r="P35" s="2019"/>
      <c r="Q35" s="18"/>
      <c r="R35" s="2042"/>
      <c r="S35" s="39">
        <f t="shared" si="5"/>
        <v>0</v>
      </c>
      <c r="T35" s="2019"/>
      <c r="U35" s="18"/>
      <c r="V35" s="2042"/>
      <c r="W35" s="39">
        <f t="shared" si="6"/>
        <v>0</v>
      </c>
      <c r="X35" s="2019"/>
      <c r="Y35" s="18"/>
      <c r="Z35" s="2495"/>
      <c r="AA35" s="781">
        <f t="shared" si="7"/>
        <v>0</v>
      </c>
      <c r="AB35" s="4201"/>
      <c r="AC35" s="465">
        <f t="shared" si="8"/>
        <v>0</v>
      </c>
      <c r="AD35" s="2019"/>
      <c r="AE35" s="18"/>
      <c r="AF35" s="2042"/>
      <c r="AG35" s="39">
        <f t="shared" si="9"/>
        <v>0</v>
      </c>
      <c r="AH35" s="2019"/>
      <c r="AI35" s="18"/>
      <c r="AJ35" s="2042"/>
      <c r="AK35" s="39">
        <f t="shared" si="10"/>
        <v>0</v>
      </c>
      <c r="AL35" s="2019"/>
      <c r="AM35" s="18"/>
      <c r="AN35" s="2495"/>
      <c r="AO35" s="781">
        <f t="shared" si="11"/>
        <v>0</v>
      </c>
      <c r="AP35" s="2042"/>
      <c r="AQ35" s="39">
        <f t="shared" si="12"/>
        <v>0</v>
      </c>
      <c r="AR35" s="2019"/>
      <c r="AS35" s="18"/>
      <c r="AT35" s="2042"/>
      <c r="AU35" s="39">
        <f t="shared" si="13"/>
        <v>0</v>
      </c>
      <c r="AV35" s="2019"/>
      <c r="AW35" s="18"/>
      <c r="AX35" s="2042"/>
      <c r="AY35" s="39">
        <f t="shared" si="14"/>
        <v>0</v>
      </c>
      <c r="AZ35" s="2019"/>
      <c r="BA35" s="18"/>
      <c r="BB35" s="2495"/>
      <c r="BC35" s="781">
        <f t="shared" si="15"/>
        <v>0</v>
      </c>
      <c r="BD35" s="2499"/>
      <c r="BE35" s="700">
        <f t="shared" si="16"/>
        <v>0</v>
      </c>
      <c r="BF35" s="2042"/>
      <c r="BG35" s="39">
        <f t="shared" si="17"/>
        <v>0</v>
      </c>
      <c r="BH35" s="26"/>
      <c r="BI35" s="26"/>
      <c r="BJ35" s="26"/>
      <c r="BK35" s="26"/>
      <c r="BL35" s="26"/>
      <c r="BM35" s="26"/>
      <c r="BN35" s="1219"/>
    </row>
    <row r="36" spans="1:66" ht="15" customHeight="1" x14ac:dyDescent="0.3">
      <c r="B36" s="1090" t="s">
        <v>1286</v>
      </c>
      <c r="C36" s="2894" t="s">
        <v>947</v>
      </c>
      <c r="D36" s="2895">
        <v>79.36</v>
      </c>
      <c r="E36" s="1392" t="s">
        <v>50</v>
      </c>
      <c r="F36" s="2019"/>
      <c r="G36" s="18">
        <v>1060.674</v>
      </c>
      <c r="H36" s="2019"/>
      <c r="I36" s="18">
        <v>305.46600000000001</v>
      </c>
      <c r="J36" s="2025"/>
      <c r="K36" s="4957">
        <f t="shared" si="3"/>
        <v>1366.1399999999999</v>
      </c>
      <c r="L36" s="2019"/>
      <c r="M36" s="18">
        <v>157.137</v>
      </c>
      <c r="N36" s="2034"/>
      <c r="O36" s="69">
        <f t="shared" si="4"/>
        <v>1523.2769999999998</v>
      </c>
      <c r="P36" s="2019"/>
      <c r="Q36" s="18">
        <v>78.567999999999998</v>
      </c>
      <c r="R36" s="2042"/>
      <c r="S36" s="39">
        <f t="shared" si="5"/>
        <v>1601.8449999999998</v>
      </c>
      <c r="T36" s="2019"/>
      <c r="U36" s="18">
        <v>204.27799999999999</v>
      </c>
      <c r="V36" s="2042"/>
      <c r="W36" s="39">
        <f t="shared" si="6"/>
        <v>1806.1229999999998</v>
      </c>
      <c r="X36" s="2019"/>
      <c r="Y36" s="18">
        <v>801.346</v>
      </c>
      <c r="Z36" s="902"/>
      <c r="AA36" s="781">
        <f t="shared" si="7"/>
        <v>1084.192</v>
      </c>
      <c r="AB36" s="4199"/>
      <c r="AC36" s="465">
        <f t="shared" si="8"/>
        <v>2607.4690000000001</v>
      </c>
      <c r="AD36" s="2019"/>
      <c r="AE36" s="18">
        <v>290.38600000000002</v>
      </c>
      <c r="AF36" s="2042"/>
      <c r="AG36" s="39">
        <f t="shared" si="9"/>
        <v>2897.855</v>
      </c>
      <c r="AH36" s="2019"/>
      <c r="AI36" s="18"/>
      <c r="AJ36" s="2042"/>
      <c r="AK36" s="39">
        <f t="shared" si="10"/>
        <v>2897.855</v>
      </c>
      <c r="AL36" s="2019"/>
      <c r="AM36" s="18">
        <v>547.82899999999995</v>
      </c>
      <c r="AN36" s="902"/>
      <c r="AO36" s="781">
        <f t="shared" si="11"/>
        <v>838.21499999999992</v>
      </c>
      <c r="AP36" s="2042"/>
      <c r="AQ36" s="39">
        <f t="shared" si="12"/>
        <v>3445.6840000000002</v>
      </c>
      <c r="AR36" s="2019"/>
      <c r="AS36" s="18"/>
      <c r="AT36" s="2042"/>
      <c r="AU36" s="39">
        <f t="shared" si="13"/>
        <v>3445.6840000000002</v>
      </c>
      <c r="AV36" s="2019"/>
      <c r="AW36" s="18">
        <v>259.99099999999999</v>
      </c>
      <c r="AX36" s="2042"/>
      <c r="AY36" s="39">
        <f t="shared" si="14"/>
        <v>3705.6750000000002</v>
      </c>
      <c r="AZ36" s="2019"/>
      <c r="BA36" s="18">
        <v>871.15899999999988</v>
      </c>
      <c r="BB36" s="902"/>
      <c r="BC36" s="781">
        <f t="shared" si="15"/>
        <v>1131.1499999999999</v>
      </c>
      <c r="BD36" s="903"/>
      <c r="BE36" s="700">
        <f t="shared" si="16"/>
        <v>1969.3649999999998</v>
      </c>
      <c r="BF36" s="2042"/>
      <c r="BG36" s="39">
        <f t="shared" si="17"/>
        <v>4576.8339999999998</v>
      </c>
      <c r="BH36" s="26"/>
      <c r="BI36" s="26"/>
      <c r="BJ36" s="26"/>
      <c r="BK36" s="26"/>
      <c r="BL36" s="26"/>
      <c r="BM36" s="26"/>
      <c r="BN36" s="1219"/>
    </row>
    <row r="37" spans="1:66" ht="15" customHeight="1" x14ac:dyDescent="0.3">
      <c r="B37" s="1090" t="s">
        <v>1286</v>
      </c>
      <c r="C37" s="2894" t="s">
        <v>1633</v>
      </c>
      <c r="D37" s="2895">
        <v>90.69</v>
      </c>
      <c r="E37" s="1392" t="s">
        <v>50</v>
      </c>
      <c r="F37" s="2019"/>
      <c r="G37" s="18"/>
      <c r="H37" s="2019"/>
      <c r="I37" s="18"/>
      <c r="J37" s="2025"/>
      <c r="K37" s="4957">
        <f t="shared" si="3"/>
        <v>0</v>
      </c>
      <c r="L37" s="2019"/>
      <c r="M37" s="18">
        <v>336.87</v>
      </c>
      <c r="N37" s="2034"/>
      <c r="O37" s="69">
        <f t="shared" si="4"/>
        <v>336.87</v>
      </c>
      <c r="P37" s="2019"/>
      <c r="Q37" s="18"/>
      <c r="R37" s="2042"/>
      <c r="S37" s="39">
        <f t="shared" si="5"/>
        <v>336.87</v>
      </c>
      <c r="T37" s="2019"/>
      <c r="U37" s="18"/>
      <c r="V37" s="2042"/>
      <c r="W37" s="39">
        <f t="shared" si="6"/>
        <v>336.87</v>
      </c>
      <c r="X37" s="2019"/>
      <c r="Y37" s="18"/>
      <c r="Z37" s="902"/>
      <c r="AA37" s="781">
        <f t="shared" si="7"/>
        <v>0</v>
      </c>
      <c r="AB37" s="4199"/>
      <c r="AC37" s="465">
        <f t="shared" si="8"/>
        <v>336.87</v>
      </c>
      <c r="AD37" s="2019"/>
      <c r="AE37" s="18"/>
      <c r="AF37" s="2042"/>
      <c r="AG37" s="39">
        <f t="shared" si="9"/>
        <v>336.87</v>
      </c>
      <c r="AH37" s="2019"/>
      <c r="AI37" s="18"/>
      <c r="AJ37" s="2042"/>
      <c r="AK37" s="39">
        <f t="shared" si="10"/>
        <v>336.87</v>
      </c>
      <c r="AL37" s="2019"/>
      <c r="AM37" s="18"/>
      <c r="AN37" s="902"/>
      <c r="AO37" s="781">
        <f t="shared" si="11"/>
        <v>0</v>
      </c>
      <c r="AP37" s="2042"/>
      <c r="AQ37" s="39">
        <f t="shared" si="12"/>
        <v>336.87</v>
      </c>
      <c r="AR37" s="2019"/>
      <c r="AS37" s="18"/>
      <c r="AT37" s="2042"/>
      <c r="AU37" s="39">
        <f t="shared" si="13"/>
        <v>336.87</v>
      </c>
      <c r="AV37" s="2019"/>
      <c r="AW37" s="18">
        <v>329.46699999999998</v>
      </c>
      <c r="AX37" s="2042"/>
      <c r="AY37" s="39">
        <f t="shared" si="14"/>
        <v>666.33699999999999</v>
      </c>
      <c r="AZ37" s="2019"/>
      <c r="BA37" s="18"/>
      <c r="BB37" s="902"/>
      <c r="BC37" s="781">
        <f t="shared" si="15"/>
        <v>329.46699999999998</v>
      </c>
      <c r="BD37" s="903"/>
      <c r="BE37" s="700">
        <f t="shared" si="16"/>
        <v>329.46699999999998</v>
      </c>
      <c r="BF37" s="2042"/>
      <c r="BG37" s="39">
        <f t="shared" si="17"/>
        <v>666.33699999999999</v>
      </c>
      <c r="BH37" s="26"/>
      <c r="BI37" s="26"/>
      <c r="BJ37" s="26"/>
      <c r="BK37" s="26"/>
      <c r="BL37" s="26"/>
      <c r="BM37" s="26"/>
      <c r="BN37" s="1219"/>
    </row>
    <row r="38" spans="1:66" ht="15" customHeight="1" x14ac:dyDescent="0.3">
      <c r="B38" s="1090" t="s">
        <v>1286</v>
      </c>
      <c r="C38" s="2894" t="s">
        <v>1013</v>
      </c>
      <c r="D38" s="2895">
        <v>90.68</v>
      </c>
      <c r="E38" s="1392" t="s">
        <v>50</v>
      </c>
      <c r="F38" s="2019"/>
      <c r="G38" s="18"/>
      <c r="H38" s="2019"/>
      <c r="I38" s="18"/>
      <c r="J38" s="2025"/>
      <c r="K38" s="4957">
        <f t="shared" si="3"/>
        <v>0</v>
      </c>
      <c r="L38" s="2019"/>
      <c r="M38" s="18"/>
      <c r="N38" s="2034"/>
      <c r="O38" s="69">
        <f t="shared" si="4"/>
        <v>0</v>
      </c>
      <c r="P38" s="2019"/>
      <c r="Q38" s="18"/>
      <c r="R38" s="2042"/>
      <c r="S38" s="39">
        <f t="shared" si="5"/>
        <v>0</v>
      </c>
      <c r="T38" s="2019"/>
      <c r="U38" s="18"/>
      <c r="V38" s="2042"/>
      <c r="W38" s="39">
        <f t="shared" si="6"/>
        <v>0</v>
      </c>
      <c r="X38" s="2019"/>
      <c r="Y38" s="18"/>
      <c r="Z38" s="2896"/>
      <c r="AA38" s="781">
        <f t="shared" si="7"/>
        <v>0</v>
      </c>
      <c r="AB38" s="4200"/>
      <c r="AC38" s="465">
        <f t="shared" si="8"/>
        <v>0</v>
      </c>
      <c r="AD38" s="2019"/>
      <c r="AE38" s="18"/>
      <c r="AF38" s="2042"/>
      <c r="AG38" s="39">
        <f t="shared" si="9"/>
        <v>0</v>
      </c>
      <c r="AH38" s="2019"/>
      <c r="AI38" s="18"/>
      <c r="AJ38" s="2042"/>
      <c r="AK38" s="39">
        <f t="shared" si="10"/>
        <v>0</v>
      </c>
      <c r="AL38" s="2019"/>
      <c r="AM38" s="18"/>
      <c r="AN38" s="2896"/>
      <c r="AO38" s="781">
        <f t="shared" si="11"/>
        <v>0</v>
      </c>
      <c r="AP38" s="2042"/>
      <c r="AQ38" s="39">
        <f t="shared" si="12"/>
        <v>0</v>
      </c>
      <c r="AR38" s="2019"/>
      <c r="AS38" s="18"/>
      <c r="AT38" s="2042"/>
      <c r="AU38" s="39">
        <f t="shared" si="13"/>
        <v>0</v>
      </c>
      <c r="AV38" s="2019"/>
      <c r="AW38" s="18"/>
      <c r="AX38" s="2042"/>
      <c r="AY38" s="39">
        <f t="shared" si="14"/>
        <v>0</v>
      </c>
      <c r="AZ38" s="2019"/>
      <c r="BA38" s="18"/>
      <c r="BB38" s="2896"/>
      <c r="BC38" s="781">
        <f t="shared" si="15"/>
        <v>0</v>
      </c>
      <c r="BD38" s="2897"/>
      <c r="BE38" s="700">
        <f t="shared" si="16"/>
        <v>0</v>
      </c>
      <c r="BF38" s="2042"/>
      <c r="BG38" s="39">
        <f t="shared" si="17"/>
        <v>0</v>
      </c>
      <c r="BH38" s="26"/>
      <c r="BI38" s="26"/>
      <c r="BJ38" s="26"/>
      <c r="BK38" s="26"/>
      <c r="BL38" s="26"/>
      <c r="BM38" s="26"/>
      <c r="BN38" s="1219"/>
    </row>
    <row r="39" spans="1:66" ht="14.45" x14ac:dyDescent="0.3">
      <c r="B39" s="1090" t="s">
        <v>1286</v>
      </c>
      <c r="C39" s="2894" t="s">
        <v>947</v>
      </c>
      <c r="D39" s="2895">
        <v>90.68</v>
      </c>
      <c r="E39" s="1392" t="s">
        <v>50</v>
      </c>
      <c r="F39" s="2019"/>
      <c r="G39" s="18"/>
      <c r="H39" s="2019"/>
      <c r="I39" s="18"/>
      <c r="J39" s="2025"/>
      <c r="K39" s="4957">
        <f t="shared" si="3"/>
        <v>0</v>
      </c>
      <c r="L39" s="2019"/>
      <c r="M39" s="18"/>
      <c r="N39" s="2034"/>
      <c r="O39" s="69">
        <f t="shared" si="4"/>
        <v>0</v>
      </c>
      <c r="P39" s="2019"/>
      <c r="Q39" s="18"/>
      <c r="R39" s="2042"/>
      <c r="S39" s="39">
        <f t="shared" si="5"/>
        <v>0</v>
      </c>
      <c r="T39" s="2019"/>
      <c r="U39" s="18"/>
      <c r="V39" s="2042"/>
      <c r="W39" s="39">
        <f t="shared" si="6"/>
        <v>0</v>
      </c>
      <c r="X39" s="2019"/>
      <c r="Y39" s="18"/>
      <c r="Z39" s="2896"/>
      <c r="AA39" s="781">
        <f t="shared" si="7"/>
        <v>0</v>
      </c>
      <c r="AB39" s="4200"/>
      <c r="AC39" s="465">
        <f t="shared" si="8"/>
        <v>0</v>
      </c>
      <c r="AD39" s="2019"/>
      <c r="AE39" s="18"/>
      <c r="AF39" s="2042"/>
      <c r="AG39" s="39">
        <f t="shared" si="9"/>
        <v>0</v>
      </c>
      <c r="AH39" s="2019"/>
      <c r="AI39" s="18"/>
      <c r="AJ39" s="2042"/>
      <c r="AK39" s="39">
        <f t="shared" si="10"/>
        <v>0</v>
      </c>
      <c r="AL39" s="2019"/>
      <c r="AM39" s="18"/>
      <c r="AN39" s="2896"/>
      <c r="AO39" s="781">
        <f t="shared" si="11"/>
        <v>0</v>
      </c>
      <c r="AP39" s="2042"/>
      <c r="AQ39" s="39">
        <f t="shared" si="12"/>
        <v>0</v>
      </c>
      <c r="AR39" s="2019"/>
      <c r="AS39" s="18"/>
      <c r="AT39" s="2042"/>
      <c r="AU39" s="39">
        <f t="shared" si="13"/>
        <v>0</v>
      </c>
      <c r="AV39" s="2019"/>
      <c r="AW39" s="18"/>
      <c r="AX39" s="2042"/>
      <c r="AY39" s="39">
        <f t="shared" si="14"/>
        <v>0</v>
      </c>
      <c r="AZ39" s="2019"/>
      <c r="BA39" s="18"/>
      <c r="BB39" s="2896"/>
      <c r="BC39" s="781">
        <f t="shared" si="15"/>
        <v>0</v>
      </c>
      <c r="BD39" s="2897"/>
      <c r="BE39" s="700">
        <f t="shared" si="16"/>
        <v>0</v>
      </c>
      <c r="BF39" s="2042"/>
      <c r="BG39" s="39">
        <f t="shared" si="17"/>
        <v>0</v>
      </c>
      <c r="BH39" s="26"/>
      <c r="BI39" s="26"/>
      <c r="BJ39" s="26"/>
      <c r="BK39" s="26"/>
      <c r="BL39" s="26"/>
      <c r="BM39" s="26"/>
      <c r="BN39" s="1219"/>
    </row>
    <row r="40" spans="1:66" ht="15" customHeight="1" x14ac:dyDescent="0.3">
      <c r="A40" s="149"/>
      <c r="B40" s="1090" t="s">
        <v>855</v>
      </c>
      <c r="C40" s="2894" t="s">
        <v>1013</v>
      </c>
      <c r="D40" s="2895">
        <v>90.69</v>
      </c>
      <c r="E40" s="1392" t="s">
        <v>50</v>
      </c>
      <c r="F40" s="2019"/>
      <c r="G40" s="18">
        <v>4953.5990000000038</v>
      </c>
      <c r="H40" s="2019"/>
      <c r="I40" s="18">
        <v>4786.7889999999989</v>
      </c>
      <c r="J40" s="2025"/>
      <c r="K40" s="4957">
        <f t="shared" si="3"/>
        <v>9740.3880000000026</v>
      </c>
      <c r="L40" s="2019"/>
      <c r="M40" s="18">
        <v>3362.2630000000004</v>
      </c>
      <c r="N40" s="2034"/>
      <c r="O40" s="69">
        <f t="shared" si="4"/>
        <v>13102.651000000003</v>
      </c>
      <c r="P40" s="2019"/>
      <c r="Q40" s="18">
        <v>3594.0209999999993</v>
      </c>
      <c r="R40" s="2042"/>
      <c r="S40" s="39">
        <f t="shared" si="5"/>
        <v>16696.672000000002</v>
      </c>
      <c r="T40" s="2019"/>
      <c r="U40" s="18">
        <v>4017.3620000000005</v>
      </c>
      <c r="V40" s="2042"/>
      <c r="W40" s="39">
        <f t="shared" si="6"/>
        <v>20714.034000000003</v>
      </c>
      <c r="X40" s="2019"/>
      <c r="Y40" s="18">
        <v>5758.3259999999973</v>
      </c>
      <c r="Z40" s="902"/>
      <c r="AA40" s="781">
        <f t="shared" si="7"/>
        <v>13369.708999999997</v>
      </c>
      <c r="AB40" s="4199"/>
      <c r="AC40" s="465">
        <f t="shared" si="8"/>
        <v>26472.36</v>
      </c>
      <c r="AD40" s="2019"/>
      <c r="AE40" s="18">
        <v>3727.65</v>
      </c>
      <c r="AF40" s="2042"/>
      <c r="AG40" s="39">
        <f>+AC40+AE40</f>
        <v>30200.010000000002</v>
      </c>
      <c r="AH40" s="2019"/>
      <c r="AI40" s="18"/>
      <c r="AJ40" s="2042"/>
      <c r="AK40" s="39">
        <f>+AG40+AI40</f>
        <v>30200.010000000002</v>
      </c>
      <c r="AL40" s="2019"/>
      <c r="AM40" s="18">
        <v>3846.3369999999986</v>
      </c>
      <c r="AN40" s="902"/>
      <c r="AO40" s="781">
        <f t="shared" si="11"/>
        <v>7573.9869999999992</v>
      </c>
      <c r="AP40" s="2042"/>
      <c r="AQ40" s="39">
        <f t="shared" si="12"/>
        <v>34046.347000000002</v>
      </c>
      <c r="AR40" s="2019"/>
      <c r="AS40" s="18">
        <v>5069.7729999999992</v>
      </c>
      <c r="AT40" s="2042"/>
      <c r="AU40" s="39">
        <f t="shared" si="13"/>
        <v>39116.120000000003</v>
      </c>
      <c r="AV40" s="2019"/>
      <c r="AW40" s="18">
        <v>3607.8050000000007</v>
      </c>
      <c r="AX40" s="2042"/>
      <c r="AY40" s="39">
        <f t="shared" si="14"/>
        <v>42723.925000000003</v>
      </c>
      <c r="AZ40" s="2019"/>
      <c r="BA40" s="18">
        <v>4405.8440000000001</v>
      </c>
      <c r="BB40" s="902"/>
      <c r="BC40" s="781">
        <f t="shared" si="15"/>
        <v>13083.421999999999</v>
      </c>
      <c r="BD40" s="903"/>
      <c r="BE40" s="700">
        <f t="shared" si="16"/>
        <v>20657.409</v>
      </c>
      <c r="BF40" s="2042"/>
      <c r="BG40" s="39">
        <f t="shared" si="17"/>
        <v>47129.769</v>
      </c>
      <c r="BH40" s="26"/>
      <c r="BI40" s="26"/>
      <c r="BJ40" s="26"/>
      <c r="BK40" s="26"/>
      <c r="BL40" s="26"/>
      <c r="BM40" s="26"/>
      <c r="BN40" s="1219"/>
    </row>
    <row r="41" spans="1:66" ht="14.45" x14ac:dyDescent="0.3">
      <c r="B41" s="1090" t="s">
        <v>855</v>
      </c>
      <c r="C41" s="2894" t="s">
        <v>947</v>
      </c>
      <c r="D41" s="2895">
        <v>90.69</v>
      </c>
      <c r="E41" s="1392" t="s">
        <v>50</v>
      </c>
      <c r="F41" s="2019"/>
      <c r="G41" s="18">
        <v>521.01800000000003</v>
      </c>
      <c r="H41" s="2019"/>
      <c r="I41" s="18">
        <v>1056.4089999999999</v>
      </c>
      <c r="J41" s="2025"/>
      <c r="K41" s="4957">
        <f t="shared" si="3"/>
        <v>1577.4269999999999</v>
      </c>
      <c r="L41" s="2019"/>
      <c r="M41" s="18">
        <v>980.73599999999988</v>
      </c>
      <c r="N41" s="2034"/>
      <c r="O41" s="69">
        <f t="shared" si="4"/>
        <v>2558.1629999999996</v>
      </c>
      <c r="P41" s="2019"/>
      <c r="Q41" s="18">
        <v>429.07400000000001</v>
      </c>
      <c r="R41" s="2042"/>
      <c r="S41" s="39">
        <f t="shared" si="5"/>
        <v>2987.2369999999996</v>
      </c>
      <c r="T41" s="2019"/>
      <c r="U41" s="18">
        <v>330.83199999999999</v>
      </c>
      <c r="V41" s="2042"/>
      <c r="W41" s="39">
        <f t="shared" si="6"/>
        <v>3318.0689999999995</v>
      </c>
      <c r="X41" s="2019"/>
      <c r="Y41" s="18">
        <v>508.70600000000002</v>
      </c>
      <c r="Z41" s="902"/>
      <c r="AA41" s="781">
        <f t="shared" si="7"/>
        <v>1268.6120000000001</v>
      </c>
      <c r="AB41" s="4199"/>
      <c r="AC41" s="465">
        <f t="shared" si="8"/>
        <v>3826.7749999999996</v>
      </c>
      <c r="AD41" s="2019"/>
      <c r="AE41" s="18">
        <v>608.40599999999995</v>
      </c>
      <c r="AF41" s="2042"/>
      <c r="AG41" s="39">
        <f t="shared" ref="AG41:AG106" si="18">+AC41+AE41</f>
        <v>4435.1809999999996</v>
      </c>
      <c r="AH41" s="2019"/>
      <c r="AI41" s="18"/>
      <c r="AJ41" s="2042"/>
      <c r="AK41" s="39">
        <f t="shared" ref="AK41:AK45" si="19">+AG41+AI41</f>
        <v>4435.1809999999996</v>
      </c>
      <c r="AL41" s="2019"/>
      <c r="AM41" s="18">
        <v>601.62699999999995</v>
      </c>
      <c r="AN41" s="902"/>
      <c r="AO41" s="781">
        <f t="shared" si="11"/>
        <v>1210.0329999999999</v>
      </c>
      <c r="AP41" s="2042"/>
      <c r="AQ41" s="39">
        <f t="shared" si="12"/>
        <v>5036.8079999999991</v>
      </c>
      <c r="AR41" s="2019"/>
      <c r="AS41" s="18">
        <v>535.35199999999998</v>
      </c>
      <c r="AT41" s="2042"/>
      <c r="AU41" s="39">
        <f t="shared" si="13"/>
        <v>5572.1599999999989</v>
      </c>
      <c r="AV41" s="2019"/>
      <c r="AW41" s="18">
        <v>1164.6319999999998</v>
      </c>
      <c r="AX41" s="2042"/>
      <c r="AY41" s="39">
        <f t="shared" si="14"/>
        <v>6736.7919999999986</v>
      </c>
      <c r="AZ41" s="2019"/>
      <c r="BA41" s="18">
        <v>206.875</v>
      </c>
      <c r="BB41" s="902"/>
      <c r="BC41" s="781">
        <f t="shared" si="15"/>
        <v>1906.8589999999999</v>
      </c>
      <c r="BD41" s="903"/>
      <c r="BE41" s="700">
        <f t="shared" si="16"/>
        <v>3116.8919999999998</v>
      </c>
      <c r="BF41" s="2042"/>
      <c r="BG41" s="39">
        <f t="shared" si="17"/>
        <v>6943.6669999999986</v>
      </c>
      <c r="BH41" s="26"/>
      <c r="BI41" s="26"/>
      <c r="BJ41" s="26"/>
      <c r="BK41" s="26"/>
      <c r="BL41" s="26"/>
      <c r="BM41" s="26"/>
      <c r="BN41" s="1219"/>
    </row>
    <row r="42" spans="1:66" ht="14.45" x14ac:dyDescent="0.3">
      <c r="B42" s="1090" t="s">
        <v>855</v>
      </c>
      <c r="C42" s="2894" t="s">
        <v>947</v>
      </c>
      <c r="D42" s="2895">
        <v>107.32</v>
      </c>
      <c r="E42" s="1392" t="s">
        <v>50</v>
      </c>
      <c r="F42" s="2019"/>
      <c r="G42" s="18"/>
      <c r="H42" s="2019"/>
      <c r="I42" s="18"/>
      <c r="J42" s="2025"/>
      <c r="K42" s="4957">
        <f t="shared" si="3"/>
        <v>0</v>
      </c>
      <c r="L42" s="2019"/>
      <c r="M42" s="18">
        <v>432.12599999999998</v>
      </c>
      <c r="N42" s="2034"/>
      <c r="O42" s="69">
        <f t="shared" si="4"/>
        <v>432.12599999999998</v>
      </c>
      <c r="P42" s="2019"/>
      <c r="Q42" s="18">
        <v>157.137</v>
      </c>
      <c r="R42" s="2042"/>
      <c r="S42" s="39">
        <f t="shared" si="5"/>
        <v>589.26299999999992</v>
      </c>
      <c r="T42" s="2019"/>
      <c r="U42" s="18"/>
      <c r="V42" s="2042"/>
      <c r="W42" s="39">
        <f t="shared" si="6"/>
        <v>589.26299999999992</v>
      </c>
      <c r="X42" s="2019"/>
      <c r="Y42" s="18"/>
      <c r="Z42" s="902"/>
      <c r="AA42" s="781">
        <f t="shared" si="7"/>
        <v>157.137</v>
      </c>
      <c r="AB42" s="4199"/>
      <c r="AC42" s="465">
        <f t="shared" si="8"/>
        <v>589.26299999999992</v>
      </c>
      <c r="AD42" s="2019"/>
      <c r="AE42" s="18">
        <v>166.73399999999998</v>
      </c>
      <c r="AF42" s="2042"/>
      <c r="AG42" s="39">
        <f t="shared" si="18"/>
        <v>755.99699999999984</v>
      </c>
      <c r="AH42" s="2019"/>
      <c r="AI42" s="18"/>
      <c r="AJ42" s="2042"/>
      <c r="AK42" s="39">
        <f t="shared" si="19"/>
        <v>755.99699999999984</v>
      </c>
      <c r="AL42" s="2019"/>
      <c r="AM42" s="18">
        <v>258.16899999999998</v>
      </c>
      <c r="AN42" s="902"/>
      <c r="AO42" s="781">
        <f t="shared" si="11"/>
        <v>424.90299999999996</v>
      </c>
      <c r="AP42" s="2042"/>
      <c r="AQ42" s="39">
        <f t="shared" si="12"/>
        <v>1014.1659999999998</v>
      </c>
      <c r="AR42" s="2019"/>
      <c r="AS42" s="18">
        <v>295.81799999999998</v>
      </c>
      <c r="AT42" s="2042"/>
      <c r="AU42" s="39">
        <f t="shared" si="13"/>
        <v>1309.9839999999999</v>
      </c>
      <c r="AV42" s="2019"/>
      <c r="AW42" s="18"/>
      <c r="AX42" s="2042"/>
      <c r="AY42" s="39">
        <f t="shared" si="14"/>
        <v>1309.9839999999999</v>
      </c>
      <c r="AZ42" s="2019"/>
      <c r="BA42" s="18"/>
      <c r="BB42" s="902"/>
      <c r="BC42" s="781">
        <f t="shared" si="15"/>
        <v>295.81799999999998</v>
      </c>
      <c r="BD42" s="903"/>
      <c r="BE42" s="700">
        <f t="shared" si="16"/>
        <v>720.721</v>
      </c>
      <c r="BF42" s="2042"/>
      <c r="BG42" s="39">
        <f t="shared" si="17"/>
        <v>1309.9839999999999</v>
      </c>
      <c r="BH42" s="26"/>
      <c r="BI42" s="26"/>
      <c r="BJ42" s="26"/>
      <c r="BK42" s="26"/>
      <c r="BL42" s="26"/>
      <c r="BM42" s="26"/>
      <c r="BN42" s="1219"/>
    </row>
    <row r="43" spans="1:66" ht="15" customHeight="1" x14ac:dyDescent="0.3">
      <c r="A43" s="149"/>
      <c r="B43" s="1090" t="s">
        <v>855</v>
      </c>
      <c r="C43" s="2894" t="s">
        <v>1013</v>
      </c>
      <c r="D43" s="2895">
        <v>107.31</v>
      </c>
      <c r="E43" s="1392" t="s">
        <v>50</v>
      </c>
      <c r="F43" s="2019"/>
      <c r="G43" s="18"/>
      <c r="H43" s="2019"/>
      <c r="I43" s="18"/>
      <c r="J43" s="2025"/>
      <c r="K43" s="4957">
        <f t="shared" si="3"/>
        <v>0</v>
      </c>
      <c r="L43" s="2019"/>
      <c r="M43" s="18"/>
      <c r="N43" s="2034"/>
      <c r="O43" s="69">
        <f t="shared" si="4"/>
        <v>0</v>
      </c>
      <c r="P43" s="2019"/>
      <c r="Q43" s="18"/>
      <c r="R43" s="2042"/>
      <c r="S43" s="39">
        <f t="shared" si="5"/>
        <v>0</v>
      </c>
      <c r="T43" s="2019"/>
      <c r="U43" s="18"/>
      <c r="V43" s="2042"/>
      <c r="W43" s="39">
        <f t="shared" si="6"/>
        <v>0</v>
      </c>
      <c r="X43" s="2019"/>
      <c r="Y43" s="18"/>
      <c r="Z43" s="902"/>
      <c r="AA43" s="781">
        <f t="shared" si="7"/>
        <v>0</v>
      </c>
      <c r="AB43" s="4199"/>
      <c r="AC43" s="465">
        <f t="shared" si="8"/>
        <v>0</v>
      </c>
      <c r="AD43" s="2019"/>
      <c r="AE43" s="18"/>
      <c r="AF43" s="2042"/>
      <c r="AG43" s="39">
        <f t="shared" si="18"/>
        <v>0</v>
      </c>
      <c r="AH43" s="2019"/>
      <c r="AI43" s="18"/>
      <c r="AJ43" s="2042"/>
      <c r="AK43" s="39">
        <f t="shared" si="19"/>
        <v>0</v>
      </c>
      <c r="AL43" s="2019"/>
      <c r="AM43" s="18"/>
      <c r="AN43" s="902"/>
      <c r="AO43" s="781">
        <f t="shared" si="11"/>
        <v>0</v>
      </c>
      <c r="AP43" s="2042"/>
      <c r="AQ43" s="39">
        <f t="shared" si="12"/>
        <v>0</v>
      </c>
      <c r="AR43" s="2019"/>
      <c r="AS43" s="18"/>
      <c r="AT43" s="2042"/>
      <c r="AU43" s="39">
        <f t="shared" si="13"/>
        <v>0</v>
      </c>
      <c r="AV43" s="2019"/>
      <c r="AW43" s="18"/>
      <c r="AX43" s="2042"/>
      <c r="AY43" s="39">
        <f t="shared" si="14"/>
        <v>0</v>
      </c>
      <c r="AZ43" s="2019"/>
      <c r="BA43" s="18"/>
      <c r="BB43" s="902"/>
      <c r="BC43" s="781">
        <f t="shared" si="15"/>
        <v>0</v>
      </c>
      <c r="BD43" s="903"/>
      <c r="BE43" s="700">
        <f t="shared" si="16"/>
        <v>0</v>
      </c>
      <c r="BF43" s="2042"/>
      <c r="BG43" s="39">
        <f t="shared" si="17"/>
        <v>0</v>
      </c>
      <c r="BH43" s="26"/>
      <c r="BI43" s="26"/>
      <c r="BJ43" s="26"/>
      <c r="BK43" s="26"/>
      <c r="BL43" s="26"/>
      <c r="BM43" s="26"/>
      <c r="BN43" s="1219"/>
    </row>
    <row r="44" spans="1:66" ht="15" customHeight="1" thickBot="1" x14ac:dyDescent="0.35">
      <c r="B44" s="1090" t="s">
        <v>855</v>
      </c>
      <c r="C44" s="2894" t="s">
        <v>1013</v>
      </c>
      <c r="D44" s="2895">
        <v>107.32</v>
      </c>
      <c r="E44" s="1392" t="s">
        <v>50</v>
      </c>
      <c r="F44" s="2019"/>
      <c r="G44" s="18"/>
      <c r="H44" s="2019"/>
      <c r="I44" s="18">
        <v>298.03999999999996</v>
      </c>
      <c r="J44" s="2025"/>
      <c r="K44" s="4957">
        <f t="shared" si="3"/>
        <v>298.03999999999996</v>
      </c>
      <c r="L44" s="2019"/>
      <c r="M44" s="18">
        <v>265.75700000000001</v>
      </c>
      <c r="N44" s="2034"/>
      <c r="O44" s="69">
        <f t="shared" si="4"/>
        <v>563.79700000000003</v>
      </c>
      <c r="P44" s="2019"/>
      <c r="Q44" s="18">
        <v>487.12199999999996</v>
      </c>
      <c r="R44" s="2042"/>
      <c r="S44" s="39">
        <f t="shared" si="5"/>
        <v>1050.9189999999999</v>
      </c>
      <c r="T44" s="2019"/>
      <c r="U44" s="18">
        <v>172.876</v>
      </c>
      <c r="V44" s="2042"/>
      <c r="W44" s="39">
        <f t="shared" si="6"/>
        <v>1223.7949999999998</v>
      </c>
      <c r="X44" s="2019"/>
      <c r="Y44" s="18">
        <v>290.64499999999998</v>
      </c>
      <c r="Z44" s="2896"/>
      <c r="AA44" s="781">
        <f t="shared" si="7"/>
        <v>950.64299999999992</v>
      </c>
      <c r="AB44" s="4200"/>
      <c r="AC44" s="465">
        <f t="shared" si="8"/>
        <v>1514.44</v>
      </c>
      <c r="AD44" s="2019"/>
      <c r="AE44" s="18">
        <v>247.393</v>
      </c>
      <c r="AF44" s="2042"/>
      <c r="AG44" s="39">
        <f t="shared" si="18"/>
        <v>1761.8330000000001</v>
      </c>
      <c r="AH44" s="2019"/>
      <c r="AI44" s="18"/>
      <c r="AJ44" s="2042"/>
      <c r="AK44" s="39">
        <f t="shared" si="19"/>
        <v>1761.8330000000001</v>
      </c>
      <c r="AL44" s="2019"/>
      <c r="AM44" s="18"/>
      <c r="AN44" s="2896"/>
      <c r="AO44" s="781">
        <f t="shared" si="11"/>
        <v>247.393</v>
      </c>
      <c r="AP44" s="2042"/>
      <c r="AQ44" s="39">
        <f t="shared" si="12"/>
        <v>1761.8330000000001</v>
      </c>
      <c r="AR44" s="2019"/>
      <c r="AS44" s="18">
        <v>156.20599999999999</v>
      </c>
      <c r="AT44" s="2042"/>
      <c r="AU44" s="39">
        <f t="shared" si="13"/>
        <v>1918.039</v>
      </c>
      <c r="AV44" s="2019"/>
      <c r="AW44" s="18">
        <v>173.249</v>
      </c>
      <c r="AX44" s="2042"/>
      <c r="AY44" s="39">
        <f t="shared" si="14"/>
        <v>2091.288</v>
      </c>
      <c r="AZ44" s="2019"/>
      <c r="BA44" s="18">
        <v>702.66700000000003</v>
      </c>
      <c r="BB44" s="2896"/>
      <c r="BC44" s="781">
        <f t="shared" si="15"/>
        <v>1032.1220000000001</v>
      </c>
      <c r="BD44" s="2897"/>
      <c r="BE44" s="700">
        <f t="shared" si="16"/>
        <v>1279.5150000000001</v>
      </c>
      <c r="BF44" s="2042"/>
      <c r="BG44" s="39">
        <f t="shared" si="17"/>
        <v>2793.9549999999999</v>
      </c>
      <c r="BH44" s="26"/>
      <c r="BI44" s="26"/>
      <c r="BJ44" s="26"/>
      <c r="BK44" s="26"/>
      <c r="BL44" s="26"/>
      <c r="BM44" s="26"/>
      <c r="BN44" s="1219"/>
    </row>
    <row r="45" spans="1:66" ht="15" customHeight="1" x14ac:dyDescent="0.3">
      <c r="B45" s="3090" t="s">
        <v>856</v>
      </c>
      <c r="C45" s="3091" t="s">
        <v>1013</v>
      </c>
      <c r="D45" s="3101">
        <v>107.57</v>
      </c>
      <c r="E45" s="1329" t="s">
        <v>50</v>
      </c>
      <c r="F45" s="3093"/>
      <c r="G45" s="88"/>
      <c r="H45" s="3093"/>
      <c r="I45" s="88">
        <v>593.46699999999998</v>
      </c>
      <c r="J45" s="3094"/>
      <c r="K45" s="4957">
        <f t="shared" si="3"/>
        <v>593.46699999999998</v>
      </c>
      <c r="L45" s="3093"/>
      <c r="M45" s="88">
        <v>1189.4670000000001</v>
      </c>
      <c r="N45" s="2034"/>
      <c r="O45" s="69">
        <f t="shared" si="4"/>
        <v>1782.9340000000002</v>
      </c>
      <c r="P45" s="3093"/>
      <c r="Q45" s="88">
        <v>1186.8310000000001</v>
      </c>
      <c r="R45" s="2042"/>
      <c r="S45" s="39">
        <f t="shared" si="5"/>
        <v>2969.7650000000003</v>
      </c>
      <c r="T45" s="3093"/>
      <c r="U45" s="88"/>
      <c r="V45" s="2042"/>
      <c r="W45" s="39">
        <f t="shared" si="6"/>
        <v>2969.7650000000003</v>
      </c>
      <c r="X45" s="3093"/>
      <c r="Y45" s="88"/>
      <c r="Z45" s="2495"/>
      <c r="AA45" s="781">
        <f t="shared" si="7"/>
        <v>1186.8310000000001</v>
      </c>
      <c r="AB45" s="4201"/>
      <c r="AC45" s="465">
        <f t="shared" si="8"/>
        <v>2969.7650000000003</v>
      </c>
      <c r="AD45" s="3093"/>
      <c r="AE45" s="88">
        <v>440.02799999999996</v>
      </c>
      <c r="AF45" s="2042"/>
      <c r="AG45" s="39">
        <f t="shared" si="18"/>
        <v>3409.7930000000001</v>
      </c>
      <c r="AH45" s="3093"/>
      <c r="AI45" s="88"/>
      <c r="AJ45" s="2042"/>
      <c r="AK45" s="39">
        <f t="shared" si="19"/>
        <v>3409.7930000000001</v>
      </c>
      <c r="AL45" s="3093"/>
      <c r="AM45" s="88"/>
      <c r="AN45" s="2495"/>
      <c r="AO45" s="781">
        <f t="shared" si="11"/>
        <v>440.02799999999996</v>
      </c>
      <c r="AP45" s="2042"/>
      <c r="AQ45" s="39">
        <f t="shared" si="12"/>
        <v>3409.7930000000001</v>
      </c>
      <c r="AR45" s="3093"/>
      <c r="AS45" s="88"/>
      <c r="AT45" s="2042"/>
      <c r="AU45" s="39">
        <f t="shared" si="13"/>
        <v>3409.7930000000001</v>
      </c>
      <c r="AV45" s="3093"/>
      <c r="AW45" s="88">
        <v>147.53100000000001</v>
      </c>
      <c r="AX45" s="2042"/>
      <c r="AY45" s="39">
        <f t="shared" si="14"/>
        <v>3557.3240000000001</v>
      </c>
      <c r="AZ45" s="3093"/>
      <c r="BA45" s="88">
        <v>954.34500000000003</v>
      </c>
      <c r="BB45" s="2495"/>
      <c r="BC45" s="781">
        <f t="shared" si="15"/>
        <v>1101.876</v>
      </c>
      <c r="BD45" s="2499"/>
      <c r="BE45" s="700">
        <f t="shared" si="16"/>
        <v>1541.904</v>
      </c>
      <c r="BF45" s="2042"/>
      <c r="BG45" s="39">
        <f t="shared" si="17"/>
        <v>4511.6689999999999</v>
      </c>
      <c r="BH45" s="26"/>
      <c r="BI45" s="26"/>
      <c r="BJ45" s="26"/>
      <c r="BK45" s="26"/>
      <c r="BL45" s="26"/>
      <c r="BM45" s="26"/>
      <c r="BN45" s="1219"/>
    </row>
    <row r="46" spans="1:66" ht="15" customHeight="1" x14ac:dyDescent="0.3">
      <c r="B46" s="1090" t="s">
        <v>856</v>
      </c>
      <c r="C46" s="2894" t="s">
        <v>947</v>
      </c>
      <c r="D46" s="3100">
        <v>107.57</v>
      </c>
      <c r="E46" s="1392" t="s">
        <v>50</v>
      </c>
      <c r="F46" s="2019"/>
      <c r="G46" s="18"/>
      <c r="H46" s="2019"/>
      <c r="I46" s="18">
        <v>234.578</v>
      </c>
      <c r="J46" s="2025"/>
      <c r="K46" s="4957">
        <f t="shared" si="3"/>
        <v>234.578</v>
      </c>
      <c r="L46" s="2019"/>
      <c r="M46" s="18">
        <v>562.46300000000008</v>
      </c>
      <c r="N46" s="2034"/>
      <c r="O46" s="69">
        <f t="shared" si="4"/>
        <v>797.04100000000005</v>
      </c>
      <c r="P46" s="2019"/>
      <c r="Q46" s="18">
        <v>359.55200000000002</v>
      </c>
      <c r="R46" s="2042"/>
      <c r="S46" s="39">
        <f t="shared" si="5"/>
        <v>1156.5930000000001</v>
      </c>
      <c r="T46" s="2019"/>
      <c r="U46" s="18"/>
      <c r="V46" s="2042"/>
      <c r="W46" s="39">
        <f t="shared" si="6"/>
        <v>1156.5930000000001</v>
      </c>
      <c r="X46" s="2019"/>
      <c r="Y46" s="18"/>
      <c r="Z46" s="902"/>
      <c r="AA46" s="781">
        <f t="shared" si="7"/>
        <v>359.55200000000002</v>
      </c>
      <c r="AB46" s="4199"/>
      <c r="AC46" s="465">
        <f t="shared" si="8"/>
        <v>1156.5930000000001</v>
      </c>
      <c r="AD46" s="2019"/>
      <c r="AE46" s="18"/>
      <c r="AF46" s="2042"/>
      <c r="AG46" s="39">
        <f>+AC46+AE46</f>
        <v>1156.5930000000001</v>
      </c>
      <c r="AH46" s="2019"/>
      <c r="AI46" s="18"/>
      <c r="AJ46" s="2042"/>
      <c r="AK46" s="39">
        <f>+AG46+AI46</f>
        <v>1156.5930000000001</v>
      </c>
      <c r="AL46" s="2019"/>
      <c r="AM46" s="18"/>
      <c r="AN46" s="902"/>
      <c r="AO46" s="781">
        <f t="shared" si="11"/>
        <v>0</v>
      </c>
      <c r="AP46" s="2042"/>
      <c r="AQ46" s="39">
        <f t="shared" si="12"/>
        <v>1156.5930000000001</v>
      </c>
      <c r="AR46" s="2019"/>
      <c r="AS46" s="18"/>
      <c r="AT46" s="2042"/>
      <c r="AU46" s="39">
        <f t="shared" si="13"/>
        <v>1156.5930000000001</v>
      </c>
      <c r="AV46" s="2019"/>
      <c r="AW46" s="18"/>
      <c r="AX46" s="2042"/>
      <c r="AY46" s="39">
        <f t="shared" si="14"/>
        <v>1156.5930000000001</v>
      </c>
      <c r="AZ46" s="2019"/>
      <c r="BA46" s="18">
        <v>322.72399999999999</v>
      </c>
      <c r="BB46" s="902"/>
      <c r="BC46" s="781">
        <f t="shared" si="15"/>
        <v>322.72399999999999</v>
      </c>
      <c r="BD46" s="903"/>
      <c r="BE46" s="700">
        <f t="shared" si="16"/>
        <v>322.72399999999999</v>
      </c>
      <c r="BF46" s="2042"/>
      <c r="BG46" s="39">
        <f t="shared" si="17"/>
        <v>1479.317</v>
      </c>
      <c r="BH46" s="26"/>
      <c r="BI46" s="26"/>
      <c r="BJ46" s="26"/>
      <c r="BK46" s="26"/>
      <c r="BL46" s="26"/>
      <c r="BM46" s="26"/>
      <c r="BN46" s="1219"/>
    </row>
    <row r="47" spans="1:66" ht="15" customHeight="1" x14ac:dyDescent="0.3">
      <c r="B47" s="5461" t="s">
        <v>856</v>
      </c>
      <c r="C47" s="5462" t="s">
        <v>1633</v>
      </c>
      <c r="D47" s="5463">
        <v>107.57</v>
      </c>
      <c r="E47" s="5464" t="s">
        <v>50</v>
      </c>
      <c r="F47" s="5465"/>
      <c r="G47" s="5466"/>
      <c r="H47" s="5465"/>
      <c r="I47" s="5466"/>
      <c r="J47" s="5467"/>
      <c r="K47" s="4957">
        <f t="shared" si="3"/>
        <v>0</v>
      </c>
      <c r="L47" s="5465"/>
      <c r="M47" s="5466">
        <v>414.93200000000002</v>
      </c>
      <c r="N47" s="5453"/>
      <c r="O47" s="69">
        <f t="shared" si="4"/>
        <v>414.93200000000002</v>
      </c>
      <c r="P47" s="5465"/>
      <c r="Q47" s="5466">
        <v>560.03899999999999</v>
      </c>
      <c r="R47" s="5454"/>
      <c r="S47" s="39">
        <f t="shared" si="5"/>
        <v>974.971</v>
      </c>
      <c r="T47" s="5465"/>
      <c r="U47" s="5466"/>
      <c r="V47" s="5454"/>
      <c r="W47" s="39">
        <f t="shared" si="6"/>
        <v>974.971</v>
      </c>
      <c r="X47" s="5465"/>
      <c r="Y47" s="5466"/>
      <c r="Z47" s="5442"/>
      <c r="AA47" s="781">
        <f t="shared" si="7"/>
        <v>560.03899999999999</v>
      </c>
      <c r="AB47" s="5455"/>
      <c r="AC47" s="465">
        <f t="shared" si="8"/>
        <v>974.971</v>
      </c>
      <c r="AD47" s="5465"/>
      <c r="AE47" s="5466"/>
      <c r="AF47" s="5454"/>
      <c r="AG47" s="4866"/>
      <c r="AH47" s="5465"/>
      <c r="AI47" s="5466"/>
      <c r="AJ47" s="5454"/>
      <c r="AK47" s="4866"/>
      <c r="AL47" s="5465"/>
      <c r="AM47" s="5466"/>
      <c r="AN47" s="5442"/>
      <c r="AO47" s="5450"/>
      <c r="AP47" s="5454"/>
      <c r="AQ47" s="4866"/>
      <c r="AR47" s="5465"/>
      <c r="AS47" s="5466"/>
      <c r="AT47" s="5454"/>
      <c r="AU47" s="4866"/>
      <c r="AV47" s="5465"/>
      <c r="AW47" s="5466"/>
      <c r="AX47" s="5454"/>
      <c r="AY47" s="4866"/>
      <c r="AZ47" s="5465"/>
      <c r="BA47" s="5466"/>
      <c r="BB47" s="5442"/>
      <c r="BC47" s="5450"/>
      <c r="BD47" s="5457"/>
      <c r="BE47" s="5458"/>
      <c r="BF47" s="5454"/>
      <c r="BG47" s="4866"/>
      <c r="BH47" s="26"/>
      <c r="BI47" s="26"/>
      <c r="BJ47" s="26"/>
      <c r="BK47" s="26"/>
      <c r="BL47" s="26"/>
      <c r="BM47" s="26"/>
      <c r="BN47" s="1219"/>
    </row>
    <row r="48" spans="1:66" ht="14.45" x14ac:dyDescent="0.3">
      <c r="B48" s="1090" t="s">
        <v>856</v>
      </c>
      <c r="C48" s="2894" t="s">
        <v>1013</v>
      </c>
      <c r="D48" s="3100">
        <v>122.45</v>
      </c>
      <c r="E48" s="1392" t="s">
        <v>50</v>
      </c>
      <c r="F48" s="2019"/>
      <c r="G48" s="18">
        <v>7545.1760000000013</v>
      </c>
      <c r="H48" s="2019"/>
      <c r="I48" s="18">
        <v>3357.1560000000004</v>
      </c>
      <c r="J48" s="2025"/>
      <c r="K48" s="4957">
        <f t="shared" si="3"/>
        <v>10902.332000000002</v>
      </c>
      <c r="L48" s="2019"/>
      <c r="M48" s="18">
        <v>5188.1899999999996</v>
      </c>
      <c r="N48" s="2034"/>
      <c r="O48" s="69">
        <f t="shared" si="4"/>
        <v>16090.522000000001</v>
      </c>
      <c r="P48" s="2019"/>
      <c r="Q48" s="18">
        <v>3564.9350000000004</v>
      </c>
      <c r="R48" s="2042"/>
      <c r="S48" s="39">
        <f t="shared" si="5"/>
        <v>19655.457000000002</v>
      </c>
      <c r="T48" s="2019"/>
      <c r="U48" s="18">
        <v>4417.7129999999988</v>
      </c>
      <c r="V48" s="2042"/>
      <c r="W48" s="39">
        <f t="shared" si="6"/>
        <v>24073.170000000002</v>
      </c>
      <c r="X48" s="2019"/>
      <c r="Y48" s="18">
        <v>3831.5859999999998</v>
      </c>
      <c r="Z48" s="902"/>
      <c r="AA48" s="781">
        <f t="shared" si="7"/>
        <v>11814.233999999999</v>
      </c>
      <c r="AB48" s="4199"/>
      <c r="AC48" s="465">
        <f t="shared" si="8"/>
        <v>27904.756000000001</v>
      </c>
      <c r="AD48" s="2019"/>
      <c r="AE48" s="18">
        <v>4099.7290000000003</v>
      </c>
      <c r="AF48" s="2042"/>
      <c r="AG48" s="39">
        <f t="shared" si="18"/>
        <v>32004.485000000001</v>
      </c>
      <c r="AH48" s="2019"/>
      <c r="AI48" s="18"/>
      <c r="AJ48" s="2042"/>
      <c r="AK48" s="39">
        <f t="shared" ref="AK48" si="20">+AG48+AI48</f>
        <v>32004.485000000001</v>
      </c>
      <c r="AL48" s="2019"/>
      <c r="AM48" s="18">
        <v>830.62299999999993</v>
      </c>
      <c r="AN48" s="902"/>
      <c r="AO48" s="781">
        <f t="shared" si="11"/>
        <v>4930.3519999999999</v>
      </c>
      <c r="AP48" s="2042"/>
      <c r="AQ48" s="39">
        <f t="shared" si="12"/>
        <v>32835.108</v>
      </c>
      <c r="AR48" s="2019"/>
      <c r="AS48" s="18">
        <v>2668.3220000000001</v>
      </c>
      <c r="AT48" s="2042"/>
      <c r="AU48" s="39">
        <f t="shared" si="13"/>
        <v>35503.43</v>
      </c>
      <c r="AV48" s="2019"/>
      <c r="AW48" s="18">
        <v>3614.6940000000009</v>
      </c>
      <c r="AX48" s="2042"/>
      <c r="AY48" s="39">
        <f t="shared" si="14"/>
        <v>39118.124000000003</v>
      </c>
      <c r="AZ48" s="2019"/>
      <c r="BA48" s="18">
        <v>6732.1870000000008</v>
      </c>
      <c r="BB48" s="902"/>
      <c r="BC48" s="781">
        <f t="shared" si="15"/>
        <v>13015.203000000001</v>
      </c>
      <c r="BD48" s="903"/>
      <c r="BE48" s="700">
        <f t="shared" si="16"/>
        <v>17945.555</v>
      </c>
      <c r="BF48" s="2042"/>
      <c r="BG48" s="39">
        <f t="shared" si="17"/>
        <v>45850.311000000002</v>
      </c>
      <c r="BH48" s="26"/>
      <c r="BI48" s="26"/>
      <c r="BJ48" s="26"/>
      <c r="BK48" s="26"/>
      <c r="BL48" s="26"/>
      <c r="BM48" s="26"/>
      <c r="BN48" s="1219"/>
    </row>
    <row r="49" spans="2:66" ht="15" customHeight="1" x14ac:dyDescent="0.3">
      <c r="B49" s="1090" t="s">
        <v>1644</v>
      </c>
      <c r="C49" s="2894" t="s">
        <v>1356</v>
      </c>
      <c r="D49" s="2895">
        <v>122.45</v>
      </c>
      <c r="E49" s="1392" t="s">
        <v>50</v>
      </c>
      <c r="F49" s="2019"/>
      <c r="G49" s="18"/>
      <c r="H49" s="2019"/>
      <c r="I49" s="18"/>
      <c r="J49" s="2025"/>
      <c r="K49" s="4957">
        <f t="shared" si="3"/>
        <v>0</v>
      </c>
      <c r="L49" s="2019"/>
      <c r="M49" s="18">
        <v>146.47999999999999</v>
      </c>
      <c r="N49" s="2034"/>
      <c r="O49" s="69">
        <f t="shared" si="4"/>
        <v>146.47999999999999</v>
      </c>
      <c r="P49" s="2019"/>
      <c r="Q49" s="18">
        <v>281.392</v>
      </c>
      <c r="R49" s="2042"/>
      <c r="S49" s="39">
        <f t="shared" si="5"/>
        <v>427.87199999999996</v>
      </c>
      <c r="T49" s="2019"/>
      <c r="U49" s="18"/>
      <c r="V49" s="2042"/>
      <c r="W49" s="39">
        <f t="shared" si="6"/>
        <v>427.87199999999996</v>
      </c>
      <c r="X49" s="2019"/>
      <c r="Y49" s="18"/>
      <c r="Z49" s="902"/>
      <c r="AA49" s="781">
        <f t="shared" si="7"/>
        <v>281.392</v>
      </c>
      <c r="AB49" s="4199"/>
      <c r="AC49" s="465">
        <f t="shared" si="8"/>
        <v>427.87199999999996</v>
      </c>
      <c r="AD49" s="2019"/>
      <c r="AE49" s="18">
        <v>71.840999999999994</v>
      </c>
      <c r="AF49" s="2042"/>
      <c r="AG49" s="39">
        <f>+AC49+AE49</f>
        <v>499.71299999999997</v>
      </c>
      <c r="AH49" s="2019"/>
      <c r="AI49" s="18"/>
      <c r="AJ49" s="2042"/>
      <c r="AK49" s="39">
        <f>+AG49+AI49</f>
        <v>499.71299999999997</v>
      </c>
      <c r="AL49" s="2019"/>
      <c r="AM49" s="18">
        <v>732.44699999999989</v>
      </c>
      <c r="AN49" s="902"/>
      <c r="AO49" s="781">
        <f t="shared" si="11"/>
        <v>804.2879999999999</v>
      </c>
      <c r="AP49" s="2042"/>
      <c r="AQ49" s="39">
        <f t="shared" si="12"/>
        <v>1232.1599999999999</v>
      </c>
      <c r="AR49" s="2019"/>
      <c r="AS49" s="18"/>
      <c r="AT49" s="2042"/>
      <c r="AU49" s="39">
        <f t="shared" si="13"/>
        <v>1232.1599999999999</v>
      </c>
      <c r="AV49" s="2019"/>
      <c r="AW49" s="18">
        <v>1029.7370000000001</v>
      </c>
      <c r="AX49" s="2042"/>
      <c r="AY49" s="39">
        <f t="shared" si="14"/>
        <v>2261.8969999999999</v>
      </c>
      <c r="AZ49" s="2019"/>
      <c r="BA49" s="18"/>
      <c r="BB49" s="902"/>
      <c r="BC49" s="781">
        <f t="shared" si="15"/>
        <v>1029.7370000000001</v>
      </c>
      <c r="BD49" s="903"/>
      <c r="BE49" s="700">
        <f t="shared" si="16"/>
        <v>1834.0250000000001</v>
      </c>
      <c r="BF49" s="2042"/>
      <c r="BG49" s="39">
        <f t="shared" si="17"/>
        <v>2261.8969999999999</v>
      </c>
      <c r="BH49" s="26"/>
      <c r="BI49" s="26"/>
      <c r="BJ49" s="26"/>
      <c r="BK49" s="26"/>
      <c r="BL49" s="26"/>
      <c r="BM49" s="26"/>
      <c r="BN49" s="1219"/>
    </row>
    <row r="50" spans="2:66" ht="15" customHeight="1" x14ac:dyDescent="0.3">
      <c r="B50" s="1090" t="s">
        <v>856</v>
      </c>
      <c r="C50" s="2894" t="s">
        <v>947</v>
      </c>
      <c r="D50" s="2895">
        <v>122.45</v>
      </c>
      <c r="E50" s="1392" t="s">
        <v>50</v>
      </c>
      <c r="F50" s="2019"/>
      <c r="G50" s="18">
        <v>2709.0750000000012</v>
      </c>
      <c r="H50" s="2019"/>
      <c r="I50" s="18">
        <v>2447.335</v>
      </c>
      <c r="J50" s="2025"/>
      <c r="K50" s="4957">
        <f t="shared" si="3"/>
        <v>5156.4100000000017</v>
      </c>
      <c r="L50" s="2019"/>
      <c r="M50" s="18">
        <v>1387.52</v>
      </c>
      <c r="N50" s="2034"/>
      <c r="O50" s="69">
        <f t="shared" si="4"/>
        <v>6543.9300000000021</v>
      </c>
      <c r="P50" s="2019"/>
      <c r="Q50" s="18">
        <v>1353.086</v>
      </c>
      <c r="R50" s="2042"/>
      <c r="S50" s="39">
        <f t="shared" si="5"/>
        <v>7897.0160000000024</v>
      </c>
      <c r="T50" s="2019"/>
      <c r="U50" s="18">
        <v>431.04700000000003</v>
      </c>
      <c r="V50" s="2042"/>
      <c r="W50" s="39">
        <f t="shared" si="6"/>
        <v>8328.0630000000019</v>
      </c>
      <c r="X50" s="2019"/>
      <c r="Y50" s="18"/>
      <c r="Z50" s="902"/>
      <c r="AA50" s="781">
        <f t="shared" si="7"/>
        <v>1784.133</v>
      </c>
      <c r="AB50" s="4199"/>
      <c r="AC50" s="465">
        <f t="shared" si="8"/>
        <v>8328.0630000000019</v>
      </c>
      <c r="AD50" s="2019"/>
      <c r="AE50" s="18">
        <v>584.92999999999995</v>
      </c>
      <c r="AF50" s="2042"/>
      <c r="AG50" s="39">
        <f>+AC50+AE50</f>
        <v>8912.9930000000022</v>
      </c>
      <c r="AH50" s="2019"/>
      <c r="AI50" s="18"/>
      <c r="AJ50" s="2042"/>
      <c r="AK50" s="39">
        <f>+AG50+AI50</f>
        <v>8912.9930000000022</v>
      </c>
      <c r="AL50" s="2019"/>
      <c r="AM50" s="18">
        <v>30</v>
      </c>
      <c r="AN50" s="902"/>
      <c r="AO50" s="781">
        <f t="shared" si="11"/>
        <v>614.92999999999995</v>
      </c>
      <c r="AP50" s="2042"/>
      <c r="AQ50" s="39">
        <f t="shared" si="12"/>
        <v>8942.9930000000022</v>
      </c>
      <c r="AR50" s="2019"/>
      <c r="AS50" s="18">
        <v>1568.482</v>
      </c>
      <c r="AT50" s="2042"/>
      <c r="AU50" s="39">
        <f t="shared" si="13"/>
        <v>10511.475000000002</v>
      </c>
      <c r="AV50" s="2019"/>
      <c r="AW50" s="181">
        <v>2525.058</v>
      </c>
      <c r="AX50" s="2042"/>
      <c r="AY50" s="39">
        <f t="shared" si="14"/>
        <v>13036.533000000003</v>
      </c>
      <c r="AZ50" s="2019"/>
      <c r="BA50" s="18">
        <v>2483.623</v>
      </c>
      <c r="BB50" s="902"/>
      <c r="BC50" s="781">
        <f t="shared" si="15"/>
        <v>6577.1630000000005</v>
      </c>
      <c r="BD50" s="903"/>
      <c r="BE50" s="700">
        <f t="shared" si="16"/>
        <v>7192.0930000000008</v>
      </c>
      <c r="BF50" s="2042"/>
      <c r="BG50" s="39">
        <f t="shared" si="17"/>
        <v>15520.156000000003</v>
      </c>
      <c r="BH50" s="26"/>
      <c r="BI50" s="26"/>
      <c r="BJ50" s="26"/>
      <c r="BK50" s="26"/>
      <c r="BL50" s="26"/>
      <c r="BM50" s="26"/>
      <c r="BN50" s="1219"/>
    </row>
    <row r="51" spans="2:66" ht="14.45" x14ac:dyDescent="0.3">
      <c r="B51" s="1090" t="s">
        <v>856</v>
      </c>
      <c r="C51" s="2894" t="s">
        <v>1633</v>
      </c>
      <c r="D51" s="2895">
        <v>122.45</v>
      </c>
      <c r="E51" s="1392" t="s">
        <v>50</v>
      </c>
      <c r="F51" s="2019"/>
      <c r="G51" s="18"/>
      <c r="H51" s="2019"/>
      <c r="I51" s="18"/>
      <c r="J51" s="2025"/>
      <c r="K51" s="4957">
        <f t="shared" si="3"/>
        <v>0</v>
      </c>
      <c r="L51" s="2019"/>
      <c r="M51" s="18"/>
      <c r="N51" s="2034"/>
      <c r="O51" s="69">
        <f t="shared" si="4"/>
        <v>0</v>
      </c>
      <c r="P51" s="2019"/>
      <c r="Q51" s="18">
        <v>269.37200000000001</v>
      </c>
      <c r="R51" s="2042"/>
      <c r="S51" s="39">
        <f t="shared" si="5"/>
        <v>269.37200000000001</v>
      </c>
      <c r="T51" s="2019"/>
      <c r="U51" s="18"/>
      <c r="V51" s="2042"/>
      <c r="W51" s="39">
        <f t="shared" si="6"/>
        <v>269.37200000000001</v>
      </c>
      <c r="X51" s="2019"/>
      <c r="Y51" s="18"/>
      <c r="Z51" s="902"/>
      <c r="AA51" s="781">
        <f t="shared" si="7"/>
        <v>269.37200000000001</v>
      </c>
      <c r="AB51" s="4199"/>
      <c r="AC51" s="465">
        <f t="shared" si="8"/>
        <v>269.37200000000001</v>
      </c>
      <c r="AD51" s="2019"/>
      <c r="AE51" s="18"/>
      <c r="AF51" s="2042"/>
      <c r="AG51" s="39">
        <f t="shared" si="18"/>
        <v>269.37200000000001</v>
      </c>
      <c r="AH51" s="2019"/>
      <c r="AI51" s="18"/>
      <c r="AJ51" s="2042"/>
      <c r="AK51" s="39">
        <f t="shared" ref="AK51" si="21">+AG51+AI51</f>
        <v>269.37200000000001</v>
      </c>
      <c r="AL51" s="2019"/>
      <c r="AM51" s="18"/>
      <c r="AN51" s="902"/>
      <c r="AO51" s="781">
        <f t="shared" si="11"/>
        <v>0</v>
      </c>
      <c r="AP51" s="2042"/>
      <c r="AQ51" s="39">
        <f t="shared" si="12"/>
        <v>269.37200000000001</v>
      </c>
      <c r="AR51" s="2019"/>
      <c r="AS51" s="18"/>
      <c r="AT51" s="2042"/>
      <c r="AU51" s="39">
        <f t="shared" si="13"/>
        <v>269.37200000000001</v>
      </c>
      <c r="AV51" s="2019"/>
      <c r="AW51" s="18"/>
      <c r="AX51" s="2042"/>
      <c r="AY51" s="39">
        <f t="shared" si="14"/>
        <v>269.37200000000001</v>
      </c>
      <c r="AZ51" s="2019"/>
      <c r="BA51" s="18"/>
      <c r="BB51" s="902"/>
      <c r="BC51" s="781">
        <f t="shared" si="15"/>
        <v>0</v>
      </c>
      <c r="BD51" s="903"/>
      <c r="BE51" s="700">
        <f t="shared" si="16"/>
        <v>0</v>
      </c>
      <c r="BF51" s="2042"/>
      <c r="BG51" s="39">
        <f t="shared" si="17"/>
        <v>269.37200000000001</v>
      </c>
      <c r="BH51" s="26"/>
      <c r="BI51" s="26"/>
      <c r="BJ51" s="26"/>
      <c r="BK51" s="26"/>
      <c r="BL51" s="26"/>
      <c r="BM51" s="26"/>
      <c r="BN51" s="1219"/>
    </row>
    <row r="52" spans="2:66" ht="15" customHeight="1" x14ac:dyDescent="0.3">
      <c r="B52" s="3086" t="s">
        <v>1644</v>
      </c>
      <c r="C52" s="2894" t="s">
        <v>1634</v>
      </c>
      <c r="D52" s="3087">
        <v>122.45</v>
      </c>
      <c r="E52" s="1407" t="s">
        <v>50</v>
      </c>
      <c r="F52" s="3088"/>
      <c r="G52" s="29"/>
      <c r="H52" s="3088"/>
      <c r="I52" s="29"/>
      <c r="J52" s="3089"/>
      <c r="K52" s="4957">
        <f t="shared" si="3"/>
        <v>0</v>
      </c>
      <c r="L52" s="3088"/>
      <c r="M52" s="29"/>
      <c r="N52" s="2034"/>
      <c r="O52" s="69">
        <f t="shared" si="4"/>
        <v>0</v>
      </c>
      <c r="P52" s="3088"/>
      <c r="Q52" s="29">
        <v>300.69599999999997</v>
      </c>
      <c r="R52" s="2042"/>
      <c r="S52" s="39">
        <f t="shared" si="5"/>
        <v>300.69599999999997</v>
      </c>
      <c r="T52" s="3088"/>
      <c r="U52" s="29">
        <v>792.84600000000012</v>
      </c>
      <c r="V52" s="2042"/>
      <c r="W52" s="39">
        <f t="shared" si="6"/>
        <v>1093.5420000000001</v>
      </c>
      <c r="X52" s="3088"/>
      <c r="Y52" s="29"/>
      <c r="Z52" s="902"/>
      <c r="AA52" s="781">
        <f t="shared" si="7"/>
        <v>1093.5420000000001</v>
      </c>
      <c r="AB52" s="4199"/>
      <c r="AC52" s="465">
        <f t="shared" si="8"/>
        <v>1093.5420000000001</v>
      </c>
      <c r="AD52" s="3088"/>
      <c r="AE52" s="29"/>
      <c r="AF52" s="2042"/>
      <c r="AG52" s="39">
        <f>+AC52+AE52</f>
        <v>1093.5420000000001</v>
      </c>
      <c r="AH52" s="3088"/>
      <c r="AI52" s="29"/>
      <c r="AJ52" s="2042"/>
      <c r="AK52" s="39">
        <f>+AG52+AI52</f>
        <v>1093.5420000000001</v>
      </c>
      <c r="AL52" s="3088"/>
      <c r="AM52" s="29"/>
      <c r="AN52" s="902"/>
      <c r="AO52" s="781">
        <f t="shared" si="11"/>
        <v>0</v>
      </c>
      <c r="AP52" s="2042"/>
      <c r="AQ52" s="39">
        <f t="shared" si="12"/>
        <v>1093.5420000000001</v>
      </c>
      <c r="AR52" s="3088"/>
      <c r="AS52" s="29"/>
      <c r="AT52" s="2042"/>
      <c r="AU52" s="39">
        <f t="shared" si="13"/>
        <v>1093.5420000000001</v>
      </c>
      <c r="AV52" s="3088"/>
      <c r="AW52" s="29"/>
      <c r="AX52" s="2042"/>
      <c r="AY52" s="39">
        <f t="shared" si="14"/>
        <v>1093.5420000000001</v>
      </c>
      <c r="AZ52" s="3088"/>
      <c r="BA52" s="29"/>
      <c r="BB52" s="902"/>
      <c r="BC52" s="781">
        <f t="shared" si="15"/>
        <v>0</v>
      </c>
      <c r="BD52" s="903"/>
      <c r="BE52" s="700">
        <f t="shared" si="16"/>
        <v>0</v>
      </c>
      <c r="BF52" s="2042"/>
      <c r="BG52" s="39">
        <f t="shared" si="17"/>
        <v>1093.5420000000001</v>
      </c>
      <c r="BH52" s="26"/>
      <c r="BI52" s="26"/>
      <c r="BJ52" s="26"/>
      <c r="BK52" s="26"/>
      <c r="BL52" s="26"/>
      <c r="BM52" s="26"/>
      <c r="BN52" s="1219"/>
    </row>
    <row r="53" spans="2:66" ht="15" customHeight="1" x14ac:dyDescent="0.3">
      <c r="B53" s="1090" t="s">
        <v>856</v>
      </c>
      <c r="C53" s="2894" t="s">
        <v>1013</v>
      </c>
      <c r="D53" s="3100">
        <v>154.47</v>
      </c>
      <c r="E53" s="1392" t="s">
        <v>50</v>
      </c>
      <c r="F53" s="2019"/>
      <c r="G53" s="18">
        <v>562.86300000000006</v>
      </c>
      <c r="H53" s="2019"/>
      <c r="I53" s="18"/>
      <c r="J53" s="2025"/>
      <c r="K53" s="4957">
        <f t="shared" si="3"/>
        <v>562.86300000000006</v>
      </c>
      <c r="L53" s="2019"/>
      <c r="M53" s="18">
        <v>484.11500000000007</v>
      </c>
      <c r="N53" s="2034"/>
      <c r="O53" s="69">
        <f t="shared" si="4"/>
        <v>1046.9780000000001</v>
      </c>
      <c r="P53" s="2019"/>
      <c r="Q53" s="18">
        <v>1501.0829999999999</v>
      </c>
      <c r="R53" s="2042"/>
      <c r="S53" s="39">
        <f t="shared" si="5"/>
        <v>2548.0609999999997</v>
      </c>
      <c r="T53" s="2019"/>
      <c r="U53" s="18">
        <v>333.37399999999997</v>
      </c>
      <c r="V53" s="2042"/>
      <c r="W53" s="39">
        <f t="shared" si="6"/>
        <v>2881.4349999999995</v>
      </c>
      <c r="X53" s="2019"/>
      <c r="Y53" s="18"/>
      <c r="Z53" s="902"/>
      <c r="AA53" s="781">
        <f t="shared" si="7"/>
        <v>1834.4569999999999</v>
      </c>
      <c r="AB53" s="4199"/>
      <c r="AC53" s="465">
        <f t="shared" si="8"/>
        <v>2881.4349999999999</v>
      </c>
      <c r="AD53" s="2019"/>
      <c r="AE53" s="18">
        <v>290.81200000000001</v>
      </c>
      <c r="AF53" s="2042"/>
      <c r="AG53" s="39">
        <f t="shared" si="18"/>
        <v>3172.2469999999998</v>
      </c>
      <c r="AH53" s="2019"/>
      <c r="AI53" s="18"/>
      <c r="AJ53" s="2042"/>
      <c r="AK53" s="39">
        <f t="shared" ref="AK53:AK106" si="22">+AG53+AI53</f>
        <v>3172.2469999999998</v>
      </c>
      <c r="AL53" s="2019"/>
      <c r="AM53" s="18"/>
      <c r="AN53" s="902"/>
      <c r="AO53" s="781">
        <f t="shared" si="11"/>
        <v>290.81200000000001</v>
      </c>
      <c r="AP53" s="2042"/>
      <c r="AQ53" s="39">
        <f t="shared" si="12"/>
        <v>3172.2469999999998</v>
      </c>
      <c r="AR53" s="2019"/>
      <c r="AS53" s="18">
        <v>1627.2850000000001</v>
      </c>
      <c r="AT53" s="2042"/>
      <c r="AU53" s="39">
        <f t="shared" si="13"/>
        <v>4799.5320000000002</v>
      </c>
      <c r="AV53" s="2019"/>
      <c r="AW53" s="18"/>
      <c r="AX53" s="2042"/>
      <c r="AY53" s="39">
        <f t="shared" si="14"/>
        <v>4799.5320000000002</v>
      </c>
      <c r="AZ53" s="2019"/>
      <c r="BA53" s="18">
        <v>403.38599999999997</v>
      </c>
      <c r="BB53" s="902"/>
      <c r="BC53" s="781">
        <f t="shared" si="15"/>
        <v>2030.671</v>
      </c>
      <c r="BD53" s="903"/>
      <c r="BE53" s="700">
        <f t="shared" si="16"/>
        <v>2321.4830000000002</v>
      </c>
      <c r="BF53" s="2042"/>
      <c r="BG53" s="39">
        <f t="shared" si="17"/>
        <v>5202.9179999999997</v>
      </c>
      <c r="BH53" s="26"/>
      <c r="BI53" s="26"/>
      <c r="BJ53" s="26"/>
      <c r="BK53" s="26"/>
      <c r="BL53" s="26"/>
      <c r="BM53" s="26"/>
      <c r="BN53" s="1219"/>
    </row>
    <row r="54" spans="2:66" ht="15" customHeight="1" thickBot="1" x14ac:dyDescent="0.35">
      <c r="B54" s="3095" t="s">
        <v>856</v>
      </c>
      <c r="C54" s="3096" t="s">
        <v>947</v>
      </c>
      <c r="D54" s="3097">
        <v>154.47</v>
      </c>
      <c r="E54" s="1412" t="s">
        <v>50</v>
      </c>
      <c r="F54" s="3098"/>
      <c r="G54" s="38">
        <v>422.14700000000005</v>
      </c>
      <c r="H54" s="3098"/>
      <c r="I54" s="38"/>
      <c r="J54" s="3099"/>
      <c r="K54" s="4957">
        <f t="shared" si="3"/>
        <v>422.14700000000005</v>
      </c>
      <c r="L54" s="3098"/>
      <c r="M54" s="38">
        <v>234.52600000000001</v>
      </c>
      <c r="N54" s="2034"/>
      <c r="O54" s="69">
        <f t="shared" si="4"/>
        <v>656.673</v>
      </c>
      <c r="P54" s="3098"/>
      <c r="Q54" s="38">
        <v>663.11099999999999</v>
      </c>
      <c r="R54" s="2042"/>
      <c r="S54" s="39">
        <f t="shared" si="5"/>
        <v>1319.7840000000001</v>
      </c>
      <c r="T54" s="3098"/>
      <c r="U54" s="38">
        <v>108.857</v>
      </c>
      <c r="V54" s="2042"/>
      <c r="W54" s="39">
        <f t="shared" si="6"/>
        <v>1428.6410000000001</v>
      </c>
      <c r="X54" s="3098"/>
      <c r="Y54" s="38"/>
      <c r="Z54" s="902"/>
      <c r="AA54" s="781">
        <f t="shared" si="7"/>
        <v>771.96799999999996</v>
      </c>
      <c r="AB54" s="4199"/>
      <c r="AC54" s="465">
        <f t="shared" si="8"/>
        <v>1428.6410000000001</v>
      </c>
      <c r="AD54" s="3098"/>
      <c r="AE54" s="38">
        <v>272.05</v>
      </c>
      <c r="AF54" s="2042"/>
      <c r="AG54" s="39">
        <f t="shared" si="18"/>
        <v>1700.691</v>
      </c>
      <c r="AH54" s="3098"/>
      <c r="AI54" s="38"/>
      <c r="AJ54" s="2042"/>
      <c r="AK54" s="39">
        <f t="shared" si="22"/>
        <v>1700.691</v>
      </c>
      <c r="AL54" s="3098"/>
      <c r="AM54" s="38"/>
      <c r="AN54" s="902"/>
      <c r="AO54" s="781">
        <f t="shared" si="11"/>
        <v>272.05</v>
      </c>
      <c r="AP54" s="2042"/>
      <c r="AQ54" s="39">
        <f t="shared" si="12"/>
        <v>1700.691</v>
      </c>
      <c r="AR54" s="3098"/>
      <c r="AS54" s="38">
        <v>384.48099999999999</v>
      </c>
      <c r="AT54" s="2042"/>
      <c r="AU54" s="39">
        <f t="shared" si="13"/>
        <v>2085.172</v>
      </c>
      <c r="AV54" s="3098"/>
      <c r="AW54" s="38"/>
      <c r="AX54" s="2042"/>
      <c r="AY54" s="39">
        <f t="shared" si="14"/>
        <v>2085.172</v>
      </c>
      <c r="AZ54" s="3098"/>
      <c r="BA54" s="38">
        <v>729.87400000000002</v>
      </c>
      <c r="BB54" s="902"/>
      <c r="BC54" s="781">
        <f t="shared" si="15"/>
        <v>1114.355</v>
      </c>
      <c r="BD54" s="903"/>
      <c r="BE54" s="700">
        <f t="shared" si="16"/>
        <v>1386.405</v>
      </c>
      <c r="BF54" s="2042"/>
      <c r="BG54" s="39">
        <f t="shared" si="17"/>
        <v>2815.0460000000003</v>
      </c>
      <c r="BH54" s="26"/>
      <c r="BI54" s="26"/>
      <c r="BJ54" s="26"/>
      <c r="BK54" s="26"/>
      <c r="BL54" s="26"/>
      <c r="BM54" s="26"/>
      <c r="BN54" s="1219"/>
    </row>
    <row r="55" spans="2:66" ht="15" customHeight="1" x14ac:dyDescent="0.3">
      <c r="B55" s="3090" t="s">
        <v>1635</v>
      </c>
      <c r="C55" s="3091" t="s">
        <v>947</v>
      </c>
      <c r="D55" s="3101">
        <v>202.48</v>
      </c>
      <c r="E55" s="1329" t="s">
        <v>50</v>
      </c>
      <c r="F55" s="3093"/>
      <c r="G55" s="88"/>
      <c r="H55" s="3093"/>
      <c r="I55" s="88"/>
      <c r="J55" s="3094"/>
      <c r="K55" s="4957">
        <f t="shared" si="3"/>
        <v>0</v>
      </c>
      <c r="L55" s="3093"/>
      <c r="M55" s="88"/>
      <c r="N55" s="2034"/>
      <c r="O55" s="69">
        <f t="shared" si="4"/>
        <v>0</v>
      </c>
      <c r="P55" s="3093"/>
      <c r="Q55" s="88"/>
      <c r="R55" s="2042"/>
      <c r="S55" s="39">
        <f t="shared" si="5"/>
        <v>0</v>
      </c>
      <c r="T55" s="3093"/>
      <c r="U55" s="88"/>
      <c r="V55" s="2042"/>
      <c r="W55" s="39">
        <f t="shared" si="6"/>
        <v>0</v>
      </c>
      <c r="X55" s="3093"/>
      <c r="Y55" s="88"/>
      <c r="Z55" s="902"/>
      <c r="AA55" s="781">
        <f t="shared" si="7"/>
        <v>0</v>
      </c>
      <c r="AB55" s="4199"/>
      <c r="AC55" s="465">
        <f t="shared" si="8"/>
        <v>0</v>
      </c>
      <c r="AD55" s="3093"/>
      <c r="AE55" s="88"/>
      <c r="AF55" s="2042"/>
      <c r="AG55" s="39">
        <f t="shared" si="18"/>
        <v>0</v>
      </c>
      <c r="AH55" s="3093"/>
      <c r="AI55" s="88"/>
      <c r="AJ55" s="2042"/>
      <c r="AK55" s="39">
        <f t="shared" si="22"/>
        <v>0</v>
      </c>
      <c r="AL55" s="3093"/>
      <c r="AM55" s="88"/>
      <c r="AN55" s="902"/>
      <c r="AO55" s="781">
        <f t="shared" si="11"/>
        <v>0</v>
      </c>
      <c r="AP55" s="2042"/>
      <c r="AQ55" s="39">
        <f t="shared" si="12"/>
        <v>0</v>
      </c>
      <c r="AR55" s="3093"/>
      <c r="AS55" s="88"/>
      <c r="AT55" s="2042"/>
      <c r="AU55" s="39">
        <f t="shared" si="13"/>
        <v>0</v>
      </c>
      <c r="AV55" s="3093"/>
      <c r="AW55" s="88"/>
      <c r="AX55" s="2042"/>
      <c r="AY55" s="39">
        <f t="shared" si="14"/>
        <v>0</v>
      </c>
      <c r="AZ55" s="3093"/>
      <c r="BA55" s="88"/>
      <c r="BB55" s="902"/>
      <c r="BC55" s="781">
        <f t="shared" si="15"/>
        <v>0</v>
      </c>
      <c r="BD55" s="903"/>
      <c r="BE55" s="700">
        <f t="shared" si="16"/>
        <v>0</v>
      </c>
      <c r="BF55" s="2042"/>
      <c r="BG55" s="39">
        <f t="shared" si="17"/>
        <v>0</v>
      </c>
      <c r="BH55" s="26"/>
      <c r="BI55" s="26"/>
      <c r="BJ55" s="26"/>
      <c r="BK55" s="26"/>
      <c r="BL55" s="26"/>
      <c r="BM55" s="26"/>
      <c r="BN55" s="1219"/>
    </row>
    <row r="56" spans="2:66" ht="15" customHeight="1" x14ac:dyDescent="0.3">
      <c r="B56" s="1090" t="s">
        <v>1635</v>
      </c>
      <c r="C56" s="2894" t="s">
        <v>947</v>
      </c>
      <c r="D56" s="3100">
        <v>174.54</v>
      </c>
      <c r="E56" s="1392" t="s">
        <v>50</v>
      </c>
      <c r="F56" s="2019"/>
      <c r="G56" s="18"/>
      <c r="H56" s="2019"/>
      <c r="I56" s="18"/>
      <c r="J56" s="2025"/>
      <c r="K56" s="4957">
        <f t="shared" si="3"/>
        <v>0</v>
      </c>
      <c r="L56" s="2019"/>
      <c r="M56" s="18"/>
      <c r="N56" s="2034"/>
      <c r="O56" s="69">
        <f t="shared" si="4"/>
        <v>0</v>
      </c>
      <c r="P56" s="2019"/>
      <c r="Q56" s="18"/>
      <c r="R56" s="2042"/>
      <c r="S56" s="39">
        <f t="shared" si="5"/>
        <v>0</v>
      </c>
      <c r="T56" s="2019"/>
      <c r="U56" s="18"/>
      <c r="V56" s="2042"/>
      <c r="W56" s="39">
        <f t="shared" si="6"/>
        <v>0</v>
      </c>
      <c r="X56" s="2019"/>
      <c r="Y56" s="18"/>
      <c r="Z56" s="902"/>
      <c r="AA56" s="781">
        <f t="shared" si="7"/>
        <v>0</v>
      </c>
      <c r="AB56" s="4199"/>
      <c r="AC56" s="465">
        <f t="shared" si="8"/>
        <v>0</v>
      </c>
      <c r="AD56" s="2019"/>
      <c r="AE56" s="18"/>
      <c r="AF56" s="2042"/>
      <c r="AG56" s="39">
        <f t="shared" si="18"/>
        <v>0</v>
      </c>
      <c r="AH56" s="2019"/>
      <c r="AI56" s="18"/>
      <c r="AJ56" s="2042"/>
      <c r="AK56" s="39">
        <f t="shared" si="22"/>
        <v>0</v>
      </c>
      <c r="AL56" s="2019"/>
      <c r="AM56" s="18"/>
      <c r="AN56" s="902"/>
      <c r="AO56" s="781">
        <f t="shared" si="11"/>
        <v>0</v>
      </c>
      <c r="AP56" s="2042"/>
      <c r="AQ56" s="39">
        <f t="shared" si="12"/>
        <v>0</v>
      </c>
      <c r="AR56" s="2019"/>
      <c r="AS56" s="18"/>
      <c r="AT56" s="2042"/>
      <c r="AU56" s="39">
        <f t="shared" si="13"/>
        <v>0</v>
      </c>
      <c r="AV56" s="2019"/>
      <c r="AW56" s="18"/>
      <c r="AX56" s="2042"/>
      <c r="AY56" s="39">
        <f t="shared" si="14"/>
        <v>0</v>
      </c>
      <c r="AZ56" s="2019"/>
      <c r="BA56" s="18"/>
      <c r="BB56" s="902"/>
      <c r="BC56" s="781">
        <f t="shared" si="15"/>
        <v>0</v>
      </c>
      <c r="BD56" s="903"/>
      <c r="BE56" s="700">
        <f t="shared" si="16"/>
        <v>0</v>
      </c>
      <c r="BF56" s="2042"/>
      <c r="BG56" s="39">
        <f t="shared" si="17"/>
        <v>0</v>
      </c>
      <c r="BH56" s="26"/>
      <c r="BI56" s="26"/>
      <c r="BJ56" s="26"/>
      <c r="BK56" s="26"/>
      <c r="BL56" s="26"/>
      <c r="BM56" s="26"/>
      <c r="BN56" s="1219"/>
    </row>
    <row r="57" spans="2:66" ht="15" customHeight="1" thickBot="1" x14ac:dyDescent="0.35">
      <c r="B57" s="3095" t="s">
        <v>1635</v>
      </c>
      <c r="C57" s="3096" t="s">
        <v>947</v>
      </c>
      <c r="D57" s="3097">
        <v>145.29</v>
      </c>
      <c r="E57" s="1412" t="s">
        <v>50</v>
      </c>
      <c r="F57" s="3098"/>
      <c r="G57" s="38"/>
      <c r="H57" s="3098"/>
      <c r="I57" s="38"/>
      <c r="J57" s="3099"/>
      <c r="K57" s="4957">
        <f t="shared" si="3"/>
        <v>0</v>
      </c>
      <c r="L57" s="3098"/>
      <c r="M57" s="38"/>
      <c r="N57" s="2034"/>
      <c r="O57" s="69">
        <f t="shared" si="4"/>
        <v>0</v>
      </c>
      <c r="P57" s="3098"/>
      <c r="Q57" s="38"/>
      <c r="R57" s="2042"/>
      <c r="S57" s="39">
        <f t="shared" si="5"/>
        <v>0</v>
      </c>
      <c r="T57" s="3098"/>
      <c r="U57" s="38"/>
      <c r="V57" s="2042"/>
      <c r="W57" s="39">
        <f t="shared" si="6"/>
        <v>0</v>
      </c>
      <c r="X57" s="3098"/>
      <c r="Y57" s="38"/>
      <c r="Z57" s="902"/>
      <c r="AA57" s="781">
        <f t="shared" si="7"/>
        <v>0</v>
      </c>
      <c r="AB57" s="4199"/>
      <c r="AC57" s="465">
        <f t="shared" si="8"/>
        <v>0</v>
      </c>
      <c r="AD57" s="3098"/>
      <c r="AE57" s="38"/>
      <c r="AF57" s="2042"/>
      <c r="AG57" s="39">
        <f t="shared" si="18"/>
        <v>0</v>
      </c>
      <c r="AH57" s="3098"/>
      <c r="AI57" s="38"/>
      <c r="AJ57" s="2042"/>
      <c r="AK57" s="39">
        <f t="shared" si="22"/>
        <v>0</v>
      </c>
      <c r="AL57" s="3098"/>
      <c r="AM57" s="38"/>
      <c r="AN57" s="902"/>
      <c r="AO57" s="781">
        <f t="shared" si="11"/>
        <v>0</v>
      </c>
      <c r="AP57" s="2042"/>
      <c r="AQ57" s="39">
        <f t="shared" si="12"/>
        <v>0</v>
      </c>
      <c r="AR57" s="3098"/>
      <c r="AS57" s="38"/>
      <c r="AT57" s="2042"/>
      <c r="AU57" s="39">
        <f t="shared" si="13"/>
        <v>0</v>
      </c>
      <c r="AV57" s="3098"/>
      <c r="AW57" s="38"/>
      <c r="AX57" s="2042"/>
      <c r="AY57" s="39">
        <f t="shared" si="14"/>
        <v>0</v>
      </c>
      <c r="AZ57" s="3098"/>
      <c r="BA57" s="38"/>
      <c r="BB57" s="902"/>
      <c r="BC57" s="781">
        <f t="shared" si="15"/>
        <v>0</v>
      </c>
      <c r="BD57" s="903"/>
      <c r="BE57" s="700">
        <f t="shared" si="16"/>
        <v>0</v>
      </c>
      <c r="BF57" s="2042"/>
      <c r="BG57" s="39">
        <f t="shared" si="17"/>
        <v>0</v>
      </c>
      <c r="BH57" s="26"/>
      <c r="BI57" s="26"/>
      <c r="BJ57" s="26"/>
      <c r="BK57" s="26"/>
      <c r="BL57" s="26"/>
      <c r="BM57" s="26"/>
      <c r="BN57" s="1219"/>
    </row>
    <row r="58" spans="2:66" ht="15" customHeight="1" x14ac:dyDescent="0.3">
      <c r="B58" s="3090" t="s">
        <v>1106</v>
      </c>
      <c r="C58" s="3091" t="s">
        <v>1013</v>
      </c>
      <c r="D58" s="3101">
        <v>37.340000000000003</v>
      </c>
      <c r="E58" s="1329" t="s">
        <v>50</v>
      </c>
      <c r="F58" s="3093"/>
      <c r="G58" s="88"/>
      <c r="H58" s="3093"/>
      <c r="I58" s="88">
        <v>197.33</v>
      </c>
      <c r="J58" s="3094"/>
      <c r="K58" s="4957">
        <f t="shared" si="3"/>
        <v>197.33</v>
      </c>
      <c r="L58" s="3093"/>
      <c r="M58" s="88"/>
      <c r="N58" s="2034"/>
      <c r="O58" s="69">
        <f t="shared" si="4"/>
        <v>197.33</v>
      </c>
      <c r="P58" s="3093"/>
      <c r="Q58" s="88"/>
      <c r="R58" s="2042"/>
      <c r="S58" s="39">
        <f t="shared" si="5"/>
        <v>197.33</v>
      </c>
      <c r="T58" s="3093"/>
      <c r="U58" s="88"/>
      <c r="V58" s="2042"/>
      <c r="W58" s="39">
        <f t="shared" si="6"/>
        <v>197.33</v>
      </c>
      <c r="X58" s="3093"/>
      <c r="Y58" s="88"/>
      <c r="Z58" s="902"/>
      <c r="AA58" s="781">
        <f t="shared" si="7"/>
        <v>0</v>
      </c>
      <c r="AB58" s="4199"/>
      <c r="AC58" s="465">
        <f t="shared" si="8"/>
        <v>197.33</v>
      </c>
      <c r="AD58" s="3093"/>
      <c r="AE58" s="88"/>
      <c r="AF58" s="2042"/>
      <c r="AG58" s="39">
        <f t="shared" si="18"/>
        <v>197.33</v>
      </c>
      <c r="AH58" s="3093"/>
      <c r="AI58" s="88"/>
      <c r="AJ58" s="2042"/>
      <c r="AK58" s="39">
        <f t="shared" si="22"/>
        <v>197.33</v>
      </c>
      <c r="AL58" s="3093"/>
      <c r="AM58" s="88"/>
      <c r="AN58" s="902"/>
      <c r="AO58" s="781">
        <f t="shared" si="11"/>
        <v>0</v>
      </c>
      <c r="AP58" s="2042"/>
      <c r="AQ58" s="39">
        <f t="shared" si="12"/>
        <v>197.33</v>
      </c>
      <c r="AR58" s="3093"/>
      <c r="AS58" s="88">
        <v>2151.3669999999997</v>
      </c>
      <c r="AT58" s="2042"/>
      <c r="AU58" s="39">
        <f t="shared" si="13"/>
        <v>2348.6969999999997</v>
      </c>
      <c r="AV58" s="3093"/>
      <c r="AW58" s="88"/>
      <c r="AX58" s="2042"/>
      <c r="AY58" s="39">
        <f t="shared" si="14"/>
        <v>2348.6969999999997</v>
      </c>
      <c r="AZ58" s="3093"/>
      <c r="BA58" s="88"/>
      <c r="BB58" s="902"/>
      <c r="BC58" s="781">
        <f t="shared" si="15"/>
        <v>2151.3669999999997</v>
      </c>
      <c r="BD58" s="903"/>
      <c r="BE58" s="700">
        <f t="shared" si="16"/>
        <v>2151.3669999999997</v>
      </c>
      <c r="BF58" s="2042"/>
      <c r="BG58" s="39">
        <f t="shared" si="17"/>
        <v>2348.6969999999997</v>
      </c>
      <c r="BH58" s="26"/>
      <c r="BI58" s="26"/>
      <c r="BJ58" s="26"/>
      <c r="BK58" s="26"/>
      <c r="BL58" s="26"/>
      <c r="BM58" s="26"/>
      <c r="BN58" s="1219"/>
    </row>
    <row r="59" spans="2:66" ht="15" customHeight="1" x14ac:dyDescent="0.3">
      <c r="B59" s="1090" t="s">
        <v>1106</v>
      </c>
      <c r="C59" s="2894" t="s">
        <v>1356</v>
      </c>
      <c r="D59" s="3100">
        <v>37.340000000000003</v>
      </c>
      <c r="E59" s="1392" t="s">
        <v>50</v>
      </c>
      <c r="F59" s="2019"/>
      <c r="G59" s="18">
        <v>2807.8309999999992</v>
      </c>
      <c r="H59" s="2019"/>
      <c r="I59" s="18">
        <v>2915.0279999999993</v>
      </c>
      <c r="J59" s="2025"/>
      <c r="K59" s="4957">
        <f t="shared" si="3"/>
        <v>5722.8589999999986</v>
      </c>
      <c r="L59" s="2019"/>
      <c r="M59" s="18">
        <v>2371.7069999999999</v>
      </c>
      <c r="N59" s="2034"/>
      <c r="O59" s="69">
        <f t="shared" si="4"/>
        <v>8094.5659999999989</v>
      </c>
      <c r="P59" s="2019"/>
      <c r="Q59" s="18">
        <v>2574.5839999999994</v>
      </c>
      <c r="R59" s="2042"/>
      <c r="S59" s="39">
        <f t="shared" si="5"/>
        <v>10669.149999999998</v>
      </c>
      <c r="T59" s="2019"/>
      <c r="U59" s="18">
        <v>1438.2529999999997</v>
      </c>
      <c r="V59" s="2042"/>
      <c r="W59" s="39">
        <f t="shared" si="6"/>
        <v>12107.402999999998</v>
      </c>
      <c r="X59" s="2019"/>
      <c r="Y59" s="18"/>
      <c r="Z59" s="902"/>
      <c r="AA59" s="781">
        <f t="shared" si="7"/>
        <v>4012.8369999999991</v>
      </c>
      <c r="AB59" s="4199"/>
      <c r="AC59" s="465">
        <f t="shared" si="8"/>
        <v>12107.402999999998</v>
      </c>
      <c r="AD59" s="2019"/>
      <c r="AE59" s="18"/>
      <c r="AF59" s="2042"/>
      <c r="AG59" s="39">
        <f t="shared" si="18"/>
        <v>12107.402999999998</v>
      </c>
      <c r="AH59" s="2019"/>
      <c r="AI59" s="18"/>
      <c r="AJ59" s="2042"/>
      <c r="AK59" s="39">
        <f t="shared" si="22"/>
        <v>12107.402999999998</v>
      </c>
      <c r="AL59" s="2019"/>
      <c r="AM59" s="18">
        <v>3098.4830000000002</v>
      </c>
      <c r="AN59" s="902"/>
      <c r="AO59" s="781">
        <f t="shared" si="11"/>
        <v>3098.4830000000002</v>
      </c>
      <c r="AP59" s="2042"/>
      <c r="AQ59" s="39">
        <f t="shared" si="12"/>
        <v>15205.885999999999</v>
      </c>
      <c r="AR59" s="2019"/>
      <c r="AS59" s="18"/>
      <c r="AT59" s="2042"/>
      <c r="AU59" s="39">
        <f t="shared" si="13"/>
        <v>15205.885999999999</v>
      </c>
      <c r="AV59" s="2019"/>
      <c r="AW59" s="18">
        <v>3037.2159999999999</v>
      </c>
      <c r="AX59" s="2042"/>
      <c r="AY59" s="39">
        <f t="shared" si="14"/>
        <v>18243.101999999999</v>
      </c>
      <c r="AZ59" s="2019"/>
      <c r="BA59" s="18">
        <v>2640.1519999999991</v>
      </c>
      <c r="BB59" s="902"/>
      <c r="BC59" s="781">
        <f t="shared" si="15"/>
        <v>5677.3679999999986</v>
      </c>
      <c r="BD59" s="903"/>
      <c r="BE59" s="700">
        <f t="shared" si="16"/>
        <v>8775.8509999999987</v>
      </c>
      <c r="BF59" s="2042"/>
      <c r="BG59" s="39">
        <f t="shared" si="17"/>
        <v>20883.253999999997</v>
      </c>
      <c r="BH59" s="26"/>
      <c r="BI59" s="26"/>
      <c r="BJ59" s="26"/>
      <c r="BK59" s="26"/>
      <c r="BL59" s="26"/>
      <c r="BM59" s="26"/>
      <c r="BN59" s="1219"/>
    </row>
    <row r="60" spans="2:66" ht="15" customHeight="1" x14ac:dyDescent="0.3">
      <c r="B60" s="5461" t="s">
        <v>1712</v>
      </c>
      <c r="C60" s="5462" t="s">
        <v>1013</v>
      </c>
      <c r="D60" s="5463">
        <v>42.26</v>
      </c>
      <c r="E60" s="5464" t="s">
        <v>50</v>
      </c>
      <c r="F60" s="5465"/>
      <c r="G60" s="5466"/>
      <c r="H60" s="5465"/>
      <c r="I60" s="5466"/>
      <c r="J60" s="5467"/>
      <c r="K60" s="5444"/>
      <c r="L60" s="5465"/>
      <c r="M60" s="5466">
        <v>308.62299999999999</v>
      </c>
      <c r="N60" s="5453"/>
      <c r="O60" s="69">
        <f t="shared" si="4"/>
        <v>308.62299999999999</v>
      </c>
      <c r="P60" s="5465"/>
      <c r="Q60" s="5466">
        <v>393.77</v>
      </c>
      <c r="R60" s="5454"/>
      <c r="S60" s="39">
        <f t="shared" si="5"/>
        <v>702.39300000000003</v>
      </c>
      <c r="T60" s="5465"/>
      <c r="U60" s="5466"/>
      <c r="V60" s="5454"/>
      <c r="W60" s="39">
        <f t="shared" si="6"/>
        <v>702.39300000000003</v>
      </c>
      <c r="X60" s="5465"/>
      <c r="Y60" s="5466">
        <v>618.15800000000002</v>
      </c>
      <c r="Z60" s="5442"/>
      <c r="AA60" s="781">
        <f t="shared" si="7"/>
        <v>1011.928</v>
      </c>
      <c r="AB60" s="4199"/>
      <c r="AC60" s="465">
        <f t="shared" si="8"/>
        <v>1320.5509999999999</v>
      </c>
      <c r="AD60" s="5465"/>
      <c r="AE60" s="5466"/>
      <c r="AF60" s="5454"/>
      <c r="AG60" s="4866"/>
      <c r="AH60" s="5465"/>
      <c r="AI60" s="5466"/>
      <c r="AJ60" s="5454"/>
      <c r="AK60" s="4866"/>
      <c r="AL60" s="5465"/>
      <c r="AM60" s="5466"/>
      <c r="AN60" s="5442"/>
      <c r="AO60" s="5450"/>
      <c r="AP60" s="5454"/>
      <c r="AQ60" s="4866"/>
      <c r="AR60" s="5465"/>
      <c r="AS60" s="5466"/>
      <c r="AT60" s="5454"/>
      <c r="AU60" s="4866"/>
      <c r="AV60" s="5465"/>
      <c r="AW60" s="5466"/>
      <c r="AX60" s="5454"/>
      <c r="AY60" s="4866"/>
      <c r="AZ60" s="5465"/>
      <c r="BA60" s="5466"/>
      <c r="BB60" s="5442"/>
      <c r="BC60" s="5450"/>
      <c r="BD60" s="5457"/>
      <c r="BE60" s="5458"/>
      <c r="BF60" s="5454"/>
      <c r="BG60" s="4866"/>
      <c r="BH60" s="26"/>
      <c r="BI60" s="26"/>
      <c r="BJ60" s="26"/>
      <c r="BK60" s="26"/>
      <c r="BL60" s="26"/>
      <c r="BM60" s="26"/>
      <c r="BN60" s="1219"/>
    </row>
    <row r="61" spans="2:66" ht="15" customHeight="1" x14ac:dyDescent="0.3">
      <c r="B61" s="1090" t="s">
        <v>1712</v>
      </c>
      <c r="C61" s="2894" t="s">
        <v>947</v>
      </c>
      <c r="D61" s="3100">
        <v>42.26</v>
      </c>
      <c r="E61" s="1392" t="s">
        <v>50</v>
      </c>
      <c r="F61" s="2019"/>
      <c r="G61" s="18"/>
      <c r="H61" s="2019"/>
      <c r="I61" s="18"/>
      <c r="J61" s="2025"/>
      <c r="K61" s="4957">
        <f t="shared" si="3"/>
        <v>0</v>
      </c>
      <c r="L61" s="2019"/>
      <c r="M61" s="18">
        <v>1171.0029999999999</v>
      </c>
      <c r="N61" s="2034"/>
      <c r="O61" s="69">
        <f t="shared" si="4"/>
        <v>1171.0029999999999</v>
      </c>
      <c r="P61" s="2019"/>
      <c r="Q61" s="18">
        <v>801.71400000000017</v>
      </c>
      <c r="R61" s="2042"/>
      <c r="S61" s="39">
        <f t="shared" si="5"/>
        <v>1972.7170000000001</v>
      </c>
      <c r="T61" s="2019"/>
      <c r="U61" s="18"/>
      <c r="V61" s="2042"/>
      <c r="W61" s="39">
        <f t="shared" si="6"/>
        <v>1972.7170000000001</v>
      </c>
      <c r="X61" s="2019"/>
      <c r="Y61" s="18">
        <v>683.31399999999985</v>
      </c>
      <c r="Z61" s="2495"/>
      <c r="AA61" s="781">
        <f t="shared" si="7"/>
        <v>1485.028</v>
      </c>
      <c r="AB61" s="4199"/>
      <c r="AC61" s="465">
        <f t="shared" si="8"/>
        <v>2656.0309999999999</v>
      </c>
      <c r="AD61" s="2019"/>
      <c r="AE61" s="18"/>
      <c r="AF61" s="2042"/>
      <c r="AG61" s="39">
        <f t="shared" si="18"/>
        <v>2656.0309999999999</v>
      </c>
      <c r="AH61" s="2019"/>
      <c r="AI61" s="18"/>
      <c r="AJ61" s="2042"/>
      <c r="AK61" s="39">
        <f t="shared" si="22"/>
        <v>2656.0309999999999</v>
      </c>
      <c r="AL61" s="2019"/>
      <c r="AM61" s="18"/>
      <c r="AN61" s="2495"/>
      <c r="AO61" s="781">
        <f t="shared" si="11"/>
        <v>0</v>
      </c>
      <c r="AP61" s="2042"/>
      <c r="AQ61" s="39">
        <f t="shared" si="12"/>
        <v>2656.0309999999999</v>
      </c>
      <c r="AR61" s="2019"/>
      <c r="AS61" s="18"/>
      <c r="AT61" s="2042"/>
      <c r="AU61" s="39">
        <f t="shared" si="13"/>
        <v>2656.0309999999999</v>
      </c>
      <c r="AV61" s="2019"/>
      <c r="AW61" s="18"/>
      <c r="AX61" s="2042"/>
      <c r="AY61" s="39">
        <f t="shared" si="14"/>
        <v>2656.0309999999999</v>
      </c>
      <c r="AZ61" s="2019"/>
      <c r="BA61" s="18">
        <v>1471.2839999999999</v>
      </c>
      <c r="BB61" s="2495"/>
      <c r="BC61" s="781">
        <f t="shared" si="15"/>
        <v>1471.2839999999999</v>
      </c>
      <c r="BD61" s="2499"/>
      <c r="BE61" s="700">
        <f t="shared" si="16"/>
        <v>1471.2839999999999</v>
      </c>
      <c r="BF61" s="2042"/>
      <c r="BG61" s="39">
        <f t="shared" si="17"/>
        <v>4127.3149999999996</v>
      </c>
      <c r="BH61" s="26"/>
      <c r="BI61" s="26"/>
      <c r="BJ61" s="26"/>
      <c r="BK61" s="26"/>
      <c r="BL61" s="26"/>
      <c r="BM61" s="26"/>
      <c r="BN61" s="1219"/>
    </row>
    <row r="62" spans="2:66" ht="15" customHeight="1" x14ac:dyDescent="0.3">
      <c r="B62" s="1090" t="s">
        <v>1107</v>
      </c>
      <c r="C62" s="2894" t="s">
        <v>947</v>
      </c>
      <c r="D62" s="3100">
        <v>61.3</v>
      </c>
      <c r="E62" s="1392" t="s">
        <v>50</v>
      </c>
      <c r="F62" s="2019"/>
      <c r="G62" s="18"/>
      <c r="H62" s="2019"/>
      <c r="I62" s="18"/>
      <c r="J62" s="2025"/>
      <c r="K62" s="4957">
        <f t="shared" si="3"/>
        <v>0</v>
      </c>
      <c r="L62" s="2019"/>
      <c r="M62" s="18">
        <v>522.70600000000002</v>
      </c>
      <c r="N62" s="2034"/>
      <c r="O62" s="69">
        <f t="shared" si="4"/>
        <v>522.70600000000002</v>
      </c>
      <c r="P62" s="2019"/>
      <c r="Q62" s="18"/>
      <c r="R62" s="2042"/>
      <c r="S62" s="39">
        <f t="shared" si="5"/>
        <v>522.70600000000002</v>
      </c>
      <c r="T62" s="2019"/>
      <c r="U62" s="18"/>
      <c r="V62" s="2042"/>
      <c r="W62" s="39">
        <f t="shared" si="6"/>
        <v>522.70600000000002</v>
      </c>
      <c r="X62" s="2019"/>
      <c r="Y62" s="18">
        <v>485.31799999999998</v>
      </c>
      <c r="Z62" s="902"/>
      <c r="AA62" s="781">
        <f t="shared" si="7"/>
        <v>485.31799999999998</v>
      </c>
      <c r="AB62" s="4199"/>
      <c r="AC62" s="465">
        <f t="shared" si="8"/>
        <v>1008.024</v>
      </c>
      <c r="AD62" s="2019"/>
      <c r="AE62" s="18"/>
      <c r="AF62" s="2042"/>
      <c r="AG62" s="39">
        <f t="shared" si="18"/>
        <v>1008.024</v>
      </c>
      <c r="AH62" s="2019"/>
      <c r="AI62" s="18"/>
      <c r="AJ62" s="2042"/>
      <c r="AK62" s="39">
        <f t="shared" si="22"/>
        <v>1008.024</v>
      </c>
      <c r="AL62" s="2019"/>
      <c r="AM62" s="18"/>
      <c r="AN62" s="902"/>
      <c r="AO62" s="781">
        <f t="shared" si="11"/>
        <v>0</v>
      </c>
      <c r="AP62" s="2042"/>
      <c r="AQ62" s="39">
        <f t="shared" si="12"/>
        <v>1008.024</v>
      </c>
      <c r="AR62" s="2019"/>
      <c r="AS62" s="18"/>
      <c r="AT62" s="2042"/>
      <c r="AU62" s="39">
        <f t="shared" si="13"/>
        <v>1008.024</v>
      </c>
      <c r="AV62" s="2019"/>
      <c r="AW62" s="18"/>
      <c r="AX62" s="2042"/>
      <c r="AY62" s="39">
        <f t="shared" si="14"/>
        <v>1008.024</v>
      </c>
      <c r="AZ62" s="2019"/>
      <c r="BA62" s="18">
        <v>1338.423</v>
      </c>
      <c r="BB62" s="902"/>
      <c r="BC62" s="781">
        <f t="shared" si="15"/>
        <v>1338.423</v>
      </c>
      <c r="BD62" s="903"/>
      <c r="BE62" s="700">
        <f t="shared" si="16"/>
        <v>1338.423</v>
      </c>
      <c r="BF62" s="2042"/>
      <c r="BG62" s="39">
        <f t="shared" si="17"/>
        <v>2346.4470000000001</v>
      </c>
      <c r="BH62" s="26"/>
      <c r="BI62" s="26"/>
      <c r="BJ62" s="26"/>
      <c r="BK62" s="26"/>
      <c r="BL62" s="26"/>
      <c r="BM62" s="26"/>
      <c r="BN62" s="1219"/>
    </row>
    <row r="63" spans="2:66" ht="15" customHeight="1" thickBot="1" x14ac:dyDescent="0.35">
      <c r="B63" s="3095" t="s">
        <v>1107</v>
      </c>
      <c r="C63" s="3096" t="s">
        <v>1013</v>
      </c>
      <c r="D63" s="3097">
        <v>61.3</v>
      </c>
      <c r="E63" s="1412" t="s">
        <v>50</v>
      </c>
      <c r="F63" s="3098"/>
      <c r="G63" s="38"/>
      <c r="H63" s="3098"/>
      <c r="I63" s="38"/>
      <c r="J63" s="3099"/>
      <c r="K63" s="4957">
        <f t="shared" si="3"/>
        <v>0</v>
      </c>
      <c r="L63" s="3098"/>
      <c r="M63" s="38">
        <v>261.35300000000001</v>
      </c>
      <c r="N63" s="2034"/>
      <c r="O63" s="69">
        <f t="shared" si="4"/>
        <v>261.35300000000001</v>
      </c>
      <c r="P63" s="3098"/>
      <c r="Q63" s="38">
        <v>157.666</v>
      </c>
      <c r="R63" s="2042"/>
      <c r="S63" s="39">
        <f t="shared" si="5"/>
        <v>419.01900000000001</v>
      </c>
      <c r="T63" s="3098"/>
      <c r="U63" s="38"/>
      <c r="V63" s="2042"/>
      <c r="W63" s="39">
        <f t="shared" si="6"/>
        <v>419.01900000000001</v>
      </c>
      <c r="X63" s="3098"/>
      <c r="Y63" s="38">
        <v>326.85000000000002</v>
      </c>
      <c r="Z63" s="902"/>
      <c r="AA63" s="781">
        <f t="shared" si="7"/>
        <v>484.51600000000002</v>
      </c>
      <c r="AB63" s="4199"/>
      <c r="AC63" s="465">
        <f t="shared" si="8"/>
        <v>745.86900000000003</v>
      </c>
      <c r="AD63" s="3098"/>
      <c r="AE63" s="38"/>
      <c r="AF63" s="2042"/>
      <c r="AG63" s="39">
        <f t="shared" si="18"/>
        <v>745.86900000000003</v>
      </c>
      <c r="AH63" s="3098"/>
      <c r="AI63" s="38"/>
      <c r="AJ63" s="2042"/>
      <c r="AK63" s="39">
        <f t="shared" si="22"/>
        <v>745.86900000000003</v>
      </c>
      <c r="AL63" s="3098"/>
      <c r="AM63" s="38"/>
      <c r="AN63" s="902"/>
      <c r="AO63" s="781">
        <f t="shared" si="11"/>
        <v>0</v>
      </c>
      <c r="AP63" s="2042"/>
      <c r="AQ63" s="39">
        <f t="shared" si="12"/>
        <v>745.86900000000003</v>
      </c>
      <c r="AR63" s="3098"/>
      <c r="AS63" s="38"/>
      <c r="AT63" s="2042"/>
      <c r="AU63" s="39">
        <f t="shared" si="13"/>
        <v>745.86900000000003</v>
      </c>
      <c r="AV63" s="3098"/>
      <c r="AW63" s="38"/>
      <c r="AX63" s="2042"/>
      <c r="AY63" s="39">
        <f t="shared" si="14"/>
        <v>745.86900000000003</v>
      </c>
      <c r="AZ63" s="3098"/>
      <c r="BA63" s="38"/>
      <c r="BB63" s="902"/>
      <c r="BC63" s="781">
        <f t="shared" si="15"/>
        <v>0</v>
      </c>
      <c r="BD63" s="903"/>
      <c r="BE63" s="700">
        <f t="shared" si="16"/>
        <v>0</v>
      </c>
      <c r="BF63" s="2042"/>
      <c r="BG63" s="39">
        <f t="shared" si="17"/>
        <v>745.86900000000003</v>
      </c>
      <c r="BH63" s="26"/>
      <c r="BI63" s="26"/>
      <c r="BJ63" s="26"/>
      <c r="BK63" s="26"/>
      <c r="BL63" s="26"/>
      <c r="BM63" s="26"/>
      <c r="BN63" s="1219"/>
    </row>
    <row r="64" spans="2:66" ht="15" customHeight="1" thickBot="1" x14ac:dyDescent="0.35">
      <c r="B64" s="3090" t="s">
        <v>1262</v>
      </c>
      <c r="C64" s="3091" t="s">
        <v>947</v>
      </c>
      <c r="D64" s="3101">
        <v>83.2</v>
      </c>
      <c r="E64" s="1329" t="s">
        <v>50</v>
      </c>
      <c r="F64" s="3093"/>
      <c r="G64" s="88">
        <v>2223.0400000000004</v>
      </c>
      <c r="H64" s="3093"/>
      <c r="I64" s="88"/>
      <c r="J64" s="3094"/>
      <c r="K64" s="4957">
        <f t="shared" si="3"/>
        <v>2223.0400000000004</v>
      </c>
      <c r="L64" s="3093"/>
      <c r="M64" s="88">
        <v>536.84500000000003</v>
      </c>
      <c r="N64" s="2034"/>
      <c r="O64" s="69">
        <f t="shared" si="4"/>
        <v>2759.8850000000002</v>
      </c>
      <c r="P64" s="3093"/>
      <c r="Q64" s="88"/>
      <c r="R64" s="2042"/>
      <c r="S64" s="39">
        <f t="shared" si="5"/>
        <v>2759.8850000000002</v>
      </c>
      <c r="T64" s="3093"/>
      <c r="U64" s="88"/>
      <c r="V64" s="2042"/>
      <c r="W64" s="39">
        <f t="shared" si="6"/>
        <v>2759.8850000000002</v>
      </c>
      <c r="X64" s="3093"/>
      <c r="Y64" s="88">
        <v>1363.2589999999998</v>
      </c>
      <c r="Z64" s="902"/>
      <c r="AA64" s="781">
        <f t="shared" si="7"/>
        <v>1363.2589999999998</v>
      </c>
      <c r="AB64" s="4199"/>
      <c r="AC64" s="465">
        <f t="shared" si="8"/>
        <v>4123.1440000000002</v>
      </c>
      <c r="AD64" s="3093"/>
      <c r="AE64" s="88"/>
      <c r="AF64" s="2042"/>
      <c r="AG64" s="39">
        <f t="shared" si="18"/>
        <v>4123.1440000000002</v>
      </c>
      <c r="AH64" s="3093"/>
      <c r="AI64" s="88"/>
      <c r="AJ64" s="2042"/>
      <c r="AK64" s="39">
        <f t="shared" si="22"/>
        <v>4123.1440000000002</v>
      </c>
      <c r="AL64" s="3093"/>
      <c r="AM64" s="88"/>
      <c r="AN64" s="902"/>
      <c r="AO64" s="781">
        <f t="shared" si="11"/>
        <v>0</v>
      </c>
      <c r="AP64" s="2042"/>
      <c r="AQ64" s="39">
        <f t="shared" si="12"/>
        <v>4123.1440000000002</v>
      </c>
      <c r="AR64" s="3093"/>
      <c r="AS64" s="88">
        <v>1884.9050000000002</v>
      </c>
      <c r="AT64" s="2042"/>
      <c r="AU64" s="39">
        <f t="shared" si="13"/>
        <v>6008.0490000000009</v>
      </c>
      <c r="AV64" s="3093"/>
      <c r="AW64" s="88">
        <v>1529.8110000000001</v>
      </c>
      <c r="AX64" s="2042"/>
      <c r="AY64" s="39">
        <f t="shared" si="14"/>
        <v>7537.8600000000006</v>
      </c>
      <c r="AZ64" s="3093"/>
      <c r="BA64" s="88"/>
      <c r="BB64" s="902"/>
      <c r="BC64" s="781">
        <f t="shared" si="15"/>
        <v>3414.7160000000003</v>
      </c>
      <c r="BD64" s="903"/>
      <c r="BE64" s="700">
        <f t="shared" si="16"/>
        <v>3414.7160000000003</v>
      </c>
      <c r="BF64" s="2042"/>
      <c r="BG64" s="39">
        <f t="shared" si="17"/>
        <v>7537.8600000000006</v>
      </c>
      <c r="BH64" s="26"/>
      <c r="BI64" s="26"/>
      <c r="BJ64" s="26"/>
      <c r="BK64" s="26"/>
      <c r="BL64" s="26"/>
      <c r="BM64" s="26"/>
      <c r="BN64" s="1219"/>
    </row>
    <row r="65" spans="2:66" ht="15" customHeight="1" x14ac:dyDescent="0.3">
      <c r="B65" s="3090" t="s">
        <v>1262</v>
      </c>
      <c r="C65" s="3091" t="s">
        <v>947</v>
      </c>
      <c r="D65" s="4066">
        <v>47.39</v>
      </c>
      <c r="E65" s="1329" t="s">
        <v>50</v>
      </c>
      <c r="F65" s="4068"/>
      <c r="G65" s="3964"/>
      <c r="H65" s="4068"/>
      <c r="I65" s="3964"/>
      <c r="J65" s="4069"/>
      <c r="K65" s="4957">
        <f t="shared" si="3"/>
        <v>0</v>
      </c>
      <c r="L65" s="4068"/>
      <c r="M65" s="3964"/>
      <c r="N65" s="2034"/>
      <c r="O65" s="69">
        <f t="shared" si="4"/>
        <v>0</v>
      </c>
      <c r="P65" s="4068"/>
      <c r="Q65" s="3964"/>
      <c r="R65" s="2042"/>
      <c r="S65" s="39">
        <f t="shared" si="5"/>
        <v>0</v>
      </c>
      <c r="T65" s="4068"/>
      <c r="U65" s="3964"/>
      <c r="V65" s="2042"/>
      <c r="W65" s="39">
        <f t="shared" si="6"/>
        <v>0</v>
      </c>
      <c r="X65" s="4068"/>
      <c r="Y65" s="3964"/>
      <c r="Z65" s="4729"/>
      <c r="AA65" s="781">
        <f t="shared" si="7"/>
        <v>0</v>
      </c>
      <c r="AB65" s="4199"/>
      <c r="AC65" s="465">
        <f t="shared" si="8"/>
        <v>0</v>
      </c>
      <c r="AD65" s="4068"/>
      <c r="AE65" s="3964"/>
      <c r="AF65" s="2042"/>
      <c r="AG65" s="39"/>
      <c r="AH65" s="4068"/>
      <c r="AI65" s="3964"/>
      <c r="AJ65" s="2042"/>
      <c r="AK65" s="39"/>
      <c r="AL65" s="4068"/>
      <c r="AM65" s="3964"/>
      <c r="AN65" s="4729"/>
      <c r="AO65" s="781">
        <f t="shared" si="11"/>
        <v>0</v>
      </c>
      <c r="AP65" s="2042"/>
      <c r="AQ65" s="39"/>
      <c r="AR65" s="4068"/>
      <c r="AS65" s="3964">
        <v>291.97699999999998</v>
      </c>
      <c r="AT65" s="2042"/>
      <c r="AU65" s="39">
        <f t="shared" si="13"/>
        <v>291.97699999999998</v>
      </c>
      <c r="AV65" s="4068"/>
      <c r="AW65" s="3964"/>
      <c r="AX65" s="2042"/>
      <c r="AY65" s="39">
        <f t="shared" si="14"/>
        <v>291.97699999999998</v>
      </c>
      <c r="AZ65" s="4068"/>
      <c r="BA65" s="3964"/>
      <c r="BB65" s="4729"/>
      <c r="BC65" s="781">
        <f t="shared" si="15"/>
        <v>291.97699999999998</v>
      </c>
      <c r="BD65" s="4732"/>
      <c r="BE65" s="700">
        <f t="shared" si="16"/>
        <v>291.97699999999998</v>
      </c>
      <c r="BF65" s="2042"/>
      <c r="BG65" s="39">
        <f t="shared" si="17"/>
        <v>291.97699999999998</v>
      </c>
      <c r="BH65" s="26"/>
      <c r="BI65" s="26"/>
      <c r="BJ65" s="26"/>
      <c r="BK65" s="26"/>
      <c r="BL65" s="26"/>
      <c r="BM65" s="26"/>
      <c r="BN65" s="1219"/>
    </row>
    <row r="66" spans="2:66" ht="15" customHeight="1" thickBot="1" x14ac:dyDescent="0.35">
      <c r="B66" s="3095" t="s">
        <v>1262</v>
      </c>
      <c r="C66" s="3096" t="s">
        <v>947</v>
      </c>
      <c r="D66" s="3097">
        <v>60.32</v>
      </c>
      <c r="E66" s="1412" t="s">
        <v>50</v>
      </c>
      <c r="F66" s="3098"/>
      <c r="G66" s="38">
        <v>390.20100000000002</v>
      </c>
      <c r="H66" s="3098"/>
      <c r="I66" s="38"/>
      <c r="J66" s="3099"/>
      <c r="K66" s="4957">
        <f t="shared" si="3"/>
        <v>390.20100000000002</v>
      </c>
      <c r="L66" s="3098"/>
      <c r="M66" s="38">
        <v>791.52800000000002</v>
      </c>
      <c r="N66" s="2034"/>
      <c r="O66" s="69">
        <f t="shared" si="4"/>
        <v>1181.729</v>
      </c>
      <c r="P66" s="3098"/>
      <c r="Q66" s="38"/>
      <c r="R66" s="2042"/>
      <c r="S66" s="39">
        <f t="shared" si="5"/>
        <v>1181.729</v>
      </c>
      <c r="T66" s="3098"/>
      <c r="U66" s="38"/>
      <c r="V66" s="2042"/>
      <c r="W66" s="39">
        <f t="shared" si="6"/>
        <v>1181.729</v>
      </c>
      <c r="X66" s="3098"/>
      <c r="Y66" s="38">
        <v>336.02599999999995</v>
      </c>
      <c r="Z66" s="902"/>
      <c r="AA66" s="781">
        <f t="shared" si="7"/>
        <v>336.02599999999995</v>
      </c>
      <c r="AB66" s="4199"/>
      <c r="AC66" s="465">
        <f t="shared" si="8"/>
        <v>1517.7550000000001</v>
      </c>
      <c r="AD66" s="3098"/>
      <c r="AE66" s="38"/>
      <c r="AF66" s="2042"/>
      <c r="AG66" s="39">
        <f t="shared" si="18"/>
        <v>1517.7550000000001</v>
      </c>
      <c r="AH66" s="3098"/>
      <c r="AI66" s="38"/>
      <c r="AJ66" s="2042"/>
      <c r="AK66" s="39">
        <f t="shared" si="22"/>
        <v>1517.7550000000001</v>
      </c>
      <c r="AL66" s="3098"/>
      <c r="AM66" s="38"/>
      <c r="AN66" s="902"/>
      <c r="AO66" s="781">
        <f t="shared" si="11"/>
        <v>0</v>
      </c>
      <c r="AP66" s="2042"/>
      <c r="AQ66" s="39">
        <f t="shared" si="12"/>
        <v>1517.7550000000001</v>
      </c>
      <c r="AR66" s="3098"/>
      <c r="AS66" s="38">
        <v>972.32800000000009</v>
      </c>
      <c r="AT66" s="2042"/>
      <c r="AU66" s="39">
        <f t="shared" si="13"/>
        <v>2490.0830000000001</v>
      </c>
      <c r="AV66" s="3098"/>
      <c r="AW66" s="38">
        <v>302.16199999999998</v>
      </c>
      <c r="AX66" s="2042"/>
      <c r="AY66" s="39">
        <f t="shared" si="14"/>
        <v>2792.2449999999999</v>
      </c>
      <c r="AZ66" s="3098"/>
      <c r="BA66" s="38"/>
      <c r="BB66" s="902"/>
      <c r="BC66" s="781">
        <f t="shared" si="15"/>
        <v>1274.49</v>
      </c>
      <c r="BD66" s="903"/>
      <c r="BE66" s="700">
        <f t="shared" si="16"/>
        <v>1274.49</v>
      </c>
      <c r="BF66" s="2042"/>
      <c r="BG66" s="39">
        <f t="shared" si="17"/>
        <v>2792.2449999999999</v>
      </c>
      <c r="BH66" s="26"/>
      <c r="BI66" s="26"/>
      <c r="BJ66" s="26"/>
      <c r="BK66" s="26"/>
      <c r="BL66" s="26"/>
      <c r="BM66" s="26"/>
      <c r="BN66" s="1219"/>
    </row>
    <row r="67" spans="2:66" ht="15" customHeight="1" x14ac:dyDescent="0.3">
      <c r="B67" s="3090" t="s">
        <v>1202</v>
      </c>
      <c r="C67" s="3091" t="s">
        <v>947</v>
      </c>
      <c r="D67" s="3101">
        <v>100.85</v>
      </c>
      <c r="E67" s="1329" t="s">
        <v>50</v>
      </c>
      <c r="F67" s="3093"/>
      <c r="G67" s="88">
        <v>1159.954</v>
      </c>
      <c r="H67" s="3093"/>
      <c r="I67" s="88">
        <v>933.98900000000026</v>
      </c>
      <c r="J67" s="3094"/>
      <c r="K67" s="4957">
        <f t="shared" si="3"/>
        <v>2093.9430000000002</v>
      </c>
      <c r="L67" s="3093"/>
      <c r="M67" s="88"/>
      <c r="N67" s="2034"/>
      <c r="O67" s="69">
        <f t="shared" si="4"/>
        <v>2093.9430000000002</v>
      </c>
      <c r="P67" s="3093"/>
      <c r="Q67" s="88">
        <v>754.33100000000002</v>
      </c>
      <c r="R67" s="2042"/>
      <c r="S67" s="39">
        <f t="shared" si="5"/>
        <v>2848.2740000000003</v>
      </c>
      <c r="T67" s="3093"/>
      <c r="U67" s="88"/>
      <c r="V67" s="2042"/>
      <c r="W67" s="39">
        <f t="shared" si="6"/>
        <v>2848.2740000000003</v>
      </c>
      <c r="X67" s="3093"/>
      <c r="Y67" s="88">
        <v>440.56799999999998</v>
      </c>
      <c r="Z67" s="902"/>
      <c r="AA67" s="781">
        <f t="shared" si="7"/>
        <v>1194.8989999999999</v>
      </c>
      <c r="AB67" s="4199"/>
      <c r="AC67" s="465">
        <f t="shared" si="8"/>
        <v>3288.8420000000001</v>
      </c>
      <c r="AD67" s="3093"/>
      <c r="AE67" s="88">
        <v>857.10300000000007</v>
      </c>
      <c r="AF67" s="2042"/>
      <c r="AG67" s="39">
        <f t="shared" si="18"/>
        <v>4145.9449999999997</v>
      </c>
      <c r="AH67" s="3093"/>
      <c r="AI67" s="88"/>
      <c r="AJ67" s="2042"/>
      <c r="AK67" s="39">
        <f t="shared" si="22"/>
        <v>4145.9449999999997</v>
      </c>
      <c r="AL67" s="3093"/>
      <c r="AM67" s="88">
        <v>155.27199999999999</v>
      </c>
      <c r="AN67" s="902"/>
      <c r="AO67" s="781">
        <f t="shared" si="11"/>
        <v>1012.375</v>
      </c>
      <c r="AP67" s="2042"/>
      <c r="AQ67" s="39">
        <f t="shared" si="12"/>
        <v>4301.2169999999996</v>
      </c>
      <c r="AR67" s="3093"/>
      <c r="AS67" s="88">
        <v>354.02200000000005</v>
      </c>
      <c r="AT67" s="2042"/>
      <c r="AU67" s="39">
        <f t="shared" si="13"/>
        <v>4655.2389999999996</v>
      </c>
      <c r="AV67" s="3093"/>
      <c r="AW67" s="88">
        <v>1277.0250000000001</v>
      </c>
      <c r="AX67" s="2042"/>
      <c r="AY67" s="39">
        <f t="shared" si="14"/>
        <v>5932.2639999999992</v>
      </c>
      <c r="AZ67" s="3093"/>
      <c r="BA67" s="88">
        <v>1763.2449999999997</v>
      </c>
      <c r="BB67" s="902"/>
      <c r="BC67" s="781">
        <f t="shared" si="15"/>
        <v>3394.2919999999995</v>
      </c>
      <c r="BD67" s="903"/>
      <c r="BE67" s="700">
        <f t="shared" si="16"/>
        <v>4406.6669999999995</v>
      </c>
      <c r="BF67" s="2042"/>
      <c r="BG67" s="39">
        <f t="shared" si="17"/>
        <v>7695.5089999999991</v>
      </c>
      <c r="BH67" s="26"/>
      <c r="BI67" s="26"/>
      <c r="BJ67" s="26"/>
      <c r="BK67" s="26"/>
      <c r="BL67" s="26"/>
      <c r="BM67" s="26"/>
      <c r="BN67" s="1219"/>
    </row>
    <row r="68" spans="2:66" ht="15" customHeight="1" x14ac:dyDescent="0.3">
      <c r="B68" s="3086" t="s">
        <v>1202</v>
      </c>
      <c r="C68" s="4065" t="s">
        <v>1633</v>
      </c>
      <c r="D68" s="4066">
        <v>100.85</v>
      </c>
      <c r="E68" s="1407" t="s">
        <v>50</v>
      </c>
      <c r="F68" s="3088"/>
      <c r="G68" s="29"/>
      <c r="H68" s="3088"/>
      <c r="I68" s="29"/>
      <c r="J68" s="3089"/>
      <c r="K68" s="5444"/>
      <c r="L68" s="3088"/>
      <c r="M68" s="29"/>
      <c r="N68" s="5453"/>
      <c r="O68" s="69">
        <f t="shared" si="4"/>
        <v>0</v>
      </c>
      <c r="P68" s="3088"/>
      <c r="Q68" s="29">
        <v>813.78700000000003</v>
      </c>
      <c r="R68" s="5454"/>
      <c r="S68" s="39">
        <f t="shared" si="5"/>
        <v>813.78700000000003</v>
      </c>
      <c r="T68" s="3088"/>
      <c r="U68" s="29"/>
      <c r="V68" s="5454"/>
      <c r="W68" s="39">
        <f t="shared" si="6"/>
        <v>813.78700000000003</v>
      </c>
      <c r="X68" s="3088"/>
      <c r="Y68" s="29">
        <v>485.36</v>
      </c>
      <c r="Z68" s="5442"/>
      <c r="AA68" s="781">
        <f t="shared" si="7"/>
        <v>1299.1469999999999</v>
      </c>
      <c r="AB68" s="4199"/>
      <c r="AC68" s="465">
        <f t="shared" si="8"/>
        <v>1299.1469999999999</v>
      </c>
      <c r="AD68" s="3088"/>
      <c r="AE68" s="29"/>
      <c r="AF68" s="5454"/>
      <c r="AG68" s="4866"/>
      <c r="AH68" s="3088"/>
      <c r="AI68" s="29"/>
      <c r="AJ68" s="5454"/>
      <c r="AK68" s="4866"/>
      <c r="AL68" s="3088"/>
      <c r="AM68" s="29"/>
      <c r="AN68" s="5442"/>
      <c r="AO68" s="5450"/>
      <c r="AP68" s="5454"/>
      <c r="AQ68" s="4866"/>
      <c r="AR68" s="3088"/>
      <c r="AS68" s="29"/>
      <c r="AT68" s="5454"/>
      <c r="AU68" s="4866"/>
      <c r="AV68" s="3088"/>
      <c r="AW68" s="29"/>
      <c r="AX68" s="5454"/>
      <c r="AY68" s="4866"/>
      <c r="AZ68" s="3088"/>
      <c r="BA68" s="29"/>
      <c r="BB68" s="5442"/>
      <c r="BC68" s="5450"/>
      <c r="BD68" s="5457"/>
      <c r="BE68" s="5458"/>
      <c r="BF68" s="5454"/>
      <c r="BG68" s="4866"/>
      <c r="BH68" s="26"/>
      <c r="BI68" s="26"/>
      <c r="BJ68" s="26"/>
      <c r="BK68" s="26"/>
      <c r="BL68" s="26"/>
      <c r="BM68" s="26"/>
      <c r="BN68" s="1219"/>
    </row>
    <row r="69" spans="2:66" ht="15" customHeight="1" x14ac:dyDescent="0.3">
      <c r="B69" s="3086" t="s">
        <v>1202</v>
      </c>
      <c r="C69" s="4065" t="s">
        <v>1633</v>
      </c>
      <c r="D69" s="4066">
        <v>117.03</v>
      </c>
      <c r="E69" s="1407" t="s">
        <v>50</v>
      </c>
      <c r="F69" s="3088"/>
      <c r="G69" s="29"/>
      <c r="H69" s="3088"/>
      <c r="I69" s="29"/>
      <c r="J69" s="3089"/>
      <c r="K69" s="5444"/>
      <c r="L69" s="3088"/>
      <c r="M69" s="29"/>
      <c r="N69" s="5453"/>
      <c r="O69" s="69">
        <f t="shared" si="4"/>
        <v>0</v>
      </c>
      <c r="P69" s="3088"/>
      <c r="Q69" s="29">
        <v>814.37</v>
      </c>
      <c r="R69" s="5454"/>
      <c r="S69" s="39">
        <f t="shared" si="5"/>
        <v>814.37</v>
      </c>
      <c r="T69" s="3088"/>
      <c r="U69" s="29"/>
      <c r="V69" s="5454"/>
      <c r="W69" s="39">
        <f t="shared" si="6"/>
        <v>814.37</v>
      </c>
      <c r="X69" s="3088"/>
      <c r="Y69" s="29">
        <v>807.49199999999996</v>
      </c>
      <c r="Z69" s="5442"/>
      <c r="AA69" s="781">
        <f t="shared" si="7"/>
        <v>1621.8620000000001</v>
      </c>
      <c r="AB69" s="4199"/>
      <c r="AC69" s="465">
        <f t="shared" si="8"/>
        <v>1621.8620000000001</v>
      </c>
      <c r="AD69" s="3088"/>
      <c r="AE69" s="29"/>
      <c r="AF69" s="5454"/>
      <c r="AG69" s="4866"/>
      <c r="AH69" s="3088"/>
      <c r="AI69" s="29"/>
      <c r="AJ69" s="5454"/>
      <c r="AK69" s="4866"/>
      <c r="AL69" s="3088"/>
      <c r="AM69" s="29"/>
      <c r="AN69" s="5442"/>
      <c r="AO69" s="5450"/>
      <c r="AP69" s="5454"/>
      <c r="AQ69" s="4866"/>
      <c r="AR69" s="3088"/>
      <c r="AS69" s="29"/>
      <c r="AT69" s="5454"/>
      <c r="AU69" s="4866"/>
      <c r="AV69" s="3088"/>
      <c r="AW69" s="29"/>
      <c r="AX69" s="5454"/>
      <c r="AY69" s="4866"/>
      <c r="AZ69" s="3088"/>
      <c r="BA69" s="29"/>
      <c r="BB69" s="5442"/>
      <c r="BC69" s="5450"/>
      <c r="BD69" s="5457"/>
      <c r="BE69" s="5458"/>
      <c r="BF69" s="5454"/>
      <c r="BG69" s="4866"/>
      <c r="BH69" s="26"/>
      <c r="BI69" s="26"/>
      <c r="BJ69" s="26"/>
      <c r="BK69" s="26"/>
      <c r="BL69" s="26"/>
      <c r="BM69" s="26"/>
      <c r="BN69" s="1219"/>
    </row>
    <row r="70" spans="2:66" ht="15" customHeight="1" x14ac:dyDescent="0.3">
      <c r="B70" s="1090" t="s">
        <v>1202</v>
      </c>
      <c r="C70" s="2894" t="s">
        <v>947</v>
      </c>
      <c r="D70" s="3100">
        <v>117.03</v>
      </c>
      <c r="E70" s="1392" t="s">
        <v>50</v>
      </c>
      <c r="F70" s="2019"/>
      <c r="G70" s="18">
        <v>1527.2120000000002</v>
      </c>
      <c r="H70" s="2019"/>
      <c r="I70" s="18">
        <v>1112.682</v>
      </c>
      <c r="J70" s="2025"/>
      <c r="K70" s="4957">
        <f t="shared" si="3"/>
        <v>2639.8940000000002</v>
      </c>
      <c r="L70" s="2019"/>
      <c r="M70" s="18"/>
      <c r="N70" s="2034"/>
      <c r="O70" s="69">
        <f t="shared" si="4"/>
        <v>2639.8940000000002</v>
      </c>
      <c r="P70" s="2019"/>
      <c r="Q70" s="18">
        <v>538.16100000000006</v>
      </c>
      <c r="R70" s="2042"/>
      <c r="S70" s="39">
        <f t="shared" si="5"/>
        <v>3178.0550000000003</v>
      </c>
      <c r="T70" s="2019"/>
      <c r="U70" s="18"/>
      <c r="V70" s="2042"/>
      <c r="W70" s="39">
        <f t="shared" si="6"/>
        <v>3178.0550000000003</v>
      </c>
      <c r="X70" s="2019"/>
      <c r="Y70" s="18">
        <v>174.53800000000001</v>
      </c>
      <c r="Z70" s="902"/>
      <c r="AA70" s="781">
        <f t="shared" si="7"/>
        <v>712.69900000000007</v>
      </c>
      <c r="AB70" s="4199"/>
      <c r="AC70" s="465">
        <f t="shared" si="8"/>
        <v>3352.5930000000003</v>
      </c>
      <c r="AD70" s="2019"/>
      <c r="AE70" s="18">
        <v>1525.2620000000002</v>
      </c>
      <c r="AF70" s="2042"/>
      <c r="AG70" s="39">
        <f t="shared" si="18"/>
        <v>4877.8550000000005</v>
      </c>
      <c r="AH70" s="2019"/>
      <c r="AI70" s="18"/>
      <c r="AJ70" s="2042"/>
      <c r="AK70" s="39">
        <f t="shared" si="22"/>
        <v>4877.8550000000005</v>
      </c>
      <c r="AL70" s="2019"/>
      <c r="AM70" s="18">
        <v>1669.2649999999999</v>
      </c>
      <c r="AN70" s="902"/>
      <c r="AO70" s="781">
        <f t="shared" si="11"/>
        <v>3194.527</v>
      </c>
      <c r="AP70" s="2042"/>
      <c r="AQ70" s="39">
        <f t="shared" si="12"/>
        <v>6547.1200000000008</v>
      </c>
      <c r="AR70" s="2019"/>
      <c r="AS70" s="18"/>
      <c r="AT70" s="2042"/>
      <c r="AU70" s="39">
        <f t="shared" si="13"/>
        <v>6547.1200000000008</v>
      </c>
      <c r="AV70" s="2019"/>
      <c r="AW70" s="18">
        <v>1500.6679999999997</v>
      </c>
      <c r="AX70" s="2042"/>
      <c r="AY70" s="39">
        <f t="shared" si="14"/>
        <v>8047.7880000000005</v>
      </c>
      <c r="AZ70" s="2019"/>
      <c r="BA70" s="18">
        <v>533.61400000000003</v>
      </c>
      <c r="BB70" s="902"/>
      <c r="BC70" s="781">
        <f t="shared" si="15"/>
        <v>2034.2819999999997</v>
      </c>
      <c r="BD70" s="903"/>
      <c r="BE70" s="700">
        <f t="shared" si="16"/>
        <v>5228.8089999999993</v>
      </c>
      <c r="BF70" s="2042"/>
      <c r="BG70" s="39">
        <f t="shared" si="17"/>
        <v>8581.402</v>
      </c>
      <c r="BH70" s="26"/>
      <c r="BI70" s="26"/>
      <c r="BJ70" s="26"/>
      <c r="BK70" s="26"/>
      <c r="BL70" s="26"/>
      <c r="BM70" s="26"/>
      <c r="BN70" s="1219"/>
    </row>
    <row r="71" spans="2:66" ht="15" customHeight="1" thickBot="1" x14ac:dyDescent="0.35">
      <c r="B71" s="3095" t="s">
        <v>1202</v>
      </c>
      <c r="C71" s="3096" t="s">
        <v>947</v>
      </c>
      <c r="D71" s="3097">
        <v>237.92</v>
      </c>
      <c r="E71" s="1412" t="s">
        <v>50</v>
      </c>
      <c r="F71" s="3098"/>
      <c r="G71" s="38"/>
      <c r="H71" s="3098"/>
      <c r="I71" s="38"/>
      <c r="J71" s="3099"/>
      <c r="K71" s="4957">
        <f t="shared" si="3"/>
        <v>0</v>
      </c>
      <c r="L71" s="3098"/>
      <c r="M71" s="38"/>
      <c r="N71" s="2034"/>
      <c r="O71" s="69">
        <f t="shared" si="4"/>
        <v>0</v>
      </c>
      <c r="P71" s="3098"/>
      <c r="Q71" s="38"/>
      <c r="R71" s="2042"/>
      <c r="S71" s="39">
        <f t="shared" si="5"/>
        <v>0</v>
      </c>
      <c r="T71" s="3098"/>
      <c r="U71" s="38"/>
      <c r="V71" s="2042"/>
      <c r="W71" s="39">
        <f t="shared" si="6"/>
        <v>0</v>
      </c>
      <c r="X71" s="3098"/>
      <c r="Y71" s="38"/>
      <c r="Z71" s="902"/>
      <c r="AA71" s="781">
        <f t="shared" si="7"/>
        <v>0</v>
      </c>
      <c r="AB71" s="4199"/>
      <c r="AC71" s="465">
        <f t="shared" si="8"/>
        <v>0</v>
      </c>
      <c r="AD71" s="3098"/>
      <c r="AE71" s="38">
        <v>130.96299999999997</v>
      </c>
      <c r="AF71" s="2042"/>
      <c r="AG71" s="39">
        <f t="shared" si="18"/>
        <v>130.96299999999997</v>
      </c>
      <c r="AH71" s="3098"/>
      <c r="AI71" s="38"/>
      <c r="AJ71" s="2042"/>
      <c r="AK71" s="39">
        <f t="shared" si="22"/>
        <v>130.96299999999997</v>
      </c>
      <c r="AL71" s="3098"/>
      <c r="AM71" s="38"/>
      <c r="AN71" s="902"/>
      <c r="AO71" s="781">
        <f t="shared" si="11"/>
        <v>130.96299999999997</v>
      </c>
      <c r="AP71" s="2042"/>
      <c r="AQ71" s="39">
        <f t="shared" si="12"/>
        <v>130.96299999999997</v>
      </c>
      <c r="AR71" s="3098"/>
      <c r="AS71" s="38"/>
      <c r="AT71" s="2042"/>
      <c r="AU71" s="39">
        <f t="shared" si="13"/>
        <v>130.96299999999997</v>
      </c>
      <c r="AV71" s="3098"/>
      <c r="AW71" s="38"/>
      <c r="AX71" s="2042"/>
      <c r="AY71" s="39">
        <f t="shared" si="14"/>
        <v>130.96299999999997</v>
      </c>
      <c r="AZ71" s="3098"/>
      <c r="BA71" s="38"/>
      <c r="BB71" s="902"/>
      <c r="BC71" s="781">
        <f t="shared" si="15"/>
        <v>0</v>
      </c>
      <c r="BD71" s="903"/>
      <c r="BE71" s="700">
        <f t="shared" si="16"/>
        <v>130.96299999999997</v>
      </c>
      <c r="BF71" s="2042"/>
      <c r="BG71" s="39">
        <f t="shared" si="17"/>
        <v>130.96299999999997</v>
      </c>
      <c r="BH71" s="26"/>
      <c r="BI71" s="26"/>
      <c r="BJ71" s="26"/>
      <c r="BK71" s="26"/>
      <c r="BL71" s="26"/>
      <c r="BM71" s="26"/>
      <c r="BN71" s="1219"/>
    </row>
    <row r="72" spans="2:66" ht="15" customHeight="1" thickBot="1" x14ac:dyDescent="0.35">
      <c r="B72" s="5469" t="s">
        <v>2279</v>
      </c>
      <c r="C72" s="5470" t="s">
        <v>1013</v>
      </c>
      <c r="D72" s="5471">
        <v>46.1</v>
      </c>
      <c r="E72" s="1412" t="s">
        <v>50</v>
      </c>
      <c r="F72" s="5473"/>
      <c r="G72" s="5474"/>
      <c r="H72" s="5473"/>
      <c r="I72" s="5474"/>
      <c r="J72" s="5475"/>
      <c r="K72" s="5444"/>
      <c r="L72" s="5473"/>
      <c r="M72" s="5474"/>
      <c r="N72" s="5453"/>
      <c r="O72" s="5468"/>
      <c r="P72" s="5473"/>
      <c r="Q72" s="5474"/>
      <c r="R72" s="5454"/>
      <c r="S72" s="39">
        <f t="shared" si="5"/>
        <v>0</v>
      </c>
      <c r="T72" s="5473"/>
      <c r="U72" s="5474">
        <v>132.46199999999999</v>
      </c>
      <c r="V72" s="5454"/>
      <c r="W72" s="39">
        <f t="shared" si="6"/>
        <v>132.46199999999999</v>
      </c>
      <c r="X72" s="5473"/>
      <c r="Y72" s="5474">
        <v>186.41899999999998</v>
      </c>
      <c r="Z72" s="5442"/>
      <c r="AA72" s="781">
        <f t="shared" si="7"/>
        <v>318.88099999999997</v>
      </c>
      <c r="AB72" s="4199"/>
      <c r="AC72" s="465">
        <f t="shared" si="8"/>
        <v>318.88099999999997</v>
      </c>
      <c r="AD72" s="5473"/>
      <c r="AE72" s="5474"/>
      <c r="AF72" s="5454"/>
      <c r="AG72" s="4866"/>
      <c r="AH72" s="5473"/>
      <c r="AI72" s="5474"/>
      <c r="AJ72" s="5454"/>
      <c r="AK72" s="4866"/>
      <c r="AL72" s="5473"/>
      <c r="AM72" s="5474"/>
      <c r="AN72" s="5442"/>
      <c r="AO72" s="5450"/>
      <c r="AP72" s="5454"/>
      <c r="AQ72" s="4866"/>
      <c r="AR72" s="5473"/>
      <c r="AS72" s="5474"/>
      <c r="AT72" s="5454"/>
      <c r="AU72" s="4866"/>
      <c r="AV72" s="5473"/>
      <c r="AW72" s="5474"/>
      <c r="AX72" s="5454"/>
      <c r="AY72" s="4866"/>
      <c r="AZ72" s="5473"/>
      <c r="BA72" s="5474"/>
      <c r="BB72" s="5442"/>
      <c r="BC72" s="5450"/>
      <c r="BD72" s="5457"/>
      <c r="BE72" s="5458"/>
      <c r="BF72" s="5454"/>
      <c r="BG72" s="4866"/>
      <c r="BH72" s="26"/>
      <c r="BI72" s="26"/>
      <c r="BJ72" s="26"/>
      <c r="BK72" s="26"/>
      <c r="BL72" s="26"/>
      <c r="BM72" s="26"/>
      <c r="BN72" s="1219"/>
    </row>
    <row r="73" spans="2:66" ht="15" customHeight="1" thickBot="1" x14ac:dyDescent="0.35">
      <c r="B73" s="5469" t="s">
        <v>2279</v>
      </c>
      <c r="C73" s="5470" t="s">
        <v>947</v>
      </c>
      <c r="D73" s="5471">
        <v>46.1</v>
      </c>
      <c r="E73" s="5472" t="s">
        <v>50</v>
      </c>
      <c r="F73" s="5473"/>
      <c r="G73" s="5474"/>
      <c r="H73" s="5473"/>
      <c r="I73" s="5474"/>
      <c r="J73" s="5475"/>
      <c r="K73" s="4957">
        <f t="shared" si="3"/>
        <v>0</v>
      </c>
      <c r="L73" s="5473"/>
      <c r="M73" s="5474">
        <v>1589.9769999999999</v>
      </c>
      <c r="N73" s="5453"/>
      <c r="O73" s="69">
        <f t="shared" si="4"/>
        <v>1589.9769999999999</v>
      </c>
      <c r="P73" s="5473"/>
      <c r="Q73" s="5474">
        <v>1547.614</v>
      </c>
      <c r="R73" s="5454"/>
      <c r="S73" s="39">
        <f t="shared" si="5"/>
        <v>3137.5909999999999</v>
      </c>
      <c r="T73" s="5473"/>
      <c r="U73" s="5474">
        <v>1639.5419999999999</v>
      </c>
      <c r="V73" s="5454"/>
      <c r="W73" s="39">
        <f t="shared" si="6"/>
        <v>4777.1329999999998</v>
      </c>
      <c r="X73" s="5473"/>
      <c r="Y73" s="5474">
        <v>858.66999999999985</v>
      </c>
      <c r="Z73" s="5442"/>
      <c r="AA73" s="781">
        <f t="shared" ref="AA73:AA106" si="23">+Q73+U73+Y73</f>
        <v>4045.826</v>
      </c>
      <c r="AB73" s="4199"/>
      <c r="AC73" s="465">
        <f t="shared" ref="AC73:AC106" si="24">+AA73+O73</f>
        <v>5635.8029999999999</v>
      </c>
      <c r="AD73" s="5473"/>
      <c r="AE73" s="5474"/>
      <c r="AF73" s="5454"/>
      <c r="AG73" s="4866"/>
      <c r="AH73" s="5473"/>
      <c r="AI73" s="5474"/>
      <c r="AJ73" s="5454"/>
      <c r="AK73" s="4866"/>
      <c r="AL73" s="5473"/>
      <c r="AM73" s="5474"/>
      <c r="AN73" s="5442"/>
      <c r="AO73" s="5450"/>
      <c r="AP73" s="5454"/>
      <c r="AQ73" s="4866"/>
      <c r="AR73" s="5473"/>
      <c r="AS73" s="5474"/>
      <c r="AT73" s="5454"/>
      <c r="AU73" s="4866"/>
      <c r="AV73" s="5473"/>
      <c r="AW73" s="5474"/>
      <c r="AX73" s="5454"/>
      <c r="AY73" s="4866"/>
      <c r="AZ73" s="5473"/>
      <c r="BA73" s="5474"/>
      <c r="BB73" s="5442"/>
      <c r="BC73" s="5450"/>
      <c r="BD73" s="5457"/>
      <c r="BE73" s="5458"/>
      <c r="BF73" s="5454"/>
      <c r="BG73" s="4866"/>
      <c r="BH73" s="26"/>
      <c r="BI73" s="26"/>
      <c r="BJ73" s="26"/>
      <c r="BK73" s="26"/>
      <c r="BL73" s="26"/>
      <c r="BM73" s="26"/>
      <c r="BN73" s="1219"/>
    </row>
    <row r="74" spans="2:66" ht="15" customHeight="1" thickBot="1" x14ac:dyDescent="0.35">
      <c r="B74" s="5469" t="s">
        <v>2279</v>
      </c>
      <c r="C74" s="5470" t="s">
        <v>947</v>
      </c>
      <c r="D74" s="5471">
        <v>52</v>
      </c>
      <c r="E74" s="5472" t="s">
        <v>50</v>
      </c>
      <c r="F74" s="5473"/>
      <c r="G74" s="5474"/>
      <c r="H74" s="5473"/>
      <c r="I74" s="5474"/>
      <c r="J74" s="5475"/>
      <c r="K74" s="4957">
        <f t="shared" si="3"/>
        <v>0</v>
      </c>
      <c r="L74" s="5473"/>
      <c r="M74" s="5474">
        <v>566.86</v>
      </c>
      <c r="N74" s="5453"/>
      <c r="O74" s="69">
        <f t="shared" si="4"/>
        <v>566.86</v>
      </c>
      <c r="P74" s="5473"/>
      <c r="Q74" s="5474">
        <v>444.13799999999998</v>
      </c>
      <c r="R74" s="5454"/>
      <c r="S74" s="39">
        <f t="shared" si="5"/>
        <v>1010.998</v>
      </c>
      <c r="T74" s="5473"/>
      <c r="U74" s="5474">
        <v>550.67099999999994</v>
      </c>
      <c r="V74" s="5454"/>
      <c r="W74" s="39">
        <f t="shared" si="6"/>
        <v>1561.6689999999999</v>
      </c>
      <c r="X74" s="5473"/>
      <c r="Y74" s="5474">
        <v>325.86299999999994</v>
      </c>
      <c r="Z74" s="5442"/>
      <c r="AA74" s="781">
        <f t="shared" si="23"/>
        <v>1320.672</v>
      </c>
      <c r="AB74" s="4199"/>
      <c r="AC74" s="465">
        <f t="shared" si="24"/>
        <v>1887.5320000000002</v>
      </c>
      <c r="AD74" s="5473"/>
      <c r="AE74" s="5474"/>
      <c r="AF74" s="5454"/>
      <c r="AG74" s="4866"/>
      <c r="AH74" s="5473"/>
      <c r="AI74" s="5474"/>
      <c r="AJ74" s="5454"/>
      <c r="AK74" s="4866"/>
      <c r="AL74" s="5473"/>
      <c r="AM74" s="5474"/>
      <c r="AN74" s="5442"/>
      <c r="AO74" s="5450"/>
      <c r="AP74" s="5454"/>
      <c r="AQ74" s="4866"/>
      <c r="AR74" s="5473"/>
      <c r="AS74" s="5474"/>
      <c r="AT74" s="5454"/>
      <c r="AU74" s="4866"/>
      <c r="AV74" s="5473"/>
      <c r="AW74" s="5474"/>
      <c r="AX74" s="5454"/>
      <c r="AY74" s="4866"/>
      <c r="AZ74" s="5473"/>
      <c r="BA74" s="5474"/>
      <c r="BB74" s="5442"/>
      <c r="BC74" s="5450"/>
      <c r="BD74" s="5457"/>
      <c r="BE74" s="5458"/>
      <c r="BF74" s="5454"/>
      <c r="BG74" s="4866"/>
      <c r="BH74" s="26"/>
      <c r="BI74" s="26"/>
      <c r="BJ74" s="26"/>
      <c r="BK74" s="26"/>
      <c r="BL74" s="26"/>
      <c r="BM74" s="26"/>
      <c r="BN74" s="1219"/>
    </row>
    <row r="75" spans="2:66" ht="15" customHeight="1" thickBot="1" x14ac:dyDescent="0.35">
      <c r="B75" s="5469" t="s">
        <v>2279</v>
      </c>
      <c r="C75" s="5470" t="s">
        <v>947</v>
      </c>
      <c r="D75" s="5471">
        <v>60</v>
      </c>
      <c r="E75" s="5472" t="s">
        <v>50</v>
      </c>
      <c r="F75" s="5473"/>
      <c r="G75" s="5474"/>
      <c r="H75" s="5473"/>
      <c r="I75" s="5474"/>
      <c r="J75" s="5475"/>
      <c r="K75" s="4957">
        <f t="shared" si="3"/>
        <v>0</v>
      </c>
      <c r="L75" s="5473"/>
      <c r="M75" s="5474">
        <v>492.83800000000002</v>
      </c>
      <c r="N75" s="5453"/>
      <c r="O75" s="69">
        <f t="shared" si="4"/>
        <v>492.83800000000002</v>
      </c>
      <c r="P75" s="5473"/>
      <c r="Q75" s="5474">
        <v>839.24199999999985</v>
      </c>
      <c r="R75" s="5454"/>
      <c r="S75" s="39">
        <f t="shared" si="5"/>
        <v>1332.08</v>
      </c>
      <c r="T75" s="5473"/>
      <c r="U75" s="5474">
        <v>289.98299999999995</v>
      </c>
      <c r="V75" s="5454"/>
      <c r="W75" s="39">
        <f t="shared" si="6"/>
        <v>1622.0629999999999</v>
      </c>
      <c r="X75" s="5473"/>
      <c r="Y75" s="5474">
        <v>172.85</v>
      </c>
      <c r="Z75" s="5442"/>
      <c r="AA75" s="781">
        <f t="shared" si="23"/>
        <v>1302.0749999999998</v>
      </c>
      <c r="AB75" s="4199"/>
      <c r="AC75" s="465">
        <f t="shared" si="24"/>
        <v>1794.9129999999998</v>
      </c>
      <c r="AD75" s="5473"/>
      <c r="AE75" s="5474"/>
      <c r="AF75" s="5454"/>
      <c r="AG75" s="4866"/>
      <c r="AH75" s="5473"/>
      <c r="AI75" s="5474"/>
      <c r="AJ75" s="5454"/>
      <c r="AK75" s="4866"/>
      <c r="AL75" s="5473"/>
      <c r="AM75" s="5474"/>
      <c r="AN75" s="5442"/>
      <c r="AO75" s="5450"/>
      <c r="AP75" s="5454"/>
      <c r="AQ75" s="4866"/>
      <c r="AR75" s="5473"/>
      <c r="AS75" s="5474"/>
      <c r="AT75" s="5454"/>
      <c r="AU75" s="4866"/>
      <c r="AV75" s="5473"/>
      <c r="AW75" s="5474"/>
      <c r="AX75" s="5454"/>
      <c r="AY75" s="4866"/>
      <c r="AZ75" s="5473"/>
      <c r="BA75" s="5474"/>
      <c r="BB75" s="5442"/>
      <c r="BC75" s="5450"/>
      <c r="BD75" s="5457"/>
      <c r="BE75" s="5458"/>
      <c r="BF75" s="5454"/>
      <c r="BG75" s="4866"/>
      <c r="BH75" s="26"/>
      <c r="BI75" s="26"/>
      <c r="BJ75" s="26"/>
      <c r="BK75" s="26"/>
      <c r="BL75" s="26"/>
      <c r="BM75" s="26"/>
      <c r="BN75" s="1219"/>
    </row>
    <row r="76" spans="2:66" ht="15" customHeight="1" thickBot="1" x14ac:dyDescent="0.35">
      <c r="B76" s="5469" t="s">
        <v>2298</v>
      </c>
      <c r="C76" s="5470" t="s">
        <v>1013</v>
      </c>
      <c r="D76" s="5471">
        <v>67.16</v>
      </c>
      <c r="E76" s="5472" t="s">
        <v>50</v>
      </c>
      <c r="F76" s="5473"/>
      <c r="G76" s="5474"/>
      <c r="H76" s="5473"/>
      <c r="I76" s="5474"/>
      <c r="J76" s="5475"/>
      <c r="K76" s="5444"/>
      <c r="L76" s="5473"/>
      <c r="M76" s="5474"/>
      <c r="N76" s="5453"/>
      <c r="O76" s="69">
        <f t="shared" si="4"/>
        <v>0</v>
      </c>
      <c r="P76" s="5473"/>
      <c r="Q76" s="5474">
        <v>15.712999999999999</v>
      </c>
      <c r="R76" s="5454"/>
      <c r="S76" s="39">
        <f t="shared" si="5"/>
        <v>15.712999999999999</v>
      </c>
      <c r="T76" s="5473"/>
      <c r="U76" s="5474"/>
      <c r="V76" s="5454"/>
      <c r="W76" s="39">
        <f t="shared" si="6"/>
        <v>15.712999999999999</v>
      </c>
      <c r="X76" s="5473"/>
      <c r="Y76" s="5474"/>
      <c r="Z76" s="5442"/>
      <c r="AA76" s="781">
        <f t="shared" si="23"/>
        <v>15.712999999999999</v>
      </c>
      <c r="AB76" s="4199"/>
      <c r="AC76" s="465">
        <f t="shared" si="24"/>
        <v>15.712999999999999</v>
      </c>
      <c r="AD76" s="5473"/>
      <c r="AE76" s="5474"/>
      <c r="AF76" s="5454"/>
      <c r="AG76" s="4866"/>
      <c r="AH76" s="5473"/>
      <c r="AI76" s="5474"/>
      <c r="AJ76" s="5454"/>
      <c r="AK76" s="4866"/>
      <c r="AL76" s="5473"/>
      <c r="AM76" s="5474"/>
      <c r="AN76" s="5442"/>
      <c r="AO76" s="5450"/>
      <c r="AP76" s="5454"/>
      <c r="AQ76" s="4866"/>
      <c r="AR76" s="5473"/>
      <c r="AS76" s="5474"/>
      <c r="AT76" s="5454"/>
      <c r="AU76" s="4866"/>
      <c r="AV76" s="5473"/>
      <c r="AW76" s="5474"/>
      <c r="AX76" s="5454"/>
      <c r="AY76" s="4866"/>
      <c r="AZ76" s="5473"/>
      <c r="BA76" s="5474"/>
      <c r="BB76" s="5442"/>
      <c r="BC76" s="5450"/>
      <c r="BD76" s="5457"/>
      <c r="BE76" s="5458"/>
      <c r="BF76" s="5454"/>
      <c r="BG76" s="4866"/>
      <c r="BH76" s="26"/>
      <c r="BI76" s="26"/>
      <c r="BJ76" s="26"/>
      <c r="BK76" s="26"/>
      <c r="BL76" s="26"/>
      <c r="BM76" s="26"/>
      <c r="BN76" s="1219"/>
    </row>
    <row r="77" spans="2:66" ht="15" customHeight="1" thickBot="1" x14ac:dyDescent="0.35">
      <c r="B77" s="5469" t="s">
        <v>2350</v>
      </c>
      <c r="C77" s="5470" t="s">
        <v>947</v>
      </c>
      <c r="D77" s="5471"/>
      <c r="E77" s="5472"/>
      <c r="F77" s="5473"/>
      <c r="G77" s="5474"/>
      <c r="H77" s="5473"/>
      <c r="I77" s="5474"/>
      <c r="J77" s="5475"/>
      <c r="K77" s="5554"/>
      <c r="L77" s="5473"/>
      <c r="M77" s="5474"/>
      <c r="N77" s="5453"/>
      <c r="O77" s="5468"/>
      <c r="P77" s="5473"/>
      <c r="Q77" s="5474"/>
      <c r="R77" s="5454"/>
      <c r="S77" s="4866"/>
      <c r="T77" s="5473"/>
      <c r="U77" s="5474"/>
      <c r="V77" s="5454"/>
      <c r="W77" s="4866"/>
      <c r="X77" s="5473"/>
      <c r="Y77" s="5474">
        <v>395.76299999999992</v>
      </c>
      <c r="Z77" s="5588"/>
      <c r="AA77" s="781">
        <f t="shared" si="23"/>
        <v>395.76299999999992</v>
      </c>
      <c r="AB77" s="4199"/>
      <c r="AC77" s="465">
        <f t="shared" si="24"/>
        <v>395.76299999999992</v>
      </c>
      <c r="AD77" s="5473"/>
      <c r="AE77" s="5474"/>
      <c r="AF77" s="5454"/>
      <c r="AG77" s="4866"/>
      <c r="AH77" s="5473"/>
      <c r="AI77" s="5474"/>
      <c r="AJ77" s="5454"/>
      <c r="AK77" s="4866"/>
      <c r="AL77" s="5473"/>
      <c r="AM77" s="5474"/>
      <c r="AN77" s="5588"/>
      <c r="AO77" s="5555"/>
      <c r="AP77" s="5454"/>
      <c r="AQ77" s="4866"/>
      <c r="AR77" s="5473"/>
      <c r="AS77" s="5474"/>
      <c r="AT77" s="5454"/>
      <c r="AU77" s="4866"/>
      <c r="AV77" s="5473"/>
      <c r="AW77" s="5474"/>
      <c r="AX77" s="5454"/>
      <c r="AY77" s="4866"/>
      <c r="AZ77" s="5473"/>
      <c r="BA77" s="5474"/>
      <c r="BB77" s="5588"/>
      <c r="BC77" s="5555"/>
      <c r="BD77" s="5589"/>
      <c r="BE77" s="5590"/>
      <c r="BF77" s="5454"/>
      <c r="BG77" s="4866"/>
      <c r="BH77" s="26"/>
      <c r="BI77" s="26"/>
      <c r="BJ77" s="26"/>
      <c r="BK77" s="26"/>
      <c r="BL77" s="26"/>
      <c r="BM77" s="26"/>
      <c r="BN77" s="1219"/>
    </row>
    <row r="78" spans="2:66" ht="15" customHeight="1" thickBot="1" x14ac:dyDescent="0.35">
      <c r="B78" s="5469" t="s">
        <v>2351</v>
      </c>
      <c r="C78" s="5470" t="s">
        <v>1013</v>
      </c>
      <c r="D78" s="5471"/>
      <c r="E78" s="5472"/>
      <c r="F78" s="5473"/>
      <c r="G78" s="5474"/>
      <c r="H78" s="5473"/>
      <c r="I78" s="5474"/>
      <c r="J78" s="5475"/>
      <c r="K78" s="5554"/>
      <c r="L78" s="5473"/>
      <c r="M78" s="5474"/>
      <c r="N78" s="5453"/>
      <c r="O78" s="5468"/>
      <c r="P78" s="5473"/>
      <c r="Q78" s="5474"/>
      <c r="R78" s="5454"/>
      <c r="S78" s="4866"/>
      <c r="T78" s="5473"/>
      <c r="U78" s="5474"/>
      <c r="V78" s="5454"/>
      <c r="W78" s="4866"/>
      <c r="X78" s="5473"/>
      <c r="Y78" s="5474">
        <v>196.38299999999998</v>
      </c>
      <c r="Z78" s="5588"/>
      <c r="AA78" s="781">
        <f t="shared" si="23"/>
        <v>196.38299999999998</v>
      </c>
      <c r="AB78" s="4199"/>
      <c r="AC78" s="465">
        <f t="shared" si="24"/>
        <v>196.38299999999998</v>
      </c>
      <c r="AD78" s="5473"/>
      <c r="AE78" s="5474"/>
      <c r="AF78" s="5454"/>
      <c r="AG78" s="4866"/>
      <c r="AH78" s="5473"/>
      <c r="AI78" s="5474"/>
      <c r="AJ78" s="5454"/>
      <c r="AK78" s="4866"/>
      <c r="AL78" s="5473"/>
      <c r="AM78" s="5474"/>
      <c r="AN78" s="5588"/>
      <c r="AO78" s="5555"/>
      <c r="AP78" s="5454"/>
      <c r="AQ78" s="4866"/>
      <c r="AR78" s="5473"/>
      <c r="AS78" s="5474"/>
      <c r="AT78" s="5454"/>
      <c r="AU78" s="4866"/>
      <c r="AV78" s="5473"/>
      <c r="AW78" s="5474"/>
      <c r="AX78" s="5454"/>
      <c r="AY78" s="4866"/>
      <c r="AZ78" s="5473"/>
      <c r="BA78" s="5474"/>
      <c r="BB78" s="5588"/>
      <c r="BC78" s="5555"/>
      <c r="BD78" s="5589"/>
      <c r="BE78" s="5590"/>
      <c r="BF78" s="5454"/>
      <c r="BG78" s="4866"/>
      <c r="BH78" s="26"/>
      <c r="BI78" s="26"/>
      <c r="BJ78" s="26"/>
      <c r="BK78" s="26"/>
      <c r="BL78" s="26"/>
      <c r="BM78" s="26"/>
      <c r="BN78" s="1219"/>
    </row>
    <row r="79" spans="2:66" ht="15" customHeight="1" thickBot="1" x14ac:dyDescent="0.35">
      <c r="B79" s="5469" t="s">
        <v>2351</v>
      </c>
      <c r="C79" s="5470" t="s">
        <v>947</v>
      </c>
      <c r="D79" s="5471"/>
      <c r="E79" s="5472"/>
      <c r="F79" s="5473"/>
      <c r="G79" s="5474"/>
      <c r="H79" s="5473"/>
      <c r="I79" s="5474"/>
      <c r="J79" s="5475"/>
      <c r="K79" s="5554"/>
      <c r="L79" s="5473"/>
      <c r="M79" s="5474"/>
      <c r="N79" s="5453"/>
      <c r="O79" s="5468"/>
      <c r="P79" s="5473"/>
      <c r="Q79" s="5474"/>
      <c r="R79" s="5454"/>
      <c r="S79" s="4866"/>
      <c r="T79" s="5473"/>
      <c r="U79" s="5474"/>
      <c r="V79" s="5454"/>
      <c r="W79" s="4866"/>
      <c r="X79" s="5473"/>
      <c r="Y79" s="5474">
        <v>620.57100000000003</v>
      </c>
      <c r="Z79" s="5588"/>
      <c r="AA79" s="781">
        <f t="shared" si="23"/>
        <v>620.57100000000003</v>
      </c>
      <c r="AB79" s="4199"/>
      <c r="AC79" s="465">
        <f t="shared" si="24"/>
        <v>620.57100000000003</v>
      </c>
      <c r="AD79" s="5473"/>
      <c r="AE79" s="5474"/>
      <c r="AF79" s="5454"/>
      <c r="AG79" s="4866"/>
      <c r="AH79" s="5473"/>
      <c r="AI79" s="5474"/>
      <c r="AJ79" s="5454"/>
      <c r="AK79" s="4866"/>
      <c r="AL79" s="5473"/>
      <c r="AM79" s="5474"/>
      <c r="AN79" s="5588"/>
      <c r="AO79" s="5555"/>
      <c r="AP79" s="5454"/>
      <c r="AQ79" s="4866"/>
      <c r="AR79" s="5473"/>
      <c r="AS79" s="5474"/>
      <c r="AT79" s="5454"/>
      <c r="AU79" s="4866"/>
      <c r="AV79" s="5473"/>
      <c r="AW79" s="5474"/>
      <c r="AX79" s="5454"/>
      <c r="AY79" s="4866"/>
      <c r="AZ79" s="5473"/>
      <c r="BA79" s="5474"/>
      <c r="BB79" s="5588"/>
      <c r="BC79" s="5555"/>
      <c r="BD79" s="5589"/>
      <c r="BE79" s="5590"/>
      <c r="BF79" s="5454"/>
      <c r="BG79" s="4866"/>
      <c r="BH79" s="26"/>
      <c r="BI79" s="26"/>
      <c r="BJ79" s="26"/>
      <c r="BK79" s="26"/>
      <c r="BL79" s="26"/>
      <c r="BM79" s="26"/>
      <c r="BN79" s="1219"/>
    </row>
    <row r="80" spans="2:66" ht="15" customHeight="1" thickBot="1" x14ac:dyDescent="0.35">
      <c r="B80" s="3102" t="s">
        <v>1301</v>
      </c>
      <c r="C80" s="3103" t="s">
        <v>1013</v>
      </c>
      <c r="D80" s="3104">
        <v>27.3</v>
      </c>
      <c r="E80" s="3105" t="s">
        <v>50</v>
      </c>
      <c r="F80" s="3106"/>
      <c r="G80" s="1992"/>
      <c r="H80" s="3106"/>
      <c r="I80" s="1992"/>
      <c r="J80" s="3107"/>
      <c r="K80" s="4957">
        <f t="shared" si="3"/>
        <v>0</v>
      </c>
      <c r="L80" s="3106"/>
      <c r="M80" s="1992"/>
      <c r="N80" s="2034"/>
      <c r="O80" s="69">
        <f t="shared" si="4"/>
        <v>0</v>
      </c>
      <c r="P80" s="3106"/>
      <c r="Q80" s="1992"/>
      <c r="R80" s="2042"/>
      <c r="S80" s="39">
        <f t="shared" si="5"/>
        <v>0</v>
      </c>
      <c r="T80" s="3106"/>
      <c r="U80" s="1992">
        <v>468.21000000000004</v>
      </c>
      <c r="V80" s="2042"/>
      <c r="W80" s="39">
        <f t="shared" si="6"/>
        <v>468.21000000000004</v>
      </c>
      <c r="X80" s="3106"/>
      <c r="Y80" s="1992"/>
      <c r="Z80" s="902"/>
      <c r="AA80" s="781">
        <f t="shared" si="23"/>
        <v>468.21000000000004</v>
      </c>
      <c r="AB80" s="4199"/>
      <c r="AC80" s="465">
        <f t="shared" si="24"/>
        <v>468.21000000000004</v>
      </c>
      <c r="AD80" s="3106"/>
      <c r="AE80" s="1992"/>
      <c r="AF80" s="2042"/>
      <c r="AG80" s="39">
        <f t="shared" si="18"/>
        <v>468.21000000000004</v>
      </c>
      <c r="AH80" s="3106"/>
      <c r="AI80" s="1992"/>
      <c r="AJ80" s="2042"/>
      <c r="AK80" s="39">
        <f t="shared" si="22"/>
        <v>468.21000000000004</v>
      </c>
      <c r="AL80" s="3106"/>
      <c r="AM80" s="1992"/>
      <c r="AN80" s="902"/>
      <c r="AO80" s="781">
        <f t="shared" si="11"/>
        <v>0</v>
      </c>
      <c r="AP80" s="2042"/>
      <c r="AQ80" s="39">
        <f t="shared" si="12"/>
        <v>468.21000000000004</v>
      </c>
      <c r="AR80" s="3106"/>
      <c r="AS80" s="1992"/>
      <c r="AT80" s="2042"/>
      <c r="AU80" s="39">
        <f t="shared" si="13"/>
        <v>468.21000000000004</v>
      </c>
      <c r="AV80" s="3106"/>
      <c r="AW80" s="1992"/>
      <c r="AX80" s="2042"/>
      <c r="AY80" s="39">
        <f t="shared" si="14"/>
        <v>468.21000000000004</v>
      </c>
      <c r="AZ80" s="3106"/>
      <c r="BA80" s="1992"/>
      <c r="BB80" s="902"/>
      <c r="BC80" s="781">
        <f t="shared" si="15"/>
        <v>0</v>
      </c>
      <c r="BD80" s="903"/>
      <c r="BE80" s="700">
        <f t="shared" si="16"/>
        <v>0</v>
      </c>
      <c r="BF80" s="2042"/>
      <c r="BG80" s="39">
        <f t="shared" si="17"/>
        <v>468.21000000000004</v>
      </c>
      <c r="BH80" s="26"/>
      <c r="BI80" s="26"/>
      <c r="BJ80" s="26"/>
      <c r="BK80" s="26"/>
      <c r="BL80" s="26"/>
      <c r="BM80" s="26"/>
      <c r="BN80" s="1219"/>
    </row>
    <row r="81" spans="1:66" ht="15" customHeight="1" thickBot="1" x14ac:dyDescent="0.35">
      <c r="B81" s="5093" t="s">
        <v>1964</v>
      </c>
      <c r="C81" s="3091" t="s">
        <v>1013</v>
      </c>
      <c r="D81" s="3101"/>
      <c r="E81" s="4344" t="s">
        <v>50</v>
      </c>
      <c r="F81" s="4345"/>
      <c r="G81" s="4346"/>
      <c r="H81" s="4345"/>
      <c r="I81" s="4346"/>
      <c r="J81" s="4347"/>
      <c r="K81" s="5094">
        <f t="shared" si="3"/>
        <v>0</v>
      </c>
      <c r="L81" s="4345"/>
      <c r="M81" s="4346">
        <v>1992.848</v>
      </c>
      <c r="N81" s="5095"/>
      <c r="O81" s="5096">
        <f t="shared" si="4"/>
        <v>1992.848</v>
      </c>
      <c r="P81" s="4345"/>
      <c r="Q81" s="4346"/>
      <c r="R81" s="5097"/>
      <c r="S81" s="39">
        <f t="shared" ref="S81" si="25">+O81+Q81</f>
        <v>1992.848</v>
      </c>
      <c r="T81" s="4345"/>
      <c r="U81" s="4346"/>
      <c r="V81" s="5097"/>
      <c r="W81" s="5098">
        <f t="shared" si="6"/>
        <v>1992.848</v>
      </c>
      <c r="X81" s="4345"/>
      <c r="Y81" s="4346"/>
      <c r="Z81" s="5099"/>
      <c r="AA81" s="781">
        <f t="shared" si="23"/>
        <v>0</v>
      </c>
      <c r="AB81" s="4199"/>
      <c r="AC81" s="465">
        <f t="shared" si="24"/>
        <v>1992.848</v>
      </c>
      <c r="AD81" s="4345"/>
      <c r="AE81" s="4346">
        <v>1529.8440000000001</v>
      </c>
      <c r="AF81" s="5097"/>
      <c r="AG81" s="5098">
        <f t="shared" si="18"/>
        <v>3522.692</v>
      </c>
      <c r="AH81" s="4345"/>
      <c r="AI81" s="4346"/>
      <c r="AJ81" s="5097"/>
      <c r="AK81" s="5098">
        <f t="shared" si="22"/>
        <v>3522.692</v>
      </c>
      <c r="AL81" s="4345"/>
      <c r="AM81" s="4346"/>
      <c r="AN81" s="5099"/>
      <c r="AO81" s="5100">
        <f t="shared" si="11"/>
        <v>1529.8440000000001</v>
      </c>
      <c r="AP81" s="5097"/>
      <c r="AQ81" s="5098">
        <f t="shared" si="12"/>
        <v>3522.692</v>
      </c>
      <c r="AR81" s="4345"/>
      <c r="AS81" s="4346"/>
      <c r="AT81" s="5097"/>
      <c r="AU81" s="5098">
        <f t="shared" si="13"/>
        <v>3522.692</v>
      </c>
      <c r="AV81" s="4345"/>
      <c r="AW81" s="4346"/>
      <c r="AX81" s="5097"/>
      <c r="AY81" s="5098">
        <f t="shared" si="14"/>
        <v>3522.692</v>
      </c>
      <c r="AZ81" s="4345"/>
      <c r="BA81" s="4346"/>
      <c r="BB81" s="5099"/>
      <c r="BC81" s="5100">
        <f t="shared" si="15"/>
        <v>0</v>
      </c>
      <c r="BD81" s="5101"/>
      <c r="BE81" s="5102">
        <f t="shared" si="16"/>
        <v>1529.8440000000001</v>
      </c>
      <c r="BF81" s="5097"/>
      <c r="BG81" s="5098">
        <f t="shared" si="17"/>
        <v>3522.692</v>
      </c>
      <c r="BH81" s="26"/>
      <c r="BI81" s="26"/>
      <c r="BJ81" s="26"/>
      <c r="BK81" s="26"/>
      <c r="BL81" s="26"/>
      <c r="BM81" s="26"/>
      <c r="BN81" s="1219"/>
    </row>
    <row r="82" spans="1:66" ht="15" customHeight="1" x14ac:dyDescent="0.3">
      <c r="B82" s="4103" t="s">
        <v>1073</v>
      </c>
      <c r="C82" s="3038" t="s">
        <v>1013</v>
      </c>
      <c r="D82" s="4104">
        <v>34.200000000000003</v>
      </c>
      <c r="E82" s="819" t="s">
        <v>50</v>
      </c>
      <c r="F82" s="3595"/>
      <c r="G82" s="158">
        <v>5094.6359999999995</v>
      </c>
      <c r="H82" s="3595"/>
      <c r="I82" s="158">
        <v>3931.677999999999</v>
      </c>
      <c r="J82" s="2927"/>
      <c r="K82" s="373">
        <f t="shared" si="3"/>
        <v>9026.3139999999985</v>
      </c>
      <c r="L82" s="3595"/>
      <c r="M82" s="158">
        <v>2598.3209999999985</v>
      </c>
      <c r="N82" s="3596"/>
      <c r="O82" s="618">
        <f t="shared" si="4"/>
        <v>11624.634999999997</v>
      </c>
      <c r="P82" s="3595"/>
      <c r="Q82" s="158">
        <v>7076.3909999999969</v>
      </c>
      <c r="R82" s="2927"/>
      <c r="S82" s="39">
        <f t="shared" ref="S82:S105" si="26">+O82+Q82</f>
        <v>18701.025999999994</v>
      </c>
      <c r="T82" s="3595"/>
      <c r="U82" s="158">
        <v>4634.2519999999986</v>
      </c>
      <c r="V82" s="2927"/>
      <c r="W82" s="373">
        <f t="shared" si="6"/>
        <v>23335.277999999991</v>
      </c>
      <c r="X82" s="3595"/>
      <c r="Y82" s="158">
        <v>5204.7959999999994</v>
      </c>
      <c r="Z82" s="3596"/>
      <c r="AA82" s="781">
        <f t="shared" si="23"/>
        <v>16915.438999999995</v>
      </c>
      <c r="AB82" s="4199"/>
      <c r="AC82" s="465">
        <f t="shared" si="24"/>
        <v>28540.073999999993</v>
      </c>
      <c r="AD82" s="3595"/>
      <c r="AE82" s="158">
        <v>2622.0320000000002</v>
      </c>
      <c r="AF82" s="2927"/>
      <c r="AG82" s="373">
        <f t="shared" si="18"/>
        <v>31162.105999999992</v>
      </c>
      <c r="AH82" s="3595"/>
      <c r="AI82" s="158">
        <v>6555.0509999999995</v>
      </c>
      <c r="AJ82" s="2927"/>
      <c r="AK82" s="373">
        <f t="shared" si="22"/>
        <v>37717.156999999992</v>
      </c>
      <c r="AL82" s="3595"/>
      <c r="AM82" s="158"/>
      <c r="AN82" s="3596"/>
      <c r="AO82" s="618">
        <f t="shared" si="11"/>
        <v>9177.0829999999987</v>
      </c>
      <c r="AP82" s="2927"/>
      <c r="AQ82" s="373">
        <f t="shared" si="12"/>
        <v>37717.156999999992</v>
      </c>
      <c r="AR82" s="3595"/>
      <c r="AS82" s="158">
        <v>4221.7860000000001</v>
      </c>
      <c r="AT82" s="2927"/>
      <c r="AU82" s="373">
        <f t="shared" si="13"/>
        <v>41938.942999999992</v>
      </c>
      <c r="AV82" s="3595"/>
      <c r="AW82" s="158">
        <v>3393.0929999999998</v>
      </c>
      <c r="AX82" s="2927"/>
      <c r="AY82" s="373">
        <f t="shared" si="14"/>
        <v>45332.035999999993</v>
      </c>
      <c r="AZ82" s="3595"/>
      <c r="BA82" s="158"/>
      <c r="BB82" s="3596"/>
      <c r="BC82" s="618">
        <f t="shared" si="15"/>
        <v>7614.8789999999999</v>
      </c>
      <c r="BD82" s="5117"/>
      <c r="BE82" s="5118">
        <f t="shared" si="16"/>
        <v>16791.962</v>
      </c>
      <c r="BF82" s="2927"/>
      <c r="BG82" s="43">
        <f t="shared" si="17"/>
        <v>45332.035999999993</v>
      </c>
      <c r="BH82" s="26"/>
      <c r="BI82" s="26"/>
      <c r="BJ82" s="26"/>
      <c r="BK82" s="26"/>
      <c r="BL82" s="26"/>
      <c r="BM82" s="26"/>
      <c r="BN82" s="1219"/>
    </row>
    <row r="83" spans="1:66" ht="15" customHeight="1" x14ac:dyDescent="0.3">
      <c r="B83" s="5119" t="s">
        <v>1073</v>
      </c>
      <c r="C83" s="5107" t="s">
        <v>1617</v>
      </c>
      <c r="D83" s="5108">
        <v>34.200000000000003</v>
      </c>
      <c r="E83" s="4862" t="s">
        <v>50</v>
      </c>
      <c r="F83" s="5109"/>
      <c r="G83" s="4963"/>
      <c r="H83" s="5109"/>
      <c r="I83" s="4963">
        <v>332.20299999999997</v>
      </c>
      <c r="J83" s="5110"/>
      <c r="K83" s="4957">
        <f t="shared" si="3"/>
        <v>332.20299999999997</v>
      </c>
      <c r="L83" s="5109"/>
      <c r="M83" s="4963">
        <v>700.48399999999992</v>
      </c>
      <c r="N83" s="5111"/>
      <c r="O83" s="4964">
        <f t="shared" si="4"/>
        <v>1032.6869999999999</v>
      </c>
      <c r="P83" s="5109"/>
      <c r="Q83" s="4963">
        <v>934.69800000000009</v>
      </c>
      <c r="R83" s="5110"/>
      <c r="S83" s="39">
        <f t="shared" si="26"/>
        <v>1967.385</v>
      </c>
      <c r="T83" s="5109"/>
      <c r="U83" s="4963"/>
      <c r="V83" s="5110"/>
      <c r="W83" s="4957">
        <f t="shared" si="6"/>
        <v>1967.385</v>
      </c>
      <c r="X83" s="5109"/>
      <c r="Y83" s="4963">
        <v>471.18099999999998</v>
      </c>
      <c r="Z83" s="5111"/>
      <c r="AA83" s="781">
        <f t="shared" si="23"/>
        <v>1405.8790000000001</v>
      </c>
      <c r="AB83" s="4199"/>
      <c r="AC83" s="465">
        <f t="shared" si="24"/>
        <v>2438.5659999999998</v>
      </c>
      <c r="AD83" s="5109"/>
      <c r="AE83" s="4963"/>
      <c r="AF83" s="5110"/>
      <c r="AG83" s="4957">
        <f t="shared" si="18"/>
        <v>2438.5659999999998</v>
      </c>
      <c r="AH83" s="5109"/>
      <c r="AI83" s="4963"/>
      <c r="AJ83" s="5110"/>
      <c r="AK83" s="4957">
        <f t="shared" si="22"/>
        <v>2438.5659999999998</v>
      </c>
      <c r="AL83" s="5109"/>
      <c r="AM83" s="4963"/>
      <c r="AN83" s="5111"/>
      <c r="AO83" s="4964">
        <f t="shared" si="11"/>
        <v>0</v>
      </c>
      <c r="AP83" s="5110"/>
      <c r="AQ83" s="4957">
        <f t="shared" si="12"/>
        <v>2438.5659999999998</v>
      </c>
      <c r="AR83" s="5109"/>
      <c r="AS83" s="4963">
        <v>558.58299999999997</v>
      </c>
      <c r="AT83" s="5110"/>
      <c r="AU83" s="4957">
        <f t="shared" si="13"/>
        <v>2997.1489999999999</v>
      </c>
      <c r="AV83" s="5109"/>
      <c r="AW83" s="4963"/>
      <c r="AX83" s="5110"/>
      <c r="AY83" s="4957">
        <f t="shared" si="14"/>
        <v>2997.1489999999999</v>
      </c>
      <c r="AZ83" s="5109"/>
      <c r="BA83" s="4963"/>
      <c r="BB83" s="5111"/>
      <c r="BC83" s="4964">
        <f t="shared" si="15"/>
        <v>558.58299999999997</v>
      </c>
      <c r="BD83" s="5114"/>
      <c r="BE83" s="5115">
        <f t="shared" si="16"/>
        <v>558.58299999999997</v>
      </c>
      <c r="BF83" s="5110"/>
      <c r="BG83" s="4866">
        <f t="shared" si="17"/>
        <v>2997.1489999999999</v>
      </c>
      <c r="BH83" s="26"/>
      <c r="BI83" s="26"/>
      <c r="BJ83" s="26"/>
      <c r="BK83" s="26"/>
      <c r="BL83" s="26"/>
      <c r="BM83" s="26"/>
      <c r="BN83" s="1219"/>
    </row>
    <row r="84" spans="1:66" ht="15" customHeight="1" thickBot="1" x14ac:dyDescent="0.35">
      <c r="B84" s="5120" t="s">
        <v>1073</v>
      </c>
      <c r="C84" s="5121" t="s">
        <v>947</v>
      </c>
      <c r="D84" s="5122">
        <v>34.200000000000003</v>
      </c>
      <c r="E84" s="4877" t="s">
        <v>50</v>
      </c>
      <c r="F84" s="5123"/>
      <c r="G84" s="4971"/>
      <c r="H84" s="5123"/>
      <c r="I84" s="4971">
        <v>244.49299999999999</v>
      </c>
      <c r="J84" s="5124"/>
      <c r="K84" s="4972">
        <f t="shared" si="3"/>
        <v>244.49299999999999</v>
      </c>
      <c r="L84" s="5123"/>
      <c r="M84" s="4971"/>
      <c r="N84" s="5125"/>
      <c r="O84" s="4974">
        <f t="shared" si="4"/>
        <v>244.49299999999999</v>
      </c>
      <c r="P84" s="5123"/>
      <c r="Q84" s="4971">
        <v>115.48</v>
      </c>
      <c r="R84" s="5124"/>
      <c r="S84" s="39">
        <f t="shared" si="26"/>
        <v>359.97300000000001</v>
      </c>
      <c r="T84" s="5123"/>
      <c r="U84" s="4971"/>
      <c r="V84" s="5124"/>
      <c r="W84" s="4972">
        <f t="shared" si="6"/>
        <v>359.97300000000001</v>
      </c>
      <c r="X84" s="5123"/>
      <c r="Y84" s="4971"/>
      <c r="Z84" s="5125"/>
      <c r="AA84" s="781">
        <f t="shared" si="23"/>
        <v>115.48</v>
      </c>
      <c r="AB84" s="4199"/>
      <c r="AC84" s="465">
        <f t="shared" si="24"/>
        <v>359.97300000000001</v>
      </c>
      <c r="AD84" s="5123"/>
      <c r="AE84" s="4971"/>
      <c r="AF84" s="5124"/>
      <c r="AG84" s="4972">
        <f t="shared" si="18"/>
        <v>359.97300000000001</v>
      </c>
      <c r="AH84" s="5123"/>
      <c r="AI84" s="4971"/>
      <c r="AJ84" s="5124"/>
      <c r="AK84" s="4972">
        <f t="shared" si="22"/>
        <v>359.97300000000001</v>
      </c>
      <c r="AL84" s="5123"/>
      <c r="AM84" s="4971"/>
      <c r="AN84" s="5125"/>
      <c r="AO84" s="4974">
        <f t="shared" si="11"/>
        <v>0</v>
      </c>
      <c r="AP84" s="5124"/>
      <c r="AQ84" s="4972">
        <f t="shared" si="12"/>
        <v>359.97300000000001</v>
      </c>
      <c r="AR84" s="5123"/>
      <c r="AS84" s="4971"/>
      <c r="AT84" s="5124"/>
      <c r="AU84" s="4972">
        <f t="shared" si="13"/>
        <v>359.97300000000001</v>
      </c>
      <c r="AV84" s="5123"/>
      <c r="AW84" s="4971">
        <v>241.15000000000003</v>
      </c>
      <c r="AX84" s="5124"/>
      <c r="AY84" s="4972">
        <f t="shared" si="14"/>
        <v>601.12300000000005</v>
      </c>
      <c r="AZ84" s="5123"/>
      <c r="BA84" s="4971"/>
      <c r="BB84" s="5125"/>
      <c r="BC84" s="4974">
        <f t="shared" si="15"/>
        <v>241.15000000000003</v>
      </c>
      <c r="BD84" s="5128"/>
      <c r="BE84" s="5129">
        <f t="shared" si="16"/>
        <v>241.15000000000003</v>
      </c>
      <c r="BF84" s="5124"/>
      <c r="BG84" s="4973">
        <f t="shared" si="17"/>
        <v>601.12300000000005</v>
      </c>
      <c r="BH84" s="26"/>
      <c r="BI84" s="26"/>
      <c r="BJ84" s="26"/>
      <c r="BK84" s="26"/>
      <c r="BL84" s="26"/>
      <c r="BM84" s="26"/>
      <c r="BN84" s="1219"/>
    </row>
    <row r="85" spans="1:66" ht="15" customHeight="1" x14ac:dyDescent="0.3">
      <c r="B85" s="5103" t="s">
        <v>940</v>
      </c>
      <c r="C85" s="3036" t="s">
        <v>947</v>
      </c>
      <c r="D85" s="5104">
        <v>36.299999999999997</v>
      </c>
      <c r="E85" s="4067" t="s">
        <v>50</v>
      </c>
      <c r="F85" s="3600"/>
      <c r="G85" s="1202"/>
      <c r="H85" s="3600"/>
      <c r="I85" s="1202"/>
      <c r="J85" s="3601"/>
      <c r="K85" s="572">
        <f t="shared" si="3"/>
        <v>0</v>
      </c>
      <c r="L85" s="3600"/>
      <c r="M85" s="1202"/>
      <c r="N85" s="3602"/>
      <c r="O85" s="84">
        <f t="shared" si="4"/>
        <v>0</v>
      </c>
      <c r="P85" s="3600"/>
      <c r="Q85" s="1202"/>
      <c r="R85" s="3601"/>
      <c r="S85" s="39">
        <f t="shared" si="26"/>
        <v>0</v>
      </c>
      <c r="T85" s="3600"/>
      <c r="U85" s="1202"/>
      <c r="V85" s="3601"/>
      <c r="W85" s="62">
        <f t="shared" si="6"/>
        <v>0</v>
      </c>
      <c r="X85" s="3600"/>
      <c r="Y85" s="1202"/>
      <c r="Z85" s="3602"/>
      <c r="AA85" s="781">
        <f t="shared" si="23"/>
        <v>0</v>
      </c>
      <c r="AB85" s="4199"/>
      <c r="AC85" s="465">
        <f t="shared" si="24"/>
        <v>0</v>
      </c>
      <c r="AD85" s="3600"/>
      <c r="AE85" s="1202">
        <v>198.97399999999999</v>
      </c>
      <c r="AF85" s="4102"/>
      <c r="AG85" s="62">
        <f t="shared" si="18"/>
        <v>198.97399999999999</v>
      </c>
      <c r="AH85" s="3600"/>
      <c r="AI85" s="1202"/>
      <c r="AJ85" s="4102"/>
      <c r="AK85" s="62">
        <f t="shared" si="22"/>
        <v>198.97399999999999</v>
      </c>
      <c r="AL85" s="3600"/>
      <c r="AM85" s="1202"/>
      <c r="AN85" s="3602"/>
      <c r="AO85" s="487">
        <f t="shared" si="11"/>
        <v>198.97399999999999</v>
      </c>
      <c r="AP85" s="4102"/>
      <c r="AQ85" s="62">
        <f t="shared" si="12"/>
        <v>198.97399999999999</v>
      </c>
      <c r="AR85" s="3600"/>
      <c r="AS85" s="1202"/>
      <c r="AT85" s="4102"/>
      <c r="AU85" s="62">
        <f t="shared" si="13"/>
        <v>198.97399999999999</v>
      </c>
      <c r="AV85" s="3600"/>
      <c r="AW85" s="1202"/>
      <c r="AX85" s="4102"/>
      <c r="AY85" s="62">
        <f t="shared" si="14"/>
        <v>198.97399999999999</v>
      </c>
      <c r="AZ85" s="3600"/>
      <c r="BA85" s="1202"/>
      <c r="BB85" s="3602"/>
      <c r="BC85" s="487">
        <f t="shared" si="15"/>
        <v>0</v>
      </c>
      <c r="BD85" s="5105"/>
      <c r="BE85" s="5106">
        <f t="shared" si="16"/>
        <v>198.97399999999999</v>
      </c>
      <c r="BF85" s="4102"/>
      <c r="BG85" s="62">
        <f t="shared" si="17"/>
        <v>198.97399999999999</v>
      </c>
      <c r="BH85" s="26"/>
      <c r="BI85" s="26"/>
      <c r="BJ85" s="26"/>
      <c r="BK85" s="26"/>
      <c r="BL85" s="26"/>
      <c r="BM85" s="26"/>
      <c r="BN85" s="1219"/>
    </row>
    <row r="86" spans="1:66" ht="15" customHeight="1" x14ac:dyDescent="0.3">
      <c r="B86" s="5547" t="s">
        <v>940</v>
      </c>
      <c r="C86" s="4813" t="s">
        <v>1617</v>
      </c>
      <c r="D86" s="5548">
        <v>36.299999999999997</v>
      </c>
      <c r="E86" s="202" t="s">
        <v>50</v>
      </c>
      <c r="F86" s="3607"/>
      <c r="G86" s="3608"/>
      <c r="H86" s="3607"/>
      <c r="I86" s="3608"/>
      <c r="J86" s="3609"/>
      <c r="K86" s="572"/>
      <c r="L86" s="3607"/>
      <c r="M86" s="3608"/>
      <c r="N86" s="3610"/>
      <c r="O86" s="84"/>
      <c r="P86" s="3607"/>
      <c r="Q86" s="3608"/>
      <c r="R86" s="3609"/>
      <c r="S86" s="39">
        <f t="shared" si="26"/>
        <v>0</v>
      </c>
      <c r="T86" s="3607"/>
      <c r="U86" s="3608">
        <v>84.19</v>
      </c>
      <c r="V86" s="3609"/>
      <c r="W86" s="62">
        <f t="shared" si="6"/>
        <v>84.19</v>
      </c>
      <c r="X86" s="3607"/>
      <c r="Y86" s="3608"/>
      <c r="Z86" s="3602"/>
      <c r="AA86" s="781">
        <f t="shared" si="23"/>
        <v>84.19</v>
      </c>
      <c r="AB86" s="4199"/>
      <c r="AC86" s="465">
        <f t="shared" si="24"/>
        <v>84.19</v>
      </c>
      <c r="AD86" s="3607"/>
      <c r="AE86" s="3608"/>
      <c r="AF86" s="4102"/>
      <c r="AG86" s="62"/>
      <c r="AH86" s="3607"/>
      <c r="AI86" s="3608"/>
      <c r="AJ86" s="4102"/>
      <c r="AK86" s="62"/>
      <c r="AL86" s="3607"/>
      <c r="AM86" s="3608"/>
      <c r="AN86" s="3602"/>
      <c r="AO86" s="487"/>
      <c r="AP86" s="4102"/>
      <c r="AQ86" s="62"/>
      <c r="AR86" s="3607"/>
      <c r="AS86" s="3608"/>
      <c r="AT86" s="4102"/>
      <c r="AU86" s="62"/>
      <c r="AV86" s="3607"/>
      <c r="AW86" s="3608"/>
      <c r="AX86" s="4102"/>
      <c r="AY86" s="62"/>
      <c r="AZ86" s="3607"/>
      <c r="BA86" s="3608"/>
      <c r="BB86" s="3602"/>
      <c r="BC86" s="487"/>
      <c r="BD86" s="5105"/>
      <c r="BE86" s="5106"/>
      <c r="BF86" s="4102"/>
      <c r="BG86" s="62"/>
      <c r="BH86" s="26"/>
      <c r="BI86" s="26"/>
      <c r="BJ86" s="26"/>
      <c r="BK86" s="26"/>
      <c r="BL86" s="26"/>
      <c r="BM86" s="26"/>
      <c r="BN86" s="1219"/>
    </row>
    <row r="87" spans="1:66" ht="15" customHeight="1" thickBot="1" x14ac:dyDescent="0.35">
      <c r="B87" s="4105" t="s">
        <v>940</v>
      </c>
      <c r="C87" s="3043" t="s">
        <v>1013</v>
      </c>
      <c r="D87" s="4106">
        <v>36.299999999999997</v>
      </c>
      <c r="E87" s="893" t="s">
        <v>50</v>
      </c>
      <c r="F87" s="3592"/>
      <c r="G87" s="109"/>
      <c r="H87" s="3592"/>
      <c r="I87" s="109"/>
      <c r="J87" s="2930"/>
      <c r="K87" s="4957">
        <f t="shared" si="3"/>
        <v>0</v>
      </c>
      <c r="L87" s="3592"/>
      <c r="M87" s="109"/>
      <c r="N87" s="3593"/>
      <c r="O87" s="69">
        <f t="shared" si="4"/>
        <v>0</v>
      </c>
      <c r="P87" s="3592"/>
      <c r="Q87" s="109"/>
      <c r="R87" s="2930"/>
      <c r="S87" s="39">
        <f t="shared" si="26"/>
        <v>0</v>
      </c>
      <c r="T87" s="3592"/>
      <c r="U87" s="109">
        <v>2684.4930000000008</v>
      </c>
      <c r="V87" s="2930"/>
      <c r="W87" s="62">
        <f t="shared" si="6"/>
        <v>2684.4930000000008</v>
      </c>
      <c r="X87" s="3592"/>
      <c r="Y87" s="109"/>
      <c r="Z87" s="902"/>
      <c r="AA87" s="781">
        <f t="shared" si="23"/>
        <v>2684.4930000000008</v>
      </c>
      <c r="AB87" s="4199"/>
      <c r="AC87" s="465">
        <f t="shared" si="24"/>
        <v>2684.4930000000008</v>
      </c>
      <c r="AD87" s="3592"/>
      <c r="AE87" s="109">
        <v>845.67</v>
      </c>
      <c r="AF87" s="2042"/>
      <c r="AG87" s="39">
        <f t="shared" si="18"/>
        <v>3530.1630000000009</v>
      </c>
      <c r="AH87" s="3592"/>
      <c r="AI87" s="109"/>
      <c r="AJ87" s="2042"/>
      <c r="AK87" s="39">
        <f t="shared" si="22"/>
        <v>3530.1630000000009</v>
      </c>
      <c r="AL87" s="3592"/>
      <c r="AM87" s="109">
        <v>2455.7039999999997</v>
      </c>
      <c r="AN87" s="902"/>
      <c r="AO87" s="781">
        <f t="shared" si="11"/>
        <v>3301.3739999999998</v>
      </c>
      <c r="AP87" s="2042"/>
      <c r="AQ87" s="39">
        <f t="shared" si="12"/>
        <v>5985.8670000000002</v>
      </c>
      <c r="AR87" s="3592"/>
      <c r="AS87" s="109">
        <v>2293.7179999999998</v>
      </c>
      <c r="AT87" s="2042"/>
      <c r="AU87" s="39">
        <f t="shared" si="13"/>
        <v>8279.5849999999991</v>
      </c>
      <c r="AV87" s="3592"/>
      <c r="AW87" s="109"/>
      <c r="AX87" s="2042"/>
      <c r="AY87" s="39">
        <f t="shared" si="14"/>
        <v>8279.5849999999991</v>
      </c>
      <c r="AZ87" s="3592"/>
      <c r="BA87" s="109"/>
      <c r="BB87" s="902"/>
      <c r="BC87" s="781">
        <f t="shared" si="15"/>
        <v>2293.7179999999998</v>
      </c>
      <c r="BD87" s="903"/>
      <c r="BE87" s="700">
        <f t="shared" si="16"/>
        <v>5595.0919999999996</v>
      </c>
      <c r="BF87" s="2042"/>
      <c r="BG87" s="39">
        <f t="shared" si="17"/>
        <v>8279.5849999999991</v>
      </c>
      <c r="BH87" s="26"/>
      <c r="BI87" s="26"/>
      <c r="BJ87" s="26"/>
      <c r="BK87" s="26"/>
      <c r="BL87" s="26"/>
      <c r="BM87" s="26"/>
      <c r="BN87" s="1219"/>
    </row>
    <row r="88" spans="1:66" ht="15" customHeight="1" x14ac:dyDescent="0.3">
      <c r="B88" s="4064" t="s">
        <v>1379</v>
      </c>
      <c r="C88" s="4065" t="s">
        <v>1356</v>
      </c>
      <c r="D88" s="4066">
        <v>50.1</v>
      </c>
      <c r="E88" s="4067" t="s">
        <v>50</v>
      </c>
      <c r="F88" s="4068"/>
      <c r="G88" s="3964"/>
      <c r="H88" s="4068"/>
      <c r="I88" s="3964">
        <v>154.215</v>
      </c>
      <c r="J88" s="4069"/>
      <c r="K88" s="4957">
        <f t="shared" ref="K88:K106" si="27">+G88+I88</f>
        <v>154.215</v>
      </c>
      <c r="L88" s="4068"/>
      <c r="M88" s="3964"/>
      <c r="N88" s="4101"/>
      <c r="O88" s="69">
        <f t="shared" ref="O88:O106" si="28">+G88+I88+M88</f>
        <v>154.215</v>
      </c>
      <c r="P88" s="4068"/>
      <c r="Q88" s="3964"/>
      <c r="R88" s="4102"/>
      <c r="S88" s="39">
        <f t="shared" si="26"/>
        <v>154.215</v>
      </c>
      <c r="T88" s="4068"/>
      <c r="U88" s="3964"/>
      <c r="V88" s="4102"/>
      <c r="W88" s="39">
        <f t="shared" ref="W88:W106" si="29">+S88+U88</f>
        <v>154.215</v>
      </c>
      <c r="X88" s="4068"/>
      <c r="Y88" s="3964">
        <v>57.984000000000009</v>
      </c>
      <c r="Z88" s="2896"/>
      <c r="AA88" s="781">
        <f t="shared" si="23"/>
        <v>57.984000000000009</v>
      </c>
      <c r="AB88" s="4199"/>
      <c r="AC88" s="465">
        <f t="shared" si="24"/>
        <v>212.19900000000001</v>
      </c>
      <c r="AD88" s="4068"/>
      <c r="AE88" s="3964"/>
      <c r="AF88" s="2042"/>
      <c r="AG88" s="39">
        <f t="shared" si="18"/>
        <v>212.19900000000001</v>
      </c>
      <c r="AH88" s="4068"/>
      <c r="AI88" s="3964"/>
      <c r="AJ88" s="2042"/>
      <c r="AK88" s="39">
        <f t="shared" si="22"/>
        <v>212.19900000000001</v>
      </c>
      <c r="AL88" s="4068"/>
      <c r="AM88" s="3964"/>
      <c r="AN88" s="2896"/>
      <c r="AO88" s="781">
        <f t="shared" ref="AO88:AO106" si="30">+AE88+AI88+AM88</f>
        <v>0</v>
      </c>
      <c r="AP88" s="2042"/>
      <c r="AQ88" s="39">
        <f t="shared" si="12"/>
        <v>212.19900000000001</v>
      </c>
      <c r="AR88" s="4068"/>
      <c r="AS88" s="3964"/>
      <c r="AT88" s="2042"/>
      <c r="AU88" s="39">
        <f t="shared" si="13"/>
        <v>212.19900000000001</v>
      </c>
      <c r="AV88" s="4068"/>
      <c r="AW88" s="3964">
        <v>100.143</v>
      </c>
      <c r="AX88" s="2042"/>
      <c r="AY88" s="39">
        <f t="shared" si="14"/>
        <v>312.34199999999998</v>
      </c>
      <c r="AZ88" s="4068"/>
      <c r="BA88" s="3964">
        <v>203.56399999999999</v>
      </c>
      <c r="BB88" s="2896"/>
      <c r="BC88" s="781">
        <f t="shared" ref="BC88:BC106" si="31">+AS88+AW88+BA88</f>
        <v>303.70699999999999</v>
      </c>
      <c r="BD88" s="2897"/>
      <c r="BE88" s="700">
        <f t="shared" ref="BE88:BE106" si="32">+AO88+BC88</f>
        <v>303.70699999999999</v>
      </c>
      <c r="BF88" s="2042"/>
      <c r="BG88" s="39">
        <f t="shared" ref="BG88:BG106" si="33">+AY88+BA88</f>
        <v>515.90599999999995</v>
      </c>
      <c r="BH88" s="26"/>
      <c r="BI88" s="26"/>
      <c r="BJ88" s="26"/>
      <c r="BK88" s="26"/>
      <c r="BL88" s="26"/>
      <c r="BM88" s="26"/>
      <c r="BN88" s="1219"/>
    </row>
    <row r="89" spans="1:66" ht="15" customHeight="1" thickBot="1" x14ac:dyDescent="0.35">
      <c r="B89" s="4064" t="s">
        <v>1379</v>
      </c>
      <c r="C89" s="4065" t="s">
        <v>947</v>
      </c>
      <c r="D89" s="4066">
        <v>50.1</v>
      </c>
      <c r="E89" s="4067" t="s">
        <v>50</v>
      </c>
      <c r="F89" s="4068"/>
      <c r="G89" s="3964"/>
      <c r="H89" s="4068"/>
      <c r="I89" s="3964"/>
      <c r="J89" s="4069"/>
      <c r="K89" s="5444"/>
      <c r="L89" s="4068"/>
      <c r="M89" s="3964"/>
      <c r="N89" s="4101"/>
      <c r="O89" s="5468"/>
      <c r="P89" s="4068"/>
      <c r="Q89" s="3964"/>
      <c r="R89" s="4102"/>
      <c r="S89" s="39">
        <f t="shared" si="26"/>
        <v>0</v>
      </c>
      <c r="T89" s="4068"/>
      <c r="U89" s="3964">
        <v>203.56399999999999</v>
      </c>
      <c r="V89" s="4102"/>
      <c r="W89" s="39">
        <f t="shared" si="29"/>
        <v>203.56399999999999</v>
      </c>
      <c r="X89" s="4068"/>
      <c r="Y89" s="3964">
        <v>491.08599999999996</v>
      </c>
      <c r="Z89" s="5442"/>
      <c r="AA89" s="781">
        <f t="shared" si="23"/>
        <v>694.65</v>
      </c>
      <c r="AB89" s="4199"/>
      <c r="AC89" s="465">
        <f t="shared" si="24"/>
        <v>694.65</v>
      </c>
      <c r="AD89" s="4068"/>
      <c r="AE89" s="3964"/>
      <c r="AF89" s="5454"/>
      <c r="AG89" s="4866"/>
      <c r="AH89" s="4068"/>
      <c r="AI89" s="3964"/>
      <c r="AJ89" s="5454"/>
      <c r="AK89" s="4866"/>
      <c r="AL89" s="4068"/>
      <c r="AM89" s="3964"/>
      <c r="AN89" s="5442"/>
      <c r="AO89" s="5450"/>
      <c r="AP89" s="5454"/>
      <c r="AQ89" s="4866"/>
      <c r="AR89" s="4068"/>
      <c r="AS89" s="3964"/>
      <c r="AT89" s="5454"/>
      <c r="AU89" s="4866"/>
      <c r="AV89" s="4068"/>
      <c r="AW89" s="3964"/>
      <c r="AX89" s="5454"/>
      <c r="AY89" s="4866"/>
      <c r="AZ89" s="4068"/>
      <c r="BA89" s="3964"/>
      <c r="BB89" s="5442"/>
      <c r="BC89" s="5450"/>
      <c r="BD89" s="5457"/>
      <c r="BE89" s="5458"/>
      <c r="BF89" s="5454"/>
      <c r="BG89" s="4866"/>
      <c r="BH89" s="26"/>
      <c r="BI89" s="26"/>
      <c r="BJ89" s="26"/>
      <c r="BK89" s="26"/>
      <c r="BL89" s="26"/>
      <c r="BM89" s="26"/>
      <c r="BN89" s="1219"/>
    </row>
    <row r="90" spans="1:66" ht="15" customHeight="1" x14ac:dyDescent="0.3">
      <c r="B90" s="3090" t="s">
        <v>1379</v>
      </c>
      <c r="C90" s="3091" t="s">
        <v>1633</v>
      </c>
      <c r="D90" s="3092">
        <v>50.1</v>
      </c>
      <c r="E90" s="1329" t="s">
        <v>50</v>
      </c>
      <c r="F90" s="3093"/>
      <c r="G90" s="88"/>
      <c r="H90" s="3093"/>
      <c r="I90" s="88"/>
      <c r="J90" s="3094"/>
      <c r="K90" s="4957">
        <f t="shared" si="27"/>
        <v>0</v>
      </c>
      <c r="L90" s="3093"/>
      <c r="M90" s="88">
        <v>589.17300000000012</v>
      </c>
      <c r="N90" s="2034"/>
      <c r="O90" s="69">
        <f t="shared" si="28"/>
        <v>589.17300000000012</v>
      </c>
      <c r="P90" s="3093"/>
      <c r="Q90" s="88"/>
      <c r="R90" s="2042"/>
      <c r="S90" s="39">
        <f t="shared" si="26"/>
        <v>589.17300000000012</v>
      </c>
      <c r="T90" s="3093"/>
      <c r="U90" s="88">
        <v>225.51100000000002</v>
      </c>
      <c r="V90" s="2042"/>
      <c r="W90" s="39">
        <f t="shared" si="29"/>
        <v>814.6840000000002</v>
      </c>
      <c r="X90" s="3093"/>
      <c r="Y90" s="88">
        <v>670.73500000000001</v>
      </c>
      <c r="Z90" s="2495"/>
      <c r="AA90" s="781">
        <f t="shared" si="23"/>
        <v>896.24600000000009</v>
      </c>
      <c r="AB90" s="4199"/>
      <c r="AC90" s="465">
        <f t="shared" si="24"/>
        <v>1485.4190000000003</v>
      </c>
      <c r="AD90" s="3093"/>
      <c r="AE90" s="88"/>
      <c r="AF90" s="2042"/>
      <c r="AG90" s="39">
        <f t="shared" si="18"/>
        <v>1485.4190000000003</v>
      </c>
      <c r="AH90" s="3093"/>
      <c r="AI90" s="88"/>
      <c r="AJ90" s="2042"/>
      <c r="AK90" s="39">
        <f t="shared" si="22"/>
        <v>1485.4190000000003</v>
      </c>
      <c r="AL90" s="3093"/>
      <c r="AM90" s="88"/>
      <c r="AN90" s="2495"/>
      <c r="AO90" s="781">
        <f t="shared" si="30"/>
        <v>0</v>
      </c>
      <c r="AP90" s="2042"/>
      <c r="AQ90" s="39">
        <f t="shared" si="12"/>
        <v>1485.4190000000003</v>
      </c>
      <c r="AR90" s="3093"/>
      <c r="AS90" s="88"/>
      <c r="AT90" s="2042"/>
      <c r="AU90" s="39">
        <f t="shared" si="13"/>
        <v>1485.4190000000003</v>
      </c>
      <c r="AV90" s="3093"/>
      <c r="AW90" s="88">
        <v>247.41200000000001</v>
      </c>
      <c r="AX90" s="2042"/>
      <c r="AY90" s="39">
        <f t="shared" si="14"/>
        <v>1732.8310000000004</v>
      </c>
      <c r="AZ90" s="3093"/>
      <c r="BA90" s="88">
        <v>141.87699999999998</v>
      </c>
      <c r="BB90" s="2495"/>
      <c r="BC90" s="781">
        <f t="shared" si="31"/>
        <v>389.28899999999999</v>
      </c>
      <c r="BD90" s="2499"/>
      <c r="BE90" s="700">
        <f t="shared" si="32"/>
        <v>389.28899999999999</v>
      </c>
      <c r="BF90" s="2042"/>
      <c r="BG90" s="39">
        <f t="shared" si="33"/>
        <v>1874.7080000000003</v>
      </c>
      <c r="BH90" s="26"/>
      <c r="BI90" s="26"/>
      <c r="BJ90" s="26"/>
      <c r="BK90" s="26"/>
      <c r="BL90" s="26"/>
      <c r="BM90" s="26"/>
      <c r="BN90" s="1219"/>
    </row>
    <row r="91" spans="1:66" ht="15" customHeight="1" thickBot="1" x14ac:dyDescent="0.35">
      <c r="A91" s="532"/>
      <c r="B91" s="3095" t="s">
        <v>1379</v>
      </c>
      <c r="C91" s="3096" t="s">
        <v>1013</v>
      </c>
      <c r="D91" s="3097">
        <v>50.1</v>
      </c>
      <c r="E91" s="1412" t="s">
        <v>50</v>
      </c>
      <c r="F91" s="3098"/>
      <c r="G91" s="38"/>
      <c r="H91" s="3098"/>
      <c r="I91" s="38">
        <v>2403.8919999999998</v>
      </c>
      <c r="J91" s="3099"/>
      <c r="K91" s="4957">
        <f t="shared" si="27"/>
        <v>2403.8919999999998</v>
      </c>
      <c r="L91" s="3098"/>
      <c r="M91" s="38">
        <v>2503.5359999999991</v>
      </c>
      <c r="N91" s="2034"/>
      <c r="O91" s="69">
        <f t="shared" si="28"/>
        <v>4907.427999999999</v>
      </c>
      <c r="P91" s="3098"/>
      <c r="Q91" s="38"/>
      <c r="R91" s="2042"/>
      <c r="S91" s="39">
        <f t="shared" si="26"/>
        <v>4907.427999999999</v>
      </c>
      <c r="T91" s="3098"/>
      <c r="U91" s="38">
        <v>1993.4839999999992</v>
      </c>
      <c r="V91" s="2042"/>
      <c r="W91" s="39">
        <f t="shared" si="29"/>
        <v>6900.9119999999984</v>
      </c>
      <c r="X91" s="3098"/>
      <c r="Y91" s="38">
        <v>2375.6079999999997</v>
      </c>
      <c r="Z91" s="902"/>
      <c r="AA91" s="781">
        <f t="shared" si="23"/>
        <v>4369.0919999999987</v>
      </c>
      <c r="AB91" s="4199"/>
      <c r="AC91" s="465">
        <f t="shared" si="24"/>
        <v>9276.5199999999968</v>
      </c>
      <c r="AD91" s="3098"/>
      <c r="AE91" s="38">
        <v>2396.6880000000001</v>
      </c>
      <c r="AF91" s="2042"/>
      <c r="AG91" s="39">
        <f t="shared" si="18"/>
        <v>11673.207999999997</v>
      </c>
      <c r="AH91" s="3098"/>
      <c r="AI91" s="38"/>
      <c r="AJ91" s="2042"/>
      <c r="AK91" s="39">
        <f t="shared" si="22"/>
        <v>11673.207999999997</v>
      </c>
      <c r="AL91" s="3098"/>
      <c r="AM91" s="38">
        <v>3057.7200000000007</v>
      </c>
      <c r="AN91" s="902"/>
      <c r="AO91" s="781">
        <f t="shared" si="30"/>
        <v>5454.4080000000013</v>
      </c>
      <c r="AP91" s="2042"/>
      <c r="AQ91" s="39">
        <f t="shared" ref="AQ91:AQ103" si="34">AK91+AM91</f>
        <v>14730.927999999998</v>
      </c>
      <c r="AR91" s="3098"/>
      <c r="AS91" s="38"/>
      <c r="AT91" s="2042"/>
      <c r="AU91" s="39">
        <f t="shared" ref="AU91:AU103" si="35">+AQ91+AS91</f>
        <v>14730.927999999998</v>
      </c>
      <c r="AV91" s="3098"/>
      <c r="AW91" s="38">
        <v>2607.9720000000002</v>
      </c>
      <c r="AX91" s="2042"/>
      <c r="AY91" s="39">
        <f t="shared" ref="AY91:AY106" si="36">+AU91+AW91</f>
        <v>17338.899999999998</v>
      </c>
      <c r="AZ91" s="3098"/>
      <c r="BA91" s="38">
        <v>5358.9139999999998</v>
      </c>
      <c r="BB91" s="902"/>
      <c r="BC91" s="781">
        <f t="shared" si="31"/>
        <v>7966.8860000000004</v>
      </c>
      <c r="BD91" s="903"/>
      <c r="BE91" s="700">
        <f t="shared" si="32"/>
        <v>13421.294000000002</v>
      </c>
      <c r="BF91" s="2042"/>
      <c r="BG91" s="39">
        <f t="shared" si="33"/>
        <v>22697.813999999998</v>
      </c>
      <c r="BH91" s="26"/>
      <c r="BI91" s="26"/>
      <c r="BJ91" s="26"/>
      <c r="BK91" s="26"/>
      <c r="BL91" s="26"/>
      <c r="BM91" s="26"/>
      <c r="BN91" s="1219"/>
    </row>
    <row r="92" spans="1:66" ht="15" customHeight="1" thickBot="1" x14ac:dyDescent="0.35">
      <c r="A92" s="532"/>
      <c r="B92" s="3113" t="s">
        <v>911</v>
      </c>
      <c r="C92" s="3114"/>
      <c r="D92" s="3115"/>
      <c r="E92" s="3116" t="s">
        <v>50</v>
      </c>
      <c r="F92" s="3117"/>
      <c r="G92" s="88">
        <v>4.0599999999999996</v>
      </c>
      <c r="H92" s="3117"/>
      <c r="I92" s="88">
        <v>31.97</v>
      </c>
      <c r="J92" s="3118"/>
      <c r="K92" s="4957">
        <f t="shared" si="27"/>
        <v>36.03</v>
      </c>
      <c r="L92" s="3117"/>
      <c r="M92" s="88">
        <v>0.51</v>
      </c>
      <c r="N92" s="2035"/>
      <c r="O92" s="69">
        <f t="shared" si="28"/>
        <v>36.54</v>
      </c>
      <c r="P92" s="3117"/>
      <c r="Q92" s="88"/>
      <c r="R92" s="2043"/>
      <c r="S92" s="39">
        <f t="shared" si="26"/>
        <v>36.54</v>
      </c>
      <c r="T92" s="3117"/>
      <c r="U92" s="88">
        <v>15.84</v>
      </c>
      <c r="V92" s="2043"/>
      <c r="W92" s="39">
        <f t="shared" si="29"/>
        <v>52.379999999999995</v>
      </c>
      <c r="X92" s="3117"/>
      <c r="Y92" s="88">
        <v>0.88</v>
      </c>
      <c r="Z92" s="904"/>
      <c r="AA92" s="781">
        <f t="shared" si="23"/>
        <v>16.72</v>
      </c>
      <c r="AB92" s="4199"/>
      <c r="AC92" s="465">
        <f t="shared" si="24"/>
        <v>53.26</v>
      </c>
      <c r="AD92" s="3117"/>
      <c r="AE92" s="88">
        <v>0.51</v>
      </c>
      <c r="AF92" s="2043"/>
      <c r="AG92" s="39">
        <f t="shared" si="18"/>
        <v>53.769999999999996</v>
      </c>
      <c r="AH92" s="3117"/>
      <c r="AI92" s="88"/>
      <c r="AJ92" s="2043"/>
      <c r="AK92" s="39">
        <f t="shared" si="22"/>
        <v>53.769999999999996</v>
      </c>
      <c r="AL92" s="3117"/>
      <c r="AM92" s="88">
        <v>6.1</v>
      </c>
      <c r="AN92" s="904"/>
      <c r="AO92" s="781">
        <f t="shared" si="30"/>
        <v>6.6099999999999994</v>
      </c>
      <c r="AP92" s="2043"/>
      <c r="AQ92" s="39">
        <f t="shared" si="34"/>
        <v>59.87</v>
      </c>
      <c r="AR92" s="3117"/>
      <c r="AS92" s="88"/>
      <c r="AT92" s="2043"/>
      <c r="AU92" s="39">
        <f t="shared" si="35"/>
        <v>59.87</v>
      </c>
      <c r="AV92" s="3117"/>
      <c r="AW92" s="88">
        <v>1.02</v>
      </c>
      <c r="AX92" s="2043"/>
      <c r="AY92" s="39">
        <f t="shared" si="36"/>
        <v>60.89</v>
      </c>
      <c r="AZ92" s="3117"/>
      <c r="BA92" s="88">
        <v>2.04</v>
      </c>
      <c r="BB92" s="904"/>
      <c r="BC92" s="781">
        <f t="shared" si="31"/>
        <v>3.06</v>
      </c>
      <c r="BD92" s="905"/>
      <c r="BE92" s="700">
        <f t="shared" si="32"/>
        <v>9.67</v>
      </c>
      <c r="BF92" s="2043"/>
      <c r="BG92" s="39">
        <f t="shared" si="33"/>
        <v>62.93</v>
      </c>
      <c r="BH92" s="26"/>
      <c r="BI92" s="26"/>
      <c r="BJ92" s="26"/>
      <c r="BK92" s="26"/>
      <c r="BL92" s="26"/>
      <c r="BM92" s="26"/>
      <c r="BN92" s="1219"/>
    </row>
    <row r="93" spans="1:66" ht="15" customHeight="1" x14ac:dyDescent="0.3">
      <c r="A93" s="532"/>
      <c r="B93" s="3113" t="s">
        <v>1910</v>
      </c>
      <c r="C93" s="4070"/>
      <c r="D93" s="4071"/>
      <c r="E93" s="3116" t="s">
        <v>50</v>
      </c>
      <c r="F93" s="4072"/>
      <c r="G93" s="29"/>
      <c r="H93" s="4072"/>
      <c r="I93" s="29">
        <v>1.7999999999999998</v>
      </c>
      <c r="J93" s="4073"/>
      <c r="K93" s="4957">
        <f t="shared" si="27"/>
        <v>1.7999999999999998</v>
      </c>
      <c r="L93" s="4072"/>
      <c r="M93" s="29">
        <v>1.81</v>
      </c>
      <c r="N93" s="2035"/>
      <c r="O93" s="69">
        <f t="shared" si="28"/>
        <v>3.61</v>
      </c>
      <c r="P93" s="4072"/>
      <c r="Q93" s="29"/>
      <c r="R93" s="2043"/>
      <c r="S93" s="39">
        <f t="shared" si="26"/>
        <v>3.61</v>
      </c>
      <c r="T93" s="4072"/>
      <c r="U93" s="29">
        <v>12.69</v>
      </c>
      <c r="V93" s="2043"/>
      <c r="W93" s="39">
        <f t="shared" si="29"/>
        <v>16.3</v>
      </c>
      <c r="X93" s="4072"/>
      <c r="Y93" s="29">
        <v>15.24</v>
      </c>
      <c r="Z93" s="4074"/>
      <c r="AA93" s="781">
        <f t="shared" si="23"/>
        <v>27.93</v>
      </c>
      <c r="AB93" s="4203"/>
      <c r="AC93" s="465">
        <f t="shared" si="24"/>
        <v>31.54</v>
      </c>
      <c r="AD93" s="4072"/>
      <c r="AE93" s="29">
        <v>30.42</v>
      </c>
      <c r="AF93" s="2043"/>
      <c r="AG93" s="39">
        <f t="shared" si="18"/>
        <v>61.96</v>
      </c>
      <c r="AH93" s="4072"/>
      <c r="AI93" s="29"/>
      <c r="AJ93" s="2043"/>
      <c r="AK93" s="39">
        <f t="shared" si="22"/>
        <v>61.96</v>
      </c>
      <c r="AL93" s="4072"/>
      <c r="AM93" s="29"/>
      <c r="AN93" s="4074"/>
      <c r="AO93" s="781">
        <f t="shared" si="30"/>
        <v>30.42</v>
      </c>
      <c r="AP93" s="2043"/>
      <c r="AQ93" s="39">
        <f t="shared" si="34"/>
        <v>61.96</v>
      </c>
      <c r="AR93" s="4072"/>
      <c r="AS93" s="29">
        <v>0.6</v>
      </c>
      <c r="AT93" s="2043"/>
      <c r="AU93" s="39">
        <f t="shared" si="35"/>
        <v>62.56</v>
      </c>
      <c r="AV93" s="4072"/>
      <c r="AW93" s="29"/>
      <c r="AX93" s="2043"/>
      <c r="AY93" s="39">
        <f t="shared" si="36"/>
        <v>62.56</v>
      </c>
      <c r="AZ93" s="4072"/>
      <c r="BA93" s="29">
        <v>29.64</v>
      </c>
      <c r="BB93" s="4074"/>
      <c r="BC93" s="781">
        <f t="shared" si="31"/>
        <v>30.240000000000002</v>
      </c>
      <c r="BD93" s="4075"/>
      <c r="BE93" s="700">
        <f t="shared" si="32"/>
        <v>60.660000000000004</v>
      </c>
      <c r="BF93" s="2043"/>
      <c r="BG93" s="39">
        <f t="shared" si="33"/>
        <v>92.2</v>
      </c>
      <c r="BH93" s="26"/>
      <c r="BI93" s="26"/>
      <c r="BJ93" s="26"/>
      <c r="BK93" s="26"/>
      <c r="BL93" s="26"/>
      <c r="BM93" s="26"/>
      <c r="BN93" s="1219"/>
    </row>
    <row r="94" spans="1:66" ht="15" customHeight="1" x14ac:dyDescent="0.3">
      <c r="A94" s="532"/>
      <c r="B94" s="1645" t="s">
        <v>912</v>
      </c>
      <c r="C94" s="1646"/>
      <c r="D94" s="3119"/>
      <c r="E94" s="2056" t="s">
        <v>50</v>
      </c>
      <c r="F94" s="2020"/>
      <c r="G94" s="18">
        <v>91.18</v>
      </c>
      <c r="H94" s="2020"/>
      <c r="I94" s="18">
        <v>124.83</v>
      </c>
      <c r="J94" s="2026"/>
      <c r="K94" s="4957">
        <f t="shared" si="27"/>
        <v>216.01</v>
      </c>
      <c r="L94" s="2020"/>
      <c r="M94" s="18">
        <v>5.03</v>
      </c>
      <c r="N94" s="2035"/>
      <c r="O94" s="69">
        <f t="shared" si="28"/>
        <v>221.04</v>
      </c>
      <c r="P94" s="2020"/>
      <c r="Q94" s="18">
        <v>133.46</v>
      </c>
      <c r="R94" s="2043"/>
      <c r="S94" s="39">
        <f t="shared" si="26"/>
        <v>354.5</v>
      </c>
      <c r="T94" s="2020"/>
      <c r="U94" s="18">
        <v>85.7</v>
      </c>
      <c r="V94" s="2043"/>
      <c r="W94" s="39">
        <f t="shared" si="29"/>
        <v>440.2</v>
      </c>
      <c r="X94" s="2020"/>
      <c r="Y94" s="18">
        <v>11.05</v>
      </c>
      <c r="Z94" s="904"/>
      <c r="AA94" s="781">
        <f t="shared" si="23"/>
        <v>230.21000000000004</v>
      </c>
      <c r="AB94" s="4202"/>
      <c r="AC94" s="465">
        <f t="shared" si="24"/>
        <v>451.25</v>
      </c>
      <c r="AD94" s="2020"/>
      <c r="AE94" s="18">
        <v>34.71</v>
      </c>
      <c r="AF94" s="2043"/>
      <c r="AG94" s="39">
        <f t="shared" si="18"/>
        <v>485.96</v>
      </c>
      <c r="AH94" s="2020"/>
      <c r="AI94" s="18"/>
      <c r="AJ94" s="2043"/>
      <c r="AK94" s="39">
        <f t="shared" si="22"/>
        <v>485.96</v>
      </c>
      <c r="AL94" s="2020"/>
      <c r="AM94" s="18">
        <v>157.19</v>
      </c>
      <c r="AN94" s="904"/>
      <c r="AO94" s="781">
        <f t="shared" si="30"/>
        <v>191.9</v>
      </c>
      <c r="AP94" s="2043"/>
      <c r="AQ94" s="39">
        <f t="shared" si="34"/>
        <v>643.15</v>
      </c>
      <c r="AR94" s="2020"/>
      <c r="AS94" s="18">
        <v>5.97</v>
      </c>
      <c r="AT94" s="2043"/>
      <c r="AU94" s="39">
        <f t="shared" si="35"/>
        <v>649.12</v>
      </c>
      <c r="AV94" s="2020"/>
      <c r="AW94" s="18">
        <v>16.98</v>
      </c>
      <c r="AX94" s="2043"/>
      <c r="AY94" s="39">
        <f t="shared" si="36"/>
        <v>666.1</v>
      </c>
      <c r="AZ94" s="2020"/>
      <c r="BA94" s="18">
        <v>52.79</v>
      </c>
      <c r="BB94" s="904"/>
      <c r="BC94" s="781">
        <f t="shared" si="31"/>
        <v>75.739999999999995</v>
      </c>
      <c r="BD94" s="905"/>
      <c r="BE94" s="700">
        <f t="shared" si="32"/>
        <v>267.64</v>
      </c>
      <c r="BF94" s="2043"/>
      <c r="BG94" s="39">
        <f t="shared" si="33"/>
        <v>718.89</v>
      </c>
      <c r="BH94" s="26"/>
      <c r="BI94" s="26"/>
      <c r="BJ94" s="26"/>
      <c r="BK94" s="26"/>
      <c r="BL94" s="26"/>
      <c r="BM94" s="26"/>
      <c r="BN94" s="1219"/>
    </row>
    <row r="95" spans="1:66" ht="15" customHeight="1" x14ac:dyDescent="0.3">
      <c r="A95" s="532"/>
      <c r="B95" s="1645" t="s">
        <v>1014</v>
      </c>
      <c r="C95" s="1646"/>
      <c r="D95" s="3119"/>
      <c r="E95" s="2056" t="s">
        <v>50</v>
      </c>
      <c r="F95" s="2020"/>
      <c r="G95" s="18">
        <v>94.66</v>
      </c>
      <c r="H95" s="2020"/>
      <c r="I95" s="18">
        <v>10.050000000000001</v>
      </c>
      <c r="J95" s="2026"/>
      <c r="K95" s="4957">
        <f t="shared" si="27"/>
        <v>104.71</v>
      </c>
      <c r="L95" s="2020"/>
      <c r="M95" s="18">
        <v>2.42</v>
      </c>
      <c r="N95" s="2035"/>
      <c r="O95" s="69">
        <f t="shared" si="28"/>
        <v>107.13</v>
      </c>
      <c r="P95" s="2020"/>
      <c r="Q95" s="18">
        <v>45.37</v>
      </c>
      <c r="R95" s="2043"/>
      <c r="S95" s="39">
        <f t="shared" si="26"/>
        <v>152.5</v>
      </c>
      <c r="T95" s="2020"/>
      <c r="U95" s="18">
        <v>86.05</v>
      </c>
      <c r="V95" s="2043"/>
      <c r="W95" s="39">
        <f t="shared" si="29"/>
        <v>238.55</v>
      </c>
      <c r="X95" s="2020"/>
      <c r="Y95" s="18">
        <v>39.659999999999997</v>
      </c>
      <c r="Z95" s="904"/>
      <c r="AA95" s="781">
        <f t="shared" si="23"/>
        <v>171.07999999999998</v>
      </c>
      <c r="AB95" s="4202"/>
      <c r="AC95" s="465">
        <f t="shared" si="24"/>
        <v>278.20999999999998</v>
      </c>
      <c r="AD95" s="2020"/>
      <c r="AE95" s="18"/>
      <c r="AF95" s="2043"/>
      <c r="AG95" s="39">
        <f t="shared" si="18"/>
        <v>278.20999999999998</v>
      </c>
      <c r="AH95" s="2020"/>
      <c r="AI95" s="18"/>
      <c r="AJ95" s="2043"/>
      <c r="AK95" s="39">
        <f t="shared" si="22"/>
        <v>278.20999999999998</v>
      </c>
      <c r="AL95" s="2020"/>
      <c r="AM95" s="18">
        <v>201.95</v>
      </c>
      <c r="AN95" s="904"/>
      <c r="AO95" s="781">
        <f t="shared" si="30"/>
        <v>201.95</v>
      </c>
      <c r="AP95" s="2043"/>
      <c r="AQ95" s="39">
        <f t="shared" si="34"/>
        <v>480.15999999999997</v>
      </c>
      <c r="AR95" s="2020"/>
      <c r="AS95" s="18">
        <v>10.11</v>
      </c>
      <c r="AT95" s="2043"/>
      <c r="AU95" s="39">
        <f t="shared" si="35"/>
        <v>490.27</v>
      </c>
      <c r="AV95" s="2020"/>
      <c r="AW95" s="18">
        <v>6.18</v>
      </c>
      <c r="AX95" s="2043"/>
      <c r="AY95" s="39">
        <f t="shared" si="36"/>
        <v>496.45</v>
      </c>
      <c r="AZ95" s="2020"/>
      <c r="BA95" s="18">
        <v>52.63</v>
      </c>
      <c r="BB95" s="904"/>
      <c r="BC95" s="781">
        <f t="shared" si="31"/>
        <v>68.92</v>
      </c>
      <c r="BD95" s="905"/>
      <c r="BE95" s="700">
        <f t="shared" si="32"/>
        <v>270.87</v>
      </c>
      <c r="BF95" s="2043"/>
      <c r="BG95" s="39">
        <f t="shared" si="33"/>
        <v>549.08000000000004</v>
      </c>
      <c r="BH95" s="26"/>
      <c r="BI95" s="26"/>
      <c r="BJ95" s="26"/>
      <c r="BK95" s="26"/>
      <c r="BL95" s="26"/>
      <c r="BM95" s="26"/>
      <c r="BN95" s="1219"/>
    </row>
    <row r="96" spans="1:66" ht="15" customHeight="1" x14ac:dyDescent="0.3">
      <c r="A96" s="532"/>
      <c r="B96" s="1645" t="s">
        <v>1272</v>
      </c>
      <c r="C96" s="1646"/>
      <c r="D96" s="3119"/>
      <c r="E96" s="2056" t="s">
        <v>50</v>
      </c>
      <c r="F96" s="2020"/>
      <c r="G96" s="18">
        <v>2.04</v>
      </c>
      <c r="H96" s="2020"/>
      <c r="I96" s="18">
        <v>32.380000000000003</v>
      </c>
      <c r="J96" s="2026"/>
      <c r="K96" s="4957">
        <f t="shared" si="27"/>
        <v>34.42</v>
      </c>
      <c r="L96" s="2020"/>
      <c r="M96" s="18">
        <v>8.6999999999999993</v>
      </c>
      <c r="N96" s="2035"/>
      <c r="O96" s="69">
        <f t="shared" si="28"/>
        <v>43.120000000000005</v>
      </c>
      <c r="P96" s="2020"/>
      <c r="Q96" s="18"/>
      <c r="R96" s="2043"/>
      <c r="S96" s="39">
        <f t="shared" si="26"/>
        <v>43.120000000000005</v>
      </c>
      <c r="T96" s="2020"/>
      <c r="U96" s="18">
        <v>20.239999999999998</v>
      </c>
      <c r="V96" s="2043"/>
      <c r="W96" s="39">
        <f t="shared" si="29"/>
        <v>63.36</v>
      </c>
      <c r="X96" s="2020"/>
      <c r="Y96" s="18">
        <v>22.31</v>
      </c>
      <c r="Z96" s="904"/>
      <c r="AA96" s="781">
        <f t="shared" si="23"/>
        <v>42.55</v>
      </c>
      <c r="AB96" s="4202"/>
      <c r="AC96" s="465">
        <f t="shared" si="24"/>
        <v>85.67</v>
      </c>
      <c r="AD96" s="2020"/>
      <c r="AE96" s="18">
        <v>8.58</v>
      </c>
      <c r="AF96" s="2043"/>
      <c r="AG96" s="39">
        <f t="shared" si="18"/>
        <v>94.25</v>
      </c>
      <c r="AH96" s="2020"/>
      <c r="AI96" s="18"/>
      <c r="AJ96" s="2043"/>
      <c r="AK96" s="39">
        <f t="shared" si="22"/>
        <v>94.25</v>
      </c>
      <c r="AL96" s="2020"/>
      <c r="AM96" s="18">
        <v>5.71</v>
      </c>
      <c r="AN96" s="904"/>
      <c r="AO96" s="781">
        <f t="shared" si="30"/>
        <v>14.29</v>
      </c>
      <c r="AP96" s="2043"/>
      <c r="AQ96" s="39">
        <f t="shared" si="34"/>
        <v>99.96</v>
      </c>
      <c r="AR96" s="2020"/>
      <c r="AS96" s="18">
        <v>6.24</v>
      </c>
      <c r="AT96" s="2043"/>
      <c r="AU96" s="39">
        <f t="shared" si="35"/>
        <v>106.19999999999999</v>
      </c>
      <c r="AV96" s="2020"/>
      <c r="AW96" s="18">
        <v>17.63</v>
      </c>
      <c r="AX96" s="2043"/>
      <c r="AY96" s="39">
        <f t="shared" si="36"/>
        <v>123.82999999999998</v>
      </c>
      <c r="AZ96" s="2020"/>
      <c r="BA96" s="18">
        <v>7.75</v>
      </c>
      <c r="BB96" s="904"/>
      <c r="BC96" s="781">
        <f t="shared" si="31"/>
        <v>31.619999999999997</v>
      </c>
      <c r="BD96" s="905"/>
      <c r="BE96" s="700">
        <f t="shared" si="32"/>
        <v>45.91</v>
      </c>
      <c r="BF96" s="2043"/>
      <c r="BG96" s="39">
        <f t="shared" si="33"/>
        <v>131.57999999999998</v>
      </c>
      <c r="BH96" s="26"/>
      <c r="BI96" s="26"/>
      <c r="BJ96" s="26"/>
      <c r="BK96" s="26"/>
      <c r="BL96" s="26"/>
      <c r="BM96" s="26"/>
      <c r="BN96" s="1219"/>
    </row>
    <row r="97" spans="1:66" ht="15" customHeight="1" x14ac:dyDescent="0.3">
      <c r="A97" s="532"/>
      <c r="B97" s="1645" t="s">
        <v>1302</v>
      </c>
      <c r="C97" s="1646"/>
      <c r="D97" s="3119"/>
      <c r="E97" s="2056" t="s">
        <v>50</v>
      </c>
      <c r="F97" s="2020"/>
      <c r="G97" s="18">
        <v>183.69</v>
      </c>
      <c r="H97" s="2020"/>
      <c r="I97" s="18">
        <v>62.22</v>
      </c>
      <c r="J97" s="2026"/>
      <c r="K97" s="4957">
        <f t="shared" si="27"/>
        <v>245.91</v>
      </c>
      <c r="L97" s="2020"/>
      <c r="M97" s="18">
        <v>37.58</v>
      </c>
      <c r="N97" s="2035"/>
      <c r="O97" s="69">
        <f t="shared" si="28"/>
        <v>283.49</v>
      </c>
      <c r="P97" s="2020"/>
      <c r="Q97" s="18">
        <v>9.5399999999999991</v>
      </c>
      <c r="R97" s="2043"/>
      <c r="S97" s="39">
        <f t="shared" si="26"/>
        <v>293.03000000000003</v>
      </c>
      <c r="T97" s="2020"/>
      <c r="U97" s="18">
        <v>24.71</v>
      </c>
      <c r="V97" s="2043"/>
      <c r="W97" s="39">
        <f t="shared" si="29"/>
        <v>317.74</v>
      </c>
      <c r="X97" s="2020"/>
      <c r="Y97" s="18">
        <v>2.94</v>
      </c>
      <c r="Z97" s="904"/>
      <c r="AA97" s="781">
        <f t="shared" si="23"/>
        <v>37.19</v>
      </c>
      <c r="AB97" s="4202"/>
      <c r="AC97" s="465">
        <f t="shared" si="24"/>
        <v>320.68</v>
      </c>
      <c r="AD97" s="2020"/>
      <c r="AE97" s="18">
        <v>1.47</v>
      </c>
      <c r="AF97" s="2043"/>
      <c r="AG97" s="39">
        <f t="shared" si="18"/>
        <v>322.15000000000003</v>
      </c>
      <c r="AH97" s="2020"/>
      <c r="AI97" s="18"/>
      <c r="AJ97" s="2043"/>
      <c r="AK97" s="39">
        <f t="shared" si="22"/>
        <v>322.15000000000003</v>
      </c>
      <c r="AL97" s="2020"/>
      <c r="AM97" s="18">
        <v>1173.1600000000001</v>
      </c>
      <c r="AN97" s="904"/>
      <c r="AO97" s="781">
        <f t="shared" si="30"/>
        <v>1174.6300000000001</v>
      </c>
      <c r="AP97" s="2043"/>
      <c r="AQ97" s="39">
        <f t="shared" si="34"/>
        <v>1495.3100000000002</v>
      </c>
      <c r="AR97" s="2020"/>
      <c r="AS97" s="18">
        <v>896.82</v>
      </c>
      <c r="AT97" s="2043"/>
      <c r="AU97" s="39">
        <f t="shared" si="35"/>
        <v>2392.13</v>
      </c>
      <c r="AV97" s="2020"/>
      <c r="AW97" s="18">
        <v>22.12</v>
      </c>
      <c r="AX97" s="2043"/>
      <c r="AY97" s="39">
        <f t="shared" si="36"/>
        <v>2414.25</v>
      </c>
      <c r="AZ97" s="2020"/>
      <c r="BA97" s="18">
        <v>70.86</v>
      </c>
      <c r="BB97" s="904"/>
      <c r="BC97" s="781">
        <f t="shared" si="31"/>
        <v>989.80000000000007</v>
      </c>
      <c r="BD97" s="905"/>
      <c r="BE97" s="700">
        <f t="shared" si="32"/>
        <v>2164.4300000000003</v>
      </c>
      <c r="BF97" s="2043"/>
      <c r="BG97" s="39">
        <f t="shared" si="33"/>
        <v>2485.11</v>
      </c>
      <c r="BH97" s="26"/>
      <c r="BI97" s="26"/>
      <c r="BJ97" s="26"/>
      <c r="BK97" s="26"/>
      <c r="BL97" s="26"/>
      <c r="BM97" s="26"/>
      <c r="BN97" s="1219"/>
    </row>
    <row r="98" spans="1:66" ht="15" customHeight="1" x14ac:dyDescent="0.3">
      <c r="A98" s="532"/>
      <c r="B98" s="1645" t="s">
        <v>1656</v>
      </c>
      <c r="C98" s="1646"/>
      <c r="D98" s="3119"/>
      <c r="E98" s="2056" t="s">
        <v>50</v>
      </c>
      <c r="F98" s="2020"/>
      <c r="G98" s="18"/>
      <c r="H98" s="2020"/>
      <c r="I98" s="18"/>
      <c r="J98" s="2026"/>
      <c r="K98" s="4957">
        <f t="shared" si="27"/>
        <v>0</v>
      </c>
      <c r="L98" s="2020"/>
      <c r="M98" s="18"/>
      <c r="N98" s="2035"/>
      <c r="O98" s="69">
        <f t="shared" si="28"/>
        <v>0</v>
      </c>
      <c r="P98" s="2020"/>
      <c r="Q98" s="18"/>
      <c r="R98" s="2043"/>
      <c r="S98" s="39">
        <f t="shared" si="26"/>
        <v>0</v>
      </c>
      <c r="T98" s="2020"/>
      <c r="U98" s="18"/>
      <c r="V98" s="2043"/>
      <c r="W98" s="39">
        <f t="shared" si="29"/>
        <v>0</v>
      </c>
      <c r="X98" s="2020"/>
      <c r="Y98" s="18"/>
      <c r="Z98" s="904"/>
      <c r="AA98" s="781">
        <f t="shared" si="23"/>
        <v>0</v>
      </c>
      <c r="AB98" s="4202"/>
      <c r="AC98" s="465">
        <f t="shared" si="24"/>
        <v>0</v>
      </c>
      <c r="AD98" s="2020"/>
      <c r="AE98" s="18"/>
      <c r="AF98" s="2043"/>
      <c r="AG98" s="39">
        <f t="shared" si="18"/>
        <v>0</v>
      </c>
      <c r="AH98" s="2020"/>
      <c r="AI98" s="18"/>
      <c r="AJ98" s="2043"/>
      <c r="AK98" s="39">
        <f t="shared" si="22"/>
        <v>0</v>
      </c>
      <c r="AL98" s="2020"/>
      <c r="AM98" s="18"/>
      <c r="AN98" s="904"/>
      <c r="AO98" s="781">
        <f t="shared" si="30"/>
        <v>0</v>
      </c>
      <c r="AP98" s="2043"/>
      <c r="AQ98" s="39">
        <f t="shared" si="34"/>
        <v>0</v>
      </c>
      <c r="AR98" s="2020"/>
      <c r="AS98" s="18"/>
      <c r="AT98" s="2043"/>
      <c r="AU98" s="39">
        <f t="shared" si="35"/>
        <v>0</v>
      </c>
      <c r="AV98" s="2020"/>
      <c r="AW98" s="18"/>
      <c r="AX98" s="2043"/>
      <c r="AY98" s="39">
        <f t="shared" si="36"/>
        <v>0</v>
      </c>
      <c r="AZ98" s="2020"/>
      <c r="BA98" s="18"/>
      <c r="BB98" s="904"/>
      <c r="BC98" s="781">
        <f t="shared" si="31"/>
        <v>0</v>
      </c>
      <c r="BD98" s="905"/>
      <c r="BE98" s="700">
        <f t="shared" si="32"/>
        <v>0</v>
      </c>
      <c r="BF98" s="2043"/>
      <c r="BG98" s="39">
        <f t="shared" si="33"/>
        <v>0</v>
      </c>
      <c r="BH98" s="26"/>
      <c r="BI98" s="26"/>
      <c r="BJ98" s="26"/>
      <c r="BK98" s="26"/>
      <c r="BL98" s="26"/>
      <c r="BM98" s="26"/>
      <c r="BN98" s="1219"/>
    </row>
    <row r="99" spans="1:66" ht="15" customHeight="1" x14ac:dyDescent="0.3">
      <c r="A99" s="532"/>
      <c r="B99" s="1645" t="s">
        <v>1467</v>
      </c>
      <c r="C99" s="1646"/>
      <c r="D99" s="3119"/>
      <c r="E99" s="2056" t="s">
        <v>50</v>
      </c>
      <c r="F99" s="2020"/>
      <c r="G99" s="18"/>
      <c r="H99" s="2020"/>
      <c r="I99" s="18">
        <v>1.8</v>
      </c>
      <c r="J99" s="2026"/>
      <c r="K99" s="4957">
        <f t="shared" si="27"/>
        <v>1.8</v>
      </c>
      <c r="L99" s="2020"/>
      <c r="M99" s="18">
        <v>49.29</v>
      </c>
      <c r="N99" s="2035"/>
      <c r="O99" s="69">
        <f t="shared" si="28"/>
        <v>51.089999999999996</v>
      </c>
      <c r="P99" s="2020"/>
      <c r="Q99" s="18"/>
      <c r="R99" s="2043"/>
      <c r="S99" s="39">
        <f t="shared" si="26"/>
        <v>51.089999999999996</v>
      </c>
      <c r="T99" s="2020"/>
      <c r="U99" s="18"/>
      <c r="V99" s="2043"/>
      <c r="W99" s="39">
        <f t="shared" si="29"/>
        <v>51.089999999999996</v>
      </c>
      <c r="X99" s="2020"/>
      <c r="Y99" s="18">
        <v>27.44</v>
      </c>
      <c r="Z99" s="904"/>
      <c r="AA99" s="781">
        <f t="shared" si="23"/>
        <v>27.44</v>
      </c>
      <c r="AB99" s="4202"/>
      <c r="AC99" s="465">
        <f t="shared" si="24"/>
        <v>78.53</v>
      </c>
      <c r="AD99" s="2020"/>
      <c r="AE99" s="18">
        <v>0.6</v>
      </c>
      <c r="AF99" s="2043"/>
      <c r="AG99" s="39">
        <f t="shared" si="18"/>
        <v>79.13</v>
      </c>
      <c r="AH99" s="2020"/>
      <c r="AI99" s="18"/>
      <c r="AJ99" s="2043"/>
      <c r="AK99" s="39">
        <f t="shared" si="22"/>
        <v>79.13</v>
      </c>
      <c r="AL99" s="2020"/>
      <c r="AM99" s="18">
        <v>13.829999999999998</v>
      </c>
      <c r="AN99" s="904"/>
      <c r="AO99" s="781">
        <f t="shared" si="30"/>
        <v>14.429999999999998</v>
      </c>
      <c r="AP99" s="2043"/>
      <c r="AQ99" s="39">
        <f t="shared" si="34"/>
        <v>92.96</v>
      </c>
      <c r="AR99" s="2020"/>
      <c r="AS99" s="18"/>
      <c r="AT99" s="2043"/>
      <c r="AU99" s="39">
        <f t="shared" si="35"/>
        <v>92.96</v>
      </c>
      <c r="AV99" s="2020"/>
      <c r="AW99" s="18"/>
      <c r="AX99" s="2043"/>
      <c r="AY99" s="39">
        <f t="shared" si="36"/>
        <v>92.96</v>
      </c>
      <c r="AZ99" s="2020"/>
      <c r="BA99" s="18">
        <v>15.030000000000001</v>
      </c>
      <c r="BB99" s="904"/>
      <c r="BC99" s="781">
        <f t="shared" si="31"/>
        <v>15.030000000000001</v>
      </c>
      <c r="BD99" s="905"/>
      <c r="BE99" s="700">
        <f t="shared" si="32"/>
        <v>29.46</v>
      </c>
      <c r="BF99" s="2043"/>
      <c r="BG99" s="39">
        <f t="shared" si="33"/>
        <v>107.99</v>
      </c>
      <c r="BH99" s="26"/>
      <c r="BI99" s="26"/>
      <c r="BJ99" s="26"/>
      <c r="BK99" s="26"/>
      <c r="BL99" s="26"/>
      <c r="BM99" s="26"/>
      <c r="BN99" s="1219"/>
    </row>
    <row r="100" spans="1:66" ht="15" customHeight="1" x14ac:dyDescent="0.3">
      <c r="A100" s="532"/>
      <c r="B100" s="1645" t="s">
        <v>941</v>
      </c>
      <c r="C100" s="1646"/>
      <c r="D100" s="3119"/>
      <c r="E100" s="2056" t="s">
        <v>50</v>
      </c>
      <c r="F100" s="2020"/>
      <c r="G100" s="18"/>
      <c r="H100" s="2020"/>
      <c r="I100" s="18"/>
      <c r="J100" s="2026"/>
      <c r="K100" s="4957">
        <f t="shared" si="27"/>
        <v>0</v>
      </c>
      <c r="L100" s="2020"/>
      <c r="M100" s="18"/>
      <c r="N100" s="2035"/>
      <c r="O100" s="69">
        <f t="shared" si="28"/>
        <v>0</v>
      </c>
      <c r="P100" s="2020"/>
      <c r="Q100" s="18"/>
      <c r="R100" s="2043"/>
      <c r="S100" s="39">
        <f t="shared" si="26"/>
        <v>0</v>
      </c>
      <c r="T100" s="2020"/>
      <c r="U100" s="18"/>
      <c r="V100" s="2043"/>
      <c r="W100" s="39">
        <f t="shared" si="29"/>
        <v>0</v>
      </c>
      <c r="X100" s="2020"/>
      <c r="Y100" s="18"/>
      <c r="Z100" s="904"/>
      <c r="AA100" s="781">
        <f t="shared" si="23"/>
        <v>0</v>
      </c>
      <c r="AB100" s="4202"/>
      <c r="AC100" s="465">
        <f t="shared" si="24"/>
        <v>0</v>
      </c>
      <c r="AD100" s="2020"/>
      <c r="AE100" s="18"/>
      <c r="AF100" s="2043"/>
      <c r="AG100" s="39">
        <f t="shared" si="18"/>
        <v>0</v>
      </c>
      <c r="AH100" s="2020"/>
      <c r="AI100" s="18"/>
      <c r="AJ100" s="2043"/>
      <c r="AK100" s="39">
        <f t="shared" si="22"/>
        <v>0</v>
      </c>
      <c r="AL100" s="2020"/>
      <c r="AM100" s="18"/>
      <c r="AN100" s="904"/>
      <c r="AO100" s="781">
        <f t="shared" si="30"/>
        <v>0</v>
      </c>
      <c r="AP100" s="2043"/>
      <c r="AQ100" s="39">
        <f t="shared" si="34"/>
        <v>0</v>
      </c>
      <c r="AR100" s="2020"/>
      <c r="AS100" s="18"/>
      <c r="AT100" s="2043"/>
      <c r="AU100" s="39">
        <f t="shared" si="35"/>
        <v>0</v>
      </c>
      <c r="AV100" s="2020"/>
      <c r="AW100" s="18"/>
      <c r="AX100" s="2043"/>
      <c r="AY100" s="39">
        <f t="shared" si="36"/>
        <v>0</v>
      </c>
      <c r="AZ100" s="2020"/>
      <c r="BA100" s="18"/>
      <c r="BB100" s="904"/>
      <c r="BC100" s="781">
        <f t="shared" si="31"/>
        <v>0</v>
      </c>
      <c r="BD100" s="905"/>
      <c r="BE100" s="700">
        <f t="shared" si="32"/>
        <v>0</v>
      </c>
      <c r="BF100" s="2043"/>
      <c r="BG100" s="39">
        <f t="shared" si="33"/>
        <v>0</v>
      </c>
      <c r="BH100" s="26"/>
      <c r="BI100" s="26"/>
      <c r="BJ100" s="26"/>
      <c r="BK100" s="26"/>
      <c r="BL100" s="26"/>
      <c r="BM100" s="26"/>
      <c r="BN100" s="1219"/>
    </row>
    <row r="101" spans="1:66" ht="15" customHeight="1" x14ac:dyDescent="0.3">
      <c r="A101" s="532"/>
      <c r="B101" s="1645" t="s">
        <v>1294</v>
      </c>
      <c r="C101" s="1646"/>
      <c r="D101" s="3119"/>
      <c r="E101" s="2056" t="s">
        <v>50</v>
      </c>
      <c r="F101" s="2020"/>
      <c r="G101" s="18"/>
      <c r="H101" s="2020"/>
      <c r="I101" s="18"/>
      <c r="J101" s="2026"/>
      <c r="K101" s="4957">
        <f t="shared" si="27"/>
        <v>0</v>
      </c>
      <c r="L101" s="2020"/>
      <c r="M101" s="18"/>
      <c r="N101" s="2035"/>
      <c r="O101" s="69">
        <f t="shared" si="28"/>
        <v>0</v>
      </c>
      <c r="P101" s="2020"/>
      <c r="Q101" s="18">
        <v>4.0999999999999996</v>
      </c>
      <c r="R101" s="2043"/>
      <c r="S101" s="39">
        <f t="shared" si="26"/>
        <v>4.0999999999999996</v>
      </c>
      <c r="T101" s="2020"/>
      <c r="U101" s="18">
        <v>1.64</v>
      </c>
      <c r="V101" s="2043"/>
      <c r="W101" s="39">
        <f t="shared" si="29"/>
        <v>5.7399999999999993</v>
      </c>
      <c r="X101" s="2020"/>
      <c r="Y101" s="18">
        <v>0.82</v>
      </c>
      <c r="Z101" s="904"/>
      <c r="AA101" s="781">
        <f t="shared" si="23"/>
        <v>6.56</v>
      </c>
      <c r="AB101" s="4202"/>
      <c r="AC101" s="465">
        <f t="shared" si="24"/>
        <v>6.56</v>
      </c>
      <c r="AD101" s="2020"/>
      <c r="AE101" s="101"/>
      <c r="AF101" s="2043"/>
      <c r="AG101" s="39">
        <f t="shared" si="18"/>
        <v>6.56</v>
      </c>
      <c r="AH101" s="2020"/>
      <c r="AI101" s="101"/>
      <c r="AJ101" s="2043"/>
      <c r="AK101" s="39">
        <f t="shared" si="22"/>
        <v>6.56</v>
      </c>
      <c r="AL101" s="2020"/>
      <c r="AM101" s="101"/>
      <c r="AN101" s="904"/>
      <c r="AO101" s="781">
        <f t="shared" si="30"/>
        <v>0</v>
      </c>
      <c r="AP101" s="2043"/>
      <c r="AQ101" s="39">
        <f t="shared" si="34"/>
        <v>6.56</v>
      </c>
      <c r="AR101" s="2020"/>
      <c r="AS101" s="101"/>
      <c r="AT101" s="2043"/>
      <c r="AU101" s="39">
        <f t="shared" si="35"/>
        <v>6.56</v>
      </c>
      <c r="AV101" s="2020"/>
      <c r="AW101" s="101"/>
      <c r="AX101" s="2043"/>
      <c r="AY101" s="39">
        <f t="shared" si="36"/>
        <v>6.56</v>
      </c>
      <c r="AZ101" s="2020"/>
      <c r="BA101" s="101"/>
      <c r="BB101" s="904"/>
      <c r="BC101" s="781">
        <f t="shared" si="31"/>
        <v>0</v>
      </c>
      <c r="BD101" s="905"/>
      <c r="BE101" s="700">
        <f t="shared" si="32"/>
        <v>0</v>
      </c>
      <c r="BF101" s="2043"/>
      <c r="BG101" s="39">
        <f t="shared" si="33"/>
        <v>6.56</v>
      </c>
      <c r="BH101" s="26"/>
      <c r="BI101" s="26"/>
      <c r="BJ101" s="26"/>
      <c r="BK101" s="26"/>
      <c r="BL101" s="26"/>
      <c r="BM101" s="26"/>
      <c r="BN101" s="1219"/>
    </row>
    <row r="102" spans="1:66" ht="15" customHeight="1" x14ac:dyDescent="0.3">
      <c r="A102" s="532"/>
      <c r="B102" s="1645" t="s">
        <v>1203</v>
      </c>
      <c r="C102" s="1646"/>
      <c r="D102" s="3119"/>
      <c r="E102" s="2056" t="s">
        <v>50</v>
      </c>
      <c r="F102" s="2020"/>
      <c r="G102" s="18"/>
      <c r="H102" s="2020"/>
      <c r="I102" s="18"/>
      <c r="J102" s="2026"/>
      <c r="K102" s="4957">
        <f t="shared" si="27"/>
        <v>0</v>
      </c>
      <c r="L102" s="2020"/>
      <c r="M102" s="18"/>
      <c r="N102" s="2035"/>
      <c r="O102" s="69">
        <f t="shared" si="28"/>
        <v>0</v>
      </c>
      <c r="P102" s="2020"/>
      <c r="Q102" s="18"/>
      <c r="R102" s="2043"/>
      <c r="S102" s="39">
        <f t="shared" si="26"/>
        <v>0</v>
      </c>
      <c r="T102" s="2020"/>
      <c r="U102" s="18">
        <v>17.02</v>
      </c>
      <c r="V102" s="2043"/>
      <c r="W102" s="39">
        <f t="shared" si="29"/>
        <v>17.02</v>
      </c>
      <c r="X102" s="2020"/>
      <c r="Y102" s="18">
        <v>7.02</v>
      </c>
      <c r="Z102" s="904"/>
      <c r="AA102" s="781">
        <f t="shared" si="23"/>
        <v>24.04</v>
      </c>
      <c r="AB102" s="4202"/>
      <c r="AC102" s="465">
        <f t="shared" si="24"/>
        <v>24.04</v>
      </c>
      <c r="AD102" s="2020"/>
      <c r="AE102" s="18">
        <v>2.86</v>
      </c>
      <c r="AF102" s="2043"/>
      <c r="AG102" s="39">
        <f t="shared" si="18"/>
        <v>26.9</v>
      </c>
      <c r="AH102" s="2020"/>
      <c r="AI102" s="18"/>
      <c r="AJ102" s="2043"/>
      <c r="AK102" s="39">
        <f t="shared" si="22"/>
        <v>26.9</v>
      </c>
      <c r="AL102" s="2020"/>
      <c r="AM102" s="18">
        <v>5.6099999999999994</v>
      </c>
      <c r="AN102" s="904"/>
      <c r="AO102" s="781">
        <f t="shared" si="30"/>
        <v>8.4699999999999989</v>
      </c>
      <c r="AP102" s="2043"/>
      <c r="AQ102" s="39">
        <f t="shared" si="34"/>
        <v>32.51</v>
      </c>
      <c r="AR102" s="2020"/>
      <c r="AS102" s="18"/>
      <c r="AT102" s="2043"/>
      <c r="AU102" s="39">
        <f t="shared" si="35"/>
        <v>32.51</v>
      </c>
      <c r="AV102" s="2020"/>
      <c r="AW102" s="18">
        <v>22.08</v>
      </c>
      <c r="AX102" s="2043"/>
      <c r="AY102" s="39">
        <f t="shared" si="36"/>
        <v>54.589999999999996</v>
      </c>
      <c r="AZ102" s="2020"/>
      <c r="BA102" s="18">
        <v>1.21</v>
      </c>
      <c r="BB102" s="904"/>
      <c r="BC102" s="781">
        <f t="shared" si="31"/>
        <v>23.29</v>
      </c>
      <c r="BD102" s="905"/>
      <c r="BE102" s="700">
        <f t="shared" si="32"/>
        <v>31.759999999999998</v>
      </c>
      <c r="BF102" s="2043"/>
      <c r="BG102" s="39">
        <f t="shared" si="33"/>
        <v>55.8</v>
      </c>
      <c r="BH102" s="26"/>
      <c r="BI102" s="26"/>
      <c r="BJ102" s="26"/>
      <c r="BK102" s="26"/>
      <c r="BL102" s="26"/>
      <c r="BM102" s="26"/>
      <c r="BN102" s="1219"/>
    </row>
    <row r="103" spans="1:66" ht="15" customHeight="1" x14ac:dyDescent="0.3">
      <c r="A103" s="532"/>
      <c r="B103" s="1645" t="s">
        <v>1329</v>
      </c>
      <c r="C103" s="1646"/>
      <c r="D103" s="3119"/>
      <c r="E103" s="2056" t="s">
        <v>50</v>
      </c>
      <c r="F103" s="2020"/>
      <c r="G103" s="18">
        <v>23.02</v>
      </c>
      <c r="H103" s="2020"/>
      <c r="I103" s="18"/>
      <c r="J103" s="2026"/>
      <c r="K103" s="4957">
        <f t="shared" si="27"/>
        <v>23.02</v>
      </c>
      <c r="L103" s="2020"/>
      <c r="M103" s="18">
        <v>5.99</v>
      </c>
      <c r="N103" s="2035"/>
      <c r="O103" s="69">
        <f t="shared" si="28"/>
        <v>29.009999999999998</v>
      </c>
      <c r="P103" s="2020"/>
      <c r="Q103" s="18"/>
      <c r="R103" s="2043"/>
      <c r="S103" s="39">
        <f t="shared" si="26"/>
        <v>29.009999999999998</v>
      </c>
      <c r="T103" s="2020"/>
      <c r="U103" s="18"/>
      <c r="V103" s="2043"/>
      <c r="W103" s="39">
        <f t="shared" si="29"/>
        <v>29.009999999999998</v>
      </c>
      <c r="X103" s="2020"/>
      <c r="Y103" s="18"/>
      <c r="Z103" s="904"/>
      <c r="AA103" s="781">
        <f t="shared" si="23"/>
        <v>0</v>
      </c>
      <c r="AB103" s="4202"/>
      <c r="AC103" s="465">
        <f t="shared" si="24"/>
        <v>29.009999999999998</v>
      </c>
      <c r="AD103" s="2020"/>
      <c r="AE103" s="18"/>
      <c r="AF103" s="2043"/>
      <c r="AG103" s="39">
        <f t="shared" si="18"/>
        <v>29.009999999999998</v>
      </c>
      <c r="AH103" s="2020"/>
      <c r="AI103" s="18"/>
      <c r="AJ103" s="2043"/>
      <c r="AK103" s="39">
        <f t="shared" si="22"/>
        <v>29.009999999999998</v>
      </c>
      <c r="AL103" s="2020"/>
      <c r="AM103" s="18"/>
      <c r="AN103" s="904"/>
      <c r="AO103" s="781">
        <f t="shared" si="30"/>
        <v>0</v>
      </c>
      <c r="AP103" s="2043"/>
      <c r="AQ103" s="39">
        <f t="shared" si="34"/>
        <v>29.009999999999998</v>
      </c>
      <c r="AR103" s="2020"/>
      <c r="AS103" s="18">
        <v>77.87</v>
      </c>
      <c r="AT103" s="2043"/>
      <c r="AU103" s="39">
        <f t="shared" si="35"/>
        <v>106.88</v>
      </c>
      <c r="AV103" s="2020"/>
      <c r="AW103" s="18"/>
      <c r="AX103" s="2043"/>
      <c r="AY103" s="39">
        <f t="shared" si="36"/>
        <v>106.88</v>
      </c>
      <c r="AZ103" s="2020"/>
      <c r="BA103" s="18"/>
      <c r="BB103" s="904"/>
      <c r="BC103" s="781">
        <f t="shared" si="31"/>
        <v>77.87</v>
      </c>
      <c r="BD103" s="905"/>
      <c r="BE103" s="700">
        <f t="shared" si="32"/>
        <v>77.87</v>
      </c>
      <c r="BF103" s="2043"/>
      <c r="BG103" s="39">
        <f t="shared" si="33"/>
        <v>106.88</v>
      </c>
      <c r="BH103" s="26"/>
      <c r="BI103" s="26"/>
      <c r="BJ103" s="26"/>
      <c r="BK103" s="26"/>
      <c r="BL103" s="26"/>
      <c r="BM103" s="26"/>
      <c r="BN103" s="1219"/>
    </row>
    <row r="104" spans="1:66" ht="15" customHeight="1" x14ac:dyDescent="0.3">
      <c r="A104" s="532"/>
      <c r="B104" s="1645" t="s">
        <v>1148</v>
      </c>
      <c r="C104" s="1646"/>
      <c r="D104" s="3119"/>
      <c r="E104" s="2056" t="s">
        <v>50</v>
      </c>
      <c r="F104" s="2020"/>
      <c r="G104" s="18">
        <v>92.9</v>
      </c>
      <c r="H104" s="2020"/>
      <c r="I104" s="18">
        <v>108.19</v>
      </c>
      <c r="J104" s="2026"/>
      <c r="K104" s="4957">
        <f t="shared" si="27"/>
        <v>201.09</v>
      </c>
      <c r="L104" s="2020"/>
      <c r="M104" s="18">
        <v>13.51</v>
      </c>
      <c r="N104" s="2035"/>
      <c r="O104" s="69">
        <f t="shared" si="28"/>
        <v>214.6</v>
      </c>
      <c r="P104" s="2020"/>
      <c r="Q104" s="18">
        <v>43.86</v>
      </c>
      <c r="R104" s="2043"/>
      <c r="S104" s="39">
        <f t="shared" si="26"/>
        <v>258.45999999999998</v>
      </c>
      <c r="T104" s="2020"/>
      <c r="U104" s="18">
        <v>51.479999999999983</v>
      </c>
      <c r="V104" s="2043"/>
      <c r="W104" s="39">
        <f t="shared" si="29"/>
        <v>309.93999999999994</v>
      </c>
      <c r="X104" s="2020"/>
      <c r="Y104" s="18">
        <v>85.71</v>
      </c>
      <c r="Z104" s="904"/>
      <c r="AA104" s="781">
        <f t="shared" si="23"/>
        <v>181.04999999999995</v>
      </c>
      <c r="AB104" s="4202"/>
      <c r="AC104" s="465">
        <f t="shared" si="24"/>
        <v>395.65</v>
      </c>
      <c r="AD104" s="2020"/>
      <c r="AE104" s="18"/>
      <c r="AF104" s="2043"/>
      <c r="AG104" s="39">
        <f t="shared" si="18"/>
        <v>395.65</v>
      </c>
      <c r="AH104" s="2020"/>
      <c r="AI104" s="18"/>
      <c r="AJ104" s="2043"/>
      <c r="AK104" s="39">
        <f t="shared" si="22"/>
        <v>395.65</v>
      </c>
      <c r="AL104" s="2020"/>
      <c r="AM104" s="18">
        <v>21.75</v>
      </c>
      <c r="AN104" s="904"/>
      <c r="AO104" s="781">
        <f t="shared" si="30"/>
        <v>21.75</v>
      </c>
      <c r="AP104" s="2043"/>
      <c r="AQ104" s="39">
        <f t="shared" ref="AQ104:AQ106" si="37">AK104+AM104</f>
        <v>417.4</v>
      </c>
      <c r="AR104" s="2020"/>
      <c r="AS104" s="18">
        <v>1.96</v>
      </c>
      <c r="AT104" s="2043"/>
      <c r="AU104" s="39">
        <f t="shared" ref="AU104:AU106" si="38">+AQ104+AS104</f>
        <v>419.35999999999996</v>
      </c>
      <c r="AV104" s="2020"/>
      <c r="AW104" s="18">
        <v>104.53999999999999</v>
      </c>
      <c r="AX104" s="2043"/>
      <c r="AY104" s="39">
        <f t="shared" si="36"/>
        <v>523.9</v>
      </c>
      <c r="AZ104" s="2020"/>
      <c r="BA104" s="18">
        <v>62.54</v>
      </c>
      <c r="BB104" s="904"/>
      <c r="BC104" s="781">
        <f t="shared" si="31"/>
        <v>169.04</v>
      </c>
      <c r="BD104" s="905"/>
      <c r="BE104" s="700">
        <f t="shared" si="32"/>
        <v>190.79</v>
      </c>
      <c r="BF104" s="2043"/>
      <c r="BG104" s="39">
        <f t="shared" si="33"/>
        <v>586.43999999999994</v>
      </c>
      <c r="BH104" s="26"/>
      <c r="BI104" s="26"/>
      <c r="BJ104" s="26"/>
      <c r="BK104" s="26"/>
      <c r="BL104" s="26"/>
      <c r="BM104" s="26"/>
      <c r="BN104" s="1219"/>
    </row>
    <row r="105" spans="1:66" ht="15" customHeight="1" x14ac:dyDescent="0.3">
      <c r="A105" s="532"/>
      <c r="B105" s="5476" t="s">
        <v>2280</v>
      </c>
      <c r="C105" s="5477"/>
      <c r="D105" s="5478"/>
      <c r="E105" s="5479" t="s">
        <v>50</v>
      </c>
      <c r="F105" s="5480"/>
      <c r="G105" s="5481"/>
      <c r="H105" s="5480"/>
      <c r="I105" s="5481"/>
      <c r="J105" s="5482"/>
      <c r="K105" s="4957">
        <f t="shared" si="27"/>
        <v>0</v>
      </c>
      <c r="L105" s="5480"/>
      <c r="M105" s="5481">
        <v>9.9600000000000009</v>
      </c>
      <c r="N105" s="5483"/>
      <c r="O105" s="69">
        <f t="shared" si="28"/>
        <v>9.9600000000000009</v>
      </c>
      <c r="P105" s="5480"/>
      <c r="Q105" s="5481">
        <v>18.57</v>
      </c>
      <c r="R105" s="5484"/>
      <c r="S105" s="39">
        <f t="shared" si="26"/>
        <v>28.53</v>
      </c>
      <c r="T105" s="5480"/>
      <c r="U105" s="5481">
        <v>33.03</v>
      </c>
      <c r="V105" s="5484"/>
      <c r="W105" s="39">
        <f t="shared" si="29"/>
        <v>61.56</v>
      </c>
      <c r="X105" s="5480"/>
      <c r="Y105" s="5481">
        <v>11.85</v>
      </c>
      <c r="Z105" s="5485"/>
      <c r="AA105" s="781">
        <f t="shared" si="23"/>
        <v>63.45</v>
      </c>
      <c r="AB105" s="4202"/>
      <c r="AC105" s="465">
        <f t="shared" si="24"/>
        <v>73.41</v>
      </c>
      <c r="AD105" s="5480"/>
      <c r="AE105" s="5481"/>
      <c r="AF105" s="5484"/>
      <c r="AG105" s="4866"/>
      <c r="AH105" s="5480"/>
      <c r="AI105" s="5481"/>
      <c r="AJ105" s="5484"/>
      <c r="AK105" s="4866"/>
      <c r="AL105" s="5480"/>
      <c r="AM105" s="5481"/>
      <c r="AN105" s="5485"/>
      <c r="AO105" s="5450"/>
      <c r="AP105" s="5484"/>
      <c r="AQ105" s="4866"/>
      <c r="AR105" s="5480"/>
      <c r="AS105" s="5481"/>
      <c r="AT105" s="5484"/>
      <c r="AU105" s="4866"/>
      <c r="AV105" s="5480"/>
      <c r="AW105" s="5481"/>
      <c r="AX105" s="5484"/>
      <c r="AY105" s="4866"/>
      <c r="AZ105" s="5480"/>
      <c r="BA105" s="5481"/>
      <c r="BB105" s="5485"/>
      <c r="BC105" s="5450"/>
      <c r="BD105" s="5486"/>
      <c r="BE105" s="5458"/>
      <c r="BF105" s="5484"/>
      <c r="BG105" s="4866"/>
      <c r="BH105" s="26"/>
      <c r="BI105" s="26"/>
      <c r="BJ105" s="26"/>
      <c r="BK105" s="26"/>
      <c r="BL105" s="26"/>
      <c r="BM105" s="26"/>
      <c r="BN105" s="1219"/>
    </row>
    <row r="106" spans="1:66" thickBot="1" x14ac:dyDescent="0.35">
      <c r="A106" s="149"/>
      <c r="B106" s="1647" t="s">
        <v>2328</v>
      </c>
      <c r="C106" s="3120"/>
      <c r="D106" s="3121"/>
      <c r="E106" s="3122" t="s">
        <v>50</v>
      </c>
      <c r="F106" s="3123"/>
      <c r="G106" s="38"/>
      <c r="H106" s="3123"/>
      <c r="I106" s="38"/>
      <c r="J106" s="3124"/>
      <c r="K106" s="4957">
        <f t="shared" si="27"/>
        <v>0</v>
      </c>
      <c r="L106" s="3123"/>
      <c r="M106" s="38"/>
      <c r="N106" s="2035"/>
      <c r="O106" s="69">
        <f t="shared" si="28"/>
        <v>0</v>
      </c>
      <c r="P106" s="3123"/>
      <c r="Q106" s="38"/>
      <c r="R106" s="2043"/>
      <c r="S106" s="39">
        <f t="shared" ref="S106" si="39">+O106+Q106</f>
        <v>0</v>
      </c>
      <c r="T106" s="3123"/>
      <c r="U106" s="38">
        <v>0.96</v>
      </c>
      <c r="V106" s="2043"/>
      <c r="W106" s="39">
        <f t="shared" si="29"/>
        <v>0.96</v>
      </c>
      <c r="X106" s="3123"/>
      <c r="Y106" s="38"/>
      <c r="Z106" s="904"/>
      <c r="AA106" s="781">
        <f t="shared" si="23"/>
        <v>0.96</v>
      </c>
      <c r="AB106" s="4202"/>
      <c r="AC106" s="465">
        <f t="shared" si="24"/>
        <v>0.96</v>
      </c>
      <c r="AD106" s="3123"/>
      <c r="AE106" s="38"/>
      <c r="AF106" s="2043"/>
      <c r="AG106" s="39">
        <f t="shared" si="18"/>
        <v>0.96</v>
      </c>
      <c r="AH106" s="3123"/>
      <c r="AI106" s="38"/>
      <c r="AJ106" s="2043"/>
      <c r="AK106" s="39">
        <f t="shared" si="22"/>
        <v>0.96</v>
      </c>
      <c r="AL106" s="3123"/>
      <c r="AM106" s="38"/>
      <c r="AN106" s="904"/>
      <c r="AO106" s="781">
        <f t="shared" si="30"/>
        <v>0</v>
      </c>
      <c r="AP106" s="2043"/>
      <c r="AQ106" s="39">
        <f t="shared" si="37"/>
        <v>0.96</v>
      </c>
      <c r="AR106" s="3123"/>
      <c r="AS106" s="38"/>
      <c r="AT106" s="2043"/>
      <c r="AU106" s="39">
        <f t="shared" si="38"/>
        <v>0.96</v>
      </c>
      <c r="AV106" s="3123"/>
      <c r="AW106" s="38"/>
      <c r="AX106" s="2043"/>
      <c r="AY106" s="39">
        <f t="shared" si="36"/>
        <v>0.96</v>
      </c>
      <c r="AZ106" s="3123"/>
      <c r="BA106" s="38"/>
      <c r="BB106" s="904"/>
      <c r="BC106" s="781">
        <f t="shared" si="31"/>
        <v>0</v>
      </c>
      <c r="BD106" s="905"/>
      <c r="BE106" s="700">
        <f t="shared" si="32"/>
        <v>0</v>
      </c>
      <c r="BF106" s="2043"/>
      <c r="BG106" s="39">
        <f t="shared" si="33"/>
        <v>0.96</v>
      </c>
      <c r="BH106" s="26"/>
      <c r="BI106" s="26"/>
      <c r="BJ106" s="26"/>
      <c r="BK106" s="26"/>
      <c r="BL106" s="26"/>
      <c r="BM106" s="26"/>
      <c r="BN106" s="1219"/>
    </row>
    <row r="107" spans="1:66" ht="16.149999999999999" thickBot="1" x14ac:dyDescent="0.35">
      <c r="A107" s="149"/>
      <c r="B107" s="1043" t="s">
        <v>300</v>
      </c>
      <c r="C107" s="1042"/>
      <c r="D107" s="2053"/>
      <c r="E107" s="3108" t="s">
        <v>50</v>
      </c>
      <c r="F107" s="3109">
        <f>+F108</f>
        <v>62000</v>
      </c>
      <c r="G107" s="3110">
        <f>+SUM(G8:G106)</f>
        <v>50035.327000000005</v>
      </c>
      <c r="H107" s="3109">
        <f>+H108</f>
        <v>65000</v>
      </c>
      <c r="I107" s="3110">
        <f>+SUM(I8:I106)</f>
        <v>57592.384000000013</v>
      </c>
      <c r="J107" s="3111">
        <f>+J108</f>
        <v>127000</v>
      </c>
      <c r="K107" s="3112">
        <f>+SUM(K8:K106)</f>
        <v>107627.71099999998</v>
      </c>
      <c r="L107" s="3109">
        <f>+L108</f>
        <v>62500</v>
      </c>
      <c r="M107" s="3110">
        <f>+SUM(M8:M106)</f>
        <v>58809.43299999999</v>
      </c>
      <c r="N107" s="2002">
        <f>+N108</f>
        <v>189500</v>
      </c>
      <c r="O107" s="2003">
        <f>+SUM(O8:O106)</f>
        <v>166437.14399999997</v>
      </c>
      <c r="P107" s="3109">
        <f>+P108</f>
        <v>65000</v>
      </c>
      <c r="Q107" s="3110">
        <f>+SUM(Q8:Q106)</f>
        <v>57582.287000000004</v>
      </c>
      <c r="R107" s="2007">
        <f>+R108</f>
        <v>254500</v>
      </c>
      <c r="S107" s="182">
        <f>+SUM(S8:S106)</f>
        <v>224019.43099999992</v>
      </c>
      <c r="T107" s="3109">
        <f>+T108</f>
        <v>65000</v>
      </c>
      <c r="U107" s="3110">
        <f>+SUM(U8:U106)</f>
        <v>44755.652999999991</v>
      </c>
      <c r="V107" s="2007">
        <f>+V108</f>
        <v>319500</v>
      </c>
      <c r="W107" s="182">
        <f>+SUM(W8:W106)</f>
        <v>268775.08400000003</v>
      </c>
      <c r="X107" s="3109">
        <f>+X108</f>
        <v>33500</v>
      </c>
      <c r="Y107" s="3110">
        <f>+SUM(Y8:Y106)</f>
        <v>50235.30599999999</v>
      </c>
      <c r="Z107" s="801">
        <f>+Z108</f>
        <v>163500</v>
      </c>
      <c r="AA107" s="801">
        <f>+SUM(AA8:AA106)</f>
        <v>152573.24599999996</v>
      </c>
      <c r="AB107" s="522">
        <f>+AB108</f>
        <v>353000</v>
      </c>
      <c r="AC107" s="817">
        <f>+SUM(AC8:AC106)</f>
        <v>319010.38999999996</v>
      </c>
      <c r="AD107" s="3109">
        <f>+AD108</f>
        <v>54000</v>
      </c>
      <c r="AE107" s="3110">
        <f>+SUM(AE8:AE106)</f>
        <v>44979.451000000008</v>
      </c>
      <c r="AF107" s="2007">
        <f>+AF108</f>
        <v>407000</v>
      </c>
      <c r="AG107" s="182">
        <f>+SUM(AG8:AG106)</f>
        <v>344768.49900000013</v>
      </c>
      <c r="AH107" s="3109">
        <f>+AH108</f>
        <v>52000</v>
      </c>
      <c r="AI107" s="3110">
        <f>+SUM(AI8:AI106)</f>
        <v>8584.9840000000004</v>
      </c>
      <c r="AJ107" s="2007">
        <f>+AJ108</f>
        <v>459000</v>
      </c>
      <c r="AK107" s="182">
        <f>+SUM(AK8:AK106)</f>
        <v>353353.48300000012</v>
      </c>
      <c r="AL107" s="3109">
        <f>+AL108</f>
        <v>54000</v>
      </c>
      <c r="AM107" s="3110">
        <f>+SUM(AM8:AM106)</f>
        <v>41652.068000000007</v>
      </c>
      <c r="AN107" s="801">
        <f>+AN108</f>
        <v>160000</v>
      </c>
      <c r="AO107" s="801">
        <f>+SUM(AO8:AO106)</f>
        <v>95216.502999999982</v>
      </c>
      <c r="AP107" s="2007">
        <f>+AP108</f>
        <v>513000</v>
      </c>
      <c r="AQ107" s="182">
        <f>+SUM(AQ8:AQ106)</f>
        <v>395005.55100000015</v>
      </c>
      <c r="AR107" s="3109">
        <f>+AR108</f>
        <v>54000</v>
      </c>
      <c r="AS107" s="3110">
        <f>+SUM(AS8:AS106)</f>
        <v>52038.748999999996</v>
      </c>
      <c r="AT107" s="2007">
        <f>+AT108</f>
        <v>567000</v>
      </c>
      <c r="AU107" s="182">
        <f>+SUM(AU8:AU106)</f>
        <v>447044.29999999993</v>
      </c>
      <c r="AV107" s="3109">
        <f>+AV108</f>
        <v>48000</v>
      </c>
      <c r="AW107" s="3110">
        <f>+SUM(AW8:AW106)</f>
        <v>51200.030000000006</v>
      </c>
      <c r="AX107" s="2007">
        <f>+AX108</f>
        <v>615000</v>
      </c>
      <c r="AY107" s="182">
        <f>+SUM(AY8:AY106)</f>
        <v>498244.33000000019</v>
      </c>
      <c r="AZ107" s="3109">
        <f>+AZ108</f>
        <v>60000</v>
      </c>
      <c r="BA107" s="3110">
        <f>+SUM(BA8:BA106)</f>
        <v>62366.380000000005</v>
      </c>
      <c r="BB107" s="801">
        <f>+BB108</f>
        <v>162000</v>
      </c>
      <c r="BC107" s="801">
        <f>+SUM(BC8:BC106)</f>
        <v>165605.15899999999</v>
      </c>
      <c r="BD107" s="1622">
        <f>+BD108</f>
        <v>322000</v>
      </c>
      <c r="BE107" s="1622">
        <f>+SUM(BE8:BE106)</f>
        <v>260821.66199999998</v>
      </c>
      <c r="BF107" s="2007">
        <f>+BF108</f>
        <v>675000</v>
      </c>
      <c r="BG107" s="182">
        <f>+SUM(BG8:BG106)</f>
        <v>560610.70999999973</v>
      </c>
      <c r="BH107" s="26"/>
      <c r="BI107" s="26"/>
      <c r="BJ107" s="26"/>
      <c r="BK107" s="26"/>
      <c r="BL107" s="26"/>
      <c r="BM107" s="26"/>
      <c r="BN107" s="549"/>
    </row>
    <row r="108" spans="1:66" ht="16.149999999999999" thickBot="1" x14ac:dyDescent="0.35">
      <c r="A108" s="149"/>
      <c r="B108" s="906" t="s">
        <v>824</v>
      </c>
      <c r="C108" s="1043"/>
      <c r="D108" s="2054"/>
      <c r="E108" s="2057" t="s">
        <v>50</v>
      </c>
      <c r="F108" s="1551">
        <f>+'Maj Production Summ'!E32</f>
        <v>62000</v>
      </c>
      <c r="G108" s="263">
        <f>+SUM(G8:G91)</f>
        <v>49543.777000000002</v>
      </c>
      <c r="H108" s="1551">
        <f>+'Maj Production Summ'!G32</f>
        <v>65000</v>
      </c>
      <c r="I108" s="263">
        <f>+SUM(I8:I91)</f>
        <v>57219.144</v>
      </c>
      <c r="J108" s="2027">
        <f>+'Maj Production Summ'!I32</f>
        <v>127000</v>
      </c>
      <c r="K108" s="2029">
        <f>+SUM(K8:K91)</f>
        <v>106762.92099999997</v>
      </c>
      <c r="L108" s="1551">
        <f>+'Maj Production Summ'!K32</f>
        <v>62500</v>
      </c>
      <c r="M108" s="263">
        <f>+SUM(M8:M91)</f>
        <v>58674.632999999994</v>
      </c>
      <c r="N108" s="2002">
        <f>+'Maj Production Summ'!M32</f>
        <v>189500</v>
      </c>
      <c r="O108" s="2003">
        <f>+SUM(O8:O91)</f>
        <v>165437.55399999997</v>
      </c>
      <c r="P108" s="1551">
        <f>+'Maj Production Summ'!O32</f>
        <v>65000</v>
      </c>
      <c r="Q108" s="263">
        <f>+SUM(Q8:Q91)</f>
        <v>57327.387000000002</v>
      </c>
      <c r="R108" s="2007">
        <f>+'Maj Production Summ'!Q32</f>
        <v>254500</v>
      </c>
      <c r="S108" s="182">
        <f>+SUM(S8:S91)</f>
        <v>222764.94099999993</v>
      </c>
      <c r="T108" s="1551">
        <f>+'Maj Production Summ'!S32</f>
        <v>65000</v>
      </c>
      <c r="U108" s="263">
        <f>+SUM(U8:U91)</f>
        <v>44406.292999999998</v>
      </c>
      <c r="V108" s="2007">
        <f>+'Maj Production Summ'!U32</f>
        <v>319500</v>
      </c>
      <c r="W108" s="182">
        <f>+SUM(W8:W91)</f>
        <v>267171.234</v>
      </c>
      <c r="X108" s="1551">
        <f>+'Maj Production Summ'!W32</f>
        <v>33500</v>
      </c>
      <c r="Y108" s="263">
        <f>+SUM(Y8:Y91)</f>
        <v>50010.385999999991</v>
      </c>
      <c r="Z108" s="801">
        <f>+'Maj Production Summ'!Y32</f>
        <v>163500</v>
      </c>
      <c r="AA108" s="801">
        <f>+SUM(AA8:AA91)</f>
        <v>151744.06599999999</v>
      </c>
      <c r="AB108" s="522">
        <f>+'Maj Production Summ'!AA32</f>
        <v>353000</v>
      </c>
      <c r="AC108" s="522">
        <f>+SUM(AC8:AC91)</f>
        <v>317181.61999999994</v>
      </c>
      <c r="AD108" s="1551">
        <f>+'Maj Production Summ'!AC32</f>
        <v>54000</v>
      </c>
      <c r="AE108" s="263">
        <f>+SUM(AE8:AE91)</f>
        <v>44900.301000000007</v>
      </c>
      <c r="AF108" s="2007">
        <f>+'Maj Production Summ'!AE32</f>
        <v>407000</v>
      </c>
      <c r="AG108" s="182">
        <f>+SUM(AG8:AG91)</f>
        <v>342933.98899999994</v>
      </c>
      <c r="AH108" s="1551">
        <f>+'Maj Production Summ'!AG32</f>
        <v>52000</v>
      </c>
      <c r="AI108" s="263">
        <f>+SUM(AI8:AI91)</f>
        <v>8584.9840000000004</v>
      </c>
      <c r="AJ108" s="2007">
        <f>+'Maj Production Summ'!AI32</f>
        <v>459000</v>
      </c>
      <c r="AK108" s="182">
        <f>+SUM(AK8:AK91)</f>
        <v>351518.97299999994</v>
      </c>
      <c r="AL108" s="1551">
        <f>+'Maj Production Summ'!AK32</f>
        <v>54000</v>
      </c>
      <c r="AM108" s="263">
        <f>+SUM(AM8:AM91)</f>
        <v>40066.768000000004</v>
      </c>
      <c r="AN108" s="801">
        <f>+'Maj Production Summ'!AM32</f>
        <v>160000</v>
      </c>
      <c r="AO108" s="801">
        <f>+SUM(AO8:AO91)</f>
        <v>93552.053</v>
      </c>
      <c r="AP108" s="2007">
        <f>+'Maj Production Summ'!AO32</f>
        <v>513000</v>
      </c>
      <c r="AQ108" s="182">
        <f>+SUM(AQ8:AQ91)</f>
        <v>391585.74100000004</v>
      </c>
      <c r="AR108" s="1551">
        <f>+'Maj Production Summ'!AQ32</f>
        <v>54000</v>
      </c>
      <c r="AS108" s="263">
        <f>+SUM(AS8:AS91)</f>
        <v>51039.178999999996</v>
      </c>
      <c r="AT108" s="2007">
        <f>+'Maj Production Summ'!AS32</f>
        <v>567000</v>
      </c>
      <c r="AU108" s="182">
        <f>+SUM(AU8:AU91)</f>
        <v>442624.91999999987</v>
      </c>
      <c r="AV108" s="1551">
        <f>+'Maj Production Summ'!AU32</f>
        <v>48000</v>
      </c>
      <c r="AW108" s="263">
        <f>+SUM(AW8:AW91)</f>
        <v>51009.48</v>
      </c>
      <c r="AX108" s="2007">
        <f>+'Maj Production Summ'!AW32</f>
        <v>615000</v>
      </c>
      <c r="AY108" s="182">
        <f>+SUM(AY8:AY91)</f>
        <v>493634.40000000008</v>
      </c>
      <c r="AZ108" s="1551">
        <f>+'Maj Production Summ'!AY32</f>
        <v>60000</v>
      </c>
      <c r="BA108" s="263">
        <f>+SUM(BA8:BA91)</f>
        <v>62071.890000000007</v>
      </c>
      <c r="BB108" s="801">
        <f>+'Maj Production Summ'!BA32</f>
        <v>162000</v>
      </c>
      <c r="BC108" s="801">
        <f>+SUM(BC8:BC91)</f>
        <v>164120.549</v>
      </c>
      <c r="BD108" s="1622">
        <f>+'Maj Production Summ'!BC32</f>
        <v>322000</v>
      </c>
      <c r="BE108" s="1622">
        <f>+SUM(BE8:BE91)</f>
        <v>257672.60199999996</v>
      </c>
      <c r="BF108" s="2007">
        <f>+'Maj Production Summ'!BE32</f>
        <v>675000</v>
      </c>
      <c r="BG108" s="182">
        <f>+SUM(BG8:BG91)</f>
        <v>555706.2899999998</v>
      </c>
      <c r="BH108" s="26"/>
      <c r="BI108" s="26"/>
      <c r="BJ108" s="26"/>
      <c r="BK108" s="26"/>
      <c r="BL108" s="26"/>
      <c r="BM108" s="26"/>
      <c r="BN108" s="549"/>
    </row>
    <row r="109" spans="1:66" ht="16.149999999999999" thickBot="1" x14ac:dyDescent="0.35">
      <c r="A109" s="149"/>
      <c r="B109" s="906" t="s">
        <v>823</v>
      </c>
      <c r="C109" s="906"/>
      <c r="D109" s="2055"/>
      <c r="E109" s="2057" t="s">
        <v>50</v>
      </c>
      <c r="F109" s="1600"/>
      <c r="G109" s="1159">
        <f>+SUM(G92:G106)</f>
        <v>491.54999999999995</v>
      </c>
      <c r="H109" s="1600"/>
      <c r="I109" s="1159">
        <f>+SUM(I92:I106)</f>
        <v>373.24</v>
      </c>
      <c r="J109" s="3079"/>
      <c r="K109" s="3080">
        <f>+SUM(K92:K106)</f>
        <v>864.79</v>
      </c>
      <c r="L109" s="1600"/>
      <c r="M109" s="1159">
        <f>+SUM(M92:M106)</f>
        <v>134.80000000000001</v>
      </c>
      <c r="N109" s="2002"/>
      <c r="O109" s="1582">
        <f>+SUM(O92:O106)</f>
        <v>999.59000000000015</v>
      </c>
      <c r="P109" s="1600"/>
      <c r="Q109" s="1159">
        <f>+SUM(Q92:Q106)</f>
        <v>254.89999999999998</v>
      </c>
      <c r="R109" s="2007"/>
      <c r="S109" s="1835">
        <f>+SUM(S92:S106)</f>
        <v>1254.49</v>
      </c>
      <c r="T109" s="1600"/>
      <c r="U109" s="1159">
        <f>+SUM(U92:U106)</f>
        <v>349.35999999999996</v>
      </c>
      <c r="V109" s="2007"/>
      <c r="W109" s="1835">
        <f>+SUM(W92:W106)</f>
        <v>1603.85</v>
      </c>
      <c r="X109" s="1600"/>
      <c r="Y109" s="1159">
        <f>+SUM(Y92:Y106)</f>
        <v>224.92</v>
      </c>
      <c r="Z109" s="801"/>
      <c r="AA109" s="816">
        <f>+SUM(AA92:AA106)</f>
        <v>829.18000000000006</v>
      </c>
      <c r="AB109" s="522"/>
      <c r="AC109" s="817">
        <f>+SUM(AC92:AC106)</f>
        <v>1828.7699999999998</v>
      </c>
      <c r="AD109" s="1600"/>
      <c r="AE109" s="1145">
        <f>+SUM(AE92:AE106)</f>
        <v>79.149999999999991</v>
      </c>
      <c r="AF109" s="2007"/>
      <c r="AG109" s="1835">
        <f>+SUM(AG92:AG106)</f>
        <v>1834.5099999999998</v>
      </c>
      <c r="AH109" s="1600"/>
      <c r="AI109" s="1159">
        <f>+SUM(AI92:AI106)</f>
        <v>0</v>
      </c>
      <c r="AJ109" s="2007"/>
      <c r="AK109" s="1835">
        <f>+SUM(AK92:AK106)</f>
        <v>1834.5099999999998</v>
      </c>
      <c r="AL109" s="1600"/>
      <c r="AM109" s="1145">
        <f>+SUM(AM92:AM106)</f>
        <v>1585.3</v>
      </c>
      <c r="AN109" s="801"/>
      <c r="AO109" s="801">
        <f>+SUM(AO92:AO106)</f>
        <v>1664.4500000000003</v>
      </c>
      <c r="AP109" s="2007"/>
      <c r="AQ109" s="182">
        <f>+SUM(AQ92:AQ106)</f>
        <v>3419.8100000000004</v>
      </c>
      <c r="AR109" s="1600"/>
      <c r="AS109" s="1145">
        <f>+SUM(AS92:AS106)</f>
        <v>999.57</v>
      </c>
      <c r="AT109" s="2007"/>
      <c r="AU109" s="182">
        <f>+SUM(AU92:AU106)</f>
        <v>4419.38</v>
      </c>
      <c r="AV109" s="1600"/>
      <c r="AW109" s="1145">
        <f>+SUM(AW92:AW106)</f>
        <v>190.55</v>
      </c>
      <c r="AX109" s="2007"/>
      <c r="AY109" s="182">
        <f>+SUM(AY92:AY106)</f>
        <v>4609.93</v>
      </c>
      <c r="AZ109" s="1600"/>
      <c r="BA109" s="1145">
        <f>+SUM(BA92:BA106)</f>
        <v>294.49</v>
      </c>
      <c r="BB109" s="801"/>
      <c r="BC109" s="801">
        <f>+SUM(BC92:BC106)</f>
        <v>1484.6100000000001</v>
      </c>
      <c r="BD109" s="1622"/>
      <c r="BE109" s="1622">
        <f>+SUM(BE92:BE106)</f>
        <v>3149.0600000000004</v>
      </c>
      <c r="BF109" s="2007"/>
      <c r="BG109" s="182">
        <f>+SUM(BG92:BG106)</f>
        <v>4904.42</v>
      </c>
      <c r="BH109" s="26"/>
      <c r="BI109" s="26"/>
      <c r="BJ109" s="26"/>
      <c r="BK109" s="26"/>
      <c r="BL109" s="26"/>
      <c r="BM109" s="26"/>
      <c r="BN109" s="549"/>
    </row>
    <row r="110" spans="1:66" ht="15.6" x14ac:dyDescent="0.3">
      <c r="A110" s="149"/>
      <c r="B110" s="3067"/>
      <c r="C110" s="5679"/>
      <c r="D110" s="5679"/>
      <c r="E110" s="5680"/>
      <c r="F110" s="5681"/>
      <c r="G110" s="5682"/>
      <c r="H110" s="5681"/>
      <c r="I110" s="5682"/>
      <c r="J110" s="5683"/>
      <c r="K110" s="5684"/>
      <c r="L110" s="5681"/>
      <c r="M110" s="5682"/>
      <c r="N110" s="5685"/>
      <c r="O110" s="5686"/>
      <c r="P110" s="5681"/>
      <c r="Q110" s="5682"/>
      <c r="R110" s="5687"/>
      <c r="S110" s="5688"/>
      <c r="T110" s="5681"/>
      <c r="U110" s="5682"/>
      <c r="V110" s="5687"/>
      <c r="W110" s="5688"/>
      <c r="X110" s="5681"/>
      <c r="Y110" s="5682"/>
      <c r="Z110" s="5585"/>
      <c r="AA110" s="5689"/>
      <c r="AB110" s="5586"/>
      <c r="AC110" s="5690"/>
      <c r="AD110" s="5681"/>
      <c r="AE110" s="5347"/>
      <c r="AF110" s="5687"/>
      <c r="AG110" s="5688"/>
      <c r="AH110" s="5681"/>
      <c r="AI110" s="5682"/>
      <c r="AJ110" s="5687"/>
      <c r="AK110" s="5688"/>
      <c r="AL110" s="5681"/>
      <c r="AM110" s="5347"/>
      <c r="AN110" s="5585"/>
      <c r="AO110" s="5585"/>
      <c r="AP110" s="5687"/>
      <c r="AQ110" s="5413"/>
      <c r="AR110" s="5681"/>
      <c r="AS110" s="5347"/>
      <c r="AT110" s="5687"/>
      <c r="AU110" s="5413"/>
      <c r="AV110" s="5681"/>
      <c r="AW110" s="5347"/>
      <c r="AX110" s="5687"/>
      <c r="AY110" s="5413"/>
      <c r="AZ110" s="5681"/>
      <c r="BA110" s="5347"/>
      <c r="BB110" s="5585"/>
      <c r="BC110" s="5585"/>
      <c r="BD110" s="5691"/>
      <c r="BE110" s="5691"/>
      <c r="BF110" s="5687"/>
      <c r="BG110" s="5413"/>
      <c r="BH110" s="26"/>
      <c r="BI110" s="26"/>
      <c r="BJ110" s="26"/>
      <c r="BK110" s="26"/>
      <c r="BL110" s="26"/>
      <c r="BM110" s="26"/>
      <c r="BN110" s="549"/>
    </row>
    <row r="111" spans="1:66" ht="15.6" x14ac:dyDescent="0.3">
      <c r="A111" s="149"/>
      <c r="B111" s="3067"/>
      <c r="C111" s="5679"/>
      <c r="D111" s="5679"/>
      <c r="E111" s="5680"/>
      <c r="F111" s="5681"/>
      <c r="G111" s="5682"/>
      <c r="H111" s="5681"/>
      <c r="I111" s="5682"/>
      <c r="J111" s="5683"/>
      <c r="K111" s="5684"/>
      <c r="L111" s="5681"/>
      <c r="M111" s="5682"/>
      <c r="N111" s="5685"/>
      <c r="O111" s="5686"/>
      <c r="P111" s="5681"/>
      <c r="Q111" s="5682"/>
      <c r="R111" s="5687"/>
      <c r="S111" s="5688"/>
      <c r="T111" s="5681"/>
      <c r="U111" s="5682"/>
      <c r="V111" s="5687"/>
      <c r="W111" s="5688"/>
      <c r="X111" s="5681"/>
      <c r="Y111" s="5682"/>
      <c r="Z111" s="5585"/>
      <c r="AA111" s="5689"/>
      <c r="AB111" s="5586"/>
      <c r="AC111" s="5690"/>
      <c r="AD111" s="5681"/>
      <c r="AE111" s="5347"/>
      <c r="AF111" s="5687"/>
      <c r="AG111" s="5688"/>
      <c r="AH111" s="5681"/>
      <c r="AI111" s="5682"/>
      <c r="AJ111" s="5687"/>
      <c r="AK111" s="5688"/>
      <c r="AL111" s="5681"/>
      <c r="AM111" s="5347"/>
      <c r="AN111" s="5585"/>
      <c r="AO111" s="5585"/>
      <c r="AP111" s="5687"/>
      <c r="AQ111" s="5413"/>
      <c r="AR111" s="5681"/>
      <c r="AS111" s="5347"/>
      <c r="AT111" s="5687"/>
      <c r="AU111" s="5413"/>
      <c r="AV111" s="5681"/>
      <c r="AW111" s="5347"/>
      <c r="AX111" s="5687"/>
      <c r="AY111" s="5413"/>
      <c r="AZ111" s="5681"/>
      <c r="BA111" s="5347"/>
      <c r="BB111" s="5585"/>
      <c r="BC111" s="5585"/>
      <c r="BD111" s="5691"/>
      <c r="BE111" s="5691"/>
      <c r="BF111" s="5687"/>
      <c r="BG111" s="5413"/>
      <c r="BH111" s="26"/>
      <c r="BI111" s="26"/>
      <c r="BJ111" s="26"/>
      <c r="BK111" s="26"/>
      <c r="BL111" s="26"/>
      <c r="BM111" s="26"/>
      <c r="BN111" s="549"/>
    </row>
    <row r="112" spans="1:66" ht="15.6" x14ac:dyDescent="0.3">
      <c r="A112" s="149"/>
      <c r="B112" s="3067"/>
      <c r="C112" s="5679"/>
      <c r="D112" s="5679"/>
      <c r="E112" s="5680"/>
      <c r="F112" s="5681"/>
      <c r="G112" s="5682"/>
      <c r="H112" s="5681"/>
      <c r="I112" s="5682"/>
      <c r="J112" s="5683"/>
      <c r="K112" s="5684"/>
      <c r="L112" s="5681"/>
      <c r="M112" s="5682"/>
      <c r="N112" s="5685"/>
      <c r="O112" s="5686"/>
      <c r="P112" s="5681"/>
      <c r="Q112" s="5682"/>
      <c r="R112" s="5687"/>
      <c r="S112" s="5688"/>
      <c r="T112" s="5681"/>
      <c r="U112" s="5682"/>
      <c r="V112" s="5687"/>
      <c r="W112" s="5688"/>
      <c r="X112" s="5681"/>
      <c r="Y112" s="5682"/>
      <c r="Z112" s="5585"/>
      <c r="AA112" s="5689"/>
      <c r="AB112" s="5586"/>
      <c r="AC112" s="5690"/>
      <c r="AD112" s="5681"/>
      <c r="AE112" s="5347"/>
      <c r="AF112" s="5687"/>
      <c r="AG112" s="5688"/>
      <c r="AH112" s="5681"/>
      <c r="AI112" s="5682"/>
      <c r="AJ112" s="5687"/>
      <c r="AK112" s="5688"/>
      <c r="AL112" s="5681"/>
      <c r="AM112" s="5347"/>
      <c r="AN112" s="5585"/>
      <c r="AO112" s="5585"/>
      <c r="AP112" s="5687"/>
      <c r="AQ112" s="5413"/>
      <c r="AR112" s="5681"/>
      <c r="AS112" s="5347"/>
      <c r="AT112" s="5687"/>
      <c r="AU112" s="5413"/>
      <c r="AV112" s="5681"/>
      <c r="AW112" s="5347"/>
      <c r="AX112" s="5687"/>
      <c r="AY112" s="5413"/>
      <c r="AZ112" s="5681"/>
      <c r="BA112" s="5347"/>
      <c r="BB112" s="5585"/>
      <c r="BC112" s="5585"/>
      <c r="BD112" s="5691"/>
      <c r="BE112" s="5691"/>
      <c r="BF112" s="5687"/>
      <c r="BG112" s="5413"/>
      <c r="BH112" s="26"/>
      <c r="BI112" s="26"/>
      <c r="BJ112" s="26"/>
      <c r="BK112" s="26"/>
      <c r="BL112" s="26"/>
      <c r="BM112" s="26"/>
      <c r="BN112" s="549"/>
    </row>
    <row r="113" spans="1:68" ht="15.6" x14ac:dyDescent="0.3">
      <c r="A113" s="149"/>
      <c r="B113" s="3067"/>
      <c r="C113" s="5679"/>
      <c r="D113" s="5679"/>
      <c r="E113" s="5680"/>
      <c r="F113" s="5681"/>
      <c r="G113" s="5682"/>
      <c r="H113" s="5681"/>
      <c r="I113" s="5682"/>
      <c r="J113" s="5683"/>
      <c r="K113" s="5684"/>
      <c r="L113" s="5681"/>
      <c r="M113" s="5682"/>
      <c r="N113" s="5685"/>
      <c r="O113" s="5686"/>
      <c r="P113" s="5681"/>
      <c r="Q113" s="5682"/>
      <c r="R113" s="5687"/>
      <c r="S113" s="5688"/>
      <c r="T113" s="5681"/>
      <c r="U113" s="5682"/>
      <c r="V113" s="5687"/>
      <c r="W113" s="5688"/>
      <c r="X113" s="5681"/>
      <c r="Y113" s="5682"/>
      <c r="Z113" s="5585"/>
      <c r="AA113" s="5689"/>
      <c r="AB113" s="5586"/>
      <c r="AC113" s="5690"/>
      <c r="AD113" s="5681"/>
      <c r="AE113" s="5347"/>
      <c r="AF113" s="5687"/>
      <c r="AG113" s="5688"/>
      <c r="AH113" s="5681"/>
      <c r="AI113" s="5682"/>
      <c r="AJ113" s="5687"/>
      <c r="AK113" s="5688"/>
      <c r="AL113" s="5681"/>
      <c r="AM113" s="5347"/>
      <c r="AN113" s="5585"/>
      <c r="AO113" s="5585"/>
      <c r="AP113" s="5687"/>
      <c r="AQ113" s="5413"/>
      <c r="AR113" s="5681"/>
      <c r="AS113" s="5347"/>
      <c r="AT113" s="5687"/>
      <c r="AU113" s="5413"/>
      <c r="AV113" s="5681"/>
      <c r="AW113" s="5347"/>
      <c r="AX113" s="5687"/>
      <c r="AY113" s="5413"/>
      <c r="AZ113" s="5681"/>
      <c r="BA113" s="5347"/>
      <c r="BB113" s="5585"/>
      <c r="BC113" s="5585"/>
      <c r="BD113" s="5691"/>
      <c r="BE113" s="5691"/>
      <c r="BF113" s="5687"/>
      <c r="BG113" s="5413"/>
      <c r="BH113" s="26"/>
      <c r="BI113" s="26"/>
      <c r="BJ113" s="26"/>
      <c r="BK113" s="26"/>
      <c r="BL113" s="26"/>
      <c r="BM113" s="26"/>
      <c r="BN113" s="549"/>
    </row>
    <row r="114" spans="1:68" ht="15.6" x14ac:dyDescent="0.3">
      <c r="A114" s="149"/>
      <c r="B114" s="3067"/>
      <c r="C114" s="5679"/>
      <c r="D114" s="5679"/>
      <c r="E114" s="5680"/>
      <c r="F114" s="5681"/>
      <c r="G114" s="5682"/>
      <c r="H114" s="5681"/>
      <c r="I114" s="5682"/>
      <c r="J114" s="5683"/>
      <c r="K114" s="5684"/>
      <c r="L114" s="5681"/>
      <c r="M114" s="5682"/>
      <c r="N114" s="5685"/>
      <c r="O114" s="5686"/>
      <c r="P114" s="5681"/>
      <c r="Q114" s="5682"/>
      <c r="R114" s="5687"/>
      <c r="S114" s="5688"/>
      <c r="T114" s="5681"/>
      <c r="U114" s="5682"/>
      <c r="V114" s="5687"/>
      <c r="W114" s="5688"/>
      <c r="X114" s="5681"/>
      <c r="Y114" s="5682"/>
      <c r="Z114" s="5585"/>
      <c r="AA114" s="5689"/>
      <c r="AB114" s="5586"/>
      <c r="AC114" s="5690"/>
      <c r="AD114" s="5681"/>
      <c r="AE114" s="5347"/>
      <c r="AF114" s="5687"/>
      <c r="AG114" s="5688"/>
      <c r="AH114" s="5681"/>
      <c r="AI114" s="5682"/>
      <c r="AJ114" s="5687"/>
      <c r="AK114" s="5688"/>
      <c r="AL114" s="5681"/>
      <c r="AM114" s="5347"/>
      <c r="AN114" s="5585"/>
      <c r="AO114" s="5585"/>
      <c r="AP114" s="5687"/>
      <c r="AQ114" s="5413"/>
      <c r="AR114" s="5681"/>
      <c r="AS114" s="5347"/>
      <c r="AT114" s="5687"/>
      <c r="AU114" s="5413"/>
      <c r="AV114" s="5681"/>
      <c r="AW114" s="5347"/>
      <c r="AX114" s="5687"/>
      <c r="AY114" s="5413"/>
      <c r="AZ114" s="5681"/>
      <c r="BA114" s="5347"/>
      <c r="BB114" s="5585"/>
      <c r="BC114" s="5585"/>
      <c r="BD114" s="5691"/>
      <c r="BE114" s="5691"/>
      <c r="BF114" s="5687"/>
      <c r="BG114" s="5413"/>
      <c r="BH114" s="26"/>
      <c r="BI114" s="26"/>
      <c r="BJ114" s="26"/>
      <c r="BK114" s="26"/>
      <c r="BL114" s="26"/>
      <c r="BM114" s="26"/>
      <c r="BN114" s="549"/>
    </row>
    <row r="115" spans="1:68" ht="15.6" x14ac:dyDescent="0.3">
      <c r="A115" s="149"/>
      <c r="B115" s="3067"/>
      <c r="C115" s="5679"/>
      <c r="D115" s="5679"/>
      <c r="E115" s="5680"/>
      <c r="F115" s="5681"/>
      <c r="G115" s="5682"/>
      <c r="H115" s="5681"/>
      <c r="I115" s="5682"/>
      <c r="J115" s="5683"/>
      <c r="K115" s="5684"/>
      <c r="L115" s="5681"/>
      <c r="M115" s="5682"/>
      <c r="N115" s="5685"/>
      <c r="O115" s="5686"/>
      <c r="P115" s="5681"/>
      <c r="Q115" s="5682"/>
      <c r="R115" s="5687"/>
      <c r="S115" s="5688"/>
      <c r="T115" s="5681"/>
      <c r="U115" s="5682"/>
      <c r="V115" s="5687"/>
      <c r="W115" s="5688"/>
      <c r="X115" s="5681"/>
      <c r="Y115" s="5682"/>
      <c r="Z115" s="5585"/>
      <c r="AA115" s="5689"/>
      <c r="AB115" s="5586"/>
      <c r="AC115" s="5690"/>
      <c r="AD115" s="5681"/>
      <c r="AE115" s="5347"/>
      <c r="AF115" s="5687"/>
      <c r="AG115" s="5688"/>
      <c r="AH115" s="5681"/>
      <c r="AI115" s="5682"/>
      <c r="AJ115" s="5687"/>
      <c r="AK115" s="5688"/>
      <c r="AL115" s="5681"/>
      <c r="AM115" s="5347"/>
      <c r="AN115" s="5585"/>
      <c r="AO115" s="5585"/>
      <c r="AP115" s="5687"/>
      <c r="AQ115" s="5413"/>
      <c r="AR115" s="5681"/>
      <c r="AS115" s="5347"/>
      <c r="AT115" s="5687"/>
      <c r="AU115" s="5413"/>
      <c r="AV115" s="5681"/>
      <c r="AW115" s="5347"/>
      <c r="AX115" s="5687"/>
      <c r="AY115" s="5413"/>
      <c r="AZ115" s="5681"/>
      <c r="BA115" s="5347"/>
      <c r="BB115" s="5585"/>
      <c r="BC115" s="5585"/>
      <c r="BD115" s="5691"/>
      <c r="BE115" s="5691"/>
      <c r="BF115" s="5687"/>
      <c r="BG115" s="5413"/>
      <c r="BH115" s="26"/>
      <c r="BI115" s="26"/>
      <c r="BJ115" s="26"/>
      <c r="BK115" s="26"/>
      <c r="BL115" s="26"/>
      <c r="BM115" s="26"/>
      <c r="BN115" s="549"/>
    </row>
    <row r="116" spans="1:68" ht="15.6" x14ac:dyDescent="0.3">
      <c r="A116" s="149"/>
      <c r="B116" s="3067"/>
      <c r="C116" s="5679"/>
      <c r="D116" s="5679"/>
      <c r="E116" s="5680"/>
      <c r="F116" s="5681"/>
      <c r="G116" s="5682"/>
      <c r="H116" s="5681"/>
      <c r="I116" s="5682"/>
      <c r="J116" s="5683"/>
      <c r="K116" s="5684"/>
      <c r="L116" s="5681"/>
      <c r="M116" s="5682"/>
      <c r="N116" s="5685"/>
      <c r="O116" s="5686"/>
      <c r="P116" s="5681"/>
      <c r="Q116" s="5682"/>
      <c r="R116" s="5687"/>
      <c r="S116" s="5688"/>
      <c r="T116" s="5681"/>
      <c r="U116" s="5682"/>
      <c r="V116" s="5687"/>
      <c r="W116" s="5688"/>
      <c r="X116" s="5681"/>
      <c r="Y116" s="5682"/>
      <c r="Z116" s="5585"/>
      <c r="AA116" s="5689"/>
      <c r="AB116" s="5586"/>
      <c r="AC116" s="5690"/>
      <c r="AD116" s="5681"/>
      <c r="AE116" s="5347"/>
      <c r="AF116" s="5687"/>
      <c r="AG116" s="5688"/>
      <c r="AH116" s="5681"/>
      <c r="AI116" s="5682"/>
      <c r="AJ116" s="5687"/>
      <c r="AK116" s="5688"/>
      <c r="AL116" s="5681"/>
      <c r="AM116" s="5347"/>
      <c r="AN116" s="5585"/>
      <c r="AO116" s="5585"/>
      <c r="AP116" s="5687"/>
      <c r="AQ116" s="5413"/>
      <c r="AR116" s="5681"/>
      <c r="AS116" s="5347"/>
      <c r="AT116" s="5687"/>
      <c r="AU116" s="5413"/>
      <c r="AV116" s="5681"/>
      <c r="AW116" s="5347"/>
      <c r="AX116" s="5687"/>
      <c r="AY116" s="5413"/>
      <c r="AZ116" s="5681"/>
      <c r="BA116" s="5347"/>
      <c r="BB116" s="5585"/>
      <c r="BC116" s="5585"/>
      <c r="BD116" s="5691"/>
      <c r="BE116" s="5691"/>
      <c r="BF116" s="5687"/>
      <c r="BG116" s="5413"/>
      <c r="BH116" s="26"/>
      <c r="BI116" s="26"/>
      <c r="BJ116" s="26"/>
      <c r="BK116" s="26"/>
      <c r="BL116" s="26"/>
      <c r="BM116" s="26"/>
      <c r="BN116" s="549"/>
    </row>
    <row r="117" spans="1:68" ht="15.6" x14ac:dyDescent="0.3">
      <c r="A117" s="149"/>
      <c r="B117" s="3067"/>
      <c r="C117" s="5679"/>
      <c r="D117" s="5679"/>
      <c r="E117" s="5680"/>
      <c r="F117" s="5681"/>
      <c r="G117" s="5682"/>
      <c r="H117" s="5681"/>
      <c r="I117" s="5682"/>
      <c r="J117" s="5683"/>
      <c r="K117" s="5684"/>
      <c r="L117" s="5681"/>
      <c r="M117" s="5682"/>
      <c r="N117" s="5685"/>
      <c r="O117" s="5686"/>
      <c r="P117" s="5681"/>
      <c r="Q117" s="5682"/>
      <c r="R117" s="5687"/>
      <c r="S117" s="5688"/>
      <c r="T117" s="5681"/>
      <c r="U117" s="5682"/>
      <c r="V117" s="5687"/>
      <c r="W117" s="5688"/>
      <c r="X117" s="5681"/>
      <c r="Y117" s="5682"/>
      <c r="Z117" s="5585"/>
      <c r="AA117" s="5689"/>
      <c r="AB117" s="5586"/>
      <c r="AC117" s="5690"/>
      <c r="AD117" s="5681"/>
      <c r="AE117" s="5347"/>
      <c r="AF117" s="5687"/>
      <c r="AG117" s="5688"/>
      <c r="AH117" s="5681"/>
      <c r="AI117" s="5682"/>
      <c r="AJ117" s="5687"/>
      <c r="AK117" s="5688"/>
      <c r="AL117" s="5681"/>
      <c r="AM117" s="5347"/>
      <c r="AN117" s="5585"/>
      <c r="AO117" s="5585"/>
      <c r="AP117" s="5687"/>
      <c r="AQ117" s="5413"/>
      <c r="AR117" s="5681"/>
      <c r="AS117" s="5347"/>
      <c r="AT117" s="5687"/>
      <c r="AU117" s="5413"/>
      <c r="AV117" s="5681"/>
      <c r="AW117" s="5347"/>
      <c r="AX117" s="5687"/>
      <c r="AY117" s="5413"/>
      <c r="AZ117" s="5681"/>
      <c r="BA117" s="5347"/>
      <c r="BB117" s="5585"/>
      <c r="BC117" s="5585"/>
      <c r="BD117" s="5691"/>
      <c r="BE117" s="5691"/>
      <c r="BF117" s="5687"/>
      <c r="BG117" s="5413"/>
      <c r="BH117" s="26"/>
      <c r="BI117" s="26"/>
      <c r="BJ117" s="26"/>
      <c r="BK117" s="26"/>
      <c r="BL117" s="26"/>
      <c r="BM117" s="26"/>
      <c r="BN117" s="549"/>
    </row>
    <row r="118" spans="1:68" ht="15.6" x14ac:dyDescent="0.3">
      <c r="A118" s="149"/>
      <c r="B118" s="3067"/>
      <c r="C118" s="5679"/>
      <c r="D118" s="5679"/>
      <c r="E118" s="5680"/>
      <c r="F118" s="5681"/>
      <c r="G118" s="5682"/>
      <c r="H118" s="5681"/>
      <c r="I118" s="5682"/>
      <c r="J118" s="5683"/>
      <c r="K118" s="5684"/>
      <c r="L118" s="5681"/>
      <c r="M118" s="5682"/>
      <c r="N118" s="5685"/>
      <c r="O118" s="5686"/>
      <c r="P118" s="5681"/>
      <c r="Q118" s="5682"/>
      <c r="R118" s="5687"/>
      <c r="S118" s="5688"/>
      <c r="T118" s="5681"/>
      <c r="U118" s="5682"/>
      <c r="V118" s="5687"/>
      <c r="W118" s="5688"/>
      <c r="X118" s="5681"/>
      <c r="Y118" s="5682"/>
      <c r="Z118" s="5585"/>
      <c r="AA118" s="5689"/>
      <c r="AB118" s="5586"/>
      <c r="AC118" s="5690"/>
      <c r="AD118" s="5681"/>
      <c r="AE118" s="5347"/>
      <c r="AF118" s="5687"/>
      <c r="AG118" s="5688"/>
      <c r="AH118" s="5681"/>
      <c r="AI118" s="5682"/>
      <c r="AJ118" s="5687"/>
      <c r="AK118" s="5688"/>
      <c r="AL118" s="5681"/>
      <c r="AM118" s="5347"/>
      <c r="AN118" s="5585"/>
      <c r="AO118" s="5585"/>
      <c r="AP118" s="5687"/>
      <c r="AQ118" s="5413"/>
      <c r="AR118" s="5681"/>
      <c r="AS118" s="5347"/>
      <c r="AT118" s="5687"/>
      <c r="AU118" s="5413"/>
      <c r="AV118" s="5681"/>
      <c r="AW118" s="5347"/>
      <c r="AX118" s="5687"/>
      <c r="AY118" s="5413"/>
      <c r="AZ118" s="5681"/>
      <c r="BA118" s="5347"/>
      <c r="BB118" s="5585"/>
      <c r="BC118" s="5585"/>
      <c r="BD118" s="5691"/>
      <c r="BE118" s="5691"/>
      <c r="BF118" s="5687"/>
      <c r="BG118" s="5413"/>
      <c r="BH118" s="26"/>
      <c r="BI118" s="26"/>
      <c r="BJ118" s="26"/>
      <c r="BK118" s="26"/>
      <c r="BL118" s="26"/>
      <c r="BM118" s="26"/>
      <c r="BN118" s="549"/>
    </row>
    <row r="119" spans="1:68" ht="15.6" x14ac:dyDescent="0.3">
      <c r="A119" s="149"/>
      <c r="B119" s="3067"/>
      <c r="C119" s="5679"/>
      <c r="D119" s="5679"/>
      <c r="E119" s="5680"/>
      <c r="F119" s="5681"/>
      <c r="G119" s="5682"/>
      <c r="H119" s="5681"/>
      <c r="I119" s="5682"/>
      <c r="J119" s="5683"/>
      <c r="K119" s="5684"/>
      <c r="L119" s="5681"/>
      <c r="M119" s="5682"/>
      <c r="N119" s="5685"/>
      <c r="O119" s="5686"/>
      <c r="P119" s="5681"/>
      <c r="Q119" s="5682"/>
      <c r="R119" s="5687"/>
      <c r="S119" s="5688"/>
      <c r="T119" s="5681"/>
      <c r="U119" s="5682"/>
      <c r="V119" s="5687"/>
      <c r="W119" s="5688"/>
      <c r="X119" s="5681"/>
      <c r="Y119" s="5682"/>
      <c r="Z119" s="5585"/>
      <c r="AA119" s="5689"/>
      <c r="AB119" s="5586"/>
      <c r="AC119" s="5690"/>
      <c r="AD119" s="5681"/>
      <c r="AE119" s="5347"/>
      <c r="AF119" s="5687"/>
      <c r="AG119" s="5688"/>
      <c r="AH119" s="5681"/>
      <c r="AI119" s="5682"/>
      <c r="AJ119" s="5687"/>
      <c r="AK119" s="5688"/>
      <c r="AL119" s="5681"/>
      <c r="AM119" s="5347"/>
      <c r="AN119" s="5585"/>
      <c r="AO119" s="5585"/>
      <c r="AP119" s="5687"/>
      <c r="AQ119" s="5413"/>
      <c r="AR119" s="5681"/>
      <c r="AS119" s="5347"/>
      <c r="AT119" s="5687"/>
      <c r="AU119" s="5413"/>
      <c r="AV119" s="5681"/>
      <c r="AW119" s="5347"/>
      <c r="AX119" s="5687"/>
      <c r="AY119" s="5413"/>
      <c r="AZ119" s="5681"/>
      <c r="BA119" s="5347"/>
      <c r="BB119" s="5585"/>
      <c r="BC119" s="5585"/>
      <c r="BD119" s="5691"/>
      <c r="BE119" s="5691"/>
      <c r="BF119" s="5687"/>
      <c r="BG119" s="5413"/>
      <c r="BH119" s="26"/>
      <c r="BI119" s="26"/>
      <c r="BJ119" s="26"/>
      <c r="BK119" s="26"/>
      <c r="BL119" s="26"/>
      <c r="BM119" s="26"/>
      <c r="BN119" s="549"/>
    </row>
    <row r="120" spans="1:68" ht="15.6" x14ac:dyDescent="0.3">
      <c r="A120" s="149"/>
      <c r="B120" s="3067"/>
      <c r="C120" s="5679"/>
      <c r="D120" s="5679"/>
      <c r="E120" s="5680"/>
      <c r="F120" s="5681"/>
      <c r="G120" s="5682"/>
      <c r="H120" s="5681"/>
      <c r="I120" s="5682"/>
      <c r="J120" s="5683"/>
      <c r="K120" s="5684"/>
      <c r="L120" s="5681"/>
      <c r="M120" s="5682"/>
      <c r="N120" s="5685"/>
      <c r="O120" s="5686"/>
      <c r="P120" s="5681"/>
      <c r="Q120" s="5682"/>
      <c r="R120" s="5687"/>
      <c r="S120" s="5688"/>
      <c r="T120" s="5681"/>
      <c r="U120" s="5682"/>
      <c r="V120" s="5687"/>
      <c r="W120" s="5688"/>
      <c r="X120" s="5681"/>
      <c r="Y120" s="5682"/>
      <c r="Z120" s="5585"/>
      <c r="AA120" s="5689"/>
      <c r="AB120" s="5586"/>
      <c r="AC120" s="5690"/>
      <c r="AD120" s="5681"/>
      <c r="AE120" s="5347"/>
      <c r="AF120" s="5687"/>
      <c r="AG120" s="5688"/>
      <c r="AH120" s="5681"/>
      <c r="AI120" s="5682"/>
      <c r="AJ120" s="5687"/>
      <c r="AK120" s="5688"/>
      <c r="AL120" s="5681"/>
      <c r="AM120" s="5347"/>
      <c r="AN120" s="5585"/>
      <c r="AO120" s="5585"/>
      <c r="AP120" s="5687"/>
      <c r="AQ120" s="5413"/>
      <c r="AR120" s="5681"/>
      <c r="AS120" s="5347"/>
      <c r="AT120" s="5687"/>
      <c r="AU120" s="5413"/>
      <c r="AV120" s="5681"/>
      <c r="AW120" s="5347"/>
      <c r="AX120" s="5687"/>
      <c r="AY120" s="5413"/>
      <c r="AZ120" s="5681"/>
      <c r="BA120" s="5347"/>
      <c r="BB120" s="5585"/>
      <c r="BC120" s="5585"/>
      <c r="BD120" s="5691"/>
      <c r="BE120" s="5691"/>
      <c r="BF120" s="5687"/>
      <c r="BG120" s="5413"/>
      <c r="BH120" s="26"/>
      <c r="BI120" s="26"/>
      <c r="BJ120" s="26"/>
      <c r="BK120" s="26"/>
      <c r="BL120" s="26"/>
      <c r="BM120" s="26"/>
      <c r="BN120" s="549"/>
    </row>
    <row r="121" spans="1:68" ht="15.6" x14ac:dyDescent="0.3">
      <c r="A121" s="149"/>
      <c r="B121" s="3067"/>
      <c r="C121" s="5679"/>
      <c r="D121" s="5679"/>
      <c r="E121" s="5680"/>
      <c r="F121" s="5681"/>
      <c r="G121" s="5682"/>
      <c r="H121" s="5681"/>
      <c r="I121" s="5682"/>
      <c r="J121" s="5683"/>
      <c r="K121" s="5684"/>
      <c r="L121" s="5681"/>
      <c r="M121" s="5682"/>
      <c r="N121" s="5685"/>
      <c r="O121" s="5686"/>
      <c r="P121" s="5681"/>
      <c r="Q121" s="5682"/>
      <c r="R121" s="5687"/>
      <c r="S121" s="5688"/>
      <c r="T121" s="5681"/>
      <c r="U121" s="5682"/>
      <c r="V121" s="5687"/>
      <c r="W121" s="5688"/>
      <c r="X121" s="5681"/>
      <c r="Y121" s="5682"/>
      <c r="Z121" s="5585"/>
      <c r="AA121" s="5689"/>
      <c r="AB121" s="5586"/>
      <c r="AC121" s="5690"/>
      <c r="AD121" s="5681"/>
      <c r="AE121" s="5347"/>
      <c r="AF121" s="5687"/>
      <c r="AG121" s="5688"/>
      <c r="AH121" s="5681"/>
      <c r="AI121" s="5682"/>
      <c r="AJ121" s="5687"/>
      <c r="AK121" s="5688"/>
      <c r="AL121" s="5681"/>
      <c r="AM121" s="5347"/>
      <c r="AN121" s="5585"/>
      <c r="AO121" s="5585"/>
      <c r="AP121" s="5687"/>
      <c r="AQ121" s="5413"/>
      <c r="AR121" s="5681"/>
      <c r="AS121" s="5347"/>
      <c r="AT121" s="5687"/>
      <c r="AU121" s="5413"/>
      <c r="AV121" s="5681"/>
      <c r="AW121" s="5347"/>
      <c r="AX121" s="5687"/>
      <c r="AY121" s="5413"/>
      <c r="AZ121" s="5681"/>
      <c r="BA121" s="5347"/>
      <c r="BB121" s="5585"/>
      <c r="BC121" s="5585"/>
      <c r="BD121" s="5691"/>
      <c r="BE121" s="5691"/>
      <c r="BF121" s="5687"/>
      <c r="BG121" s="5413"/>
      <c r="BH121" s="26"/>
      <c r="BI121" s="26"/>
      <c r="BJ121" s="26"/>
      <c r="BK121" s="26"/>
      <c r="BL121" s="26"/>
      <c r="BM121" s="26"/>
      <c r="BN121" s="549"/>
    </row>
    <row r="122" spans="1:68" ht="15.6" x14ac:dyDescent="0.3">
      <c r="A122" s="149"/>
      <c r="B122" s="3067"/>
      <c r="C122" s="5679"/>
      <c r="D122" s="5679"/>
      <c r="E122" s="5680"/>
      <c r="F122" s="5681"/>
      <c r="G122" s="5682"/>
      <c r="H122" s="5681"/>
      <c r="I122" s="5682"/>
      <c r="J122" s="5683"/>
      <c r="K122" s="5684"/>
      <c r="L122" s="5681"/>
      <c r="M122" s="5682"/>
      <c r="N122" s="5685"/>
      <c r="O122" s="5686"/>
      <c r="P122" s="5681"/>
      <c r="Q122" s="5682"/>
      <c r="R122" s="5687"/>
      <c r="S122" s="5688"/>
      <c r="T122" s="5681"/>
      <c r="U122" s="5682"/>
      <c r="V122" s="5687"/>
      <c r="W122" s="5688"/>
      <c r="X122" s="5681"/>
      <c r="Y122" s="5682"/>
      <c r="Z122" s="5585"/>
      <c r="AA122" s="5689"/>
      <c r="AB122" s="5586"/>
      <c r="AC122" s="5690"/>
      <c r="AD122" s="5681"/>
      <c r="AE122" s="5347"/>
      <c r="AF122" s="5687"/>
      <c r="AG122" s="5688"/>
      <c r="AH122" s="5681"/>
      <c r="AI122" s="5682"/>
      <c r="AJ122" s="5687"/>
      <c r="AK122" s="5688"/>
      <c r="AL122" s="5681"/>
      <c r="AM122" s="5347"/>
      <c r="AN122" s="5585"/>
      <c r="AO122" s="5585"/>
      <c r="AP122" s="5687"/>
      <c r="AQ122" s="5413"/>
      <c r="AR122" s="5681"/>
      <c r="AS122" s="5347"/>
      <c r="AT122" s="5687"/>
      <c r="AU122" s="5413"/>
      <c r="AV122" s="5681"/>
      <c r="AW122" s="5347"/>
      <c r="AX122" s="5687"/>
      <c r="AY122" s="5413"/>
      <c r="AZ122" s="5681"/>
      <c r="BA122" s="5347"/>
      <c r="BB122" s="5585"/>
      <c r="BC122" s="5585"/>
      <c r="BD122" s="5691"/>
      <c r="BE122" s="5691"/>
      <c r="BF122" s="5687"/>
      <c r="BG122" s="5413"/>
      <c r="BH122" s="26"/>
      <c r="BI122" s="26"/>
      <c r="BJ122" s="26"/>
      <c r="BK122" s="26"/>
      <c r="BL122" s="26"/>
      <c r="BM122" s="26"/>
      <c r="BN122" s="549"/>
    </row>
    <row r="123" spans="1:68" ht="16.149999999999999" thickBot="1" x14ac:dyDescent="0.35">
      <c r="A123" s="149"/>
      <c r="B123" s="1044" t="s">
        <v>316</v>
      </c>
      <c r="C123" s="717"/>
      <c r="D123" s="717"/>
      <c r="E123" s="2058" t="s">
        <v>49</v>
      </c>
      <c r="F123" s="3076">
        <f t="shared" ref="F123:AK123" si="40">+F108*100/F7</f>
        <v>94.75</v>
      </c>
      <c r="G123" s="2938">
        <f>+G108*100/G7</f>
        <v>93.760477464473936</v>
      </c>
      <c r="H123" s="3076">
        <f t="shared" ref="H123" si="41">+H108*100/H7</f>
        <v>94.75</v>
      </c>
      <c r="I123" s="2938">
        <f>+I108*100/I7</f>
        <v>93.848373432627127</v>
      </c>
      <c r="J123" s="3077">
        <f t="shared" si="40"/>
        <v>94.749999999999986</v>
      </c>
      <c r="K123" s="3078">
        <f t="shared" si="40"/>
        <v>93.80756445928256</v>
      </c>
      <c r="L123" s="3076">
        <f t="shared" si="40"/>
        <v>94.75</v>
      </c>
      <c r="M123" s="2938">
        <f t="shared" si="40"/>
        <v>94.300657609568276</v>
      </c>
      <c r="N123" s="1581">
        <f t="shared" si="40"/>
        <v>94.75</v>
      </c>
      <c r="O123" s="1582">
        <f t="shared" si="40"/>
        <v>93.981855291627923</v>
      </c>
      <c r="P123" s="3076">
        <f t="shared" ref="P123:Q123" si="42">+P108*100/P7</f>
        <v>94.75</v>
      </c>
      <c r="Q123" s="2938">
        <f t="shared" si="42"/>
        <v>94.039736544191683</v>
      </c>
      <c r="R123" s="1365">
        <f t="shared" si="40"/>
        <v>94.749999999999986</v>
      </c>
      <c r="S123" s="1835">
        <f t="shared" si="40"/>
        <v>93.996743918003119</v>
      </c>
      <c r="T123" s="3076">
        <f t="shared" si="40"/>
        <v>94.75</v>
      </c>
      <c r="U123" s="2938">
        <f t="shared" si="40"/>
        <v>93.446166495534285</v>
      </c>
      <c r="V123" s="1365">
        <f t="shared" si="40"/>
        <v>94.749999999999986</v>
      </c>
      <c r="W123" s="1835">
        <f t="shared" si="40"/>
        <v>93.904783814889868</v>
      </c>
      <c r="X123" s="3076">
        <f t="shared" ref="X123:Y123" si="43">+X108*100/X7</f>
        <v>94.749999999999986</v>
      </c>
      <c r="Y123" s="2938">
        <f t="shared" si="43"/>
        <v>93.998143621476331</v>
      </c>
      <c r="Z123" s="816">
        <f t="shared" si="40"/>
        <v>94.75</v>
      </c>
      <c r="AA123" s="2432">
        <f t="shared" si="40"/>
        <v>93.85159449703977</v>
      </c>
      <c r="AB123" s="817">
        <f t="shared" si="40"/>
        <v>94.75</v>
      </c>
      <c r="AC123" s="2219">
        <f t="shared" si="40"/>
        <v>93.919491644619058</v>
      </c>
      <c r="AD123" s="3076">
        <f t="shared" si="40"/>
        <v>94.75</v>
      </c>
      <c r="AE123" s="4108">
        <f t="shared" si="40"/>
        <v>94.095025573033311</v>
      </c>
      <c r="AF123" s="1365">
        <f t="shared" si="40"/>
        <v>94.75</v>
      </c>
      <c r="AG123" s="1835">
        <f t="shared" si="40"/>
        <v>88.973341592513563</v>
      </c>
      <c r="AH123" s="3076">
        <f t="shared" si="40"/>
        <v>94.75</v>
      </c>
      <c r="AI123" s="4108">
        <f t="shared" si="40"/>
        <v>93.69597873790353</v>
      </c>
      <c r="AJ123" s="1365">
        <f t="shared" si="40"/>
        <v>94.750000000000014</v>
      </c>
      <c r="AK123" s="1835">
        <f t="shared" si="40"/>
        <v>89.08300183172895</v>
      </c>
      <c r="AL123" s="3076">
        <f t="shared" ref="AL123:BG123" si="44">+AL108*100/AL7</f>
        <v>94.75</v>
      </c>
      <c r="AM123" s="4108">
        <f t="shared" si="44"/>
        <v>91.062905975135806</v>
      </c>
      <c r="AN123" s="816">
        <f t="shared" si="44"/>
        <v>94.75</v>
      </c>
      <c r="AO123" s="2432">
        <f t="shared" si="44"/>
        <v>92.736311942445084</v>
      </c>
      <c r="AP123" s="1365">
        <f t="shared" si="44"/>
        <v>94.750000000000014</v>
      </c>
      <c r="AQ123" s="1835">
        <f t="shared" si="44"/>
        <v>89.281621462532954</v>
      </c>
      <c r="AR123" s="3076">
        <f t="shared" si="44"/>
        <v>94.75</v>
      </c>
      <c r="AS123" s="4108">
        <f t="shared" si="44"/>
        <v>93.52941585010818</v>
      </c>
      <c r="AT123" s="1365">
        <f t="shared" si="44"/>
        <v>94.750000000000014</v>
      </c>
      <c r="AU123" s="1835">
        <f t="shared" si="44"/>
        <v>89.75165141243501</v>
      </c>
      <c r="AV123" s="1319">
        <f t="shared" si="44"/>
        <v>94.75</v>
      </c>
      <c r="AW123" s="4108">
        <f t="shared" si="44"/>
        <v>94.085079490713611</v>
      </c>
      <c r="AX123" s="1365">
        <f t="shared" si="44"/>
        <v>94.750000000000014</v>
      </c>
      <c r="AY123" s="1835">
        <f t="shared" si="44"/>
        <v>90.180862270176036</v>
      </c>
      <c r="AZ123" s="1319">
        <f t="shared" si="44"/>
        <v>94.75</v>
      </c>
      <c r="BA123" s="4108">
        <f t="shared" si="44"/>
        <v>94.09315214316058</v>
      </c>
      <c r="BB123" s="816">
        <f t="shared" si="44"/>
        <v>94.75</v>
      </c>
      <c r="BC123" s="2432">
        <f t="shared" si="44"/>
        <v>93.914611600919798</v>
      </c>
      <c r="BD123" s="1623">
        <f t="shared" si="44"/>
        <v>94.75</v>
      </c>
      <c r="BE123" s="2433">
        <f t="shared" si="44"/>
        <v>93.483365333354996</v>
      </c>
      <c r="BF123" s="1365">
        <f t="shared" si="44"/>
        <v>94.750000000000014</v>
      </c>
      <c r="BG123" s="937">
        <f t="shared" si="44"/>
        <v>90.601645818228064</v>
      </c>
      <c r="BH123" s="26"/>
      <c r="BI123" s="26"/>
      <c r="BJ123" s="26"/>
      <c r="BK123" s="26"/>
      <c r="BL123" s="26"/>
      <c r="BM123" s="26"/>
      <c r="BN123" s="1219"/>
    </row>
    <row r="124" spans="1:68" ht="14.45" x14ac:dyDescent="0.3">
      <c r="A124" s="149"/>
      <c r="B124" s="890" t="s">
        <v>817</v>
      </c>
      <c r="C124" s="891"/>
      <c r="D124" s="891"/>
      <c r="E124" s="2059" t="s">
        <v>50</v>
      </c>
      <c r="F124" s="1339">
        <f>+F108</f>
        <v>62000</v>
      </c>
      <c r="G124" s="1141">
        <f>+G108</f>
        <v>49543.777000000002</v>
      </c>
      <c r="H124" s="1339">
        <f>+H108</f>
        <v>65000</v>
      </c>
      <c r="I124" s="1141">
        <f>+I108</f>
        <v>57219.144</v>
      </c>
      <c r="J124" s="821">
        <f t="shared" ref="J124:AC124" si="45">+J108</f>
        <v>127000</v>
      </c>
      <c r="K124" s="2030">
        <f t="shared" si="45"/>
        <v>106762.92099999997</v>
      </c>
      <c r="L124" s="1339">
        <f>+L108</f>
        <v>62500</v>
      </c>
      <c r="M124" s="1141">
        <f>+M108</f>
        <v>58674.632999999994</v>
      </c>
      <c r="N124" s="2036">
        <f t="shared" si="45"/>
        <v>189500</v>
      </c>
      <c r="O124" s="2037">
        <f t="shared" si="45"/>
        <v>165437.55399999997</v>
      </c>
      <c r="P124" s="1339">
        <f>+P108</f>
        <v>65000</v>
      </c>
      <c r="Q124" s="1141">
        <f>+Q108</f>
        <v>57327.387000000002</v>
      </c>
      <c r="R124" s="2044">
        <f t="shared" si="45"/>
        <v>254500</v>
      </c>
      <c r="S124" s="2045">
        <f t="shared" si="45"/>
        <v>222764.94099999993</v>
      </c>
      <c r="T124" s="1339">
        <f>+T108</f>
        <v>65000</v>
      </c>
      <c r="U124" s="1141">
        <f>+U108</f>
        <v>44406.292999999998</v>
      </c>
      <c r="V124" s="2044">
        <f t="shared" ref="V124:W124" si="46">+V108</f>
        <v>319500</v>
      </c>
      <c r="W124" s="2045">
        <f t="shared" si="46"/>
        <v>267171.234</v>
      </c>
      <c r="X124" s="1339">
        <f>+X108</f>
        <v>33500</v>
      </c>
      <c r="Y124" s="1141">
        <f>+Y108</f>
        <v>50010.385999999991</v>
      </c>
      <c r="Z124" s="378">
        <f t="shared" si="45"/>
        <v>163500</v>
      </c>
      <c r="AA124" s="378">
        <f t="shared" si="45"/>
        <v>151744.06599999999</v>
      </c>
      <c r="AB124" s="544">
        <f t="shared" si="45"/>
        <v>353000</v>
      </c>
      <c r="AC124" s="544">
        <f t="shared" si="45"/>
        <v>317181.61999999994</v>
      </c>
      <c r="AD124" s="1339">
        <f>+AD108</f>
        <v>54000</v>
      </c>
      <c r="AE124" s="1141">
        <f>+AE108</f>
        <v>44900.301000000007</v>
      </c>
      <c r="AF124" s="2044">
        <f t="shared" ref="AF124:AG124" si="47">+AF108</f>
        <v>407000</v>
      </c>
      <c r="AG124" s="2045">
        <f t="shared" si="47"/>
        <v>342933.98899999994</v>
      </c>
      <c r="AH124" s="1339">
        <f>+AH108</f>
        <v>52000</v>
      </c>
      <c r="AI124" s="1141">
        <f>+AI108</f>
        <v>8584.9840000000004</v>
      </c>
      <c r="AJ124" s="2044">
        <f t="shared" ref="AJ124:AK124" si="48">+AJ108</f>
        <v>459000</v>
      </c>
      <c r="AK124" s="2045">
        <f t="shared" si="48"/>
        <v>351518.97299999994</v>
      </c>
      <c r="AL124" s="1339">
        <f>+AL108</f>
        <v>54000</v>
      </c>
      <c r="AM124" s="1141">
        <f>+AM108</f>
        <v>40066.768000000004</v>
      </c>
      <c r="AN124" s="378">
        <f t="shared" ref="AN124:AU124" si="49">+AN108</f>
        <v>160000</v>
      </c>
      <c r="AO124" s="378">
        <f t="shared" si="49"/>
        <v>93552.053</v>
      </c>
      <c r="AP124" s="2044">
        <f t="shared" si="49"/>
        <v>513000</v>
      </c>
      <c r="AQ124" s="2045">
        <f t="shared" si="49"/>
        <v>391585.74100000004</v>
      </c>
      <c r="AR124" s="1339">
        <f>+AR108</f>
        <v>54000</v>
      </c>
      <c r="AS124" s="1141">
        <f>+AS108</f>
        <v>51039.178999999996</v>
      </c>
      <c r="AT124" s="2044">
        <f t="shared" si="49"/>
        <v>567000</v>
      </c>
      <c r="AU124" s="2045">
        <f t="shared" si="49"/>
        <v>442624.91999999987</v>
      </c>
      <c r="AV124" s="1339">
        <f>+AV108</f>
        <v>48000</v>
      </c>
      <c r="AW124" s="1141">
        <f>+AW108</f>
        <v>51009.48</v>
      </c>
      <c r="AX124" s="2044">
        <f t="shared" ref="AX124:AY124" si="50">+AX108</f>
        <v>615000</v>
      </c>
      <c r="AY124" s="2045">
        <f t="shared" si="50"/>
        <v>493634.40000000008</v>
      </c>
      <c r="AZ124" s="1339">
        <f>+AZ108</f>
        <v>60000</v>
      </c>
      <c r="BA124" s="1141">
        <f>+BA108</f>
        <v>62071.890000000007</v>
      </c>
      <c r="BB124" s="378">
        <f t="shared" ref="BB124:BE124" si="51">+BB108</f>
        <v>162000</v>
      </c>
      <c r="BC124" s="378">
        <f t="shared" si="51"/>
        <v>164120.549</v>
      </c>
      <c r="BD124" s="1624">
        <f t="shared" si="51"/>
        <v>322000</v>
      </c>
      <c r="BE124" s="1624">
        <f t="shared" si="51"/>
        <v>257672.60199999996</v>
      </c>
      <c r="BF124" s="2044">
        <f t="shared" ref="BF124:BG124" si="52">+BF108</f>
        <v>675000</v>
      </c>
      <c r="BG124" s="2045">
        <f t="shared" si="52"/>
        <v>555706.2899999998</v>
      </c>
      <c r="BH124" s="26"/>
      <c r="BI124" s="26"/>
      <c r="BJ124" s="26"/>
      <c r="BK124" s="26"/>
      <c r="BL124" s="26"/>
      <c r="BM124" s="26"/>
      <c r="BN124" s="1219"/>
    </row>
    <row r="125" spans="1:68" thickBot="1" x14ac:dyDescent="0.35">
      <c r="A125" s="149"/>
      <c r="B125" s="1045" t="s">
        <v>849</v>
      </c>
      <c r="C125" s="1046"/>
      <c r="D125" s="1046"/>
      <c r="E125" s="2060" t="s">
        <v>49</v>
      </c>
      <c r="F125" s="2021"/>
      <c r="G125" s="2022">
        <f>+G124/G108</f>
        <v>1</v>
      </c>
      <c r="H125" s="2021"/>
      <c r="I125" s="2022">
        <f>+I124/I108</f>
        <v>1</v>
      </c>
      <c r="J125" s="2028"/>
      <c r="K125" s="2031">
        <f>+K124/K108</f>
        <v>1</v>
      </c>
      <c r="L125" s="2021"/>
      <c r="M125" s="2022">
        <f>+M124/M108</f>
        <v>1</v>
      </c>
      <c r="N125" s="2038"/>
      <c r="O125" s="2039">
        <f>+O124/O108</f>
        <v>1</v>
      </c>
      <c r="P125" s="2021"/>
      <c r="Q125" s="2022">
        <f>+Q124/Q108</f>
        <v>1</v>
      </c>
      <c r="R125" s="2046"/>
      <c r="S125" s="2047">
        <f>+S124/S108</f>
        <v>1</v>
      </c>
      <c r="T125" s="2021"/>
      <c r="U125" s="2022">
        <f>+U124/U108</f>
        <v>1</v>
      </c>
      <c r="V125" s="2046"/>
      <c r="W125" s="2047">
        <f>+W124/W108</f>
        <v>1</v>
      </c>
      <c r="X125" s="2021"/>
      <c r="Y125" s="2022">
        <f>+Y124/Y108</f>
        <v>1</v>
      </c>
      <c r="Z125" s="1497"/>
      <c r="AA125" s="1497">
        <f>+AA124/AA108</f>
        <v>1</v>
      </c>
      <c r="AB125" s="1620"/>
      <c r="AC125" s="1620">
        <f>+AC124/AC108</f>
        <v>1</v>
      </c>
      <c r="AD125" s="2021"/>
      <c r="AE125" s="2022">
        <f>+AE124/AE108</f>
        <v>1</v>
      </c>
      <c r="AF125" s="2046"/>
      <c r="AG125" s="2047">
        <f>+AG124/AG108</f>
        <v>1</v>
      </c>
      <c r="AH125" s="2021"/>
      <c r="AI125" s="2022">
        <f>+AI124/AI108</f>
        <v>1</v>
      </c>
      <c r="AJ125" s="2046"/>
      <c r="AK125" s="2047">
        <f>+AK124/AK108</f>
        <v>1</v>
      </c>
      <c r="AL125" s="2021"/>
      <c r="AM125" s="2022">
        <f>+AM124/AM108</f>
        <v>1</v>
      </c>
      <c r="AN125" s="1497"/>
      <c r="AO125" s="1497">
        <f>+AO124/AO108</f>
        <v>1</v>
      </c>
      <c r="AP125" s="2046"/>
      <c r="AQ125" s="2047">
        <f>+AQ124/AQ108</f>
        <v>1</v>
      </c>
      <c r="AR125" s="2021"/>
      <c r="AS125" s="2022">
        <f>+AS124/AS108</f>
        <v>1</v>
      </c>
      <c r="AT125" s="2046"/>
      <c r="AU125" s="2047">
        <f>+AU124/AU108</f>
        <v>1</v>
      </c>
      <c r="AV125" s="2021"/>
      <c r="AW125" s="2022">
        <f>+AW124/AW108</f>
        <v>1</v>
      </c>
      <c r="AX125" s="2046"/>
      <c r="AY125" s="2047">
        <f>+AY124/AY108</f>
        <v>1</v>
      </c>
      <c r="AZ125" s="2021"/>
      <c r="BA125" s="2022">
        <f>+BA124/BA108</f>
        <v>1</v>
      </c>
      <c r="BB125" s="1497"/>
      <c r="BC125" s="1497">
        <f>+BC124/BC108</f>
        <v>1</v>
      </c>
      <c r="BD125" s="1625"/>
      <c r="BE125" s="1625">
        <f>+BE124/BE108</f>
        <v>1</v>
      </c>
      <c r="BF125" s="2046"/>
      <c r="BG125" s="2047">
        <f>+BG124/BG108</f>
        <v>1</v>
      </c>
      <c r="BH125" s="26"/>
      <c r="BI125" s="26"/>
      <c r="BJ125" s="26"/>
      <c r="BK125" s="26"/>
      <c r="BL125" s="26"/>
      <c r="BM125" s="26"/>
      <c r="BN125" s="1219"/>
    </row>
    <row r="126" spans="1:68" thickBot="1" x14ac:dyDescent="0.35">
      <c r="A126" s="149"/>
      <c r="B126" s="861" t="s">
        <v>1484</v>
      </c>
      <c r="C126" s="861"/>
      <c r="D126" s="813" t="s">
        <v>49</v>
      </c>
      <c r="E126" s="1702"/>
      <c r="F126" s="1702"/>
      <c r="G126" s="1696">
        <f>G127/G129</f>
        <v>0.12209070355100413</v>
      </c>
      <c r="H126" s="1702"/>
      <c r="I126" s="1696">
        <f>I127/I129</f>
        <v>9.6796260403602785E-2</v>
      </c>
      <c r="J126" s="1697"/>
      <c r="K126" s="1697">
        <f>K127/K129</f>
        <v>0.10847145488029467</v>
      </c>
      <c r="L126" s="1702"/>
      <c r="M126" s="1696">
        <f>M127/M129</f>
        <v>0.21279298002540123</v>
      </c>
      <c r="N126" s="1698"/>
      <c r="O126" s="1698">
        <f>O127/O129</f>
        <v>0.14468357981644023</v>
      </c>
      <c r="P126" s="1702"/>
      <c r="Q126" s="1696">
        <f>Q127/Q129</f>
        <v>0.11653888280394305</v>
      </c>
      <c r="R126" s="1696"/>
      <c r="S126" s="1696">
        <f>S127/S129</f>
        <v>0.13714386314955548</v>
      </c>
      <c r="T126" s="1702"/>
      <c r="U126" s="1696">
        <f>U127/U129</f>
        <v>4.5423911578379834E-2</v>
      </c>
      <c r="V126" s="1696"/>
      <c r="W126" s="1696">
        <f>W127/W129</f>
        <v>0.12074698795180723</v>
      </c>
      <c r="X126" s="1702"/>
      <c r="Y126" s="1696">
        <f>Y127/Y129</f>
        <v>2.0050441361916773E-2</v>
      </c>
      <c r="Z126" s="1698"/>
      <c r="AA126" s="1698">
        <f>AA127/AA129</f>
        <v>6.3728093467870423E-2</v>
      </c>
      <c r="AB126" s="1699"/>
      <c r="AC126" s="1700">
        <f>AC127/AC129</f>
        <v>0.10459235282217277</v>
      </c>
      <c r="AD126" s="1702"/>
      <c r="AE126" s="1696">
        <f>AE127/AE129</f>
        <v>5.2254530130636329E-2</v>
      </c>
      <c r="AF126" s="1696"/>
      <c r="AG126" s="2062">
        <f>AG127/AG129</f>
        <v>9.8003501388176623E-2</v>
      </c>
      <c r="AH126" s="1702"/>
      <c r="AI126" s="1696">
        <f>AI127/AI129</f>
        <v>0</v>
      </c>
      <c r="AJ126" s="1696"/>
      <c r="AK126" s="2062">
        <f>AK127/AK129</f>
        <v>9.4301417413942726E-2</v>
      </c>
      <c r="AL126" s="1702"/>
      <c r="AM126" s="1696">
        <f>AM127/AM129</f>
        <v>7.6842263244784631E-2</v>
      </c>
      <c r="AN126" s="1698"/>
      <c r="AO126" s="1698">
        <f>AO127/AO129</f>
        <v>5.5243094613173352E-2</v>
      </c>
      <c r="AP126" s="1696"/>
      <c r="AQ126" s="2062">
        <f>AQ127/AQ129</f>
        <v>9.2523535884582467E-2</v>
      </c>
      <c r="AR126" s="1702"/>
      <c r="AS126" s="1696">
        <f>AS127/AS129</f>
        <v>6.7972907595549109E-2</v>
      </c>
      <c r="AT126" s="1696"/>
      <c r="AU126" s="1696">
        <f>AU127/AU129</f>
        <v>8.9769335142469472E-2</v>
      </c>
      <c r="AV126" s="1702"/>
      <c r="AW126" s="1696">
        <f>AW127/AW129</f>
        <v>4.4193216855087356E-2</v>
      </c>
      <c r="AX126" s="1696"/>
      <c r="AY126" s="4799">
        <f>AY127/AY129</f>
        <v>8.5415541701438322E-2</v>
      </c>
      <c r="AZ126" s="1702"/>
      <c r="BA126" s="1696">
        <f>BA127/BA129</f>
        <v>7.2546555466697138E-2</v>
      </c>
      <c r="BB126" s="1497"/>
      <c r="BC126" s="1497">
        <f>BC127/BC129</f>
        <v>6.2124571658939733E-2</v>
      </c>
      <c r="BD126" s="1625"/>
      <c r="BE126" s="1625">
        <f>BE127/BE129</f>
        <v>5.9426078859019286E-2</v>
      </c>
      <c r="BF126" s="1549"/>
      <c r="BG126" s="1549">
        <f>BG127/BG129</f>
        <v>8.4167248467923353E-2</v>
      </c>
      <c r="BH126" s="26"/>
      <c r="BI126" s="26"/>
      <c r="BJ126" s="26"/>
      <c r="BK126" s="26"/>
      <c r="BL126" s="26"/>
      <c r="BM126" s="26"/>
      <c r="BN126" s="1219"/>
    </row>
    <row r="127" spans="1:68" ht="15.6" hidden="1" x14ac:dyDescent="0.3">
      <c r="A127" s="149"/>
      <c r="B127" s="4696" t="s">
        <v>2128</v>
      </c>
      <c r="C127" s="4697"/>
      <c r="D127" s="4698" t="s">
        <v>354</v>
      </c>
      <c r="E127" s="1702"/>
      <c r="F127" s="1702"/>
      <c r="G127" s="3070">
        <v>918</v>
      </c>
      <c r="H127" s="1702"/>
      <c r="I127" s="3070">
        <v>849</v>
      </c>
      <c r="J127" s="1697"/>
      <c r="K127" s="39">
        <f t="shared" ref="K127:K129" si="53">+G127+I127</f>
        <v>1767</v>
      </c>
      <c r="L127" s="1702"/>
      <c r="M127" s="3070">
        <v>1843</v>
      </c>
      <c r="N127" s="1698"/>
      <c r="O127" s="781">
        <f t="shared" ref="O127:O129" si="54">+G127+I127+M127</f>
        <v>3610</v>
      </c>
      <c r="P127" s="1702"/>
      <c r="Q127" s="3070">
        <v>1064</v>
      </c>
      <c r="R127" s="1696"/>
      <c r="S127" s="782">
        <f t="shared" ref="S127:S129" si="55">+O127+Q127</f>
        <v>4674</v>
      </c>
      <c r="T127" s="1702"/>
      <c r="U127" s="3070">
        <v>337</v>
      </c>
      <c r="V127" s="1696"/>
      <c r="W127" s="782">
        <f t="shared" ref="W127:W129" si="56">+S127+U127</f>
        <v>5011</v>
      </c>
      <c r="X127" s="1702"/>
      <c r="Y127" s="3070">
        <v>159</v>
      </c>
      <c r="Z127" s="1698"/>
      <c r="AA127" s="781">
        <f t="shared" ref="AA127:AA129" si="57">+Q127+U127+Y127</f>
        <v>1560</v>
      </c>
      <c r="AB127" s="1699"/>
      <c r="AC127" s="465">
        <f t="shared" ref="AC127:AC129" si="58">+AA127+O127</f>
        <v>5170</v>
      </c>
      <c r="AD127" s="1702"/>
      <c r="AE127" s="3070">
        <v>372</v>
      </c>
      <c r="AF127" s="1696"/>
      <c r="AG127" s="39">
        <f t="shared" ref="AG127:AG129" si="59">+AC127+AE127</f>
        <v>5542</v>
      </c>
      <c r="AH127" s="1702"/>
      <c r="AI127" s="3070">
        <v>0</v>
      </c>
      <c r="AJ127" s="1696"/>
      <c r="AK127" s="39">
        <f t="shared" ref="AK127:AK129" si="60">+AG127+AI127</f>
        <v>5542</v>
      </c>
      <c r="AL127" s="1702"/>
      <c r="AM127" s="3070">
        <v>512</v>
      </c>
      <c r="AN127" s="1698"/>
      <c r="AO127" s="781">
        <f t="shared" ref="AO127:AO129" si="61">+AE127+AI127+AM127</f>
        <v>884</v>
      </c>
      <c r="AP127" s="1696"/>
      <c r="AQ127" s="782">
        <f t="shared" ref="AQ127:AQ129" si="62">AK127+AM127</f>
        <v>6054</v>
      </c>
      <c r="AR127" s="1702"/>
      <c r="AS127" s="3070">
        <v>562</v>
      </c>
      <c r="AT127" s="1696"/>
      <c r="AU127" s="39">
        <f t="shared" ref="AU127:AU128" si="63">+AQ127+AS127</f>
        <v>6616</v>
      </c>
      <c r="AV127" s="1702"/>
      <c r="AW127" s="3070">
        <v>344</v>
      </c>
      <c r="AX127" s="1696"/>
      <c r="AY127" s="39">
        <f t="shared" ref="AY127:AY128" si="64">+AU127+AW127</f>
        <v>6960</v>
      </c>
      <c r="AZ127" s="1702"/>
      <c r="BA127" s="3070">
        <v>635</v>
      </c>
      <c r="BB127" s="1698"/>
      <c r="BC127" s="781">
        <f t="shared" ref="BC127:BC129" si="65">+AS127+AW127+BA127</f>
        <v>1541</v>
      </c>
      <c r="BD127" s="1699"/>
      <c r="BE127" s="662">
        <f t="shared" ref="BE127:BE129" si="66">+AO127+BC127</f>
        <v>2425</v>
      </c>
      <c r="BF127" s="1697"/>
      <c r="BG127" s="39">
        <f t="shared" ref="BG127:BG128" si="67">+AY127+BA127</f>
        <v>7595</v>
      </c>
      <c r="BH127" s="26"/>
      <c r="BI127" s="26"/>
      <c r="BJ127" s="26"/>
      <c r="BK127" s="26"/>
      <c r="BL127" s="26"/>
      <c r="BM127" s="26"/>
      <c r="BN127" s="1219"/>
    </row>
    <row r="128" spans="1:68" ht="15.6" hidden="1" x14ac:dyDescent="0.3">
      <c r="A128" s="149"/>
      <c r="B128" s="4696" t="s">
        <v>2129</v>
      </c>
      <c r="C128" s="4697"/>
      <c r="D128" s="4698" t="s">
        <v>354</v>
      </c>
      <c r="E128" s="1702"/>
      <c r="F128" s="1702"/>
      <c r="G128" s="3070">
        <v>6601</v>
      </c>
      <c r="H128" s="1702"/>
      <c r="I128" s="3070">
        <v>7922</v>
      </c>
      <c r="J128" s="1697"/>
      <c r="K128" s="39">
        <f t="shared" si="53"/>
        <v>14523</v>
      </c>
      <c r="L128" s="1702"/>
      <c r="M128" s="3070">
        <f>8661-M127</f>
        <v>6818</v>
      </c>
      <c r="N128" s="1698"/>
      <c r="O128" s="781">
        <f t="shared" si="54"/>
        <v>21341</v>
      </c>
      <c r="P128" s="1702"/>
      <c r="Q128" s="3070">
        <f>9130-Q127</f>
        <v>8066</v>
      </c>
      <c r="R128" s="1696"/>
      <c r="S128" s="782">
        <f t="shared" si="55"/>
        <v>29407</v>
      </c>
      <c r="T128" s="1702"/>
      <c r="U128" s="3070">
        <v>7082</v>
      </c>
      <c r="V128" s="1696"/>
      <c r="W128" s="782">
        <f t="shared" si="56"/>
        <v>36489</v>
      </c>
      <c r="X128" s="1702"/>
      <c r="Y128" s="3070">
        <v>7771</v>
      </c>
      <c r="Z128" s="1698"/>
      <c r="AA128" s="781">
        <f t="shared" si="57"/>
        <v>22919</v>
      </c>
      <c r="AB128" s="1699"/>
      <c r="AC128" s="465">
        <f t="shared" si="58"/>
        <v>44260</v>
      </c>
      <c r="AD128" s="1702"/>
      <c r="AE128" s="3070">
        <v>6747</v>
      </c>
      <c r="AF128" s="1696"/>
      <c r="AG128" s="39">
        <f t="shared" si="59"/>
        <v>51007</v>
      </c>
      <c r="AH128" s="1702"/>
      <c r="AI128" s="3070">
        <v>2220</v>
      </c>
      <c r="AJ128" s="1696"/>
      <c r="AK128" s="39">
        <f t="shared" si="60"/>
        <v>53227</v>
      </c>
      <c r="AL128" s="1702"/>
      <c r="AM128" s="3070">
        <v>6151</v>
      </c>
      <c r="AN128" s="1698"/>
      <c r="AO128" s="781">
        <f t="shared" si="61"/>
        <v>15118</v>
      </c>
      <c r="AP128" s="1696"/>
      <c r="AQ128" s="782">
        <f t="shared" si="62"/>
        <v>59378</v>
      </c>
      <c r="AR128" s="1702"/>
      <c r="AS128" s="3070">
        <v>7706</v>
      </c>
      <c r="AT128" s="1696"/>
      <c r="AU128" s="39">
        <f t="shared" si="63"/>
        <v>67084</v>
      </c>
      <c r="AV128" s="1702"/>
      <c r="AW128" s="3070">
        <v>7440</v>
      </c>
      <c r="AX128" s="1696"/>
      <c r="AY128" s="39">
        <f t="shared" si="64"/>
        <v>74524</v>
      </c>
      <c r="AZ128" s="1702"/>
      <c r="BA128" s="3070">
        <v>8118</v>
      </c>
      <c r="BB128" s="1698"/>
      <c r="BC128" s="781">
        <f t="shared" si="65"/>
        <v>23264</v>
      </c>
      <c r="BD128" s="1699"/>
      <c r="BE128" s="662">
        <f t="shared" si="66"/>
        <v>38382</v>
      </c>
      <c r="BF128" s="1697"/>
      <c r="BG128" s="39">
        <f t="shared" si="67"/>
        <v>82642</v>
      </c>
      <c r="BH128" s="26"/>
      <c r="BI128" s="26"/>
      <c r="BJ128" s="26"/>
      <c r="BK128" s="26"/>
      <c r="BL128" s="26"/>
      <c r="BM128" s="26"/>
      <c r="BN128" s="1219"/>
      <c r="BO128" s="5370"/>
      <c r="BP128" s="5370"/>
    </row>
    <row r="129" spans="1:67" ht="16.149999999999999" hidden="1" thickBot="1" x14ac:dyDescent="0.35">
      <c r="A129" s="149"/>
      <c r="B129" s="4696" t="s">
        <v>2130</v>
      </c>
      <c r="C129" s="4697"/>
      <c r="D129" s="4698" t="s">
        <v>354</v>
      </c>
      <c r="E129" s="1702"/>
      <c r="F129" s="1702"/>
      <c r="G129" s="3070">
        <f>G127+G128</f>
        <v>7519</v>
      </c>
      <c r="H129" s="1702"/>
      <c r="I129" s="3070">
        <f>I127+I128</f>
        <v>8771</v>
      </c>
      <c r="J129" s="1697"/>
      <c r="K129" s="39">
        <f t="shared" si="53"/>
        <v>16290</v>
      </c>
      <c r="L129" s="1702"/>
      <c r="M129" s="3070">
        <f>M127+M128</f>
        <v>8661</v>
      </c>
      <c r="N129" s="1698"/>
      <c r="O129" s="781">
        <f t="shared" si="54"/>
        <v>24951</v>
      </c>
      <c r="P129" s="1702"/>
      <c r="Q129" s="3070">
        <f>Q127+Q128</f>
        <v>9130</v>
      </c>
      <c r="R129" s="1696"/>
      <c r="S129" s="782">
        <f t="shared" si="55"/>
        <v>34081</v>
      </c>
      <c r="T129" s="1702"/>
      <c r="U129" s="3070">
        <v>7419</v>
      </c>
      <c r="V129" s="1696"/>
      <c r="W129" s="782">
        <f t="shared" si="56"/>
        <v>41500</v>
      </c>
      <c r="X129" s="1702"/>
      <c r="Y129" s="3070">
        <f>Y127+Y128</f>
        <v>7930</v>
      </c>
      <c r="Z129" s="1698"/>
      <c r="AA129" s="781">
        <f t="shared" si="57"/>
        <v>24479</v>
      </c>
      <c r="AB129" s="1699"/>
      <c r="AC129" s="465">
        <f t="shared" si="58"/>
        <v>49430</v>
      </c>
      <c r="AD129" s="1702"/>
      <c r="AE129" s="3070">
        <f>AE127+AE128</f>
        <v>7119</v>
      </c>
      <c r="AF129" s="1696"/>
      <c r="AG129" s="39">
        <f t="shared" si="59"/>
        <v>56549</v>
      </c>
      <c r="AH129" s="1702"/>
      <c r="AI129" s="3070">
        <f>AI127+AI128</f>
        <v>2220</v>
      </c>
      <c r="AJ129" s="1696"/>
      <c r="AK129" s="39">
        <f t="shared" si="60"/>
        <v>58769</v>
      </c>
      <c r="AL129" s="1702"/>
      <c r="AM129" s="3070">
        <f>AM127+AM128</f>
        <v>6663</v>
      </c>
      <c r="AN129" s="1698"/>
      <c r="AO129" s="781">
        <f t="shared" si="61"/>
        <v>16002</v>
      </c>
      <c r="AP129" s="1696"/>
      <c r="AQ129" s="782">
        <f t="shared" si="62"/>
        <v>65432</v>
      </c>
      <c r="AR129" s="1702"/>
      <c r="AS129" s="3070">
        <f>AS127+AS128</f>
        <v>8268</v>
      </c>
      <c r="AT129" s="1696"/>
      <c r="AU129" s="782">
        <f t="shared" ref="AU129" si="68">+AQ129+AS129</f>
        <v>73700</v>
      </c>
      <c r="AV129" s="1702"/>
      <c r="AW129" s="3070">
        <f>AW127+AW128</f>
        <v>7784</v>
      </c>
      <c r="AX129" s="1696"/>
      <c r="AY129" s="782">
        <f t="shared" ref="AY129" si="69">+AU129+AW129</f>
        <v>81484</v>
      </c>
      <c r="AZ129" s="1702"/>
      <c r="BA129" s="3070">
        <f>BA127+BA128</f>
        <v>8753</v>
      </c>
      <c r="BB129" s="1698"/>
      <c r="BC129" s="781">
        <f t="shared" si="65"/>
        <v>24805</v>
      </c>
      <c r="BD129" s="1699"/>
      <c r="BE129" s="662">
        <f t="shared" si="66"/>
        <v>40807</v>
      </c>
      <c r="BF129" s="1697"/>
      <c r="BG129" s="782">
        <f t="shared" ref="BG129" si="70">+AY129+BA129</f>
        <v>90237</v>
      </c>
      <c r="BH129" s="26"/>
      <c r="BI129" s="26"/>
      <c r="BJ129" s="26"/>
      <c r="BK129" s="26"/>
      <c r="BL129" s="26"/>
      <c r="BM129" s="26"/>
      <c r="BN129" s="1219"/>
    </row>
    <row r="130" spans="1:67" ht="18" thickBot="1" x14ac:dyDescent="0.35">
      <c r="B130" s="1864" t="s">
        <v>53</v>
      </c>
      <c r="C130" s="188"/>
      <c r="D130" s="188"/>
      <c r="E130" s="2061"/>
      <c r="F130" s="1864"/>
      <c r="G130" s="2049"/>
      <c r="H130" s="1864"/>
      <c r="I130" s="2049"/>
      <c r="J130" s="188"/>
      <c r="K130" s="188"/>
      <c r="L130" s="1864"/>
      <c r="M130" s="2049"/>
      <c r="N130" s="1864"/>
      <c r="O130" s="2049"/>
      <c r="P130" s="1864"/>
      <c r="Q130" s="2049"/>
      <c r="R130" s="1864"/>
      <c r="S130" s="2049"/>
      <c r="T130" s="1864"/>
      <c r="U130" s="2049"/>
      <c r="V130" s="1864"/>
      <c r="W130" s="2049"/>
      <c r="X130" s="1864"/>
      <c r="Y130" s="2049"/>
      <c r="Z130" s="188"/>
      <c r="AA130" s="188"/>
      <c r="AB130" s="188"/>
      <c r="AC130" s="188"/>
      <c r="AD130" s="1864"/>
      <c r="AE130" s="2049"/>
      <c r="AF130" s="1864"/>
      <c r="AG130" s="2049"/>
      <c r="AH130" s="1864"/>
      <c r="AI130" s="2049"/>
      <c r="AJ130" s="1864"/>
      <c r="AK130" s="2049"/>
      <c r="AL130" s="1864"/>
      <c r="AM130" s="2049"/>
      <c r="AN130" s="188"/>
      <c r="AO130" s="188"/>
      <c r="AP130" s="1864"/>
      <c r="AQ130" s="2049"/>
      <c r="AR130" s="1864"/>
      <c r="AS130" s="2049"/>
      <c r="AT130" s="1864"/>
      <c r="AU130" s="2049"/>
      <c r="AV130" s="1864"/>
      <c r="AW130" s="2049"/>
      <c r="AX130" s="1864"/>
      <c r="AY130" s="2049"/>
      <c r="AZ130" s="1864"/>
      <c r="BA130" s="2049"/>
      <c r="BB130" s="188"/>
      <c r="BC130" s="188"/>
      <c r="BD130" s="188"/>
      <c r="BE130" s="188"/>
      <c r="BF130" s="1864"/>
      <c r="BG130" s="2049"/>
      <c r="BH130" s="26"/>
      <c r="BI130" s="26"/>
      <c r="BJ130" s="26"/>
      <c r="BK130" s="26"/>
      <c r="BL130" s="26"/>
      <c r="BM130" s="26"/>
      <c r="BN130" s="1219"/>
    </row>
    <row r="131" spans="1:67" ht="14.45" x14ac:dyDescent="0.3">
      <c r="B131" s="863" t="s">
        <v>93</v>
      </c>
      <c r="C131" s="2050"/>
      <c r="D131" s="2050"/>
      <c r="E131" s="819" t="s">
        <v>221</v>
      </c>
      <c r="F131" s="819">
        <f>+F2*24</f>
        <v>720</v>
      </c>
      <c r="G131" s="819">
        <f>+G2*24</f>
        <v>720</v>
      </c>
      <c r="H131" s="819">
        <f>+H2*24</f>
        <v>744</v>
      </c>
      <c r="I131" s="819">
        <f>+I2*24</f>
        <v>744</v>
      </c>
      <c r="J131" s="3413">
        <f>+F131+H131</f>
        <v>1464</v>
      </c>
      <c r="K131" s="3413">
        <f>+G131+I131</f>
        <v>1464</v>
      </c>
      <c r="L131" s="819">
        <f>+L2*24</f>
        <v>720</v>
      </c>
      <c r="M131" s="819">
        <f>+M2*24</f>
        <v>720</v>
      </c>
      <c r="N131" s="618">
        <f>+F131+H131+L131</f>
        <v>2184</v>
      </c>
      <c r="O131" s="618">
        <f>+G131+I131+M131</f>
        <v>2184</v>
      </c>
      <c r="P131" s="819">
        <f>+P2*24</f>
        <v>744</v>
      </c>
      <c r="Q131" s="819">
        <f>+Q2*24</f>
        <v>744</v>
      </c>
      <c r="R131" s="3413">
        <f>+N131+P131</f>
        <v>2928</v>
      </c>
      <c r="S131" s="3413">
        <f>+O131+Q131</f>
        <v>2928</v>
      </c>
      <c r="T131" s="819">
        <f>+T2*24</f>
        <v>744</v>
      </c>
      <c r="U131" s="819">
        <f>+U2*24</f>
        <v>744</v>
      </c>
      <c r="V131" s="3413">
        <f>+R131+T131</f>
        <v>3672</v>
      </c>
      <c r="W131" s="3413">
        <f>+S131+U131</f>
        <v>3672</v>
      </c>
      <c r="X131" s="819">
        <f>+X2*24</f>
        <v>720</v>
      </c>
      <c r="Y131" s="819">
        <f>+Y2*24</f>
        <v>720</v>
      </c>
      <c r="Z131" s="618">
        <f>+P131+T131+X131</f>
        <v>2208</v>
      </c>
      <c r="AA131" s="618">
        <f>+Q131+U131+Y131</f>
        <v>2208</v>
      </c>
      <c r="AB131" s="1049">
        <f>+N131+Z131</f>
        <v>4392</v>
      </c>
      <c r="AC131" s="1049">
        <f>+AA131+O131</f>
        <v>4392</v>
      </c>
      <c r="AD131" s="819">
        <f>+AD2*24</f>
        <v>744</v>
      </c>
      <c r="AE131" s="819">
        <f>+AE2*24</f>
        <v>744</v>
      </c>
      <c r="AF131" s="3413">
        <f>+AB131+AD131</f>
        <v>5136</v>
      </c>
      <c r="AG131" s="3413">
        <f>+AC131+AE131</f>
        <v>5136</v>
      </c>
      <c r="AH131" s="819">
        <f>+AH2*24</f>
        <v>720</v>
      </c>
      <c r="AI131" s="819">
        <f>+AI2*24</f>
        <v>720</v>
      </c>
      <c r="AJ131" s="3413">
        <f>+AF131+AH131</f>
        <v>5856</v>
      </c>
      <c r="AK131" s="3413">
        <f>+AG131+AI131</f>
        <v>5856</v>
      </c>
      <c r="AL131" s="819">
        <f>+AL2*24</f>
        <v>744</v>
      </c>
      <c r="AM131" s="819">
        <f>+AM2*24</f>
        <v>744</v>
      </c>
      <c r="AN131" s="618">
        <f>+AD131+AH131+AL131</f>
        <v>2208</v>
      </c>
      <c r="AO131" s="618">
        <f>+AE131+AI131+AM131</f>
        <v>2208</v>
      </c>
      <c r="AP131" s="373">
        <f t="shared" ref="AP131" si="71">AJ131+AL131</f>
        <v>6600</v>
      </c>
      <c r="AQ131" s="373">
        <f t="shared" ref="AQ131" si="72">AK131+AM131</f>
        <v>6600</v>
      </c>
      <c r="AR131" s="819">
        <f>+AR2*24</f>
        <v>744</v>
      </c>
      <c r="AS131" s="819">
        <f>+AS2*24</f>
        <v>744</v>
      </c>
      <c r="AT131" s="3413">
        <f>+AP131+AR131</f>
        <v>7344</v>
      </c>
      <c r="AU131" s="3413">
        <f>+AQ131+AS131</f>
        <v>7344</v>
      </c>
      <c r="AV131" s="819">
        <f>+AV2*24</f>
        <v>672</v>
      </c>
      <c r="AW131" s="819">
        <f>+AW2*24</f>
        <v>672</v>
      </c>
      <c r="AX131" s="3413">
        <f>+AT131+AV131</f>
        <v>8016</v>
      </c>
      <c r="AY131" s="3413">
        <f>+AU131+AW131</f>
        <v>8016</v>
      </c>
      <c r="AZ131" s="819">
        <f>+AZ2*24</f>
        <v>744</v>
      </c>
      <c r="BA131" s="819">
        <f>+BA2*24</f>
        <v>744</v>
      </c>
      <c r="BB131" s="618">
        <f>+AR131+AV131+AZ131</f>
        <v>2160</v>
      </c>
      <c r="BC131" s="618">
        <f>+AS131+AW131+BA131</f>
        <v>2160</v>
      </c>
      <c r="BD131" s="5118">
        <f t="shared" ref="BD131" si="73">+AN131+BB131</f>
        <v>4368</v>
      </c>
      <c r="BE131" s="5118">
        <f t="shared" ref="BE131" si="74">+AO131+BC131</f>
        <v>4368</v>
      </c>
      <c r="BF131" s="3413">
        <f>+AX131+AZ131</f>
        <v>8760</v>
      </c>
      <c r="BG131" s="3170">
        <f>+AY131+BA131</f>
        <v>8760</v>
      </c>
      <c r="BH131" s="26"/>
      <c r="BI131" s="26"/>
      <c r="BJ131" s="26"/>
      <c r="BK131" s="26"/>
      <c r="BL131" s="26"/>
      <c r="BM131" s="26"/>
      <c r="BN131" s="1219"/>
    </row>
    <row r="132" spans="1:67" ht="14.45" x14ac:dyDescent="0.3">
      <c r="B132" s="5196" t="s">
        <v>303</v>
      </c>
      <c r="C132" s="5178"/>
      <c r="D132" s="5178"/>
      <c r="E132" s="4862" t="s">
        <v>49</v>
      </c>
      <c r="F132" s="5180">
        <f>+F133/F131*100</f>
        <v>90</v>
      </c>
      <c r="G132" s="5180">
        <f>+G133/G131*100</f>
        <v>74.363425925925924</v>
      </c>
      <c r="H132" s="5180">
        <f>+H133/H131*100</f>
        <v>90.322580645161281</v>
      </c>
      <c r="I132" s="5180">
        <f>+I133/I131*100</f>
        <v>84.621415770609346</v>
      </c>
      <c r="J132" s="5181">
        <f t="shared" ref="J132:AC132" si="75">+J133/J131*100</f>
        <v>90.163934426229503</v>
      </c>
      <c r="K132" s="5181">
        <f t="shared" si="75"/>
        <v>79.576502732240442</v>
      </c>
      <c r="L132" s="5180">
        <f>+L133/L131*100</f>
        <v>90</v>
      </c>
      <c r="M132" s="5180">
        <f>+M133/M131*100</f>
        <v>84.224537037037024</v>
      </c>
      <c r="N132" s="5182">
        <f t="shared" si="75"/>
        <v>90.109890109890117</v>
      </c>
      <c r="O132" s="5182">
        <f t="shared" si="75"/>
        <v>81.108821733821728</v>
      </c>
      <c r="P132" s="5180">
        <f>+P133/P131*100</f>
        <v>90.322580645161281</v>
      </c>
      <c r="Q132" s="5180">
        <f>+Q133/Q131*100</f>
        <v>88.048835125448051</v>
      </c>
      <c r="R132" s="5181">
        <f t="shared" si="75"/>
        <v>90.163934426229503</v>
      </c>
      <c r="S132" s="5181">
        <f t="shared" si="75"/>
        <v>82.872267759562845</v>
      </c>
      <c r="T132" s="5180">
        <f>+T133/T131*100</f>
        <v>90.322580645161281</v>
      </c>
      <c r="U132" s="5180">
        <f>+U133/U131*100</f>
        <v>82.112455197132661</v>
      </c>
      <c r="V132" s="5181">
        <f t="shared" ref="V132:W132" si="76">+V133/V131*100</f>
        <v>90.196078431372555</v>
      </c>
      <c r="W132" s="5181">
        <f t="shared" si="76"/>
        <v>82.718318809005083</v>
      </c>
      <c r="X132" s="5180">
        <f>+X133/X131*100</f>
        <v>50</v>
      </c>
      <c r="Y132" s="5180">
        <f>+Y133/Y131*100</f>
        <v>84.293981481481495</v>
      </c>
      <c r="Z132" s="5182">
        <f t="shared" si="75"/>
        <v>77.173913043478265</v>
      </c>
      <c r="AA132" s="5182">
        <f t="shared" si="75"/>
        <v>84.824124396135289</v>
      </c>
      <c r="AB132" s="5183">
        <f t="shared" si="75"/>
        <v>83.606557377049185</v>
      </c>
      <c r="AC132" s="5183">
        <f t="shared" si="75"/>
        <v>82.976624165148777</v>
      </c>
      <c r="AD132" s="5180">
        <f>+AD133/AD131*100</f>
        <v>90.322580645161281</v>
      </c>
      <c r="AE132" s="5180">
        <f>+AE133/AE131*100</f>
        <v>80.096774193548384</v>
      </c>
      <c r="AF132" s="5181">
        <f t="shared" ref="AF132:AG132" si="77">+AF133/AF131*100</f>
        <v>84.579439252336456</v>
      </c>
      <c r="AG132" s="5181">
        <f t="shared" si="77"/>
        <v>82.559449636552458</v>
      </c>
      <c r="AH132" s="5180">
        <f>+AH133/AH131*100</f>
        <v>90</v>
      </c>
      <c r="AI132" s="5180">
        <f>+AI133/AI131*100</f>
        <v>21.886574074074076</v>
      </c>
      <c r="AJ132" s="5181">
        <f t="shared" ref="AJ132:AK132" si="78">+AJ133/AJ131*100</f>
        <v>85.245901639344254</v>
      </c>
      <c r="AK132" s="5181">
        <f t="shared" si="78"/>
        <v>75.099669854280521</v>
      </c>
      <c r="AL132" s="5180">
        <f>+AL133/AL131*100</f>
        <v>90.322580645161281</v>
      </c>
      <c r="AM132" s="5180">
        <f>+AM133/AM131*100</f>
        <v>74.585573476702521</v>
      </c>
      <c r="AN132" s="5182">
        <f t="shared" ref="AN132:AQ132" si="79">+AN133/AN131*100</f>
        <v>90.217391304347828</v>
      </c>
      <c r="AO132" s="5182">
        <f t="shared" si="79"/>
        <v>59.258152173913047</v>
      </c>
      <c r="AP132" s="5181">
        <f t="shared" si="79"/>
        <v>85.818181818181813</v>
      </c>
      <c r="AQ132" s="5181">
        <f t="shared" si="79"/>
        <v>75.041717171717181</v>
      </c>
      <c r="AR132" s="5180">
        <f>+AR133/AR131*100</f>
        <v>90.322580645161281</v>
      </c>
      <c r="AS132" s="5180">
        <f>+AS133/AS131*100</f>
        <v>84.968637992831546</v>
      </c>
      <c r="AT132" s="5181">
        <f t="shared" ref="AT132:AU132" si="80">+AT133/AT131*100</f>
        <v>86.274509803921575</v>
      </c>
      <c r="AU132" s="5181">
        <f t="shared" si="80"/>
        <v>76.047385620915037</v>
      </c>
      <c r="AV132" s="5180">
        <f>+AV133/AV131*100</f>
        <v>89.285714285714292</v>
      </c>
      <c r="AW132" s="5180">
        <f>+AW133/AW131*100</f>
        <v>80.543154761904773</v>
      </c>
      <c r="AX132" s="5181">
        <f t="shared" ref="AX132:AY132" si="81">+AX133/AX131*100</f>
        <v>86.526946107784426</v>
      </c>
      <c r="AY132" s="5181">
        <f t="shared" si="81"/>
        <v>76.424276447105797</v>
      </c>
      <c r="AZ132" s="5180">
        <f>+AZ133/AZ131*100</f>
        <v>90.322580645161281</v>
      </c>
      <c r="BA132" s="5180">
        <f>+BA133/BA131*100</f>
        <v>83.680555555555557</v>
      </c>
      <c r="BB132" s="5182">
        <f t="shared" ref="BB132:BE132" si="82">+BB133/BB131*100</f>
        <v>90</v>
      </c>
      <c r="BC132" s="5182">
        <f t="shared" si="82"/>
        <v>83.148148148148152</v>
      </c>
      <c r="BD132" s="5184">
        <f t="shared" si="82"/>
        <v>90.109890109890117</v>
      </c>
      <c r="BE132" s="5184">
        <f t="shared" si="82"/>
        <v>71.071886446886452</v>
      </c>
      <c r="BF132" s="5181">
        <f t="shared" ref="BF132:BG132" si="83">+BF133/BF131*100</f>
        <v>86.849315068493155</v>
      </c>
      <c r="BG132" s="5197">
        <f t="shared" si="83"/>
        <v>77.040563165905638</v>
      </c>
      <c r="BH132" s="26"/>
      <c r="BI132" s="26"/>
      <c r="BJ132" s="26"/>
      <c r="BK132" s="26"/>
      <c r="BL132" s="26"/>
      <c r="BM132" s="26"/>
      <c r="BN132" s="1219"/>
    </row>
    <row r="133" spans="1:67" ht="14.45" x14ac:dyDescent="0.3">
      <c r="B133" s="5196" t="s">
        <v>302</v>
      </c>
      <c r="C133" s="5178"/>
      <c r="D133" s="5178"/>
      <c r="E133" s="4862" t="s">
        <v>221</v>
      </c>
      <c r="F133" s="4862">
        <v>648</v>
      </c>
      <c r="G133" s="4857">
        <v>535.41666666666663</v>
      </c>
      <c r="H133" s="4862">
        <v>672</v>
      </c>
      <c r="I133" s="4857">
        <v>629.58333333333348</v>
      </c>
      <c r="J133" s="5179">
        <f>+F133+H133</f>
        <v>1320</v>
      </c>
      <c r="K133" s="4957">
        <f>+G133+I133</f>
        <v>1165</v>
      </c>
      <c r="L133" s="4862">
        <v>648</v>
      </c>
      <c r="M133" s="4857">
        <v>606.41666666666652</v>
      </c>
      <c r="N133" s="4964">
        <f>+F133+H133+L133</f>
        <v>1968</v>
      </c>
      <c r="O133" s="4964">
        <f>+G133+I133+M133</f>
        <v>1771.4166666666665</v>
      </c>
      <c r="P133" s="4862">
        <v>672</v>
      </c>
      <c r="Q133" s="4857">
        <v>655.08333333333348</v>
      </c>
      <c r="R133" s="5179">
        <f>+N133+P133</f>
        <v>2640</v>
      </c>
      <c r="S133" s="4957">
        <f>+O133+Q133</f>
        <v>2426.5</v>
      </c>
      <c r="T133" s="4862">
        <v>672</v>
      </c>
      <c r="U133" s="4857">
        <v>610.91666666666697</v>
      </c>
      <c r="V133" s="5179">
        <f>+R133+T133</f>
        <v>3312</v>
      </c>
      <c r="W133" s="4957">
        <f>+S133+U133</f>
        <v>3037.416666666667</v>
      </c>
      <c r="X133" s="4862">
        <v>360</v>
      </c>
      <c r="Y133" s="4857">
        <v>606.91666666666674</v>
      </c>
      <c r="Z133" s="5182">
        <f>+P133+T133+X133</f>
        <v>1704</v>
      </c>
      <c r="AA133" s="5182">
        <f>+Q133+U133+Y133</f>
        <v>1872.9166666666672</v>
      </c>
      <c r="AB133" s="5113">
        <f>+N133+Z133</f>
        <v>3672</v>
      </c>
      <c r="AC133" s="5113">
        <f>+AA133+O133</f>
        <v>3644.3333333333339</v>
      </c>
      <c r="AD133" s="4862">
        <v>672</v>
      </c>
      <c r="AE133" s="4857">
        <v>595.91999999999996</v>
      </c>
      <c r="AF133" s="5179">
        <f>+AB133+AD133</f>
        <v>4344</v>
      </c>
      <c r="AG133" s="4957">
        <f>+AC133+AE133</f>
        <v>4240.253333333334</v>
      </c>
      <c r="AH133" s="4862">
        <v>648</v>
      </c>
      <c r="AI133" s="4857">
        <v>157.58333333333334</v>
      </c>
      <c r="AJ133" s="5179">
        <f>+AF133+AH133</f>
        <v>4992</v>
      </c>
      <c r="AK133" s="4957">
        <f>+AG133+AI133</f>
        <v>4397.836666666667</v>
      </c>
      <c r="AL133" s="4862">
        <v>672</v>
      </c>
      <c r="AM133" s="4857">
        <v>554.91666666666674</v>
      </c>
      <c r="AN133" s="5182">
        <f>+AD133+AH133+AL133</f>
        <v>1992</v>
      </c>
      <c r="AO133" s="5182">
        <f>+AE133+AI133+AM133</f>
        <v>1308.42</v>
      </c>
      <c r="AP133" s="4957">
        <f t="shared" ref="AP133:AQ133" si="84">AJ133+AL133</f>
        <v>5664</v>
      </c>
      <c r="AQ133" s="4957">
        <f t="shared" si="84"/>
        <v>4952.753333333334</v>
      </c>
      <c r="AR133" s="4862">
        <v>672</v>
      </c>
      <c r="AS133" s="4857">
        <v>632.16666666666663</v>
      </c>
      <c r="AT133" s="5179">
        <f>+AP133+AR133</f>
        <v>6336</v>
      </c>
      <c r="AU133" s="4957">
        <f>+AQ133+AS133</f>
        <v>5584.920000000001</v>
      </c>
      <c r="AV133" s="4862">
        <v>600</v>
      </c>
      <c r="AW133" s="4857">
        <v>541.25000000000011</v>
      </c>
      <c r="AX133" s="5179">
        <f>+AT133+AV133</f>
        <v>6936</v>
      </c>
      <c r="AY133" s="4957">
        <f>+AU133+AW133</f>
        <v>6126.170000000001</v>
      </c>
      <c r="AZ133" s="4862">
        <v>672</v>
      </c>
      <c r="BA133" s="4857">
        <v>622.58333333333337</v>
      </c>
      <c r="BB133" s="5182">
        <f>+AR133+AV133+AZ133</f>
        <v>1944</v>
      </c>
      <c r="BC133" s="5182">
        <f>+AS133+AW133+BA133</f>
        <v>1796</v>
      </c>
      <c r="BD133" s="5115">
        <f t="shared" ref="BD133:BE135" si="85">+AN133+BB133</f>
        <v>3936</v>
      </c>
      <c r="BE133" s="5115">
        <f t="shared" si="85"/>
        <v>3104.42</v>
      </c>
      <c r="BF133" s="5179">
        <f>+AX133+AZ133</f>
        <v>7608</v>
      </c>
      <c r="BG133" s="4866">
        <f>+AY133+BA133</f>
        <v>6748.753333333334</v>
      </c>
      <c r="BH133" s="26"/>
      <c r="BI133" s="26"/>
      <c r="BJ133" s="26"/>
      <c r="BK133" s="26"/>
      <c r="BL133" s="26"/>
      <c r="BM133" s="26"/>
      <c r="BN133" s="1219"/>
      <c r="BO133" s="1219"/>
    </row>
    <row r="134" spans="1:67" ht="14.45" x14ac:dyDescent="0.3">
      <c r="B134" s="5196" t="s">
        <v>304</v>
      </c>
      <c r="C134" s="5178"/>
      <c r="D134" s="5178"/>
      <c r="E134" s="4862" t="s">
        <v>49</v>
      </c>
      <c r="F134" s="5185">
        <f>+F135/F133*100</f>
        <v>83.333333333333343</v>
      </c>
      <c r="G134" s="5185">
        <f>+G135/G133*100</f>
        <v>83.78210116731519</v>
      </c>
      <c r="H134" s="5185">
        <f>+H135/H133*100</f>
        <v>83.333333333333343</v>
      </c>
      <c r="I134" s="5185">
        <f>+I135/I133*100</f>
        <v>81.178027796161459</v>
      </c>
      <c r="J134" s="5181">
        <f t="shared" ref="J134:AC134" si="86">+J135/J133*100</f>
        <v>83.333333333333343</v>
      </c>
      <c r="K134" s="5181">
        <f t="shared" si="86"/>
        <v>82.374821173104422</v>
      </c>
      <c r="L134" s="5185">
        <f>+L135/L133*100</f>
        <v>83.333333333333343</v>
      </c>
      <c r="M134" s="5185">
        <f>+M135/M133*100</f>
        <v>83.92194585680916</v>
      </c>
      <c r="N134" s="5182">
        <f t="shared" si="86"/>
        <v>83.333333333333343</v>
      </c>
      <c r="O134" s="5182">
        <f t="shared" si="86"/>
        <v>82.904455003057834</v>
      </c>
      <c r="P134" s="5185">
        <f>+P135/P133*100</f>
        <v>83.333333333333343</v>
      </c>
      <c r="Q134" s="5185">
        <f>+Q135/Q133*100</f>
        <v>81.618114743671271</v>
      </c>
      <c r="R134" s="5181">
        <f t="shared" si="86"/>
        <v>83.333333333333343</v>
      </c>
      <c r="S134" s="5181">
        <f t="shared" si="86"/>
        <v>82.557181125077278</v>
      </c>
      <c r="T134" s="5185">
        <f>+T135/T133*100</f>
        <v>83.333333333333343</v>
      </c>
      <c r="U134" s="5185">
        <f>+U135/U133*100</f>
        <v>72.268449051971047</v>
      </c>
      <c r="V134" s="5181">
        <f t="shared" ref="V134:W134" si="87">+V135/V133*100</f>
        <v>83.333333333333343</v>
      </c>
      <c r="W134" s="5181">
        <f t="shared" si="87"/>
        <v>80.487804878048777</v>
      </c>
      <c r="X134" s="5185">
        <f>+X135/X133*100</f>
        <v>83.333333333333343</v>
      </c>
      <c r="Y134" s="5185">
        <f>+Y135/Y133*100</f>
        <v>74.749416449265411</v>
      </c>
      <c r="Z134" s="5182">
        <f t="shared" si="86"/>
        <v>83.333333333333343</v>
      </c>
      <c r="AA134" s="5182">
        <f t="shared" si="86"/>
        <v>76.34260289210232</v>
      </c>
      <c r="AB134" s="5183">
        <f t="shared" si="86"/>
        <v>83.333333333333343</v>
      </c>
      <c r="AC134" s="5183">
        <f t="shared" si="86"/>
        <v>79.532150370438117</v>
      </c>
      <c r="AD134" s="5185">
        <f>+AD135/AD133*100</f>
        <v>81.25</v>
      </c>
      <c r="AE134" s="5185">
        <f>+AE135/AE133*100</f>
        <v>80.337964827493622</v>
      </c>
      <c r="AF134" s="5181">
        <f t="shared" ref="AF134:AG134" si="88">+AF135/AF133*100</f>
        <v>83.011049723756898</v>
      </c>
      <c r="AG134" s="5181">
        <f t="shared" si="88"/>
        <v>79.645398545369929</v>
      </c>
      <c r="AH134" s="5185">
        <f>+AH135/AH133*100</f>
        <v>81.25</v>
      </c>
      <c r="AI134" s="5185">
        <f>+AI135/AI133*100</f>
        <v>87.625594923320989</v>
      </c>
      <c r="AJ134" s="5181">
        <f t="shared" ref="AJ134:AK134" si="89">+AJ135/AJ133*100</f>
        <v>82.782451923076934</v>
      </c>
      <c r="AK134" s="5181">
        <f t="shared" si="89"/>
        <v>79.931345032519786</v>
      </c>
      <c r="AL134" s="5185">
        <f>+AL135/AL133*100</f>
        <v>81.25</v>
      </c>
      <c r="AM134" s="5185">
        <f>+AM135/AM133*100</f>
        <v>74.710917555188445</v>
      </c>
      <c r="AN134" s="5182">
        <f t="shared" ref="AN134:AQ134" si="90">+AN135/AN133*100</f>
        <v>81.25</v>
      </c>
      <c r="AO134" s="5182">
        <f t="shared" si="90"/>
        <v>78.829173099361554</v>
      </c>
      <c r="AP134" s="5181">
        <f t="shared" si="90"/>
        <v>82.600635593220346</v>
      </c>
      <c r="AQ134" s="5181">
        <f t="shared" si="90"/>
        <v>79.346437604403206</v>
      </c>
      <c r="AR134" s="5185">
        <f>+AR135/AR133*100</f>
        <v>81.25</v>
      </c>
      <c r="AS134" s="5185">
        <f>+AS135/AS133*100</f>
        <v>82.111784866860035</v>
      </c>
      <c r="AT134" s="5181">
        <f t="shared" ref="AT134:AU134" si="91">+AT135/AT133*100</f>
        <v>82.45738636363636</v>
      </c>
      <c r="AU134" s="5181">
        <f t="shared" si="91"/>
        <v>79.659452000506136</v>
      </c>
      <c r="AV134" s="5185">
        <f>+AV135/AV133*100</f>
        <v>81.25</v>
      </c>
      <c r="AW134" s="5185">
        <f>+AW135/AW133*100</f>
        <v>88.17551963048497</v>
      </c>
      <c r="AX134" s="5181">
        <f t="shared" ref="AX134:AY134" si="92">+AX135/AX133*100</f>
        <v>82.35294117647058</v>
      </c>
      <c r="AY134" s="5181">
        <f t="shared" si="92"/>
        <v>80.41185057983482</v>
      </c>
      <c r="AZ134" s="5185">
        <f>+AZ135/AZ133*100</f>
        <v>81.25</v>
      </c>
      <c r="BA134" s="5185">
        <f>+BA135/BA133*100</f>
        <v>84.861464328737796</v>
      </c>
      <c r="BB134" s="5182">
        <f t="shared" ref="BB134:BE134" si="93">+BB135/BB133*100</f>
        <v>81.25</v>
      </c>
      <c r="BC134" s="5182">
        <f t="shared" si="93"/>
        <v>84.892353377876788</v>
      </c>
      <c r="BD134" s="5184">
        <f t="shared" si="93"/>
        <v>81.25</v>
      </c>
      <c r="BE134" s="5184">
        <f t="shared" si="93"/>
        <v>82.336904585504968</v>
      </c>
      <c r="BF134" s="5181">
        <f t="shared" ref="BF134:BG134" si="94">+BF135/BF133*100</f>
        <v>82.255520504731862</v>
      </c>
      <c r="BG134" s="5197">
        <f t="shared" si="94"/>
        <v>80.822334594142333</v>
      </c>
      <c r="BH134" s="26"/>
      <c r="BI134" s="26"/>
      <c r="BJ134" s="26"/>
      <c r="BK134" s="26"/>
      <c r="BL134" s="26"/>
      <c r="BM134" s="26"/>
      <c r="BN134" s="26"/>
      <c r="BO134" s="26"/>
    </row>
    <row r="135" spans="1:67" ht="14.45" x14ac:dyDescent="0.3">
      <c r="B135" s="5196" t="s">
        <v>305</v>
      </c>
      <c r="C135" s="5178"/>
      <c r="D135" s="5178"/>
      <c r="E135" s="4862" t="s">
        <v>221</v>
      </c>
      <c r="F135" s="4857">
        <v>540</v>
      </c>
      <c r="G135" s="4857">
        <v>448.58333333333337</v>
      </c>
      <c r="H135" s="4857">
        <v>560</v>
      </c>
      <c r="I135" s="4857">
        <v>511.08333333333326</v>
      </c>
      <c r="J135" s="4957">
        <f>+F135+H135</f>
        <v>1100</v>
      </c>
      <c r="K135" s="4957">
        <f>+G135+I135</f>
        <v>959.66666666666663</v>
      </c>
      <c r="L135" s="4857">
        <v>540</v>
      </c>
      <c r="M135" s="4857">
        <v>508.91666666666674</v>
      </c>
      <c r="N135" s="4964">
        <f>+F135+H135+L135</f>
        <v>1640</v>
      </c>
      <c r="O135" s="4964">
        <f>+G135+I135+M135</f>
        <v>1468.5833333333335</v>
      </c>
      <c r="P135" s="4857">
        <v>560</v>
      </c>
      <c r="Q135" s="4857">
        <v>534.66666666666674</v>
      </c>
      <c r="R135" s="4957">
        <f>+N135+P135</f>
        <v>2200</v>
      </c>
      <c r="S135" s="4957">
        <f>+O135+Q135</f>
        <v>2003.2500000000002</v>
      </c>
      <c r="T135" s="4857">
        <v>560</v>
      </c>
      <c r="U135" s="4857">
        <v>441.49999999999994</v>
      </c>
      <c r="V135" s="4957">
        <f>+R135+T135</f>
        <v>2760</v>
      </c>
      <c r="W135" s="4957">
        <f>+S135+U135</f>
        <v>2444.75</v>
      </c>
      <c r="X135" s="4857">
        <v>300</v>
      </c>
      <c r="Y135" s="4857">
        <v>453.66666666666669</v>
      </c>
      <c r="Z135" s="5182">
        <f>+P135+T135+X135</f>
        <v>1420</v>
      </c>
      <c r="AA135" s="5182">
        <f>+Q135+U135+Y135</f>
        <v>1429.8333333333335</v>
      </c>
      <c r="AB135" s="5113">
        <f>+N135+Z135</f>
        <v>3060</v>
      </c>
      <c r="AC135" s="5113">
        <f>+AA135+O135</f>
        <v>2898.416666666667</v>
      </c>
      <c r="AD135" s="4857">
        <v>546</v>
      </c>
      <c r="AE135" s="4857">
        <v>478.75</v>
      </c>
      <c r="AF135" s="4957">
        <f>+AB135+AD135</f>
        <v>3606</v>
      </c>
      <c r="AG135" s="4957">
        <f>+AC135+AE135</f>
        <v>3377.166666666667</v>
      </c>
      <c r="AH135" s="4857">
        <v>526.5</v>
      </c>
      <c r="AI135" s="4857">
        <v>138.08333333333331</v>
      </c>
      <c r="AJ135" s="4957">
        <f>+AF135+AH135</f>
        <v>4132.5</v>
      </c>
      <c r="AK135" s="4957">
        <f>+AG135+AI135</f>
        <v>3515.2500000000005</v>
      </c>
      <c r="AL135" s="4857">
        <v>546</v>
      </c>
      <c r="AM135" s="4857">
        <v>414.58333333333331</v>
      </c>
      <c r="AN135" s="5182">
        <f>+AD135+AH135+AL135</f>
        <v>1618.5</v>
      </c>
      <c r="AO135" s="5182">
        <f>+AE135+AI135+AM135</f>
        <v>1031.4166666666665</v>
      </c>
      <c r="AP135" s="4957">
        <f t="shared" ref="AP135:AQ135" si="95">AJ135+AL135</f>
        <v>4678.5</v>
      </c>
      <c r="AQ135" s="4957">
        <f t="shared" si="95"/>
        <v>3929.8333333333339</v>
      </c>
      <c r="AR135" s="4857">
        <v>546</v>
      </c>
      <c r="AS135" s="4857">
        <v>519.08333333333348</v>
      </c>
      <c r="AT135" s="4957">
        <f>+AP135+AR135</f>
        <v>5224.5</v>
      </c>
      <c r="AU135" s="4957">
        <f>+AQ135+AS135</f>
        <v>4448.9166666666679</v>
      </c>
      <c r="AV135" s="4857">
        <v>487.5</v>
      </c>
      <c r="AW135" s="4857">
        <v>477.25</v>
      </c>
      <c r="AX135" s="4957">
        <f>+AT135+AV135</f>
        <v>5712</v>
      </c>
      <c r="AY135" s="4957">
        <f>+AU135+AW135</f>
        <v>4926.1666666666679</v>
      </c>
      <c r="AZ135" s="4857">
        <v>546</v>
      </c>
      <c r="BA135" s="4857">
        <v>528.33333333333337</v>
      </c>
      <c r="BB135" s="5182">
        <f>+AR135+AV135+AZ135</f>
        <v>1579.5</v>
      </c>
      <c r="BC135" s="5182">
        <f>+AS135+AW135+BA135</f>
        <v>1524.666666666667</v>
      </c>
      <c r="BD135" s="5115">
        <f t="shared" si="85"/>
        <v>3198</v>
      </c>
      <c r="BE135" s="5115">
        <f t="shared" si="85"/>
        <v>2556.0833333333335</v>
      </c>
      <c r="BF135" s="4957">
        <f>+AX135+AZ135</f>
        <v>6258</v>
      </c>
      <c r="BG135" s="4866">
        <f>+AY135+BA135</f>
        <v>5454.5000000000009</v>
      </c>
      <c r="BH135" s="26"/>
      <c r="BI135" s="26"/>
      <c r="BJ135" s="26"/>
      <c r="BK135" s="26"/>
      <c r="BL135" s="26"/>
      <c r="BM135" s="26"/>
      <c r="BN135" s="1219"/>
    </row>
    <row r="136" spans="1:67" ht="14.45" x14ac:dyDescent="0.3">
      <c r="A136" s="1545">
        <v>0.28399999999999997</v>
      </c>
      <c r="B136" s="5196" t="s">
        <v>511</v>
      </c>
      <c r="C136" s="5178"/>
      <c r="D136" s="5178"/>
      <c r="E136" s="4862" t="s">
        <v>510</v>
      </c>
      <c r="F136" s="5185">
        <f>+F135/(F133/24)</f>
        <v>20</v>
      </c>
      <c r="G136" s="5185">
        <f>+G135/(G133/24)</f>
        <v>20.107704280155644</v>
      </c>
      <c r="H136" s="5185">
        <f>+H135/(H133/24)</f>
        <v>20</v>
      </c>
      <c r="I136" s="5185">
        <f>+I135/(I133/24)</f>
        <v>19.482726671078748</v>
      </c>
      <c r="J136" s="5181">
        <f t="shared" ref="J136:AC136" si="96">+J135/(J133/24)</f>
        <v>20</v>
      </c>
      <c r="K136" s="5181">
        <f t="shared" si="96"/>
        <v>19.769957081545066</v>
      </c>
      <c r="L136" s="5185">
        <f>+L135/(L133/24)</f>
        <v>20</v>
      </c>
      <c r="M136" s="5185">
        <f>+M135/(M133/24)</f>
        <v>20.141267005634198</v>
      </c>
      <c r="N136" s="5182">
        <f t="shared" si="96"/>
        <v>20</v>
      </c>
      <c r="O136" s="5182">
        <f t="shared" si="96"/>
        <v>19.897069200733881</v>
      </c>
      <c r="P136" s="5185">
        <f>+P135/(P133/24)</f>
        <v>20</v>
      </c>
      <c r="Q136" s="5185">
        <f>+Q135/(Q133/24)</f>
        <v>19.588347538481106</v>
      </c>
      <c r="R136" s="5181">
        <f t="shared" si="96"/>
        <v>20</v>
      </c>
      <c r="S136" s="5181">
        <f t="shared" si="96"/>
        <v>19.813723470018548</v>
      </c>
      <c r="T136" s="5185">
        <f>+T135/(T133/24)</f>
        <v>20</v>
      </c>
      <c r="U136" s="5185">
        <f>+U135/(U133/24)</f>
        <v>17.344427772473047</v>
      </c>
      <c r="V136" s="5181">
        <f t="shared" ref="V136:W136" si="97">+V135/(V133/24)</f>
        <v>20</v>
      </c>
      <c r="W136" s="5181">
        <f t="shared" si="97"/>
        <v>19.317073170731707</v>
      </c>
      <c r="X136" s="5185">
        <f>+X135/(X133/24)</f>
        <v>20</v>
      </c>
      <c r="Y136" s="5185">
        <f>+Y135/(Y133/24)</f>
        <v>17.939859947823699</v>
      </c>
      <c r="Z136" s="5182">
        <f t="shared" si="96"/>
        <v>20</v>
      </c>
      <c r="AA136" s="5182">
        <f t="shared" si="96"/>
        <v>18.322224694104555</v>
      </c>
      <c r="AB136" s="5183">
        <f t="shared" si="96"/>
        <v>20</v>
      </c>
      <c r="AC136" s="5183">
        <f t="shared" si="96"/>
        <v>19.087716088905147</v>
      </c>
      <c r="AD136" s="5185">
        <f>+AD135/(AD133/24)</f>
        <v>19.5</v>
      </c>
      <c r="AE136" s="5185">
        <f>+AE135/(AE133/24)</f>
        <v>19.281111558598472</v>
      </c>
      <c r="AF136" s="5181">
        <f t="shared" ref="AF136:AG136" si="98">+AF135/(AF133/24)</f>
        <v>19.922651933701658</v>
      </c>
      <c r="AG136" s="5181">
        <f t="shared" si="98"/>
        <v>19.114895650888784</v>
      </c>
      <c r="AH136" s="5185">
        <f>+AH135/(AH133/24)</f>
        <v>19.5</v>
      </c>
      <c r="AI136" s="5185">
        <f>+AI135/(AI133/24)</f>
        <v>21.030142781597036</v>
      </c>
      <c r="AJ136" s="5181">
        <f t="shared" ref="AJ136:AK136" si="99">+AJ135/(AJ133/24)</f>
        <v>19.86778846153846</v>
      </c>
      <c r="AK136" s="5181">
        <f t="shared" si="99"/>
        <v>19.183522807804746</v>
      </c>
      <c r="AL136" s="5185">
        <f>+AL135/(AL133/24)</f>
        <v>19.5</v>
      </c>
      <c r="AM136" s="5185">
        <f>+AM135/(AM133/24)</f>
        <v>17.930620213245227</v>
      </c>
      <c r="AN136" s="5182">
        <f t="shared" ref="AN136:AQ136" si="100">+AN135/(AN133/24)</f>
        <v>19.5</v>
      </c>
      <c r="AO136" s="5182">
        <f t="shared" si="100"/>
        <v>18.919001543846772</v>
      </c>
      <c r="AP136" s="5181">
        <f t="shared" si="100"/>
        <v>19.824152542372882</v>
      </c>
      <c r="AQ136" s="5181">
        <f t="shared" si="100"/>
        <v>19.04314502505677</v>
      </c>
      <c r="AR136" s="5185">
        <f>+AR135/(AR133/24)</f>
        <v>19.5</v>
      </c>
      <c r="AS136" s="5185">
        <f>+AS135/(AS133/24)</f>
        <v>19.706828368046409</v>
      </c>
      <c r="AT136" s="5181">
        <f t="shared" ref="AT136:AU136" si="101">+AT135/(AT133/24)</f>
        <v>19.789772727272727</v>
      </c>
      <c r="AU136" s="5181">
        <f t="shared" si="101"/>
        <v>19.118268480121472</v>
      </c>
      <c r="AV136" s="5185">
        <f>+AV135/(AV133/24)</f>
        <v>19.5</v>
      </c>
      <c r="AW136" s="5185">
        <f>+AW135/(AW133/24)</f>
        <v>21.162124711316391</v>
      </c>
      <c r="AX136" s="5181">
        <f t="shared" ref="AX136:AY136" si="102">+AX135/(AX133/24)</f>
        <v>19.764705882352942</v>
      </c>
      <c r="AY136" s="5181">
        <f t="shared" si="102"/>
        <v>19.298844139160359</v>
      </c>
      <c r="AZ136" s="5185">
        <f>+AZ135/(AZ133/24)</f>
        <v>19.5</v>
      </c>
      <c r="BA136" s="5185">
        <f>+BA135/(BA133/24)</f>
        <v>20.366751438897069</v>
      </c>
      <c r="BB136" s="5182">
        <f t="shared" ref="BB136:BE136" si="103">+BB135/(BB133/24)</f>
        <v>19.5</v>
      </c>
      <c r="BC136" s="5182">
        <f t="shared" si="103"/>
        <v>20.374164810690427</v>
      </c>
      <c r="BD136" s="5184">
        <f t="shared" si="103"/>
        <v>19.5</v>
      </c>
      <c r="BE136" s="5184">
        <f t="shared" si="103"/>
        <v>19.760857100521193</v>
      </c>
      <c r="BF136" s="5181">
        <f t="shared" ref="BF136:BG136" si="104">+BF135/(BF133/24)</f>
        <v>19.741324921135647</v>
      </c>
      <c r="BG136" s="5197">
        <f t="shared" si="104"/>
        <v>19.397360302594159</v>
      </c>
      <c r="BH136" s="26"/>
      <c r="BI136" s="26"/>
      <c r="BJ136" s="26"/>
      <c r="BK136" s="26"/>
      <c r="BL136" s="26"/>
      <c r="BM136" s="26"/>
      <c r="BN136" s="1219"/>
    </row>
    <row r="137" spans="1:67" x14ac:dyDescent="0.25">
      <c r="B137" s="5196" t="s">
        <v>306</v>
      </c>
      <c r="C137" s="5178"/>
      <c r="D137" s="5178"/>
      <c r="E137" s="4862" t="s">
        <v>1095</v>
      </c>
      <c r="F137" s="5186">
        <v>0.48500000000000004</v>
      </c>
      <c r="G137" s="4869">
        <v>0.48399999999999999</v>
      </c>
      <c r="H137" s="5186">
        <v>0.48499999999999999</v>
      </c>
      <c r="I137" s="4869">
        <v>0.47499999999999998</v>
      </c>
      <c r="J137" s="5187">
        <f>+((F137*F7)+(H137*H7))/J7</f>
        <v>0.48499999999999999</v>
      </c>
      <c r="K137" s="5187">
        <f>+((G137*G7)+(I137*I7))/K7</f>
        <v>0.4791785848408962</v>
      </c>
      <c r="L137" s="5186">
        <v>0.48500000000000004</v>
      </c>
      <c r="M137" s="4869">
        <v>0.44600000000000001</v>
      </c>
      <c r="N137" s="5188">
        <f>+((F137*F7)+(H137*H7)+(L137*L7))/N7</f>
        <v>0.48499999999999999</v>
      </c>
      <c r="O137" s="5188">
        <f>+((G137*G7)+(I137*I7)+(M137*M7))/O7</f>
        <v>0.46745113909436725</v>
      </c>
      <c r="P137" s="5186">
        <v>0.4850000000000001</v>
      </c>
      <c r="Q137" s="4869">
        <v>0.432</v>
      </c>
      <c r="R137" s="5187">
        <f>+((N137*N7)+(P137*P7))/R7</f>
        <v>0.48499999999999993</v>
      </c>
      <c r="S137" s="5187">
        <f>+((O137*O7)+(Q137*Q7))/S7</f>
        <v>0.45833214561767693</v>
      </c>
      <c r="T137" s="5186">
        <v>0.4850000000000001</v>
      </c>
      <c r="U137" s="4869">
        <v>0.55300000000000005</v>
      </c>
      <c r="V137" s="5187">
        <f>+((R137*R7)+(T137*T7))/V7</f>
        <v>0.48499999999999993</v>
      </c>
      <c r="W137" s="5187">
        <f>+((S137*S7)+(U137*U7))/W7</f>
        <v>0.47414402837064934</v>
      </c>
      <c r="X137" s="5186">
        <v>0.4850000000000001</v>
      </c>
      <c r="Y137" s="4869">
        <v>0.51800000000000002</v>
      </c>
      <c r="Z137" s="5188">
        <f>+((P137*P7)+(T137*T7)+(X137*X7))/Z7</f>
        <v>0.4850000000000001</v>
      </c>
      <c r="AA137" s="5188">
        <f>+((Q137*Q7)+(U137*U7)+(Y137*Y7))/AA7</f>
        <v>0.4958618805763596</v>
      </c>
      <c r="AB137" s="5189">
        <f>+((N137*N7)+(Z137*Z7))/AB7</f>
        <v>0.48499999999999999</v>
      </c>
      <c r="AC137" s="5189">
        <f>+((O137*O7)+(AA137*AA7))/AC7</f>
        <v>0.48105306328532965</v>
      </c>
      <c r="AD137" s="5186">
        <v>0.28400000000000009</v>
      </c>
      <c r="AE137" s="4869">
        <v>0.627</v>
      </c>
      <c r="AF137" s="5187">
        <f>+((AB137*AB7)+(AD137*AD7))/AF7</f>
        <v>0.45833169533169538</v>
      </c>
      <c r="AG137" s="5187">
        <f>+((AC137*AC7)+(AE137*AE7))/AG7</f>
        <v>0.49912176474667219</v>
      </c>
      <c r="AH137" s="5186">
        <v>0.28399999999999997</v>
      </c>
      <c r="AI137" s="4869">
        <v>0.65600000000000003</v>
      </c>
      <c r="AJ137" s="5187">
        <f>+((AF137*AF7)+(AH137*AH7))/AJ7</f>
        <v>0.43858169934640528</v>
      </c>
      <c r="AK137" s="5187">
        <f>+((AG137*AG7)+(AI137*AI7))/AK7</f>
        <v>0.50276449745637419</v>
      </c>
      <c r="AL137" s="5186">
        <v>0.28400000000000009</v>
      </c>
      <c r="AM137" s="4869">
        <v>0.52600000000000002</v>
      </c>
      <c r="AN137" s="5188">
        <f>+((AD137*AD7)+(AH137*AH7)+(AL137*AL7))/AN7</f>
        <v>0.28400000000000009</v>
      </c>
      <c r="AO137" s="5188">
        <f>+((AE137*AE7)+(AI137*AI7)+(AM137*AM7))/AO7</f>
        <v>0.58558248579111138</v>
      </c>
      <c r="AP137" s="5187">
        <f>+((AL137*AL7)+(AJ137*AJ7))/AP7</f>
        <v>0.42230994152046786</v>
      </c>
      <c r="AQ137" s="5187">
        <f>+((AM137*AM7)+(AK137*AK7))/AQ7</f>
        <v>0.50509543198778994</v>
      </c>
      <c r="AR137" s="5186">
        <v>0.28400000000000009</v>
      </c>
      <c r="AS137" s="4869">
        <v>0.499</v>
      </c>
      <c r="AT137" s="5187">
        <f>+((AP137*AP7)+(AR137*AR7))/AT7</f>
        <v>0.40913756613756619</v>
      </c>
      <c r="AU137" s="5187">
        <f>+((AQ137*AQ7)+(AS137*AS7))/AU7</f>
        <v>0.50442095593493941</v>
      </c>
      <c r="AV137" s="5186">
        <v>0.28400000000000003</v>
      </c>
      <c r="AW137" s="4869">
        <v>0.48099999999999998</v>
      </c>
      <c r="AX137" s="5187">
        <f>+((AT137*AT7)+(AV137*AV7))/AX7</f>
        <v>0.39937073170731713</v>
      </c>
      <c r="AY137" s="5187">
        <f>+((AU137*AU7)+(AW137*AW7))/AY7</f>
        <v>0.50210119236569106</v>
      </c>
      <c r="AZ137" s="5186">
        <v>0.28399999999999992</v>
      </c>
      <c r="BA137" s="4869">
        <v>0.46600000000000003</v>
      </c>
      <c r="BB137" s="5188">
        <f>+((AR137*AR7)+(AV137*AV7)+(AZ137*AZ7))/BB7</f>
        <v>0.28399999999999997</v>
      </c>
      <c r="BC137" s="5188">
        <f>+((AS137*AS7)+(AW137*AW7)+(BA137*BA7))/BC7</f>
        <v>0.48095842822852741</v>
      </c>
      <c r="BD137" s="5190">
        <f>+((AN137*AN7)+(BB137*BB7))/BD7</f>
        <v>0.28400000000000009</v>
      </c>
      <c r="BE137" s="5190">
        <f>+((AO137*AO7)+(BC137*BC7))/BE7</f>
        <v>0.51924982040269829</v>
      </c>
      <c r="BF137" s="5187">
        <f>+((AX137*AX7)+(AZ137*AZ7))/BF7</f>
        <v>0.3891155555555556</v>
      </c>
      <c r="BG137" s="5198">
        <f>+((AY137*AY7)+(BA137*BA7))/BG7</f>
        <v>0.49821835435886463</v>
      </c>
      <c r="BH137" s="26"/>
      <c r="BI137" s="26"/>
      <c r="BJ137" s="26"/>
      <c r="BK137" s="26"/>
      <c r="BL137" s="26"/>
      <c r="BM137" s="26"/>
      <c r="BN137" s="1219"/>
    </row>
    <row r="138" spans="1:67" ht="14.45" x14ac:dyDescent="0.3">
      <c r="B138" s="5196" t="s">
        <v>307</v>
      </c>
      <c r="C138" s="5178"/>
      <c r="D138" s="5178"/>
      <c r="E138" s="4862" t="s">
        <v>213</v>
      </c>
      <c r="F138" s="4857">
        <f>+'POWER DISTRIBUTION'!I28</f>
        <v>5418995.2669036752</v>
      </c>
      <c r="G138" s="4857">
        <f>+'POWER DISTRIBUTION'!J28</f>
        <v>3834116.8666666714</v>
      </c>
      <c r="H138" s="4857">
        <f>+'POWER DISTRIBUTION'!K28</f>
        <v>5681204.7153022392</v>
      </c>
      <c r="I138" s="4857">
        <f>+'POWER DISTRIBUTION'!L28</f>
        <v>4383551.9999999981</v>
      </c>
      <c r="J138" s="4957">
        <f>+F138+H138</f>
        <v>11100199.982205914</v>
      </c>
      <c r="K138" s="4957">
        <f>+G138+I138</f>
        <v>8217668.866666669</v>
      </c>
      <c r="L138" s="4857">
        <f>+'POWER DISTRIBUTION'!O28</f>
        <v>5462696.8416367695</v>
      </c>
      <c r="M138" s="4857">
        <f>+'POWER DISTRIBUTION'!P28</f>
        <v>4293833.3333333321</v>
      </c>
      <c r="N138" s="4964">
        <f>+F138+H138+L138</f>
        <v>16562896.823842684</v>
      </c>
      <c r="O138" s="4964">
        <f>+G138+I138+M138</f>
        <v>12511502.200000001</v>
      </c>
      <c r="P138" s="4857">
        <f>+'POWER DISTRIBUTION'!S28</f>
        <v>5681204.7153022392</v>
      </c>
      <c r="Q138" s="4857">
        <f>+'POWER DISTRIBUTION'!T28</f>
        <v>4334408.3333333256</v>
      </c>
      <c r="R138" s="4957">
        <f>+N138+P138</f>
        <v>22244101.539144922</v>
      </c>
      <c r="S138" s="4957">
        <f>+O138+Q138</f>
        <v>16845910.533333328</v>
      </c>
      <c r="T138" s="4857">
        <f>+'POWER DISTRIBUTION'!W28</f>
        <v>5681204.7153022392</v>
      </c>
      <c r="U138" s="4857">
        <f>+'POWER DISTRIBUTION'!X28</f>
        <v>3962541.0000000037</v>
      </c>
      <c r="V138" s="4957">
        <f>+R138+T138</f>
        <v>27925306.254447162</v>
      </c>
      <c r="W138" s="4957">
        <f>+S138+U138</f>
        <v>20808451.533333331</v>
      </c>
      <c r="X138" s="4857">
        <f>+'POWER DISTRIBUTION'!AA28</f>
        <v>3230405.5071173077</v>
      </c>
      <c r="Y138" s="4857">
        <f>+'POWER DISTRIBUTION'!AB28</f>
        <v>4053481.0000000028</v>
      </c>
      <c r="Z138" s="4964">
        <f>+P138+T138+X138</f>
        <v>14592814.937721785</v>
      </c>
      <c r="AA138" s="4964">
        <f>+Q138+U138+Y138</f>
        <v>12350430.333333332</v>
      </c>
      <c r="AB138" s="5113">
        <f>+N138+Z138</f>
        <v>31155711.761564471</v>
      </c>
      <c r="AC138" s="5113">
        <f>+AA138+O138</f>
        <v>24861932.533333331</v>
      </c>
      <c r="AD138" s="4857">
        <f>+'POWER DISTRIBUTION'!AG28</f>
        <v>4805002.6385224275</v>
      </c>
      <c r="AE138" s="4857">
        <f>+'POWER DISTRIBUTION'!AH28</f>
        <v>3672275.666666673</v>
      </c>
      <c r="AF138" s="4957">
        <f>+AB138+AD138</f>
        <v>35960714.400086895</v>
      </c>
      <c r="AG138" s="4957">
        <f>+AC138+AE138</f>
        <v>28534208.200000003</v>
      </c>
      <c r="AH138" s="4857">
        <f>+'POWER DISTRIBUTION'!AK28</f>
        <v>4627039.577836412</v>
      </c>
      <c r="AI138" s="4857">
        <f>+'POWER DISTRIBUTION'!AL28</f>
        <v>1392973.3333333288</v>
      </c>
      <c r="AJ138" s="4957">
        <f>+AF138+AH138</f>
        <v>40587753.977923304</v>
      </c>
      <c r="AK138" s="4957">
        <f>+AG138+AI138</f>
        <v>29927181.533333331</v>
      </c>
      <c r="AL138" s="4857">
        <f>+'POWER DISTRIBUTION'!AO28</f>
        <v>4805002.6385224275</v>
      </c>
      <c r="AM138" s="4857">
        <f>+'POWER DISTRIBUTION'!AP28</f>
        <v>3336478.6666666651</v>
      </c>
      <c r="AN138" s="4964">
        <f>+AD138+AH138+AL138</f>
        <v>14237044.854881268</v>
      </c>
      <c r="AO138" s="4964">
        <f>+AE138+AI138+AM138</f>
        <v>8401727.6666666679</v>
      </c>
      <c r="AP138" s="4957">
        <f t="shared" ref="AP138:AQ138" si="105">AJ138+AL138</f>
        <v>45392756.616445735</v>
      </c>
      <c r="AQ138" s="4957">
        <f t="shared" si="105"/>
        <v>33263660.199999996</v>
      </c>
      <c r="AR138" s="4857">
        <f>+'POWER DISTRIBUTION'!AU28</f>
        <v>4805002.6385224275</v>
      </c>
      <c r="AS138" s="4857">
        <f>+'POWER DISTRIBUTION'!AV28</f>
        <v>3911467.0000000065</v>
      </c>
      <c r="AT138" s="4957">
        <f>+AP138+AR138</f>
        <v>50197759.254968166</v>
      </c>
      <c r="AU138" s="4957">
        <f>+AQ138+AS138</f>
        <v>37175127.200000003</v>
      </c>
      <c r="AV138" s="4857">
        <f>+'POWER DISTRIBUTION'!AY28</f>
        <v>4271113.45646438</v>
      </c>
      <c r="AW138" s="4857">
        <f>+'POWER DISTRIBUTION'!AZ28</f>
        <v>3661286.9999999991</v>
      </c>
      <c r="AX138" s="4957">
        <f>+AT138+AV138</f>
        <v>54468872.711432546</v>
      </c>
      <c r="AY138" s="4957">
        <f>+AU138+AW138</f>
        <v>40836414.200000003</v>
      </c>
      <c r="AZ138" s="4857">
        <f>+'POWER DISTRIBUTION'!BC28</f>
        <v>5338891.820580475</v>
      </c>
      <c r="BA138" s="4857">
        <f>+'POWER DISTRIBUTION'!BD28</f>
        <v>4370091.8</v>
      </c>
      <c r="BB138" s="4964">
        <f>+AR138+AV138+AZ138</f>
        <v>14415007.915567283</v>
      </c>
      <c r="BC138" s="4964">
        <f>+AS138+AW138+BA138</f>
        <v>11942845.800000004</v>
      </c>
      <c r="BD138" s="5115">
        <f t="shared" ref="BD138" si="106">+AN138+BB138</f>
        <v>28652052.770448551</v>
      </c>
      <c r="BE138" s="5115">
        <f t="shared" ref="BE138" si="107">+AO138+BC138</f>
        <v>20344573.466666672</v>
      </c>
      <c r="BF138" s="4957">
        <f>+AX138+AZ138</f>
        <v>59807764.532013021</v>
      </c>
      <c r="BG138" s="4866">
        <f>+AY138+BA138</f>
        <v>45206506</v>
      </c>
      <c r="BH138" s="26"/>
      <c r="BI138" s="26"/>
      <c r="BJ138" s="26"/>
      <c r="BK138" s="26"/>
      <c r="BL138" s="26"/>
      <c r="BM138" s="26"/>
      <c r="BN138" s="1219"/>
    </row>
    <row r="139" spans="1:67" ht="15" customHeight="1" x14ac:dyDescent="0.3">
      <c r="B139" s="5196" t="s">
        <v>308</v>
      </c>
      <c r="C139" s="5178"/>
      <c r="D139" s="5178"/>
      <c r="E139" s="2942" t="s">
        <v>2245</v>
      </c>
      <c r="F139" s="5185">
        <f>+F138/F108</f>
        <v>87.40314946618831</v>
      </c>
      <c r="G139" s="5185">
        <f t="shared" ref="G139:BG139" si="108">+G138/G108</f>
        <v>77.388465289327286</v>
      </c>
      <c r="H139" s="5185">
        <f t="shared" si="108"/>
        <v>87.403149466188296</v>
      </c>
      <c r="I139" s="5185">
        <f t="shared" si="108"/>
        <v>76.609884272298757</v>
      </c>
      <c r="J139" s="5181">
        <f t="shared" si="108"/>
        <v>87.403149466188296</v>
      </c>
      <c r="K139" s="5181">
        <f t="shared" si="108"/>
        <v>76.971188027598743</v>
      </c>
      <c r="L139" s="5185">
        <f t="shared" si="108"/>
        <v>87.40314946618831</v>
      </c>
      <c r="M139" s="5185">
        <f t="shared" si="108"/>
        <v>73.180403758696414</v>
      </c>
      <c r="N139" s="5182">
        <f t="shared" si="108"/>
        <v>87.40314946618831</v>
      </c>
      <c r="O139" s="5182">
        <f t="shared" si="108"/>
        <v>75.626735874008403</v>
      </c>
      <c r="P139" s="5185">
        <f t="shared" ref="P139:Q139" si="109">+P138/P108</f>
        <v>87.403149466188296</v>
      </c>
      <c r="Q139" s="5185">
        <f t="shared" si="109"/>
        <v>75.607987040004545</v>
      </c>
      <c r="R139" s="5181">
        <f t="shared" si="108"/>
        <v>87.403149466188296</v>
      </c>
      <c r="S139" s="5181">
        <f t="shared" si="108"/>
        <v>75.621910960097324</v>
      </c>
      <c r="T139" s="5185">
        <f t="shared" si="108"/>
        <v>87.403149466188296</v>
      </c>
      <c r="U139" s="5185">
        <f t="shared" si="108"/>
        <v>89.233771438656319</v>
      </c>
      <c r="V139" s="5181">
        <f t="shared" si="108"/>
        <v>87.403149466188296</v>
      </c>
      <c r="W139" s="5181">
        <f t="shared" si="108"/>
        <v>77.884326174626011</v>
      </c>
      <c r="X139" s="5185">
        <f t="shared" ref="X139:Y139" si="110">+X138/X108</f>
        <v>96.430015137830082</v>
      </c>
      <c r="Y139" s="5185">
        <f t="shared" si="110"/>
        <v>81.052783715766637</v>
      </c>
      <c r="Z139" s="5182">
        <f t="shared" si="108"/>
        <v>89.252690750591952</v>
      </c>
      <c r="AA139" s="5182">
        <f t="shared" si="108"/>
        <v>81.389873481664395</v>
      </c>
      <c r="AB139" s="5183">
        <f t="shared" si="108"/>
        <v>88.25980668998433</v>
      </c>
      <c r="AC139" s="5183">
        <f t="shared" si="108"/>
        <v>78.383900471071868</v>
      </c>
      <c r="AD139" s="5185">
        <f t="shared" si="108"/>
        <v>88.981530343007918</v>
      </c>
      <c r="AE139" s="5185">
        <f t="shared" si="108"/>
        <v>81.787328478414267</v>
      </c>
      <c r="AF139" s="5185">
        <f t="shared" si="108"/>
        <v>88.355563636577131</v>
      </c>
      <c r="AG139" s="5185">
        <f t="shared" si="108"/>
        <v>83.206124546610653</v>
      </c>
      <c r="AH139" s="5185">
        <f t="shared" si="108"/>
        <v>88.981530343007918</v>
      </c>
      <c r="AI139" s="5185">
        <f t="shared" si="108"/>
        <v>162.25695159517232</v>
      </c>
      <c r="AJ139" s="5185">
        <f t="shared" si="108"/>
        <v>88.426479254734872</v>
      </c>
      <c r="AK139" s="5185">
        <f t="shared" si="108"/>
        <v>85.136746042249442</v>
      </c>
      <c r="AL139" s="5185">
        <f t="shared" si="108"/>
        <v>88.981530343007918</v>
      </c>
      <c r="AM139" s="5185">
        <f t="shared" si="108"/>
        <v>83.272967429433407</v>
      </c>
      <c r="AN139" s="5185">
        <f t="shared" si="108"/>
        <v>88.981530343007918</v>
      </c>
      <c r="AO139" s="5185">
        <f t="shared" si="108"/>
        <v>89.808052279372944</v>
      </c>
      <c r="AP139" s="5185">
        <f t="shared" si="108"/>
        <v>88.484905685079411</v>
      </c>
      <c r="AQ139" s="5185">
        <f t="shared" si="108"/>
        <v>84.946045571153704</v>
      </c>
      <c r="AR139" s="5185">
        <f t="shared" si="108"/>
        <v>88.981530343007918</v>
      </c>
      <c r="AS139" s="5185">
        <f t="shared" si="108"/>
        <v>76.636557966577143</v>
      </c>
      <c r="AT139" s="5185">
        <f t="shared" si="108"/>
        <v>88.532203271548795</v>
      </c>
      <c r="AU139" s="5185">
        <f t="shared" si="108"/>
        <v>83.987876688009379</v>
      </c>
      <c r="AV139" s="5185">
        <f t="shared" si="108"/>
        <v>88.981530343007918</v>
      </c>
      <c r="AW139" s="5185">
        <f t="shared" si="108"/>
        <v>71.776599173330112</v>
      </c>
      <c r="AX139" s="5185">
        <f t="shared" si="108"/>
        <v>88.56727270151633</v>
      </c>
      <c r="AY139" s="5185">
        <f t="shared" si="108"/>
        <v>82.726030033563291</v>
      </c>
      <c r="AZ139" s="5185">
        <f t="shared" si="108"/>
        <v>88.981530343007918</v>
      </c>
      <c r="BA139" s="5185">
        <f t="shared" si="108"/>
        <v>70.403717367072261</v>
      </c>
      <c r="BB139" s="5185">
        <f t="shared" si="108"/>
        <v>88.981530343007918</v>
      </c>
      <c r="BC139" s="5185">
        <f t="shared" si="108"/>
        <v>72.768741469418345</v>
      </c>
      <c r="BD139" s="5185">
        <f t="shared" si="108"/>
        <v>88.981530343007918</v>
      </c>
      <c r="BE139" s="5185">
        <f t="shared" si="108"/>
        <v>78.955128751587935</v>
      </c>
      <c r="BF139" s="5185">
        <f t="shared" si="108"/>
        <v>88.604095602982255</v>
      </c>
      <c r="BG139" s="5185">
        <f t="shared" si="108"/>
        <v>81.349638853287075</v>
      </c>
      <c r="BH139" s="26"/>
      <c r="BI139" s="26"/>
      <c r="BJ139" s="26"/>
      <c r="BK139" s="26"/>
      <c r="BL139" s="26"/>
      <c r="BM139" s="26"/>
      <c r="BN139" s="1219"/>
    </row>
    <row r="140" spans="1:67" x14ac:dyDescent="0.25">
      <c r="B140" s="5196" t="s">
        <v>309</v>
      </c>
      <c r="C140" s="5178"/>
      <c r="D140" s="5178"/>
      <c r="E140" s="4862" t="s">
        <v>301</v>
      </c>
      <c r="F140" s="5191">
        <f>+EMD!D39/(EMD!D3*24)</f>
        <v>3.1857131127627629</v>
      </c>
      <c r="G140" s="5191">
        <f>+EMD!E39/(EMD!E3*24)</f>
        <v>2.8485917264404002</v>
      </c>
      <c r="H140" s="5191">
        <f>+EMD!F39/(EMD!F3*24)</f>
        <v>4.852565010115053</v>
      </c>
      <c r="I140" s="5191">
        <f>+EMD!G39/(EMD!G3*24)</f>
        <v>2.8117114273171504</v>
      </c>
      <c r="J140" s="5192">
        <f t="shared" ref="J140:K143" si="111">+((F140*F$2)+(H140*H$2))/J$2</f>
        <v>4.0328017819090087</v>
      </c>
      <c r="K140" s="5192">
        <f t="shared" si="111"/>
        <v>2.8298492793449777</v>
      </c>
      <c r="L140" s="5191">
        <f>+EMD!J39/(EMD!J3*24)</f>
        <v>4.8283464365310635</v>
      </c>
      <c r="M140" s="5191">
        <f>+EMD!K39/(EMD!K3*24)</f>
        <v>2.6421467166146564</v>
      </c>
      <c r="N140" s="5193">
        <f t="shared" ref="N140:O143" si="112">+((F140*F$2)+(H140*H$2)+(L140*L$2))/N$2</f>
        <v>4.2950692504657297</v>
      </c>
      <c r="O140" s="5193">
        <f t="shared" si="112"/>
        <v>2.767969313609707</v>
      </c>
      <c r="P140" s="5191">
        <f>+EMD!N39/(EMD!N3*24)</f>
        <v>4.8488428300598043</v>
      </c>
      <c r="Q140" s="5191">
        <f>+EMD!O39/(EMD!O3*24)</f>
        <v>2.1974074911076338</v>
      </c>
      <c r="R140" s="5192">
        <f t="shared" ref="R140:S143" si="113">+((N140*N$2)+(P140*P$2))/R$2</f>
        <v>4.4357822092150441</v>
      </c>
      <c r="S140" s="5192">
        <f t="shared" si="113"/>
        <v>2.62299048985918</v>
      </c>
      <c r="T140" s="5191">
        <f>+EMD!R39/(EMD!R3*24)</f>
        <v>4.8488428300598043</v>
      </c>
      <c r="U140" s="5191">
        <f>+EMD!S39/(EMD!S3*24)</f>
        <v>2.5676655874248828</v>
      </c>
      <c r="V140" s="5192">
        <f t="shared" ref="V140:V143" si="114">+((R140*R$2)+(T140*T$2))/V$2</f>
        <v>4.519474230431956</v>
      </c>
      <c r="W140" s="5192">
        <f t="shared" ref="W140:W143" si="115">+((S140*S$2)+(U140*U$2))/W$2</f>
        <v>2.6117808691045186</v>
      </c>
      <c r="X140" s="5191">
        <f>+EMD!V39/(EMD!V3*24)</f>
        <v>3.2964176326442676</v>
      </c>
      <c r="Y140" s="5191">
        <f>+EMD!W39/(EMD!W3*24)</f>
        <v>2.1528749999999999</v>
      </c>
      <c r="Z140" s="5193">
        <f t="shared" ref="Z140:AA143" si="116">+((P140*P$2)+(T140*T$2)+(X140*X$2))/Z$2</f>
        <v>4.3426172222069122</v>
      </c>
      <c r="AA140" s="5193">
        <f t="shared" si="116"/>
        <v>2.3076469068968266</v>
      </c>
      <c r="AB140" s="5194">
        <f t="shared" ref="AB140:AC143" si="117">+((N140*N$2)+(Z140*Z$2))/AB$2</f>
        <v>4.3189731488274168</v>
      </c>
      <c r="AC140" s="5194">
        <f t="shared" si="117"/>
        <v>2.5365503987595157</v>
      </c>
      <c r="AD140" s="5191">
        <f>+EMD!AB39/(EMD!AB3*24)</f>
        <v>2.0315804367234533</v>
      </c>
      <c r="AE140" s="5191">
        <f>+EMD!AC39/(EMD!AC3*24)</f>
        <v>3.385012602170018</v>
      </c>
      <c r="AF140" s="5192">
        <f t="shared" ref="AF140:AF143" si="118">+((AB140*AB$2)+(AD140*AD$2))/AF$2</f>
        <v>3.9876218681020767</v>
      </c>
      <c r="AG140" s="5192">
        <f t="shared" ref="AG140:AG143" si="119">+((AC140*AC$2)+(AE140*AE$2))/AG$2</f>
        <v>2.6594584749544952</v>
      </c>
      <c r="AH140" s="5191">
        <f>+EMD!AF39/(EMD!AF3*24)</f>
        <v>2.024316081259292</v>
      </c>
      <c r="AI140" s="5191">
        <f>+EMD!AG39/(EMD!AG3*24)</f>
        <v>1.0814228700865862</v>
      </c>
      <c r="AJ140" s="5192">
        <f t="shared" ref="AJ140:AJ143" si="120">+((AF140*AF$2)+(AH140*AH$2))/AJ$2</f>
        <v>3.7462318123427178</v>
      </c>
      <c r="AK140" s="5192">
        <f t="shared" ref="AK140:AK143" si="121">+((AG140*AG$2)+(AI140*AI$2))/AK$2</f>
        <v>2.4654377038641786</v>
      </c>
      <c r="AL140" s="5191">
        <f>+EMD!AJ39/(EMD!AJ3*24)</f>
        <v>2.0315804367234533</v>
      </c>
      <c r="AM140" s="5191">
        <f>+EMD!AK39/(EMD!AK3*24)</f>
        <v>2.5937971598648732</v>
      </c>
      <c r="AN140" s="5193">
        <f t="shared" ref="AN140:AN143" si="122">+((AD140*AD$2)+(AH140*AH$2)+(AL140*AL$2))/AN$2</f>
        <v>2.0292116251590531</v>
      </c>
      <c r="AO140" s="5193">
        <f t="shared" ref="AO140:AO143" si="123">+((AE140*AE$2)+(AI140*AI$2)+(AM140*AM$2))/AO$2</f>
        <v>2.3672368339747738</v>
      </c>
      <c r="AP140" s="5192">
        <f t="shared" ref="AP140:AQ143" si="124">+((AL140*AL$2)+(AJ140*AJ$2))/AP$2</f>
        <v>3.5529438390910917</v>
      </c>
      <c r="AQ140" s="5192">
        <f t="shared" si="124"/>
        <v>2.479907315267893</v>
      </c>
      <c r="AR140" s="5191">
        <f>+EMD!AP39/(EMD!AP3*24)</f>
        <v>2.0315804367234533</v>
      </c>
      <c r="AS140" s="5191">
        <f>+EMD!AQ39/(EMD!AQ3*24)</f>
        <v>2.4924059139784944</v>
      </c>
      <c r="AT140" s="5192">
        <f t="shared" ref="AT140:AT143" si="125">+((AP140*AP$2)+(AR140*AR$2))/AT$2</f>
        <v>3.3988187885244354</v>
      </c>
      <c r="AU140" s="5192">
        <f t="shared" ref="AU140:AU143" si="126">+((AQ140*AQ$2)+(AS140*AS$2))/AU$2</f>
        <v>2.4811735131764832</v>
      </c>
      <c r="AV140" s="5191">
        <f>+EMD!AT39/(EMD!AT3*24)</f>
        <v>2.0148507205009074</v>
      </c>
      <c r="AW140" s="5191">
        <f>+EMD!AU39/(EMD!AU3*24)</f>
        <v>2.7137214481770595</v>
      </c>
      <c r="AX140" s="5192">
        <f t="shared" ref="AX140:AX143" si="127">+((AT140*AT$2)+(AV140*AV$2))/AX$2</f>
        <v>3.2827975133607863</v>
      </c>
      <c r="AY140" s="5192">
        <f t="shared" ref="AY140:AY143" si="128">+((AU140*AU$2)+(AW140*AW$2))/AY$2</f>
        <v>2.5006685496435974</v>
      </c>
      <c r="AZ140" s="5191">
        <f>+EMD!AX39/(EMD!AX3*24)</f>
        <v>2.1792845513645616</v>
      </c>
      <c r="BA140" s="5191">
        <f>+EMD!AY39/(EMD!AY3*24)</f>
        <v>3.4112197565562234</v>
      </c>
      <c r="BB140" s="5193">
        <f t="shared" ref="BB140:BB143" si="129">+((AR140*AR$2)+(AV140*AV$2)+(AZ140*AZ$2))/BB$2</f>
        <v>2.0772514978305985</v>
      </c>
      <c r="BC140" s="5193">
        <f t="shared" ref="BC140:BC143" si="130">+((AS140*AS$2)+(AW140*AW$2)+(BA140*BA$2))/BC$2</f>
        <v>2.8777399592837103</v>
      </c>
      <c r="BD140" s="5195">
        <f t="shared" ref="BD140:BE143" si="131">+((AN140*AN$2)+(BB140*BB$2))/BD$2</f>
        <v>2.0529676061504767</v>
      </c>
      <c r="BE140" s="5195">
        <f t="shared" si="131"/>
        <v>2.6196834344022699</v>
      </c>
      <c r="BF140" s="5192">
        <f>+((AX140*AX$2)+(AZ140*AZ$2))/BF$2</f>
        <v>3.1890744946706957</v>
      </c>
      <c r="BG140" s="5199">
        <f>+((AY140*AY$2)+(BA140*BA$2))/BG$2</f>
        <v>2.5780030357101493</v>
      </c>
      <c r="BH140" s="26"/>
      <c r="BI140" s="26"/>
      <c r="BJ140" s="26"/>
      <c r="BK140" s="26"/>
      <c r="BL140" s="26"/>
      <c r="BM140" s="26"/>
      <c r="BN140" s="1219"/>
    </row>
    <row r="141" spans="1:67" x14ac:dyDescent="0.25">
      <c r="B141" s="5196" t="s">
        <v>310</v>
      </c>
      <c r="C141" s="5178"/>
      <c r="D141" s="5178"/>
      <c r="E141" s="4862" t="s">
        <v>301</v>
      </c>
      <c r="F141" s="5191">
        <f>+EMD!D69/(EMD!D3*24)</f>
        <v>6.3350096020154387</v>
      </c>
      <c r="G141" s="5191">
        <f>+EMD!E69/(EMD!E3*24)</f>
        <v>5.4867215181306648</v>
      </c>
      <c r="H141" s="5191">
        <f>+EMD!F69/(EMD!F3*24)</f>
        <v>8.8502102666744822</v>
      </c>
      <c r="I141" s="5191">
        <f>+EMD!G69/(EMD!G3*24)</f>
        <v>5.3448362752972303</v>
      </c>
      <c r="J141" s="5181">
        <f t="shared" si="111"/>
        <v>7.6132263332356089</v>
      </c>
      <c r="K141" s="5181">
        <f t="shared" si="111"/>
        <v>5.4146159029202314</v>
      </c>
      <c r="L141" s="5191">
        <f>+EMD!J69/(EMD!J3*24)</f>
        <v>8.68874459639615</v>
      </c>
      <c r="M141" s="5191">
        <f>+EMD!K69/(EMD!K3*24)</f>
        <v>5.2854343880576655</v>
      </c>
      <c r="N141" s="5193">
        <f t="shared" si="112"/>
        <v>7.9677927936182043</v>
      </c>
      <c r="O141" s="5193">
        <f t="shared" si="112"/>
        <v>5.3720285903281759</v>
      </c>
      <c r="P141" s="5191">
        <f>+EMD!N69/(EMD!N3*24)</f>
        <v>8.8336698968186713</v>
      </c>
      <c r="Q141" s="5191">
        <f>+EMD!O69/(EMD!O3*24)</f>
        <v>5.3791858521565823</v>
      </c>
      <c r="R141" s="5181">
        <f t="shared" si="113"/>
        <v>8.1878107460707827</v>
      </c>
      <c r="S141" s="5181">
        <f t="shared" si="113"/>
        <v>5.373847238825558</v>
      </c>
      <c r="T141" s="5191">
        <f>+EMD!R69/(EMD!R3*24)</f>
        <v>8.8336698968186713</v>
      </c>
      <c r="U141" s="5191">
        <f>+EMD!S69/(EMD!S3*24)</f>
        <v>4.9984891220410299</v>
      </c>
      <c r="V141" s="5181">
        <f t="shared" si="114"/>
        <v>8.3186710968759101</v>
      </c>
      <c r="W141" s="5181">
        <f t="shared" si="115"/>
        <v>5.2977942870587587</v>
      </c>
      <c r="X141" s="5191">
        <f>+EMD!V69/(EMD!V3*24)</f>
        <v>4.9448682446162646</v>
      </c>
      <c r="Y141" s="5191">
        <f>+EMD!W69/(EMD!W3*24)</f>
        <v>5.2261249999999997</v>
      </c>
      <c r="Z141" s="5182">
        <f t="shared" si="116"/>
        <v>7.5655824015352788</v>
      </c>
      <c r="AA141" s="5182">
        <f t="shared" si="116"/>
        <v>5.2009964586970208</v>
      </c>
      <c r="AB141" s="5194">
        <f t="shared" si="117"/>
        <v>7.7655886620792476</v>
      </c>
      <c r="AC141" s="5194">
        <f t="shared" si="117"/>
        <v>5.2860452236065019</v>
      </c>
      <c r="AD141" s="5191">
        <f>+EMD!AB69/(EMD!AB3*24)</f>
        <v>5.8444685271767449</v>
      </c>
      <c r="AE141" s="5191">
        <f>+EMD!AC69/(EMD!AC3*24)</f>
        <v>6.3901170628081578</v>
      </c>
      <c r="AF141" s="5181">
        <f t="shared" si="118"/>
        <v>7.4872955584251466</v>
      </c>
      <c r="AG141" s="5181">
        <f t="shared" si="119"/>
        <v>5.4459808638646861</v>
      </c>
      <c r="AH141" s="5191">
        <f>+EMD!AF69/(EMD!AF3*24)</f>
        <v>5.8141392954303193</v>
      </c>
      <c r="AI141" s="5191">
        <f>+EMD!AG69/(EMD!AG3*24)</f>
        <v>0.30334878041891722</v>
      </c>
      <c r="AJ141" s="5181">
        <f t="shared" si="120"/>
        <v>7.2815796244503721</v>
      </c>
      <c r="AK141" s="5181">
        <f t="shared" si="121"/>
        <v>4.8136900339328283</v>
      </c>
      <c r="AL141" s="5191">
        <f>+EMD!AJ69/(EMD!AJ3*24)</f>
        <v>5.8444685271767449</v>
      </c>
      <c r="AM141" s="5191">
        <f>+EMD!AK69/(EMD!AK3*24)</f>
        <v>6.2807243838621298</v>
      </c>
      <c r="AN141" s="5182">
        <f t="shared" si="122"/>
        <v>5.8345785603029103</v>
      </c>
      <c r="AO141" s="5182">
        <f t="shared" si="123"/>
        <v>4.368440741949418</v>
      </c>
      <c r="AP141" s="5181">
        <f t="shared" si="124"/>
        <v>7.1195780098486177</v>
      </c>
      <c r="AQ141" s="5181">
        <f t="shared" si="124"/>
        <v>4.9790648151975869</v>
      </c>
      <c r="AR141" s="5191">
        <f>+EMD!AP69/(EMD!AP3*24)</f>
        <v>5.8444685271767449</v>
      </c>
      <c r="AS141" s="5191">
        <f>+EMD!AQ69/(EMD!AQ3*24)</f>
        <v>6.5230779569892476</v>
      </c>
      <c r="AT141" s="5181">
        <f t="shared" si="125"/>
        <v>6.9904002518001596</v>
      </c>
      <c r="AU141" s="5181">
        <f t="shared" si="126"/>
        <v>5.1354844472091603</v>
      </c>
      <c r="AV141" s="5191">
        <f>+EMD!AT69/(EMD!AT3*24)</f>
        <v>5.7434718103462155</v>
      </c>
      <c r="AW141" s="5185">
        <f>+EMD!AU69/(EMD!AU3*24)</f>
        <v>6.4411255821485547</v>
      </c>
      <c r="AX141" s="5181">
        <f t="shared" si="127"/>
        <v>6.8858673285645002</v>
      </c>
      <c r="AY141" s="5181">
        <f t="shared" si="128"/>
        <v>5.2449393926531815</v>
      </c>
      <c r="AZ141" s="5191">
        <f>+EMD!AX69/(EMD!AX3*24)</f>
        <v>6.535223595329021</v>
      </c>
      <c r="BA141" s="5185">
        <f>+EMD!AY69/(EMD!AY3*24)</f>
        <v>7.3800352938462366</v>
      </c>
      <c r="BB141" s="5182">
        <f t="shared" si="129"/>
        <v>6.0509740720819192</v>
      </c>
      <c r="BC141" s="5182">
        <f t="shared" si="130"/>
        <v>6.7927558564006603</v>
      </c>
      <c r="BD141" s="5195">
        <f t="shared" si="131"/>
        <v>5.9415873298639577</v>
      </c>
      <c r="BE141" s="5195">
        <f t="shared" si="131"/>
        <v>5.5672778864582746</v>
      </c>
      <c r="BF141" s="5181">
        <f>+((AX141*AX$2)+(AZ141*AZ$2))/BF$2</f>
        <v>6.856086627933542</v>
      </c>
      <c r="BG141" s="5197">
        <f>+((AY141*AY$2)+(BA141*BA$2))/BG$2</f>
        <v>5.4262763048093046</v>
      </c>
      <c r="BH141" s="26"/>
      <c r="BI141" s="26"/>
      <c r="BJ141" s="26"/>
      <c r="BK141" s="26"/>
      <c r="BL141" s="26"/>
      <c r="BM141" s="26"/>
      <c r="BN141" s="1219"/>
    </row>
    <row r="142" spans="1:67" x14ac:dyDescent="0.25">
      <c r="B142" s="5196" t="s">
        <v>2098</v>
      </c>
      <c r="C142" s="5178"/>
      <c r="D142" s="5178"/>
      <c r="E142" s="4862" t="s">
        <v>301</v>
      </c>
      <c r="F142" s="5191">
        <f>+EMD!D87/(EMD!D3*24)</f>
        <v>5.2265605756264097</v>
      </c>
      <c r="G142" s="5191">
        <f>+EMD!E87/(EMD!E3*24)</f>
        <v>3.9887707275685802</v>
      </c>
      <c r="H142" s="5191">
        <f>+EMD!F87/(EMD!F3*24)</f>
        <v>1.5007933020974389</v>
      </c>
      <c r="I142" s="5191">
        <f>+EMD!G87/(EMD!G3*24)</f>
        <v>5.1459735585369693</v>
      </c>
      <c r="J142" s="5181">
        <f t="shared" ref="J142" si="132">+((F142*F$2)+(H142*H$2))/J$2</f>
        <v>3.3331378628493917</v>
      </c>
      <c r="K142" s="5181">
        <f t="shared" ref="K142" si="133">+((G142*G$2)+(I142*I$2))/K$2</f>
        <v>4.5768574121590726</v>
      </c>
      <c r="L142" s="5191">
        <f>+EMD!J87/(EMD!J3*24)</f>
        <v>1.4933030216075458</v>
      </c>
      <c r="M142" s="5191">
        <f>+EMD!K87/(EMD!K3*24)</f>
        <v>4.9633429944973235</v>
      </c>
      <c r="N142" s="5193">
        <f t="shared" ref="N142" si="134">+((F142*F$2)+(H142*H$2)+(L142*L$2))/N$2</f>
        <v>2.7265989041982337</v>
      </c>
      <c r="O142" s="5193">
        <f t="shared" ref="O142" si="135">+((G142*G$2)+(I142*I$2)+(M142*M$2))/O$2</f>
        <v>4.7042702415013533</v>
      </c>
      <c r="P142" s="5191">
        <f>+EMD!N87/(EMD!N3*24)</f>
        <v>1.4996421123896297</v>
      </c>
      <c r="Q142" s="5191">
        <f>+EMD!O87/(EMD!O3*24)</f>
        <v>4.2916563007631972</v>
      </c>
      <c r="R142" s="5181">
        <f t="shared" ref="R142" si="136">+((N142*N$2)+(P142*P$2))/R$2</f>
        <v>2.4148311948042442</v>
      </c>
      <c r="S142" s="5181">
        <f t="shared" ref="S142" si="137">+((O142*O$2)+(Q142*Q$2))/S$2</f>
        <v>4.5994257155760838</v>
      </c>
      <c r="T142" s="5191">
        <f>+EMD!R87/(EMD!R3*24)</f>
        <v>1.4996421123896297</v>
      </c>
      <c r="U142" s="5191">
        <f>+EMD!S87/(EMD!S3*24)</f>
        <v>4.2114650927811903</v>
      </c>
      <c r="V142" s="5181">
        <f t="shared" ref="V142" si="138">+((R142*R$2)+(T142*T$2))/V$2</f>
        <v>2.2294007271254661</v>
      </c>
      <c r="W142" s="5181">
        <f t="shared" ref="W142" si="139">+((S142*S$2)+(U142*U$2))/W$2</f>
        <v>4.5208193148790796</v>
      </c>
      <c r="X142" s="5191">
        <f>+EMD!V87/(EMD!V3*24)</f>
        <v>0</v>
      </c>
      <c r="Y142" s="5191">
        <f>+EMD!W87/(EMD!W3*24)</f>
        <v>5.5175000000000001</v>
      </c>
      <c r="Z142" s="5182">
        <f t="shared" ref="Z142" si="140">+((P142*P$2)+(T142*T$2)+(X142*X$2))/Z$2</f>
        <v>1.0106283800886635</v>
      </c>
      <c r="AA142" s="5182">
        <f t="shared" ref="AA142" si="141">+((Q142*Q$2)+(U142*U$2)+(Y142*Y$2))/AA$2</f>
        <v>4.6643669913029999</v>
      </c>
      <c r="AB142" s="5194">
        <f t="shared" ref="AB142" si="142">+((N142*N$2)+(Z142*Z$2))/AB$2</f>
        <v>1.8639251980885045</v>
      </c>
      <c r="AC142" s="5194">
        <f t="shared" ref="AC142" si="143">+((O142*O$2)+(AA142*AA$2))/AC$2</f>
        <v>4.6842095911284112</v>
      </c>
      <c r="AD142" s="5191">
        <f>+EMD!AB87/(EMD!AB3*24)</f>
        <v>0</v>
      </c>
      <c r="AE142" s="5191">
        <f>+EMD!AC87/(EMD!AC3*24)</f>
        <v>4.0582683112508526</v>
      </c>
      <c r="AF142" s="5181">
        <f t="shared" ref="AF142" si="144">+((AB142*AB$2)+(AD142*AD$2))/AF$2</f>
        <v>1.593917342290637</v>
      </c>
      <c r="AG142" s="5181">
        <f t="shared" ref="AG142" si="145">+((AC142*AC$2)+(AE142*AE$2))/AG$2</f>
        <v>4.5935358543237186</v>
      </c>
      <c r="AH142" s="5191">
        <f>+EMD!AF87/(EMD!AF3*24)</f>
        <v>0</v>
      </c>
      <c r="AI142" s="5191">
        <f>+EMD!AG87/(EMD!AG3*24)</f>
        <v>0.18385775494437159</v>
      </c>
      <c r="AJ142" s="5181">
        <f t="shared" ref="AJ142" si="146">+((AF142*AF$2)+(AH142*AH$2))/AJ$2</f>
        <v>1.3979438985663784</v>
      </c>
      <c r="AK142" s="5181">
        <f t="shared" ref="AK142" si="147">+((AG142*AG$2)+(AI142*AI$2))/AK$2</f>
        <v>4.0513623175147826</v>
      </c>
      <c r="AL142" s="5191">
        <f>+EMD!AJ87/(EMD!AJ3*24)</f>
        <v>0</v>
      </c>
      <c r="AM142" s="5191">
        <f>+EMD!AK87/(EMD!AK3*24)</f>
        <v>1.8758514742505117</v>
      </c>
      <c r="AN142" s="5182">
        <f t="shared" ref="AN142" si="148">+((AD142*AD$2)+(AH142*AH$2)+(AL142*AL$2))/AN$2</f>
        <v>0</v>
      </c>
      <c r="AO142" s="5182">
        <f t="shared" ref="AO142" si="149">+((AE142*AE$2)+(AI142*AI$2)+(AM142*AM$2))/AO$2</f>
        <v>2.0594939782486246</v>
      </c>
      <c r="AP142" s="5181">
        <f t="shared" ref="AP142" si="150">+((AL142*AL$2)+(AJ142*AJ$2))/AP$2</f>
        <v>1.2403574954552594</v>
      </c>
      <c r="AQ142" s="5181">
        <f t="shared" ref="AQ142" si="151">+((AM142*AM$2)+(AK142*AK$2))/AQ$2</f>
        <v>3.8061229133649919</v>
      </c>
      <c r="AR142" s="5191">
        <f>+EMD!AP87/(EMD!AP3*24)</f>
        <v>0</v>
      </c>
      <c r="AS142" s="5191">
        <f>+EMD!AQ87/(EMD!AQ3*24)</f>
        <v>3.6978494623655913</v>
      </c>
      <c r="AT142" s="5181">
        <f t="shared" ref="AT142" si="152">+((AP142*AP$2)+(AR142*AR$2))/AT$2</f>
        <v>1.1147003635627331</v>
      </c>
      <c r="AU142" s="5181">
        <f t="shared" ref="AU142" si="153">+((AQ142*AQ$2)+(AS142*AS$2))/AU$2</f>
        <v>3.7951540343421772</v>
      </c>
      <c r="AV142" s="5191">
        <f>+EMD!AT87/(EMD!AT3*24)</f>
        <v>0</v>
      </c>
      <c r="AW142" s="5185">
        <f>+EMD!AU87/(EMD!AU3*24)</f>
        <v>4.5709538876161782</v>
      </c>
      <c r="AX142" s="5181">
        <f t="shared" si="127"/>
        <v>1.0212524288928033</v>
      </c>
      <c r="AY142" s="5181">
        <f t="shared" si="128"/>
        <v>3.8601911477902973</v>
      </c>
      <c r="AZ142" s="5191">
        <f>+EMD!AX87/(EMD!AX3*24)</f>
        <v>0</v>
      </c>
      <c r="BA142" s="5185">
        <f>+EMD!AY87/(EMD!AY3*24)</f>
        <v>3.6535480454635083</v>
      </c>
      <c r="BB142" s="5182">
        <f>+EMD!AZ87/(EMD!AZ3*24)</f>
        <v>0</v>
      </c>
      <c r="BC142" s="5182">
        <f>+EMD!BA87/(EMD!BA3*24)</f>
        <v>3.9542225732883893</v>
      </c>
      <c r="BD142" s="5195">
        <f>+EMD!BB87/(EMD!BB3*24)</f>
        <v>0</v>
      </c>
      <c r="BE142" s="5195">
        <f>+EMD!BC87/(EMD!BC3*24)</f>
        <v>2.9964476790924639</v>
      </c>
      <c r="BF142" s="5181">
        <f>+EMD!BD87/(EMD!BD3*24)</f>
        <v>0</v>
      </c>
      <c r="BG142" s="5197">
        <f>+EMD!BE87/(EMD!BE3*24)</f>
        <v>3.8426406377296649</v>
      </c>
      <c r="BH142" s="26"/>
      <c r="BI142" s="26"/>
      <c r="BJ142" s="26"/>
      <c r="BK142" s="26"/>
      <c r="BL142" s="26"/>
      <c r="BM142" s="26"/>
      <c r="BN142" s="1219"/>
    </row>
    <row r="143" spans="1:67" x14ac:dyDescent="0.25">
      <c r="B143" s="5196" t="s">
        <v>311</v>
      </c>
      <c r="C143" s="5178"/>
      <c r="D143" s="5178"/>
      <c r="E143" s="4862" t="s">
        <v>301</v>
      </c>
      <c r="F143" s="5191">
        <f>+EMD!D108/(EMD!D3*24)</f>
        <v>1.9395733277508604</v>
      </c>
      <c r="G143" s="5191">
        <f>+EMD!E108/(EMD!E3*24)</f>
        <v>1.4028099836985379</v>
      </c>
      <c r="H143" s="5191">
        <f>+EMD!F108/(EMD!F3*24)</f>
        <v>1.723872322011323</v>
      </c>
      <c r="I143" s="5191">
        <f>+EMD!G108/(EMD!G3*24)</f>
        <v>1.5865047135606947</v>
      </c>
      <c r="J143" s="5181">
        <f t="shared" si="111"/>
        <v>1.8299547838504397</v>
      </c>
      <c r="K143" s="5192">
        <f t="shared" si="111"/>
        <v>1.4961630431366832</v>
      </c>
      <c r="L143" s="5191">
        <f>+EMD!J108/(EMD!J3*24)</f>
        <v>1.6764625636207104</v>
      </c>
      <c r="M143" s="5191">
        <f>+EMD!K108/(EMD!K3*24)</f>
        <v>1.6764927955556788</v>
      </c>
      <c r="N143" s="5193">
        <f t="shared" si="112"/>
        <v>1.7793529530054739</v>
      </c>
      <c r="O143" s="5193">
        <f t="shared" si="112"/>
        <v>1.5556124120660224</v>
      </c>
      <c r="P143" s="5191">
        <f>+EMD!N108/(EMD!N3*24)</f>
        <v>1.7193237289601051</v>
      </c>
      <c r="Q143" s="5191">
        <f>+EMD!O108/(EMD!O3*24)</f>
        <v>1.6744247849513554</v>
      </c>
      <c r="R143" s="5181">
        <f t="shared" si="113"/>
        <v>1.7640996255841097</v>
      </c>
      <c r="S143" s="5181">
        <f t="shared" si="113"/>
        <v>1.5858024412418039</v>
      </c>
      <c r="T143" s="5191">
        <f>+EMD!R108/(EMD!R3*24)</f>
        <v>1.7193237289601051</v>
      </c>
      <c r="U143" s="5191">
        <f>+EMD!S108/(EMD!S3*24)</f>
        <v>1.5263112720725411</v>
      </c>
      <c r="V143" s="5181">
        <f t="shared" si="114"/>
        <v>1.7550273850916644</v>
      </c>
      <c r="W143" s="5181">
        <f t="shared" si="115"/>
        <v>1.5737486749395349</v>
      </c>
      <c r="X143" s="5191">
        <f>+EMD!V108/(EMD!V3*24)</f>
        <v>0.66552505075814328</v>
      </c>
      <c r="Y143" s="5191">
        <f>+EMD!W108/(EMD!W3*24)</f>
        <v>1.7811250000000001</v>
      </c>
      <c r="Z143" s="5182">
        <f t="shared" si="116"/>
        <v>1.3756937251985959</v>
      </c>
      <c r="AA143" s="5182">
        <f t="shared" si="116"/>
        <v>1.6593105192145738</v>
      </c>
      <c r="AB143" s="5194">
        <f t="shared" si="117"/>
        <v>1.576420445036989</v>
      </c>
      <c r="AC143" s="5194">
        <f t="shared" si="117"/>
        <v>1.607744793801906</v>
      </c>
      <c r="AD143" s="5191">
        <f>+EMD!AB108/(EMD!AB3*24)</f>
        <v>1.0035604166636694</v>
      </c>
      <c r="AE143" s="5191">
        <f>+EMD!AC108/(EMD!AC3*24)</f>
        <v>1.4929612002174855</v>
      </c>
      <c r="AF143" s="5181">
        <f t="shared" si="118"/>
        <v>1.4934360484034706</v>
      </c>
      <c r="AG143" s="5181">
        <f t="shared" si="119"/>
        <v>1.5911172638901443</v>
      </c>
      <c r="AH143" s="5191">
        <f>+EMD!AF108/(EMD!AF3*24)</f>
        <v>0.99730408100727352</v>
      </c>
      <c r="AI143" s="5191">
        <f>+EMD!AG108/(EMD!AG3*24)</f>
        <v>0.41715551506704368</v>
      </c>
      <c r="AJ143" s="5181">
        <f t="shared" si="120"/>
        <v>1.4324362163465609</v>
      </c>
      <c r="AK143" s="5181">
        <f t="shared" si="121"/>
        <v>1.4467777046086154</v>
      </c>
      <c r="AL143" s="5191">
        <f>+EMD!AJ108/(EMD!AJ3*24)</f>
        <v>1.0035604166636694</v>
      </c>
      <c r="AM143" s="5191">
        <f>+EMD!AK108/(EMD!AK3*24)</f>
        <v>1.3904517160891481</v>
      </c>
      <c r="AN143" s="5182">
        <f t="shared" si="122"/>
        <v>1.0015203072104968</v>
      </c>
      <c r="AO143" s="5182">
        <f t="shared" si="123"/>
        <v>1.1076137593208364</v>
      </c>
      <c r="AP143" s="5181">
        <f t="shared" si="124"/>
        <v>1.3840902171095804</v>
      </c>
      <c r="AQ143" s="5181">
        <f t="shared" si="124"/>
        <v>1.4404282295391482</v>
      </c>
      <c r="AR143" s="5191">
        <f>+EMD!AP108/(EMD!AP3*24)</f>
        <v>1.0035604166636694</v>
      </c>
      <c r="AS143" s="5191">
        <f>+EMD!AQ108/(EMD!AQ3*24)</f>
        <v>1.6781290322580646</v>
      </c>
      <c r="AT143" s="5181">
        <f t="shared" si="125"/>
        <v>1.345539812489243</v>
      </c>
      <c r="AU143" s="5181">
        <f t="shared" si="126"/>
        <v>1.464509029814594</v>
      </c>
      <c r="AV143" s="5191">
        <f>+EMD!AT108/(EMD!AT3*24)</f>
        <v>0.9803406690728752</v>
      </c>
      <c r="AW143" s="5185">
        <f>+EMD!AU108/(EMD!AU3*24)</f>
        <v>1.643477059084455</v>
      </c>
      <c r="AX143" s="5181">
        <f t="shared" si="127"/>
        <v>1.3149243154363739</v>
      </c>
      <c r="AY143" s="5181">
        <f t="shared" si="128"/>
        <v>1.4795123376575763</v>
      </c>
      <c r="AZ143" s="5191">
        <f>+EMD!AX108/(EMD!AX3*24)</f>
        <v>1.1517244983773807</v>
      </c>
      <c r="BA143" s="5185">
        <f>+EMD!AY108/(EMD!AY3*24)</f>
        <v>1.6938806358375451</v>
      </c>
      <c r="BB143" s="5182">
        <f t="shared" si="129"/>
        <v>1.0473707900034783</v>
      </c>
      <c r="BC143" s="5182">
        <f t="shared" si="130"/>
        <v>1.6727739707258737</v>
      </c>
      <c r="BD143" s="5195">
        <f t="shared" si="131"/>
        <v>1.0241936228773558</v>
      </c>
      <c r="BE143" s="5195">
        <f t="shared" si="131"/>
        <v>1.3870885891365143</v>
      </c>
      <c r="BF143" s="5181">
        <f>+((AX143*AX$2)+(AZ143*AZ$2))/BF$2</f>
        <v>1.301063509056021</v>
      </c>
      <c r="BG143" s="5197">
        <f>+((AY143*AY$2)+(BA143*BA$2))/BG$2</f>
        <v>1.4977189602427243</v>
      </c>
      <c r="BH143" s="26"/>
      <c r="BI143" s="26"/>
      <c r="BJ143" s="26"/>
      <c r="BK143" s="26"/>
      <c r="BL143" s="26"/>
      <c r="BM143" s="26"/>
      <c r="BN143" s="1219"/>
    </row>
    <row r="144" spans="1:67" thickBot="1" x14ac:dyDescent="0.35">
      <c r="A144" s="149"/>
      <c r="B144" s="5200" t="s">
        <v>312</v>
      </c>
      <c r="C144" s="5201"/>
      <c r="D144" s="5201"/>
      <c r="E144" s="4877" t="s">
        <v>551</v>
      </c>
      <c r="F144" s="5202">
        <f t="shared" ref="F144:AK144" si="154">+F108/F135</f>
        <v>114.81481481481481</v>
      </c>
      <c r="G144" s="5202">
        <f t="shared" si="154"/>
        <v>110.44497937952814</v>
      </c>
      <c r="H144" s="5202">
        <f t="shared" ref="H144:I144" si="155">+H108/H135</f>
        <v>116.07142857142857</v>
      </c>
      <c r="I144" s="5202">
        <f t="shared" si="155"/>
        <v>111.95658372737651</v>
      </c>
      <c r="J144" s="5203">
        <f t="shared" si="154"/>
        <v>115.45454545454545</v>
      </c>
      <c r="K144" s="5203">
        <f t="shared" si="154"/>
        <v>111.25000451545674</v>
      </c>
      <c r="L144" s="5202">
        <f t="shared" si="154"/>
        <v>115.74074074074075</v>
      </c>
      <c r="M144" s="5202">
        <f t="shared" si="154"/>
        <v>115.29320386441785</v>
      </c>
      <c r="N144" s="5204">
        <f t="shared" si="154"/>
        <v>115.54878048780488</v>
      </c>
      <c r="O144" s="5204">
        <f t="shared" si="154"/>
        <v>112.65111774385743</v>
      </c>
      <c r="P144" s="5202">
        <f t="shared" ref="P144:Q144" si="156">+P108/P135</f>
        <v>116.07142857142857</v>
      </c>
      <c r="Q144" s="5202">
        <f t="shared" si="156"/>
        <v>107.22079862842892</v>
      </c>
      <c r="R144" s="5203">
        <f t="shared" si="154"/>
        <v>115.68181818181819</v>
      </c>
      <c r="S144" s="5203">
        <f t="shared" si="154"/>
        <v>111.20176762760509</v>
      </c>
      <c r="T144" s="5202">
        <f t="shared" si="154"/>
        <v>116.07142857142857</v>
      </c>
      <c r="U144" s="5202">
        <f t="shared" si="154"/>
        <v>100.58050509626275</v>
      </c>
      <c r="V144" s="5203">
        <f t="shared" si="154"/>
        <v>115.76086956521739</v>
      </c>
      <c r="W144" s="5203">
        <f t="shared" si="154"/>
        <v>109.28366254218223</v>
      </c>
      <c r="X144" s="5202">
        <f t="shared" ref="X144:Y144" si="157">+X108/X135</f>
        <v>111.66666666666667</v>
      </c>
      <c r="Y144" s="5202">
        <f t="shared" si="157"/>
        <v>110.23597207935339</v>
      </c>
      <c r="Z144" s="5204">
        <f t="shared" si="154"/>
        <v>115.14084507042253</v>
      </c>
      <c r="AA144" s="5204">
        <f t="shared" si="154"/>
        <v>106.12710059447487</v>
      </c>
      <c r="AB144" s="5205">
        <f t="shared" si="154"/>
        <v>115.359477124183</v>
      </c>
      <c r="AC144" s="5205">
        <f t="shared" si="154"/>
        <v>109.43272016330752</v>
      </c>
      <c r="AD144" s="5202">
        <f t="shared" si="154"/>
        <v>98.901098901098905</v>
      </c>
      <c r="AE144" s="5202">
        <f t="shared" si="154"/>
        <v>93.786529503916469</v>
      </c>
      <c r="AF144" s="5203">
        <f t="shared" si="154"/>
        <v>112.86744315030505</v>
      </c>
      <c r="AG144" s="5203">
        <f t="shared" si="154"/>
        <v>101.54488150816756</v>
      </c>
      <c r="AH144" s="5202">
        <f t="shared" si="154"/>
        <v>98.76543209876543</v>
      </c>
      <c r="AI144" s="5202">
        <f t="shared" si="154"/>
        <v>62.17248521424262</v>
      </c>
      <c r="AJ144" s="5203">
        <f t="shared" si="154"/>
        <v>111.07078039927404</v>
      </c>
      <c r="AK144" s="5203">
        <f t="shared" si="154"/>
        <v>99.998285470450156</v>
      </c>
      <c r="AL144" s="5202">
        <f t="shared" ref="AL144:BE144" si="158">+AL108/AL135</f>
        <v>98.901098901098905</v>
      </c>
      <c r="AM144" s="5202">
        <f t="shared" si="158"/>
        <v>96.643460502512582</v>
      </c>
      <c r="AN144" s="5204">
        <f t="shared" si="158"/>
        <v>98.85696632684585</v>
      </c>
      <c r="AO144" s="5204">
        <f t="shared" si="158"/>
        <v>90.702483315827763</v>
      </c>
      <c r="AP144" s="5203">
        <f t="shared" si="158"/>
        <v>109.65052901571016</v>
      </c>
      <c r="AQ144" s="5203">
        <f t="shared" si="158"/>
        <v>99.644363459010137</v>
      </c>
      <c r="AR144" s="5206">
        <f t="shared" si="158"/>
        <v>98.901098901098905</v>
      </c>
      <c r="AS144" s="5202">
        <f t="shared" si="158"/>
        <v>98.325597688232421</v>
      </c>
      <c r="AT144" s="5203">
        <f t="shared" si="158"/>
        <v>108.52713178294573</v>
      </c>
      <c r="AU144" s="5203">
        <f t="shared" si="158"/>
        <v>99.490494689718417</v>
      </c>
      <c r="AV144" s="5206">
        <f t="shared" si="158"/>
        <v>98.461538461538467</v>
      </c>
      <c r="AW144" s="5202">
        <f t="shared" si="158"/>
        <v>106.88209533787324</v>
      </c>
      <c r="AX144" s="5203">
        <f t="shared" si="158"/>
        <v>107.66806722689076</v>
      </c>
      <c r="AY144" s="5203">
        <f t="shared" si="158"/>
        <v>100.2065974219305</v>
      </c>
      <c r="AZ144" s="5206">
        <f t="shared" si="158"/>
        <v>109.89010989010988</v>
      </c>
      <c r="BA144" s="5202">
        <f t="shared" si="158"/>
        <v>117.48622712933755</v>
      </c>
      <c r="BB144" s="5204">
        <f t="shared" si="158"/>
        <v>102.56410256410257</v>
      </c>
      <c r="BC144" s="5204">
        <f t="shared" si="158"/>
        <v>107.64356077831218</v>
      </c>
      <c r="BD144" s="5207">
        <f t="shared" si="158"/>
        <v>100.68792995622263</v>
      </c>
      <c r="BE144" s="5207">
        <f t="shared" si="158"/>
        <v>100.80759051934925</v>
      </c>
      <c r="BF144" s="5203">
        <f t="shared" ref="BF144:BG144" si="159">+BF108/BF135</f>
        <v>107.86193672099712</v>
      </c>
      <c r="BG144" s="5208">
        <f t="shared" si="159"/>
        <v>101.8803355027958</v>
      </c>
      <c r="BH144" s="26"/>
      <c r="BI144" s="26"/>
      <c r="BJ144" s="26"/>
      <c r="BK144" s="26"/>
      <c r="BL144" s="26"/>
      <c r="BM144" s="26"/>
      <c r="BN144" s="1219"/>
    </row>
    <row r="145" spans="2:66" thickBot="1" x14ac:dyDescent="0.35"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  <c r="AC145" s="154"/>
      <c r="AD145" s="154"/>
      <c r="AE145" s="154"/>
      <c r="AF145" s="154"/>
      <c r="AG145" s="154"/>
      <c r="AH145" s="154"/>
      <c r="AI145" s="154"/>
      <c r="AJ145" s="154"/>
      <c r="AK145" s="154"/>
      <c r="AL145" s="154"/>
      <c r="AM145" s="154"/>
      <c r="AN145" s="154"/>
      <c r="AO145" s="154"/>
      <c r="AP145" s="154"/>
      <c r="AQ145" s="154"/>
      <c r="AR145" s="154"/>
      <c r="AS145" s="154"/>
      <c r="AT145" s="154"/>
      <c r="AU145" s="154"/>
      <c r="AV145" s="154"/>
      <c r="AW145" s="154"/>
      <c r="AX145" s="154"/>
      <c r="AY145" s="154"/>
      <c r="AZ145" s="154"/>
      <c r="BA145" s="154"/>
      <c r="BB145" s="154"/>
      <c r="BC145" s="154"/>
      <c r="BD145" s="154"/>
      <c r="BE145" s="154"/>
      <c r="BF145" s="154"/>
      <c r="BG145" s="154"/>
      <c r="BH145" s="26"/>
      <c r="BI145" s="26"/>
      <c r="BJ145" s="26"/>
      <c r="BK145" s="26"/>
      <c r="BL145" s="26"/>
      <c r="BM145" s="26"/>
      <c r="BN145" s="1219"/>
    </row>
    <row r="146" spans="2:66" ht="14.45" x14ac:dyDescent="0.3">
      <c r="B146" s="1053" t="s">
        <v>805</v>
      </c>
      <c r="C146" s="1054"/>
      <c r="D146" s="1054"/>
      <c r="E146" s="819" t="s">
        <v>50</v>
      </c>
      <c r="F146" s="1054"/>
      <c r="G146" s="1602">
        <v>203.53699999999938</v>
      </c>
      <c r="H146" s="1054"/>
      <c r="I146" s="1602">
        <v>387.81699999999989</v>
      </c>
      <c r="J146" s="1056"/>
      <c r="K146" s="373">
        <f>+G146+I146</f>
        <v>591.35399999999925</v>
      </c>
      <c r="L146" s="1054"/>
      <c r="M146" s="1602">
        <v>351.1119999999998</v>
      </c>
      <c r="N146" s="1058"/>
      <c r="O146" s="618">
        <f>+G146+I146+M146</f>
        <v>942.46599999999899</v>
      </c>
      <c r="P146" s="1054"/>
      <c r="Q146" s="1602">
        <v>367.42799999999977</v>
      </c>
      <c r="R146" s="1056"/>
      <c r="S146" s="373">
        <f>+O146+Q146</f>
        <v>1309.8939999999989</v>
      </c>
      <c r="T146" s="1054"/>
      <c r="U146" s="1602">
        <v>413.38599999999991</v>
      </c>
      <c r="V146" s="1056"/>
      <c r="W146" s="373">
        <f>+S146+U146</f>
        <v>1723.2799999999988</v>
      </c>
      <c r="X146" s="1054"/>
      <c r="Y146" s="1602">
        <v>335.19200000000001</v>
      </c>
      <c r="Z146" s="1058"/>
      <c r="AA146" s="618">
        <f>+Q146+U146+Y146</f>
        <v>1116.0059999999996</v>
      </c>
      <c r="AB146" s="5116"/>
      <c r="AC146" s="1049">
        <f>+AA146+O146</f>
        <v>2058.4719999999988</v>
      </c>
      <c r="AD146" s="1054"/>
      <c r="AE146" s="1602">
        <v>369.78199999999941</v>
      </c>
      <c r="AF146" s="1056"/>
      <c r="AG146" s="373">
        <f>+AC146+AE146</f>
        <v>2428.2539999999981</v>
      </c>
      <c r="AH146" s="1054"/>
      <c r="AI146" s="1602">
        <v>103.1519999999998</v>
      </c>
      <c r="AJ146" s="1056"/>
      <c r="AK146" s="373">
        <f>+AG146+AI146</f>
        <v>2531.4059999999977</v>
      </c>
      <c r="AL146" s="1054"/>
      <c r="AM146" s="1602">
        <v>361.35599999999954</v>
      </c>
      <c r="AN146" s="1058"/>
      <c r="AO146" s="618">
        <f>+AE146+AI146+AM146</f>
        <v>834.28999999999883</v>
      </c>
      <c r="AP146" s="1056"/>
      <c r="AQ146" s="373">
        <f t="shared" ref="AQ146:AQ147" si="160">AK146+AM146</f>
        <v>2892.761999999997</v>
      </c>
      <c r="AR146" s="1054"/>
      <c r="AS146" s="1602">
        <v>454.99999999999926</v>
      </c>
      <c r="AT146" s="1056"/>
      <c r="AU146" s="373">
        <f>+AQ146+AS146</f>
        <v>3347.7619999999961</v>
      </c>
      <c r="AV146" s="1054"/>
      <c r="AW146" s="1602">
        <v>378.11899999999986</v>
      </c>
      <c r="AX146" s="1056"/>
      <c r="AY146" s="373">
        <f>+AU146+AW146</f>
        <v>3725.8809999999958</v>
      </c>
      <c r="AZ146" s="1054"/>
      <c r="BA146" s="1602">
        <v>394.63600000000019</v>
      </c>
      <c r="BB146" s="1058"/>
      <c r="BC146" s="618">
        <f>+AS146+AW146+BA146</f>
        <v>1227.7549999999992</v>
      </c>
      <c r="BD146" s="5117"/>
      <c r="BE146" s="5118">
        <f t="shared" ref="BE146:BE147" si="161">+AO146+BC146</f>
        <v>2062.0449999999983</v>
      </c>
      <c r="BF146" s="1056"/>
      <c r="BG146" s="43">
        <f>+AY146+BA146</f>
        <v>4120.5169999999962</v>
      </c>
      <c r="BH146" s="26"/>
      <c r="BI146" s="26"/>
      <c r="BJ146" s="26"/>
      <c r="BK146" s="26"/>
      <c r="BL146" s="26"/>
      <c r="BM146" s="26"/>
      <c r="BN146" s="1219"/>
    </row>
    <row r="147" spans="2:66" ht="14.45" x14ac:dyDescent="0.3">
      <c r="B147" s="5151" t="s">
        <v>803</v>
      </c>
      <c r="C147" s="5130"/>
      <c r="D147" s="5130"/>
      <c r="E147" s="4862" t="s">
        <v>50</v>
      </c>
      <c r="F147" s="5130"/>
      <c r="G147" s="5165">
        <v>1027.2070000000001</v>
      </c>
      <c r="H147" s="5130"/>
      <c r="I147" s="5165">
        <v>1178.1529999999998</v>
      </c>
      <c r="J147" s="5144"/>
      <c r="K147" s="4957">
        <f>+G147+I147</f>
        <v>2205.3599999999997</v>
      </c>
      <c r="L147" s="5130"/>
      <c r="M147" s="5165">
        <v>1218.1929999999998</v>
      </c>
      <c r="N147" s="5145"/>
      <c r="O147" s="4964">
        <f>+G147+I147+M147</f>
        <v>3423.5529999999994</v>
      </c>
      <c r="P147" s="5130"/>
      <c r="Q147" s="5165">
        <v>1193.4615999999999</v>
      </c>
      <c r="R147" s="5144"/>
      <c r="S147" s="4957">
        <f>+O147+Q147</f>
        <v>4617.0145999999995</v>
      </c>
      <c r="T147" s="5130"/>
      <c r="U147" s="5165">
        <v>935.56900000000007</v>
      </c>
      <c r="V147" s="5144"/>
      <c r="W147" s="4957">
        <f>+S147+U147</f>
        <v>5552.5835999999999</v>
      </c>
      <c r="X147" s="5130"/>
      <c r="Y147" s="5165">
        <v>1042.048</v>
      </c>
      <c r="Z147" s="5145"/>
      <c r="AA147" s="4964">
        <f>+Q147+U147+Y147</f>
        <v>3171.0785999999998</v>
      </c>
      <c r="AB147" s="5112"/>
      <c r="AC147" s="5113">
        <f>+AA147+O147</f>
        <v>6594.6315999999988</v>
      </c>
      <c r="AD147" s="5130"/>
      <c r="AE147" s="5165">
        <v>968.64999999999975</v>
      </c>
      <c r="AF147" s="5144"/>
      <c r="AG147" s="4957">
        <f>+AC147+AE147</f>
        <v>7563.2815999999984</v>
      </c>
      <c r="AH147" s="5130"/>
      <c r="AI147" s="5165">
        <v>188.61599999999999</v>
      </c>
      <c r="AJ147" s="5144"/>
      <c r="AK147" s="4957">
        <f>+AG147+AI147</f>
        <v>7751.8975999999984</v>
      </c>
      <c r="AL147" s="5130"/>
      <c r="AM147" s="5165">
        <v>923.25600000000031</v>
      </c>
      <c r="AN147" s="5145"/>
      <c r="AO147" s="4964">
        <f>+AE147+AI147+AM147</f>
        <v>2080.5219999999999</v>
      </c>
      <c r="AP147" s="5144"/>
      <c r="AQ147" s="4957">
        <f t="shared" si="160"/>
        <v>8675.1535999999978</v>
      </c>
      <c r="AR147" s="5130"/>
      <c r="AS147" s="5165">
        <v>1221.7340000000002</v>
      </c>
      <c r="AT147" s="5144"/>
      <c r="AU147" s="4957">
        <f>+AQ147+AS147</f>
        <v>9896.8875999999982</v>
      </c>
      <c r="AV147" s="5130"/>
      <c r="AW147" s="5165">
        <v>1074.7549999999999</v>
      </c>
      <c r="AX147" s="5144"/>
      <c r="AY147" s="4957">
        <f>+AU147+AW147</f>
        <v>10971.642599999997</v>
      </c>
      <c r="AZ147" s="5130"/>
      <c r="BA147" s="5165">
        <v>1282.0229999999997</v>
      </c>
      <c r="BB147" s="5145"/>
      <c r="BC147" s="4964">
        <f>+AS147+AW147+BA147</f>
        <v>3578.5119999999997</v>
      </c>
      <c r="BD147" s="5114"/>
      <c r="BE147" s="5115">
        <f t="shared" si="161"/>
        <v>5659.0339999999997</v>
      </c>
      <c r="BF147" s="5144"/>
      <c r="BG147" s="4866">
        <f>+AY147+BA147</f>
        <v>12253.665599999997</v>
      </c>
      <c r="BH147" s="26"/>
      <c r="BI147" s="26"/>
      <c r="BJ147" s="26"/>
      <c r="BK147" s="26"/>
      <c r="BL147" s="26"/>
      <c r="BM147" s="26"/>
      <c r="BN147" s="1219"/>
    </row>
    <row r="148" spans="2:66" ht="14.45" x14ac:dyDescent="0.3">
      <c r="B148" s="5174" t="s">
        <v>826</v>
      </c>
      <c r="C148" s="5166"/>
      <c r="D148" s="5166"/>
      <c r="E148" s="4869" t="s">
        <v>50</v>
      </c>
      <c r="F148" s="5130"/>
      <c r="G148" s="5165">
        <f>SUM(G146:G147)</f>
        <v>1230.7439999999995</v>
      </c>
      <c r="H148" s="5130"/>
      <c r="I148" s="5165">
        <f>SUM(I146:I147)</f>
        <v>1565.9699999999998</v>
      </c>
      <c r="J148" s="5144"/>
      <c r="K148" s="5131">
        <f>SUM(K146:K147)</f>
        <v>2796.713999999999</v>
      </c>
      <c r="L148" s="5130"/>
      <c r="M148" s="5165">
        <f>SUM(M146:M147)</f>
        <v>1569.3049999999996</v>
      </c>
      <c r="N148" s="5145"/>
      <c r="O148" s="5132">
        <f>SUM(O146:O147)</f>
        <v>4366.0189999999984</v>
      </c>
      <c r="P148" s="5130"/>
      <c r="Q148" s="5165">
        <f>SUM(Q146:Q147)</f>
        <v>1560.8895999999995</v>
      </c>
      <c r="R148" s="5144"/>
      <c r="S148" s="5131">
        <f>SUM(S146:S147)</f>
        <v>5926.9085999999988</v>
      </c>
      <c r="T148" s="5130"/>
      <c r="U148" s="5165">
        <f>SUM(U146:U147)</f>
        <v>1348.9549999999999</v>
      </c>
      <c r="V148" s="5144"/>
      <c r="W148" s="5131">
        <f>SUM(W146:W147)</f>
        <v>7275.8635999999988</v>
      </c>
      <c r="X148" s="5130"/>
      <c r="Y148" s="5165">
        <f>SUM(Y146:Y147)</f>
        <v>1377.24</v>
      </c>
      <c r="Z148" s="5145"/>
      <c r="AA148" s="5132">
        <f>SUM(AA146:AA147)</f>
        <v>4287.0845999999992</v>
      </c>
      <c r="AB148" s="5167"/>
      <c r="AC148" s="5133">
        <f>SUM(AC146:AC147)</f>
        <v>8653.1035999999986</v>
      </c>
      <c r="AD148" s="5130"/>
      <c r="AE148" s="5165">
        <f>SUM(AE146:AE147)</f>
        <v>1338.4319999999991</v>
      </c>
      <c r="AF148" s="5144"/>
      <c r="AG148" s="5131">
        <f>SUM(AG146:AG147)</f>
        <v>9991.5355999999956</v>
      </c>
      <c r="AH148" s="5130"/>
      <c r="AI148" s="5165">
        <f>SUM(AI146:AI147)</f>
        <v>291.7679999999998</v>
      </c>
      <c r="AJ148" s="5144"/>
      <c r="AK148" s="5131">
        <f>SUM(AK146:AK147)</f>
        <v>10283.303599999996</v>
      </c>
      <c r="AL148" s="5130"/>
      <c r="AM148" s="5165">
        <f>SUM(AM146:AM147)</f>
        <v>1284.6119999999999</v>
      </c>
      <c r="AN148" s="5145"/>
      <c r="AO148" s="5132">
        <f>SUM(AO146:AO147)</f>
        <v>2914.811999999999</v>
      </c>
      <c r="AP148" s="5144"/>
      <c r="AQ148" s="5131">
        <f>SUM(AQ146:AQ147)</f>
        <v>11567.915599999995</v>
      </c>
      <c r="AR148" s="5130"/>
      <c r="AS148" s="5165">
        <f>SUM(AS146:AS147)</f>
        <v>1676.7339999999995</v>
      </c>
      <c r="AT148" s="5144"/>
      <c r="AU148" s="5131">
        <f>SUM(AU146:AU147)</f>
        <v>13244.649599999993</v>
      </c>
      <c r="AV148" s="5130"/>
      <c r="AW148" s="5165">
        <f>SUM(AW146:AW147)</f>
        <v>1452.8739999999998</v>
      </c>
      <c r="AX148" s="5144"/>
      <c r="AY148" s="5131">
        <f>SUM(AY146:AY147)</f>
        <v>14697.523599999993</v>
      </c>
      <c r="AZ148" s="5130"/>
      <c r="BA148" s="5165">
        <f>SUM(BA146:BA147)</f>
        <v>1676.6589999999999</v>
      </c>
      <c r="BB148" s="5145"/>
      <c r="BC148" s="5132">
        <f>SUM(BC146:BC147)</f>
        <v>4806.2669999999989</v>
      </c>
      <c r="BD148" s="5168"/>
      <c r="BE148" s="5134">
        <f>SUM(BE146:BE147)</f>
        <v>7721.0789999999979</v>
      </c>
      <c r="BF148" s="5144"/>
      <c r="BG148" s="5150">
        <f>SUM(BG146:BG147)</f>
        <v>16374.182599999993</v>
      </c>
      <c r="BH148" s="26"/>
      <c r="BI148" s="26"/>
      <c r="BJ148" s="26"/>
      <c r="BK148" s="26"/>
      <c r="BL148" s="26"/>
      <c r="BM148" s="26"/>
      <c r="BN148" s="1219"/>
    </row>
    <row r="149" spans="2:66" ht="14.45" x14ac:dyDescent="0.3">
      <c r="B149" s="5174" t="s">
        <v>822</v>
      </c>
      <c r="C149" s="5166"/>
      <c r="D149" s="5166"/>
      <c r="E149" s="4869" t="s">
        <v>49</v>
      </c>
      <c r="F149" s="5130"/>
      <c r="G149" s="5169">
        <f>+G148/G7</f>
        <v>2.3291551848486736E-2</v>
      </c>
      <c r="H149" s="5130"/>
      <c r="I149" s="5169">
        <f>+I148/I7</f>
        <v>2.5684364894429577E-2</v>
      </c>
      <c r="J149" s="5144"/>
      <c r="K149" s="5170">
        <f>+K148/K7</f>
        <v>2.4573412414332307E-2</v>
      </c>
      <c r="L149" s="5130"/>
      <c r="M149" s="5169">
        <f>+M148/M7</f>
        <v>2.52215456532951E-2</v>
      </c>
      <c r="N149" s="5145"/>
      <c r="O149" s="5171">
        <f>+O148/O7</f>
        <v>2.4802504385340342E-2</v>
      </c>
      <c r="P149" s="5130"/>
      <c r="Q149" s="5169">
        <f>+Q148/Q7</f>
        <v>2.5604803295599134E-2</v>
      </c>
      <c r="R149" s="5144"/>
      <c r="S149" s="5170">
        <f>+S148/S7</f>
        <v>2.500887740228434E-2</v>
      </c>
      <c r="T149" s="5130"/>
      <c r="U149" s="5169">
        <f>+U148/U7</f>
        <v>2.8386668872581518E-2</v>
      </c>
      <c r="V149" s="5144"/>
      <c r="W149" s="5170">
        <f>+W148/W7</f>
        <v>2.5573052465095336E-2</v>
      </c>
      <c r="X149" s="5130"/>
      <c r="Y149" s="5169">
        <f>+Y148/Y7</f>
        <v>2.5886223577886818E-2</v>
      </c>
      <c r="Z149" s="5145"/>
      <c r="AA149" s="5171">
        <f>+AA148/AA7</f>
        <v>2.6515022040710566E-2</v>
      </c>
      <c r="AB149" s="5167"/>
      <c r="AC149" s="5172">
        <f>+AC148/AC7</f>
        <v>2.5622389193302661E-2</v>
      </c>
      <c r="AD149" s="5130"/>
      <c r="AE149" s="5169">
        <f>+AE148/AE7</f>
        <v>2.8048763697099941E-2</v>
      </c>
      <c r="AF149" s="5144"/>
      <c r="AG149" s="5170">
        <f>+AG148/AG7</f>
        <v>2.592278218221641E-2</v>
      </c>
      <c r="AH149" s="5130"/>
      <c r="AI149" s="5169">
        <f>+AI148/AI7</f>
        <v>3.184337713896801E-2</v>
      </c>
      <c r="AJ149" s="5144"/>
      <c r="AK149" s="5170">
        <f>+AK148/AK7</f>
        <v>2.6060259155201406E-2</v>
      </c>
      <c r="AL149" s="5130"/>
      <c r="AM149" s="5169">
        <f>+AM148/AM7</f>
        <v>2.919639082706425E-2</v>
      </c>
      <c r="AN149" s="5145"/>
      <c r="AO149" s="5171">
        <f>+AO148/AO7</f>
        <v>2.8893958627031105E-2</v>
      </c>
      <c r="AP149" s="5144"/>
      <c r="AQ149" s="5170">
        <f>+AQ148/AQ7</f>
        <v>2.6374868989668582E-2</v>
      </c>
      <c r="AR149" s="5130"/>
      <c r="AS149" s="5169">
        <f>+AS148/AS7</f>
        <v>3.0726190081547991E-2</v>
      </c>
      <c r="AT149" s="5144"/>
      <c r="AU149" s="5170">
        <f>+AU148/AU7</f>
        <v>2.6856354449700814E-2</v>
      </c>
      <c r="AV149" s="5130"/>
      <c r="AW149" s="5169">
        <f>+AW148/AW7</f>
        <v>2.6797717949681318E-2</v>
      </c>
      <c r="AX149" s="5144"/>
      <c r="AY149" s="5170">
        <f>+AY148/AY7</f>
        <v>2.6850546709959049E-2</v>
      </c>
      <c r="AZ149" s="5130"/>
      <c r="BA149" s="5169">
        <f>+BA148/BA7</f>
        <v>2.5416034597818663E-2</v>
      </c>
      <c r="BB149" s="5145"/>
      <c r="BC149" s="5171">
        <f>+BC148/BC7</f>
        <v>2.7502875252709391E-2</v>
      </c>
      <c r="BD149" s="5168"/>
      <c r="BE149" s="5173">
        <f>+BE148/BE7</f>
        <v>2.8011998300257596E-2</v>
      </c>
      <c r="BF149" s="5144"/>
      <c r="BG149" s="5175">
        <f>+BG148/BG7</f>
        <v>2.6696258782462092E-2</v>
      </c>
      <c r="BH149" s="26"/>
      <c r="BI149" s="26"/>
      <c r="BJ149" s="26"/>
      <c r="BK149" s="26"/>
      <c r="BL149" s="26"/>
      <c r="BM149" s="26"/>
      <c r="BN149" s="1219"/>
    </row>
    <row r="150" spans="2:66" ht="14.45" x14ac:dyDescent="0.3">
      <c r="B150" s="5174" t="s">
        <v>825</v>
      </c>
      <c r="C150" s="5166"/>
      <c r="D150" s="5166"/>
      <c r="E150" s="4869" t="s">
        <v>50</v>
      </c>
      <c r="F150" s="5130"/>
      <c r="G150" s="4948">
        <f>+G109</f>
        <v>491.54999999999995</v>
      </c>
      <c r="H150" s="5130"/>
      <c r="I150" s="4948">
        <f>+I109</f>
        <v>373.24</v>
      </c>
      <c r="J150" s="5144"/>
      <c r="K150" s="5131">
        <f>+K109</f>
        <v>864.79</v>
      </c>
      <c r="L150" s="5130"/>
      <c r="M150" s="4948">
        <f>+M109</f>
        <v>134.80000000000001</v>
      </c>
      <c r="N150" s="5145"/>
      <c r="O150" s="5132">
        <f>+O109</f>
        <v>999.59000000000015</v>
      </c>
      <c r="P150" s="5130"/>
      <c r="Q150" s="4948">
        <f>+Q109</f>
        <v>254.89999999999998</v>
      </c>
      <c r="R150" s="5144"/>
      <c r="S150" s="5131">
        <f>+S109</f>
        <v>1254.49</v>
      </c>
      <c r="T150" s="5130"/>
      <c r="U150" s="4948">
        <f>+U109</f>
        <v>349.35999999999996</v>
      </c>
      <c r="V150" s="5144"/>
      <c r="W150" s="5131">
        <f>+W109</f>
        <v>1603.85</v>
      </c>
      <c r="X150" s="5130"/>
      <c r="Y150" s="4948">
        <f>+Y109</f>
        <v>224.92</v>
      </c>
      <c r="Z150" s="5145"/>
      <c r="AA150" s="5132">
        <f>+AA109</f>
        <v>829.18000000000006</v>
      </c>
      <c r="AB150" s="5167"/>
      <c r="AC150" s="5133">
        <f>+AC109</f>
        <v>1828.7699999999998</v>
      </c>
      <c r="AD150" s="5130"/>
      <c r="AE150" s="4948">
        <f>+AE109</f>
        <v>79.149999999999991</v>
      </c>
      <c r="AF150" s="5144"/>
      <c r="AG150" s="5131">
        <f>+AG109</f>
        <v>1834.5099999999998</v>
      </c>
      <c r="AH150" s="5130"/>
      <c r="AI150" s="4948">
        <f>+AI109</f>
        <v>0</v>
      </c>
      <c r="AJ150" s="5144"/>
      <c r="AK150" s="5131">
        <f>+AK109</f>
        <v>1834.5099999999998</v>
      </c>
      <c r="AL150" s="5130"/>
      <c r="AM150" s="4948">
        <f>+AM109</f>
        <v>1585.3</v>
      </c>
      <c r="AN150" s="5145"/>
      <c r="AO150" s="5132">
        <f>+AO109</f>
        <v>1664.4500000000003</v>
      </c>
      <c r="AP150" s="5144"/>
      <c r="AQ150" s="5131">
        <f>+AQ109</f>
        <v>3419.8100000000004</v>
      </c>
      <c r="AR150" s="5130"/>
      <c r="AS150" s="4948">
        <f>+AS109</f>
        <v>999.57</v>
      </c>
      <c r="AT150" s="5144"/>
      <c r="AU150" s="5131">
        <f>+AU109</f>
        <v>4419.38</v>
      </c>
      <c r="AV150" s="5130"/>
      <c r="AW150" s="4948">
        <f>+AW109</f>
        <v>190.55</v>
      </c>
      <c r="AX150" s="5144"/>
      <c r="AY150" s="5131">
        <f>+AY109</f>
        <v>4609.93</v>
      </c>
      <c r="AZ150" s="5130"/>
      <c r="BA150" s="4948">
        <f>+BA109</f>
        <v>294.49</v>
      </c>
      <c r="BB150" s="5145"/>
      <c r="BC150" s="5132">
        <f>+BC109</f>
        <v>1484.6100000000001</v>
      </c>
      <c r="BD150" s="5168"/>
      <c r="BE150" s="5134">
        <f>+BE109</f>
        <v>3149.0600000000004</v>
      </c>
      <c r="BF150" s="5144"/>
      <c r="BG150" s="5150">
        <f>+BG109</f>
        <v>4904.42</v>
      </c>
      <c r="BH150" s="26"/>
      <c r="BI150" s="26"/>
      <c r="BJ150" s="26"/>
      <c r="BK150" s="26"/>
      <c r="BL150" s="26"/>
      <c r="BM150" s="26"/>
      <c r="BN150" s="1219"/>
    </row>
    <row r="151" spans="2:66" ht="14.45" x14ac:dyDescent="0.3">
      <c r="B151" s="5151" t="s">
        <v>1625</v>
      </c>
      <c r="C151" s="5130"/>
      <c r="D151" s="5130"/>
      <c r="E151" s="4862" t="s">
        <v>50</v>
      </c>
      <c r="F151" s="5130"/>
      <c r="G151" s="4948">
        <v>1023.3239999999997</v>
      </c>
      <c r="H151" s="5130"/>
      <c r="I151" s="4948">
        <v>1166.4859999999996</v>
      </c>
      <c r="J151" s="5144"/>
      <c r="K151" s="4957">
        <f>+G151+I151</f>
        <v>2189.8099999999995</v>
      </c>
      <c r="L151" s="5130"/>
      <c r="M151" s="4948">
        <v>1204.0310000000004</v>
      </c>
      <c r="N151" s="5145"/>
      <c r="O151" s="4964">
        <f>+G151+I151+M151</f>
        <v>3393.8409999999999</v>
      </c>
      <c r="P151" s="5130"/>
      <c r="Q151" s="4948">
        <v>1118.3079999999998</v>
      </c>
      <c r="R151" s="5144"/>
      <c r="S151" s="4957">
        <f>+O151+Q151</f>
        <v>4512.1489999999994</v>
      </c>
      <c r="T151" s="5130"/>
      <c r="U151" s="4948">
        <v>907.54300000000012</v>
      </c>
      <c r="V151" s="5144"/>
      <c r="W151" s="4957">
        <f>+S151+U151</f>
        <v>5419.6919999999991</v>
      </c>
      <c r="X151" s="5130"/>
      <c r="Y151" s="4948">
        <v>976.91400000000021</v>
      </c>
      <c r="Z151" s="5145"/>
      <c r="AA151" s="4964">
        <f>+Q151+U151+Y151</f>
        <v>3002.7650000000003</v>
      </c>
      <c r="AB151" s="5112"/>
      <c r="AC151" s="5113">
        <f>+AA151+O151</f>
        <v>6396.6059999999998</v>
      </c>
      <c r="AD151" s="5130"/>
      <c r="AE151" s="4948">
        <v>921.44761632023335</v>
      </c>
      <c r="AF151" s="5144"/>
      <c r="AG151" s="4957">
        <f>+AC151+AE151</f>
        <v>7318.0536163202332</v>
      </c>
      <c r="AH151" s="5130"/>
      <c r="AI151" s="4948">
        <v>175.74999999999994</v>
      </c>
      <c r="AJ151" s="5144"/>
      <c r="AK151" s="4957">
        <f>+AG151+AI151</f>
        <v>7493.8036163202332</v>
      </c>
      <c r="AL151" s="5130"/>
      <c r="AM151" s="4948">
        <v>624.91243439363234</v>
      </c>
      <c r="AN151" s="5145"/>
      <c r="AO151" s="4964">
        <f>+AE151+AI151+AM151</f>
        <v>1722.1100507138656</v>
      </c>
      <c r="AP151" s="5144"/>
      <c r="AQ151" s="4957">
        <f t="shared" ref="AQ151:AQ152" si="162">AK151+AM151</f>
        <v>8118.7160507138651</v>
      </c>
      <c r="AR151" s="5130"/>
      <c r="AS151" s="4948">
        <v>523.88300000000879</v>
      </c>
      <c r="AT151" s="5144"/>
      <c r="AU151" s="4957">
        <f>+AQ151+AS151</f>
        <v>8642.599050713874</v>
      </c>
      <c r="AV151" s="5130"/>
      <c r="AW151" s="4948">
        <v>1003.5519999999985</v>
      </c>
      <c r="AX151" s="5144"/>
      <c r="AY151" s="4957">
        <f>+AU151+AW151</f>
        <v>9646.1510507138719</v>
      </c>
      <c r="AZ151" s="5130"/>
      <c r="BA151" s="4948">
        <v>1262.0720000000001</v>
      </c>
      <c r="BB151" s="5145"/>
      <c r="BC151" s="4964">
        <f>+AS151+AW151+BA151</f>
        <v>2789.5070000000073</v>
      </c>
      <c r="BD151" s="5114"/>
      <c r="BE151" s="5115">
        <f t="shared" ref="BE151:BE152" si="163">+AO151+BC151</f>
        <v>4511.6170507138731</v>
      </c>
      <c r="BF151" s="5144"/>
      <c r="BG151" s="4866">
        <f>+AY151+BA151</f>
        <v>10908.223050713872</v>
      </c>
      <c r="BH151" s="26"/>
      <c r="BI151" s="26"/>
      <c r="BJ151" s="26"/>
      <c r="BK151" s="26"/>
      <c r="BL151" s="26"/>
      <c r="BM151" s="26"/>
      <c r="BN151" s="1219"/>
    </row>
    <row r="152" spans="2:66" thickBot="1" x14ac:dyDescent="0.35">
      <c r="B152" s="5152" t="s">
        <v>1092</v>
      </c>
      <c r="C152" s="5153"/>
      <c r="D152" s="5153"/>
      <c r="E152" s="4877" t="s">
        <v>50</v>
      </c>
      <c r="F152" s="5153"/>
      <c r="G152" s="5155">
        <v>551.3950000000001</v>
      </c>
      <c r="H152" s="5153"/>
      <c r="I152" s="5155">
        <v>644.9369999999999</v>
      </c>
      <c r="J152" s="5176"/>
      <c r="K152" s="4972">
        <f>+G152+I152</f>
        <v>1196.3319999999999</v>
      </c>
      <c r="L152" s="5153"/>
      <c r="M152" s="5155">
        <v>638.04100000000005</v>
      </c>
      <c r="N152" s="5177"/>
      <c r="O152" s="4974">
        <f>+G152+I152+M152</f>
        <v>1834.373</v>
      </c>
      <c r="P152" s="5153"/>
      <c r="Q152" s="5155">
        <v>699.32739999999978</v>
      </c>
      <c r="R152" s="5176"/>
      <c r="S152" s="4972">
        <f>+O152+Q152</f>
        <v>2533.7003999999997</v>
      </c>
      <c r="T152" s="5153"/>
      <c r="U152" s="5155">
        <v>508.57100000000008</v>
      </c>
      <c r="V152" s="5176"/>
      <c r="W152" s="4972">
        <f>+S152+U152</f>
        <v>3042.2713999999996</v>
      </c>
      <c r="X152" s="5153"/>
      <c r="Y152" s="5155">
        <v>614.12900000000002</v>
      </c>
      <c r="Z152" s="5177"/>
      <c r="AA152" s="4974">
        <f>+Q152+U152+Y152</f>
        <v>1822.0273999999999</v>
      </c>
      <c r="AB152" s="5126"/>
      <c r="AC152" s="5127">
        <f>+AA152+O152</f>
        <v>3656.4004</v>
      </c>
      <c r="AD152" s="5153"/>
      <c r="AE152" s="5155">
        <v>478.80761632023331</v>
      </c>
      <c r="AF152" s="5176"/>
      <c r="AG152" s="4972">
        <f>+AC152+AE152</f>
        <v>4135.2080163202336</v>
      </c>
      <c r="AH152" s="5153"/>
      <c r="AI152" s="5155">
        <v>110.09399999999998</v>
      </c>
      <c r="AJ152" s="5176"/>
      <c r="AK152" s="4972">
        <f>+AG152+AI152</f>
        <v>4245.3020163202336</v>
      </c>
      <c r="AL152" s="5153"/>
      <c r="AM152" s="5155">
        <v>437.6684343936322</v>
      </c>
      <c r="AN152" s="5177"/>
      <c r="AO152" s="4974">
        <f>+AE152+AI152+AM152</f>
        <v>1026.5700507138654</v>
      </c>
      <c r="AP152" s="5176"/>
      <c r="AQ152" s="4972">
        <f t="shared" si="162"/>
        <v>4682.9704507138658</v>
      </c>
      <c r="AR152" s="5153"/>
      <c r="AS152" s="5155">
        <v>330.83300000000895</v>
      </c>
      <c r="AT152" s="5176"/>
      <c r="AU152" s="4972">
        <f>+AQ152+AS152</f>
        <v>5013.8034507138746</v>
      </c>
      <c r="AV152" s="5153"/>
      <c r="AW152" s="5155">
        <v>560.07699999999829</v>
      </c>
      <c r="AX152" s="5176"/>
      <c r="AY152" s="4972">
        <f>+AU152+AW152</f>
        <v>5573.880450713873</v>
      </c>
      <c r="AZ152" s="5153"/>
      <c r="BA152" s="5155">
        <v>663.44099999999992</v>
      </c>
      <c r="BB152" s="5177"/>
      <c r="BC152" s="4974">
        <f>+AS152+AW152+BA152</f>
        <v>1554.3510000000072</v>
      </c>
      <c r="BD152" s="5128"/>
      <c r="BE152" s="5129">
        <f t="shared" si="163"/>
        <v>2580.9210507138723</v>
      </c>
      <c r="BF152" s="5176"/>
      <c r="BG152" s="4973">
        <f>+AY152+BA152</f>
        <v>6237.3214507138728</v>
      </c>
      <c r="BH152" s="26"/>
      <c r="BI152" s="26"/>
      <c r="BJ152" s="26"/>
      <c r="BK152" s="26"/>
      <c r="BL152" s="26"/>
      <c r="BM152" s="26"/>
      <c r="BN152" s="1219"/>
    </row>
    <row r="153" spans="2:66" ht="18.600000000000001" thickBot="1" x14ac:dyDescent="0.4">
      <c r="B153" s="883" t="s">
        <v>827</v>
      </c>
      <c r="C153" s="883"/>
      <c r="D153" s="883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F153" s="154"/>
      <c r="AG153" s="154"/>
      <c r="AH153" s="154"/>
      <c r="AI153" s="154"/>
      <c r="AJ153" s="154"/>
      <c r="AK153" s="154"/>
      <c r="AL153" s="154"/>
      <c r="AM153" s="154"/>
      <c r="AN153" s="154"/>
      <c r="AO153" s="154"/>
      <c r="AP153" s="154"/>
      <c r="AQ153" s="154"/>
      <c r="AR153" s="154"/>
      <c r="AS153" s="154"/>
      <c r="AT153" s="154"/>
      <c r="AU153" s="154"/>
      <c r="AV153" s="154"/>
      <c r="AW153" s="154"/>
      <c r="AX153" s="154"/>
      <c r="AY153" s="154"/>
      <c r="AZ153" s="154"/>
      <c r="BA153" s="154"/>
      <c r="BB153" s="154"/>
      <c r="BC153" s="154"/>
      <c r="BD153" s="154"/>
      <c r="BE153" s="154"/>
      <c r="BF153" s="154"/>
      <c r="BG153" s="154"/>
      <c r="BH153" s="26"/>
      <c r="BI153" s="26"/>
      <c r="BJ153" s="26"/>
      <c r="BK153" s="26"/>
      <c r="BL153" s="26"/>
      <c r="BM153" s="26"/>
      <c r="BN153" s="1219"/>
    </row>
    <row r="154" spans="2:66" ht="14.45" x14ac:dyDescent="0.3">
      <c r="B154" s="1053" t="s">
        <v>828</v>
      </c>
      <c r="C154" s="1054"/>
      <c r="D154" s="1054"/>
      <c r="E154" s="819" t="s">
        <v>50</v>
      </c>
      <c r="F154" s="1071"/>
      <c r="G154" s="1055">
        <f>+G7</f>
        <v>52840.79</v>
      </c>
      <c r="H154" s="1071"/>
      <c r="I154" s="1055">
        <f>+I7</f>
        <v>60969.777000000002</v>
      </c>
      <c r="J154" s="1072"/>
      <c r="K154" s="1057">
        <f>+K7</f>
        <v>113810.56700000001</v>
      </c>
      <c r="L154" s="1071"/>
      <c r="M154" s="1055">
        <f>+M7</f>
        <v>62220.809999999976</v>
      </c>
      <c r="N154" s="1073"/>
      <c r="O154" s="1074">
        <f>+O7</f>
        <v>176031.37699999998</v>
      </c>
      <c r="P154" s="1071"/>
      <c r="Q154" s="1055">
        <f>+Q7</f>
        <v>60960.812000000013</v>
      </c>
      <c r="R154" s="1072"/>
      <c r="S154" s="1057">
        <f>+S7</f>
        <v>236992.18899999998</v>
      </c>
      <c r="T154" s="1071"/>
      <c r="U154" s="1055">
        <f>+U7</f>
        <v>47520.722000000009</v>
      </c>
      <c r="V154" s="1072"/>
      <c r="W154" s="1057">
        <f>+W7</f>
        <v>284512.91099999996</v>
      </c>
      <c r="X154" s="1071"/>
      <c r="Y154" s="1055">
        <f>+Y7</f>
        <v>53203.589000000007</v>
      </c>
      <c r="Z154" s="1073"/>
      <c r="AA154" s="1074">
        <f>+AA7</f>
        <v>161685.12300000002</v>
      </c>
      <c r="AB154" s="5146"/>
      <c r="AC154" s="1077">
        <f>+AC7</f>
        <v>337716.5</v>
      </c>
      <c r="AD154" s="1071"/>
      <c r="AE154" s="1055">
        <f>+AE7</f>
        <v>47718.038999999997</v>
      </c>
      <c r="AF154" s="1072"/>
      <c r="AG154" s="1057">
        <f>+AG7</f>
        <v>385434.53899999999</v>
      </c>
      <c r="AH154" s="1071"/>
      <c r="AI154" s="1055">
        <f>+AI7</f>
        <v>9162.5960000000014</v>
      </c>
      <c r="AJ154" s="1072"/>
      <c r="AK154" s="1057">
        <f>+AK7</f>
        <v>394597.13500000001</v>
      </c>
      <c r="AL154" s="1071"/>
      <c r="AM154" s="1055">
        <f>+AM7</f>
        <v>43999</v>
      </c>
      <c r="AN154" s="1073"/>
      <c r="AO154" s="1074">
        <f>+AO7</f>
        <v>100879.63499999999</v>
      </c>
      <c r="AP154" s="1072"/>
      <c r="AQ154" s="1057">
        <f>+AQ7</f>
        <v>438596.13500000001</v>
      </c>
      <c r="AR154" s="1071"/>
      <c r="AS154" s="1055">
        <f>+AS7</f>
        <v>54570.189000000006</v>
      </c>
      <c r="AT154" s="1072"/>
      <c r="AU154" s="1057">
        <f>+AU7</f>
        <v>493166.32400000002</v>
      </c>
      <c r="AV154" s="1071"/>
      <c r="AW154" s="1055">
        <f>+AW7</f>
        <v>54216.333000000006</v>
      </c>
      <c r="AX154" s="1072"/>
      <c r="AY154" s="1057">
        <f>+AY7</f>
        <v>547382.65700000001</v>
      </c>
      <c r="AZ154" s="1071"/>
      <c r="BA154" s="1055">
        <f>+BA7</f>
        <v>65968.552000000011</v>
      </c>
      <c r="BB154" s="1073"/>
      <c r="BC154" s="1074">
        <f>+BC7</f>
        <v>174755.07400000002</v>
      </c>
      <c r="BD154" s="5147"/>
      <c r="BE154" s="5148">
        <f>+BE7</f>
        <v>275634.70900000003</v>
      </c>
      <c r="BF154" s="1072"/>
      <c r="BG154" s="1078">
        <f>+BG7</f>
        <v>613351.20900000003</v>
      </c>
      <c r="BH154" s="26"/>
      <c r="BI154" s="26"/>
      <c r="BJ154" s="26"/>
      <c r="BK154" s="26"/>
      <c r="BL154" s="26"/>
      <c r="BM154" s="26"/>
      <c r="BN154" s="1219"/>
    </row>
    <row r="155" spans="2:66" ht="28.9" x14ac:dyDescent="0.3">
      <c r="B155" s="5149" t="s">
        <v>833</v>
      </c>
      <c r="C155" s="5143"/>
      <c r="D155" s="5143"/>
      <c r="E155" s="4862" t="s">
        <v>50</v>
      </c>
      <c r="F155" s="5138"/>
      <c r="G155" s="4948">
        <f>+G148</f>
        <v>1230.7439999999995</v>
      </c>
      <c r="H155" s="5138"/>
      <c r="I155" s="4948">
        <f>+I148</f>
        <v>1565.9699999999998</v>
      </c>
      <c r="J155" s="5139"/>
      <c r="K155" s="5131">
        <f>+K148</f>
        <v>2796.713999999999</v>
      </c>
      <c r="L155" s="5138"/>
      <c r="M155" s="4948">
        <f>+M148</f>
        <v>1569.3049999999996</v>
      </c>
      <c r="N155" s="5140"/>
      <c r="O155" s="5132">
        <f>+O148</f>
        <v>4366.0189999999984</v>
      </c>
      <c r="P155" s="5138"/>
      <c r="Q155" s="4948">
        <f>+Q148</f>
        <v>1560.8895999999995</v>
      </c>
      <c r="R155" s="5139"/>
      <c r="S155" s="5131">
        <f>+S148</f>
        <v>5926.9085999999988</v>
      </c>
      <c r="T155" s="5138"/>
      <c r="U155" s="4948">
        <f>+U148</f>
        <v>1348.9549999999999</v>
      </c>
      <c r="V155" s="5139"/>
      <c r="W155" s="5131">
        <f>+W148</f>
        <v>7275.8635999999988</v>
      </c>
      <c r="X155" s="5138"/>
      <c r="Y155" s="4948">
        <f>+Y148</f>
        <v>1377.24</v>
      </c>
      <c r="Z155" s="5140"/>
      <c r="AA155" s="5132">
        <f>+AA148</f>
        <v>4287.0845999999992</v>
      </c>
      <c r="AB155" s="5141"/>
      <c r="AC155" s="5133">
        <f>+AC148</f>
        <v>8653.1035999999986</v>
      </c>
      <c r="AD155" s="5138"/>
      <c r="AE155" s="4948">
        <f>+AE148</f>
        <v>1338.4319999999991</v>
      </c>
      <c r="AF155" s="5139"/>
      <c r="AG155" s="5131">
        <f>+AG148</f>
        <v>9991.5355999999956</v>
      </c>
      <c r="AH155" s="5138"/>
      <c r="AI155" s="4948">
        <f>+AI148</f>
        <v>291.7679999999998</v>
      </c>
      <c r="AJ155" s="5139"/>
      <c r="AK155" s="5131">
        <f>+AK148</f>
        <v>10283.303599999996</v>
      </c>
      <c r="AL155" s="5138"/>
      <c r="AM155" s="4948">
        <f>+AM148</f>
        <v>1284.6119999999999</v>
      </c>
      <c r="AN155" s="5140"/>
      <c r="AO155" s="5132">
        <f>+AO148</f>
        <v>2914.811999999999</v>
      </c>
      <c r="AP155" s="5139"/>
      <c r="AQ155" s="5131">
        <f>+AQ148</f>
        <v>11567.915599999995</v>
      </c>
      <c r="AR155" s="5138"/>
      <c r="AS155" s="4948">
        <f>+AS148</f>
        <v>1676.7339999999995</v>
      </c>
      <c r="AT155" s="5139"/>
      <c r="AU155" s="5131">
        <f>+AU148</f>
        <v>13244.649599999993</v>
      </c>
      <c r="AV155" s="5138"/>
      <c r="AW155" s="4948">
        <f>+AW148</f>
        <v>1452.8739999999998</v>
      </c>
      <c r="AX155" s="5139"/>
      <c r="AY155" s="5131">
        <f>+AY148</f>
        <v>14697.523599999993</v>
      </c>
      <c r="AZ155" s="5138"/>
      <c r="BA155" s="4948">
        <f>+BA148</f>
        <v>1676.6589999999999</v>
      </c>
      <c r="BB155" s="5140"/>
      <c r="BC155" s="5132">
        <f>+BC148</f>
        <v>4806.2669999999989</v>
      </c>
      <c r="BD155" s="5142"/>
      <c r="BE155" s="5134">
        <f>+BE148</f>
        <v>7721.0789999999979</v>
      </c>
      <c r="BF155" s="5139"/>
      <c r="BG155" s="5150">
        <f>+BG148</f>
        <v>16374.182599999993</v>
      </c>
      <c r="BH155" s="26"/>
      <c r="BI155" s="26"/>
      <c r="BJ155" s="26"/>
      <c r="BK155" s="26"/>
      <c r="BL155" s="26"/>
      <c r="BM155" s="26"/>
      <c r="BN155" s="1219"/>
    </row>
    <row r="156" spans="2:66" ht="14.45" x14ac:dyDescent="0.3">
      <c r="B156" s="5151" t="s">
        <v>804</v>
      </c>
      <c r="C156" s="5130"/>
      <c r="D156" s="5130"/>
      <c r="E156" s="4862" t="s">
        <v>50</v>
      </c>
      <c r="F156" s="5138"/>
      <c r="G156" s="4948">
        <f>+G151</f>
        <v>1023.3239999999997</v>
      </c>
      <c r="H156" s="5138"/>
      <c r="I156" s="4948">
        <f>+I151</f>
        <v>1166.4859999999996</v>
      </c>
      <c r="J156" s="5139"/>
      <c r="K156" s="5131">
        <f>+K151</f>
        <v>2189.8099999999995</v>
      </c>
      <c r="L156" s="5138"/>
      <c r="M156" s="4948">
        <f>+M151</f>
        <v>1204.0310000000004</v>
      </c>
      <c r="N156" s="5140"/>
      <c r="O156" s="5132">
        <f>+O151</f>
        <v>3393.8409999999999</v>
      </c>
      <c r="P156" s="5138"/>
      <c r="Q156" s="4948">
        <f>+Q151</f>
        <v>1118.3079999999998</v>
      </c>
      <c r="R156" s="5139"/>
      <c r="S156" s="5131">
        <f>+S151</f>
        <v>4512.1489999999994</v>
      </c>
      <c r="T156" s="5138"/>
      <c r="U156" s="4948">
        <f>+U151</f>
        <v>907.54300000000012</v>
      </c>
      <c r="V156" s="5139"/>
      <c r="W156" s="5131">
        <f>+W151</f>
        <v>5419.6919999999991</v>
      </c>
      <c r="X156" s="5138"/>
      <c r="Y156" s="4948">
        <f>+Y151</f>
        <v>976.91400000000021</v>
      </c>
      <c r="Z156" s="5140"/>
      <c r="AA156" s="5132">
        <f>+AA151</f>
        <v>3002.7650000000003</v>
      </c>
      <c r="AB156" s="5141"/>
      <c r="AC156" s="5133">
        <f>+AC151</f>
        <v>6396.6059999999998</v>
      </c>
      <c r="AD156" s="5138"/>
      <c r="AE156" s="4948">
        <f>+AE151</f>
        <v>921.44761632023335</v>
      </c>
      <c r="AF156" s="5139"/>
      <c r="AG156" s="5131">
        <f>+AG151</f>
        <v>7318.0536163202332</v>
      </c>
      <c r="AH156" s="5138"/>
      <c r="AI156" s="4948">
        <f>+AI151</f>
        <v>175.74999999999994</v>
      </c>
      <c r="AJ156" s="5139"/>
      <c r="AK156" s="5131">
        <f>+AK151</f>
        <v>7493.8036163202332</v>
      </c>
      <c r="AL156" s="5138"/>
      <c r="AM156" s="4948">
        <f>+AM151</f>
        <v>624.91243439363234</v>
      </c>
      <c r="AN156" s="5140"/>
      <c r="AO156" s="5132">
        <f>+AO151</f>
        <v>1722.1100507138656</v>
      </c>
      <c r="AP156" s="5139"/>
      <c r="AQ156" s="5131">
        <f>+AQ151</f>
        <v>8118.7160507138651</v>
      </c>
      <c r="AR156" s="5138"/>
      <c r="AS156" s="4948">
        <f>+AS151</f>
        <v>523.88300000000879</v>
      </c>
      <c r="AT156" s="5139"/>
      <c r="AU156" s="5131">
        <f>+AU151</f>
        <v>8642.599050713874</v>
      </c>
      <c r="AV156" s="5138"/>
      <c r="AW156" s="4948">
        <f>+AW151</f>
        <v>1003.5519999999985</v>
      </c>
      <c r="AX156" s="5139"/>
      <c r="AY156" s="5131">
        <f>+AY151</f>
        <v>9646.1510507138719</v>
      </c>
      <c r="AZ156" s="5138"/>
      <c r="BA156" s="4948">
        <f>+BA151</f>
        <v>1262.0720000000001</v>
      </c>
      <c r="BB156" s="5140"/>
      <c r="BC156" s="5132">
        <f>+BC151</f>
        <v>2789.5070000000073</v>
      </c>
      <c r="BD156" s="5142"/>
      <c r="BE156" s="5134">
        <f>+BE151</f>
        <v>4511.6170507138731</v>
      </c>
      <c r="BF156" s="5139"/>
      <c r="BG156" s="5150">
        <f>+BG151</f>
        <v>10908.223050713872</v>
      </c>
      <c r="BH156" s="26"/>
      <c r="BI156" s="26"/>
      <c r="BJ156" s="26"/>
      <c r="BK156" s="26"/>
      <c r="BL156" s="26"/>
      <c r="BM156" s="26"/>
      <c r="BN156" s="1219"/>
    </row>
    <row r="157" spans="2:66" ht="14.45" x14ac:dyDescent="0.3">
      <c r="B157" s="5151" t="s">
        <v>1092</v>
      </c>
      <c r="C157" s="5130"/>
      <c r="D157" s="5130"/>
      <c r="E157" s="4862" t="s">
        <v>50</v>
      </c>
      <c r="F157" s="5130"/>
      <c r="G157" s="4948">
        <f>+G152</f>
        <v>551.3950000000001</v>
      </c>
      <c r="H157" s="5130"/>
      <c r="I157" s="4948">
        <f>+I152</f>
        <v>644.9369999999999</v>
      </c>
      <c r="J157" s="5144"/>
      <c r="K157" s="4957">
        <f>+G157+I157</f>
        <v>1196.3319999999999</v>
      </c>
      <c r="L157" s="5130"/>
      <c r="M157" s="4948">
        <f>+M152</f>
        <v>638.04100000000005</v>
      </c>
      <c r="N157" s="5145"/>
      <c r="O157" s="4964">
        <f>+G157+I157+M157</f>
        <v>1834.373</v>
      </c>
      <c r="P157" s="5130"/>
      <c r="Q157" s="4948">
        <f>+Q152</f>
        <v>699.32739999999978</v>
      </c>
      <c r="R157" s="5144"/>
      <c r="S157" s="4957">
        <f>+O157+Q157</f>
        <v>2533.7003999999997</v>
      </c>
      <c r="T157" s="5130"/>
      <c r="U157" s="4948">
        <f>+U152</f>
        <v>508.57100000000008</v>
      </c>
      <c r="V157" s="5144"/>
      <c r="W157" s="4957">
        <f>+S157+U157</f>
        <v>3042.2713999999996</v>
      </c>
      <c r="X157" s="5130"/>
      <c r="Y157" s="4948">
        <f>+Y152</f>
        <v>614.12900000000002</v>
      </c>
      <c r="Z157" s="5145"/>
      <c r="AA157" s="4964">
        <f>+Q157+U157+Y157</f>
        <v>1822.0273999999999</v>
      </c>
      <c r="AB157" s="5112"/>
      <c r="AC157" s="5113">
        <f>+AA157+O157</f>
        <v>3656.4004</v>
      </c>
      <c r="AD157" s="5130"/>
      <c r="AE157" s="4948">
        <f>+AE152</f>
        <v>478.80761632023331</v>
      </c>
      <c r="AF157" s="5144"/>
      <c r="AG157" s="4957">
        <f>+AC157+AE157</f>
        <v>4135.2080163202336</v>
      </c>
      <c r="AH157" s="5130"/>
      <c r="AI157" s="4948">
        <f>+AI152</f>
        <v>110.09399999999998</v>
      </c>
      <c r="AJ157" s="5144"/>
      <c r="AK157" s="4957">
        <f>+AG157+AI157</f>
        <v>4245.3020163202336</v>
      </c>
      <c r="AL157" s="5130"/>
      <c r="AM157" s="4948">
        <f>+AM152</f>
        <v>437.6684343936322</v>
      </c>
      <c r="AN157" s="5145"/>
      <c r="AO157" s="4964">
        <f>+AE157+AI157+AM157</f>
        <v>1026.5700507138654</v>
      </c>
      <c r="AP157" s="5144"/>
      <c r="AQ157" s="4957">
        <f t="shared" ref="AQ157" si="164">AK157+AM157</f>
        <v>4682.9704507138658</v>
      </c>
      <c r="AR157" s="5130"/>
      <c r="AS157" s="4948">
        <f>+AS152</f>
        <v>330.83300000000895</v>
      </c>
      <c r="AT157" s="5144"/>
      <c r="AU157" s="4957">
        <f>+AQ157+AS157</f>
        <v>5013.8034507138746</v>
      </c>
      <c r="AV157" s="5130"/>
      <c r="AW157" s="4948">
        <f>+AW152</f>
        <v>560.07699999999829</v>
      </c>
      <c r="AX157" s="5144"/>
      <c r="AY157" s="4957">
        <f>+AU157+AW157</f>
        <v>5573.880450713873</v>
      </c>
      <c r="AZ157" s="5130"/>
      <c r="BA157" s="4948">
        <f>+BA152</f>
        <v>663.44099999999992</v>
      </c>
      <c r="BB157" s="5145"/>
      <c r="BC157" s="4964">
        <f>+AS157+AW157+BA157</f>
        <v>1554.3510000000072</v>
      </c>
      <c r="BD157" s="5114"/>
      <c r="BE157" s="5115">
        <f>+BC157+AO157</f>
        <v>2580.9210507138723</v>
      </c>
      <c r="BF157" s="5144"/>
      <c r="BG157" s="4866">
        <f>+AY157+BA157</f>
        <v>6237.3214507138728</v>
      </c>
      <c r="BH157" s="26"/>
      <c r="BI157" s="26"/>
      <c r="BJ157" s="26"/>
      <c r="BK157" s="26"/>
      <c r="BL157" s="26"/>
      <c r="BM157" s="26"/>
      <c r="BN157" s="1219"/>
    </row>
    <row r="158" spans="2:66" ht="14.45" x14ac:dyDescent="0.3">
      <c r="B158" s="5151" t="s">
        <v>831</v>
      </c>
      <c r="C158" s="5130"/>
      <c r="D158" s="5130"/>
      <c r="E158" s="4862" t="s">
        <v>50</v>
      </c>
      <c r="F158" s="5138"/>
      <c r="G158" s="4948">
        <f>+G107</f>
        <v>50035.327000000005</v>
      </c>
      <c r="H158" s="5138"/>
      <c r="I158" s="4948">
        <f>+I107</f>
        <v>57592.384000000013</v>
      </c>
      <c r="J158" s="5139"/>
      <c r="K158" s="5131">
        <f>+K107</f>
        <v>107627.71099999998</v>
      </c>
      <c r="L158" s="5138"/>
      <c r="M158" s="4948">
        <f>+M107</f>
        <v>58809.43299999999</v>
      </c>
      <c r="N158" s="5140"/>
      <c r="O158" s="5132">
        <f>+O107</f>
        <v>166437.14399999997</v>
      </c>
      <c r="P158" s="5138"/>
      <c r="Q158" s="4948">
        <f>+Q107</f>
        <v>57582.287000000004</v>
      </c>
      <c r="R158" s="5139"/>
      <c r="S158" s="5131">
        <f>+S107</f>
        <v>224019.43099999992</v>
      </c>
      <c r="T158" s="5138"/>
      <c r="U158" s="4948">
        <f>+U107</f>
        <v>44755.652999999991</v>
      </c>
      <c r="V158" s="5139"/>
      <c r="W158" s="5131">
        <f>+W107</f>
        <v>268775.08400000003</v>
      </c>
      <c r="X158" s="5138"/>
      <c r="Y158" s="4948">
        <f>+Y107</f>
        <v>50235.30599999999</v>
      </c>
      <c r="Z158" s="5140"/>
      <c r="AA158" s="5132">
        <f>+AA107</f>
        <v>152573.24599999996</v>
      </c>
      <c r="AB158" s="5141"/>
      <c r="AC158" s="5133">
        <f>+AC107</f>
        <v>319010.38999999996</v>
      </c>
      <c r="AD158" s="5138"/>
      <c r="AE158" s="4948">
        <f>+AE107</f>
        <v>44979.451000000008</v>
      </c>
      <c r="AF158" s="5139"/>
      <c r="AG158" s="5131">
        <f>+AG107</f>
        <v>344768.49900000013</v>
      </c>
      <c r="AH158" s="5138"/>
      <c r="AI158" s="4948">
        <f>+AI107</f>
        <v>8584.9840000000004</v>
      </c>
      <c r="AJ158" s="5139"/>
      <c r="AK158" s="5131">
        <f>+AK107</f>
        <v>353353.48300000012</v>
      </c>
      <c r="AL158" s="5138"/>
      <c r="AM158" s="4948">
        <f>+AM107</f>
        <v>41652.068000000007</v>
      </c>
      <c r="AN158" s="5140"/>
      <c r="AO158" s="5132">
        <f>+AO107</f>
        <v>95216.502999999982</v>
      </c>
      <c r="AP158" s="5139"/>
      <c r="AQ158" s="5131">
        <f>+AQ107</f>
        <v>395005.55100000015</v>
      </c>
      <c r="AR158" s="5138"/>
      <c r="AS158" s="4948">
        <f>+AS107</f>
        <v>52038.748999999996</v>
      </c>
      <c r="AT158" s="5139"/>
      <c r="AU158" s="5131">
        <f>+AU107</f>
        <v>447044.29999999993</v>
      </c>
      <c r="AV158" s="5138"/>
      <c r="AW158" s="4948">
        <f>+AW107</f>
        <v>51200.030000000006</v>
      </c>
      <c r="AX158" s="5139"/>
      <c r="AY158" s="5131">
        <f>+AY107</f>
        <v>498244.33000000019</v>
      </c>
      <c r="AZ158" s="5138"/>
      <c r="BA158" s="4948">
        <f>+BA107</f>
        <v>62366.380000000005</v>
      </c>
      <c r="BB158" s="5140"/>
      <c r="BC158" s="5132">
        <f>+BC107</f>
        <v>165605.15899999999</v>
      </c>
      <c r="BD158" s="5142"/>
      <c r="BE158" s="5134">
        <f>+BE107</f>
        <v>260821.66199999998</v>
      </c>
      <c r="BF158" s="5139"/>
      <c r="BG158" s="5150">
        <f>+BG107</f>
        <v>560610.70999999973</v>
      </c>
      <c r="BH158" s="26"/>
      <c r="BI158" s="26"/>
      <c r="BJ158" s="26"/>
      <c r="BK158" s="26"/>
      <c r="BL158" s="26"/>
      <c r="BM158" s="26"/>
      <c r="BN158" s="1219"/>
    </row>
    <row r="159" spans="2:66" ht="14.45" x14ac:dyDescent="0.3">
      <c r="B159" s="5151" t="s">
        <v>829</v>
      </c>
      <c r="C159" s="5130"/>
      <c r="D159" s="5130"/>
      <c r="E159" s="4862" t="s">
        <v>50</v>
      </c>
      <c r="F159" s="5138"/>
      <c r="G159" s="4948">
        <f>+G109</f>
        <v>491.54999999999995</v>
      </c>
      <c r="H159" s="5138"/>
      <c r="I159" s="4948">
        <f>+I109</f>
        <v>373.24</v>
      </c>
      <c r="J159" s="5139"/>
      <c r="K159" s="5131">
        <f>+K109</f>
        <v>864.79</v>
      </c>
      <c r="L159" s="5138"/>
      <c r="M159" s="4948">
        <f>+M109</f>
        <v>134.80000000000001</v>
      </c>
      <c r="N159" s="5140"/>
      <c r="O159" s="5132">
        <f>+O109</f>
        <v>999.59000000000015</v>
      </c>
      <c r="P159" s="5138"/>
      <c r="Q159" s="4948">
        <f>+Q109</f>
        <v>254.89999999999998</v>
      </c>
      <c r="R159" s="5139"/>
      <c r="S159" s="5131">
        <f>+S109</f>
        <v>1254.49</v>
      </c>
      <c r="T159" s="5138"/>
      <c r="U159" s="4948">
        <f>+U109</f>
        <v>349.35999999999996</v>
      </c>
      <c r="V159" s="5139"/>
      <c r="W159" s="5131">
        <f>+W109</f>
        <v>1603.85</v>
      </c>
      <c r="X159" s="5138"/>
      <c r="Y159" s="4948">
        <f>+Y109</f>
        <v>224.92</v>
      </c>
      <c r="Z159" s="5140"/>
      <c r="AA159" s="5132">
        <f>+AA109</f>
        <v>829.18000000000006</v>
      </c>
      <c r="AB159" s="5141"/>
      <c r="AC159" s="5133">
        <f>+AC109</f>
        <v>1828.7699999999998</v>
      </c>
      <c r="AD159" s="5138"/>
      <c r="AE159" s="4948">
        <f>+AE109</f>
        <v>79.149999999999991</v>
      </c>
      <c r="AF159" s="5139"/>
      <c r="AG159" s="5131">
        <f>+AG109</f>
        <v>1834.5099999999998</v>
      </c>
      <c r="AH159" s="5138"/>
      <c r="AI159" s="4948">
        <f>+AI109</f>
        <v>0</v>
      </c>
      <c r="AJ159" s="5139"/>
      <c r="AK159" s="5131">
        <f>+AK109</f>
        <v>1834.5099999999998</v>
      </c>
      <c r="AL159" s="5138"/>
      <c r="AM159" s="4948">
        <f>+AM109</f>
        <v>1585.3</v>
      </c>
      <c r="AN159" s="5140"/>
      <c r="AO159" s="5132">
        <f>+AO109</f>
        <v>1664.4500000000003</v>
      </c>
      <c r="AP159" s="5139"/>
      <c r="AQ159" s="5131">
        <f>+AQ109</f>
        <v>3419.8100000000004</v>
      </c>
      <c r="AR159" s="5138"/>
      <c r="AS159" s="4948">
        <f>+AS109</f>
        <v>999.57</v>
      </c>
      <c r="AT159" s="5139"/>
      <c r="AU159" s="5131">
        <f>+AU109</f>
        <v>4419.38</v>
      </c>
      <c r="AV159" s="5138"/>
      <c r="AW159" s="4948">
        <f>+AW109</f>
        <v>190.55</v>
      </c>
      <c r="AX159" s="5139"/>
      <c r="AY159" s="5131">
        <f>+AY109</f>
        <v>4609.93</v>
      </c>
      <c r="AZ159" s="5138"/>
      <c r="BA159" s="4948">
        <f>+BA109</f>
        <v>294.49</v>
      </c>
      <c r="BB159" s="5140"/>
      <c r="BC159" s="5132">
        <f>+BC109</f>
        <v>1484.6100000000001</v>
      </c>
      <c r="BD159" s="5142"/>
      <c r="BE159" s="5134">
        <f>+BE109</f>
        <v>3149.0600000000004</v>
      </c>
      <c r="BF159" s="5139"/>
      <c r="BG159" s="5150">
        <f>+BG109</f>
        <v>4904.42</v>
      </c>
      <c r="BH159" s="26"/>
      <c r="BI159" s="26"/>
      <c r="BJ159" s="26"/>
      <c r="BK159" s="26"/>
      <c r="BL159" s="26"/>
      <c r="BM159" s="26"/>
      <c r="BN159" s="1219"/>
    </row>
    <row r="160" spans="2:66" ht="15.75" thickBot="1" x14ac:dyDescent="0.3">
      <c r="B160" s="5152" t="s">
        <v>1581</v>
      </c>
      <c r="C160" s="5153"/>
      <c r="D160" s="5153"/>
      <c r="E160" s="4877" t="s">
        <v>50</v>
      </c>
      <c r="F160" s="5154"/>
      <c r="G160" s="5155">
        <f>+G158-G159</f>
        <v>49543.777000000002</v>
      </c>
      <c r="H160" s="5154"/>
      <c r="I160" s="5155">
        <f>+I158-I159</f>
        <v>57219.144000000015</v>
      </c>
      <c r="J160" s="5156"/>
      <c r="K160" s="5157">
        <f>+K158-K159</f>
        <v>106762.92099999999</v>
      </c>
      <c r="L160" s="5154"/>
      <c r="M160" s="5155">
        <f>+M158-M159</f>
        <v>58674.632999999987</v>
      </c>
      <c r="N160" s="5158"/>
      <c r="O160" s="5159">
        <f>+O158-O159</f>
        <v>165437.55399999997</v>
      </c>
      <c r="P160" s="5154"/>
      <c r="Q160" s="5155">
        <f>+Q158-Q159</f>
        <v>57327.387000000002</v>
      </c>
      <c r="R160" s="5156"/>
      <c r="S160" s="5157">
        <f>+S158-S159</f>
        <v>222764.94099999993</v>
      </c>
      <c r="T160" s="5154"/>
      <c r="U160" s="5155">
        <f>+U158-U159</f>
        <v>44406.292999999991</v>
      </c>
      <c r="V160" s="5156"/>
      <c r="W160" s="5157">
        <f>+W158-W159</f>
        <v>267171.23400000005</v>
      </c>
      <c r="X160" s="5154"/>
      <c r="Y160" s="5155">
        <f>+Y158-Y159</f>
        <v>50010.385999999991</v>
      </c>
      <c r="Z160" s="5158"/>
      <c r="AA160" s="5159">
        <f>+AA158-AA159</f>
        <v>151744.06599999996</v>
      </c>
      <c r="AB160" s="5160"/>
      <c r="AC160" s="5161">
        <f>+AC158-AC159</f>
        <v>317181.61999999994</v>
      </c>
      <c r="AD160" s="5154"/>
      <c r="AE160" s="5155">
        <f>+AE158-AE159</f>
        <v>44900.301000000007</v>
      </c>
      <c r="AF160" s="5156"/>
      <c r="AG160" s="5157">
        <f>+AG158-AG159</f>
        <v>342933.98900000012</v>
      </c>
      <c r="AH160" s="5154"/>
      <c r="AI160" s="5155">
        <f>+AI158-AI159</f>
        <v>8584.9840000000004</v>
      </c>
      <c r="AJ160" s="5156"/>
      <c r="AK160" s="5157">
        <f>+AK158-AK159</f>
        <v>351518.97300000011</v>
      </c>
      <c r="AL160" s="5154"/>
      <c r="AM160" s="5155">
        <f>+AM158-AM159</f>
        <v>40066.768000000004</v>
      </c>
      <c r="AN160" s="5158"/>
      <c r="AO160" s="5159">
        <f>+AO158-AO159</f>
        <v>93552.052999999985</v>
      </c>
      <c r="AP160" s="5156"/>
      <c r="AQ160" s="5157">
        <f>+AQ158-AQ159</f>
        <v>391585.74100000015</v>
      </c>
      <c r="AR160" s="5154"/>
      <c r="AS160" s="5155">
        <f>+AS158-AS159</f>
        <v>51039.178999999996</v>
      </c>
      <c r="AT160" s="5156"/>
      <c r="AU160" s="5157">
        <f>+AU158-AU159</f>
        <v>442624.91999999993</v>
      </c>
      <c r="AV160" s="5154"/>
      <c r="AW160" s="5155">
        <f>+AW158-AW159</f>
        <v>51009.48</v>
      </c>
      <c r="AX160" s="5156"/>
      <c r="AY160" s="5157">
        <f>+AY158-AY159</f>
        <v>493634.4000000002</v>
      </c>
      <c r="AZ160" s="5154"/>
      <c r="BA160" s="5155">
        <f>+BA158-BA159</f>
        <v>62071.890000000007</v>
      </c>
      <c r="BB160" s="5158"/>
      <c r="BC160" s="5159">
        <f>+BC158-BC159</f>
        <v>164120.549</v>
      </c>
      <c r="BD160" s="5162"/>
      <c r="BE160" s="5163">
        <f>+BE158-BE159</f>
        <v>257672.60199999998</v>
      </c>
      <c r="BF160" s="5156"/>
      <c r="BG160" s="5164">
        <f>+BG158-BG159</f>
        <v>555706.28999999969</v>
      </c>
      <c r="BH160" s="26"/>
      <c r="BI160" s="26"/>
      <c r="BJ160" s="26"/>
      <c r="BK160" s="26"/>
      <c r="BL160" s="26"/>
    </row>
    <row r="161" spans="2:64" ht="15.75" thickBot="1" x14ac:dyDescent="0.3"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  <c r="AG161" s="154"/>
      <c r="AH161" s="154"/>
      <c r="AI161" s="154"/>
      <c r="AJ161" s="154"/>
      <c r="AK161" s="154"/>
      <c r="AL161" s="154"/>
      <c r="AM161" s="154"/>
      <c r="AN161" s="154"/>
      <c r="AO161" s="154"/>
      <c r="AP161" s="154"/>
      <c r="AQ161" s="154"/>
      <c r="AR161" s="154"/>
      <c r="AS161" s="154"/>
      <c r="AT161" s="154"/>
      <c r="AU161" s="154"/>
      <c r="AV161" s="154"/>
      <c r="AW161" s="154"/>
      <c r="AX161" s="154"/>
      <c r="AY161" s="154"/>
      <c r="AZ161" s="154"/>
      <c r="BA161" s="154"/>
      <c r="BB161" s="154"/>
      <c r="BC161" s="154"/>
      <c r="BD161" s="154"/>
      <c r="BE161" s="154"/>
      <c r="BF161" s="154"/>
      <c r="BG161" s="154"/>
      <c r="BH161" s="1219"/>
      <c r="BI161" s="26"/>
      <c r="BJ161" s="26"/>
      <c r="BK161" s="26"/>
      <c r="BL161" s="26"/>
    </row>
    <row r="162" spans="2:64" ht="15.75" thickBot="1" x14ac:dyDescent="0.3">
      <c r="B162" s="791" t="s">
        <v>1093</v>
      </c>
      <c r="C162" s="1082"/>
      <c r="D162" s="1082"/>
      <c r="E162" s="788" t="s">
        <v>50</v>
      </c>
      <c r="F162" s="5090"/>
      <c r="G162" s="1083">
        <f>+G154-G155-G156-G158-G157</f>
        <v>-3.2969182939268649E-12</v>
      </c>
      <c r="H162" s="5090"/>
      <c r="I162" s="1083">
        <f>+I154-I155-I156-I158-I157</f>
        <v>-9.0949470177292824E-12</v>
      </c>
      <c r="J162" s="5091"/>
      <c r="K162" s="1084">
        <f>+K154-K155-K156-K158-K157</f>
        <v>3.865352482534945E-11</v>
      </c>
      <c r="L162" s="5090"/>
      <c r="M162" s="1083">
        <f>+M154-M155-M156-M158-M157</f>
        <v>-1.716671249596402E-11</v>
      </c>
      <c r="N162" s="5092"/>
      <c r="O162" s="1085">
        <f>+O154-O155-O156-O158-O157</f>
        <v>2.1373125491663814E-11</v>
      </c>
      <c r="P162" s="5090"/>
      <c r="Q162" s="1083">
        <f>+Q154-Q155-Q156-Q158-Q157</f>
        <v>9.4360075308941305E-12</v>
      </c>
      <c r="R162" s="5091"/>
      <c r="S162" s="1084">
        <f>+S154-S155-S156-S158-S157</f>
        <v>6.0026650317013264E-11</v>
      </c>
      <c r="T162" s="5090"/>
      <c r="U162" s="1083">
        <f>+U154-U155-U156-U158-U157</f>
        <v>1.8019363778876141E-11</v>
      </c>
      <c r="V162" s="5091"/>
      <c r="W162" s="1084">
        <f>+W154-W155-W156-W158-W157</f>
        <v>-3.092281986027956E-11</v>
      </c>
      <c r="X162" s="5090"/>
      <c r="Y162" s="1083">
        <f>+Y154-Y155-Y156-Y158-Y157</f>
        <v>2.262368070660159E-11</v>
      </c>
      <c r="Z162" s="5092"/>
      <c r="AA162" s="1085">
        <f>+AA154-AA155-AA156-AA158-AA157</f>
        <v>5.0022208597511053E-11</v>
      </c>
      <c r="AB162" s="5135"/>
      <c r="AC162" s="1088">
        <f>+AC154-AC155-AC156-AC158-AC157</f>
        <v>1.0049916454590857E-10</v>
      </c>
      <c r="AD162" s="5090"/>
      <c r="AE162" s="1083">
        <f>+AE154-AE155-AE156-AE158-AE157</f>
        <v>-9.9232640479556267E-2</v>
      </c>
      <c r="AF162" s="5091"/>
      <c r="AG162" s="1084">
        <f>+AG154-AG155-AG156-AG158-AG157</f>
        <v>19221.242767359377</v>
      </c>
      <c r="AH162" s="5090"/>
      <c r="AI162" s="1083">
        <f>+AI154-AI155-AI156-AI158-AI157</f>
        <v>9.8054897534893826E-13</v>
      </c>
      <c r="AJ162" s="5091"/>
      <c r="AK162" s="1084">
        <f>+AK154-AK155-AK156-AK158-AK157</f>
        <v>19221.242767359417</v>
      </c>
      <c r="AL162" s="5090"/>
      <c r="AM162" s="1083">
        <f>+AM154-AM155-AM156-AM158-AM157</f>
        <v>-0.26086878727437579</v>
      </c>
      <c r="AN162" s="5092"/>
      <c r="AO162" s="1085">
        <f>+AO154-AO155-AO156-AO158-AO157</f>
        <v>-0.36010142772011022</v>
      </c>
      <c r="AP162" s="5091"/>
      <c r="AQ162" s="1084">
        <f>+AQ154-AQ155-AQ156-AQ158-AQ157</f>
        <v>19220.981898572136</v>
      </c>
      <c r="AR162" s="5090"/>
      <c r="AS162" s="1083">
        <f>+AS154-AS155-AS156-AS158-AS157</f>
        <v>-1.0000000004993126E-2</v>
      </c>
      <c r="AT162" s="5091"/>
      <c r="AU162" s="1084">
        <f>+AU154-AU155-AU156-AU158-AU157</f>
        <v>19220.971898572338</v>
      </c>
      <c r="AV162" s="5090"/>
      <c r="AW162" s="1083">
        <f>+AW154-AW155-AW156-AW158-AW157</f>
        <v>-0.19999999999788542</v>
      </c>
      <c r="AX162" s="5091"/>
      <c r="AY162" s="1084">
        <f>+AY154-AY155-AY156-AY158-AY157</f>
        <v>19220.77189857214</v>
      </c>
      <c r="AZ162" s="5090"/>
      <c r="BA162" s="1083">
        <f>+BA154-BA155-BA156-BA158-BA157</f>
        <v>6.2527760746888816E-12</v>
      </c>
      <c r="BB162" s="5092"/>
      <c r="BC162" s="1085">
        <f>+BC154-BC155-BC156-BC158-BC157</f>
        <v>-0.2099999999747979</v>
      </c>
      <c r="BD162" s="5136"/>
      <c r="BE162" s="5137">
        <f>+BE154-BE155-BE156-BE158-BE157</f>
        <v>-0.57010142770923267</v>
      </c>
      <c r="BF162" s="5091"/>
      <c r="BG162" s="1089">
        <f>+BG154-BG155-BG156-BG158-BG157</f>
        <v>19220.771898572599</v>
      </c>
      <c r="BH162" s="1219"/>
      <c r="BI162" s="26"/>
      <c r="BJ162" s="26"/>
      <c r="BK162" s="26"/>
      <c r="BL162" s="26"/>
    </row>
    <row r="163" spans="2:64" x14ac:dyDescent="0.25">
      <c r="BH163" s="1219"/>
      <c r="BI163" s="26"/>
      <c r="BJ163" s="26"/>
      <c r="BK163" s="26"/>
      <c r="BL163" s="26"/>
    </row>
    <row r="164" spans="2:64" x14ac:dyDescent="0.25">
      <c r="BH164" s="1219"/>
      <c r="BI164" s="26"/>
      <c r="BJ164" s="26"/>
      <c r="BK164" s="26"/>
      <c r="BL164" s="26"/>
    </row>
    <row r="171" spans="2:64" ht="14.45" hidden="1" x14ac:dyDescent="0.3">
      <c r="B171" t="s">
        <v>1181</v>
      </c>
      <c r="G171" s="26">
        <f t="shared" ref="G171:BH171" si="165">+SUM(G8:G57)</f>
        <v>36340.903000000006</v>
      </c>
      <c r="H171" s="26">
        <f t="shared" si="165"/>
        <v>0</v>
      </c>
      <c r="I171" s="26">
        <f t="shared" si="165"/>
        <v>44993.633999999998</v>
      </c>
      <c r="J171" s="26">
        <f t="shared" si="165"/>
        <v>0</v>
      </c>
      <c r="K171" s="26">
        <f t="shared" si="165"/>
        <v>81334.536999999997</v>
      </c>
      <c r="L171" s="26">
        <f t="shared" si="165"/>
        <v>0</v>
      </c>
      <c r="M171" s="26">
        <f t="shared" si="165"/>
        <v>41676.830999999998</v>
      </c>
      <c r="N171" s="26">
        <f t="shared" si="165"/>
        <v>0</v>
      </c>
      <c r="O171" s="26">
        <f t="shared" si="165"/>
        <v>123011.36799999999</v>
      </c>
      <c r="P171" s="26">
        <f t="shared" si="165"/>
        <v>0</v>
      </c>
      <c r="Q171" s="26">
        <f t="shared" si="165"/>
        <v>39505.72800000001</v>
      </c>
      <c r="R171" s="26">
        <f t="shared" si="165"/>
        <v>0</v>
      </c>
      <c r="S171" s="26">
        <f t="shared" si="165"/>
        <v>162517.09599999999</v>
      </c>
      <c r="T171" s="26">
        <f t="shared" si="165"/>
        <v>0</v>
      </c>
      <c r="U171" s="26">
        <f t="shared" si="165"/>
        <v>30061.677999999996</v>
      </c>
      <c r="V171" s="26">
        <f t="shared" si="165"/>
        <v>0</v>
      </c>
      <c r="W171" s="26">
        <f t="shared" si="165"/>
        <v>192578.774</v>
      </c>
      <c r="X171" s="26">
        <f t="shared" si="165"/>
        <v>0</v>
      </c>
      <c r="Y171" s="26">
        <f t="shared" ref="Y171" si="166">+SUM(Y8:Y57)</f>
        <v>32261.593999999997</v>
      </c>
      <c r="Z171" s="26">
        <f t="shared" si="165"/>
        <v>0</v>
      </c>
      <c r="AA171" s="26">
        <f t="shared" si="165"/>
        <v>101829</v>
      </c>
      <c r="AB171" s="26">
        <f t="shared" si="165"/>
        <v>0</v>
      </c>
      <c r="AC171" s="26">
        <f t="shared" si="165"/>
        <v>224840.36799999999</v>
      </c>
      <c r="AD171" s="26">
        <f t="shared" si="165"/>
        <v>0</v>
      </c>
      <c r="AE171" s="26">
        <f t="shared" si="165"/>
        <v>34793.764999999999</v>
      </c>
      <c r="AF171" s="26">
        <f t="shared" si="165"/>
        <v>0</v>
      </c>
      <c r="AG171" s="26">
        <f t="shared" si="165"/>
        <v>256372.16000000006</v>
      </c>
      <c r="AH171" s="26">
        <f t="shared" si="165"/>
        <v>0</v>
      </c>
      <c r="AI171" s="26">
        <f t="shared" si="165"/>
        <v>2029.9330000000009</v>
      </c>
      <c r="AJ171" s="26">
        <f t="shared" si="165"/>
        <v>0</v>
      </c>
      <c r="AK171" s="26">
        <f t="shared" si="165"/>
        <v>258402.09300000002</v>
      </c>
      <c r="AL171" s="26">
        <f t="shared" si="165"/>
        <v>0</v>
      </c>
      <c r="AM171" s="26">
        <f t="shared" si="165"/>
        <v>29630.324000000004</v>
      </c>
      <c r="AN171" s="26">
        <f t="shared" si="165"/>
        <v>0</v>
      </c>
      <c r="AO171" s="26">
        <f t="shared" si="165"/>
        <v>66454.022000000012</v>
      </c>
      <c r="AP171" s="26">
        <f t="shared" si="165"/>
        <v>0</v>
      </c>
      <c r="AQ171" s="26">
        <f t="shared" si="165"/>
        <v>288032.41699999996</v>
      </c>
      <c r="AR171" s="26">
        <f t="shared" si="165"/>
        <v>0</v>
      </c>
      <c r="AS171" s="26">
        <f t="shared" si="165"/>
        <v>38310.493000000002</v>
      </c>
      <c r="AT171" s="26">
        <f t="shared" si="165"/>
        <v>0</v>
      </c>
      <c r="AU171" s="26">
        <f t="shared" si="165"/>
        <v>326342.90999999992</v>
      </c>
      <c r="AV171" s="26">
        <f t="shared" si="165"/>
        <v>0</v>
      </c>
      <c r="AW171" s="26">
        <f t="shared" si="165"/>
        <v>36772.828000000009</v>
      </c>
      <c r="AX171" s="26">
        <f t="shared" si="165"/>
        <v>0</v>
      </c>
      <c r="AY171" s="26">
        <f t="shared" si="165"/>
        <v>363115.73800000007</v>
      </c>
      <c r="AZ171" s="26">
        <f t="shared" si="165"/>
        <v>0</v>
      </c>
      <c r="BA171" s="26">
        <f t="shared" si="165"/>
        <v>48620.817000000003</v>
      </c>
      <c r="BB171" s="26">
        <f t="shared" si="165"/>
        <v>0</v>
      </c>
      <c r="BC171" s="26">
        <f t="shared" si="165"/>
        <v>123704.13799999999</v>
      </c>
      <c r="BD171" s="26">
        <f t="shared" si="165"/>
        <v>0</v>
      </c>
      <c r="BE171" s="26">
        <f t="shared" si="165"/>
        <v>190158.15999999997</v>
      </c>
      <c r="BF171" s="26">
        <f t="shared" si="165"/>
        <v>0</v>
      </c>
      <c r="BG171" s="26">
        <f t="shared" si="165"/>
        <v>411736.55499999988</v>
      </c>
      <c r="BH171" s="26">
        <f t="shared" si="165"/>
        <v>0</v>
      </c>
      <c r="BI171" s="26"/>
      <c r="BJ171" s="26"/>
    </row>
    <row r="172" spans="2:64" ht="14.45" hidden="1" x14ac:dyDescent="0.3">
      <c r="B172" t="s">
        <v>1182</v>
      </c>
      <c r="G172" s="26">
        <f t="shared" ref="G172:X172" si="167">+SUM(G58:G71)</f>
        <v>8108.2379999999994</v>
      </c>
      <c r="H172" s="26">
        <f t="shared" si="167"/>
        <v>0</v>
      </c>
      <c r="I172" s="26">
        <f t="shared" si="167"/>
        <v>5159.0289999999995</v>
      </c>
      <c r="J172" s="26">
        <f t="shared" si="167"/>
        <v>0</v>
      </c>
      <c r="K172" s="26">
        <f t="shared" si="167"/>
        <v>13267.267</v>
      </c>
      <c r="L172" s="26">
        <f t="shared" si="167"/>
        <v>0</v>
      </c>
      <c r="M172" s="26">
        <f t="shared" si="167"/>
        <v>5963.7650000000003</v>
      </c>
      <c r="N172" s="26">
        <f t="shared" si="167"/>
        <v>0</v>
      </c>
      <c r="O172" s="26">
        <f t="shared" si="167"/>
        <v>19231.031999999999</v>
      </c>
      <c r="P172" s="26">
        <f t="shared" si="167"/>
        <v>0</v>
      </c>
      <c r="Q172" s="26">
        <f t="shared" si="167"/>
        <v>6848.3829999999998</v>
      </c>
      <c r="R172" s="26">
        <f t="shared" si="167"/>
        <v>0</v>
      </c>
      <c r="S172" s="26">
        <f t="shared" si="167"/>
        <v>26079.414999999997</v>
      </c>
      <c r="T172" s="26">
        <f t="shared" si="167"/>
        <v>0</v>
      </c>
      <c r="U172" s="26">
        <f t="shared" si="167"/>
        <v>1438.2529999999997</v>
      </c>
      <c r="V172" s="26">
        <f t="shared" si="167"/>
        <v>0</v>
      </c>
      <c r="W172" s="26">
        <f t="shared" si="167"/>
        <v>27517.668000000001</v>
      </c>
      <c r="X172" s="26">
        <f t="shared" si="167"/>
        <v>0</v>
      </c>
      <c r="Y172" s="26">
        <f t="shared" ref="Y172" si="168">+SUM(Y58:Y71)</f>
        <v>5720.8829999999998</v>
      </c>
      <c r="Z172" s="26">
        <f t="shared" ref="Z172:BH172" si="169">+SUM(Z58:Z71)</f>
        <v>0</v>
      </c>
      <c r="AA172" s="26">
        <f t="shared" si="169"/>
        <v>14007.519</v>
      </c>
      <c r="AB172" s="26">
        <f t="shared" si="169"/>
        <v>0</v>
      </c>
      <c r="AC172" s="26">
        <f t="shared" si="169"/>
        <v>33238.550999999999</v>
      </c>
      <c r="AD172" s="26">
        <f t="shared" si="169"/>
        <v>0</v>
      </c>
      <c r="AE172" s="26">
        <f t="shared" si="169"/>
        <v>2513.3280000000004</v>
      </c>
      <c r="AF172" s="26">
        <f t="shared" si="169"/>
        <v>0</v>
      </c>
      <c r="AG172" s="26">
        <f t="shared" si="169"/>
        <v>31510.319</v>
      </c>
      <c r="AH172" s="26">
        <f t="shared" si="169"/>
        <v>0</v>
      </c>
      <c r="AI172" s="26">
        <f t="shared" si="169"/>
        <v>0</v>
      </c>
      <c r="AJ172" s="26">
        <f t="shared" si="169"/>
        <v>0</v>
      </c>
      <c r="AK172" s="26">
        <f t="shared" si="169"/>
        <v>31510.319</v>
      </c>
      <c r="AL172" s="26">
        <f t="shared" si="169"/>
        <v>0</v>
      </c>
      <c r="AM172" s="26">
        <f t="shared" si="169"/>
        <v>4923.0200000000004</v>
      </c>
      <c r="AN172" s="26">
        <f t="shared" si="169"/>
        <v>0</v>
      </c>
      <c r="AO172" s="26">
        <f t="shared" si="169"/>
        <v>7436.348</v>
      </c>
      <c r="AP172" s="26">
        <f t="shared" si="169"/>
        <v>0</v>
      </c>
      <c r="AQ172" s="26">
        <f t="shared" si="169"/>
        <v>36433.339000000007</v>
      </c>
      <c r="AR172" s="26">
        <f t="shared" si="169"/>
        <v>0</v>
      </c>
      <c r="AS172" s="26">
        <f t="shared" si="169"/>
        <v>5654.5990000000002</v>
      </c>
      <c r="AT172" s="26">
        <f t="shared" si="169"/>
        <v>0</v>
      </c>
      <c r="AU172" s="26">
        <f t="shared" si="169"/>
        <v>42087.938000000002</v>
      </c>
      <c r="AV172" s="26">
        <f t="shared" si="169"/>
        <v>0</v>
      </c>
      <c r="AW172" s="26">
        <f t="shared" si="169"/>
        <v>7646.8819999999996</v>
      </c>
      <c r="AX172" s="26">
        <f t="shared" si="169"/>
        <v>0</v>
      </c>
      <c r="AY172" s="26">
        <f t="shared" si="169"/>
        <v>49734.820000000007</v>
      </c>
      <c r="AZ172" s="26">
        <f t="shared" si="169"/>
        <v>0</v>
      </c>
      <c r="BA172" s="26">
        <f t="shared" si="169"/>
        <v>7746.7179999999989</v>
      </c>
      <c r="BB172" s="26">
        <f t="shared" si="169"/>
        <v>0</v>
      </c>
      <c r="BC172" s="26">
        <f t="shared" si="169"/>
        <v>21048.199000000001</v>
      </c>
      <c r="BD172" s="26">
        <f t="shared" si="169"/>
        <v>0</v>
      </c>
      <c r="BE172" s="26">
        <f t="shared" si="169"/>
        <v>28484.547000000002</v>
      </c>
      <c r="BF172" s="26">
        <f t="shared" si="169"/>
        <v>0</v>
      </c>
      <c r="BG172" s="26">
        <f t="shared" si="169"/>
        <v>57481.538</v>
      </c>
      <c r="BH172" s="26">
        <f t="shared" si="169"/>
        <v>0</v>
      </c>
      <c r="BI172" s="26"/>
      <c r="BJ172" s="26"/>
    </row>
    <row r="173" spans="2:64" ht="14.45" hidden="1" x14ac:dyDescent="0.3">
      <c r="B173" t="s">
        <v>939</v>
      </c>
      <c r="G173" s="26">
        <f t="shared" ref="G173:X173" si="170">+SUM(G82:G91)</f>
        <v>5094.6359999999995</v>
      </c>
      <c r="H173" s="26">
        <f t="shared" si="170"/>
        <v>0</v>
      </c>
      <c r="I173" s="26">
        <f t="shared" si="170"/>
        <v>7066.4809999999998</v>
      </c>
      <c r="J173" s="26">
        <f t="shared" si="170"/>
        <v>0</v>
      </c>
      <c r="K173" s="26">
        <f t="shared" si="170"/>
        <v>12161.116999999998</v>
      </c>
      <c r="L173" s="26">
        <f t="shared" si="170"/>
        <v>0</v>
      </c>
      <c r="M173" s="26">
        <f t="shared" si="170"/>
        <v>6391.5139999999974</v>
      </c>
      <c r="N173" s="26">
        <f t="shared" si="170"/>
        <v>0</v>
      </c>
      <c r="O173" s="26">
        <f t="shared" si="170"/>
        <v>18552.630999999998</v>
      </c>
      <c r="P173" s="26">
        <f t="shared" si="170"/>
        <v>0</v>
      </c>
      <c r="Q173" s="26">
        <f t="shared" si="170"/>
        <v>8126.5689999999968</v>
      </c>
      <c r="R173" s="26">
        <f t="shared" si="170"/>
        <v>0</v>
      </c>
      <c r="S173" s="26">
        <f t="shared" si="170"/>
        <v>26679.199999999993</v>
      </c>
      <c r="T173" s="26">
        <f t="shared" si="170"/>
        <v>0</v>
      </c>
      <c r="U173" s="26">
        <f t="shared" si="170"/>
        <v>9825.4939999999988</v>
      </c>
      <c r="V173" s="26">
        <f t="shared" si="170"/>
        <v>0</v>
      </c>
      <c r="W173" s="26">
        <f t="shared" si="170"/>
        <v>36504.693999999989</v>
      </c>
      <c r="X173" s="26">
        <f t="shared" si="170"/>
        <v>0</v>
      </c>
      <c r="Y173" s="26">
        <f t="shared" ref="Y173" si="171">+SUM(Y82:Y91)</f>
        <v>9271.39</v>
      </c>
      <c r="Z173" s="26">
        <f t="shared" ref="Z173:BH173" si="172">+SUM(Z82:Z91)</f>
        <v>0</v>
      </c>
      <c r="AA173" s="26">
        <f t="shared" si="172"/>
        <v>27223.452999999994</v>
      </c>
      <c r="AB173" s="26">
        <f t="shared" si="172"/>
        <v>0</v>
      </c>
      <c r="AC173" s="26">
        <f t="shared" si="172"/>
        <v>45776.083999999995</v>
      </c>
      <c r="AD173" s="26">
        <f t="shared" si="172"/>
        <v>0</v>
      </c>
      <c r="AE173" s="26">
        <f t="shared" si="172"/>
        <v>6063.3640000000005</v>
      </c>
      <c r="AF173" s="26">
        <f t="shared" si="172"/>
        <v>0</v>
      </c>
      <c r="AG173" s="26">
        <f t="shared" si="172"/>
        <v>51060.607999999993</v>
      </c>
      <c r="AH173" s="26">
        <f t="shared" si="172"/>
        <v>0</v>
      </c>
      <c r="AI173" s="26">
        <f t="shared" si="172"/>
        <v>6555.0509999999995</v>
      </c>
      <c r="AJ173" s="26">
        <f t="shared" si="172"/>
        <v>0</v>
      </c>
      <c r="AK173" s="26">
        <f t="shared" si="172"/>
        <v>57615.658999999992</v>
      </c>
      <c r="AL173" s="26">
        <f t="shared" si="172"/>
        <v>0</v>
      </c>
      <c r="AM173" s="26">
        <f t="shared" si="172"/>
        <v>5513.4240000000009</v>
      </c>
      <c r="AN173" s="26">
        <f t="shared" si="172"/>
        <v>0</v>
      </c>
      <c r="AO173" s="26">
        <f t="shared" si="172"/>
        <v>18131.839</v>
      </c>
      <c r="AP173" s="26">
        <f t="shared" si="172"/>
        <v>0</v>
      </c>
      <c r="AQ173" s="26">
        <f t="shared" si="172"/>
        <v>63129.082999999991</v>
      </c>
      <c r="AR173" s="26">
        <f t="shared" si="172"/>
        <v>0</v>
      </c>
      <c r="AS173" s="26">
        <f t="shared" si="172"/>
        <v>7074.0869999999995</v>
      </c>
      <c r="AT173" s="26">
        <f t="shared" si="172"/>
        <v>0</v>
      </c>
      <c r="AU173" s="26">
        <f t="shared" si="172"/>
        <v>70203.169999999984</v>
      </c>
      <c r="AV173" s="26">
        <f t="shared" si="172"/>
        <v>0</v>
      </c>
      <c r="AW173" s="26">
        <f t="shared" si="172"/>
        <v>6589.77</v>
      </c>
      <c r="AX173" s="26">
        <f t="shared" si="172"/>
        <v>0</v>
      </c>
      <c r="AY173" s="26">
        <f t="shared" si="172"/>
        <v>76792.939999999988</v>
      </c>
      <c r="AZ173" s="26">
        <f t="shared" si="172"/>
        <v>0</v>
      </c>
      <c r="BA173" s="26">
        <f t="shared" si="172"/>
        <v>5704.3549999999996</v>
      </c>
      <c r="BB173" s="26">
        <f t="shared" si="172"/>
        <v>0</v>
      </c>
      <c r="BC173" s="26">
        <f t="shared" si="172"/>
        <v>19368.212</v>
      </c>
      <c r="BD173" s="26">
        <f t="shared" si="172"/>
        <v>0</v>
      </c>
      <c r="BE173" s="26">
        <f t="shared" si="172"/>
        <v>37500.050999999999</v>
      </c>
      <c r="BF173" s="26">
        <f t="shared" si="172"/>
        <v>0</v>
      </c>
      <c r="BG173" s="26">
        <f t="shared" si="172"/>
        <v>82497.294999999984</v>
      </c>
      <c r="BH173" s="26">
        <f t="shared" si="172"/>
        <v>0</v>
      </c>
      <c r="BI173" s="26"/>
      <c r="BJ173" s="26"/>
    </row>
    <row r="174" spans="2:64" ht="14.45" hidden="1" x14ac:dyDescent="0.3">
      <c r="B174" t="s">
        <v>687</v>
      </c>
      <c r="G174" s="26">
        <f t="shared" ref="G174:X174" si="173">+SUM(G80:G81)</f>
        <v>0</v>
      </c>
      <c r="H174" s="26">
        <f t="shared" si="173"/>
        <v>0</v>
      </c>
      <c r="I174" s="26">
        <f t="shared" si="173"/>
        <v>0</v>
      </c>
      <c r="J174" s="26">
        <f t="shared" si="173"/>
        <v>0</v>
      </c>
      <c r="K174" s="26">
        <f t="shared" si="173"/>
        <v>0</v>
      </c>
      <c r="L174" s="26">
        <f t="shared" si="173"/>
        <v>0</v>
      </c>
      <c r="M174" s="26">
        <f t="shared" si="173"/>
        <v>1992.848</v>
      </c>
      <c r="N174" s="26">
        <f t="shared" si="173"/>
        <v>0</v>
      </c>
      <c r="O174" s="26">
        <f t="shared" si="173"/>
        <v>1992.848</v>
      </c>
      <c r="P174" s="26">
        <f t="shared" si="173"/>
        <v>0</v>
      </c>
      <c r="Q174" s="26">
        <f t="shared" si="173"/>
        <v>0</v>
      </c>
      <c r="R174" s="26">
        <f t="shared" si="173"/>
        <v>0</v>
      </c>
      <c r="S174" s="26">
        <f t="shared" si="173"/>
        <v>1992.848</v>
      </c>
      <c r="T174" s="26">
        <f t="shared" si="173"/>
        <v>0</v>
      </c>
      <c r="U174" s="26">
        <f t="shared" si="173"/>
        <v>468.21000000000004</v>
      </c>
      <c r="V174" s="26">
        <f t="shared" si="173"/>
        <v>0</v>
      </c>
      <c r="W174" s="26">
        <f t="shared" si="173"/>
        <v>2461.058</v>
      </c>
      <c r="X174" s="26">
        <f t="shared" si="173"/>
        <v>0</v>
      </c>
      <c r="Y174" s="26">
        <f t="shared" ref="Y174" si="174">+SUM(Y80:Y81)</f>
        <v>0</v>
      </c>
      <c r="Z174" s="26">
        <f t="shared" ref="Z174:BH174" si="175">+SUM(Z80:Z81)</f>
        <v>0</v>
      </c>
      <c r="AA174" s="26">
        <f t="shared" si="175"/>
        <v>468.21000000000004</v>
      </c>
      <c r="AB174" s="26">
        <f t="shared" si="175"/>
        <v>0</v>
      </c>
      <c r="AC174" s="26">
        <f t="shared" si="175"/>
        <v>2461.058</v>
      </c>
      <c r="AD174" s="26">
        <f t="shared" si="175"/>
        <v>0</v>
      </c>
      <c r="AE174" s="26">
        <f t="shared" si="175"/>
        <v>1529.8440000000001</v>
      </c>
      <c r="AF174" s="26">
        <f t="shared" si="175"/>
        <v>0</v>
      </c>
      <c r="AG174" s="26">
        <f t="shared" si="175"/>
        <v>3990.902</v>
      </c>
      <c r="AH174" s="26">
        <f t="shared" si="175"/>
        <v>0</v>
      </c>
      <c r="AI174" s="26">
        <f t="shared" si="175"/>
        <v>0</v>
      </c>
      <c r="AJ174" s="26">
        <f t="shared" si="175"/>
        <v>0</v>
      </c>
      <c r="AK174" s="26">
        <f t="shared" si="175"/>
        <v>3990.902</v>
      </c>
      <c r="AL174" s="26">
        <f t="shared" si="175"/>
        <v>0</v>
      </c>
      <c r="AM174" s="26">
        <f t="shared" si="175"/>
        <v>0</v>
      </c>
      <c r="AN174" s="26">
        <f t="shared" si="175"/>
        <v>0</v>
      </c>
      <c r="AO174" s="26">
        <f t="shared" si="175"/>
        <v>1529.8440000000001</v>
      </c>
      <c r="AP174" s="26">
        <f t="shared" si="175"/>
        <v>0</v>
      </c>
      <c r="AQ174" s="26">
        <f t="shared" si="175"/>
        <v>3990.902</v>
      </c>
      <c r="AR174" s="26">
        <f t="shared" si="175"/>
        <v>0</v>
      </c>
      <c r="AS174" s="26">
        <f t="shared" si="175"/>
        <v>0</v>
      </c>
      <c r="AT174" s="26">
        <f t="shared" si="175"/>
        <v>0</v>
      </c>
      <c r="AU174" s="26">
        <f t="shared" si="175"/>
        <v>3990.902</v>
      </c>
      <c r="AV174" s="26">
        <f t="shared" si="175"/>
        <v>0</v>
      </c>
      <c r="AW174" s="26">
        <f t="shared" si="175"/>
        <v>0</v>
      </c>
      <c r="AX174" s="26">
        <f t="shared" si="175"/>
        <v>0</v>
      </c>
      <c r="AY174" s="26">
        <f t="shared" si="175"/>
        <v>3990.902</v>
      </c>
      <c r="AZ174" s="26">
        <f t="shared" si="175"/>
        <v>0</v>
      </c>
      <c r="BA174" s="26">
        <f t="shared" si="175"/>
        <v>0</v>
      </c>
      <c r="BB174" s="26">
        <f t="shared" si="175"/>
        <v>0</v>
      </c>
      <c r="BC174" s="26">
        <f t="shared" si="175"/>
        <v>0</v>
      </c>
      <c r="BD174" s="26">
        <f t="shared" si="175"/>
        <v>0</v>
      </c>
      <c r="BE174" s="26">
        <f t="shared" si="175"/>
        <v>1529.8440000000001</v>
      </c>
      <c r="BF174" s="26">
        <f t="shared" si="175"/>
        <v>0</v>
      </c>
      <c r="BG174" s="26">
        <f t="shared" si="175"/>
        <v>3990.902</v>
      </c>
      <c r="BH174" s="26">
        <f t="shared" si="175"/>
        <v>0</v>
      </c>
      <c r="BI174" s="26"/>
      <c r="BJ174" s="26"/>
    </row>
    <row r="175" spans="2:64" ht="14.45" hidden="1" x14ac:dyDescent="0.3">
      <c r="B175" t="s">
        <v>2300</v>
      </c>
      <c r="G175" s="26">
        <f t="shared" ref="G175:X175" si="176">+SUM(G76+G77+G78+G79)</f>
        <v>0</v>
      </c>
      <c r="H175" s="26">
        <f t="shared" si="176"/>
        <v>0</v>
      </c>
      <c r="I175" s="26">
        <f t="shared" si="176"/>
        <v>0</v>
      </c>
      <c r="J175" s="26">
        <f t="shared" si="176"/>
        <v>0</v>
      </c>
      <c r="K175" s="26">
        <f t="shared" si="176"/>
        <v>0</v>
      </c>
      <c r="L175" s="26">
        <f t="shared" si="176"/>
        <v>0</v>
      </c>
      <c r="M175" s="26">
        <f t="shared" si="176"/>
        <v>0</v>
      </c>
      <c r="N175" s="26">
        <f t="shared" si="176"/>
        <v>0</v>
      </c>
      <c r="O175" s="26">
        <f t="shared" si="176"/>
        <v>0</v>
      </c>
      <c r="P175" s="26">
        <f t="shared" si="176"/>
        <v>0</v>
      </c>
      <c r="Q175" s="26">
        <f t="shared" si="176"/>
        <v>15.712999999999999</v>
      </c>
      <c r="R175" s="26">
        <f t="shared" si="176"/>
        <v>0</v>
      </c>
      <c r="S175" s="26">
        <f t="shared" si="176"/>
        <v>15.712999999999999</v>
      </c>
      <c r="T175" s="26">
        <f t="shared" si="176"/>
        <v>0</v>
      </c>
      <c r="U175" s="26">
        <f t="shared" si="176"/>
        <v>0</v>
      </c>
      <c r="V175" s="26">
        <f t="shared" si="176"/>
        <v>0</v>
      </c>
      <c r="W175" s="26">
        <f t="shared" si="176"/>
        <v>15.712999999999999</v>
      </c>
      <c r="X175" s="26">
        <f t="shared" si="176"/>
        <v>0</v>
      </c>
      <c r="Y175" s="26">
        <f>+SUM(Y76+Y77+Y78+Y79)</f>
        <v>1212.7170000000001</v>
      </c>
      <c r="Z175" s="26">
        <f t="shared" ref="Z175:BH175" si="177">+SUM(Z76+Z77+Z78+Z79)</f>
        <v>0</v>
      </c>
      <c r="AA175" s="26">
        <f t="shared" si="177"/>
        <v>1228.4299999999998</v>
      </c>
      <c r="AB175" s="26">
        <f t="shared" si="177"/>
        <v>0</v>
      </c>
      <c r="AC175" s="26">
        <f t="shared" si="177"/>
        <v>1228.4299999999998</v>
      </c>
      <c r="AD175" s="26">
        <f t="shared" si="177"/>
        <v>0</v>
      </c>
      <c r="AE175" s="26">
        <f t="shared" si="177"/>
        <v>0</v>
      </c>
      <c r="AF175" s="26">
        <f t="shared" si="177"/>
        <v>0</v>
      </c>
      <c r="AG175" s="26">
        <f t="shared" si="177"/>
        <v>0</v>
      </c>
      <c r="AH175" s="26">
        <f t="shared" si="177"/>
        <v>0</v>
      </c>
      <c r="AI175" s="26">
        <f t="shared" si="177"/>
        <v>0</v>
      </c>
      <c r="AJ175" s="26">
        <f t="shared" si="177"/>
        <v>0</v>
      </c>
      <c r="AK175" s="26">
        <f t="shared" si="177"/>
        <v>0</v>
      </c>
      <c r="AL175" s="26">
        <f t="shared" si="177"/>
        <v>0</v>
      </c>
      <c r="AM175" s="26">
        <f t="shared" si="177"/>
        <v>0</v>
      </c>
      <c r="AN175" s="26">
        <f t="shared" si="177"/>
        <v>0</v>
      </c>
      <c r="AO175" s="26">
        <f t="shared" si="177"/>
        <v>0</v>
      </c>
      <c r="AP175" s="26">
        <f t="shared" si="177"/>
        <v>0</v>
      </c>
      <c r="AQ175" s="26">
        <f t="shared" si="177"/>
        <v>0</v>
      </c>
      <c r="AR175" s="26">
        <f t="shared" si="177"/>
        <v>0</v>
      </c>
      <c r="AS175" s="26">
        <f t="shared" si="177"/>
        <v>0</v>
      </c>
      <c r="AT175" s="26">
        <f t="shared" si="177"/>
        <v>0</v>
      </c>
      <c r="AU175" s="26">
        <f t="shared" si="177"/>
        <v>0</v>
      </c>
      <c r="AV175" s="26">
        <f t="shared" si="177"/>
        <v>0</v>
      </c>
      <c r="AW175" s="26">
        <f t="shared" si="177"/>
        <v>0</v>
      </c>
      <c r="AX175" s="26">
        <f t="shared" si="177"/>
        <v>0</v>
      </c>
      <c r="AY175" s="26">
        <f t="shared" si="177"/>
        <v>0</v>
      </c>
      <c r="AZ175" s="26">
        <f t="shared" si="177"/>
        <v>0</v>
      </c>
      <c r="BA175" s="26">
        <f t="shared" si="177"/>
        <v>0</v>
      </c>
      <c r="BB175" s="26">
        <f t="shared" si="177"/>
        <v>0</v>
      </c>
      <c r="BC175" s="26">
        <f t="shared" si="177"/>
        <v>0</v>
      </c>
      <c r="BD175" s="26">
        <f t="shared" si="177"/>
        <v>0</v>
      </c>
      <c r="BE175" s="26">
        <f t="shared" si="177"/>
        <v>0</v>
      </c>
      <c r="BF175" s="26">
        <f t="shared" si="177"/>
        <v>0</v>
      </c>
      <c r="BG175" s="26">
        <f t="shared" si="177"/>
        <v>0</v>
      </c>
      <c r="BH175" s="26">
        <f t="shared" si="177"/>
        <v>0</v>
      </c>
      <c r="BI175" s="26"/>
      <c r="BJ175" s="26"/>
    </row>
    <row r="176" spans="2:64" ht="14.45" hidden="1" x14ac:dyDescent="0.3">
      <c r="B176" t="s">
        <v>2281</v>
      </c>
      <c r="G176" s="26">
        <f t="shared" ref="G176:X176" si="178">SUM(G72:G75)</f>
        <v>0</v>
      </c>
      <c r="H176" s="26">
        <f t="shared" si="178"/>
        <v>0</v>
      </c>
      <c r="I176" s="26">
        <f t="shared" si="178"/>
        <v>0</v>
      </c>
      <c r="J176" s="26">
        <f t="shared" si="178"/>
        <v>0</v>
      </c>
      <c r="K176" s="26">
        <f t="shared" si="178"/>
        <v>0</v>
      </c>
      <c r="L176" s="26">
        <f t="shared" si="178"/>
        <v>0</v>
      </c>
      <c r="M176" s="26">
        <f t="shared" si="178"/>
        <v>2649.6750000000002</v>
      </c>
      <c r="N176" s="26">
        <f t="shared" si="178"/>
        <v>0</v>
      </c>
      <c r="O176" s="26">
        <f t="shared" si="178"/>
        <v>2649.6750000000002</v>
      </c>
      <c r="P176" s="26">
        <f t="shared" si="178"/>
        <v>0</v>
      </c>
      <c r="Q176" s="26">
        <f t="shared" si="178"/>
        <v>2830.9939999999997</v>
      </c>
      <c r="R176" s="26">
        <f t="shared" si="178"/>
        <v>0</v>
      </c>
      <c r="S176" s="26">
        <f t="shared" si="178"/>
        <v>5480.6689999999999</v>
      </c>
      <c r="T176" s="26">
        <f t="shared" si="178"/>
        <v>0</v>
      </c>
      <c r="U176" s="26">
        <f t="shared" si="178"/>
        <v>2612.6579999999994</v>
      </c>
      <c r="V176" s="26">
        <f t="shared" si="178"/>
        <v>0</v>
      </c>
      <c r="W176" s="26">
        <f t="shared" si="178"/>
        <v>8093.3269999999993</v>
      </c>
      <c r="X176" s="26">
        <f t="shared" si="178"/>
        <v>0</v>
      </c>
      <c r="Y176" s="26">
        <f>SUM(Y72:Y75)</f>
        <v>1543.8019999999997</v>
      </c>
      <c r="Z176" s="26">
        <f t="shared" ref="Z176:BH176" si="179">SUM(Z72:Z75)</f>
        <v>0</v>
      </c>
      <c r="AA176" s="26">
        <f t="shared" si="179"/>
        <v>6987.4540000000006</v>
      </c>
      <c r="AB176" s="26">
        <f t="shared" si="179"/>
        <v>0</v>
      </c>
      <c r="AC176" s="26">
        <f t="shared" si="179"/>
        <v>9637.1290000000008</v>
      </c>
      <c r="AD176" s="26">
        <f t="shared" si="179"/>
        <v>0</v>
      </c>
      <c r="AE176" s="26">
        <f t="shared" si="179"/>
        <v>0</v>
      </c>
      <c r="AF176" s="26">
        <f t="shared" si="179"/>
        <v>0</v>
      </c>
      <c r="AG176" s="26">
        <f t="shared" si="179"/>
        <v>0</v>
      </c>
      <c r="AH176" s="26">
        <f t="shared" si="179"/>
        <v>0</v>
      </c>
      <c r="AI176" s="26">
        <f t="shared" si="179"/>
        <v>0</v>
      </c>
      <c r="AJ176" s="26">
        <f t="shared" si="179"/>
        <v>0</v>
      </c>
      <c r="AK176" s="26">
        <f t="shared" si="179"/>
        <v>0</v>
      </c>
      <c r="AL176" s="26">
        <f t="shared" si="179"/>
        <v>0</v>
      </c>
      <c r="AM176" s="26">
        <f t="shared" si="179"/>
        <v>0</v>
      </c>
      <c r="AN176" s="26">
        <f t="shared" si="179"/>
        <v>0</v>
      </c>
      <c r="AO176" s="26">
        <f t="shared" si="179"/>
        <v>0</v>
      </c>
      <c r="AP176" s="26">
        <f t="shared" si="179"/>
        <v>0</v>
      </c>
      <c r="AQ176" s="26">
        <f t="shared" si="179"/>
        <v>0</v>
      </c>
      <c r="AR176" s="26">
        <f t="shared" si="179"/>
        <v>0</v>
      </c>
      <c r="AS176" s="26">
        <f t="shared" si="179"/>
        <v>0</v>
      </c>
      <c r="AT176" s="26">
        <f t="shared" si="179"/>
        <v>0</v>
      </c>
      <c r="AU176" s="26">
        <f t="shared" si="179"/>
        <v>0</v>
      </c>
      <c r="AV176" s="26">
        <f t="shared" si="179"/>
        <v>0</v>
      </c>
      <c r="AW176" s="26">
        <f t="shared" si="179"/>
        <v>0</v>
      </c>
      <c r="AX176" s="26">
        <f t="shared" si="179"/>
        <v>0</v>
      </c>
      <c r="AY176" s="26">
        <f t="shared" si="179"/>
        <v>0</v>
      </c>
      <c r="AZ176" s="26">
        <f t="shared" si="179"/>
        <v>0</v>
      </c>
      <c r="BA176" s="26">
        <f t="shared" si="179"/>
        <v>0</v>
      </c>
      <c r="BB176" s="26">
        <f t="shared" si="179"/>
        <v>0</v>
      </c>
      <c r="BC176" s="26">
        <f t="shared" si="179"/>
        <v>0</v>
      </c>
      <c r="BD176" s="26">
        <f t="shared" si="179"/>
        <v>0</v>
      </c>
      <c r="BE176" s="26">
        <f t="shared" si="179"/>
        <v>0</v>
      </c>
      <c r="BF176" s="26">
        <f t="shared" si="179"/>
        <v>0</v>
      </c>
      <c r="BG176" s="26">
        <f t="shared" si="179"/>
        <v>0</v>
      </c>
      <c r="BH176" s="26">
        <f t="shared" si="179"/>
        <v>0</v>
      </c>
      <c r="BI176" s="26"/>
      <c r="BJ176" s="26"/>
    </row>
    <row r="177" spans="7:60" ht="14.45" hidden="1" x14ac:dyDescent="0.3">
      <c r="G177" s="26">
        <f t="shared" ref="G177:T177" si="180">SUM(G171:G176)</f>
        <v>49543.777000000002</v>
      </c>
      <c r="H177" s="26">
        <f t="shared" si="180"/>
        <v>0</v>
      </c>
      <c r="I177" s="26">
        <f t="shared" si="180"/>
        <v>57219.144</v>
      </c>
      <c r="J177" s="26">
        <f t="shared" si="180"/>
        <v>0</v>
      </c>
      <c r="K177" s="26">
        <f t="shared" si="180"/>
        <v>106762.921</v>
      </c>
      <c r="L177" s="26">
        <f t="shared" si="180"/>
        <v>0</v>
      </c>
      <c r="M177" s="26">
        <f t="shared" si="180"/>
        <v>58674.632999999994</v>
      </c>
      <c r="N177" s="26">
        <f t="shared" si="180"/>
        <v>0</v>
      </c>
      <c r="O177" s="26">
        <f t="shared" si="180"/>
        <v>165437.55399999997</v>
      </c>
      <c r="P177" s="26">
        <f t="shared" si="180"/>
        <v>0</v>
      </c>
      <c r="Q177" s="26">
        <f t="shared" si="180"/>
        <v>57327.38700000001</v>
      </c>
      <c r="R177" s="26">
        <f t="shared" si="180"/>
        <v>0</v>
      </c>
      <c r="S177" s="26">
        <f t="shared" si="180"/>
        <v>222764.94099999996</v>
      </c>
      <c r="T177" s="26">
        <f t="shared" si="180"/>
        <v>0</v>
      </c>
      <c r="U177" s="26">
        <f t="shared" ref="U177" si="181">SUM(U171:U176)</f>
        <v>44406.292999999991</v>
      </c>
      <c r="V177" s="26">
        <f t="shared" ref="V177:BG177" si="182">SUM(V171:V176)</f>
        <v>0</v>
      </c>
      <c r="W177" s="26">
        <f t="shared" si="182"/>
        <v>267171.234</v>
      </c>
      <c r="X177" s="26">
        <f t="shared" si="182"/>
        <v>0</v>
      </c>
      <c r="Y177" s="26">
        <f t="shared" si="182"/>
        <v>50010.385999999999</v>
      </c>
      <c r="Z177" s="26">
        <f t="shared" si="182"/>
        <v>0</v>
      </c>
      <c r="AA177" s="26">
        <f t="shared" si="182"/>
        <v>151744.06599999999</v>
      </c>
      <c r="AB177" s="26">
        <f t="shared" si="182"/>
        <v>0</v>
      </c>
      <c r="AC177" s="26">
        <f t="shared" si="182"/>
        <v>317181.62</v>
      </c>
      <c r="AD177" s="26">
        <f t="shared" si="182"/>
        <v>0</v>
      </c>
      <c r="AE177" s="26">
        <f t="shared" si="182"/>
        <v>44900.300999999999</v>
      </c>
      <c r="AF177" s="26">
        <f t="shared" si="182"/>
        <v>0</v>
      </c>
      <c r="AG177" s="26">
        <f t="shared" si="182"/>
        <v>342933.98900000006</v>
      </c>
      <c r="AH177" s="26">
        <f t="shared" si="182"/>
        <v>0</v>
      </c>
      <c r="AI177" s="26">
        <f t="shared" si="182"/>
        <v>8584.9840000000004</v>
      </c>
      <c r="AJ177" s="26">
        <f t="shared" si="182"/>
        <v>0</v>
      </c>
      <c r="AK177" s="26">
        <f t="shared" si="182"/>
        <v>351518.973</v>
      </c>
      <c r="AL177" s="26">
        <f t="shared" si="182"/>
        <v>0</v>
      </c>
      <c r="AM177" s="26">
        <f t="shared" si="182"/>
        <v>40066.768000000004</v>
      </c>
      <c r="AN177" s="26">
        <f t="shared" si="182"/>
        <v>0</v>
      </c>
      <c r="AO177" s="26">
        <f t="shared" si="182"/>
        <v>93552.053</v>
      </c>
      <c r="AP177" s="26">
        <f t="shared" si="182"/>
        <v>0</v>
      </c>
      <c r="AQ177" s="26">
        <f t="shared" si="182"/>
        <v>391585.74099999992</v>
      </c>
      <c r="AR177" s="26">
        <f t="shared" si="182"/>
        <v>0</v>
      </c>
      <c r="AS177" s="26">
        <f t="shared" si="182"/>
        <v>51039.179000000004</v>
      </c>
      <c r="AT177" s="26">
        <f t="shared" si="182"/>
        <v>0</v>
      </c>
      <c r="AU177" s="26">
        <f t="shared" si="182"/>
        <v>442624.91999999993</v>
      </c>
      <c r="AV177" s="26">
        <f t="shared" si="182"/>
        <v>0</v>
      </c>
      <c r="AW177" s="26">
        <f t="shared" si="182"/>
        <v>51009.48000000001</v>
      </c>
      <c r="AX177" s="26">
        <f t="shared" si="182"/>
        <v>0</v>
      </c>
      <c r="AY177" s="26">
        <f t="shared" si="182"/>
        <v>493634.40000000008</v>
      </c>
      <c r="AZ177" s="26">
        <f t="shared" si="182"/>
        <v>0</v>
      </c>
      <c r="BA177" s="26">
        <f t="shared" si="182"/>
        <v>62071.89</v>
      </c>
      <c r="BB177" s="26">
        <f t="shared" si="182"/>
        <v>0</v>
      </c>
      <c r="BC177" s="26">
        <f t="shared" si="182"/>
        <v>164120.549</v>
      </c>
      <c r="BD177" s="26">
        <f t="shared" si="182"/>
        <v>0</v>
      </c>
      <c r="BE177" s="26">
        <f t="shared" si="182"/>
        <v>257672.60199999998</v>
      </c>
      <c r="BF177" s="26">
        <f t="shared" si="182"/>
        <v>0</v>
      </c>
      <c r="BG177" s="26">
        <f t="shared" si="182"/>
        <v>555706.2899999998</v>
      </c>
      <c r="BH177" s="26"/>
    </row>
    <row r="179" spans="7:60" x14ac:dyDescent="0.25"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</row>
  </sheetData>
  <autoFilter ref="C7:C144"/>
  <mergeCells count="31">
    <mergeCell ref="B3:B4"/>
    <mergeCell ref="E3:E4"/>
    <mergeCell ref="F3:G3"/>
    <mergeCell ref="H3:I3"/>
    <mergeCell ref="J3:K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L3:M3"/>
    <mergeCell ref="C3:C4"/>
    <mergeCell ref="D3:D4"/>
    <mergeCell ref="N3:O3"/>
    <mergeCell ref="P3:Q3"/>
    <mergeCell ref="AR3:AS3"/>
    <mergeCell ref="AT3:AU3"/>
    <mergeCell ref="AL3:AM3"/>
    <mergeCell ref="AN3:AO3"/>
    <mergeCell ref="AP3:AQ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3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575"/>
    <pageSetUpPr fitToPage="1"/>
  </sheetPr>
  <dimension ref="A1:CY81"/>
  <sheetViews>
    <sheetView topLeftCell="E1" zoomScaleNormal="100" workbookViewId="0">
      <pane xSplit="1" topLeftCell="AU1" activePane="topRight" state="frozen"/>
      <selection activeCell="G62" sqref="G62"/>
      <selection pane="topRight" activeCell="E54" sqref="E54"/>
    </sheetView>
  </sheetViews>
  <sheetFormatPr defaultColWidth="9.140625" defaultRowHeight="15.75" x14ac:dyDescent="0.25"/>
  <cols>
    <col min="1" max="4" width="9.140625" style="1155"/>
    <col min="5" max="5" width="55.140625" style="1155" bestFit="1" customWidth="1"/>
    <col min="6" max="6" width="15.5703125" style="1155" hidden="1" customWidth="1"/>
    <col min="7" max="7" width="11.85546875" style="1155" hidden="1" customWidth="1"/>
    <col min="8" max="8" width="10.42578125" style="1155" hidden="1" customWidth="1"/>
    <col min="9" max="10" width="9.7109375" style="1155" hidden="1" customWidth="1"/>
    <col min="11" max="12" width="8.42578125" style="1155" hidden="1" customWidth="1"/>
    <col min="13" max="14" width="7.85546875" style="1155" hidden="1" customWidth="1"/>
    <col min="15" max="15" width="8.42578125" style="1155" hidden="1" customWidth="1"/>
    <col min="16" max="16" width="9.85546875" style="1155" hidden="1" customWidth="1"/>
    <col min="17" max="17" width="8.42578125" style="1155" hidden="1" customWidth="1"/>
    <col min="18" max="23" width="9.85546875" style="1155" hidden="1" customWidth="1"/>
    <col min="24" max="24" width="12" style="1155" hidden="1" customWidth="1"/>
    <col min="25" max="25" width="8.5703125" style="1155" hidden="1" customWidth="1"/>
    <col min="26" max="26" width="9.140625" style="1155" hidden="1" customWidth="1"/>
    <col min="27" max="29" width="8.28515625" style="1155" hidden="1" customWidth="1"/>
    <col min="30" max="30" width="8.7109375" style="1155" hidden="1" customWidth="1"/>
    <col min="31" max="34" width="8.28515625" style="1155" hidden="1" customWidth="1"/>
    <col min="35" max="35" width="8.85546875" style="1155" hidden="1" customWidth="1"/>
    <col min="36" max="38" width="8.28515625" style="1155" hidden="1" customWidth="1"/>
    <col min="39" max="39" width="8.140625" style="1155" hidden="1" customWidth="1"/>
    <col min="40" max="40" width="9.42578125" style="1155" hidden="1" customWidth="1"/>
    <col min="41" max="42" width="8.28515625" style="1155" hidden="1" customWidth="1"/>
    <col min="43" max="43" width="9" style="1155" hidden="1" customWidth="1"/>
    <col min="44" max="44" width="13.28515625" style="1155" hidden="1" customWidth="1"/>
    <col min="45" max="45" width="13.28515625" style="4167" hidden="1" customWidth="1"/>
    <col min="46" max="46" width="5.42578125" style="1155" hidden="1" customWidth="1"/>
    <col min="47" max="47" width="16" style="1155" customWidth="1"/>
    <col min="48" max="48" width="16" style="1155" hidden="1" customWidth="1"/>
    <col min="49" max="49" width="18.140625" style="1155" customWidth="1"/>
    <col min="50" max="52" width="18.140625" style="1155" hidden="1" customWidth="1"/>
    <col min="53" max="53" width="10.140625" style="1155" customWidth="1"/>
    <col min="54" max="54" width="10.140625" style="1155" hidden="1" customWidth="1"/>
    <col min="55" max="55" width="10.140625" style="1155" customWidth="1"/>
    <col min="56" max="56" width="10.140625" style="1155" hidden="1" customWidth="1"/>
    <col min="57" max="57" width="10.140625" style="1155" customWidth="1"/>
    <col min="58" max="60" width="10.140625" style="1155" hidden="1" customWidth="1"/>
    <col min="61" max="61" width="10.140625" style="1155" customWidth="1"/>
    <col min="62" max="64" width="10.140625" style="1155" hidden="1" customWidth="1"/>
    <col min="65" max="65" width="10.140625" style="1155" customWidth="1"/>
    <col min="66" max="66" width="10.140625" style="1155" hidden="1" customWidth="1"/>
    <col min="67" max="67" width="10.140625" style="1155" customWidth="1"/>
    <col min="68" max="68" width="10.140625" style="1155" hidden="1" customWidth="1"/>
    <col min="69" max="69" width="10.140625" style="1155" customWidth="1"/>
    <col min="70" max="70" width="10.140625" style="1155" hidden="1" customWidth="1"/>
    <col min="71" max="71" width="10.140625" style="1155" customWidth="1"/>
    <col min="72" max="74" width="10.140625" style="1155" hidden="1" customWidth="1"/>
    <col min="75" max="75" width="10.140625" style="1155" customWidth="1"/>
    <col min="76" max="78" width="10.140625" style="1155" hidden="1" customWidth="1"/>
    <col min="79" max="79" width="10.140625" style="1155" customWidth="1"/>
    <col min="80" max="80" width="10.140625" style="1155" hidden="1" customWidth="1"/>
    <col min="81" max="81" width="10.140625" style="1155" customWidth="1"/>
    <col min="82" max="84" width="10.140625" style="1155" hidden="1" customWidth="1"/>
    <col min="85" max="85" width="10.140625" style="1155" customWidth="1"/>
    <col min="86" max="88" width="10.140625" style="1155" hidden="1" customWidth="1"/>
    <col min="89" max="89" width="10.140625" style="1155" customWidth="1"/>
    <col min="90" max="92" width="10.140625" style="1155" hidden="1" customWidth="1"/>
    <col min="93" max="93" width="10.140625" style="1155" customWidth="1"/>
    <col min="94" max="94" width="10.140625" style="1155" hidden="1" customWidth="1"/>
    <col min="95" max="95" width="10.140625" style="1155" customWidth="1"/>
    <col min="96" max="96" width="10.140625" style="1155" hidden="1" customWidth="1"/>
    <col min="97" max="97" width="10.140625" style="1155" customWidth="1"/>
    <col min="98" max="98" width="10.140625" style="1155" hidden="1" customWidth="1"/>
    <col min="99" max="100" width="10.7109375" style="1155" customWidth="1"/>
    <col min="101" max="102" width="9.140625" style="1155" customWidth="1"/>
    <col min="103" max="103" width="10.140625" style="1155" customWidth="1"/>
    <col min="104" max="104" width="9.140625" style="1155"/>
    <col min="105" max="105" width="12" style="1155" bestFit="1" customWidth="1"/>
    <col min="106" max="16384" width="9.140625" style="1155"/>
  </cols>
  <sheetData>
    <row r="1" spans="1:101" ht="15.6" x14ac:dyDescent="0.3">
      <c r="A1" s="4151"/>
      <c r="B1" s="4151"/>
      <c r="C1" s="4151"/>
      <c r="D1" s="4151"/>
      <c r="E1" s="4150"/>
      <c r="F1" s="4151"/>
      <c r="G1" s="4151"/>
      <c r="H1" s="4151"/>
      <c r="I1" s="4151"/>
      <c r="J1" s="4151"/>
      <c r="K1" s="4151"/>
      <c r="L1" s="4151"/>
      <c r="M1" s="4151"/>
      <c r="N1" s="4151"/>
      <c r="O1" s="4151"/>
      <c r="P1" s="4151"/>
      <c r="Q1" s="4151"/>
      <c r="R1" s="4151"/>
      <c r="S1" s="4149"/>
      <c r="T1" s="4149"/>
      <c r="U1" s="4149"/>
      <c r="V1" s="4149"/>
      <c r="W1" s="4149"/>
      <c r="X1" s="4151"/>
      <c r="Y1" s="4151"/>
      <c r="Z1" s="4151"/>
      <c r="AA1" s="4151"/>
      <c r="AB1" s="4151"/>
      <c r="AC1" s="4151"/>
      <c r="AD1" s="4151"/>
      <c r="AE1" s="4151"/>
      <c r="AF1" s="4151"/>
      <c r="AG1" s="4151"/>
      <c r="AH1" s="4151"/>
      <c r="AI1" s="4151"/>
      <c r="AJ1" s="4151"/>
      <c r="AK1" s="4151"/>
      <c r="AL1" s="4149"/>
      <c r="AM1" s="4149"/>
      <c r="AN1" s="4149"/>
      <c r="AO1" s="4149"/>
      <c r="AP1" s="4149"/>
      <c r="AQ1" s="4149"/>
      <c r="AR1" s="4151"/>
      <c r="AS1" s="4151"/>
      <c r="AT1" s="4151"/>
      <c r="AU1" s="4151"/>
      <c r="AV1" s="4151"/>
      <c r="AW1" s="4151"/>
      <c r="AX1" s="4151"/>
      <c r="AY1" s="4151"/>
      <c r="AZ1" s="4151"/>
      <c r="BA1" s="4151"/>
      <c r="BB1" s="4151"/>
      <c r="BC1" s="4151"/>
      <c r="BD1" s="4151"/>
      <c r="BE1" s="4151"/>
      <c r="BF1" s="4151"/>
      <c r="BG1" s="4151"/>
      <c r="BH1" s="4151"/>
      <c r="BI1" s="4151"/>
      <c r="BJ1" s="4151"/>
      <c r="BK1" s="4151"/>
      <c r="BL1" s="4151"/>
      <c r="BM1" s="4151"/>
      <c r="BN1" s="4151"/>
      <c r="BO1" s="4151"/>
      <c r="BP1" s="4151"/>
      <c r="BQ1" s="4151"/>
      <c r="BR1" s="4151"/>
      <c r="BS1" s="4151"/>
      <c r="BT1" s="4151"/>
      <c r="BU1" s="4151"/>
      <c r="BV1" s="4151"/>
      <c r="BW1" s="4151"/>
      <c r="BX1" s="4151"/>
      <c r="BY1" s="4151"/>
      <c r="BZ1" s="4151"/>
      <c r="CA1" s="4151"/>
      <c r="CB1" s="4151"/>
      <c r="CC1" s="4151"/>
      <c r="CD1" s="4151"/>
      <c r="CE1" s="4151"/>
      <c r="CF1" s="4151"/>
      <c r="CG1" s="4151"/>
      <c r="CH1" s="4151"/>
      <c r="CI1" s="4151"/>
      <c r="CJ1" s="4151"/>
      <c r="CK1" s="4151"/>
      <c r="CL1" s="4151"/>
      <c r="CM1" s="4151"/>
      <c r="CN1" s="4151"/>
      <c r="CO1" s="4151"/>
      <c r="CP1" s="4151"/>
      <c r="CQ1" s="4151"/>
      <c r="CR1" s="4151"/>
      <c r="CS1" s="4151"/>
      <c r="CT1" s="4151"/>
      <c r="CU1" s="4151"/>
      <c r="CV1" s="4151"/>
    </row>
    <row r="2" spans="1:101" ht="17.45" x14ac:dyDescent="0.3">
      <c r="A2" s="4151"/>
      <c r="B2" s="4151"/>
      <c r="C2" s="4151"/>
      <c r="D2" s="4151"/>
      <c r="E2" s="6144" t="s">
        <v>1746</v>
      </c>
      <c r="F2" s="6144"/>
      <c r="G2" s="6144"/>
      <c r="H2" s="6144"/>
      <c r="I2" s="6144"/>
      <c r="J2" s="6144"/>
      <c r="K2" s="6144"/>
      <c r="L2" s="6144"/>
      <c r="M2" s="6144"/>
      <c r="N2" s="6144"/>
      <c r="O2" s="6144"/>
      <c r="P2" s="6144"/>
      <c r="Q2" s="6144"/>
      <c r="R2" s="6144"/>
      <c r="S2" s="6144"/>
      <c r="T2" s="6144"/>
      <c r="U2" s="6144"/>
      <c r="V2" s="6144"/>
      <c r="W2" s="6144"/>
      <c r="X2" s="6144"/>
      <c r="Y2" s="6144"/>
      <c r="Z2" s="6144"/>
      <c r="AA2" s="6144"/>
      <c r="AB2" s="6144"/>
      <c r="AC2" s="6144"/>
      <c r="AD2" s="6144"/>
      <c r="AE2" s="6144"/>
      <c r="AF2" s="6144"/>
      <c r="AG2" s="6144"/>
      <c r="AH2" s="6144"/>
      <c r="AI2" s="6144"/>
      <c r="AJ2" s="6144"/>
      <c r="AK2" s="6144"/>
      <c r="AL2" s="6144"/>
      <c r="AM2" s="6144"/>
      <c r="AN2" s="6144"/>
      <c r="AO2" s="6144"/>
      <c r="AP2" s="6144"/>
      <c r="AQ2" s="6144"/>
      <c r="AR2" s="6144"/>
      <c r="AS2" s="6144"/>
      <c r="AT2" s="6144"/>
      <c r="AU2" s="6144"/>
      <c r="AV2" s="6144"/>
      <c r="AW2" s="6144"/>
      <c r="AX2" s="6144"/>
      <c r="AY2" s="6144"/>
      <c r="AZ2" s="6144"/>
      <c r="BA2" s="6144"/>
      <c r="BB2" s="6144"/>
      <c r="BC2" s="6144"/>
      <c r="BD2" s="6144"/>
      <c r="BE2" s="6144"/>
      <c r="BF2" s="6144"/>
      <c r="BG2" s="6144"/>
      <c r="BH2" s="6144"/>
      <c r="BI2" s="6144"/>
      <c r="BJ2" s="6144"/>
      <c r="BK2" s="6144"/>
      <c r="BL2" s="6144"/>
      <c r="BM2" s="6144"/>
      <c r="BN2" s="6144"/>
      <c r="BO2" s="6144"/>
      <c r="BP2" s="6144"/>
      <c r="BQ2" s="6144"/>
      <c r="BR2" s="6144"/>
      <c r="BS2" s="6144"/>
      <c r="BT2" s="6144"/>
      <c r="BU2" s="6144"/>
      <c r="BV2" s="6144"/>
      <c r="BW2" s="6144"/>
      <c r="BX2" s="6144"/>
      <c r="BY2" s="6144"/>
      <c r="BZ2" s="6144"/>
      <c r="CA2" s="6144"/>
      <c r="CB2" s="6144"/>
      <c r="CC2" s="6144"/>
      <c r="CD2" s="6144"/>
      <c r="CE2" s="6144"/>
      <c r="CF2" s="6144"/>
      <c r="CG2" s="6144"/>
      <c r="CH2" s="6144"/>
      <c r="CI2" s="6144"/>
      <c r="CJ2" s="6144"/>
      <c r="CK2" s="6144"/>
      <c r="CL2" s="6144"/>
      <c r="CM2" s="6144"/>
      <c r="CN2" s="6144"/>
      <c r="CO2" s="6144"/>
      <c r="CP2" s="6144"/>
      <c r="CQ2" s="6144"/>
      <c r="CR2" s="6144"/>
      <c r="CS2" s="6144"/>
      <c r="CT2" s="6144"/>
      <c r="CU2" s="6144"/>
      <c r="CV2" s="4192"/>
    </row>
    <row r="3" spans="1:101" ht="16.149999999999999" thickBot="1" x14ac:dyDescent="0.35">
      <c r="A3" s="4151"/>
      <c r="B3" s="4151"/>
      <c r="C3" s="4151"/>
      <c r="D3" s="4151"/>
      <c r="E3" s="4150"/>
      <c r="F3" s="4151"/>
      <c r="G3" s="4151"/>
      <c r="H3" s="4151"/>
      <c r="I3" s="4151"/>
      <c r="J3" s="4151"/>
      <c r="K3" s="4151"/>
      <c r="L3" s="4151"/>
      <c r="M3" s="4151"/>
      <c r="N3" s="4151"/>
      <c r="O3" s="4151"/>
      <c r="P3" s="4151"/>
      <c r="Q3" s="4151"/>
      <c r="R3" s="4151"/>
      <c r="S3" s="4151"/>
      <c r="T3" s="4151"/>
      <c r="U3" s="4151"/>
      <c r="V3" s="4151"/>
      <c r="W3" s="4151"/>
      <c r="X3" s="4151"/>
      <c r="Y3" s="4151"/>
      <c r="Z3" s="4151"/>
      <c r="AA3" s="4151"/>
      <c r="AB3" s="4151"/>
      <c r="AC3" s="4151"/>
      <c r="AD3" s="4151"/>
      <c r="AE3" s="4151"/>
      <c r="AF3" s="4151"/>
      <c r="AG3" s="4151"/>
      <c r="AH3" s="4151"/>
      <c r="AI3" s="4151"/>
      <c r="AJ3" s="4151"/>
      <c r="AK3" s="4151"/>
      <c r="AL3" s="4151"/>
      <c r="AM3" s="4151"/>
      <c r="AN3" s="4151"/>
      <c r="AO3" s="4151"/>
      <c r="AP3" s="4151"/>
      <c r="AQ3" s="4151"/>
      <c r="AR3" s="4151"/>
      <c r="AS3" s="4151"/>
      <c r="AT3" s="4151"/>
      <c r="AU3" s="4151"/>
      <c r="AV3" s="4151"/>
      <c r="AW3" s="4151"/>
      <c r="AX3" s="4151"/>
      <c r="AY3" s="4151"/>
      <c r="AZ3" s="4151"/>
      <c r="BA3" s="4151"/>
      <c r="BB3" s="4151"/>
      <c r="BC3" s="4151"/>
      <c r="BD3" s="4151"/>
      <c r="BE3" s="4151"/>
      <c r="BF3" s="4151"/>
      <c r="BG3" s="4151"/>
      <c r="BH3" s="4151"/>
      <c r="BI3" s="4151"/>
      <c r="BJ3" s="4151"/>
      <c r="BK3" s="4151"/>
      <c r="BL3" s="4151"/>
      <c r="BM3" s="4149"/>
      <c r="BN3" s="4149"/>
      <c r="BO3" s="4149"/>
      <c r="BP3" s="4149"/>
      <c r="BQ3" s="4149"/>
      <c r="BR3" s="4149"/>
      <c r="BS3" s="4151"/>
      <c r="BT3" s="4151"/>
      <c r="BU3" s="4151"/>
      <c r="BV3" s="4151"/>
      <c r="BW3" s="4151"/>
      <c r="BX3" s="4151"/>
      <c r="BY3" s="4151"/>
      <c r="BZ3" s="4151"/>
      <c r="CA3" s="4151"/>
      <c r="CB3" s="4151"/>
      <c r="CC3" s="4151"/>
      <c r="CD3" s="4151"/>
      <c r="CE3" s="4151"/>
      <c r="CF3" s="4151"/>
      <c r="CG3" s="4151"/>
      <c r="CH3" s="4151"/>
      <c r="CI3" s="4151"/>
      <c r="CJ3" s="4151"/>
      <c r="CK3" s="4151"/>
      <c r="CL3" s="4151"/>
      <c r="CM3" s="4151"/>
      <c r="CN3" s="4151"/>
      <c r="CO3" s="4151"/>
      <c r="CP3" s="4151"/>
      <c r="CQ3" s="4151"/>
      <c r="CR3" s="4151"/>
      <c r="CS3" s="4151"/>
      <c r="CT3" s="4151"/>
      <c r="CU3" s="4151"/>
      <c r="CV3" s="4148"/>
    </row>
    <row r="4" spans="1:101" ht="16.149999999999999" thickBot="1" x14ac:dyDescent="0.35">
      <c r="A4" s="4191"/>
      <c r="B4" s="4191"/>
      <c r="C4" s="4191"/>
      <c r="D4" s="4191"/>
      <c r="E4" s="4190"/>
      <c r="F4" s="6145" t="s">
        <v>639</v>
      </c>
      <c r="G4" s="6146"/>
      <c r="H4" s="6146"/>
      <c r="I4" s="6146"/>
      <c r="J4" s="6146"/>
      <c r="K4" s="6146"/>
      <c r="L4" s="6146"/>
      <c r="M4" s="6146"/>
      <c r="N4" s="6146"/>
      <c r="O4" s="6146"/>
      <c r="P4" s="6146"/>
      <c r="Q4" s="6146"/>
      <c r="R4" s="6146"/>
      <c r="S4" s="6146"/>
      <c r="T4" s="6146"/>
      <c r="U4" s="6146"/>
      <c r="V4" s="6146"/>
      <c r="W4" s="6146"/>
      <c r="X4" s="6147"/>
      <c r="Y4" s="6148" t="s">
        <v>640</v>
      </c>
      <c r="Z4" s="6149"/>
      <c r="AA4" s="6149"/>
      <c r="AB4" s="6150"/>
      <c r="AC4" s="6150"/>
      <c r="AD4" s="6150"/>
      <c r="AE4" s="6150"/>
      <c r="AF4" s="6150"/>
      <c r="AG4" s="6150"/>
      <c r="AH4" s="6150"/>
      <c r="AI4" s="6150"/>
      <c r="AJ4" s="6150"/>
      <c r="AK4" s="6150"/>
      <c r="AL4" s="6150"/>
      <c r="AM4" s="6150"/>
      <c r="AN4" s="6150"/>
      <c r="AO4" s="6150"/>
      <c r="AP4" s="6150"/>
      <c r="AQ4" s="6150"/>
      <c r="AR4" s="4189" t="s">
        <v>126</v>
      </c>
      <c r="AS4" s="4142"/>
      <c r="AT4" s="6151" t="s">
        <v>1730</v>
      </c>
      <c r="AU4" s="6152"/>
      <c r="AV4" s="6153" t="s">
        <v>1846</v>
      </c>
      <c r="AW4" s="6154"/>
      <c r="AX4" s="6155" t="s">
        <v>14</v>
      </c>
      <c r="AY4" s="6156"/>
      <c r="AZ4" s="6157" t="s">
        <v>1881</v>
      </c>
      <c r="BA4" s="6158"/>
      <c r="BB4" s="6159" t="s">
        <v>637</v>
      </c>
      <c r="BC4" s="6160"/>
      <c r="BD4" s="6161" t="s">
        <v>1907</v>
      </c>
      <c r="BE4" s="6154"/>
      <c r="BF4" s="6155" t="s">
        <v>17</v>
      </c>
      <c r="BG4" s="6156"/>
      <c r="BH4" s="6161" t="s">
        <v>1924</v>
      </c>
      <c r="BI4" s="6154"/>
      <c r="BJ4" s="6155" t="s">
        <v>18</v>
      </c>
      <c r="BK4" s="6156"/>
      <c r="BL4" s="6153" t="s">
        <v>1942</v>
      </c>
      <c r="BM4" s="6162"/>
      <c r="BN4" s="6163" t="s">
        <v>839</v>
      </c>
      <c r="BO4" s="6163"/>
      <c r="BP4" s="6164" t="s">
        <v>657</v>
      </c>
      <c r="BQ4" s="6164"/>
      <c r="BR4" s="6161" t="s">
        <v>1954</v>
      </c>
      <c r="BS4" s="6154"/>
      <c r="BT4" s="6155" t="s">
        <v>24</v>
      </c>
      <c r="BU4" s="6156"/>
      <c r="BV4" s="6161" t="s">
        <v>1970</v>
      </c>
      <c r="BW4" s="6154"/>
      <c r="BX4" s="6155" t="s">
        <v>27</v>
      </c>
      <c r="BY4" s="6156"/>
      <c r="BZ4" s="6153" t="s">
        <v>1985</v>
      </c>
      <c r="CA4" s="6162"/>
      <c r="CB4" s="6163" t="s">
        <v>1665</v>
      </c>
      <c r="CC4" s="6163"/>
      <c r="CD4" s="6155" t="s">
        <v>1666</v>
      </c>
      <c r="CE4" s="6156"/>
      <c r="CF4" s="6161" t="s">
        <v>2085</v>
      </c>
      <c r="CG4" s="6154"/>
      <c r="CH4" s="6155" t="s">
        <v>28</v>
      </c>
      <c r="CI4" s="6156"/>
      <c r="CJ4" s="6161" t="s">
        <v>2099</v>
      </c>
      <c r="CK4" s="6154"/>
      <c r="CL4" s="6155" t="s">
        <v>30</v>
      </c>
      <c r="CM4" s="6156"/>
      <c r="CN4" s="6161" t="s">
        <v>2111</v>
      </c>
      <c r="CO4" s="6154"/>
      <c r="CP4" s="6163" t="s">
        <v>1709</v>
      </c>
      <c r="CQ4" s="6163"/>
      <c r="CR4" s="6164" t="s">
        <v>671</v>
      </c>
      <c r="CS4" s="6164"/>
      <c r="CT4" s="6155" t="s">
        <v>1745</v>
      </c>
      <c r="CU4" s="6156"/>
      <c r="CV4" s="4148"/>
    </row>
    <row r="5" spans="1:101" ht="16.149999999999999" thickBot="1" x14ac:dyDescent="0.35">
      <c r="A5" s="4191"/>
      <c r="B5" s="4191"/>
      <c r="C5" s="4191"/>
      <c r="D5" s="4191" t="s">
        <v>1405</v>
      </c>
      <c r="E5" s="4147"/>
      <c r="F5" s="4146" t="s">
        <v>1744</v>
      </c>
      <c r="G5" s="4145" t="s">
        <v>1806</v>
      </c>
      <c r="H5" s="4145" t="s">
        <v>1807</v>
      </c>
      <c r="I5" s="4188" t="s">
        <v>637</v>
      </c>
      <c r="J5" s="4144" t="s">
        <v>1808</v>
      </c>
      <c r="K5" s="4144" t="s">
        <v>1809</v>
      </c>
      <c r="L5" s="4144" t="s">
        <v>1810</v>
      </c>
      <c r="M5" s="4188" t="s">
        <v>660</v>
      </c>
      <c r="N5" s="4187" t="s">
        <v>512</v>
      </c>
      <c r="O5" s="4144" t="s">
        <v>1811</v>
      </c>
      <c r="P5" s="4144" t="s">
        <v>1812</v>
      </c>
      <c r="Q5" s="4144" t="s">
        <v>1813</v>
      </c>
      <c r="R5" s="4188" t="s">
        <v>662</v>
      </c>
      <c r="S5" s="4186" t="s">
        <v>1814</v>
      </c>
      <c r="T5" s="4186" t="s">
        <v>1815</v>
      </c>
      <c r="U5" s="4186" t="s">
        <v>1816</v>
      </c>
      <c r="V5" s="4188" t="s">
        <v>663</v>
      </c>
      <c r="W5" s="4188" t="s">
        <v>550</v>
      </c>
      <c r="X5" s="4185" t="s">
        <v>1745</v>
      </c>
      <c r="Y5" s="4172" t="s">
        <v>1744</v>
      </c>
      <c r="Z5" s="4143" t="s">
        <v>1806</v>
      </c>
      <c r="AA5" s="4143" t="s">
        <v>1807</v>
      </c>
      <c r="AB5" s="4143" t="s">
        <v>637</v>
      </c>
      <c r="AC5" s="4143" t="s">
        <v>1808</v>
      </c>
      <c r="AD5" s="4143" t="s">
        <v>1809</v>
      </c>
      <c r="AE5" s="4184" t="s">
        <v>1810</v>
      </c>
      <c r="AF5" s="4183" t="s">
        <v>660</v>
      </c>
      <c r="AG5" s="4187" t="s">
        <v>512</v>
      </c>
      <c r="AH5" s="4184" t="s">
        <v>1811</v>
      </c>
      <c r="AI5" s="4184" t="s">
        <v>1812</v>
      </c>
      <c r="AJ5" s="4184" t="s">
        <v>1813</v>
      </c>
      <c r="AK5" s="4183" t="s">
        <v>662</v>
      </c>
      <c r="AL5" s="4184" t="s">
        <v>1814</v>
      </c>
      <c r="AM5" s="4184" t="s">
        <v>1815</v>
      </c>
      <c r="AN5" s="4182" t="s">
        <v>1816</v>
      </c>
      <c r="AO5" s="4183" t="s">
        <v>663</v>
      </c>
      <c r="AP5" s="4187" t="s">
        <v>550</v>
      </c>
      <c r="AQ5" s="4169" t="s">
        <v>1745</v>
      </c>
      <c r="AR5" s="4181" t="s">
        <v>1745</v>
      </c>
      <c r="AS5" s="4180"/>
      <c r="AT5" s="3127" t="s">
        <v>173</v>
      </c>
      <c r="AU5" s="2506" t="s">
        <v>174</v>
      </c>
      <c r="AV5" s="3128" t="s">
        <v>173</v>
      </c>
      <c r="AW5" s="3129" t="s">
        <v>174</v>
      </c>
      <c r="AX5" s="3130" t="s">
        <v>173</v>
      </c>
      <c r="AY5" s="3131" t="s">
        <v>174</v>
      </c>
      <c r="AZ5" s="3132" t="s">
        <v>173</v>
      </c>
      <c r="BA5" s="3133" t="s">
        <v>174</v>
      </c>
      <c r="BB5" s="3134" t="s">
        <v>173</v>
      </c>
      <c r="BC5" s="3135" t="s">
        <v>174</v>
      </c>
      <c r="BD5" s="3132" t="s">
        <v>173</v>
      </c>
      <c r="BE5" s="3129" t="s">
        <v>174</v>
      </c>
      <c r="BF5" s="3130" t="s">
        <v>173</v>
      </c>
      <c r="BG5" s="3131" t="s">
        <v>174</v>
      </c>
      <c r="BH5" s="3132" t="s">
        <v>173</v>
      </c>
      <c r="BI5" s="3129" t="s">
        <v>174</v>
      </c>
      <c r="BJ5" s="3130" t="s">
        <v>173</v>
      </c>
      <c r="BK5" s="3131" t="s">
        <v>174</v>
      </c>
      <c r="BL5" s="3137" t="s">
        <v>173</v>
      </c>
      <c r="BM5" s="805" t="s">
        <v>174</v>
      </c>
      <c r="BN5" s="3138" t="s">
        <v>173</v>
      </c>
      <c r="BO5" s="3138" t="s">
        <v>174</v>
      </c>
      <c r="BP5" s="3139" t="s">
        <v>173</v>
      </c>
      <c r="BQ5" s="3139" t="s">
        <v>174</v>
      </c>
      <c r="BR5" s="3136" t="s">
        <v>173</v>
      </c>
      <c r="BS5" s="3129" t="s">
        <v>174</v>
      </c>
      <c r="BT5" s="3130" t="s">
        <v>173</v>
      </c>
      <c r="BU5" s="3131" t="s">
        <v>174</v>
      </c>
      <c r="BV5" s="3136" t="s">
        <v>173</v>
      </c>
      <c r="BW5" s="3129" t="s">
        <v>174</v>
      </c>
      <c r="BX5" s="3130" t="s">
        <v>173</v>
      </c>
      <c r="BY5" s="3131" t="s">
        <v>174</v>
      </c>
      <c r="BZ5" s="3137" t="s">
        <v>173</v>
      </c>
      <c r="CA5" s="805" t="s">
        <v>174</v>
      </c>
      <c r="CB5" s="3138" t="s">
        <v>173</v>
      </c>
      <c r="CC5" s="3138" t="s">
        <v>174</v>
      </c>
      <c r="CD5" s="3130" t="s">
        <v>173</v>
      </c>
      <c r="CE5" s="3131" t="s">
        <v>174</v>
      </c>
      <c r="CF5" s="3136" t="s">
        <v>173</v>
      </c>
      <c r="CG5" s="3129" t="s">
        <v>174</v>
      </c>
      <c r="CH5" s="3130" t="s">
        <v>173</v>
      </c>
      <c r="CI5" s="3131" t="s">
        <v>174</v>
      </c>
      <c r="CJ5" s="3136" t="s">
        <v>173</v>
      </c>
      <c r="CK5" s="3129" t="s">
        <v>174</v>
      </c>
      <c r="CL5" s="3130" t="s">
        <v>173</v>
      </c>
      <c r="CM5" s="3131" t="s">
        <v>174</v>
      </c>
      <c r="CN5" s="3136" t="s">
        <v>173</v>
      </c>
      <c r="CO5" s="3129" t="s">
        <v>174</v>
      </c>
      <c r="CP5" s="3138" t="s">
        <v>173</v>
      </c>
      <c r="CQ5" s="3138" t="s">
        <v>174</v>
      </c>
      <c r="CR5" s="3139" t="s">
        <v>173</v>
      </c>
      <c r="CS5" s="3139" t="s">
        <v>174</v>
      </c>
      <c r="CT5" s="3130" t="s">
        <v>173</v>
      </c>
      <c r="CU5" s="3131" t="s">
        <v>174</v>
      </c>
      <c r="CV5" s="4148"/>
    </row>
    <row r="6" spans="1:101" ht="15.6" x14ac:dyDescent="0.3">
      <c r="A6" s="4191"/>
      <c r="B6" s="4191"/>
      <c r="C6" s="4191"/>
      <c r="D6" s="4191"/>
      <c r="E6" s="4179" t="s">
        <v>1410</v>
      </c>
      <c r="F6" s="4171">
        <v>10690</v>
      </c>
      <c r="G6" s="4129">
        <v>7384</v>
      </c>
      <c r="H6" s="4129">
        <v>8316</v>
      </c>
      <c r="I6" s="4178">
        <f t="shared" ref="I6:I69" si="0">SUM(F6:H6)</f>
        <v>26390</v>
      </c>
      <c r="J6" s="4129">
        <v>6985</v>
      </c>
      <c r="K6" s="4129">
        <v>7915</v>
      </c>
      <c r="L6" s="4129">
        <v>2902.5219999999999</v>
      </c>
      <c r="M6" s="4178">
        <f t="shared" ref="M6:M69" si="1">SUM(J6:L6)</f>
        <v>17802.522000000001</v>
      </c>
      <c r="N6" s="4177">
        <f t="shared" ref="N6:N69" si="2">+I6+M6</f>
        <v>44192.521999999997</v>
      </c>
      <c r="O6" s="4125">
        <v>9369.2479999999996</v>
      </c>
      <c r="P6" s="4125">
        <v>99.358000000000004</v>
      </c>
      <c r="Q6" s="4129">
        <v>6465</v>
      </c>
      <c r="R6" s="4178">
        <f t="shared" ref="R6:R69" si="3">SUM(O6:Q6)</f>
        <v>15933.606</v>
      </c>
      <c r="S6" s="4129">
        <v>4052.538</v>
      </c>
      <c r="T6" s="4129">
        <v>10944.178</v>
      </c>
      <c r="U6" s="4176">
        <v>8230</v>
      </c>
      <c r="V6" s="4178">
        <f t="shared" ref="V6:V69" si="4">SUM(S6:U6)</f>
        <v>23226.716</v>
      </c>
      <c r="W6" s="4177">
        <f t="shared" ref="W6:W69" si="5">+R6+V6</f>
        <v>39160.322</v>
      </c>
      <c r="X6" s="4141">
        <f t="shared" ref="X6:X69" si="6">+F6+G6+H6+J6+K6+L6+O6+P6+Q6+S6+T6+U6</f>
        <v>83352.843999999997</v>
      </c>
      <c r="Y6" s="4140">
        <v>0</v>
      </c>
      <c r="Z6" s="4129">
        <v>0</v>
      </c>
      <c r="AA6" s="4129">
        <v>1996</v>
      </c>
      <c r="AB6" s="4178">
        <f t="shared" ref="AB6:AB69" si="7">+Y6+Z6+AA6</f>
        <v>1996</v>
      </c>
      <c r="AC6" s="4129">
        <v>0</v>
      </c>
      <c r="AD6" s="4129">
        <v>0</v>
      </c>
      <c r="AE6" s="4129">
        <v>0</v>
      </c>
      <c r="AF6" s="4139">
        <f t="shared" ref="AF6:AF69" si="8">SUM(AC6:AE6)</f>
        <v>0</v>
      </c>
      <c r="AG6" s="4177">
        <f t="shared" ref="AG6:AG69" si="9">+AB6+AF6</f>
        <v>1996</v>
      </c>
      <c r="AH6" s="4125">
        <v>0</v>
      </c>
      <c r="AI6" s="4125">
        <v>0</v>
      </c>
      <c r="AJ6" s="4125">
        <v>0</v>
      </c>
      <c r="AK6" s="4178">
        <f t="shared" ref="AK6:AK69" si="10">SUM(AH6:AJ6)</f>
        <v>0</v>
      </c>
      <c r="AL6" s="4129">
        <v>0</v>
      </c>
      <c r="AM6" s="4129">
        <v>143.75200000000001</v>
      </c>
      <c r="AN6" s="4176">
        <v>0</v>
      </c>
      <c r="AO6" s="4178">
        <f t="shared" ref="AO6:AO69" si="11">+AL6+AM6+AN6</f>
        <v>143.75200000000001</v>
      </c>
      <c r="AP6" s="4177">
        <f t="shared" ref="AP6:AP69" si="12">+AK6+AO6</f>
        <v>143.75200000000001</v>
      </c>
      <c r="AQ6" s="4138">
        <f t="shared" ref="AQ6:AQ69" si="13">SUM(Y6:AA6,AC6:AE6,AH6:AJ6,AL6:AN6)</f>
        <v>2139.752</v>
      </c>
      <c r="AR6" s="4128">
        <f t="shared" ref="AR6:AR69" si="14">+X6+AQ6</f>
        <v>85492.59599999999</v>
      </c>
      <c r="AS6" s="4175"/>
      <c r="AT6" s="4131"/>
      <c r="AU6" s="4137">
        <f t="shared" ref="AU6:AU69" si="15">+F6+Y6</f>
        <v>10690</v>
      </c>
      <c r="AV6" s="4136"/>
      <c r="AW6" s="4135">
        <f t="shared" ref="AW6:AW69" si="16">+G6+Z6</f>
        <v>7384</v>
      </c>
      <c r="AX6" s="4134"/>
      <c r="AY6" s="4134">
        <f t="shared" ref="AY6:AY69" si="17">AU6+AW6</f>
        <v>18074</v>
      </c>
      <c r="AZ6" s="4134"/>
      <c r="BA6" s="4135">
        <f t="shared" ref="BA6:BA69" si="18">+H6+AA6</f>
        <v>10312</v>
      </c>
      <c r="BB6" s="4133"/>
      <c r="BC6" s="4133">
        <f t="shared" ref="BC6:BC69" si="19">AU6+AW6+BA6</f>
        <v>28386</v>
      </c>
      <c r="BD6" s="4134"/>
      <c r="BE6" s="4135">
        <f t="shared" ref="BE6:BE69" si="20">+J6+AC6</f>
        <v>6985</v>
      </c>
      <c r="BF6" s="4132"/>
      <c r="BG6" s="4132">
        <f t="shared" ref="BG6:BG69" si="21">+BC6+BE6</f>
        <v>35371</v>
      </c>
      <c r="BH6" s="4134"/>
      <c r="BI6" s="4135">
        <f t="shared" ref="BI6:BI69" si="22">K6+AD6</f>
        <v>7915</v>
      </c>
      <c r="BJ6" s="4132"/>
      <c r="BK6" s="4132">
        <f t="shared" ref="BK6:BK69" si="23">+BG6+BI6</f>
        <v>43286</v>
      </c>
      <c r="BL6" s="4134"/>
      <c r="BM6" s="4135">
        <f t="shared" ref="BM6:BM69" si="24">+L6+AE6</f>
        <v>2902.5219999999999</v>
      </c>
      <c r="BN6" s="4134"/>
      <c r="BO6" s="4133">
        <f t="shared" ref="BO6:BO69" si="25">BE6+BI6+BM6</f>
        <v>17802.522000000001</v>
      </c>
      <c r="BP6" s="4134"/>
      <c r="BQ6" s="4157">
        <f t="shared" ref="BQ6:BQ69" si="26">BC6+BO6</f>
        <v>46188.521999999997</v>
      </c>
      <c r="BR6" s="4134"/>
      <c r="BS6" s="4135">
        <f t="shared" ref="BS6:BS69" si="27">+O6+AH6</f>
        <v>9369.2479999999996</v>
      </c>
      <c r="BT6" s="4134"/>
      <c r="BU6" s="4134">
        <f t="shared" ref="BU6:BU69" si="28">BQ6+BS6</f>
        <v>55557.77</v>
      </c>
      <c r="BV6" s="4134"/>
      <c r="BW6" s="4135">
        <f t="shared" ref="BW6:BW69" si="29">+P6+AI6</f>
        <v>99.358000000000004</v>
      </c>
      <c r="BX6" s="4134"/>
      <c r="BY6" s="4134">
        <f t="shared" ref="BY6:BY69" si="30">BU6+BW6</f>
        <v>55657.127999999997</v>
      </c>
      <c r="BZ6" s="4134"/>
      <c r="CA6" s="4135">
        <f t="shared" ref="CA6:CA69" si="31">+Q6+AJ6</f>
        <v>6465</v>
      </c>
      <c r="CB6" s="4134"/>
      <c r="CC6" s="4133">
        <f t="shared" ref="CC6:CC69" si="32">BS6+BW6+CA6</f>
        <v>15933.606</v>
      </c>
      <c r="CD6" s="4134"/>
      <c r="CE6" s="4134">
        <f t="shared" ref="CE6:CE69" si="33">BY6+CA6</f>
        <v>62122.127999999997</v>
      </c>
      <c r="CF6" s="4134"/>
      <c r="CG6" s="4135">
        <f t="shared" ref="CG6:CG69" si="34">+S6+AL6</f>
        <v>4052.538</v>
      </c>
      <c r="CH6" s="4134"/>
      <c r="CI6" s="4134">
        <f t="shared" ref="CI6:CI69" si="35">CG6+CE6</f>
        <v>66174.665999999997</v>
      </c>
      <c r="CJ6" s="4134"/>
      <c r="CK6" s="4135">
        <f t="shared" ref="CK6:CK69" si="36">+T6+AM6</f>
        <v>11087.93</v>
      </c>
      <c r="CL6" s="4134"/>
      <c r="CM6" s="4134">
        <f t="shared" ref="CM6:CM69" si="37">CI6+CK6</f>
        <v>77262.59599999999</v>
      </c>
      <c r="CN6" s="4134"/>
      <c r="CO6" s="4135">
        <f t="shared" ref="CO6:CO69" si="38">+U6+AN6</f>
        <v>8230</v>
      </c>
      <c r="CP6" s="4134"/>
      <c r="CQ6" s="4133">
        <f t="shared" ref="CQ6:CQ69" si="39">CG6+CK6+CO6</f>
        <v>23370.468000000001</v>
      </c>
      <c r="CR6" s="4134"/>
      <c r="CS6" s="4157">
        <f t="shared" ref="CS6:CS69" si="40">CC6+CQ6</f>
        <v>39304.074000000001</v>
      </c>
      <c r="CT6" s="4132"/>
      <c r="CU6" s="4160">
        <f t="shared" ref="CU6:CU69" si="41">SUM(AU6,AW6,BA6,BE6,BI6,BM6,BS6,BW6,CA6,CG6,CK6,CO6)</f>
        <v>85492.59599999999</v>
      </c>
      <c r="CV6" s="4159"/>
      <c r="CW6" s="4168"/>
    </row>
    <row r="7" spans="1:101" ht="15.6" x14ac:dyDescent="0.3">
      <c r="A7" s="4191"/>
      <c r="B7" s="4191"/>
      <c r="C7" s="4191"/>
      <c r="D7" s="4191"/>
      <c r="E7" s="4179" t="s">
        <v>1469</v>
      </c>
      <c r="F7" s="4171">
        <v>975</v>
      </c>
      <c r="G7" s="4129">
        <v>1008</v>
      </c>
      <c r="H7" s="4129"/>
      <c r="I7" s="4178">
        <f t="shared" si="0"/>
        <v>1983</v>
      </c>
      <c r="J7" s="4129">
        <v>734</v>
      </c>
      <c r="K7" s="4129">
        <v>731</v>
      </c>
      <c r="L7" s="4129">
        <v>2682.6660000000002</v>
      </c>
      <c r="M7" s="4178">
        <f t="shared" si="1"/>
        <v>4147.6660000000002</v>
      </c>
      <c r="N7" s="4177">
        <f t="shared" si="2"/>
        <v>6130.6660000000002</v>
      </c>
      <c r="O7" s="4125">
        <v>507.36</v>
      </c>
      <c r="P7" s="4125"/>
      <c r="Q7" s="4129">
        <v>746</v>
      </c>
      <c r="R7" s="4178">
        <f t="shared" si="3"/>
        <v>1253.3600000000001</v>
      </c>
      <c r="S7" s="4129">
        <v>1088.71</v>
      </c>
      <c r="T7" s="4129"/>
      <c r="U7" s="4176"/>
      <c r="V7" s="4178">
        <f t="shared" si="4"/>
        <v>1088.71</v>
      </c>
      <c r="W7" s="4177">
        <f t="shared" si="5"/>
        <v>2342.0700000000002</v>
      </c>
      <c r="X7" s="4141">
        <f t="shared" si="6"/>
        <v>8472.7360000000008</v>
      </c>
      <c r="Y7" s="4140">
        <v>0</v>
      </c>
      <c r="Z7" s="4129">
        <v>0</v>
      </c>
      <c r="AA7" s="4129"/>
      <c r="AB7" s="4178">
        <f t="shared" si="7"/>
        <v>0</v>
      </c>
      <c r="AC7" s="4129">
        <v>0</v>
      </c>
      <c r="AD7" s="4129">
        <v>0</v>
      </c>
      <c r="AE7" s="4129">
        <v>0</v>
      </c>
      <c r="AF7" s="4139">
        <f t="shared" si="8"/>
        <v>0</v>
      </c>
      <c r="AG7" s="4177">
        <f t="shared" si="9"/>
        <v>0</v>
      </c>
      <c r="AH7" s="4125">
        <v>0</v>
      </c>
      <c r="AI7" s="4125"/>
      <c r="AJ7" s="4125">
        <v>0</v>
      </c>
      <c r="AK7" s="4178">
        <f t="shared" si="10"/>
        <v>0</v>
      </c>
      <c r="AL7" s="4129">
        <v>0</v>
      </c>
      <c r="AM7" s="4129"/>
      <c r="AN7" s="4176"/>
      <c r="AO7" s="4178">
        <f t="shared" si="11"/>
        <v>0</v>
      </c>
      <c r="AP7" s="4177">
        <f t="shared" si="12"/>
        <v>0</v>
      </c>
      <c r="AQ7" s="4138">
        <f t="shared" si="13"/>
        <v>0</v>
      </c>
      <c r="AR7" s="4128">
        <f t="shared" si="14"/>
        <v>8472.7360000000008</v>
      </c>
      <c r="AS7" s="4175"/>
      <c r="AT7" s="4131"/>
      <c r="AU7" s="4137">
        <f t="shared" si="15"/>
        <v>975</v>
      </c>
      <c r="AV7" s="4136"/>
      <c r="AW7" s="4135">
        <f t="shared" si="16"/>
        <v>1008</v>
      </c>
      <c r="AX7" s="4134"/>
      <c r="AY7" s="4134">
        <f t="shared" si="17"/>
        <v>1983</v>
      </c>
      <c r="AZ7" s="4134"/>
      <c r="BA7" s="4135">
        <f t="shared" si="18"/>
        <v>0</v>
      </c>
      <c r="BB7" s="4133"/>
      <c r="BC7" s="4133">
        <f t="shared" si="19"/>
        <v>1983</v>
      </c>
      <c r="BD7" s="4134"/>
      <c r="BE7" s="4135">
        <f t="shared" si="20"/>
        <v>734</v>
      </c>
      <c r="BF7" s="4132"/>
      <c r="BG7" s="4132">
        <f t="shared" si="21"/>
        <v>2717</v>
      </c>
      <c r="BH7" s="4134"/>
      <c r="BI7" s="4135">
        <f t="shared" si="22"/>
        <v>731</v>
      </c>
      <c r="BJ7" s="4132"/>
      <c r="BK7" s="4132">
        <f t="shared" si="23"/>
        <v>3448</v>
      </c>
      <c r="BL7" s="4134"/>
      <c r="BM7" s="4135">
        <f t="shared" si="24"/>
        <v>2682.6660000000002</v>
      </c>
      <c r="BN7" s="4134"/>
      <c r="BO7" s="4133">
        <f t="shared" si="25"/>
        <v>4147.6660000000002</v>
      </c>
      <c r="BP7" s="4134"/>
      <c r="BQ7" s="4157">
        <f t="shared" si="26"/>
        <v>6130.6660000000002</v>
      </c>
      <c r="BR7" s="4134"/>
      <c r="BS7" s="4135">
        <f t="shared" si="27"/>
        <v>507.36</v>
      </c>
      <c r="BT7" s="4134"/>
      <c r="BU7" s="4134">
        <f t="shared" si="28"/>
        <v>6638.0259999999998</v>
      </c>
      <c r="BV7" s="4134"/>
      <c r="BW7" s="4135">
        <f t="shared" si="29"/>
        <v>0</v>
      </c>
      <c r="BX7" s="4134"/>
      <c r="BY7" s="4134">
        <f t="shared" si="30"/>
        <v>6638.0259999999998</v>
      </c>
      <c r="BZ7" s="4134"/>
      <c r="CA7" s="4135">
        <f t="shared" si="31"/>
        <v>746</v>
      </c>
      <c r="CB7" s="4134"/>
      <c r="CC7" s="4133">
        <f t="shared" si="32"/>
        <v>1253.3600000000001</v>
      </c>
      <c r="CD7" s="4134"/>
      <c r="CE7" s="4134">
        <f t="shared" si="33"/>
        <v>7384.0259999999998</v>
      </c>
      <c r="CF7" s="4134"/>
      <c r="CG7" s="4135">
        <f t="shared" si="34"/>
        <v>1088.71</v>
      </c>
      <c r="CH7" s="4134"/>
      <c r="CI7" s="4134">
        <f t="shared" si="35"/>
        <v>8472.7360000000008</v>
      </c>
      <c r="CJ7" s="4134"/>
      <c r="CK7" s="4135">
        <f t="shared" si="36"/>
        <v>0</v>
      </c>
      <c r="CL7" s="4134"/>
      <c r="CM7" s="4134">
        <f t="shared" si="37"/>
        <v>8472.7360000000008</v>
      </c>
      <c r="CN7" s="4134"/>
      <c r="CO7" s="4135">
        <f t="shared" si="38"/>
        <v>0</v>
      </c>
      <c r="CP7" s="4134"/>
      <c r="CQ7" s="4133">
        <f t="shared" si="39"/>
        <v>1088.71</v>
      </c>
      <c r="CR7" s="4134"/>
      <c r="CS7" s="4157">
        <f t="shared" si="40"/>
        <v>2342.0700000000002</v>
      </c>
      <c r="CT7" s="4132"/>
      <c r="CU7" s="4160">
        <f t="shared" si="41"/>
        <v>8472.7360000000008</v>
      </c>
      <c r="CV7" s="4159"/>
      <c r="CW7" s="4168"/>
    </row>
    <row r="8" spans="1:101" ht="15.6" x14ac:dyDescent="0.3">
      <c r="A8" s="4191"/>
      <c r="B8" s="4191"/>
      <c r="C8" s="4191"/>
      <c r="D8" s="4191"/>
      <c r="E8" s="4179" t="s">
        <v>1414</v>
      </c>
      <c r="F8" s="4171"/>
      <c r="G8" s="4129">
        <v>1239</v>
      </c>
      <c r="H8" s="4129"/>
      <c r="I8" s="4178">
        <f t="shared" si="0"/>
        <v>1239</v>
      </c>
      <c r="J8" s="4129">
        <v>1974</v>
      </c>
      <c r="K8" s="4129">
        <v>1258</v>
      </c>
      <c r="L8" s="4129">
        <v>1549.5619999999999</v>
      </c>
      <c r="M8" s="4178">
        <f t="shared" si="1"/>
        <v>4781.5619999999999</v>
      </c>
      <c r="N8" s="4177">
        <f t="shared" si="2"/>
        <v>6020.5619999999999</v>
      </c>
      <c r="O8" s="4125">
        <v>1471.3440000000001</v>
      </c>
      <c r="P8" s="4125"/>
      <c r="Q8" s="4129">
        <v>989</v>
      </c>
      <c r="R8" s="4178">
        <f t="shared" si="3"/>
        <v>2460.3440000000001</v>
      </c>
      <c r="S8" s="4129"/>
      <c r="T8" s="4129">
        <v>780.06600000000003</v>
      </c>
      <c r="U8" s="4176"/>
      <c r="V8" s="4178">
        <f t="shared" si="4"/>
        <v>780.06600000000003</v>
      </c>
      <c r="W8" s="4177">
        <f t="shared" si="5"/>
        <v>3240.41</v>
      </c>
      <c r="X8" s="4141">
        <f t="shared" si="6"/>
        <v>9260.9719999999998</v>
      </c>
      <c r="Y8" s="4140"/>
      <c r="Z8" s="4129">
        <v>0</v>
      </c>
      <c r="AA8" s="4129"/>
      <c r="AB8" s="4178">
        <f t="shared" si="7"/>
        <v>0</v>
      </c>
      <c r="AC8" s="4129">
        <v>0</v>
      </c>
      <c r="AD8" s="4129">
        <v>0</v>
      </c>
      <c r="AE8" s="4129">
        <v>0</v>
      </c>
      <c r="AF8" s="4139">
        <f t="shared" si="8"/>
        <v>0</v>
      </c>
      <c r="AG8" s="4177">
        <f t="shared" si="9"/>
        <v>0</v>
      </c>
      <c r="AH8" s="4125">
        <v>0</v>
      </c>
      <c r="AI8" s="4125"/>
      <c r="AJ8" s="4125">
        <v>0</v>
      </c>
      <c r="AK8" s="4178">
        <f t="shared" si="10"/>
        <v>0</v>
      </c>
      <c r="AL8" s="4129"/>
      <c r="AM8" s="4129">
        <v>0</v>
      </c>
      <c r="AN8" s="4176"/>
      <c r="AO8" s="4178">
        <f t="shared" si="11"/>
        <v>0</v>
      </c>
      <c r="AP8" s="4177">
        <f t="shared" si="12"/>
        <v>0</v>
      </c>
      <c r="AQ8" s="4138">
        <f t="shared" si="13"/>
        <v>0</v>
      </c>
      <c r="AR8" s="4128">
        <f t="shared" si="14"/>
        <v>9260.9719999999998</v>
      </c>
      <c r="AS8" s="4175"/>
      <c r="AT8" s="4131"/>
      <c r="AU8" s="4137">
        <f t="shared" si="15"/>
        <v>0</v>
      </c>
      <c r="AV8" s="4136"/>
      <c r="AW8" s="4135">
        <f t="shared" si="16"/>
        <v>1239</v>
      </c>
      <c r="AX8" s="4134"/>
      <c r="AY8" s="4134">
        <f t="shared" si="17"/>
        <v>1239</v>
      </c>
      <c r="AZ8" s="4134"/>
      <c r="BA8" s="4135">
        <f t="shared" si="18"/>
        <v>0</v>
      </c>
      <c r="BB8" s="4133"/>
      <c r="BC8" s="4133">
        <f t="shared" si="19"/>
        <v>1239</v>
      </c>
      <c r="BD8" s="4134"/>
      <c r="BE8" s="4135">
        <f t="shared" si="20"/>
        <v>1974</v>
      </c>
      <c r="BF8" s="4132"/>
      <c r="BG8" s="4132">
        <f t="shared" si="21"/>
        <v>3213</v>
      </c>
      <c r="BH8" s="4134"/>
      <c r="BI8" s="4135">
        <f t="shared" si="22"/>
        <v>1258</v>
      </c>
      <c r="BJ8" s="4132"/>
      <c r="BK8" s="4132">
        <f t="shared" si="23"/>
        <v>4471</v>
      </c>
      <c r="BL8" s="4134"/>
      <c r="BM8" s="4135">
        <f t="shared" si="24"/>
        <v>1549.5619999999999</v>
      </c>
      <c r="BN8" s="4134"/>
      <c r="BO8" s="4133">
        <f t="shared" si="25"/>
        <v>4781.5619999999999</v>
      </c>
      <c r="BP8" s="4134"/>
      <c r="BQ8" s="4157">
        <f t="shared" si="26"/>
        <v>6020.5619999999999</v>
      </c>
      <c r="BR8" s="4134"/>
      <c r="BS8" s="4135">
        <f t="shared" si="27"/>
        <v>1471.3440000000001</v>
      </c>
      <c r="BT8" s="4134"/>
      <c r="BU8" s="4134">
        <f t="shared" si="28"/>
        <v>7491.9059999999999</v>
      </c>
      <c r="BV8" s="4134"/>
      <c r="BW8" s="4135">
        <f t="shared" si="29"/>
        <v>0</v>
      </c>
      <c r="BX8" s="4134"/>
      <c r="BY8" s="4134">
        <f t="shared" si="30"/>
        <v>7491.9059999999999</v>
      </c>
      <c r="BZ8" s="4134"/>
      <c r="CA8" s="4135">
        <f t="shared" si="31"/>
        <v>989</v>
      </c>
      <c r="CB8" s="4134"/>
      <c r="CC8" s="4133">
        <f t="shared" si="32"/>
        <v>2460.3440000000001</v>
      </c>
      <c r="CD8" s="4134"/>
      <c r="CE8" s="4134">
        <f t="shared" si="33"/>
        <v>8480.905999999999</v>
      </c>
      <c r="CF8" s="4134"/>
      <c r="CG8" s="4135">
        <f t="shared" si="34"/>
        <v>0</v>
      </c>
      <c r="CH8" s="4134"/>
      <c r="CI8" s="4134">
        <f t="shared" si="35"/>
        <v>8480.905999999999</v>
      </c>
      <c r="CJ8" s="4134"/>
      <c r="CK8" s="4135">
        <f t="shared" si="36"/>
        <v>780.06600000000003</v>
      </c>
      <c r="CL8" s="4134"/>
      <c r="CM8" s="4134">
        <f t="shared" si="37"/>
        <v>9260.9719999999998</v>
      </c>
      <c r="CN8" s="4134"/>
      <c r="CO8" s="4135">
        <f t="shared" si="38"/>
        <v>0</v>
      </c>
      <c r="CP8" s="4134"/>
      <c r="CQ8" s="4133">
        <f t="shared" si="39"/>
        <v>780.06600000000003</v>
      </c>
      <c r="CR8" s="4134"/>
      <c r="CS8" s="4157">
        <f t="shared" si="40"/>
        <v>3240.41</v>
      </c>
      <c r="CT8" s="4132"/>
      <c r="CU8" s="4160">
        <f t="shared" si="41"/>
        <v>9260.9719999999998</v>
      </c>
      <c r="CV8" s="4159"/>
      <c r="CW8" s="4168"/>
    </row>
    <row r="9" spans="1:101" ht="15.6" x14ac:dyDescent="0.3">
      <c r="A9" s="4191"/>
      <c r="B9" s="4191"/>
      <c r="C9" s="4191"/>
      <c r="D9" s="4191"/>
      <c r="E9" s="4179" t="s">
        <v>1212</v>
      </c>
      <c r="F9" s="4171">
        <v>7008</v>
      </c>
      <c r="G9" s="4129">
        <v>2363</v>
      </c>
      <c r="H9" s="4129">
        <v>1459</v>
      </c>
      <c r="I9" s="4178">
        <f t="shared" si="0"/>
        <v>10830</v>
      </c>
      <c r="J9" s="4129">
        <v>4241</v>
      </c>
      <c r="K9" s="4129">
        <v>3091</v>
      </c>
      <c r="L9" s="4129">
        <v>9940.0280000000002</v>
      </c>
      <c r="M9" s="4178">
        <f t="shared" si="1"/>
        <v>17272.027999999998</v>
      </c>
      <c r="N9" s="4177">
        <f t="shared" si="2"/>
        <v>28102.027999999998</v>
      </c>
      <c r="O9" s="4125">
        <v>329.78399999999999</v>
      </c>
      <c r="P9" s="4125">
        <v>0</v>
      </c>
      <c r="Q9" s="4129">
        <v>6676</v>
      </c>
      <c r="R9" s="4178">
        <f t="shared" si="3"/>
        <v>7005.7839999999997</v>
      </c>
      <c r="S9" s="4129">
        <v>8240.3719999999994</v>
      </c>
      <c r="T9" s="4129">
        <v>5712.0280000000002</v>
      </c>
      <c r="U9" s="4176">
        <v>16386</v>
      </c>
      <c r="V9" s="4178">
        <f t="shared" si="4"/>
        <v>30338.400000000001</v>
      </c>
      <c r="W9" s="4177">
        <f t="shared" si="5"/>
        <v>37344.184000000001</v>
      </c>
      <c r="X9" s="4141">
        <f t="shared" si="6"/>
        <v>65446.211999999992</v>
      </c>
      <c r="Y9" s="4140">
        <v>2247</v>
      </c>
      <c r="Z9" s="4129">
        <v>945</v>
      </c>
      <c r="AA9" s="4129">
        <v>723</v>
      </c>
      <c r="AB9" s="4178">
        <f t="shared" si="7"/>
        <v>3915</v>
      </c>
      <c r="AC9" s="4129">
        <v>1353</v>
      </c>
      <c r="AD9" s="4129">
        <v>7429</v>
      </c>
      <c r="AE9" s="4129">
        <v>2179.5340000000001</v>
      </c>
      <c r="AF9" s="4139">
        <f t="shared" si="8"/>
        <v>10961.534</v>
      </c>
      <c r="AG9" s="4177">
        <f t="shared" si="9"/>
        <v>14876.534</v>
      </c>
      <c r="AH9" s="4125">
        <v>4972.1279999999997</v>
      </c>
      <c r="AI9" s="4125">
        <v>12.683999999999999</v>
      </c>
      <c r="AJ9" s="4125">
        <v>6550</v>
      </c>
      <c r="AK9" s="4178">
        <f t="shared" si="10"/>
        <v>11534.812</v>
      </c>
      <c r="AL9" s="4129">
        <v>8477.14</v>
      </c>
      <c r="AM9" s="4129">
        <v>12079.396000000001</v>
      </c>
      <c r="AN9" s="4176">
        <v>4469</v>
      </c>
      <c r="AO9" s="4178">
        <f t="shared" si="11"/>
        <v>25025.536</v>
      </c>
      <c r="AP9" s="4177">
        <f t="shared" si="12"/>
        <v>36560.347999999998</v>
      </c>
      <c r="AQ9" s="4138">
        <f t="shared" si="13"/>
        <v>51436.882000000005</v>
      </c>
      <c r="AR9" s="4128">
        <f t="shared" si="14"/>
        <v>116883.094</v>
      </c>
      <c r="AS9" s="4175"/>
      <c r="AT9" s="4131"/>
      <c r="AU9" s="4137">
        <f t="shared" si="15"/>
        <v>9255</v>
      </c>
      <c r="AV9" s="4136"/>
      <c r="AW9" s="4135">
        <f t="shared" si="16"/>
        <v>3308</v>
      </c>
      <c r="AX9" s="4134"/>
      <c r="AY9" s="4134">
        <f t="shared" si="17"/>
        <v>12563</v>
      </c>
      <c r="AZ9" s="4134"/>
      <c r="BA9" s="4135">
        <f t="shared" si="18"/>
        <v>2182</v>
      </c>
      <c r="BB9" s="4133"/>
      <c r="BC9" s="4133">
        <f t="shared" si="19"/>
        <v>14745</v>
      </c>
      <c r="BD9" s="4134"/>
      <c r="BE9" s="4135">
        <f t="shared" si="20"/>
        <v>5594</v>
      </c>
      <c r="BF9" s="4132"/>
      <c r="BG9" s="4132">
        <f t="shared" si="21"/>
        <v>20339</v>
      </c>
      <c r="BH9" s="4134"/>
      <c r="BI9" s="4135">
        <f t="shared" si="22"/>
        <v>10520</v>
      </c>
      <c r="BJ9" s="4132"/>
      <c r="BK9" s="4132">
        <f t="shared" si="23"/>
        <v>30859</v>
      </c>
      <c r="BL9" s="4134"/>
      <c r="BM9" s="4135">
        <f t="shared" si="24"/>
        <v>12119.562</v>
      </c>
      <c r="BN9" s="4134"/>
      <c r="BO9" s="4133">
        <f t="shared" si="25"/>
        <v>28233.561999999998</v>
      </c>
      <c r="BP9" s="4134"/>
      <c r="BQ9" s="4157">
        <f t="shared" si="26"/>
        <v>42978.561999999998</v>
      </c>
      <c r="BR9" s="4134"/>
      <c r="BS9" s="4135">
        <f t="shared" si="27"/>
        <v>5301.9119999999994</v>
      </c>
      <c r="BT9" s="4134"/>
      <c r="BU9" s="4134">
        <f t="shared" si="28"/>
        <v>48280.473999999995</v>
      </c>
      <c r="BV9" s="4134"/>
      <c r="BW9" s="4135">
        <f t="shared" si="29"/>
        <v>12.683999999999999</v>
      </c>
      <c r="BX9" s="4134"/>
      <c r="BY9" s="4134">
        <f t="shared" si="30"/>
        <v>48293.157999999996</v>
      </c>
      <c r="BZ9" s="4134"/>
      <c r="CA9" s="4135">
        <f t="shared" si="31"/>
        <v>13226</v>
      </c>
      <c r="CB9" s="4134"/>
      <c r="CC9" s="4133">
        <f t="shared" si="32"/>
        <v>18540.595999999998</v>
      </c>
      <c r="CD9" s="4134"/>
      <c r="CE9" s="4134">
        <f t="shared" si="33"/>
        <v>61519.157999999996</v>
      </c>
      <c r="CF9" s="4134"/>
      <c r="CG9" s="4135">
        <f t="shared" si="34"/>
        <v>16717.511999999999</v>
      </c>
      <c r="CH9" s="4134"/>
      <c r="CI9" s="4134">
        <f t="shared" si="35"/>
        <v>78236.67</v>
      </c>
      <c r="CJ9" s="4134"/>
      <c r="CK9" s="4135">
        <f t="shared" si="36"/>
        <v>17791.423999999999</v>
      </c>
      <c r="CL9" s="4134"/>
      <c r="CM9" s="4134">
        <f t="shared" si="37"/>
        <v>96028.093999999997</v>
      </c>
      <c r="CN9" s="4134"/>
      <c r="CO9" s="4135">
        <f t="shared" si="38"/>
        <v>20855</v>
      </c>
      <c r="CP9" s="4134"/>
      <c r="CQ9" s="4133">
        <f t="shared" si="39"/>
        <v>55363.936000000002</v>
      </c>
      <c r="CR9" s="4134"/>
      <c r="CS9" s="4157">
        <f t="shared" si="40"/>
        <v>73904.532000000007</v>
      </c>
      <c r="CT9" s="4132"/>
      <c r="CU9" s="4160">
        <f t="shared" si="41"/>
        <v>116883.094</v>
      </c>
      <c r="CV9" s="4159"/>
      <c r="CW9" s="4168"/>
    </row>
    <row r="10" spans="1:101" ht="15.6" x14ac:dyDescent="0.3">
      <c r="A10" s="4191"/>
      <c r="B10" s="4191"/>
      <c r="C10" s="4191"/>
      <c r="D10" s="4191"/>
      <c r="E10" s="4179" t="s">
        <v>1412</v>
      </c>
      <c r="F10" s="4171">
        <v>1019</v>
      </c>
      <c r="G10" s="4129"/>
      <c r="H10" s="4129"/>
      <c r="I10" s="4178">
        <f t="shared" si="0"/>
        <v>1019</v>
      </c>
      <c r="J10" s="4129">
        <v>719</v>
      </c>
      <c r="K10" s="4129">
        <v>1526</v>
      </c>
      <c r="L10" s="4129"/>
      <c r="M10" s="4178">
        <f t="shared" si="1"/>
        <v>2245</v>
      </c>
      <c r="N10" s="4177">
        <f t="shared" si="2"/>
        <v>3264</v>
      </c>
      <c r="O10" s="4125">
        <v>925.93200000000002</v>
      </c>
      <c r="P10" s="4125"/>
      <c r="Q10" s="4129">
        <v>581</v>
      </c>
      <c r="R10" s="4178">
        <f t="shared" si="3"/>
        <v>1506.932</v>
      </c>
      <c r="S10" s="4129">
        <v>410.11599999999999</v>
      </c>
      <c r="T10" s="4129">
        <v>585.57799999999997</v>
      </c>
      <c r="U10" s="4176"/>
      <c r="V10" s="4178">
        <f t="shared" si="4"/>
        <v>995.69399999999996</v>
      </c>
      <c r="W10" s="4177">
        <f t="shared" si="5"/>
        <v>2502.6260000000002</v>
      </c>
      <c r="X10" s="4141">
        <f t="shared" si="6"/>
        <v>5766.6260000000002</v>
      </c>
      <c r="Y10" s="4140">
        <v>0</v>
      </c>
      <c r="Z10" s="4129"/>
      <c r="AA10" s="4129"/>
      <c r="AB10" s="4178">
        <f t="shared" si="7"/>
        <v>0</v>
      </c>
      <c r="AC10" s="4129">
        <v>0</v>
      </c>
      <c r="AD10" s="4129">
        <v>0</v>
      </c>
      <c r="AE10" s="4129"/>
      <c r="AF10" s="4139">
        <f t="shared" si="8"/>
        <v>0</v>
      </c>
      <c r="AG10" s="4177">
        <f t="shared" si="9"/>
        <v>0</v>
      </c>
      <c r="AH10" s="4125">
        <v>0</v>
      </c>
      <c r="AI10" s="4125"/>
      <c r="AJ10" s="4125">
        <v>0</v>
      </c>
      <c r="AK10" s="4178">
        <f t="shared" si="10"/>
        <v>0</v>
      </c>
      <c r="AL10" s="4129">
        <v>0</v>
      </c>
      <c r="AM10" s="4129">
        <v>0</v>
      </c>
      <c r="AN10" s="4176"/>
      <c r="AO10" s="4178">
        <f t="shared" si="11"/>
        <v>0</v>
      </c>
      <c r="AP10" s="4177">
        <f t="shared" si="12"/>
        <v>0</v>
      </c>
      <c r="AQ10" s="4138">
        <f t="shared" si="13"/>
        <v>0</v>
      </c>
      <c r="AR10" s="4128">
        <f t="shared" si="14"/>
        <v>5766.6260000000002</v>
      </c>
      <c r="AS10" s="4175"/>
      <c r="AT10" s="4131"/>
      <c r="AU10" s="4137">
        <f t="shared" si="15"/>
        <v>1019</v>
      </c>
      <c r="AV10" s="4136"/>
      <c r="AW10" s="4135">
        <f t="shared" si="16"/>
        <v>0</v>
      </c>
      <c r="AX10" s="4134"/>
      <c r="AY10" s="4134">
        <f t="shared" si="17"/>
        <v>1019</v>
      </c>
      <c r="AZ10" s="4134"/>
      <c r="BA10" s="4135">
        <f t="shared" si="18"/>
        <v>0</v>
      </c>
      <c r="BB10" s="4133"/>
      <c r="BC10" s="4133">
        <f t="shared" si="19"/>
        <v>1019</v>
      </c>
      <c r="BD10" s="4134"/>
      <c r="BE10" s="4135">
        <f t="shared" si="20"/>
        <v>719</v>
      </c>
      <c r="BF10" s="4132"/>
      <c r="BG10" s="4132">
        <f t="shared" si="21"/>
        <v>1738</v>
      </c>
      <c r="BH10" s="4134"/>
      <c r="BI10" s="4135">
        <f t="shared" si="22"/>
        <v>1526</v>
      </c>
      <c r="BJ10" s="4132"/>
      <c r="BK10" s="4132">
        <f t="shared" si="23"/>
        <v>3264</v>
      </c>
      <c r="BL10" s="4134"/>
      <c r="BM10" s="4135">
        <f t="shared" si="24"/>
        <v>0</v>
      </c>
      <c r="BN10" s="4134"/>
      <c r="BO10" s="4133">
        <f t="shared" si="25"/>
        <v>2245</v>
      </c>
      <c r="BP10" s="4134"/>
      <c r="BQ10" s="4157">
        <f t="shared" si="26"/>
        <v>3264</v>
      </c>
      <c r="BR10" s="4134"/>
      <c r="BS10" s="4135">
        <f t="shared" si="27"/>
        <v>925.93200000000002</v>
      </c>
      <c r="BT10" s="4134"/>
      <c r="BU10" s="4134">
        <f t="shared" si="28"/>
        <v>4189.9319999999998</v>
      </c>
      <c r="BV10" s="4134"/>
      <c r="BW10" s="4135">
        <f t="shared" si="29"/>
        <v>0</v>
      </c>
      <c r="BX10" s="4134"/>
      <c r="BY10" s="4134">
        <f t="shared" si="30"/>
        <v>4189.9319999999998</v>
      </c>
      <c r="BZ10" s="4134"/>
      <c r="CA10" s="4135">
        <f t="shared" si="31"/>
        <v>581</v>
      </c>
      <c r="CB10" s="4134"/>
      <c r="CC10" s="4133">
        <f t="shared" si="32"/>
        <v>1506.932</v>
      </c>
      <c r="CD10" s="4134"/>
      <c r="CE10" s="4134">
        <f t="shared" si="33"/>
        <v>4770.9319999999998</v>
      </c>
      <c r="CF10" s="4134"/>
      <c r="CG10" s="4135">
        <f t="shared" si="34"/>
        <v>410.11599999999999</v>
      </c>
      <c r="CH10" s="4134"/>
      <c r="CI10" s="4134">
        <f t="shared" si="35"/>
        <v>5181.0479999999998</v>
      </c>
      <c r="CJ10" s="4134"/>
      <c r="CK10" s="4135">
        <f t="shared" si="36"/>
        <v>585.57799999999997</v>
      </c>
      <c r="CL10" s="4134"/>
      <c r="CM10" s="4134">
        <f t="shared" si="37"/>
        <v>5766.6260000000002</v>
      </c>
      <c r="CN10" s="4134"/>
      <c r="CO10" s="4135">
        <f t="shared" si="38"/>
        <v>0</v>
      </c>
      <c r="CP10" s="4134"/>
      <c r="CQ10" s="4133">
        <f t="shared" si="39"/>
        <v>995.69399999999996</v>
      </c>
      <c r="CR10" s="4134"/>
      <c r="CS10" s="4157">
        <f t="shared" si="40"/>
        <v>2502.6260000000002</v>
      </c>
      <c r="CT10" s="4132"/>
      <c r="CU10" s="4160">
        <f t="shared" si="41"/>
        <v>5766.6260000000002</v>
      </c>
      <c r="CV10" s="4159"/>
      <c r="CW10" s="4168"/>
    </row>
    <row r="11" spans="1:101" ht="15.6" x14ac:dyDescent="0.3">
      <c r="A11" s="4191"/>
      <c r="B11" s="4191"/>
      <c r="C11" s="4191"/>
      <c r="D11" s="4191"/>
      <c r="E11" s="4179" t="s">
        <v>1945</v>
      </c>
      <c r="F11" s="4171"/>
      <c r="G11" s="4129"/>
      <c r="H11" s="4129"/>
      <c r="I11" s="4178">
        <f t="shared" si="0"/>
        <v>0</v>
      </c>
      <c r="J11" s="4129"/>
      <c r="K11" s="4129"/>
      <c r="L11" s="4129">
        <v>1777.874</v>
      </c>
      <c r="M11" s="4178">
        <f t="shared" si="1"/>
        <v>1777.874</v>
      </c>
      <c r="N11" s="4177">
        <f t="shared" si="2"/>
        <v>1777.874</v>
      </c>
      <c r="O11" s="4125"/>
      <c r="P11" s="4125"/>
      <c r="Q11" s="4129"/>
      <c r="R11" s="4178">
        <f t="shared" si="3"/>
        <v>0</v>
      </c>
      <c r="S11" s="4129">
        <v>708.19</v>
      </c>
      <c r="T11" s="4129"/>
      <c r="U11" s="4176"/>
      <c r="V11" s="4178">
        <f t="shared" si="4"/>
        <v>708.19</v>
      </c>
      <c r="W11" s="4177">
        <f t="shared" si="5"/>
        <v>708.19</v>
      </c>
      <c r="X11" s="4141">
        <f t="shared" si="6"/>
        <v>2486.0640000000003</v>
      </c>
      <c r="Y11" s="4140"/>
      <c r="Z11" s="4129"/>
      <c r="AA11" s="4129"/>
      <c r="AB11" s="4178">
        <f t="shared" si="7"/>
        <v>0</v>
      </c>
      <c r="AC11" s="4129"/>
      <c r="AD11" s="4129"/>
      <c r="AE11" s="4129">
        <v>0</v>
      </c>
      <c r="AF11" s="4139">
        <f t="shared" si="8"/>
        <v>0</v>
      </c>
      <c r="AG11" s="4177">
        <f t="shared" si="9"/>
        <v>0</v>
      </c>
      <c r="AH11" s="4125"/>
      <c r="AI11" s="4125"/>
      <c r="AJ11" s="4125"/>
      <c r="AK11" s="4178">
        <f t="shared" si="10"/>
        <v>0</v>
      </c>
      <c r="AL11" s="4129">
        <v>0</v>
      </c>
      <c r="AM11" s="4129"/>
      <c r="AN11" s="4176"/>
      <c r="AO11" s="4178">
        <f t="shared" si="11"/>
        <v>0</v>
      </c>
      <c r="AP11" s="4177">
        <f t="shared" si="12"/>
        <v>0</v>
      </c>
      <c r="AQ11" s="4138">
        <f t="shared" si="13"/>
        <v>0</v>
      </c>
      <c r="AR11" s="4128">
        <f t="shared" si="14"/>
        <v>2486.0640000000003</v>
      </c>
      <c r="AS11" s="4175"/>
      <c r="AT11" s="4131"/>
      <c r="AU11" s="4137">
        <f t="shared" si="15"/>
        <v>0</v>
      </c>
      <c r="AV11" s="4136"/>
      <c r="AW11" s="4135">
        <f t="shared" si="16"/>
        <v>0</v>
      </c>
      <c r="AX11" s="4134"/>
      <c r="AY11" s="4134">
        <f t="shared" si="17"/>
        <v>0</v>
      </c>
      <c r="AZ11" s="4134"/>
      <c r="BA11" s="4135">
        <f t="shared" si="18"/>
        <v>0</v>
      </c>
      <c r="BB11" s="4133"/>
      <c r="BC11" s="4133">
        <f t="shared" si="19"/>
        <v>0</v>
      </c>
      <c r="BD11" s="4134"/>
      <c r="BE11" s="4135">
        <f t="shared" si="20"/>
        <v>0</v>
      </c>
      <c r="BF11" s="4132"/>
      <c r="BG11" s="4132">
        <f t="shared" si="21"/>
        <v>0</v>
      </c>
      <c r="BH11" s="4134"/>
      <c r="BI11" s="4135">
        <f t="shared" si="22"/>
        <v>0</v>
      </c>
      <c r="BJ11" s="4132"/>
      <c r="BK11" s="4132">
        <f t="shared" si="23"/>
        <v>0</v>
      </c>
      <c r="BL11" s="4134"/>
      <c r="BM11" s="4135">
        <f t="shared" si="24"/>
        <v>1777.874</v>
      </c>
      <c r="BN11" s="4134"/>
      <c r="BO11" s="4133">
        <f t="shared" si="25"/>
        <v>1777.874</v>
      </c>
      <c r="BP11" s="4134"/>
      <c r="BQ11" s="4157">
        <f t="shared" si="26"/>
        <v>1777.874</v>
      </c>
      <c r="BR11" s="4134"/>
      <c r="BS11" s="4135">
        <f t="shared" si="27"/>
        <v>0</v>
      </c>
      <c r="BT11" s="4134"/>
      <c r="BU11" s="4134">
        <f t="shared" si="28"/>
        <v>1777.874</v>
      </c>
      <c r="BV11" s="4134"/>
      <c r="BW11" s="4135">
        <f t="shared" si="29"/>
        <v>0</v>
      </c>
      <c r="BX11" s="4134"/>
      <c r="BY11" s="4134">
        <f t="shared" si="30"/>
        <v>1777.874</v>
      </c>
      <c r="BZ11" s="4134"/>
      <c r="CA11" s="4135">
        <f t="shared" si="31"/>
        <v>0</v>
      </c>
      <c r="CB11" s="4134"/>
      <c r="CC11" s="4133">
        <f t="shared" si="32"/>
        <v>0</v>
      </c>
      <c r="CD11" s="4134"/>
      <c r="CE11" s="4134">
        <f t="shared" si="33"/>
        <v>1777.874</v>
      </c>
      <c r="CF11" s="4134"/>
      <c r="CG11" s="4135">
        <f t="shared" si="34"/>
        <v>708.19</v>
      </c>
      <c r="CH11" s="4134"/>
      <c r="CI11" s="4134">
        <f t="shared" si="35"/>
        <v>2486.0640000000003</v>
      </c>
      <c r="CJ11" s="4134"/>
      <c r="CK11" s="4135">
        <f t="shared" si="36"/>
        <v>0</v>
      </c>
      <c r="CL11" s="4134"/>
      <c r="CM11" s="4134">
        <f t="shared" si="37"/>
        <v>2486.0640000000003</v>
      </c>
      <c r="CN11" s="4134"/>
      <c r="CO11" s="4135">
        <f t="shared" si="38"/>
        <v>0</v>
      </c>
      <c r="CP11" s="4134"/>
      <c r="CQ11" s="4133">
        <f t="shared" si="39"/>
        <v>708.19</v>
      </c>
      <c r="CR11" s="4134"/>
      <c r="CS11" s="4157">
        <f t="shared" si="40"/>
        <v>708.19</v>
      </c>
      <c r="CT11" s="4132"/>
      <c r="CU11" s="4160">
        <f t="shared" si="41"/>
        <v>2486.0640000000003</v>
      </c>
      <c r="CV11" s="4159"/>
      <c r="CW11" s="4168"/>
    </row>
    <row r="12" spans="1:101" ht="15.6" x14ac:dyDescent="0.3">
      <c r="A12" s="4191"/>
      <c r="B12" s="4191"/>
      <c r="C12" s="4191"/>
      <c r="D12" s="4191"/>
      <c r="E12" s="4179" t="s">
        <v>2103</v>
      </c>
      <c r="F12" s="4171"/>
      <c r="G12" s="4129"/>
      <c r="H12" s="4129"/>
      <c r="I12" s="4178">
        <f t="shared" si="0"/>
        <v>0</v>
      </c>
      <c r="J12" s="4129"/>
      <c r="K12" s="4129"/>
      <c r="L12" s="4129"/>
      <c r="M12" s="4178">
        <f t="shared" si="1"/>
        <v>0</v>
      </c>
      <c r="N12" s="4177">
        <f t="shared" si="2"/>
        <v>0</v>
      </c>
      <c r="O12" s="4125"/>
      <c r="P12" s="4125"/>
      <c r="Q12" s="4129"/>
      <c r="R12" s="4178">
        <f t="shared" si="3"/>
        <v>0</v>
      </c>
      <c r="S12" s="4129"/>
      <c r="T12" s="4129">
        <v>107.81399999999999</v>
      </c>
      <c r="U12" s="4176">
        <v>150</v>
      </c>
      <c r="V12" s="4178">
        <f t="shared" si="4"/>
        <v>257.81399999999996</v>
      </c>
      <c r="W12" s="4177">
        <f t="shared" si="5"/>
        <v>257.81399999999996</v>
      </c>
      <c r="X12" s="4141">
        <f t="shared" si="6"/>
        <v>257.81399999999996</v>
      </c>
      <c r="Y12" s="4140"/>
      <c r="Z12" s="4129"/>
      <c r="AA12" s="4129"/>
      <c r="AB12" s="4178">
        <f t="shared" si="7"/>
        <v>0</v>
      </c>
      <c r="AC12" s="4129"/>
      <c r="AD12" s="4129"/>
      <c r="AE12" s="4129"/>
      <c r="AF12" s="4139">
        <f t="shared" si="8"/>
        <v>0</v>
      </c>
      <c r="AG12" s="4177">
        <f t="shared" si="9"/>
        <v>0</v>
      </c>
      <c r="AH12" s="4125"/>
      <c r="AI12" s="4125"/>
      <c r="AJ12" s="4125"/>
      <c r="AK12" s="4178">
        <f t="shared" si="10"/>
        <v>0</v>
      </c>
      <c r="AL12" s="4129"/>
      <c r="AM12" s="4129">
        <v>0</v>
      </c>
      <c r="AN12" s="4176">
        <v>0</v>
      </c>
      <c r="AO12" s="4178">
        <f t="shared" si="11"/>
        <v>0</v>
      </c>
      <c r="AP12" s="4177">
        <f t="shared" si="12"/>
        <v>0</v>
      </c>
      <c r="AQ12" s="4138">
        <f t="shared" si="13"/>
        <v>0</v>
      </c>
      <c r="AR12" s="4128">
        <f t="shared" si="14"/>
        <v>257.81399999999996</v>
      </c>
      <c r="AS12" s="4175"/>
      <c r="AT12" s="4131"/>
      <c r="AU12" s="4137">
        <f t="shared" si="15"/>
        <v>0</v>
      </c>
      <c r="AV12" s="4136"/>
      <c r="AW12" s="4135">
        <f t="shared" si="16"/>
        <v>0</v>
      </c>
      <c r="AX12" s="4134"/>
      <c r="AY12" s="4134">
        <f t="shared" si="17"/>
        <v>0</v>
      </c>
      <c r="AZ12" s="4134"/>
      <c r="BA12" s="4135">
        <f t="shared" si="18"/>
        <v>0</v>
      </c>
      <c r="BB12" s="4133"/>
      <c r="BC12" s="4133">
        <f t="shared" si="19"/>
        <v>0</v>
      </c>
      <c r="BD12" s="4134"/>
      <c r="BE12" s="4135">
        <f t="shared" si="20"/>
        <v>0</v>
      </c>
      <c r="BF12" s="4132"/>
      <c r="BG12" s="4132">
        <f t="shared" si="21"/>
        <v>0</v>
      </c>
      <c r="BH12" s="4134"/>
      <c r="BI12" s="4135">
        <f t="shared" si="22"/>
        <v>0</v>
      </c>
      <c r="BJ12" s="4132"/>
      <c r="BK12" s="4132">
        <f t="shared" si="23"/>
        <v>0</v>
      </c>
      <c r="BL12" s="4134"/>
      <c r="BM12" s="4135">
        <f t="shared" si="24"/>
        <v>0</v>
      </c>
      <c r="BN12" s="4134"/>
      <c r="BO12" s="4133">
        <f t="shared" si="25"/>
        <v>0</v>
      </c>
      <c r="BP12" s="4134"/>
      <c r="BQ12" s="4157">
        <f t="shared" si="26"/>
        <v>0</v>
      </c>
      <c r="BR12" s="4134"/>
      <c r="BS12" s="4135">
        <f t="shared" si="27"/>
        <v>0</v>
      </c>
      <c r="BT12" s="4134"/>
      <c r="BU12" s="4134">
        <f t="shared" si="28"/>
        <v>0</v>
      </c>
      <c r="BV12" s="4134"/>
      <c r="BW12" s="4135">
        <f t="shared" si="29"/>
        <v>0</v>
      </c>
      <c r="BX12" s="4134"/>
      <c r="BY12" s="4134">
        <f t="shared" si="30"/>
        <v>0</v>
      </c>
      <c r="BZ12" s="4134"/>
      <c r="CA12" s="4135">
        <f t="shared" si="31"/>
        <v>0</v>
      </c>
      <c r="CB12" s="4134"/>
      <c r="CC12" s="4133">
        <f t="shared" si="32"/>
        <v>0</v>
      </c>
      <c r="CD12" s="4134"/>
      <c r="CE12" s="4134">
        <f t="shared" si="33"/>
        <v>0</v>
      </c>
      <c r="CF12" s="4134"/>
      <c r="CG12" s="4135">
        <f t="shared" si="34"/>
        <v>0</v>
      </c>
      <c r="CH12" s="4134"/>
      <c r="CI12" s="4134">
        <f t="shared" si="35"/>
        <v>0</v>
      </c>
      <c r="CJ12" s="4134"/>
      <c r="CK12" s="4135">
        <f t="shared" si="36"/>
        <v>107.81399999999999</v>
      </c>
      <c r="CL12" s="4134"/>
      <c r="CM12" s="4134">
        <f t="shared" si="37"/>
        <v>107.81399999999999</v>
      </c>
      <c r="CN12" s="4134"/>
      <c r="CO12" s="4135">
        <f t="shared" si="38"/>
        <v>150</v>
      </c>
      <c r="CP12" s="4134"/>
      <c r="CQ12" s="4133">
        <f t="shared" si="39"/>
        <v>257.81399999999996</v>
      </c>
      <c r="CR12" s="4134"/>
      <c r="CS12" s="4157">
        <f t="shared" si="40"/>
        <v>257.81399999999996</v>
      </c>
      <c r="CT12" s="4132"/>
      <c r="CU12" s="4160">
        <f t="shared" si="41"/>
        <v>257.81399999999996</v>
      </c>
      <c r="CV12" s="4159"/>
      <c r="CW12" s="4168"/>
    </row>
    <row r="13" spans="1:101" ht="15.6" x14ac:dyDescent="0.3">
      <c r="A13" s="4191"/>
      <c r="B13" s="4191"/>
      <c r="C13" s="4191"/>
      <c r="D13" s="4191"/>
      <c r="E13" s="4179" t="s">
        <v>1429</v>
      </c>
      <c r="F13" s="4171">
        <v>1311</v>
      </c>
      <c r="G13" s="4129">
        <v>323</v>
      </c>
      <c r="H13" s="4129">
        <v>1412</v>
      </c>
      <c r="I13" s="4178">
        <f t="shared" si="0"/>
        <v>3046</v>
      </c>
      <c r="J13" s="4129">
        <v>1325</v>
      </c>
      <c r="K13" s="4129">
        <v>528</v>
      </c>
      <c r="L13" s="4129">
        <v>1621.4380000000001</v>
      </c>
      <c r="M13" s="4178">
        <f t="shared" si="1"/>
        <v>3474.4380000000001</v>
      </c>
      <c r="N13" s="4177">
        <f t="shared" si="2"/>
        <v>6520.4380000000001</v>
      </c>
      <c r="O13" s="4125">
        <v>215.62799999999999</v>
      </c>
      <c r="P13" s="4125"/>
      <c r="Q13" s="4129">
        <v>1687</v>
      </c>
      <c r="R13" s="4178">
        <f t="shared" si="3"/>
        <v>1902.6279999999999</v>
      </c>
      <c r="S13" s="4129"/>
      <c r="T13" s="4129"/>
      <c r="U13" s="4176"/>
      <c r="V13" s="4178">
        <f t="shared" si="4"/>
        <v>0</v>
      </c>
      <c r="W13" s="4177">
        <f t="shared" si="5"/>
        <v>1902.6279999999999</v>
      </c>
      <c r="X13" s="4141">
        <f t="shared" si="6"/>
        <v>8423.0659999999989</v>
      </c>
      <c r="Y13" s="4140">
        <v>1245</v>
      </c>
      <c r="Z13" s="4129">
        <v>1714</v>
      </c>
      <c r="AA13" s="4129">
        <v>774</v>
      </c>
      <c r="AB13" s="4178">
        <f t="shared" si="7"/>
        <v>3733</v>
      </c>
      <c r="AC13" s="4129">
        <v>2949</v>
      </c>
      <c r="AD13" s="4129">
        <v>2816</v>
      </c>
      <c r="AE13" s="4129">
        <v>4257.5959999999995</v>
      </c>
      <c r="AF13" s="4139">
        <f t="shared" si="8"/>
        <v>10022.596</v>
      </c>
      <c r="AG13" s="4177">
        <f t="shared" si="9"/>
        <v>13755.596</v>
      </c>
      <c r="AH13" s="4125">
        <v>684.93600000000004</v>
      </c>
      <c r="AI13" s="4125"/>
      <c r="AJ13" s="4125">
        <v>2516</v>
      </c>
      <c r="AK13" s="4178">
        <f t="shared" si="10"/>
        <v>3200.9360000000001</v>
      </c>
      <c r="AL13" s="4129"/>
      <c r="AM13" s="4129"/>
      <c r="AN13" s="4176"/>
      <c r="AO13" s="4178">
        <f t="shared" si="11"/>
        <v>0</v>
      </c>
      <c r="AP13" s="4177">
        <f t="shared" si="12"/>
        <v>3200.9360000000001</v>
      </c>
      <c r="AQ13" s="4138">
        <f t="shared" si="13"/>
        <v>16956.531999999999</v>
      </c>
      <c r="AR13" s="4128">
        <f t="shared" si="14"/>
        <v>25379.597999999998</v>
      </c>
      <c r="AS13" s="4175"/>
      <c r="AT13" s="4131"/>
      <c r="AU13" s="4137">
        <f t="shared" si="15"/>
        <v>2556</v>
      </c>
      <c r="AV13" s="4136"/>
      <c r="AW13" s="4135">
        <f t="shared" si="16"/>
        <v>2037</v>
      </c>
      <c r="AX13" s="4134"/>
      <c r="AY13" s="4134">
        <f t="shared" si="17"/>
        <v>4593</v>
      </c>
      <c r="AZ13" s="4134"/>
      <c r="BA13" s="4135">
        <f t="shared" si="18"/>
        <v>2186</v>
      </c>
      <c r="BB13" s="4133"/>
      <c r="BC13" s="4133">
        <f t="shared" si="19"/>
        <v>6779</v>
      </c>
      <c r="BD13" s="4134"/>
      <c r="BE13" s="4135">
        <f t="shared" si="20"/>
        <v>4274</v>
      </c>
      <c r="BF13" s="4132"/>
      <c r="BG13" s="4132">
        <f t="shared" si="21"/>
        <v>11053</v>
      </c>
      <c r="BH13" s="4134"/>
      <c r="BI13" s="4135">
        <f t="shared" si="22"/>
        <v>3344</v>
      </c>
      <c r="BJ13" s="4132"/>
      <c r="BK13" s="4132">
        <f t="shared" si="23"/>
        <v>14397</v>
      </c>
      <c r="BL13" s="4134"/>
      <c r="BM13" s="4135">
        <f t="shared" si="24"/>
        <v>5879.0339999999997</v>
      </c>
      <c r="BN13" s="4134"/>
      <c r="BO13" s="4133">
        <f t="shared" si="25"/>
        <v>13497.034</v>
      </c>
      <c r="BP13" s="4134"/>
      <c r="BQ13" s="4157">
        <f t="shared" si="26"/>
        <v>20276.034</v>
      </c>
      <c r="BR13" s="4134"/>
      <c r="BS13" s="4135">
        <f t="shared" si="27"/>
        <v>900.56400000000008</v>
      </c>
      <c r="BT13" s="4134"/>
      <c r="BU13" s="4134">
        <f t="shared" si="28"/>
        <v>21176.597999999998</v>
      </c>
      <c r="BV13" s="4134"/>
      <c r="BW13" s="4135">
        <f t="shared" si="29"/>
        <v>0</v>
      </c>
      <c r="BX13" s="4134"/>
      <c r="BY13" s="4134">
        <f t="shared" si="30"/>
        <v>21176.597999999998</v>
      </c>
      <c r="BZ13" s="4134"/>
      <c r="CA13" s="4135">
        <f t="shared" si="31"/>
        <v>4203</v>
      </c>
      <c r="CB13" s="4134"/>
      <c r="CC13" s="4133">
        <f t="shared" si="32"/>
        <v>5103.5640000000003</v>
      </c>
      <c r="CD13" s="4134"/>
      <c r="CE13" s="4134">
        <f t="shared" si="33"/>
        <v>25379.597999999998</v>
      </c>
      <c r="CF13" s="4134"/>
      <c r="CG13" s="4135">
        <f t="shared" si="34"/>
        <v>0</v>
      </c>
      <c r="CH13" s="4134"/>
      <c r="CI13" s="4134">
        <f t="shared" si="35"/>
        <v>25379.597999999998</v>
      </c>
      <c r="CJ13" s="4134"/>
      <c r="CK13" s="4135">
        <f t="shared" si="36"/>
        <v>0</v>
      </c>
      <c r="CL13" s="4134"/>
      <c r="CM13" s="4134">
        <f t="shared" si="37"/>
        <v>25379.597999999998</v>
      </c>
      <c r="CN13" s="4134"/>
      <c r="CO13" s="4135">
        <f t="shared" si="38"/>
        <v>0</v>
      </c>
      <c r="CP13" s="4134"/>
      <c r="CQ13" s="4133">
        <f t="shared" si="39"/>
        <v>0</v>
      </c>
      <c r="CR13" s="4134"/>
      <c r="CS13" s="4157">
        <f t="shared" si="40"/>
        <v>5103.5640000000003</v>
      </c>
      <c r="CT13" s="4132"/>
      <c r="CU13" s="4160">
        <f t="shared" si="41"/>
        <v>25379.597999999998</v>
      </c>
      <c r="CV13" s="4159"/>
      <c r="CW13" s="4168"/>
    </row>
    <row r="14" spans="1:101" ht="15.6" x14ac:dyDescent="0.3">
      <c r="A14" s="4191"/>
      <c r="B14" s="4191"/>
      <c r="C14" s="4191"/>
      <c r="D14" s="4191"/>
      <c r="E14" s="4179" t="s">
        <v>1428</v>
      </c>
      <c r="F14" s="4171">
        <v>0</v>
      </c>
      <c r="G14" s="4129">
        <v>0</v>
      </c>
      <c r="H14" s="4129">
        <v>0</v>
      </c>
      <c r="I14" s="4178">
        <f t="shared" si="0"/>
        <v>0</v>
      </c>
      <c r="J14" s="4129">
        <v>0</v>
      </c>
      <c r="K14" s="4129"/>
      <c r="L14" s="4129">
        <v>0</v>
      </c>
      <c r="M14" s="4178">
        <f t="shared" si="1"/>
        <v>0</v>
      </c>
      <c r="N14" s="4177">
        <f t="shared" si="2"/>
        <v>0</v>
      </c>
      <c r="O14" s="4125">
        <v>0</v>
      </c>
      <c r="P14" s="4125"/>
      <c r="Q14" s="4129">
        <v>0</v>
      </c>
      <c r="R14" s="4178">
        <f t="shared" si="3"/>
        <v>0</v>
      </c>
      <c r="S14" s="4129">
        <v>0</v>
      </c>
      <c r="T14" s="4129">
        <v>0</v>
      </c>
      <c r="U14" s="4176">
        <v>0</v>
      </c>
      <c r="V14" s="4178">
        <f t="shared" si="4"/>
        <v>0</v>
      </c>
      <c r="W14" s="4177">
        <f t="shared" si="5"/>
        <v>0</v>
      </c>
      <c r="X14" s="4141">
        <f t="shared" si="6"/>
        <v>0</v>
      </c>
      <c r="Y14" s="4140">
        <v>888</v>
      </c>
      <c r="Z14" s="4129">
        <v>131</v>
      </c>
      <c r="AA14" s="4129">
        <v>1423</v>
      </c>
      <c r="AB14" s="4178">
        <f t="shared" si="7"/>
        <v>2442</v>
      </c>
      <c r="AC14" s="4129">
        <v>2437</v>
      </c>
      <c r="AD14" s="4129"/>
      <c r="AE14" s="4129">
        <v>2386.7060000000001</v>
      </c>
      <c r="AF14" s="4139">
        <f t="shared" si="8"/>
        <v>4823.7060000000001</v>
      </c>
      <c r="AG14" s="4177">
        <f t="shared" si="9"/>
        <v>7265.7060000000001</v>
      </c>
      <c r="AH14" s="4125">
        <v>1678.5160000000001</v>
      </c>
      <c r="AI14" s="4125"/>
      <c r="AJ14" s="4125">
        <v>1133</v>
      </c>
      <c r="AK14" s="4178">
        <f t="shared" si="10"/>
        <v>2811.5160000000001</v>
      </c>
      <c r="AL14" s="4129">
        <v>4010.2579999999998</v>
      </c>
      <c r="AM14" s="4129">
        <v>1705.998</v>
      </c>
      <c r="AN14" s="4176">
        <v>2334</v>
      </c>
      <c r="AO14" s="4178">
        <f t="shared" si="11"/>
        <v>8050.2559999999994</v>
      </c>
      <c r="AP14" s="4177">
        <f t="shared" si="12"/>
        <v>10861.771999999999</v>
      </c>
      <c r="AQ14" s="4138">
        <f t="shared" si="13"/>
        <v>18127.477999999999</v>
      </c>
      <c r="AR14" s="4128">
        <f t="shared" si="14"/>
        <v>18127.477999999999</v>
      </c>
      <c r="AS14" s="4175"/>
      <c r="AT14" s="4131"/>
      <c r="AU14" s="4137">
        <f t="shared" si="15"/>
        <v>888</v>
      </c>
      <c r="AV14" s="4136"/>
      <c r="AW14" s="4135">
        <f t="shared" si="16"/>
        <v>131</v>
      </c>
      <c r="AX14" s="4134"/>
      <c r="AY14" s="4134">
        <f t="shared" si="17"/>
        <v>1019</v>
      </c>
      <c r="AZ14" s="4134"/>
      <c r="BA14" s="4135">
        <f t="shared" si="18"/>
        <v>1423</v>
      </c>
      <c r="BB14" s="4133"/>
      <c r="BC14" s="4133">
        <f t="shared" si="19"/>
        <v>2442</v>
      </c>
      <c r="BD14" s="4134"/>
      <c r="BE14" s="4135">
        <f t="shared" si="20"/>
        <v>2437</v>
      </c>
      <c r="BF14" s="4132"/>
      <c r="BG14" s="4132">
        <f t="shared" si="21"/>
        <v>4879</v>
      </c>
      <c r="BH14" s="4134"/>
      <c r="BI14" s="4135">
        <f t="shared" si="22"/>
        <v>0</v>
      </c>
      <c r="BJ14" s="4132"/>
      <c r="BK14" s="4132">
        <f t="shared" si="23"/>
        <v>4879</v>
      </c>
      <c r="BL14" s="4134"/>
      <c r="BM14" s="4135">
        <f t="shared" si="24"/>
        <v>2386.7060000000001</v>
      </c>
      <c r="BN14" s="4134"/>
      <c r="BO14" s="4133">
        <f t="shared" si="25"/>
        <v>4823.7060000000001</v>
      </c>
      <c r="BP14" s="4134"/>
      <c r="BQ14" s="4157">
        <f t="shared" si="26"/>
        <v>7265.7060000000001</v>
      </c>
      <c r="BR14" s="4134"/>
      <c r="BS14" s="4135">
        <f t="shared" si="27"/>
        <v>1678.5160000000001</v>
      </c>
      <c r="BT14" s="4134"/>
      <c r="BU14" s="4134">
        <f t="shared" si="28"/>
        <v>8944.2219999999998</v>
      </c>
      <c r="BV14" s="4134"/>
      <c r="BW14" s="4135">
        <f t="shared" si="29"/>
        <v>0</v>
      </c>
      <c r="BX14" s="4134"/>
      <c r="BY14" s="4134">
        <f t="shared" si="30"/>
        <v>8944.2219999999998</v>
      </c>
      <c r="BZ14" s="4134"/>
      <c r="CA14" s="4135">
        <f t="shared" si="31"/>
        <v>1133</v>
      </c>
      <c r="CB14" s="4134"/>
      <c r="CC14" s="4133">
        <f t="shared" si="32"/>
        <v>2811.5160000000001</v>
      </c>
      <c r="CD14" s="4134"/>
      <c r="CE14" s="4134">
        <f t="shared" si="33"/>
        <v>10077.222</v>
      </c>
      <c r="CF14" s="4134"/>
      <c r="CG14" s="4135">
        <f t="shared" si="34"/>
        <v>4010.2579999999998</v>
      </c>
      <c r="CH14" s="4134"/>
      <c r="CI14" s="4134">
        <f t="shared" si="35"/>
        <v>14087.48</v>
      </c>
      <c r="CJ14" s="4134"/>
      <c r="CK14" s="4135">
        <f t="shared" si="36"/>
        <v>1705.998</v>
      </c>
      <c r="CL14" s="4134"/>
      <c r="CM14" s="4134">
        <f t="shared" si="37"/>
        <v>15793.477999999999</v>
      </c>
      <c r="CN14" s="4134"/>
      <c r="CO14" s="4135">
        <f t="shared" si="38"/>
        <v>2334</v>
      </c>
      <c r="CP14" s="4134"/>
      <c r="CQ14" s="4133">
        <f t="shared" si="39"/>
        <v>8050.2559999999994</v>
      </c>
      <c r="CR14" s="4134"/>
      <c r="CS14" s="4157">
        <f t="shared" si="40"/>
        <v>10861.771999999999</v>
      </c>
      <c r="CT14" s="4132"/>
      <c r="CU14" s="4160">
        <f t="shared" si="41"/>
        <v>18127.477999999999</v>
      </c>
      <c r="CV14" s="4159"/>
      <c r="CW14" s="4168"/>
    </row>
    <row r="15" spans="1:101" ht="15.6" x14ac:dyDescent="0.3">
      <c r="A15" s="4191"/>
      <c r="B15" s="4191"/>
      <c r="C15" s="4191"/>
      <c r="D15" s="4191"/>
      <c r="E15" s="4179" t="s">
        <v>1213</v>
      </c>
      <c r="F15" s="4171">
        <v>1180</v>
      </c>
      <c r="G15" s="4129">
        <v>1163</v>
      </c>
      <c r="H15" s="4129">
        <v>1148</v>
      </c>
      <c r="I15" s="4178">
        <f t="shared" si="0"/>
        <v>3491</v>
      </c>
      <c r="J15" s="4129">
        <v>0</v>
      </c>
      <c r="K15" s="4129">
        <v>0</v>
      </c>
      <c r="L15" s="4129">
        <v>0</v>
      </c>
      <c r="M15" s="4178">
        <f t="shared" si="1"/>
        <v>0</v>
      </c>
      <c r="N15" s="4177">
        <f t="shared" si="2"/>
        <v>3491</v>
      </c>
      <c r="O15" s="4125">
        <v>837.14400000000001</v>
      </c>
      <c r="P15" s="4125">
        <v>300.18799999999999</v>
      </c>
      <c r="Q15" s="4129">
        <v>435</v>
      </c>
      <c r="R15" s="4178">
        <f t="shared" si="3"/>
        <v>1572.3319999999999</v>
      </c>
      <c r="S15" s="4129"/>
      <c r="T15" s="4129"/>
      <c r="U15" s="4176"/>
      <c r="V15" s="4178">
        <f t="shared" si="4"/>
        <v>0</v>
      </c>
      <c r="W15" s="4177">
        <f t="shared" si="5"/>
        <v>1572.3319999999999</v>
      </c>
      <c r="X15" s="4141">
        <f t="shared" si="6"/>
        <v>5063.3320000000003</v>
      </c>
      <c r="Y15" s="4140">
        <v>74922</v>
      </c>
      <c r="Z15" s="4129">
        <v>73850</v>
      </c>
      <c r="AA15" s="4129">
        <v>45971</v>
      </c>
      <c r="AB15" s="4178">
        <f t="shared" si="7"/>
        <v>194743</v>
      </c>
      <c r="AC15" s="4129">
        <v>76273</v>
      </c>
      <c r="AD15" s="4129">
        <v>76178</v>
      </c>
      <c r="AE15" s="4129">
        <v>71981.7</v>
      </c>
      <c r="AF15" s="4139">
        <f t="shared" si="8"/>
        <v>224432.7</v>
      </c>
      <c r="AG15" s="4177">
        <f t="shared" si="9"/>
        <v>419175.7</v>
      </c>
      <c r="AH15" s="4125">
        <v>84722.778000000006</v>
      </c>
      <c r="AI15" s="4125">
        <v>3929.9259999999999</v>
      </c>
      <c r="AJ15" s="4125">
        <v>70641</v>
      </c>
      <c r="AK15" s="4178">
        <f t="shared" si="10"/>
        <v>159293.70400000003</v>
      </c>
      <c r="AL15" s="4129"/>
      <c r="AM15" s="4129"/>
      <c r="AN15" s="4176"/>
      <c r="AO15" s="4178">
        <f t="shared" si="11"/>
        <v>0</v>
      </c>
      <c r="AP15" s="4177">
        <f t="shared" si="12"/>
        <v>159293.70400000003</v>
      </c>
      <c r="AQ15" s="4138">
        <f t="shared" si="13"/>
        <v>578469.40399999998</v>
      </c>
      <c r="AR15" s="4128">
        <f t="shared" si="14"/>
        <v>583532.73600000003</v>
      </c>
      <c r="AS15" s="4175"/>
      <c r="AT15" s="4131"/>
      <c r="AU15" s="4137">
        <f t="shared" si="15"/>
        <v>76102</v>
      </c>
      <c r="AV15" s="4136"/>
      <c r="AW15" s="4135">
        <f t="shared" si="16"/>
        <v>75013</v>
      </c>
      <c r="AX15" s="4134"/>
      <c r="AY15" s="4134">
        <f t="shared" si="17"/>
        <v>151115</v>
      </c>
      <c r="AZ15" s="4134"/>
      <c r="BA15" s="4135">
        <f t="shared" si="18"/>
        <v>47119</v>
      </c>
      <c r="BB15" s="4133"/>
      <c r="BC15" s="4133">
        <f t="shared" si="19"/>
        <v>198234</v>
      </c>
      <c r="BD15" s="4134"/>
      <c r="BE15" s="4135">
        <f t="shared" si="20"/>
        <v>76273</v>
      </c>
      <c r="BF15" s="4132"/>
      <c r="BG15" s="4132">
        <f t="shared" si="21"/>
        <v>274507</v>
      </c>
      <c r="BH15" s="4134"/>
      <c r="BI15" s="4135">
        <f t="shared" si="22"/>
        <v>76178</v>
      </c>
      <c r="BJ15" s="4132"/>
      <c r="BK15" s="4132">
        <f t="shared" si="23"/>
        <v>350685</v>
      </c>
      <c r="BL15" s="4134"/>
      <c r="BM15" s="4135">
        <f t="shared" si="24"/>
        <v>71981.7</v>
      </c>
      <c r="BN15" s="4134"/>
      <c r="BO15" s="4133">
        <f t="shared" si="25"/>
        <v>224432.7</v>
      </c>
      <c r="BP15" s="4134"/>
      <c r="BQ15" s="4157">
        <f t="shared" si="26"/>
        <v>422666.7</v>
      </c>
      <c r="BR15" s="4134"/>
      <c r="BS15" s="4135">
        <f t="shared" si="27"/>
        <v>85559.922000000006</v>
      </c>
      <c r="BT15" s="4134"/>
      <c r="BU15" s="4134">
        <f t="shared" si="28"/>
        <v>508226.62200000003</v>
      </c>
      <c r="BV15" s="4134"/>
      <c r="BW15" s="4135">
        <f t="shared" si="29"/>
        <v>4230.1139999999996</v>
      </c>
      <c r="BX15" s="4134"/>
      <c r="BY15" s="4134">
        <f t="shared" si="30"/>
        <v>512456.73600000003</v>
      </c>
      <c r="BZ15" s="4134"/>
      <c r="CA15" s="4135">
        <f t="shared" si="31"/>
        <v>71076</v>
      </c>
      <c r="CB15" s="4134"/>
      <c r="CC15" s="4133">
        <f t="shared" si="32"/>
        <v>160866.03600000002</v>
      </c>
      <c r="CD15" s="4134"/>
      <c r="CE15" s="4134">
        <f t="shared" si="33"/>
        <v>583532.73600000003</v>
      </c>
      <c r="CF15" s="4134"/>
      <c r="CG15" s="4135">
        <f t="shared" si="34"/>
        <v>0</v>
      </c>
      <c r="CH15" s="4134"/>
      <c r="CI15" s="4134">
        <f t="shared" si="35"/>
        <v>583532.73600000003</v>
      </c>
      <c r="CJ15" s="4134"/>
      <c r="CK15" s="4135">
        <f t="shared" si="36"/>
        <v>0</v>
      </c>
      <c r="CL15" s="4134"/>
      <c r="CM15" s="4134">
        <f t="shared" si="37"/>
        <v>583532.73600000003</v>
      </c>
      <c r="CN15" s="4134"/>
      <c r="CO15" s="4135">
        <f t="shared" si="38"/>
        <v>0</v>
      </c>
      <c r="CP15" s="4134"/>
      <c r="CQ15" s="4133">
        <f t="shared" si="39"/>
        <v>0</v>
      </c>
      <c r="CR15" s="4134"/>
      <c r="CS15" s="4157">
        <f t="shared" si="40"/>
        <v>160866.03600000002</v>
      </c>
      <c r="CT15" s="4132"/>
      <c r="CU15" s="4160">
        <f t="shared" si="41"/>
        <v>583532.73600000003</v>
      </c>
      <c r="CV15" s="4159"/>
      <c r="CW15" s="4168"/>
    </row>
    <row r="16" spans="1:101" ht="15.6" x14ac:dyDescent="0.3">
      <c r="A16" s="4191"/>
      <c r="B16" s="4191"/>
      <c r="C16" s="4191"/>
      <c r="D16" s="4191"/>
      <c r="E16" s="4179" t="s">
        <v>1206</v>
      </c>
      <c r="F16" s="4171">
        <v>4733</v>
      </c>
      <c r="G16" s="4129">
        <v>4262</v>
      </c>
      <c r="H16" s="4129">
        <v>4539</v>
      </c>
      <c r="I16" s="4178">
        <f t="shared" si="0"/>
        <v>13534</v>
      </c>
      <c r="J16" s="4129">
        <v>7655</v>
      </c>
      <c r="K16" s="4129">
        <v>6424</v>
      </c>
      <c r="L16" s="4129">
        <v>5972.05</v>
      </c>
      <c r="M16" s="4178">
        <f t="shared" si="1"/>
        <v>20051.05</v>
      </c>
      <c r="N16" s="4177">
        <f t="shared" si="2"/>
        <v>33585.050000000003</v>
      </c>
      <c r="O16" s="4125">
        <v>11333.154</v>
      </c>
      <c r="P16" s="4125">
        <v>1327.5920000000001</v>
      </c>
      <c r="Q16" s="4129">
        <v>6486</v>
      </c>
      <c r="R16" s="4178">
        <f t="shared" si="3"/>
        <v>19146.745999999999</v>
      </c>
      <c r="S16" s="4129">
        <v>6559.7420000000002</v>
      </c>
      <c r="T16" s="4129">
        <v>8658.9439999999995</v>
      </c>
      <c r="U16" s="4176">
        <v>3501</v>
      </c>
      <c r="V16" s="4178">
        <f t="shared" si="4"/>
        <v>18719.686000000002</v>
      </c>
      <c r="W16" s="4177">
        <f t="shared" si="5"/>
        <v>37866.432000000001</v>
      </c>
      <c r="X16" s="4141">
        <f t="shared" si="6"/>
        <v>71451.482000000004</v>
      </c>
      <c r="Y16" s="4140">
        <v>0</v>
      </c>
      <c r="Z16" s="4129">
        <v>0</v>
      </c>
      <c r="AA16" s="4129">
        <v>0</v>
      </c>
      <c r="AB16" s="4178">
        <f t="shared" si="7"/>
        <v>0</v>
      </c>
      <c r="AC16" s="4129">
        <v>0</v>
      </c>
      <c r="AD16" s="4129">
        <v>412</v>
      </c>
      <c r="AE16" s="4129">
        <v>0</v>
      </c>
      <c r="AF16" s="4139">
        <f t="shared" si="8"/>
        <v>412</v>
      </c>
      <c r="AG16" s="4177">
        <f t="shared" si="9"/>
        <v>412</v>
      </c>
      <c r="AH16" s="4125">
        <v>310.75799999999998</v>
      </c>
      <c r="AI16" s="4125">
        <v>0</v>
      </c>
      <c r="AJ16" s="4125">
        <v>0</v>
      </c>
      <c r="AK16" s="4178">
        <f t="shared" si="10"/>
        <v>310.75799999999998</v>
      </c>
      <c r="AL16" s="4129">
        <v>0</v>
      </c>
      <c r="AM16" s="4129">
        <v>147.97999999999999</v>
      </c>
      <c r="AN16" s="4176">
        <v>0</v>
      </c>
      <c r="AO16" s="4178">
        <f t="shared" si="11"/>
        <v>147.97999999999999</v>
      </c>
      <c r="AP16" s="4177">
        <f t="shared" si="12"/>
        <v>458.73799999999994</v>
      </c>
      <c r="AQ16" s="4138">
        <f t="shared" si="13"/>
        <v>870.73800000000006</v>
      </c>
      <c r="AR16" s="4128">
        <f t="shared" si="14"/>
        <v>72322.22</v>
      </c>
      <c r="AS16" s="4175"/>
      <c r="AT16" s="4131"/>
      <c r="AU16" s="4137">
        <f t="shared" si="15"/>
        <v>4733</v>
      </c>
      <c r="AV16" s="4136"/>
      <c r="AW16" s="4135">
        <f t="shared" si="16"/>
        <v>4262</v>
      </c>
      <c r="AX16" s="4134"/>
      <c r="AY16" s="4134">
        <f t="shared" si="17"/>
        <v>8995</v>
      </c>
      <c r="AZ16" s="4134"/>
      <c r="BA16" s="4135">
        <f t="shared" si="18"/>
        <v>4539</v>
      </c>
      <c r="BB16" s="4133"/>
      <c r="BC16" s="4133">
        <f t="shared" si="19"/>
        <v>13534</v>
      </c>
      <c r="BD16" s="4134"/>
      <c r="BE16" s="4135">
        <f t="shared" si="20"/>
        <v>7655</v>
      </c>
      <c r="BF16" s="4132"/>
      <c r="BG16" s="4132">
        <f t="shared" si="21"/>
        <v>21189</v>
      </c>
      <c r="BH16" s="4134"/>
      <c r="BI16" s="4135">
        <f t="shared" si="22"/>
        <v>6836</v>
      </c>
      <c r="BJ16" s="4132"/>
      <c r="BK16" s="4132">
        <f t="shared" si="23"/>
        <v>28025</v>
      </c>
      <c r="BL16" s="4134"/>
      <c r="BM16" s="4135">
        <f t="shared" si="24"/>
        <v>5972.05</v>
      </c>
      <c r="BN16" s="4134"/>
      <c r="BO16" s="4133">
        <f t="shared" si="25"/>
        <v>20463.05</v>
      </c>
      <c r="BP16" s="4134"/>
      <c r="BQ16" s="4157">
        <f t="shared" si="26"/>
        <v>33997.050000000003</v>
      </c>
      <c r="BR16" s="4134"/>
      <c r="BS16" s="4135">
        <f t="shared" si="27"/>
        <v>11643.912</v>
      </c>
      <c r="BT16" s="4134"/>
      <c r="BU16" s="4134">
        <f t="shared" si="28"/>
        <v>45640.962</v>
      </c>
      <c r="BV16" s="4134"/>
      <c r="BW16" s="4135">
        <f t="shared" si="29"/>
        <v>1327.5920000000001</v>
      </c>
      <c r="BX16" s="4134"/>
      <c r="BY16" s="4134">
        <f t="shared" si="30"/>
        <v>46968.553999999996</v>
      </c>
      <c r="BZ16" s="4134"/>
      <c r="CA16" s="4135">
        <f t="shared" si="31"/>
        <v>6486</v>
      </c>
      <c r="CB16" s="4134"/>
      <c r="CC16" s="4133">
        <f t="shared" si="32"/>
        <v>19457.504000000001</v>
      </c>
      <c r="CD16" s="4134"/>
      <c r="CE16" s="4134">
        <f t="shared" si="33"/>
        <v>53454.553999999996</v>
      </c>
      <c r="CF16" s="4134"/>
      <c r="CG16" s="4135">
        <f t="shared" si="34"/>
        <v>6559.7420000000002</v>
      </c>
      <c r="CH16" s="4134"/>
      <c r="CI16" s="4134">
        <f t="shared" si="35"/>
        <v>60014.295999999995</v>
      </c>
      <c r="CJ16" s="4134"/>
      <c r="CK16" s="4135">
        <f t="shared" si="36"/>
        <v>8806.9239999999991</v>
      </c>
      <c r="CL16" s="4134"/>
      <c r="CM16" s="4134">
        <f t="shared" si="37"/>
        <v>68821.22</v>
      </c>
      <c r="CN16" s="4134"/>
      <c r="CO16" s="4135">
        <f t="shared" si="38"/>
        <v>3501</v>
      </c>
      <c r="CP16" s="4134"/>
      <c r="CQ16" s="4133">
        <f t="shared" si="39"/>
        <v>18867.665999999997</v>
      </c>
      <c r="CR16" s="4134"/>
      <c r="CS16" s="4157">
        <f t="shared" si="40"/>
        <v>38325.17</v>
      </c>
      <c r="CT16" s="4132"/>
      <c r="CU16" s="4160">
        <f t="shared" si="41"/>
        <v>72322.22</v>
      </c>
      <c r="CV16" s="4159"/>
      <c r="CW16" s="4168"/>
    </row>
    <row r="17" spans="1:101" ht="15.6" x14ac:dyDescent="0.3">
      <c r="A17" s="4191"/>
      <c r="B17" s="4191"/>
      <c r="C17" s="4191"/>
      <c r="D17" s="4191"/>
      <c r="E17" s="4179" t="s">
        <v>1421</v>
      </c>
      <c r="F17" s="4171">
        <v>110</v>
      </c>
      <c r="G17" s="4129">
        <v>816</v>
      </c>
      <c r="H17" s="4129">
        <v>101</v>
      </c>
      <c r="I17" s="4178">
        <f t="shared" si="0"/>
        <v>1027</v>
      </c>
      <c r="J17" s="4129">
        <v>670</v>
      </c>
      <c r="K17" s="4129">
        <v>998</v>
      </c>
      <c r="L17" s="4129">
        <v>1249.374</v>
      </c>
      <c r="M17" s="4178">
        <f t="shared" si="1"/>
        <v>2917.3739999999998</v>
      </c>
      <c r="N17" s="4177">
        <f t="shared" si="2"/>
        <v>3944.3739999999998</v>
      </c>
      <c r="O17" s="4125">
        <v>572.89400000000001</v>
      </c>
      <c r="P17" s="4125"/>
      <c r="Q17" s="4129">
        <v>1239</v>
      </c>
      <c r="R17" s="4178">
        <f t="shared" si="3"/>
        <v>1811.894</v>
      </c>
      <c r="S17" s="4129">
        <v>1109.8499999999999</v>
      </c>
      <c r="T17" s="4129">
        <v>591.91999999999996</v>
      </c>
      <c r="U17" s="4176">
        <v>1074</v>
      </c>
      <c r="V17" s="4178">
        <f t="shared" si="4"/>
        <v>2775.77</v>
      </c>
      <c r="W17" s="4177">
        <f t="shared" si="5"/>
        <v>4587.6639999999998</v>
      </c>
      <c r="X17" s="4141">
        <f t="shared" si="6"/>
        <v>8532.0380000000005</v>
      </c>
      <c r="Y17" s="4140">
        <v>0</v>
      </c>
      <c r="Z17" s="4129">
        <v>0</v>
      </c>
      <c r="AA17" s="4129">
        <v>0</v>
      </c>
      <c r="AB17" s="4178">
        <f t="shared" si="7"/>
        <v>0</v>
      </c>
      <c r="AC17" s="4129">
        <v>0</v>
      </c>
      <c r="AD17" s="4129">
        <v>0</v>
      </c>
      <c r="AE17" s="4129">
        <v>0</v>
      </c>
      <c r="AF17" s="4139">
        <f t="shared" si="8"/>
        <v>0</v>
      </c>
      <c r="AG17" s="4177">
        <f t="shared" si="9"/>
        <v>0</v>
      </c>
      <c r="AH17" s="4125">
        <v>0</v>
      </c>
      <c r="AI17" s="4125"/>
      <c r="AJ17" s="4125">
        <v>0</v>
      </c>
      <c r="AK17" s="4178">
        <f t="shared" si="10"/>
        <v>0</v>
      </c>
      <c r="AL17" s="4129">
        <v>0</v>
      </c>
      <c r="AM17" s="4129">
        <v>0</v>
      </c>
      <c r="AN17" s="4176">
        <v>0</v>
      </c>
      <c r="AO17" s="4178">
        <f t="shared" si="11"/>
        <v>0</v>
      </c>
      <c r="AP17" s="4177">
        <f t="shared" si="12"/>
        <v>0</v>
      </c>
      <c r="AQ17" s="4138">
        <f t="shared" si="13"/>
        <v>0</v>
      </c>
      <c r="AR17" s="4128">
        <f t="shared" si="14"/>
        <v>8532.0380000000005</v>
      </c>
      <c r="AS17" s="4175"/>
      <c r="AT17" s="4131"/>
      <c r="AU17" s="4137">
        <f t="shared" si="15"/>
        <v>110</v>
      </c>
      <c r="AV17" s="4136"/>
      <c r="AW17" s="4135">
        <f t="shared" si="16"/>
        <v>816</v>
      </c>
      <c r="AX17" s="4134"/>
      <c r="AY17" s="4134">
        <f t="shared" si="17"/>
        <v>926</v>
      </c>
      <c r="AZ17" s="4134"/>
      <c r="BA17" s="4135">
        <f t="shared" si="18"/>
        <v>101</v>
      </c>
      <c r="BB17" s="4133"/>
      <c r="BC17" s="4133">
        <f t="shared" si="19"/>
        <v>1027</v>
      </c>
      <c r="BD17" s="4134"/>
      <c r="BE17" s="4135">
        <f t="shared" si="20"/>
        <v>670</v>
      </c>
      <c r="BF17" s="4132"/>
      <c r="BG17" s="4132">
        <f t="shared" si="21"/>
        <v>1697</v>
      </c>
      <c r="BH17" s="4134"/>
      <c r="BI17" s="4135">
        <f t="shared" si="22"/>
        <v>998</v>
      </c>
      <c r="BJ17" s="4132"/>
      <c r="BK17" s="4132">
        <f t="shared" si="23"/>
        <v>2695</v>
      </c>
      <c r="BL17" s="4134"/>
      <c r="BM17" s="4135">
        <f t="shared" si="24"/>
        <v>1249.374</v>
      </c>
      <c r="BN17" s="4134"/>
      <c r="BO17" s="4133">
        <f t="shared" si="25"/>
        <v>2917.3739999999998</v>
      </c>
      <c r="BP17" s="4134"/>
      <c r="BQ17" s="4157">
        <f t="shared" si="26"/>
        <v>3944.3739999999998</v>
      </c>
      <c r="BR17" s="4134"/>
      <c r="BS17" s="4135">
        <f t="shared" si="27"/>
        <v>572.89400000000001</v>
      </c>
      <c r="BT17" s="4134"/>
      <c r="BU17" s="4134">
        <f t="shared" si="28"/>
        <v>4517.268</v>
      </c>
      <c r="BV17" s="4134"/>
      <c r="BW17" s="4135">
        <f t="shared" si="29"/>
        <v>0</v>
      </c>
      <c r="BX17" s="4134"/>
      <c r="BY17" s="4134">
        <f t="shared" si="30"/>
        <v>4517.268</v>
      </c>
      <c r="BZ17" s="4134"/>
      <c r="CA17" s="4135">
        <f t="shared" si="31"/>
        <v>1239</v>
      </c>
      <c r="CB17" s="4134"/>
      <c r="CC17" s="4133">
        <f t="shared" si="32"/>
        <v>1811.894</v>
      </c>
      <c r="CD17" s="4134"/>
      <c r="CE17" s="4134">
        <f t="shared" si="33"/>
        <v>5756.268</v>
      </c>
      <c r="CF17" s="4134"/>
      <c r="CG17" s="4135">
        <f t="shared" si="34"/>
        <v>1109.8499999999999</v>
      </c>
      <c r="CH17" s="4134"/>
      <c r="CI17" s="4134">
        <f t="shared" si="35"/>
        <v>6866.1180000000004</v>
      </c>
      <c r="CJ17" s="4134"/>
      <c r="CK17" s="4135">
        <f t="shared" si="36"/>
        <v>591.91999999999996</v>
      </c>
      <c r="CL17" s="4134"/>
      <c r="CM17" s="4134">
        <f t="shared" si="37"/>
        <v>7458.0380000000005</v>
      </c>
      <c r="CN17" s="4134"/>
      <c r="CO17" s="4135">
        <f t="shared" si="38"/>
        <v>1074</v>
      </c>
      <c r="CP17" s="4134"/>
      <c r="CQ17" s="4133">
        <f t="shared" si="39"/>
        <v>2775.77</v>
      </c>
      <c r="CR17" s="4134"/>
      <c r="CS17" s="4157">
        <f t="shared" si="40"/>
        <v>4587.6639999999998</v>
      </c>
      <c r="CT17" s="4132"/>
      <c r="CU17" s="4160">
        <f t="shared" si="41"/>
        <v>8532.0380000000005</v>
      </c>
      <c r="CV17" s="4159"/>
      <c r="CW17" s="4168"/>
    </row>
    <row r="18" spans="1:101" ht="15.6" x14ac:dyDescent="0.3">
      <c r="A18" s="4191"/>
      <c r="B18" s="4191"/>
      <c r="C18" s="4191"/>
      <c r="D18" s="4191"/>
      <c r="E18" s="4179" t="s">
        <v>1420</v>
      </c>
      <c r="F18" s="4171">
        <v>332</v>
      </c>
      <c r="G18" s="4129"/>
      <c r="H18" s="4129"/>
      <c r="I18" s="4178">
        <f t="shared" si="0"/>
        <v>332</v>
      </c>
      <c r="J18" s="4129">
        <v>209</v>
      </c>
      <c r="K18" s="4129">
        <v>543</v>
      </c>
      <c r="L18" s="4129">
        <v>1399.4680000000001</v>
      </c>
      <c r="M18" s="4178">
        <f t="shared" si="1"/>
        <v>2151.4679999999998</v>
      </c>
      <c r="N18" s="4177">
        <f t="shared" si="2"/>
        <v>2483.4679999999998</v>
      </c>
      <c r="O18" s="4125">
        <v>287.50400000000002</v>
      </c>
      <c r="P18" s="4125"/>
      <c r="Q18" s="4129">
        <v>545</v>
      </c>
      <c r="R18" s="4178">
        <f t="shared" si="3"/>
        <v>832.50400000000002</v>
      </c>
      <c r="S18" s="4129">
        <v>1602.412</v>
      </c>
      <c r="T18" s="4129">
        <v>841.37199999999996</v>
      </c>
      <c r="U18" s="4176">
        <v>738</v>
      </c>
      <c r="V18" s="4178">
        <f t="shared" si="4"/>
        <v>3181.7840000000001</v>
      </c>
      <c r="W18" s="4177">
        <f t="shared" si="5"/>
        <v>4014.288</v>
      </c>
      <c r="X18" s="4141">
        <f t="shared" si="6"/>
        <v>6497.7560000000003</v>
      </c>
      <c r="Y18" s="4140">
        <v>0</v>
      </c>
      <c r="Z18" s="4129"/>
      <c r="AA18" s="4129"/>
      <c r="AB18" s="4178">
        <f t="shared" si="7"/>
        <v>0</v>
      </c>
      <c r="AC18" s="4129">
        <v>0</v>
      </c>
      <c r="AD18" s="4129">
        <v>0</v>
      </c>
      <c r="AE18" s="4129">
        <v>0</v>
      </c>
      <c r="AF18" s="4139">
        <f t="shared" si="8"/>
        <v>0</v>
      </c>
      <c r="AG18" s="4177">
        <f t="shared" si="9"/>
        <v>0</v>
      </c>
      <c r="AH18" s="4125">
        <v>0</v>
      </c>
      <c r="AI18" s="4125"/>
      <c r="AJ18" s="4125">
        <v>0</v>
      </c>
      <c r="AK18" s="4178">
        <f t="shared" si="10"/>
        <v>0</v>
      </c>
      <c r="AL18" s="4129">
        <v>0</v>
      </c>
      <c r="AM18" s="4129">
        <v>0</v>
      </c>
      <c r="AN18" s="4176">
        <v>0</v>
      </c>
      <c r="AO18" s="4178">
        <f t="shared" si="11"/>
        <v>0</v>
      </c>
      <c r="AP18" s="4177">
        <f t="shared" si="12"/>
        <v>0</v>
      </c>
      <c r="AQ18" s="4138">
        <f t="shared" si="13"/>
        <v>0</v>
      </c>
      <c r="AR18" s="4128">
        <f t="shared" si="14"/>
        <v>6497.7560000000003</v>
      </c>
      <c r="AS18" s="4175"/>
      <c r="AT18" s="4131"/>
      <c r="AU18" s="4137">
        <f t="shared" si="15"/>
        <v>332</v>
      </c>
      <c r="AV18" s="4136"/>
      <c r="AW18" s="4135">
        <f t="shared" si="16"/>
        <v>0</v>
      </c>
      <c r="AX18" s="4134"/>
      <c r="AY18" s="4134">
        <f t="shared" si="17"/>
        <v>332</v>
      </c>
      <c r="AZ18" s="4134"/>
      <c r="BA18" s="4135">
        <f t="shared" si="18"/>
        <v>0</v>
      </c>
      <c r="BB18" s="4133"/>
      <c r="BC18" s="4133">
        <f t="shared" si="19"/>
        <v>332</v>
      </c>
      <c r="BD18" s="4134"/>
      <c r="BE18" s="4135">
        <f t="shared" si="20"/>
        <v>209</v>
      </c>
      <c r="BF18" s="4132"/>
      <c r="BG18" s="4132">
        <f t="shared" si="21"/>
        <v>541</v>
      </c>
      <c r="BH18" s="4134"/>
      <c r="BI18" s="4135">
        <f t="shared" si="22"/>
        <v>543</v>
      </c>
      <c r="BJ18" s="4132"/>
      <c r="BK18" s="4132">
        <f t="shared" si="23"/>
        <v>1084</v>
      </c>
      <c r="BL18" s="4134"/>
      <c r="BM18" s="4135">
        <f t="shared" si="24"/>
        <v>1399.4680000000001</v>
      </c>
      <c r="BN18" s="4134"/>
      <c r="BO18" s="4133">
        <f t="shared" si="25"/>
        <v>2151.4679999999998</v>
      </c>
      <c r="BP18" s="4134"/>
      <c r="BQ18" s="4157">
        <f t="shared" si="26"/>
        <v>2483.4679999999998</v>
      </c>
      <c r="BR18" s="4134"/>
      <c r="BS18" s="4135">
        <f t="shared" si="27"/>
        <v>287.50400000000002</v>
      </c>
      <c r="BT18" s="4134"/>
      <c r="BU18" s="4134">
        <f t="shared" si="28"/>
        <v>2770.9719999999998</v>
      </c>
      <c r="BV18" s="4134"/>
      <c r="BW18" s="4135">
        <f t="shared" si="29"/>
        <v>0</v>
      </c>
      <c r="BX18" s="4134"/>
      <c r="BY18" s="4134">
        <f t="shared" si="30"/>
        <v>2770.9719999999998</v>
      </c>
      <c r="BZ18" s="4134"/>
      <c r="CA18" s="4135">
        <f t="shared" si="31"/>
        <v>545</v>
      </c>
      <c r="CB18" s="4134"/>
      <c r="CC18" s="4133">
        <f t="shared" si="32"/>
        <v>832.50400000000002</v>
      </c>
      <c r="CD18" s="4134"/>
      <c r="CE18" s="4134">
        <f t="shared" si="33"/>
        <v>3315.9719999999998</v>
      </c>
      <c r="CF18" s="4134"/>
      <c r="CG18" s="4135">
        <f t="shared" si="34"/>
        <v>1602.412</v>
      </c>
      <c r="CH18" s="4134"/>
      <c r="CI18" s="4134">
        <f t="shared" si="35"/>
        <v>4918.384</v>
      </c>
      <c r="CJ18" s="4134"/>
      <c r="CK18" s="4135">
        <f t="shared" si="36"/>
        <v>841.37199999999996</v>
      </c>
      <c r="CL18" s="4134"/>
      <c r="CM18" s="4134">
        <f t="shared" si="37"/>
        <v>5759.7560000000003</v>
      </c>
      <c r="CN18" s="4134"/>
      <c r="CO18" s="4135">
        <f t="shared" si="38"/>
        <v>738</v>
      </c>
      <c r="CP18" s="4134"/>
      <c r="CQ18" s="4133">
        <f t="shared" si="39"/>
        <v>3181.7840000000001</v>
      </c>
      <c r="CR18" s="4134"/>
      <c r="CS18" s="4157">
        <f t="shared" si="40"/>
        <v>4014.288</v>
      </c>
      <c r="CT18" s="4132"/>
      <c r="CU18" s="4160">
        <f t="shared" si="41"/>
        <v>6497.7560000000003</v>
      </c>
      <c r="CV18" s="4159"/>
      <c r="CW18" s="4168"/>
    </row>
    <row r="19" spans="1:101" ht="15.6" x14ac:dyDescent="0.3">
      <c r="A19" s="4191"/>
      <c r="B19" s="4191"/>
      <c r="C19" s="4191"/>
      <c r="D19" s="4191"/>
      <c r="E19" s="4179" t="s">
        <v>1419</v>
      </c>
      <c r="F19" s="4171"/>
      <c r="G19" s="4129">
        <v>1319</v>
      </c>
      <c r="H19" s="4129"/>
      <c r="I19" s="4178">
        <f t="shared" si="0"/>
        <v>1319</v>
      </c>
      <c r="J19" s="4129">
        <v>1425</v>
      </c>
      <c r="K19" s="4129">
        <v>2228</v>
      </c>
      <c r="L19" s="4129">
        <v>1221.8920000000001</v>
      </c>
      <c r="M19" s="4178">
        <f t="shared" si="1"/>
        <v>4874.8919999999998</v>
      </c>
      <c r="N19" s="4177">
        <f t="shared" si="2"/>
        <v>6193.8919999999998</v>
      </c>
      <c r="O19" s="4125">
        <v>3716.4119999999998</v>
      </c>
      <c r="P19" s="4125"/>
      <c r="Q19" s="4129">
        <v>2380</v>
      </c>
      <c r="R19" s="4178">
        <f t="shared" si="3"/>
        <v>6096.4120000000003</v>
      </c>
      <c r="S19" s="4129">
        <v>1118.306</v>
      </c>
      <c r="T19" s="4129">
        <v>3037.8180000000002</v>
      </c>
      <c r="U19" s="4176">
        <v>2319</v>
      </c>
      <c r="V19" s="4178">
        <f t="shared" si="4"/>
        <v>6475.1239999999998</v>
      </c>
      <c r="W19" s="4177">
        <f t="shared" si="5"/>
        <v>12571.536</v>
      </c>
      <c r="X19" s="4141">
        <f t="shared" si="6"/>
        <v>18765.428</v>
      </c>
      <c r="Y19" s="4140"/>
      <c r="Z19" s="4129">
        <v>0</v>
      </c>
      <c r="AA19" s="4129"/>
      <c r="AB19" s="4178">
        <f t="shared" si="7"/>
        <v>0</v>
      </c>
      <c r="AC19" s="4129">
        <v>0</v>
      </c>
      <c r="AD19" s="4129">
        <v>0</v>
      </c>
      <c r="AE19" s="4129">
        <v>0</v>
      </c>
      <c r="AF19" s="4139">
        <f t="shared" si="8"/>
        <v>0</v>
      </c>
      <c r="AG19" s="4177">
        <f t="shared" si="9"/>
        <v>0</v>
      </c>
      <c r="AH19" s="4125">
        <v>0</v>
      </c>
      <c r="AI19" s="4125"/>
      <c r="AJ19" s="4125">
        <v>0</v>
      </c>
      <c r="AK19" s="4178">
        <f t="shared" si="10"/>
        <v>0</v>
      </c>
      <c r="AL19" s="4129">
        <v>0</v>
      </c>
      <c r="AM19" s="4129">
        <v>0</v>
      </c>
      <c r="AN19" s="4176">
        <v>0</v>
      </c>
      <c r="AO19" s="4178">
        <f t="shared" si="11"/>
        <v>0</v>
      </c>
      <c r="AP19" s="4177">
        <f t="shared" si="12"/>
        <v>0</v>
      </c>
      <c r="AQ19" s="4138">
        <f t="shared" si="13"/>
        <v>0</v>
      </c>
      <c r="AR19" s="4128">
        <f t="shared" si="14"/>
        <v>18765.428</v>
      </c>
      <c r="AS19" s="4175"/>
      <c r="AT19" s="4131"/>
      <c r="AU19" s="4137">
        <f t="shared" si="15"/>
        <v>0</v>
      </c>
      <c r="AV19" s="4136"/>
      <c r="AW19" s="4135">
        <f t="shared" si="16"/>
        <v>1319</v>
      </c>
      <c r="AX19" s="4134"/>
      <c r="AY19" s="4134">
        <f t="shared" si="17"/>
        <v>1319</v>
      </c>
      <c r="AZ19" s="4134"/>
      <c r="BA19" s="4135">
        <f t="shared" si="18"/>
        <v>0</v>
      </c>
      <c r="BB19" s="4133"/>
      <c r="BC19" s="4133">
        <f t="shared" si="19"/>
        <v>1319</v>
      </c>
      <c r="BD19" s="4134"/>
      <c r="BE19" s="4135">
        <f t="shared" si="20"/>
        <v>1425</v>
      </c>
      <c r="BF19" s="4132"/>
      <c r="BG19" s="4132">
        <f t="shared" si="21"/>
        <v>2744</v>
      </c>
      <c r="BH19" s="4134"/>
      <c r="BI19" s="4135">
        <f t="shared" si="22"/>
        <v>2228</v>
      </c>
      <c r="BJ19" s="4132"/>
      <c r="BK19" s="4132">
        <f t="shared" si="23"/>
        <v>4972</v>
      </c>
      <c r="BL19" s="4134"/>
      <c r="BM19" s="4135">
        <f t="shared" si="24"/>
        <v>1221.8920000000001</v>
      </c>
      <c r="BN19" s="4134"/>
      <c r="BO19" s="4133">
        <f t="shared" si="25"/>
        <v>4874.8919999999998</v>
      </c>
      <c r="BP19" s="4134"/>
      <c r="BQ19" s="4157">
        <f t="shared" si="26"/>
        <v>6193.8919999999998</v>
      </c>
      <c r="BR19" s="4134"/>
      <c r="BS19" s="4135">
        <f t="shared" si="27"/>
        <v>3716.4119999999998</v>
      </c>
      <c r="BT19" s="4134"/>
      <c r="BU19" s="4134">
        <f t="shared" si="28"/>
        <v>9910.3040000000001</v>
      </c>
      <c r="BV19" s="4134"/>
      <c r="BW19" s="4135">
        <f t="shared" si="29"/>
        <v>0</v>
      </c>
      <c r="BX19" s="4134"/>
      <c r="BY19" s="4134">
        <f t="shared" si="30"/>
        <v>9910.3040000000001</v>
      </c>
      <c r="BZ19" s="4134"/>
      <c r="CA19" s="4135">
        <f t="shared" si="31"/>
        <v>2380</v>
      </c>
      <c r="CB19" s="4134"/>
      <c r="CC19" s="4133">
        <f t="shared" si="32"/>
        <v>6096.4120000000003</v>
      </c>
      <c r="CD19" s="4134"/>
      <c r="CE19" s="4134">
        <f t="shared" si="33"/>
        <v>12290.304</v>
      </c>
      <c r="CF19" s="4134"/>
      <c r="CG19" s="4135">
        <f t="shared" si="34"/>
        <v>1118.306</v>
      </c>
      <c r="CH19" s="4134"/>
      <c r="CI19" s="4134">
        <f t="shared" si="35"/>
        <v>13408.61</v>
      </c>
      <c r="CJ19" s="4134"/>
      <c r="CK19" s="4135">
        <f t="shared" si="36"/>
        <v>3037.8180000000002</v>
      </c>
      <c r="CL19" s="4134"/>
      <c r="CM19" s="4134">
        <f t="shared" si="37"/>
        <v>16446.428</v>
      </c>
      <c r="CN19" s="4134"/>
      <c r="CO19" s="4135">
        <f t="shared" si="38"/>
        <v>2319</v>
      </c>
      <c r="CP19" s="4134"/>
      <c r="CQ19" s="4133">
        <f t="shared" si="39"/>
        <v>6475.1239999999998</v>
      </c>
      <c r="CR19" s="4134"/>
      <c r="CS19" s="4157">
        <f t="shared" si="40"/>
        <v>12571.536</v>
      </c>
      <c r="CT19" s="4132"/>
      <c r="CU19" s="4160">
        <f t="shared" si="41"/>
        <v>18765.428</v>
      </c>
      <c r="CV19" s="4159"/>
      <c r="CW19" s="4168"/>
    </row>
    <row r="20" spans="1:101" ht="15.6" x14ac:dyDescent="0.3">
      <c r="A20" s="4191"/>
      <c r="B20" s="4191"/>
      <c r="C20" s="4191"/>
      <c r="D20" s="4191"/>
      <c r="E20" s="4179" t="s">
        <v>1418</v>
      </c>
      <c r="F20" s="4171">
        <v>133</v>
      </c>
      <c r="G20" s="4129">
        <v>243</v>
      </c>
      <c r="H20" s="4129"/>
      <c r="I20" s="4178">
        <f t="shared" si="0"/>
        <v>376</v>
      </c>
      <c r="J20" s="4129">
        <v>120</v>
      </c>
      <c r="K20" s="4129"/>
      <c r="L20" s="4129">
        <v>238.88200000000001</v>
      </c>
      <c r="M20" s="4178">
        <f t="shared" si="1"/>
        <v>358.88200000000001</v>
      </c>
      <c r="N20" s="4177">
        <f t="shared" si="2"/>
        <v>734.88200000000006</v>
      </c>
      <c r="O20" s="4125"/>
      <c r="P20" s="4125"/>
      <c r="Q20" s="4129"/>
      <c r="R20" s="4178">
        <f t="shared" si="3"/>
        <v>0</v>
      </c>
      <c r="S20" s="4129">
        <v>264.25</v>
      </c>
      <c r="T20" s="4129"/>
      <c r="U20" s="4176"/>
      <c r="V20" s="4178">
        <f t="shared" si="4"/>
        <v>264.25</v>
      </c>
      <c r="W20" s="4177">
        <f t="shared" si="5"/>
        <v>264.25</v>
      </c>
      <c r="X20" s="4141">
        <f t="shared" si="6"/>
        <v>999.13200000000006</v>
      </c>
      <c r="Y20" s="4140">
        <v>0</v>
      </c>
      <c r="Z20" s="4129">
        <v>0</v>
      </c>
      <c r="AA20" s="4129"/>
      <c r="AB20" s="4178">
        <f t="shared" si="7"/>
        <v>0</v>
      </c>
      <c r="AC20" s="4129">
        <v>0</v>
      </c>
      <c r="AD20" s="4129"/>
      <c r="AE20" s="4129">
        <v>0</v>
      </c>
      <c r="AF20" s="4139">
        <f t="shared" si="8"/>
        <v>0</v>
      </c>
      <c r="AG20" s="4177">
        <f t="shared" si="9"/>
        <v>0</v>
      </c>
      <c r="AH20" s="4125"/>
      <c r="AI20" s="4125"/>
      <c r="AJ20" s="4125"/>
      <c r="AK20" s="4178">
        <f t="shared" si="10"/>
        <v>0</v>
      </c>
      <c r="AL20" s="4129">
        <v>0</v>
      </c>
      <c r="AM20" s="4129"/>
      <c r="AN20" s="4176"/>
      <c r="AO20" s="4178">
        <f t="shared" si="11"/>
        <v>0</v>
      </c>
      <c r="AP20" s="4177">
        <f t="shared" si="12"/>
        <v>0</v>
      </c>
      <c r="AQ20" s="4138">
        <f t="shared" si="13"/>
        <v>0</v>
      </c>
      <c r="AR20" s="4128">
        <f t="shared" si="14"/>
        <v>999.13200000000006</v>
      </c>
      <c r="AS20" s="4175"/>
      <c r="AT20" s="4131"/>
      <c r="AU20" s="4137">
        <f t="shared" si="15"/>
        <v>133</v>
      </c>
      <c r="AV20" s="4136"/>
      <c r="AW20" s="4135">
        <f t="shared" si="16"/>
        <v>243</v>
      </c>
      <c r="AX20" s="4134"/>
      <c r="AY20" s="4134">
        <f t="shared" si="17"/>
        <v>376</v>
      </c>
      <c r="AZ20" s="4134"/>
      <c r="BA20" s="4135">
        <f t="shared" si="18"/>
        <v>0</v>
      </c>
      <c r="BB20" s="4133"/>
      <c r="BC20" s="4133">
        <f t="shared" si="19"/>
        <v>376</v>
      </c>
      <c r="BD20" s="4134"/>
      <c r="BE20" s="4135">
        <f t="shared" si="20"/>
        <v>120</v>
      </c>
      <c r="BF20" s="4132"/>
      <c r="BG20" s="4132">
        <f t="shared" si="21"/>
        <v>496</v>
      </c>
      <c r="BH20" s="4134"/>
      <c r="BI20" s="4135">
        <f t="shared" si="22"/>
        <v>0</v>
      </c>
      <c r="BJ20" s="4132"/>
      <c r="BK20" s="4132">
        <f t="shared" si="23"/>
        <v>496</v>
      </c>
      <c r="BL20" s="4134"/>
      <c r="BM20" s="4135">
        <f t="shared" si="24"/>
        <v>238.88200000000001</v>
      </c>
      <c r="BN20" s="4134"/>
      <c r="BO20" s="4133">
        <f t="shared" si="25"/>
        <v>358.88200000000001</v>
      </c>
      <c r="BP20" s="4134"/>
      <c r="BQ20" s="4157">
        <f t="shared" si="26"/>
        <v>734.88200000000006</v>
      </c>
      <c r="BR20" s="4134"/>
      <c r="BS20" s="4135">
        <f t="shared" si="27"/>
        <v>0</v>
      </c>
      <c r="BT20" s="4134"/>
      <c r="BU20" s="4134">
        <f t="shared" si="28"/>
        <v>734.88200000000006</v>
      </c>
      <c r="BV20" s="4134"/>
      <c r="BW20" s="4135">
        <f t="shared" si="29"/>
        <v>0</v>
      </c>
      <c r="BX20" s="4134"/>
      <c r="BY20" s="4134">
        <f t="shared" si="30"/>
        <v>734.88200000000006</v>
      </c>
      <c r="BZ20" s="4134"/>
      <c r="CA20" s="4135">
        <f t="shared" si="31"/>
        <v>0</v>
      </c>
      <c r="CB20" s="4134"/>
      <c r="CC20" s="4133">
        <f t="shared" si="32"/>
        <v>0</v>
      </c>
      <c r="CD20" s="4134"/>
      <c r="CE20" s="4134">
        <f t="shared" si="33"/>
        <v>734.88200000000006</v>
      </c>
      <c r="CF20" s="4134"/>
      <c r="CG20" s="4135">
        <f t="shared" si="34"/>
        <v>264.25</v>
      </c>
      <c r="CH20" s="4134"/>
      <c r="CI20" s="4134">
        <f t="shared" si="35"/>
        <v>999.13200000000006</v>
      </c>
      <c r="CJ20" s="4134"/>
      <c r="CK20" s="4135">
        <f t="shared" si="36"/>
        <v>0</v>
      </c>
      <c r="CL20" s="4134"/>
      <c r="CM20" s="4134">
        <f t="shared" si="37"/>
        <v>999.13200000000006</v>
      </c>
      <c r="CN20" s="4134"/>
      <c r="CO20" s="4135">
        <f t="shared" si="38"/>
        <v>0</v>
      </c>
      <c r="CP20" s="4134"/>
      <c r="CQ20" s="4133">
        <f t="shared" si="39"/>
        <v>264.25</v>
      </c>
      <c r="CR20" s="4134"/>
      <c r="CS20" s="4157">
        <f t="shared" si="40"/>
        <v>264.25</v>
      </c>
      <c r="CT20" s="4132"/>
      <c r="CU20" s="4160">
        <f t="shared" si="41"/>
        <v>999.13200000000006</v>
      </c>
      <c r="CV20" s="4159"/>
      <c r="CW20" s="4168"/>
    </row>
    <row r="21" spans="1:101" ht="15.6" x14ac:dyDescent="0.3">
      <c r="A21" s="4191"/>
      <c r="B21" s="4191"/>
      <c r="C21" s="4191"/>
      <c r="D21" s="4191"/>
      <c r="E21" s="4179" t="s">
        <v>1417</v>
      </c>
      <c r="F21" s="4171">
        <v>1712</v>
      </c>
      <c r="G21" s="4129">
        <v>1006</v>
      </c>
      <c r="H21" s="4129">
        <v>476</v>
      </c>
      <c r="I21" s="4178">
        <f t="shared" si="0"/>
        <v>3194</v>
      </c>
      <c r="J21" s="4129">
        <v>736</v>
      </c>
      <c r="K21" s="4129">
        <v>2862</v>
      </c>
      <c r="L21" s="4129">
        <v>1898.3720000000001</v>
      </c>
      <c r="M21" s="4178">
        <f t="shared" si="1"/>
        <v>5496.3720000000003</v>
      </c>
      <c r="N21" s="4177">
        <f t="shared" si="2"/>
        <v>8690.3719999999994</v>
      </c>
      <c r="O21" s="4125">
        <v>1234.576</v>
      </c>
      <c r="P21" s="4125"/>
      <c r="Q21" s="4129">
        <v>2294</v>
      </c>
      <c r="R21" s="4178">
        <f t="shared" si="3"/>
        <v>3528.576</v>
      </c>
      <c r="S21" s="4129">
        <v>2515.66</v>
      </c>
      <c r="T21" s="4129">
        <v>2437.442</v>
      </c>
      <c r="U21" s="4176">
        <v>539</v>
      </c>
      <c r="V21" s="4178">
        <f t="shared" si="4"/>
        <v>5492.1019999999999</v>
      </c>
      <c r="W21" s="4177">
        <f t="shared" si="5"/>
        <v>9020.6779999999999</v>
      </c>
      <c r="X21" s="4141">
        <f t="shared" si="6"/>
        <v>17711.05</v>
      </c>
      <c r="Y21" s="4140">
        <v>0</v>
      </c>
      <c r="Z21" s="4129">
        <v>0</v>
      </c>
      <c r="AA21" s="4129">
        <v>0</v>
      </c>
      <c r="AB21" s="4178">
        <f t="shared" si="7"/>
        <v>0</v>
      </c>
      <c r="AC21" s="4129">
        <v>0</v>
      </c>
      <c r="AD21" s="4129">
        <v>0</v>
      </c>
      <c r="AE21" s="4129">
        <v>0</v>
      </c>
      <c r="AF21" s="4139">
        <f t="shared" si="8"/>
        <v>0</v>
      </c>
      <c r="AG21" s="4177">
        <f t="shared" si="9"/>
        <v>0</v>
      </c>
      <c r="AH21" s="4125">
        <v>0</v>
      </c>
      <c r="AI21" s="4125"/>
      <c r="AJ21" s="4125">
        <v>0</v>
      </c>
      <c r="AK21" s="4178">
        <f t="shared" si="10"/>
        <v>0</v>
      </c>
      <c r="AL21" s="4129">
        <v>0</v>
      </c>
      <c r="AM21" s="4129">
        <v>0</v>
      </c>
      <c r="AN21" s="4176">
        <v>0</v>
      </c>
      <c r="AO21" s="4178">
        <f t="shared" si="11"/>
        <v>0</v>
      </c>
      <c r="AP21" s="4177">
        <f t="shared" si="12"/>
        <v>0</v>
      </c>
      <c r="AQ21" s="4138">
        <f t="shared" si="13"/>
        <v>0</v>
      </c>
      <c r="AR21" s="4128">
        <f t="shared" si="14"/>
        <v>17711.05</v>
      </c>
      <c r="AS21" s="4175"/>
      <c r="AT21" s="4131"/>
      <c r="AU21" s="4137">
        <f t="shared" si="15"/>
        <v>1712</v>
      </c>
      <c r="AV21" s="4136"/>
      <c r="AW21" s="4135">
        <f t="shared" si="16"/>
        <v>1006</v>
      </c>
      <c r="AX21" s="4134"/>
      <c r="AY21" s="4134">
        <f t="shared" si="17"/>
        <v>2718</v>
      </c>
      <c r="AZ21" s="4134"/>
      <c r="BA21" s="4135">
        <f t="shared" si="18"/>
        <v>476</v>
      </c>
      <c r="BB21" s="4133"/>
      <c r="BC21" s="4133">
        <f t="shared" si="19"/>
        <v>3194</v>
      </c>
      <c r="BD21" s="4134"/>
      <c r="BE21" s="4135">
        <f t="shared" si="20"/>
        <v>736</v>
      </c>
      <c r="BF21" s="4132"/>
      <c r="BG21" s="4132">
        <f t="shared" si="21"/>
        <v>3930</v>
      </c>
      <c r="BH21" s="4134"/>
      <c r="BI21" s="4135">
        <f t="shared" si="22"/>
        <v>2862</v>
      </c>
      <c r="BJ21" s="4132"/>
      <c r="BK21" s="4132">
        <f t="shared" si="23"/>
        <v>6792</v>
      </c>
      <c r="BL21" s="4134"/>
      <c r="BM21" s="4135">
        <f t="shared" si="24"/>
        <v>1898.3720000000001</v>
      </c>
      <c r="BN21" s="4134"/>
      <c r="BO21" s="4133">
        <f t="shared" si="25"/>
        <v>5496.3720000000003</v>
      </c>
      <c r="BP21" s="4134"/>
      <c r="BQ21" s="4157">
        <f t="shared" si="26"/>
        <v>8690.3719999999994</v>
      </c>
      <c r="BR21" s="4134"/>
      <c r="BS21" s="4135">
        <f t="shared" si="27"/>
        <v>1234.576</v>
      </c>
      <c r="BT21" s="4134"/>
      <c r="BU21" s="4134">
        <f t="shared" si="28"/>
        <v>9924.9480000000003</v>
      </c>
      <c r="BV21" s="4134"/>
      <c r="BW21" s="4135">
        <f t="shared" si="29"/>
        <v>0</v>
      </c>
      <c r="BX21" s="4134"/>
      <c r="BY21" s="4134">
        <f t="shared" si="30"/>
        <v>9924.9480000000003</v>
      </c>
      <c r="BZ21" s="4134"/>
      <c r="CA21" s="4135">
        <f t="shared" si="31"/>
        <v>2294</v>
      </c>
      <c r="CB21" s="4134"/>
      <c r="CC21" s="4133">
        <f t="shared" si="32"/>
        <v>3528.576</v>
      </c>
      <c r="CD21" s="4134"/>
      <c r="CE21" s="4134">
        <f t="shared" si="33"/>
        <v>12218.948</v>
      </c>
      <c r="CF21" s="4134"/>
      <c r="CG21" s="4135">
        <f t="shared" si="34"/>
        <v>2515.66</v>
      </c>
      <c r="CH21" s="4134"/>
      <c r="CI21" s="4134">
        <f t="shared" si="35"/>
        <v>14734.608</v>
      </c>
      <c r="CJ21" s="4134"/>
      <c r="CK21" s="4135">
        <f t="shared" si="36"/>
        <v>2437.442</v>
      </c>
      <c r="CL21" s="4134"/>
      <c r="CM21" s="4134">
        <f t="shared" si="37"/>
        <v>17172.05</v>
      </c>
      <c r="CN21" s="4134"/>
      <c r="CO21" s="4135">
        <f t="shared" si="38"/>
        <v>539</v>
      </c>
      <c r="CP21" s="4134"/>
      <c r="CQ21" s="4133">
        <f t="shared" si="39"/>
        <v>5492.1019999999999</v>
      </c>
      <c r="CR21" s="4134"/>
      <c r="CS21" s="4157">
        <f t="shared" si="40"/>
        <v>9020.6779999999999</v>
      </c>
      <c r="CT21" s="4132"/>
      <c r="CU21" s="4160">
        <f t="shared" si="41"/>
        <v>17711.05</v>
      </c>
      <c r="CV21" s="4159"/>
      <c r="CW21" s="4168"/>
    </row>
    <row r="22" spans="1:101" ht="15.6" x14ac:dyDescent="0.3">
      <c r="A22" s="4191"/>
      <c r="B22" s="4191"/>
      <c r="C22" s="4191"/>
      <c r="D22" s="4191"/>
      <c r="E22" s="4179" t="s">
        <v>1416</v>
      </c>
      <c r="F22" s="4171">
        <v>104</v>
      </c>
      <c r="G22" s="4129">
        <v>628</v>
      </c>
      <c r="H22" s="4129"/>
      <c r="I22" s="4178">
        <f t="shared" si="0"/>
        <v>732</v>
      </c>
      <c r="J22" s="4129"/>
      <c r="K22" s="4129"/>
      <c r="L22" s="4129"/>
      <c r="M22" s="4178">
        <f t="shared" si="1"/>
        <v>0</v>
      </c>
      <c r="N22" s="4177">
        <f t="shared" si="2"/>
        <v>732</v>
      </c>
      <c r="O22" s="4125"/>
      <c r="P22" s="4125"/>
      <c r="Q22" s="4129"/>
      <c r="R22" s="4178">
        <f t="shared" si="3"/>
        <v>0</v>
      </c>
      <c r="S22" s="4129"/>
      <c r="T22" s="4129"/>
      <c r="U22" s="4176"/>
      <c r="V22" s="4178">
        <f t="shared" si="4"/>
        <v>0</v>
      </c>
      <c r="W22" s="4177">
        <f t="shared" si="5"/>
        <v>0</v>
      </c>
      <c r="X22" s="4141">
        <f t="shared" si="6"/>
        <v>732</v>
      </c>
      <c r="Y22" s="4140">
        <v>0</v>
      </c>
      <c r="Z22" s="4129">
        <v>0</v>
      </c>
      <c r="AA22" s="4129"/>
      <c r="AB22" s="4178">
        <f t="shared" si="7"/>
        <v>0</v>
      </c>
      <c r="AC22" s="4129"/>
      <c r="AD22" s="4129"/>
      <c r="AE22" s="4129"/>
      <c r="AF22" s="4139">
        <f t="shared" si="8"/>
        <v>0</v>
      </c>
      <c r="AG22" s="4177">
        <f t="shared" si="9"/>
        <v>0</v>
      </c>
      <c r="AH22" s="4125"/>
      <c r="AI22" s="4125"/>
      <c r="AJ22" s="4125"/>
      <c r="AK22" s="4178">
        <f t="shared" si="10"/>
        <v>0</v>
      </c>
      <c r="AL22" s="4129"/>
      <c r="AM22" s="4129"/>
      <c r="AN22" s="4176"/>
      <c r="AO22" s="4178">
        <f t="shared" si="11"/>
        <v>0</v>
      </c>
      <c r="AP22" s="4177">
        <f t="shared" si="12"/>
        <v>0</v>
      </c>
      <c r="AQ22" s="4138">
        <f t="shared" si="13"/>
        <v>0</v>
      </c>
      <c r="AR22" s="4128">
        <f t="shared" si="14"/>
        <v>732</v>
      </c>
      <c r="AS22" s="4175"/>
      <c r="AT22" s="4131"/>
      <c r="AU22" s="4137">
        <f t="shared" si="15"/>
        <v>104</v>
      </c>
      <c r="AV22" s="4136"/>
      <c r="AW22" s="4135">
        <f t="shared" si="16"/>
        <v>628</v>
      </c>
      <c r="AX22" s="4134"/>
      <c r="AY22" s="4134">
        <f t="shared" si="17"/>
        <v>732</v>
      </c>
      <c r="AZ22" s="4134"/>
      <c r="BA22" s="4135">
        <f t="shared" si="18"/>
        <v>0</v>
      </c>
      <c r="BB22" s="4133"/>
      <c r="BC22" s="4133">
        <f t="shared" si="19"/>
        <v>732</v>
      </c>
      <c r="BD22" s="4134"/>
      <c r="BE22" s="4135">
        <f t="shared" si="20"/>
        <v>0</v>
      </c>
      <c r="BF22" s="4132"/>
      <c r="BG22" s="4132">
        <f t="shared" si="21"/>
        <v>732</v>
      </c>
      <c r="BH22" s="4134"/>
      <c r="BI22" s="4135">
        <f t="shared" si="22"/>
        <v>0</v>
      </c>
      <c r="BJ22" s="4132"/>
      <c r="BK22" s="4132">
        <f t="shared" si="23"/>
        <v>732</v>
      </c>
      <c r="BL22" s="4134"/>
      <c r="BM22" s="4135">
        <f t="shared" si="24"/>
        <v>0</v>
      </c>
      <c r="BN22" s="4134"/>
      <c r="BO22" s="4133">
        <f t="shared" si="25"/>
        <v>0</v>
      </c>
      <c r="BP22" s="4134"/>
      <c r="BQ22" s="4157">
        <f t="shared" si="26"/>
        <v>732</v>
      </c>
      <c r="BR22" s="4134"/>
      <c r="BS22" s="4135">
        <f t="shared" si="27"/>
        <v>0</v>
      </c>
      <c r="BT22" s="4134"/>
      <c r="BU22" s="4134">
        <f t="shared" si="28"/>
        <v>732</v>
      </c>
      <c r="BV22" s="4134"/>
      <c r="BW22" s="4135">
        <f t="shared" si="29"/>
        <v>0</v>
      </c>
      <c r="BX22" s="4134"/>
      <c r="BY22" s="4134">
        <f t="shared" si="30"/>
        <v>732</v>
      </c>
      <c r="BZ22" s="4134"/>
      <c r="CA22" s="4135">
        <f t="shared" si="31"/>
        <v>0</v>
      </c>
      <c r="CB22" s="4134"/>
      <c r="CC22" s="4133">
        <f t="shared" si="32"/>
        <v>0</v>
      </c>
      <c r="CD22" s="4134"/>
      <c r="CE22" s="4134">
        <f t="shared" si="33"/>
        <v>732</v>
      </c>
      <c r="CF22" s="4134"/>
      <c r="CG22" s="4135">
        <f t="shared" si="34"/>
        <v>0</v>
      </c>
      <c r="CH22" s="4134"/>
      <c r="CI22" s="4134">
        <f t="shared" si="35"/>
        <v>732</v>
      </c>
      <c r="CJ22" s="4134"/>
      <c r="CK22" s="4135">
        <f t="shared" si="36"/>
        <v>0</v>
      </c>
      <c r="CL22" s="4134"/>
      <c r="CM22" s="4134">
        <f t="shared" si="37"/>
        <v>732</v>
      </c>
      <c r="CN22" s="4134"/>
      <c r="CO22" s="4135">
        <f t="shared" si="38"/>
        <v>0</v>
      </c>
      <c r="CP22" s="4134"/>
      <c r="CQ22" s="4133">
        <f t="shared" si="39"/>
        <v>0</v>
      </c>
      <c r="CR22" s="4134"/>
      <c r="CS22" s="4157">
        <f t="shared" si="40"/>
        <v>0</v>
      </c>
      <c r="CT22" s="4132"/>
      <c r="CU22" s="4160">
        <f t="shared" si="41"/>
        <v>732</v>
      </c>
      <c r="CV22" s="4159"/>
      <c r="CW22" s="4168"/>
    </row>
    <row r="23" spans="1:101" ht="15.6" x14ac:dyDescent="0.3">
      <c r="A23" s="4191"/>
      <c r="B23" s="4191"/>
      <c r="C23" s="4191"/>
      <c r="D23" s="4191"/>
      <c r="E23" s="4179" t="s">
        <v>846</v>
      </c>
      <c r="F23" s="4171">
        <v>4380</v>
      </c>
      <c r="G23" s="4129">
        <v>10671</v>
      </c>
      <c r="H23" s="4129">
        <v>8479</v>
      </c>
      <c r="I23" s="4178">
        <f t="shared" si="0"/>
        <v>23530</v>
      </c>
      <c r="J23" s="4129">
        <v>5653</v>
      </c>
      <c r="K23" s="4129">
        <v>14098</v>
      </c>
      <c r="L23" s="4129">
        <v>10352.258</v>
      </c>
      <c r="M23" s="4178">
        <f t="shared" si="1"/>
        <v>30103.258000000002</v>
      </c>
      <c r="N23" s="4177">
        <f t="shared" si="2"/>
        <v>53633.258000000002</v>
      </c>
      <c r="O23" s="4125">
        <v>19262.768</v>
      </c>
      <c r="P23" s="4125"/>
      <c r="Q23" s="4129">
        <v>6553</v>
      </c>
      <c r="R23" s="4178">
        <f t="shared" si="3"/>
        <v>25815.768</v>
      </c>
      <c r="S23" s="4129">
        <v>15003.058000000001</v>
      </c>
      <c r="T23" s="4129">
        <v>4443.6279999999997</v>
      </c>
      <c r="U23" s="4176">
        <v>4621</v>
      </c>
      <c r="V23" s="4178">
        <f t="shared" si="4"/>
        <v>24067.686000000002</v>
      </c>
      <c r="W23" s="4177">
        <f t="shared" si="5"/>
        <v>49883.453999999998</v>
      </c>
      <c r="X23" s="4141">
        <f t="shared" si="6"/>
        <v>103516.712</v>
      </c>
      <c r="Y23" s="4140">
        <v>0</v>
      </c>
      <c r="Z23" s="4129">
        <v>0</v>
      </c>
      <c r="AA23" s="4129">
        <v>0</v>
      </c>
      <c r="AB23" s="4178">
        <f t="shared" si="7"/>
        <v>0</v>
      </c>
      <c r="AC23" s="4129">
        <v>0</v>
      </c>
      <c r="AD23" s="4129">
        <v>0</v>
      </c>
      <c r="AE23" s="4129">
        <v>0</v>
      </c>
      <c r="AF23" s="4139">
        <f t="shared" si="8"/>
        <v>0</v>
      </c>
      <c r="AG23" s="4177">
        <f t="shared" si="9"/>
        <v>0</v>
      </c>
      <c r="AH23" s="4125">
        <v>0</v>
      </c>
      <c r="AI23" s="4125"/>
      <c r="AJ23" s="4125">
        <v>0</v>
      </c>
      <c r="AK23" s="4178">
        <f t="shared" si="10"/>
        <v>0</v>
      </c>
      <c r="AL23" s="4129">
        <v>0</v>
      </c>
      <c r="AM23" s="4129">
        <v>0</v>
      </c>
      <c r="AN23" s="4176">
        <v>0</v>
      </c>
      <c r="AO23" s="4178">
        <f t="shared" si="11"/>
        <v>0</v>
      </c>
      <c r="AP23" s="4177">
        <f t="shared" si="12"/>
        <v>0</v>
      </c>
      <c r="AQ23" s="4138">
        <f t="shared" si="13"/>
        <v>0</v>
      </c>
      <c r="AR23" s="4128">
        <f t="shared" si="14"/>
        <v>103516.712</v>
      </c>
      <c r="AS23" s="4175"/>
      <c r="AT23" s="4131"/>
      <c r="AU23" s="4137">
        <f t="shared" si="15"/>
        <v>4380</v>
      </c>
      <c r="AV23" s="4136"/>
      <c r="AW23" s="4135">
        <f t="shared" si="16"/>
        <v>10671</v>
      </c>
      <c r="AX23" s="4134"/>
      <c r="AY23" s="4134">
        <f t="shared" si="17"/>
        <v>15051</v>
      </c>
      <c r="AZ23" s="4134"/>
      <c r="BA23" s="4135">
        <f t="shared" si="18"/>
        <v>8479</v>
      </c>
      <c r="BB23" s="4133"/>
      <c r="BC23" s="4133">
        <f t="shared" si="19"/>
        <v>23530</v>
      </c>
      <c r="BD23" s="4134"/>
      <c r="BE23" s="4135">
        <f t="shared" si="20"/>
        <v>5653</v>
      </c>
      <c r="BF23" s="4132"/>
      <c r="BG23" s="4132">
        <f t="shared" si="21"/>
        <v>29183</v>
      </c>
      <c r="BH23" s="4134"/>
      <c r="BI23" s="4135">
        <f t="shared" si="22"/>
        <v>14098</v>
      </c>
      <c r="BJ23" s="4132"/>
      <c r="BK23" s="4132">
        <f t="shared" si="23"/>
        <v>43281</v>
      </c>
      <c r="BL23" s="4134"/>
      <c r="BM23" s="4135">
        <f t="shared" si="24"/>
        <v>10352.258</v>
      </c>
      <c r="BN23" s="4134"/>
      <c r="BO23" s="4133">
        <f t="shared" si="25"/>
        <v>30103.258000000002</v>
      </c>
      <c r="BP23" s="4134"/>
      <c r="BQ23" s="4157">
        <f t="shared" si="26"/>
        <v>53633.258000000002</v>
      </c>
      <c r="BR23" s="4134"/>
      <c r="BS23" s="4135">
        <f t="shared" si="27"/>
        <v>19262.768</v>
      </c>
      <c r="BT23" s="4134"/>
      <c r="BU23" s="4134">
        <f t="shared" si="28"/>
        <v>72896.025999999998</v>
      </c>
      <c r="BV23" s="4134"/>
      <c r="BW23" s="4135">
        <f t="shared" si="29"/>
        <v>0</v>
      </c>
      <c r="BX23" s="4134"/>
      <c r="BY23" s="4134">
        <f t="shared" si="30"/>
        <v>72896.025999999998</v>
      </c>
      <c r="BZ23" s="4134"/>
      <c r="CA23" s="4135">
        <f t="shared" si="31"/>
        <v>6553</v>
      </c>
      <c r="CB23" s="4134"/>
      <c r="CC23" s="4133">
        <f t="shared" si="32"/>
        <v>25815.768</v>
      </c>
      <c r="CD23" s="4134"/>
      <c r="CE23" s="4134">
        <f t="shared" si="33"/>
        <v>79449.025999999998</v>
      </c>
      <c r="CF23" s="4134"/>
      <c r="CG23" s="4135">
        <f t="shared" si="34"/>
        <v>15003.058000000001</v>
      </c>
      <c r="CH23" s="4134"/>
      <c r="CI23" s="4134">
        <f t="shared" si="35"/>
        <v>94452.084000000003</v>
      </c>
      <c r="CJ23" s="4134"/>
      <c r="CK23" s="4135">
        <f t="shared" si="36"/>
        <v>4443.6279999999997</v>
      </c>
      <c r="CL23" s="4134"/>
      <c r="CM23" s="4134">
        <f t="shared" si="37"/>
        <v>98895.712</v>
      </c>
      <c r="CN23" s="4134"/>
      <c r="CO23" s="4135">
        <f t="shared" si="38"/>
        <v>4621</v>
      </c>
      <c r="CP23" s="4134"/>
      <c r="CQ23" s="4133">
        <f t="shared" si="39"/>
        <v>24067.686000000002</v>
      </c>
      <c r="CR23" s="4134"/>
      <c r="CS23" s="4157">
        <f t="shared" si="40"/>
        <v>49883.453999999998</v>
      </c>
      <c r="CT23" s="4132"/>
      <c r="CU23" s="4160">
        <f t="shared" si="41"/>
        <v>103516.712</v>
      </c>
      <c r="CV23" s="4159"/>
      <c r="CW23" s="4168"/>
    </row>
    <row r="24" spans="1:101" ht="15.6" x14ac:dyDescent="0.3">
      <c r="A24" s="4191"/>
      <c r="B24" s="4191"/>
      <c r="C24" s="4191"/>
      <c r="D24" s="4191"/>
      <c r="E24" s="4179" t="s">
        <v>1946</v>
      </c>
      <c r="F24" s="4171"/>
      <c r="G24" s="4129"/>
      <c r="H24" s="4129"/>
      <c r="I24" s="4178">
        <f t="shared" si="0"/>
        <v>0</v>
      </c>
      <c r="J24" s="4129"/>
      <c r="K24" s="4129"/>
      <c r="L24" s="4129">
        <v>255.79400000000001</v>
      </c>
      <c r="M24" s="4178">
        <f t="shared" si="1"/>
        <v>255.79400000000001</v>
      </c>
      <c r="N24" s="4177">
        <f t="shared" si="2"/>
        <v>255.79400000000001</v>
      </c>
      <c r="O24" s="4125"/>
      <c r="P24" s="4125"/>
      <c r="Q24" s="4129"/>
      <c r="R24" s="4178">
        <f t="shared" si="3"/>
        <v>0</v>
      </c>
      <c r="S24" s="4129"/>
      <c r="T24" s="4129">
        <v>729.33</v>
      </c>
      <c r="U24" s="4176"/>
      <c r="V24" s="4178">
        <f t="shared" si="4"/>
        <v>729.33</v>
      </c>
      <c r="W24" s="4177">
        <f t="shared" si="5"/>
        <v>729.33</v>
      </c>
      <c r="X24" s="4141">
        <f t="shared" si="6"/>
        <v>985.12400000000002</v>
      </c>
      <c r="Y24" s="4140"/>
      <c r="Z24" s="4129"/>
      <c r="AA24" s="4129"/>
      <c r="AB24" s="4178">
        <f t="shared" si="7"/>
        <v>0</v>
      </c>
      <c r="AC24" s="4129"/>
      <c r="AD24" s="4129"/>
      <c r="AE24" s="4129">
        <v>0</v>
      </c>
      <c r="AF24" s="4139">
        <f t="shared" si="8"/>
        <v>0</v>
      </c>
      <c r="AG24" s="4177">
        <f t="shared" si="9"/>
        <v>0</v>
      </c>
      <c r="AH24" s="4125"/>
      <c r="AI24" s="4125"/>
      <c r="AJ24" s="4125"/>
      <c r="AK24" s="4178">
        <f t="shared" si="10"/>
        <v>0</v>
      </c>
      <c r="AL24" s="4129"/>
      <c r="AM24" s="4129">
        <v>0</v>
      </c>
      <c r="AN24" s="4176"/>
      <c r="AO24" s="4178">
        <f t="shared" si="11"/>
        <v>0</v>
      </c>
      <c r="AP24" s="4177">
        <f t="shared" si="12"/>
        <v>0</v>
      </c>
      <c r="AQ24" s="4138">
        <f t="shared" si="13"/>
        <v>0</v>
      </c>
      <c r="AR24" s="4128">
        <f t="shared" si="14"/>
        <v>985.12400000000002</v>
      </c>
      <c r="AS24" s="4175"/>
      <c r="AT24" s="4131"/>
      <c r="AU24" s="4137">
        <f t="shared" si="15"/>
        <v>0</v>
      </c>
      <c r="AV24" s="4136"/>
      <c r="AW24" s="4135">
        <f t="shared" si="16"/>
        <v>0</v>
      </c>
      <c r="AX24" s="4134"/>
      <c r="AY24" s="4134">
        <f t="shared" si="17"/>
        <v>0</v>
      </c>
      <c r="AZ24" s="4134"/>
      <c r="BA24" s="4135">
        <f t="shared" si="18"/>
        <v>0</v>
      </c>
      <c r="BB24" s="4133"/>
      <c r="BC24" s="4133">
        <f t="shared" si="19"/>
        <v>0</v>
      </c>
      <c r="BD24" s="4134"/>
      <c r="BE24" s="4135">
        <f t="shared" si="20"/>
        <v>0</v>
      </c>
      <c r="BF24" s="4132"/>
      <c r="BG24" s="4132">
        <f t="shared" si="21"/>
        <v>0</v>
      </c>
      <c r="BH24" s="4134"/>
      <c r="BI24" s="4135">
        <f t="shared" si="22"/>
        <v>0</v>
      </c>
      <c r="BJ24" s="4132"/>
      <c r="BK24" s="4132">
        <f t="shared" si="23"/>
        <v>0</v>
      </c>
      <c r="BL24" s="4134"/>
      <c r="BM24" s="4135">
        <f t="shared" si="24"/>
        <v>255.79400000000001</v>
      </c>
      <c r="BN24" s="4134"/>
      <c r="BO24" s="4133">
        <f t="shared" si="25"/>
        <v>255.79400000000001</v>
      </c>
      <c r="BP24" s="4134"/>
      <c r="BQ24" s="4157">
        <f t="shared" si="26"/>
        <v>255.79400000000001</v>
      </c>
      <c r="BR24" s="4134"/>
      <c r="BS24" s="4135">
        <f t="shared" si="27"/>
        <v>0</v>
      </c>
      <c r="BT24" s="4134"/>
      <c r="BU24" s="4134">
        <f t="shared" si="28"/>
        <v>255.79400000000001</v>
      </c>
      <c r="BV24" s="4134"/>
      <c r="BW24" s="4135">
        <f t="shared" si="29"/>
        <v>0</v>
      </c>
      <c r="BX24" s="4134"/>
      <c r="BY24" s="4134">
        <f t="shared" si="30"/>
        <v>255.79400000000001</v>
      </c>
      <c r="BZ24" s="4134"/>
      <c r="CA24" s="4135">
        <f t="shared" si="31"/>
        <v>0</v>
      </c>
      <c r="CB24" s="4134"/>
      <c r="CC24" s="4133">
        <f t="shared" si="32"/>
        <v>0</v>
      </c>
      <c r="CD24" s="4134"/>
      <c r="CE24" s="4134">
        <f t="shared" si="33"/>
        <v>255.79400000000001</v>
      </c>
      <c r="CF24" s="4134"/>
      <c r="CG24" s="4135">
        <f t="shared" si="34"/>
        <v>0</v>
      </c>
      <c r="CH24" s="4134"/>
      <c r="CI24" s="4134">
        <f t="shared" si="35"/>
        <v>255.79400000000001</v>
      </c>
      <c r="CJ24" s="4134"/>
      <c r="CK24" s="4135">
        <f t="shared" si="36"/>
        <v>729.33</v>
      </c>
      <c r="CL24" s="4134"/>
      <c r="CM24" s="4134">
        <f t="shared" si="37"/>
        <v>985.12400000000002</v>
      </c>
      <c r="CN24" s="4134"/>
      <c r="CO24" s="4135">
        <f t="shared" si="38"/>
        <v>0</v>
      </c>
      <c r="CP24" s="4134"/>
      <c r="CQ24" s="4133">
        <f t="shared" si="39"/>
        <v>729.33</v>
      </c>
      <c r="CR24" s="4134"/>
      <c r="CS24" s="4157">
        <f t="shared" si="40"/>
        <v>729.33</v>
      </c>
      <c r="CT24" s="4132"/>
      <c r="CU24" s="4160">
        <f t="shared" si="41"/>
        <v>985.12400000000002</v>
      </c>
      <c r="CV24" s="4159"/>
      <c r="CW24" s="4168"/>
    </row>
    <row r="25" spans="1:101" ht="15.6" x14ac:dyDescent="0.3">
      <c r="A25" s="4191"/>
      <c r="B25" s="4191"/>
      <c r="C25" s="4191"/>
      <c r="D25" s="4191"/>
      <c r="E25" s="4179" t="s">
        <v>1965</v>
      </c>
      <c r="F25" s="4171"/>
      <c r="G25" s="4129"/>
      <c r="H25" s="4129"/>
      <c r="I25" s="4178">
        <f t="shared" si="0"/>
        <v>0</v>
      </c>
      <c r="J25" s="4129"/>
      <c r="K25" s="4129"/>
      <c r="L25" s="4129"/>
      <c r="M25" s="4178">
        <f t="shared" si="1"/>
        <v>0</v>
      </c>
      <c r="N25" s="4177">
        <f t="shared" si="2"/>
        <v>0</v>
      </c>
      <c r="O25" s="4125">
        <v>249.452</v>
      </c>
      <c r="P25" s="4125"/>
      <c r="Q25" s="4129"/>
      <c r="R25" s="4178">
        <f t="shared" si="3"/>
        <v>249.452</v>
      </c>
      <c r="S25" s="4129"/>
      <c r="T25" s="4129"/>
      <c r="U25" s="4176"/>
      <c r="V25" s="4178">
        <f t="shared" si="4"/>
        <v>0</v>
      </c>
      <c r="W25" s="4177">
        <f t="shared" si="5"/>
        <v>249.452</v>
      </c>
      <c r="X25" s="4141">
        <f t="shared" si="6"/>
        <v>249.452</v>
      </c>
      <c r="Y25" s="4140"/>
      <c r="Z25" s="4129"/>
      <c r="AA25" s="4129"/>
      <c r="AB25" s="4178">
        <f t="shared" si="7"/>
        <v>0</v>
      </c>
      <c r="AC25" s="4129"/>
      <c r="AD25" s="4129"/>
      <c r="AE25" s="4129"/>
      <c r="AF25" s="4139">
        <f t="shared" si="8"/>
        <v>0</v>
      </c>
      <c r="AG25" s="4177">
        <f t="shared" si="9"/>
        <v>0</v>
      </c>
      <c r="AH25" s="4125">
        <v>0</v>
      </c>
      <c r="AI25" s="4125"/>
      <c r="AJ25" s="4125"/>
      <c r="AK25" s="4178">
        <f t="shared" si="10"/>
        <v>0</v>
      </c>
      <c r="AL25" s="4129"/>
      <c r="AM25" s="4129"/>
      <c r="AN25" s="4176"/>
      <c r="AO25" s="4178">
        <f t="shared" si="11"/>
        <v>0</v>
      </c>
      <c r="AP25" s="4177">
        <f t="shared" si="12"/>
        <v>0</v>
      </c>
      <c r="AQ25" s="4138">
        <f t="shared" si="13"/>
        <v>0</v>
      </c>
      <c r="AR25" s="4128">
        <f t="shared" si="14"/>
        <v>249.452</v>
      </c>
      <c r="AS25" s="4175"/>
      <c r="AT25" s="4131"/>
      <c r="AU25" s="4137">
        <f t="shared" si="15"/>
        <v>0</v>
      </c>
      <c r="AV25" s="4136"/>
      <c r="AW25" s="4135">
        <f t="shared" si="16"/>
        <v>0</v>
      </c>
      <c r="AX25" s="4134"/>
      <c r="AY25" s="4134">
        <f t="shared" si="17"/>
        <v>0</v>
      </c>
      <c r="AZ25" s="4134"/>
      <c r="BA25" s="4135">
        <f t="shared" si="18"/>
        <v>0</v>
      </c>
      <c r="BB25" s="4133"/>
      <c r="BC25" s="4133">
        <f t="shared" si="19"/>
        <v>0</v>
      </c>
      <c r="BD25" s="4134"/>
      <c r="BE25" s="4135">
        <f t="shared" si="20"/>
        <v>0</v>
      </c>
      <c r="BF25" s="4132"/>
      <c r="BG25" s="4132">
        <f t="shared" si="21"/>
        <v>0</v>
      </c>
      <c r="BH25" s="4134"/>
      <c r="BI25" s="4135">
        <f t="shared" si="22"/>
        <v>0</v>
      </c>
      <c r="BJ25" s="4132"/>
      <c r="BK25" s="4132">
        <f t="shared" si="23"/>
        <v>0</v>
      </c>
      <c r="BL25" s="4134"/>
      <c r="BM25" s="4135">
        <f t="shared" si="24"/>
        <v>0</v>
      </c>
      <c r="BN25" s="4134"/>
      <c r="BO25" s="4133">
        <f t="shared" si="25"/>
        <v>0</v>
      </c>
      <c r="BP25" s="4134"/>
      <c r="BQ25" s="4157">
        <f t="shared" si="26"/>
        <v>0</v>
      </c>
      <c r="BR25" s="4134"/>
      <c r="BS25" s="4135">
        <f t="shared" si="27"/>
        <v>249.452</v>
      </c>
      <c r="BT25" s="4134"/>
      <c r="BU25" s="4134">
        <f t="shared" si="28"/>
        <v>249.452</v>
      </c>
      <c r="BV25" s="4134"/>
      <c r="BW25" s="4135">
        <f t="shared" si="29"/>
        <v>0</v>
      </c>
      <c r="BX25" s="4134"/>
      <c r="BY25" s="4134">
        <f t="shared" si="30"/>
        <v>249.452</v>
      </c>
      <c r="BZ25" s="4134"/>
      <c r="CA25" s="4135">
        <f t="shared" si="31"/>
        <v>0</v>
      </c>
      <c r="CB25" s="4134"/>
      <c r="CC25" s="4133">
        <f t="shared" si="32"/>
        <v>249.452</v>
      </c>
      <c r="CD25" s="4134"/>
      <c r="CE25" s="4134">
        <f t="shared" si="33"/>
        <v>249.452</v>
      </c>
      <c r="CF25" s="4134"/>
      <c r="CG25" s="4135">
        <f t="shared" si="34"/>
        <v>0</v>
      </c>
      <c r="CH25" s="4134"/>
      <c r="CI25" s="4134">
        <f t="shared" si="35"/>
        <v>249.452</v>
      </c>
      <c r="CJ25" s="4134"/>
      <c r="CK25" s="4135">
        <f t="shared" si="36"/>
        <v>0</v>
      </c>
      <c r="CL25" s="4134"/>
      <c r="CM25" s="4134">
        <f t="shared" si="37"/>
        <v>249.452</v>
      </c>
      <c r="CN25" s="4134"/>
      <c r="CO25" s="4135">
        <f t="shared" si="38"/>
        <v>0</v>
      </c>
      <c r="CP25" s="4134"/>
      <c r="CQ25" s="4133">
        <f t="shared" si="39"/>
        <v>0</v>
      </c>
      <c r="CR25" s="4134"/>
      <c r="CS25" s="4157">
        <f t="shared" si="40"/>
        <v>249.452</v>
      </c>
      <c r="CT25" s="4132"/>
      <c r="CU25" s="4160">
        <f t="shared" si="41"/>
        <v>249.452</v>
      </c>
      <c r="CV25" s="4159"/>
      <c r="CW25" s="4168"/>
    </row>
    <row r="26" spans="1:101" ht="15.6" x14ac:dyDescent="0.3">
      <c r="A26" s="4191"/>
      <c r="B26" s="4191"/>
      <c r="C26" s="4191"/>
      <c r="D26" s="4191"/>
      <c r="E26" s="4179" t="s">
        <v>2135</v>
      </c>
      <c r="F26" s="4171"/>
      <c r="G26" s="4129"/>
      <c r="H26" s="4129"/>
      <c r="I26" s="4178">
        <f t="shared" si="0"/>
        <v>0</v>
      </c>
      <c r="J26" s="4129"/>
      <c r="K26" s="4129"/>
      <c r="L26" s="4129"/>
      <c r="M26" s="4178">
        <f t="shared" si="1"/>
        <v>0</v>
      </c>
      <c r="N26" s="4177">
        <f t="shared" si="2"/>
        <v>0</v>
      </c>
      <c r="O26" s="4125"/>
      <c r="P26" s="4125"/>
      <c r="Q26" s="4129">
        <v>123</v>
      </c>
      <c r="R26" s="4178">
        <f t="shared" si="3"/>
        <v>123</v>
      </c>
      <c r="S26" s="4129"/>
      <c r="T26" s="4129"/>
      <c r="U26" s="4176"/>
      <c r="V26" s="4178">
        <f t="shared" si="4"/>
        <v>0</v>
      </c>
      <c r="W26" s="4177">
        <f t="shared" si="5"/>
        <v>123</v>
      </c>
      <c r="X26" s="4141">
        <f t="shared" si="6"/>
        <v>123</v>
      </c>
      <c r="Y26" s="4140"/>
      <c r="Z26" s="4129"/>
      <c r="AA26" s="4129"/>
      <c r="AB26" s="4178">
        <f t="shared" si="7"/>
        <v>0</v>
      </c>
      <c r="AC26" s="4129"/>
      <c r="AD26" s="4129"/>
      <c r="AE26" s="4129"/>
      <c r="AF26" s="4139">
        <f t="shared" si="8"/>
        <v>0</v>
      </c>
      <c r="AG26" s="4177">
        <f t="shared" si="9"/>
        <v>0</v>
      </c>
      <c r="AH26" s="4125"/>
      <c r="AI26" s="4125"/>
      <c r="AJ26" s="4125">
        <v>0</v>
      </c>
      <c r="AK26" s="4178">
        <f t="shared" si="10"/>
        <v>0</v>
      </c>
      <c r="AL26" s="4129"/>
      <c r="AM26" s="4129"/>
      <c r="AN26" s="4176"/>
      <c r="AO26" s="4178">
        <f t="shared" si="11"/>
        <v>0</v>
      </c>
      <c r="AP26" s="4177">
        <f t="shared" si="12"/>
        <v>0</v>
      </c>
      <c r="AQ26" s="4138">
        <f t="shared" si="13"/>
        <v>0</v>
      </c>
      <c r="AR26" s="4128">
        <f t="shared" si="14"/>
        <v>123</v>
      </c>
      <c r="AS26" s="4175"/>
      <c r="AT26" s="4131"/>
      <c r="AU26" s="4137">
        <f t="shared" si="15"/>
        <v>0</v>
      </c>
      <c r="AV26" s="4136"/>
      <c r="AW26" s="4135">
        <f t="shared" si="16"/>
        <v>0</v>
      </c>
      <c r="AX26" s="4134"/>
      <c r="AY26" s="4134">
        <f t="shared" si="17"/>
        <v>0</v>
      </c>
      <c r="AZ26" s="4134"/>
      <c r="BA26" s="4135">
        <f t="shared" si="18"/>
        <v>0</v>
      </c>
      <c r="BB26" s="4133"/>
      <c r="BC26" s="4133">
        <f t="shared" si="19"/>
        <v>0</v>
      </c>
      <c r="BD26" s="4134"/>
      <c r="BE26" s="4135">
        <f t="shared" si="20"/>
        <v>0</v>
      </c>
      <c r="BF26" s="4132"/>
      <c r="BG26" s="4132">
        <f t="shared" si="21"/>
        <v>0</v>
      </c>
      <c r="BH26" s="4134"/>
      <c r="BI26" s="4135">
        <f t="shared" si="22"/>
        <v>0</v>
      </c>
      <c r="BJ26" s="4132"/>
      <c r="BK26" s="4132">
        <f t="shared" si="23"/>
        <v>0</v>
      </c>
      <c r="BL26" s="4134"/>
      <c r="BM26" s="4135">
        <f t="shared" si="24"/>
        <v>0</v>
      </c>
      <c r="BN26" s="4134"/>
      <c r="BO26" s="4133">
        <f t="shared" si="25"/>
        <v>0</v>
      </c>
      <c r="BP26" s="4134"/>
      <c r="BQ26" s="4157">
        <f t="shared" si="26"/>
        <v>0</v>
      </c>
      <c r="BR26" s="4134"/>
      <c r="BS26" s="4135">
        <f t="shared" si="27"/>
        <v>0</v>
      </c>
      <c r="BT26" s="4134"/>
      <c r="BU26" s="4134">
        <f t="shared" si="28"/>
        <v>0</v>
      </c>
      <c r="BV26" s="4134"/>
      <c r="BW26" s="4135">
        <f t="shared" si="29"/>
        <v>0</v>
      </c>
      <c r="BX26" s="4134"/>
      <c r="BY26" s="4134">
        <f t="shared" si="30"/>
        <v>0</v>
      </c>
      <c r="BZ26" s="4134"/>
      <c r="CA26" s="4135">
        <f t="shared" si="31"/>
        <v>123</v>
      </c>
      <c r="CB26" s="4134"/>
      <c r="CC26" s="4133">
        <f t="shared" si="32"/>
        <v>123</v>
      </c>
      <c r="CD26" s="4134"/>
      <c r="CE26" s="4134">
        <f t="shared" si="33"/>
        <v>123</v>
      </c>
      <c r="CF26" s="4134"/>
      <c r="CG26" s="4135">
        <f t="shared" si="34"/>
        <v>0</v>
      </c>
      <c r="CH26" s="4134"/>
      <c r="CI26" s="4134">
        <f t="shared" si="35"/>
        <v>123</v>
      </c>
      <c r="CJ26" s="4134"/>
      <c r="CK26" s="4135">
        <f t="shared" si="36"/>
        <v>0</v>
      </c>
      <c r="CL26" s="4134"/>
      <c r="CM26" s="4134">
        <f t="shared" si="37"/>
        <v>123</v>
      </c>
      <c r="CN26" s="4134"/>
      <c r="CO26" s="4135">
        <f t="shared" si="38"/>
        <v>0</v>
      </c>
      <c r="CP26" s="4134"/>
      <c r="CQ26" s="4133">
        <f t="shared" si="39"/>
        <v>0</v>
      </c>
      <c r="CR26" s="4134"/>
      <c r="CS26" s="4157">
        <f t="shared" si="40"/>
        <v>123</v>
      </c>
      <c r="CT26" s="4132"/>
      <c r="CU26" s="4160">
        <f t="shared" si="41"/>
        <v>123</v>
      </c>
      <c r="CV26" s="4159"/>
      <c r="CW26" s="4168"/>
    </row>
    <row r="27" spans="1:101" ht="15.6" x14ac:dyDescent="0.3">
      <c r="A27" s="4191"/>
      <c r="B27" s="4191"/>
      <c r="C27" s="4191"/>
      <c r="D27" s="4191"/>
      <c r="E27" s="4179" t="s">
        <v>2136</v>
      </c>
      <c r="F27" s="4171"/>
      <c r="G27" s="4129"/>
      <c r="H27" s="4129"/>
      <c r="I27" s="4178">
        <f t="shared" si="0"/>
        <v>0</v>
      </c>
      <c r="J27" s="4129"/>
      <c r="K27" s="4129"/>
      <c r="L27" s="4129"/>
      <c r="M27" s="4178">
        <f t="shared" si="1"/>
        <v>0</v>
      </c>
      <c r="N27" s="4177">
        <f t="shared" si="2"/>
        <v>0</v>
      </c>
      <c r="O27" s="4125"/>
      <c r="P27" s="4125"/>
      <c r="Q27" s="4129">
        <v>1099</v>
      </c>
      <c r="R27" s="4178">
        <f t="shared" si="3"/>
        <v>1099</v>
      </c>
      <c r="S27" s="4129"/>
      <c r="T27" s="4129"/>
      <c r="U27" s="4176"/>
      <c r="V27" s="4178">
        <f t="shared" si="4"/>
        <v>0</v>
      </c>
      <c r="W27" s="4177">
        <f t="shared" si="5"/>
        <v>1099</v>
      </c>
      <c r="X27" s="4141">
        <f t="shared" si="6"/>
        <v>1099</v>
      </c>
      <c r="Y27" s="4140"/>
      <c r="Z27" s="4129"/>
      <c r="AA27" s="4129"/>
      <c r="AB27" s="4178">
        <f t="shared" si="7"/>
        <v>0</v>
      </c>
      <c r="AC27" s="4129"/>
      <c r="AD27" s="4129"/>
      <c r="AE27" s="4129"/>
      <c r="AF27" s="4139">
        <f t="shared" si="8"/>
        <v>0</v>
      </c>
      <c r="AG27" s="4177">
        <f t="shared" si="9"/>
        <v>0</v>
      </c>
      <c r="AH27" s="4125"/>
      <c r="AI27" s="4125"/>
      <c r="AJ27" s="4125">
        <v>0</v>
      </c>
      <c r="AK27" s="4178">
        <f t="shared" si="10"/>
        <v>0</v>
      </c>
      <c r="AL27" s="4129"/>
      <c r="AM27" s="4129"/>
      <c r="AN27" s="4176"/>
      <c r="AO27" s="4178">
        <f t="shared" si="11"/>
        <v>0</v>
      </c>
      <c r="AP27" s="4177">
        <f t="shared" si="12"/>
        <v>0</v>
      </c>
      <c r="AQ27" s="4138">
        <f t="shared" si="13"/>
        <v>0</v>
      </c>
      <c r="AR27" s="4128">
        <f t="shared" si="14"/>
        <v>1099</v>
      </c>
      <c r="AS27" s="4175"/>
      <c r="AT27" s="4131"/>
      <c r="AU27" s="4137">
        <f t="shared" si="15"/>
        <v>0</v>
      </c>
      <c r="AV27" s="4136"/>
      <c r="AW27" s="4135">
        <f t="shared" si="16"/>
        <v>0</v>
      </c>
      <c r="AX27" s="4134"/>
      <c r="AY27" s="4134">
        <f t="shared" si="17"/>
        <v>0</v>
      </c>
      <c r="AZ27" s="4134"/>
      <c r="BA27" s="4135">
        <f t="shared" si="18"/>
        <v>0</v>
      </c>
      <c r="BB27" s="4133"/>
      <c r="BC27" s="4133">
        <f t="shared" si="19"/>
        <v>0</v>
      </c>
      <c r="BD27" s="4134"/>
      <c r="BE27" s="4135">
        <f t="shared" si="20"/>
        <v>0</v>
      </c>
      <c r="BF27" s="4132"/>
      <c r="BG27" s="4132">
        <f t="shared" si="21"/>
        <v>0</v>
      </c>
      <c r="BH27" s="4134"/>
      <c r="BI27" s="4135">
        <f t="shared" si="22"/>
        <v>0</v>
      </c>
      <c r="BJ27" s="4132"/>
      <c r="BK27" s="4132">
        <f t="shared" si="23"/>
        <v>0</v>
      </c>
      <c r="BL27" s="4134"/>
      <c r="BM27" s="4135">
        <f t="shared" si="24"/>
        <v>0</v>
      </c>
      <c r="BN27" s="4134"/>
      <c r="BO27" s="4133">
        <f t="shared" si="25"/>
        <v>0</v>
      </c>
      <c r="BP27" s="4134"/>
      <c r="BQ27" s="4157">
        <f t="shared" si="26"/>
        <v>0</v>
      </c>
      <c r="BR27" s="4134"/>
      <c r="BS27" s="4135">
        <f t="shared" si="27"/>
        <v>0</v>
      </c>
      <c r="BT27" s="4134"/>
      <c r="BU27" s="4134">
        <f t="shared" si="28"/>
        <v>0</v>
      </c>
      <c r="BV27" s="4134"/>
      <c r="BW27" s="4135">
        <f t="shared" si="29"/>
        <v>0</v>
      </c>
      <c r="BX27" s="4134"/>
      <c r="BY27" s="4134">
        <f t="shared" si="30"/>
        <v>0</v>
      </c>
      <c r="BZ27" s="4134"/>
      <c r="CA27" s="4135">
        <f t="shared" si="31"/>
        <v>1099</v>
      </c>
      <c r="CB27" s="4134"/>
      <c r="CC27" s="4133">
        <f t="shared" si="32"/>
        <v>1099</v>
      </c>
      <c r="CD27" s="4134"/>
      <c r="CE27" s="4134">
        <f t="shared" si="33"/>
        <v>1099</v>
      </c>
      <c r="CF27" s="4134"/>
      <c r="CG27" s="4135">
        <f t="shared" si="34"/>
        <v>0</v>
      </c>
      <c r="CH27" s="4134"/>
      <c r="CI27" s="4134">
        <f t="shared" si="35"/>
        <v>1099</v>
      </c>
      <c r="CJ27" s="4134"/>
      <c r="CK27" s="4135">
        <f t="shared" si="36"/>
        <v>0</v>
      </c>
      <c r="CL27" s="4134"/>
      <c r="CM27" s="4134">
        <f t="shared" si="37"/>
        <v>1099</v>
      </c>
      <c r="CN27" s="4134"/>
      <c r="CO27" s="4135">
        <f t="shared" si="38"/>
        <v>0</v>
      </c>
      <c r="CP27" s="4134"/>
      <c r="CQ27" s="4133">
        <f t="shared" si="39"/>
        <v>0</v>
      </c>
      <c r="CR27" s="4134"/>
      <c r="CS27" s="4157">
        <f t="shared" si="40"/>
        <v>1099</v>
      </c>
      <c r="CT27" s="4132"/>
      <c r="CU27" s="4160">
        <f t="shared" si="41"/>
        <v>1099</v>
      </c>
      <c r="CV27" s="4159"/>
      <c r="CW27" s="4168"/>
    </row>
    <row r="28" spans="1:101" ht="15.6" x14ac:dyDescent="0.3">
      <c r="A28" s="4191"/>
      <c r="B28" s="4191"/>
      <c r="C28" s="4191"/>
      <c r="D28" s="4191"/>
      <c r="E28" s="4179" t="s">
        <v>1671</v>
      </c>
      <c r="F28" s="4171"/>
      <c r="G28" s="4129"/>
      <c r="H28" s="4129">
        <v>260</v>
      </c>
      <c r="I28" s="4178">
        <f t="shared" si="0"/>
        <v>260</v>
      </c>
      <c r="J28" s="4129"/>
      <c r="K28" s="4129"/>
      <c r="L28" s="4129"/>
      <c r="M28" s="4178">
        <f t="shared" si="1"/>
        <v>0</v>
      </c>
      <c r="N28" s="4177">
        <f t="shared" si="2"/>
        <v>260</v>
      </c>
      <c r="O28" s="4125"/>
      <c r="P28" s="4125"/>
      <c r="Q28" s="4129"/>
      <c r="R28" s="4178">
        <f t="shared" si="3"/>
        <v>0</v>
      </c>
      <c r="S28" s="4129"/>
      <c r="T28" s="4129"/>
      <c r="U28" s="4176"/>
      <c r="V28" s="4178">
        <f t="shared" si="4"/>
        <v>0</v>
      </c>
      <c r="W28" s="4177">
        <f t="shared" si="5"/>
        <v>0</v>
      </c>
      <c r="X28" s="4141">
        <f t="shared" si="6"/>
        <v>260</v>
      </c>
      <c r="Y28" s="4140"/>
      <c r="Z28" s="4129"/>
      <c r="AA28" s="4129">
        <v>0</v>
      </c>
      <c r="AB28" s="4178">
        <f t="shared" si="7"/>
        <v>0</v>
      </c>
      <c r="AC28" s="4129"/>
      <c r="AD28" s="4129"/>
      <c r="AE28" s="4129"/>
      <c r="AF28" s="4139">
        <f t="shared" si="8"/>
        <v>0</v>
      </c>
      <c r="AG28" s="4177">
        <f t="shared" si="9"/>
        <v>0</v>
      </c>
      <c r="AH28" s="4125"/>
      <c r="AI28" s="4125"/>
      <c r="AJ28" s="4125"/>
      <c r="AK28" s="4178">
        <f t="shared" si="10"/>
        <v>0</v>
      </c>
      <c r="AL28" s="4129"/>
      <c r="AM28" s="4129"/>
      <c r="AN28" s="4176"/>
      <c r="AO28" s="4178">
        <f t="shared" si="11"/>
        <v>0</v>
      </c>
      <c r="AP28" s="4177">
        <f t="shared" si="12"/>
        <v>0</v>
      </c>
      <c r="AQ28" s="4138">
        <f t="shared" si="13"/>
        <v>0</v>
      </c>
      <c r="AR28" s="4128">
        <f t="shared" si="14"/>
        <v>260</v>
      </c>
      <c r="AS28" s="4175"/>
      <c r="AT28" s="4131"/>
      <c r="AU28" s="4137">
        <f t="shared" si="15"/>
        <v>0</v>
      </c>
      <c r="AV28" s="4136"/>
      <c r="AW28" s="4135">
        <f t="shared" si="16"/>
        <v>0</v>
      </c>
      <c r="AX28" s="4134"/>
      <c r="AY28" s="4134">
        <f t="shared" si="17"/>
        <v>0</v>
      </c>
      <c r="AZ28" s="4134"/>
      <c r="BA28" s="4135">
        <f t="shared" si="18"/>
        <v>260</v>
      </c>
      <c r="BB28" s="4133"/>
      <c r="BC28" s="4133">
        <f t="shared" si="19"/>
        <v>260</v>
      </c>
      <c r="BD28" s="4134"/>
      <c r="BE28" s="4135">
        <f t="shared" si="20"/>
        <v>0</v>
      </c>
      <c r="BF28" s="4132"/>
      <c r="BG28" s="4132">
        <f t="shared" si="21"/>
        <v>260</v>
      </c>
      <c r="BH28" s="4134"/>
      <c r="BI28" s="4135">
        <f t="shared" si="22"/>
        <v>0</v>
      </c>
      <c r="BJ28" s="4132"/>
      <c r="BK28" s="4132">
        <f t="shared" si="23"/>
        <v>260</v>
      </c>
      <c r="BL28" s="4134"/>
      <c r="BM28" s="4135">
        <f t="shared" si="24"/>
        <v>0</v>
      </c>
      <c r="BN28" s="4134"/>
      <c r="BO28" s="4133">
        <f t="shared" si="25"/>
        <v>0</v>
      </c>
      <c r="BP28" s="4134"/>
      <c r="BQ28" s="4157">
        <f t="shared" si="26"/>
        <v>260</v>
      </c>
      <c r="BR28" s="4134"/>
      <c r="BS28" s="4135">
        <f t="shared" si="27"/>
        <v>0</v>
      </c>
      <c r="BT28" s="4134"/>
      <c r="BU28" s="4134">
        <f t="shared" si="28"/>
        <v>260</v>
      </c>
      <c r="BV28" s="4134"/>
      <c r="BW28" s="4135">
        <f t="shared" si="29"/>
        <v>0</v>
      </c>
      <c r="BX28" s="4134"/>
      <c r="BY28" s="4134">
        <f t="shared" si="30"/>
        <v>260</v>
      </c>
      <c r="BZ28" s="4134"/>
      <c r="CA28" s="4135">
        <f t="shared" si="31"/>
        <v>0</v>
      </c>
      <c r="CB28" s="4134"/>
      <c r="CC28" s="4133">
        <f t="shared" si="32"/>
        <v>0</v>
      </c>
      <c r="CD28" s="4134"/>
      <c r="CE28" s="4134">
        <f t="shared" si="33"/>
        <v>260</v>
      </c>
      <c r="CF28" s="4134"/>
      <c r="CG28" s="4135">
        <f t="shared" si="34"/>
        <v>0</v>
      </c>
      <c r="CH28" s="4134"/>
      <c r="CI28" s="4134">
        <f t="shared" si="35"/>
        <v>260</v>
      </c>
      <c r="CJ28" s="4134"/>
      <c r="CK28" s="4135">
        <f t="shared" si="36"/>
        <v>0</v>
      </c>
      <c r="CL28" s="4134"/>
      <c r="CM28" s="4134">
        <f t="shared" si="37"/>
        <v>260</v>
      </c>
      <c r="CN28" s="4134"/>
      <c r="CO28" s="4135">
        <f t="shared" si="38"/>
        <v>0</v>
      </c>
      <c r="CP28" s="4134"/>
      <c r="CQ28" s="4133">
        <f t="shared" si="39"/>
        <v>0</v>
      </c>
      <c r="CR28" s="4134"/>
      <c r="CS28" s="4157">
        <f t="shared" si="40"/>
        <v>0</v>
      </c>
      <c r="CT28" s="4132"/>
      <c r="CU28" s="4160">
        <f t="shared" si="41"/>
        <v>260</v>
      </c>
      <c r="CV28" s="4159"/>
      <c r="CW28" s="4168"/>
    </row>
    <row r="29" spans="1:101" ht="15.6" x14ac:dyDescent="0.3">
      <c r="A29" s="4191"/>
      <c r="B29" s="4191"/>
      <c r="C29" s="4191"/>
      <c r="D29" s="4191"/>
      <c r="E29" s="4179" t="s">
        <v>1701</v>
      </c>
      <c r="F29" s="4171">
        <v>154</v>
      </c>
      <c r="G29" s="4129">
        <v>1251</v>
      </c>
      <c r="H29" s="4129"/>
      <c r="I29" s="4178">
        <f t="shared" si="0"/>
        <v>1405</v>
      </c>
      <c r="J29" s="4129">
        <v>469</v>
      </c>
      <c r="K29" s="4129">
        <v>843</v>
      </c>
      <c r="L29" s="4129">
        <v>1253.6020000000001</v>
      </c>
      <c r="M29" s="4178">
        <f t="shared" si="1"/>
        <v>2565.6019999999999</v>
      </c>
      <c r="N29" s="4177">
        <f t="shared" si="2"/>
        <v>3970.6019999999999</v>
      </c>
      <c r="O29" s="4125">
        <v>1410.038</v>
      </c>
      <c r="P29" s="4125"/>
      <c r="Q29" s="4129">
        <v>928</v>
      </c>
      <c r="R29" s="4178">
        <f t="shared" si="3"/>
        <v>2338.038</v>
      </c>
      <c r="S29" s="4129">
        <v>1278.97</v>
      </c>
      <c r="T29" s="4129">
        <v>213.51400000000001</v>
      </c>
      <c r="U29" s="4176">
        <v>725</v>
      </c>
      <c r="V29" s="4178">
        <f t="shared" si="4"/>
        <v>2217.4839999999999</v>
      </c>
      <c r="W29" s="4177">
        <f t="shared" si="5"/>
        <v>4555.5219999999999</v>
      </c>
      <c r="X29" s="4141">
        <f t="shared" si="6"/>
        <v>8526.1239999999998</v>
      </c>
      <c r="Y29" s="4140">
        <v>0</v>
      </c>
      <c r="Z29" s="4129">
        <v>0</v>
      </c>
      <c r="AA29" s="4129"/>
      <c r="AB29" s="4178">
        <f t="shared" si="7"/>
        <v>0</v>
      </c>
      <c r="AC29" s="4129">
        <v>0</v>
      </c>
      <c r="AD29" s="4129">
        <v>0</v>
      </c>
      <c r="AE29" s="4129">
        <v>0</v>
      </c>
      <c r="AF29" s="4139">
        <f t="shared" si="8"/>
        <v>0</v>
      </c>
      <c r="AG29" s="4177">
        <f t="shared" si="9"/>
        <v>0</v>
      </c>
      <c r="AH29" s="4125">
        <v>0</v>
      </c>
      <c r="AI29" s="4125"/>
      <c r="AJ29" s="4125">
        <v>0</v>
      </c>
      <c r="AK29" s="4178">
        <f t="shared" si="10"/>
        <v>0</v>
      </c>
      <c r="AL29" s="4129">
        <v>0</v>
      </c>
      <c r="AM29" s="4129">
        <v>0</v>
      </c>
      <c r="AN29" s="4176">
        <v>0</v>
      </c>
      <c r="AO29" s="4178">
        <f t="shared" si="11"/>
        <v>0</v>
      </c>
      <c r="AP29" s="4177">
        <f t="shared" si="12"/>
        <v>0</v>
      </c>
      <c r="AQ29" s="4138">
        <f t="shared" si="13"/>
        <v>0</v>
      </c>
      <c r="AR29" s="4128">
        <f t="shared" si="14"/>
        <v>8526.1239999999998</v>
      </c>
      <c r="AS29" s="4175"/>
      <c r="AT29" s="4131"/>
      <c r="AU29" s="4137">
        <f t="shared" si="15"/>
        <v>154</v>
      </c>
      <c r="AV29" s="4136"/>
      <c r="AW29" s="4135">
        <f t="shared" si="16"/>
        <v>1251</v>
      </c>
      <c r="AX29" s="4134"/>
      <c r="AY29" s="4134">
        <f t="shared" si="17"/>
        <v>1405</v>
      </c>
      <c r="AZ29" s="4134"/>
      <c r="BA29" s="4135">
        <f t="shared" si="18"/>
        <v>0</v>
      </c>
      <c r="BB29" s="4133"/>
      <c r="BC29" s="4133">
        <f t="shared" si="19"/>
        <v>1405</v>
      </c>
      <c r="BD29" s="4134"/>
      <c r="BE29" s="4135">
        <f t="shared" si="20"/>
        <v>469</v>
      </c>
      <c r="BF29" s="4132"/>
      <c r="BG29" s="4132">
        <f t="shared" si="21"/>
        <v>1874</v>
      </c>
      <c r="BH29" s="4134"/>
      <c r="BI29" s="4135">
        <f t="shared" si="22"/>
        <v>843</v>
      </c>
      <c r="BJ29" s="4132"/>
      <c r="BK29" s="4132">
        <f t="shared" si="23"/>
        <v>2717</v>
      </c>
      <c r="BL29" s="4134"/>
      <c r="BM29" s="4135">
        <f t="shared" si="24"/>
        <v>1253.6020000000001</v>
      </c>
      <c r="BN29" s="4134"/>
      <c r="BO29" s="4133">
        <f t="shared" si="25"/>
        <v>2565.6019999999999</v>
      </c>
      <c r="BP29" s="4134"/>
      <c r="BQ29" s="4157">
        <f t="shared" si="26"/>
        <v>3970.6019999999999</v>
      </c>
      <c r="BR29" s="4134"/>
      <c r="BS29" s="4135">
        <f t="shared" si="27"/>
        <v>1410.038</v>
      </c>
      <c r="BT29" s="4134"/>
      <c r="BU29" s="4134">
        <f t="shared" si="28"/>
        <v>5380.6399999999994</v>
      </c>
      <c r="BV29" s="4134"/>
      <c r="BW29" s="4135">
        <f t="shared" si="29"/>
        <v>0</v>
      </c>
      <c r="BX29" s="4134"/>
      <c r="BY29" s="4134">
        <f t="shared" si="30"/>
        <v>5380.6399999999994</v>
      </c>
      <c r="BZ29" s="4134"/>
      <c r="CA29" s="4135">
        <f t="shared" si="31"/>
        <v>928</v>
      </c>
      <c r="CB29" s="4134"/>
      <c r="CC29" s="4133">
        <f t="shared" si="32"/>
        <v>2338.038</v>
      </c>
      <c r="CD29" s="4134"/>
      <c r="CE29" s="4134">
        <f t="shared" si="33"/>
        <v>6308.6399999999994</v>
      </c>
      <c r="CF29" s="4134"/>
      <c r="CG29" s="4135">
        <f t="shared" si="34"/>
        <v>1278.97</v>
      </c>
      <c r="CH29" s="4134"/>
      <c r="CI29" s="4134">
        <f t="shared" si="35"/>
        <v>7587.61</v>
      </c>
      <c r="CJ29" s="4134"/>
      <c r="CK29" s="4135">
        <f t="shared" si="36"/>
        <v>213.51400000000001</v>
      </c>
      <c r="CL29" s="4134"/>
      <c r="CM29" s="4134">
        <f t="shared" si="37"/>
        <v>7801.1239999999998</v>
      </c>
      <c r="CN29" s="4134"/>
      <c r="CO29" s="4135">
        <f t="shared" si="38"/>
        <v>725</v>
      </c>
      <c r="CP29" s="4134"/>
      <c r="CQ29" s="4133">
        <f t="shared" si="39"/>
        <v>2217.4839999999999</v>
      </c>
      <c r="CR29" s="4134"/>
      <c r="CS29" s="4157">
        <f t="shared" si="40"/>
        <v>4555.5219999999999</v>
      </c>
      <c r="CT29" s="4132"/>
      <c r="CU29" s="4160">
        <f t="shared" si="41"/>
        <v>8526.1239999999998</v>
      </c>
      <c r="CV29" s="4159"/>
      <c r="CW29" s="4168"/>
    </row>
    <row r="30" spans="1:101" ht="15.6" x14ac:dyDescent="0.3">
      <c r="A30" s="4191"/>
      <c r="B30" s="4191"/>
      <c r="C30" s="4191"/>
      <c r="D30" s="4191"/>
      <c r="E30" s="4179" t="s">
        <v>1700</v>
      </c>
      <c r="F30" s="4171">
        <v>759</v>
      </c>
      <c r="G30" s="4129"/>
      <c r="H30" s="4129"/>
      <c r="I30" s="4178">
        <f t="shared" si="0"/>
        <v>759</v>
      </c>
      <c r="J30" s="4129"/>
      <c r="K30" s="4129"/>
      <c r="L30" s="4129"/>
      <c r="M30" s="4178">
        <f t="shared" si="1"/>
        <v>0</v>
      </c>
      <c r="N30" s="4177">
        <f t="shared" si="2"/>
        <v>759</v>
      </c>
      <c r="O30" s="4125"/>
      <c r="P30" s="4125"/>
      <c r="Q30" s="4129"/>
      <c r="R30" s="4178">
        <f t="shared" si="3"/>
        <v>0</v>
      </c>
      <c r="S30" s="4129"/>
      <c r="T30" s="4129"/>
      <c r="U30" s="4176"/>
      <c r="V30" s="4178">
        <f t="shared" si="4"/>
        <v>0</v>
      </c>
      <c r="W30" s="4177">
        <f t="shared" si="5"/>
        <v>0</v>
      </c>
      <c r="X30" s="4141">
        <f t="shared" si="6"/>
        <v>759</v>
      </c>
      <c r="Y30" s="4140">
        <v>0</v>
      </c>
      <c r="Z30" s="4129"/>
      <c r="AA30" s="4129"/>
      <c r="AB30" s="4178">
        <f t="shared" si="7"/>
        <v>0</v>
      </c>
      <c r="AC30" s="4129"/>
      <c r="AD30" s="4129"/>
      <c r="AE30" s="4129"/>
      <c r="AF30" s="4139">
        <f t="shared" si="8"/>
        <v>0</v>
      </c>
      <c r="AG30" s="4177">
        <f t="shared" si="9"/>
        <v>0</v>
      </c>
      <c r="AH30" s="4125"/>
      <c r="AI30" s="4125"/>
      <c r="AJ30" s="4125"/>
      <c r="AK30" s="4178">
        <f t="shared" si="10"/>
        <v>0</v>
      </c>
      <c r="AL30" s="4129"/>
      <c r="AM30" s="4129"/>
      <c r="AN30" s="4176"/>
      <c r="AO30" s="4178">
        <f t="shared" si="11"/>
        <v>0</v>
      </c>
      <c r="AP30" s="4177">
        <f t="shared" si="12"/>
        <v>0</v>
      </c>
      <c r="AQ30" s="4138">
        <f t="shared" si="13"/>
        <v>0</v>
      </c>
      <c r="AR30" s="4128">
        <f t="shared" si="14"/>
        <v>759</v>
      </c>
      <c r="AS30" s="4175"/>
      <c r="AT30" s="4131"/>
      <c r="AU30" s="4137">
        <f t="shared" si="15"/>
        <v>759</v>
      </c>
      <c r="AV30" s="4136"/>
      <c r="AW30" s="4135">
        <f t="shared" si="16"/>
        <v>0</v>
      </c>
      <c r="AX30" s="4134"/>
      <c r="AY30" s="4134">
        <f t="shared" si="17"/>
        <v>759</v>
      </c>
      <c r="AZ30" s="4134"/>
      <c r="BA30" s="4135">
        <f t="shared" si="18"/>
        <v>0</v>
      </c>
      <c r="BB30" s="4133"/>
      <c r="BC30" s="4133">
        <f t="shared" si="19"/>
        <v>759</v>
      </c>
      <c r="BD30" s="4134"/>
      <c r="BE30" s="4135">
        <f t="shared" si="20"/>
        <v>0</v>
      </c>
      <c r="BF30" s="4132"/>
      <c r="BG30" s="4132">
        <f t="shared" si="21"/>
        <v>759</v>
      </c>
      <c r="BH30" s="4134"/>
      <c r="BI30" s="4135">
        <f t="shared" si="22"/>
        <v>0</v>
      </c>
      <c r="BJ30" s="4132"/>
      <c r="BK30" s="4132">
        <f t="shared" si="23"/>
        <v>759</v>
      </c>
      <c r="BL30" s="4134"/>
      <c r="BM30" s="4135">
        <f t="shared" si="24"/>
        <v>0</v>
      </c>
      <c r="BN30" s="4134"/>
      <c r="BO30" s="4133">
        <f t="shared" si="25"/>
        <v>0</v>
      </c>
      <c r="BP30" s="4134"/>
      <c r="BQ30" s="4157">
        <f t="shared" si="26"/>
        <v>759</v>
      </c>
      <c r="BR30" s="4134"/>
      <c r="BS30" s="4135">
        <f t="shared" si="27"/>
        <v>0</v>
      </c>
      <c r="BT30" s="4134"/>
      <c r="BU30" s="4134">
        <f t="shared" si="28"/>
        <v>759</v>
      </c>
      <c r="BV30" s="4134"/>
      <c r="BW30" s="4135">
        <f t="shared" si="29"/>
        <v>0</v>
      </c>
      <c r="BX30" s="4134"/>
      <c r="BY30" s="4134">
        <f t="shared" si="30"/>
        <v>759</v>
      </c>
      <c r="BZ30" s="4134"/>
      <c r="CA30" s="4135">
        <f t="shared" si="31"/>
        <v>0</v>
      </c>
      <c r="CB30" s="4134"/>
      <c r="CC30" s="4133">
        <f t="shared" si="32"/>
        <v>0</v>
      </c>
      <c r="CD30" s="4134"/>
      <c r="CE30" s="4134">
        <f t="shared" si="33"/>
        <v>759</v>
      </c>
      <c r="CF30" s="4134"/>
      <c r="CG30" s="4135">
        <f t="shared" si="34"/>
        <v>0</v>
      </c>
      <c r="CH30" s="4134"/>
      <c r="CI30" s="4134">
        <f t="shared" si="35"/>
        <v>759</v>
      </c>
      <c r="CJ30" s="4134"/>
      <c r="CK30" s="4135">
        <f t="shared" si="36"/>
        <v>0</v>
      </c>
      <c r="CL30" s="4134"/>
      <c r="CM30" s="4134">
        <f t="shared" si="37"/>
        <v>759</v>
      </c>
      <c r="CN30" s="4134"/>
      <c r="CO30" s="4135">
        <f t="shared" si="38"/>
        <v>0</v>
      </c>
      <c r="CP30" s="4134"/>
      <c r="CQ30" s="4133">
        <f t="shared" si="39"/>
        <v>0</v>
      </c>
      <c r="CR30" s="4134"/>
      <c r="CS30" s="4157">
        <f t="shared" si="40"/>
        <v>0</v>
      </c>
      <c r="CT30" s="4132"/>
      <c r="CU30" s="4160">
        <f t="shared" si="41"/>
        <v>759</v>
      </c>
      <c r="CV30" s="4159"/>
      <c r="CW30" s="4168"/>
    </row>
    <row r="31" spans="1:101" ht="15.6" x14ac:dyDescent="0.3">
      <c r="A31" s="4191"/>
      <c r="B31" s="4191"/>
      <c r="C31" s="4191"/>
      <c r="D31" s="4191"/>
      <c r="E31" s="4179" t="s">
        <v>2137</v>
      </c>
      <c r="F31" s="4171">
        <v>3272</v>
      </c>
      <c r="G31" s="4129">
        <v>3175</v>
      </c>
      <c r="H31" s="4129">
        <v>3759</v>
      </c>
      <c r="I31" s="4178">
        <f t="shared" si="0"/>
        <v>10206</v>
      </c>
      <c r="J31" s="4129">
        <v>2712</v>
      </c>
      <c r="K31" s="4129">
        <v>2826</v>
      </c>
      <c r="L31" s="4129">
        <v>1560.1320000000001</v>
      </c>
      <c r="M31" s="4178">
        <f t="shared" si="1"/>
        <v>7098.1319999999996</v>
      </c>
      <c r="N31" s="4177">
        <f t="shared" si="2"/>
        <v>17304.131999999998</v>
      </c>
      <c r="O31" s="4125">
        <v>2255.6379999999999</v>
      </c>
      <c r="P31" s="4125">
        <v>306.52999999999997</v>
      </c>
      <c r="Q31" s="4129">
        <v>2184</v>
      </c>
      <c r="R31" s="4178">
        <f t="shared" si="3"/>
        <v>4746.1679999999997</v>
      </c>
      <c r="S31" s="4129">
        <v>2418.4160000000002</v>
      </c>
      <c r="T31" s="4129">
        <v>4008.1439999999998</v>
      </c>
      <c r="U31" s="4176">
        <v>5306</v>
      </c>
      <c r="V31" s="4178">
        <f t="shared" si="4"/>
        <v>11732.56</v>
      </c>
      <c r="W31" s="4177">
        <f t="shared" si="5"/>
        <v>16478.727999999999</v>
      </c>
      <c r="X31" s="4141">
        <f t="shared" si="6"/>
        <v>33782.86</v>
      </c>
      <c r="Y31" s="4140">
        <v>0</v>
      </c>
      <c r="Z31" s="4129">
        <v>0</v>
      </c>
      <c r="AA31" s="4129">
        <v>347</v>
      </c>
      <c r="AB31" s="4178">
        <f t="shared" si="7"/>
        <v>347</v>
      </c>
      <c r="AC31" s="4129">
        <v>0</v>
      </c>
      <c r="AD31" s="4129">
        <v>0</v>
      </c>
      <c r="AE31" s="4129">
        <v>0</v>
      </c>
      <c r="AF31" s="4139">
        <f t="shared" si="8"/>
        <v>0</v>
      </c>
      <c r="AG31" s="4177">
        <f t="shared" si="9"/>
        <v>347</v>
      </c>
      <c r="AH31" s="4125">
        <v>0</v>
      </c>
      <c r="AI31" s="4125">
        <v>0</v>
      </c>
      <c r="AJ31" s="4125">
        <v>0</v>
      </c>
      <c r="AK31" s="4178">
        <f t="shared" si="10"/>
        <v>0</v>
      </c>
      <c r="AL31" s="4129">
        <v>0</v>
      </c>
      <c r="AM31" s="4129">
        <v>0</v>
      </c>
      <c r="AN31" s="4176">
        <v>161</v>
      </c>
      <c r="AO31" s="4178">
        <f t="shared" si="11"/>
        <v>161</v>
      </c>
      <c r="AP31" s="4177">
        <f t="shared" si="12"/>
        <v>161</v>
      </c>
      <c r="AQ31" s="4138">
        <f t="shared" si="13"/>
        <v>508</v>
      </c>
      <c r="AR31" s="4128">
        <f t="shared" si="14"/>
        <v>34290.86</v>
      </c>
      <c r="AS31" s="4175"/>
      <c r="AT31" s="4131"/>
      <c r="AU31" s="4137">
        <f t="shared" si="15"/>
        <v>3272</v>
      </c>
      <c r="AV31" s="4136"/>
      <c r="AW31" s="4135">
        <f t="shared" si="16"/>
        <v>3175</v>
      </c>
      <c r="AX31" s="4134"/>
      <c r="AY31" s="4134">
        <f t="shared" si="17"/>
        <v>6447</v>
      </c>
      <c r="AZ31" s="4134"/>
      <c r="BA31" s="4135">
        <f t="shared" si="18"/>
        <v>4106</v>
      </c>
      <c r="BB31" s="4133"/>
      <c r="BC31" s="4133">
        <f t="shared" si="19"/>
        <v>10553</v>
      </c>
      <c r="BD31" s="4134"/>
      <c r="BE31" s="4135">
        <f t="shared" si="20"/>
        <v>2712</v>
      </c>
      <c r="BF31" s="4132"/>
      <c r="BG31" s="4132">
        <f t="shared" si="21"/>
        <v>13265</v>
      </c>
      <c r="BH31" s="4134"/>
      <c r="BI31" s="4135">
        <f t="shared" si="22"/>
        <v>2826</v>
      </c>
      <c r="BJ31" s="4132"/>
      <c r="BK31" s="4132">
        <f t="shared" si="23"/>
        <v>16091</v>
      </c>
      <c r="BL31" s="4134"/>
      <c r="BM31" s="4135">
        <f t="shared" si="24"/>
        <v>1560.1320000000001</v>
      </c>
      <c r="BN31" s="4134"/>
      <c r="BO31" s="4133">
        <f t="shared" si="25"/>
        <v>7098.1319999999996</v>
      </c>
      <c r="BP31" s="4134"/>
      <c r="BQ31" s="4157">
        <f t="shared" si="26"/>
        <v>17651.131999999998</v>
      </c>
      <c r="BR31" s="4134"/>
      <c r="BS31" s="4135">
        <f t="shared" si="27"/>
        <v>2255.6379999999999</v>
      </c>
      <c r="BT31" s="4134"/>
      <c r="BU31" s="4134">
        <f t="shared" si="28"/>
        <v>19906.769999999997</v>
      </c>
      <c r="BV31" s="4134"/>
      <c r="BW31" s="4135">
        <f t="shared" si="29"/>
        <v>306.52999999999997</v>
      </c>
      <c r="BX31" s="4134"/>
      <c r="BY31" s="4134">
        <f t="shared" si="30"/>
        <v>20213.299999999996</v>
      </c>
      <c r="BZ31" s="4134"/>
      <c r="CA31" s="4135">
        <f t="shared" si="31"/>
        <v>2184</v>
      </c>
      <c r="CB31" s="4134"/>
      <c r="CC31" s="4133">
        <f t="shared" si="32"/>
        <v>4746.1679999999997</v>
      </c>
      <c r="CD31" s="4134"/>
      <c r="CE31" s="4134">
        <f t="shared" si="33"/>
        <v>22397.299999999996</v>
      </c>
      <c r="CF31" s="4134"/>
      <c r="CG31" s="4135">
        <f t="shared" si="34"/>
        <v>2418.4160000000002</v>
      </c>
      <c r="CH31" s="4134"/>
      <c r="CI31" s="4134">
        <f t="shared" si="35"/>
        <v>24815.715999999997</v>
      </c>
      <c r="CJ31" s="4134"/>
      <c r="CK31" s="4135">
        <f t="shared" si="36"/>
        <v>4008.1439999999998</v>
      </c>
      <c r="CL31" s="4134"/>
      <c r="CM31" s="4134">
        <f t="shared" si="37"/>
        <v>28823.859999999997</v>
      </c>
      <c r="CN31" s="4134"/>
      <c r="CO31" s="4135">
        <f t="shared" si="38"/>
        <v>5467</v>
      </c>
      <c r="CP31" s="4134"/>
      <c r="CQ31" s="4133">
        <f t="shared" si="39"/>
        <v>11893.56</v>
      </c>
      <c r="CR31" s="4134"/>
      <c r="CS31" s="4157">
        <f t="shared" si="40"/>
        <v>16639.727999999999</v>
      </c>
      <c r="CT31" s="4132"/>
      <c r="CU31" s="4160">
        <f t="shared" si="41"/>
        <v>34290.86</v>
      </c>
      <c r="CV31" s="4159"/>
      <c r="CW31" s="4168"/>
    </row>
    <row r="32" spans="1:101" ht="15.6" x14ac:dyDescent="0.3">
      <c r="A32" s="4191"/>
      <c r="B32" s="4191"/>
      <c r="C32" s="4191"/>
      <c r="D32" s="4191"/>
      <c r="E32" s="4179" t="s">
        <v>1209</v>
      </c>
      <c r="F32" s="4171">
        <v>1097</v>
      </c>
      <c r="G32" s="4129">
        <v>1173</v>
      </c>
      <c r="H32" s="4129">
        <v>1955</v>
      </c>
      <c r="I32" s="4178">
        <f t="shared" si="0"/>
        <v>4225</v>
      </c>
      <c r="J32" s="4129">
        <v>746</v>
      </c>
      <c r="K32" s="4129">
        <v>3015</v>
      </c>
      <c r="L32" s="4129">
        <v>1756.7339999999999</v>
      </c>
      <c r="M32" s="4178">
        <f t="shared" si="1"/>
        <v>5517.7340000000004</v>
      </c>
      <c r="N32" s="4177">
        <f t="shared" si="2"/>
        <v>9742.7340000000004</v>
      </c>
      <c r="O32" s="4125">
        <v>4589.4939999999997</v>
      </c>
      <c r="P32" s="4125">
        <v>742.01400000000001</v>
      </c>
      <c r="Q32" s="4129">
        <v>2023</v>
      </c>
      <c r="R32" s="4178">
        <f t="shared" si="3"/>
        <v>7354.5079999999998</v>
      </c>
      <c r="S32" s="4129">
        <v>1849.75</v>
      </c>
      <c r="T32" s="4129"/>
      <c r="U32" s="4176">
        <v>700</v>
      </c>
      <c r="V32" s="4178">
        <f t="shared" si="4"/>
        <v>2549.75</v>
      </c>
      <c r="W32" s="4177">
        <f t="shared" si="5"/>
        <v>9904.2579999999998</v>
      </c>
      <c r="X32" s="4141">
        <f t="shared" si="6"/>
        <v>19646.991999999998</v>
      </c>
      <c r="Y32" s="4140">
        <v>0</v>
      </c>
      <c r="Z32" s="4129">
        <v>0</v>
      </c>
      <c r="AA32" s="4129">
        <v>0</v>
      </c>
      <c r="AB32" s="4178">
        <f t="shared" si="7"/>
        <v>0</v>
      </c>
      <c r="AC32" s="4129">
        <v>0</v>
      </c>
      <c r="AD32" s="4129">
        <v>0</v>
      </c>
      <c r="AE32" s="4129">
        <v>0</v>
      </c>
      <c r="AF32" s="4139">
        <f t="shared" si="8"/>
        <v>0</v>
      </c>
      <c r="AG32" s="4177">
        <f t="shared" si="9"/>
        <v>0</v>
      </c>
      <c r="AH32" s="4125">
        <v>0</v>
      </c>
      <c r="AI32" s="4125">
        <v>0</v>
      </c>
      <c r="AJ32" s="4125">
        <v>0</v>
      </c>
      <c r="AK32" s="4178">
        <f t="shared" si="10"/>
        <v>0</v>
      </c>
      <c r="AL32" s="4129">
        <v>0</v>
      </c>
      <c r="AM32" s="4129"/>
      <c r="AN32" s="4176">
        <v>0</v>
      </c>
      <c r="AO32" s="4178">
        <f t="shared" si="11"/>
        <v>0</v>
      </c>
      <c r="AP32" s="4177">
        <f t="shared" si="12"/>
        <v>0</v>
      </c>
      <c r="AQ32" s="4138">
        <f t="shared" si="13"/>
        <v>0</v>
      </c>
      <c r="AR32" s="4128">
        <f t="shared" si="14"/>
        <v>19646.991999999998</v>
      </c>
      <c r="AS32" s="4175"/>
      <c r="AT32" s="4131"/>
      <c r="AU32" s="4137">
        <f t="shared" si="15"/>
        <v>1097</v>
      </c>
      <c r="AV32" s="4136"/>
      <c r="AW32" s="4135">
        <f t="shared" si="16"/>
        <v>1173</v>
      </c>
      <c r="AX32" s="4134"/>
      <c r="AY32" s="4134">
        <f t="shared" si="17"/>
        <v>2270</v>
      </c>
      <c r="AZ32" s="4134"/>
      <c r="BA32" s="4135">
        <f t="shared" si="18"/>
        <v>1955</v>
      </c>
      <c r="BB32" s="4133"/>
      <c r="BC32" s="4133">
        <f t="shared" si="19"/>
        <v>4225</v>
      </c>
      <c r="BD32" s="4134"/>
      <c r="BE32" s="4135">
        <f t="shared" si="20"/>
        <v>746</v>
      </c>
      <c r="BF32" s="4132"/>
      <c r="BG32" s="4132">
        <f t="shared" si="21"/>
        <v>4971</v>
      </c>
      <c r="BH32" s="4134"/>
      <c r="BI32" s="4135">
        <f t="shared" si="22"/>
        <v>3015</v>
      </c>
      <c r="BJ32" s="4132"/>
      <c r="BK32" s="4132">
        <f t="shared" si="23"/>
        <v>7986</v>
      </c>
      <c r="BL32" s="4134"/>
      <c r="BM32" s="4135">
        <f t="shared" si="24"/>
        <v>1756.7339999999999</v>
      </c>
      <c r="BN32" s="4134"/>
      <c r="BO32" s="4133">
        <f t="shared" si="25"/>
        <v>5517.7340000000004</v>
      </c>
      <c r="BP32" s="4134"/>
      <c r="BQ32" s="4157">
        <f t="shared" si="26"/>
        <v>9742.7340000000004</v>
      </c>
      <c r="BR32" s="4134"/>
      <c r="BS32" s="4135">
        <f t="shared" si="27"/>
        <v>4589.4939999999997</v>
      </c>
      <c r="BT32" s="4134"/>
      <c r="BU32" s="4134">
        <f t="shared" si="28"/>
        <v>14332.227999999999</v>
      </c>
      <c r="BV32" s="4134"/>
      <c r="BW32" s="4135">
        <f t="shared" si="29"/>
        <v>742.01400000000001</v>
      </c>
      <c r="BX32" s="4134"/>
      <c r="BY32" s="4134">
        <f t="shared" si="30"/>
        <v>15074.241999999998</v>
      </c>
      <c r="BZ32" s="4134"/>
      <c r="CA32" s="4135">
        <f t="shared" si="31"/>
        <v>2023</v>
      </c>
      <c r="CB32" s="4134"/>
      <c r="CC32" s="4133">
        <f t="shared" si="32"/>
        <v>7354.5079999999998</v>
      </c>
      <c r="CD32" s="4134"/>
      <c r="CE32" s="4134">
        <f t="shared" si="33"/>
        <v>17097.241999999998</v>
      </c>
      <c r="CF32" s="4134"/>
      <c r="CG32" s="4135">
        <f t="shared" si="34"/>
        <v>1849.75</v>
      </c>
      <c r="CH32" s="4134"/>
      <c r="CI32" s="4134">
        <f t="shared" si="35"/>
        <v>18946.991999999998</v>
      </c>
      <c r="CJ32" s="4134"/>
      <c r="CK32" s="4135">
        <f t="shared" si="36"/>
        <v>0</v>
      </c>
      <c r="CL32" s="4134"/>
      <c r="CM32" s="4134">
        <f t="shared" si="37"/>
        <v>18946.991999999998</v>
      </c>
      <c r="CN32" s="4134"/>
      <c r="CO32" s="4135">
        <f t="shared" si="38"/>
        <v>700</v>
      </c>
      <c r="CP32" s="4134"/>
      <c r="CQ32" s="4133">
        <f t="shared" si="39"/>
        <v>2549.75</v>
      </c>
      <c r="CR32" s="4134"/>
      <c r="CS32" s="4157">
        <f t="shared" si="40"/>
        <v>9904.2579999999998</v>
      </c>
      <c r="CT32" s="4132"/>
      <c r="CU32" s="4160">
        <f t="shared" si="41"/>
        <v>19646.991999999998</v>
      </c>
      <c r="CV32" s="4159"/>
      <c r="CW32" s="4168"/>
    </row>
    <row r="33" spans="1:101" ht="15.6" x14ac:dyDescent="0.3">
      <c r="A33" s="4191"/>
      <c r="B33" s="4191"/>
      <c r="C33" s="4191"/>
      <c r="D33" s="4191"/>
      <c r="E33" s="4179" t="s">
        <v>1413</v>
      </c>
      <c r="F33" s="4171">
        <v>435</v>
      </c>
      <c r="G33" s="4129">
        <v>1621</v>
      </c>
      <c r="H33" s="4129">
        <v>154</v>
      </c>
      <c r="I33" s="4178">
        <f t="shared" si="0"/>
        <v>2210</v>
      </c>
      <c r="J33" s="4129"/>
      <c r="K33" s="4129"/>
      <c r="L33" s="4129">
        <v>247.33799999999999</v>
      </c>
      <c r="M33" s="4178">
        <f t="shared" si="1"/>
        <v>247.33799999999999</v>
      </c>
      <c r="N33" s="4177">
        <f t="shared" si="2"/>
        <v>2457.3380000000002</v>
      </c>
      <c r="O33" s="4125">
        <v>190.26</v>
      </c>
      <c r="P33" s="4125">
        <v>179.69</v>
      </c>
      <c r="Q33" s="4129">
        <v>106</v>
      </c>
      <c r="R33" s="4178">
        <f t="shared" si="3"/>
        <v>475.95</v>
      </c>
      <c r="S33" s="4129">
        <v>270.59199999999998</v>
      </c>
      <c r="T33" s="4129">
        <v>97.244</v>
      </c>
      <c r="U33" s="4176"/>
      <c r="V33" s="4178">
        <f t="shared" si="4"/>
        <v>367.83600000000001</v>
      </c>
      <c r="W33" s="4177">
        <f t="shared" si="5"/>
        <v>843.78600000000006</v>
      </c>
      <c r="X33" s="4141">
        <f t="shared" si="6"/>
        <v>3301.1240000000003</v>
      </c>
      <c r="Y33" s="4140">
        <v>0</v>
      </c>
      <c r="Z33" s="4129">
        <v>0</v>
      </c>
      <c r="AA33" s="4129">
        <v>0</v>
      </c>
      <c r="AB33" s="4178">
        <f t="shared" si="7"/>
        <v>0</v>
      </c>
      <c r="AC33" s="4129"/>
      <c r="AD33" s="4129"/>
      <c r="AE33" s="4129">
        <v>0</v>
      </c>
      <c r="AF33" s="4139">
        <f t="shared" si="8"/>
        <v>0</v>
      </c>
      <c r="AG33" s="4177">
        <f t="shared" si="9"/>
        <v>0</v>
      </c>
      <c r="AH33" s="4125">
        <v>0</v>
      </c>
      <c r="AI33" s="4125">
        <v>0</v>
      </c>
      <c r="AJ33" s="4125">
        <v>0</v>
      </c>
      <c r="AK33" s="4178">
        <f t="shared" si="10"/>
        <v>0</v>
      </c>
      <c r="AL33" s="4129">
        <v>0</v>
      </c>
      <c r="AM33" s="4129">
        <v>0</v>
      </c>
      <c r="AN33" s="4176"/>
      <c r="AO33" s="4178">
        <f t="shared" si="11"/>
        <v>0</v>
      </c>
      <c r="AP33" s="4177">
        <f t="shared" si="12"/>
        <v>0</v>
      </c>
      <c r="AQ33" s="4138">
        <f t="shared" si="13"/>
        <v>0</v>
      </c>
      <c r="AR33" s="4128">
        <f t="shared" si="14"/>
        <v>3301.1240000000003</v>
      </c>
      <c r="AS33" s="4175"/>
      <c r="AT33" s="4131"/>
      <c r="AU33" s="4137">
        <f t="shared" si="15"/>
        <v>435</v>
      </c>
      <c r="AV33" s="4136"/>
      <c r="AW33" s="4135">
        <f t="shared" si="16"/>
        <v>1621</v>
      </c>
      <c r="AX33" s="4134"/>
      <c r="AY33" s="4134">
        <f t="shared" si="17"/>
        <v>2056</v>
      </c>
      <c r="AZ33" s="4134"/>
      <c r="BA33" s="4135">
        <f t="shared" si="18"/>
        <v>154</v>
      </c>
      <c r="BB33" s="4133"/>
      <c r="BC33" s="4133">
        <f t="shared" si="19"/>
        <v>2210</v>
      </c>
      <c r="BD33" s="4134"/>
      <c r="BE33" s="4135">
        <f t="shared" si="20"/>
        <v>0</v>
      </c>
      <c r="BF33" s="4132"/>
      <c r="BG33" s="4132">
        <f t="shared" si="21"/>
        <v>2210</v>
      </c>
      <c r="BH33" s="4134"/>
      <c r="BI33" s="4135">
        <f t="shared" si="22"/>
        <v>0</v>
      </c>
      <c r="BJ33" s="4132"/>
      <c r="BK33" s="4132">
        <f t="shared" si="23"/>
        <v>2210</v>
      </c>
      <c r="BL33" s="4134"/>
      <c r="BM33" s="4135">
        <f t="shared" si="24"/>
        <v>247.33799999999999</v>
      </c>
      <c r="BN33" s="4134"/>
      <c r="BO33" s="4133">
        <f t="shared" si="25"/>
        <v>247.33799999999999</v>
      </c>
      <c r="BP33" s="4134"/>
      <c r="BQ33" s="4157">
        <f t="shared" si="26"/>
        <v>2457.3380000000002</v>
      </c>
      <c r="BR33" s="4134"/>
      <c r="BS33" s="4135">
        <f t="shared" si="27"/>
        <v>190.26</v>
      </c>
      <c r="BT33" s="4134"/>
      <c r="BU33" s="4134">
        <f t="shared" si="28"/>
        <v>2647.598</v>
      </c>
      <c r="BV33" s="4134"/>
      <c r="BW33" s="4135">
        <f t="shared" si="29"/>
        <v>179.69</v>
      </c>
      <c r="BX33" s="4134"/>
      <c r="BY33" s="4134">
        <f t="shared" si="30"/>
        <v>2827.288</v>
      </c>
      <c r="BZ33" s="4134"/>
      <c r="CA33" s="4135">
        <f t="shared" si="31"/>
        <v>106</v>
      </c>
      <c r="CB33" s="4134"/>
      <c r="CC33" s="4133">
        <f t="shared" si="32"/>
        <v>475.95</v>
      </c>
      <c r="CD33" s="4134"/>
      <c r="CE33" s="4134">
        <f t="shared" si="33"/>
        <v>2933.288</v>
      </c>
      <c r="CF33" s="4134"/>
      <c r="CG33" s="4135">
        <f t="shared" si="34"/>
        <v>270.59199999999998</v>
      </c>
      <c r="CH33" s="4134"/>
      <c r="CI33" s="4134">
        <f t="shared" si="35"/>
        <v>3203.88</v>
      </c>
      <c r="CJ33" s="4134"/>
      <c r="CK33" s="4135">
        <f t="shared" si="36"/>
        <v>97.244</v>
      </c>
      <c r="CL33" s="4134"/>
      <c r="CM33" s="4134">
        <f t="shared" si="37"/>
        <v>3301.1240000000003</v>
      </c>
      <c r="CN33" s="4134"/>
      <c r="CO33" s="4135">
        <f t="shared" si="38"/>
        <v>0</v>
      </c>
      <c r="CP33" s="4134"/>
      <c r="CQ33" s="4133">
        <f t="shared" si="39"/>
        <v>367.83600000000001</v>
      </c>
      <c r="CR33" s="4134"/>
      <c r="CS33" s="4157">
        <f t="shared" si="40"/>
        <v>843.78600000000006</v>
      </c>
      <c r="CT33" s="4132"/>
      <c r="CU33" s="4160">
        <f t="shared" si="41"/>
        <v>3301.1240000000003</v>
      </c>
      <c r="CV33" s="4159"/>
      <c r="CW33" s="4168"/>
    </row>
    <row r="34" spans="1:101" ht="15.6" x14ac:dyDescent="0.3">
      <c r="A34" s="4191"/>
      <c r="B34" s="4191"/>
      <c r="C34" s="4191"/>
      <c r="D34" s="4191"/>
      <c r="E34" s="4179" t="s">
        <v>2138</v>
      </c>
      <c r="F34" s="4171">
        <v>1342</v>
      </c>
      <c r="G34" s="4129"/>
      <c r="H34" s="4129">
        <v>1509</v>
      </c>
      <c r="I34" s="4178">
        <f t="shared" si="0"/>
        <v>2851</v>
      </c>
      <c r="J34" s="4129">
        <v>3989</v>
      </c>
      <c r="K34" s="4129"/>
      <c r="L34" s="4129">
        <v>2864.47</v>
      </c>
      <c r="M34" s="4178">
        <f t="shared" si="1"/>
        <v>6853.4699999999993</v>
      </c>
      <c r="N34" s="4177">
        <f t="shared" si="2"/>
        <v>9704.4699999999993</v>
      </c>
      <c r="O34" s="4125">
        <v>989.35199999999998</v>
      </c>
      <c r="P34" s="4125"/>
      <c r="Q34" s="4129">
        <v>3065</v>
      </c>
      <c r="R34" s="4178">
        <f t="shared" si="3"/>
        <v>4054.3519999999999</v>
      </c>
      <c r="S34" s="4129">
        <v>2247.1819999999998</v>
      </c>
      <c r="T34" s="4129">
        <v>581.35</v>
      </c>
      <c r="U34" s="4176">
        <v>465</v>
      </c>
      <c r="V34" s="4178">
        <f t="shared" si="4"/>
        <v>3293.5319999999997</v>
      </c>
      <c r="W34" s="4177">
        <f t="shared" si="5"/>
        <v>7347.884</v>
      </c>
      <c r="X34" s="4141">
        <f t="shared" si="6"/>
        <v>17052.353999999999</v>
      </c>
      <c r="Y34" s="4140">
        <v>0</v>
      </c>
      <c r="Z34" s="4129"/>
      <c r="AA34" s="4129">
        <v>0</v>
      </c>
      <c r="AB34" s="4178">
        <f t="shared" si="7"/>
        <v>0</v>
      </c>
      <c r="AC34" s="4129">
        <v>0</v>
      </c>
      <c r="AD34" s="4129"/>
      <c r="AE34" s="4129">
        <v>0</v>
      </c>
      <c r="AF34" s="4139">
        <f t="shared" si="8"/>
        <v>0</v>
      </c>
      <c r="AG34" s="4177">
        <f t="shared" si="9"/>
        <v>0</v>
      </c>
      <c r="AH34" s="4125">
        <v>0</v>
      </c>
      <c r="AI34" s="4125"/>
      <c r="AJ34" s="4125">
        <v>0</v>
      </c>
      <c r="AK34" s="4178">
        <f t="shared" si="10"/>
        <v>0</v>
      </c>
      <c r="AL34" s="4129">
        <v>0</v>
      </c>
      <c r="AM34" s="4129">
        <v>0</v>
      </c>
      <c r="AN34" s="4176">
        <v>0</v>
      </c>
      <c r="AO34" s="4178">
        <f t="shared" si="11"/>
        <v>0</v>
      </c>
      <c r="AP34" s="4177">
        <f t="shared" si="12"/>
        <v>0</v>
      </c>
      <c r="AQ34" s="4138">
        <f t="shared" si="13"/>
        <v>0</v>
      </c>
      <c r="AR34" s="4128">
        <f t="shared" si="14"/>
        <v>17052.353999999999</v>
      </c>
      <c r="AS34" s="4175"/>
      <c r="AT34" s="4131"/>
      <c r="AU34" s="4137">
        <f t="shared" si="15"/>
        <v>1342</v>
      </c>
      <c r="AV34" s="4136"/>
      <c r="AW34" s="4135">
        <f t="shared" si="16"/>
        <v>0</v>
      </c>
      <c r="AX34" s="4134"/>
      <c r="AY34" s="4134">
        <f t="shared" si="17"/>
        <v>1342</v>
      </c>
      <c r="AZ34" s="4134"/>
      <c r="BA34" s="4135">
        <f t="shared" si="18"/>
        <v>1509</v>
      </c>
      <c r="BB34" s="4133"/>
      <c r="BC34" s="4133">
        <f t="shared" si="19"/>
        <v>2851</v>
      </c>
      <c r="BD34" s="4134"/>
      <c r="BE34" s="4135">
        <f t="shared" si="20"/>
        <v>3989</v>
      </c>
      <c r="BF34" s="4132"/>
      <c r="BG34" s="4132">
        <f t="shared" si="21"/>
        <v>6840</v>
      </c>
      <c r="BH34" s="4134"/>
      <c r="BI34" s="4135">
        <f t="shared" si="22"/>
        <v>0</v>
      </c>
      <c r="BJ34" s="4132"/>
      <c r="BK34" s="4132">
        <f t="shared" si="23"/>
        <v>6840</v>
      </c>
      <c r="BL34" s="4134"/>
      <c r="BM34" s="4135">
        <f t="shared" si="24"/>
        <v>2864.47</v>
      </c>
      <c r="BN34" s="4134"/>
      <c r="BO34" s="4133">
        <f t="shared" si="25"/>
        <v>6853.4699999999993</v>
      </c>
      <c r="BP34" s="4134"/>
      <c r="BQ34" s="4157">
        <f t="shared" si="26"/>
        <v>9704.4699999999993</v>
      </c>
      <c r="BR34" s="4134"/>
      <c r="BS34" s="4135">
        <f t="shared" si="27"/>
        <v>989.35199999999998</v>
      </c>
      <c r="BT34" s="4134"/>
      <c r="BU34" s="4134">
        <f t="shared" si="28"/>
        <v>10693.822</v>
      </c>
      <c r="BV34" s="4134"/>
      <c r="BW34" s="4135">
        <f t="shared" si="29"/>
        <v>0</v>
      </c>
      <c r="BX34" s="4134"/>
      <c r="BY34" s="4134">
        <f t="shared" si="30"/>
        <v>10693.822</v>
      </c>
      <c r="BZ34" s="4134"/>
      <c r="CA34" s="4135">
        <f t="shared" si="31"/>
        <v>3065</v>
      </c>
      <c r="CB34" s="4134"/>
      <c r="CC34" s="4133">
        <f t="shared" si="32"/>
        <v>4054.3519999999999</v>
      </c>
      <c r="CD34" s="4134"/>
      <c r="CE34" s="4134">
        <f t="shared" si="33"/>
        <v>13758.822</v>
      </c>
      <c r="CF34" s="4134"/>
      <c r="CG34" s="4135">
        <f t="shared" si="34"/>
        <v>2247.1819999999998</v>
      </c>
      <c r="CH34" s="4134"/>
      <c r="CI34" s="4134">
        <f t="shared" si="35"/>
        <v>16006.004000000001</v>
      </c>
      <c r="CJ34" s="4134"/>
      <c r="CK34" s="4135">
        <f t="shared" si="36"/>
        <v>581.35</v>
      </c>
      <c r="CL34" s="4134"/>
      <c r="CM34" s="4134">
        <f t="shared" si="37"/>
        <v>16587.353999999999</v>
      </c>
      <c r="CN34" s="4134"/>
      <c r="CO34" s="4135">
        <f t="shared" si="38"/>
        <v>465</v>
      </c>
      <c r="CP34" s="4134"/>
      <c r="CQ34" s="4133">
        <f t="shared" si="39"/>
        <v>3293.5319999999997</v>
      </c>
      <c r="CR34" s="4134"/>
      <c r="CS34" s="4157">
        <f t="shared" si="40"/>
        <v>7347.884</v>
      </c>
      <c r="CT34" s="4132"/>
      <c r="CU34" s="4160">
        <f t="shared" si="41"/>
        <v>17052.353999999999</v>
      </c>
      <c r="CV34" s="4159"/>
      <c r="CW34" s="4168"/>
    </row>
    <row r="35" spans="1:101" ht="15.6" x14ac:dyDescent="0.3">
      <c r="A35" s="4191"/>
      <c r="B35" s="4191"/>
      <c r="C35" s="4191"/>
      <c r="D35" s="4191"/>
      <c r="E35" s="4179" t="s">
        <v>1207</v>
      </c>
      <c r="F35" s="4171">
        <v>2325</v>
      </c>
      <c r="G35" s="4129"/>
      <c r="H35" s="4129">
        <v>808</v>
      </c>
      <c r="I35" s="4178">
        <f t="shared" si="0"/>
        <v>3133</v>
      </c>
      <c r="J35" s="4129">
        <v>1569</v>
      </c>
      <c r="K35" s="4129">
        <v>0</v>
      </c>
      <c r="L35" s="4129">
        <v>600.37599999999998</v>
      </c>
      <c r="M35" s="4178">
        <f t="shared" si="1"/>
        <v>2169.3760000000002</v>
      </c>
      <c r="N35" s="4177">
        <f t="shared" si="2"/>
        <v>5302.3760000000002</v>
      </c>
      <c r="O35" s="4125">
        <v>1887.8019999999999</v>
      </c>
      <c r="P35" s="4125"/>
      <c r="Q35" s="4129">
        <v>197</v>
      </c>
      <c r="R35" s="4178">
        <f t="shared" si="3"/>
        <v>2084.8019999999997</v>
      </c>
      <c r="S35" s="4129">
        <v>101.47199999999999</v>
      </c>
      <c r="T35" s="4129">
        <v>1228.2339999999999</v>
      </c>
      <c r="U35" s="4176">
        <v>429</v>
      </c>
      <c r="V35" s="4178">
        <f t="shared" si="4"/>
        <v>1758.7059999999999</v>
      </c>
      <c r="W35" s="4177">
        <f t="shared" si="5"/>
        <v>3843.5079999999998</v>
      </c>
      <c r="X35" s="4141">
        <f t="shared" si="6"/>
        <v>9145.884</v>
      </c>
      <c r="Y35" s="4140">
        <v>0</v>
      </c>
      <c r="Z35" s="4129"/>
      <c r="AA35" s="4129">
        <v>0</v>
      </c>
      <c r="AB35" s="4178">
        <f t="shared" si="7"/>
        <v>0</v>
      </c>
      <c r="AC35" s="4129">
        <v>0</v>
      </c>
      <c r="AD35" s="4129">
        <v>435</v>
      </c>
      <c r="AE35" s="4129">
        <v>0</v>
      </c>
      <c r="AF35" s="4139">
        <f t="shared" si="8"/>
        <v>435</v>
      </c>
      <c r="AG35" s="4177">
        <f t="shared" si="9"/>
        <v>435</v>
      </c>
      <c r="AH35" s="4125">
        <v>0</v>
      </c>
      <c r="AI35" s="4125"/>
      <c r="AJ35" s="4125">
        <v>0</v>
      </c>
      <c r="AK35" s="4178">
        <f t="shared" si="10"/>
        <v>0</v>
      </c>
      <c r="AL35" s="4129">
        <v>0</v>
      </c>
      <c r="AM35" s="4129">
        <v>0</v>
      </c>
      <c r="AN35" s="4176">
        <v>0</v>
      </c>
      <c r="AO35" s="4178">
        <f t="shared" si="11"/>
        <v>0</v>
      </c>
      <c r="AP35" s="4177">
        <f t="shared" si="12"/>
        <v>0</v>
      </c>
      <c r="AQ35" s="4138">
        <f t="shared" si="13"/>
        <v>435</v>
      </c>
      <c r="AR35" s="4128">
        <f t="shared" si="14"/>
        <v>9580.884</v>
      </c>
      <c r="AS35" s="4175"/>
      <c r="AT35" s="4131"/>
      <c r="AU35" s="4137">
        <f t="shared" si="15"/>
        <v>2325</v>
      </c>
      <c r="AV35" s="4136"/>
      <c r="AW35" s="4135">
        <f t="shared" si="16"/>
        <v>0</v>
      </c>
      <c r="AX35" s="4134"/>
      <c r="AY35" s="4134">
        <f t="shared" si="17"/>
        <v>2325</v>
      </c>
      <c r="AZ35" s="4134"/>
      <c r="BA35" s="4135">
        <f t="shared" si="18"/>
        <v>808</v>
      </c>
      <c r="BB35" s="4133"/>
      <c r="BC35" s="4133">
        <f t="shared" si="19"/>
        <v>3133</v>
      </c>
      <c r="BD35" s="4134"/>
      <c r="BE35" s="4135">
        <f t="shared" si="20"/>
        <v>1569</v>
      </c>
      <c r="BF35" s="4132"/>
      <c r="BG35" s="4132">
        <f t="shared" si="21"/>
        <v>4702</v>
      </c>
      <c r="BH35" s="4134"/>
      <c r="BI35" s="4135">
        <f t="shared" si="22"/>
        <v>435</v>
      </c>
      <c r="BJ35" s="4132"/>
      <c r="BK35" s="4132">
        <f t="shared" si="23"/>
        <v>5137</v>
      </c>
      <c r="BL35" s="4134"/>
      <c r="BM35" s="4135">
        <f t="shared" si="24"/>
        <v>600.37599999999998</v>
      </c>
      <c r="BN35" s="4134"/>
      <c r="BO35" s="4133">
        <f t="shared" si="25"/>
        <v>2604.3760000000002</v>
      </c>
      <c r="BP35" s="4134"/>
      <c r="BQ35" s="4157">
        <f t="shared" si="26"/>
        <v>5737.3760000000002</v>
      </c>
      <c r="BR35" s="4134"/>
      <c r="BS35" s="4135">
        <f t="shared" si="27"/>
        <v>1887.8019999999999</v>
      </c>
      <c r="BT35" s="4134"/>
      <c r="BU35" s="4134">
        <f t="shared" si="28"/>
        <v>7625.1779999999999</v>
      </c>
      <c r="BV35" s="4134"/>
      <c r="BW35" s="4135">
        <f t="shared" si="29"/>
        <v>0</v>
      </c>
      <c r="BX35" s="4134"/>
      <c r="BY35" s="4134">
        <f t="shared" si="30"/>
        <v>7625.1779999999999</v>
      </c>
      <c r="BZ35" s="4134"/>
      <c r="CA35" s="4135">
        <f t="shared" si="31"/>
        <v>197</v>
      </c>
      <c r="CB35" s="4134"/>
      <c r="CC35" s="4133">
        <f t="shared" si="32"/>
        <v>2084.8019999999997</v>
      </c>
      <c r="CD35" s="4134"/>
      <c r="CE35" s="4134">
        <f t="shared" si="33"/>
        <v>7822.1779999999999</v>
      </c>
      <c r="CF35" s="4134"/>
      <c r="CG35" s="4135">
        <f t="shared" si="34"/>
        <v>101.47199999999999</v>
      </c>
      <c r="CH35" s="4134"/>
      <c r="CI35" s="4134">
        <f t="shared" si="35"/>
        <v>7923.65</v>
      </c>
      <c r="CJ35" s="4134"/>
      <c r="CK35" s="4135">
        <f t="shared" si="36"/>
        <v>1228.2339999999999</v>
      </c>
      <c r="CL35" s="4134"/>
      <c r="CM35" s="4134">
        <f t="shared" si="37"/>
        <v>9151.884</v>
      </c>
      <c r="CN35" s="4134"/>
      <c r="CO35" s="4135">
        <f t="shared" si="38"/>
        <v>429</v>
      </c>
      <c r="CP35" s="4134"/>
      <c r="CQ35" s="4133">
        <f t="shared" si="39"/>
        <v>1758.7059999999999</v>
      </c>
      <c r="CR35" s="4134"/>
      <c r="CS35" s="4157">
        <f t="shared" si="40"/>
        <v>3843.5079999999998</v>
      </c>
      <c r="CT35" s="4132"/>
      <c r="CU35" s="4160">
        <f t="shared" si="41"/>
        <v>9580.884</v>
      </c>
      <c r="CV35" s="4159"/>
      <c r="CW35" s="4168"/>
    </row>
    <row r="36" spans="1:101" x14ac:dyDescent="0.25">
      <c r="A36" s="4191"/>
      <c r="B36" s="4191"/>
      <c r="C36" s="4191"/>
      <c r="D36" s="4191"/>
      <c r="E36" s="4179" t="s">
        <v>2139</v>
      </c>
      <c r="F36" s="4171">
        <v>2416</v>
      </c>
      <c r="G36" s="4129">
        <v>4399</v>
      </c>
      <c r="H36" s="4129">
        <v>4027</v>
      </c>
      <c r="I36" s="4178">
        <f t="shared" si="0"/>
        <v>10842</v>
      </c>
      <c r="J36" s="4129">
        <v>4427</v>
      </c>
      <c r="K36" s="4129"/>
      <c r="L36" s="4129">
        <v>3160.43</v>
      </c>
      <c r="M36" s="4178">
        <f t="shared" si="1"/>
        <v>7587.43</v>
      </c>
      <c r="N36" s="4177">
        <f t="shared" si="2"/>
        <v>18429.43</v>
      </c>
      <c r="O36" s="4125">
        <v>2646.7280000000001</v>
      </c>
      <c r="P36" s="4125"/>
      <c r="Q36" s="4129">
        <v>5754</v>
      </c>
      <c r="R36" s="4178">
        <f t="shared" si="3"/>
        <v>8400.7279999999992</v>
      </c>
      <c r="S36" s="4129">
        <v>2978.6260000000002</v>
      </c>
      <c r="T36" s="4129"/>
      <c r="U36" s="4176">
        <v>1478</v>
      </c>
      <c r="V36" s="4178">
        <f t="shared" si="4"/>
        <v>4456.6260000000002</v>
      </c>
      <c r="W36" s="4177">
        <f t="shared" si="5"/>
        <v>12857.353999999999</v>
      </c>
      <c r="X36" s="4141">
        <f t="shared" si="6"/>
        <v>31286.784</v>
      </c>
      <c r="Y36" s="4140">
        <v>0</v>
      </c>
      <c r="Z36" s="4129">
        <v>0</v>
      </c>
      <c r="AA36" s="4129">
        <v>0</v>
      </c>
      <c r="AB36" s="4178">
        <f t="shared" si="7"/>
        <v>0</v>
      </c>
      <c r="AC36" s="4129">
        <v>0</v>
      </c>
      <c r="AD36" s="4129"/>
      <c r="AE36" s="4129">
        <v>0</v>
      </c>
      <c r="AF36" s="4139">
        <f t="shared" si="8"/>
        <v>0</v>
      </c>
      <c r="AG36" s="4177">
        <f t="shared" si="9"/>
        <v>0</v>
      </c>
      <c r="AH36" s="4125">
        <v>0</v>
      </c>
      <c r="AI36" s="4125"/>
      <c r="AJ36" s="4125">
        <v>0</v>
      </c>
      <c r="AK36" s="4178">
        <f t="shared" si="10"/>
        <v>0</v>
      </c>
      <c r="AL36" s="4129">
        <v>0</v>
      </c>
      <c r="AM36" s="4129"/>
      <c r="AN36" s="4176">
        <v>0</v>
      </c>
      <c r="AO36" s="4178">
        <f t="shared" si="11"/>
        <v>0</v>
      </c>
      <c r="AP36" s="4177">
        <f t="shared" si="12"/>
        <v>0</v>
      </c>
      <c r="AQ36" s="4138">
        <f t="shared" si="13"/>
        <v>0</v>
      </c>
      <c r="AR36" s="4128">
        <f t="shared" si="14"/>
        <v>31286.784</v>
      </c>
      <c r="AS36" s="4175"/>
      <c r="AT36" s="4131"/>
      <c r="AU36" s="4137">
        <f t="shared" si="15"/>
        <v>2416</v>
      </c>
      <c r="AV36" s="4136"/>
      <c r="AW36" s="4135">
        <f t="shared" si="16"/>
        <v>4399</v>
      </c>
      <c r="AX36" s="4134"/>
      <c r="AY36" s="4134">
        <f t="shared" si="17"/>
        <v>6815</v>
      </c>
      <c r="AZ36" s="4134"/>
      <c r="BA36" s="4135">
        <f t="shared" si="18"/>
        <v>4027</v>
      </c>
      <c r="BB36" s="4133"/>
      <c r="BC36" s="4133">
        <f t="shared" si="19"/>
        <v>10842</v>
      </c>
      <c r="BD36" s="4134"/>
      <c r="BE36" s="4135">
        <f t="shared" si="20"/>
        <v>4427</v>
      </c>
      <c r="BF36" s="4132"/>
      <c r="BG36" s="4132">
        <f t="shared" si="21"/>
        <v>15269</v>
      </c>
      <c r="BH36" s="4134"/>
      <c r="BI36" s="4135">
        <f t="shared" si="22"/>
        <v>0</v>
      </c>
      <c r="BJ36" s="4132"/>
      <c r="BK36" s="4132">
        <f t="shared" si="23"/>
        <v>15269</v>
      </c>
      <c r="BL36" s="4134"/>
      <c r="BM36" s="4135">
        <f t="shared" si="24"/>
        <v>3160.43</v>
      </c>
      <c r="BN36" s="4134"/>
      <c r="BO36" s="4133">
        <f t="shared" si="25"/>
        <v>7587.43</v>
      </c>
      <c r="BP36" s="4134"/>
      <c r="BQ36" s="4157">
        <f t="shared" si="26"/>
        <v>18429.43</v>
      </c>
      <c r="BR36" s="4134"/>
      <c r="BS36" s="4135">
        <f t="shared" si="27"/>
        <v>2646.7280000000001</v>
      </c>
      <c r="BT36" s="4134"/>
      <c r="BU36" s="4134">
        <f t="shared" si="28"/>
        <v>21076.157999999999</v>
      </c>
      <c r="BV36" s="4134"/>
      <c r="BW36" s="4135">
        <f t="shared" si="29"/>
        <v>0</v>
      </c>
      <c r="BX36" s="4134"/>
      <c r="BY36" s="4134">
        <f t="shared" si="30"/>
        <v>21076.157999999999</v>
      </c>
      <c r="BZ36" s="4134"/>
      <c r="CA36" s="4135">
        <f t="shared" si="31"/>
        <v>5754</v>
      </c>
      <c r="CB36" s="4134"/>
      <c r="CC36" s="4133">
        <f t="shared" si="32"/>
        <v>8400.7279999999992</v>
      </c>
      <c r="CD36" s="4134"/>
      <c r="CE36" s="4134">
        <f t="shared" si="33"/>
        <v>26830.157999999999</v>
      </c>
      <c r="CF36" s="4134"/>
      <c r="CG36" s="4135">
        <f t="shared" si="34"/>
        <v>2978.6260000000002</v>
      </c>
      <c r="CH36" s="4134"/>
      <c r="CI36" s="4134">
        <f t="shared" si="35"/>
        <v>29808.784</v>
      </c>
      <c r="CJ36" s="4134"/>
      <c r="CK36" s="4135">
        <f t="shared" si="36"/>
        <v>0</v>
      </c>
      <c r="CL36" s="4134"/>
      <c r="CM36" s="4134">
        <f t="shared" si="37"/>
        <v>29808.784</v>
      </c>
      <c r="CN36" s="4134"/>
      <c r="CO36" s="4135">
        <f t="shared" si="38"/>
        <v>1478</v>
      </c>
      <c r="CP36" s="4134"/>
      <c r="CQ36" s="4133">
        <f t="shared" si="39"/>
        <v>4456.6260000000002</v>
      </c>
      <c r="CR36" s="4134"/>
      <c r="CS36" s="4157">
        <f t="shared" si="40"/>
        <v>12857.353999999999</v>
      </c>
      <c r="CT36" s="4132"/>
      <c r="CU36" s="4160">
        <f t="shared" si="41"/>
        <v>31286.784</v>
      </c>
      <c r="CV36" s="4159"/>
      <c r="CW36" s="4168"/>
    </row>
    <row r="37" spans="1:101" x14ac:dyDescent="0.25">
      <c r="A37" s="4191"/>
      <c r="B37" s="4191"/>
      <c r="C37" s="4191"/>
      <c r="D37" s="4191"/>
      <c r="E37" s="4179" t="s">
        <v>2140</v>
      </c>
      <c r="F37" s="4171">
        <v>1150</v>
      </c>
      <c r="G37" s="4129">
        <v>907</v>
      </c>
      <c r="H37" s="4129">
        <v>304</v>
      </c>
      <c r="I37" s="4178">
        <f t="shared" si="0"/>
        <v>2361</v>
      </c>
      <c r="J37" s="4129">
        <v>5105</v>
      </c>
      <c r="K37" s="4129">
        <v>345</v>
      </c>
      <c r="L37" s="4129">
        <v>1602.412</v>
      </c>
      <c r="M37" s="4178">
        <f t="shared" si="1"/>
        <v>7052.4120000000003</v>
      </c>
      <c r="N37" s="4177">
        <f t="shared" si="2"/>
        <v>9413.4120000000003</v>
      </c>
      <c r="O37" s="4125">
        <v>481.99200000000002</v>
      </c>
      <c r="P37" s="4125">
        <v>870.96799999999996</v>
      </c>
      <c r="Q37" s="4129">
        <v>25</v>
      </c>
      <c r="R37" s="4178">
        <f t="shared" si="3"/>
        <v>1377.96</v>
      </c>
      <c r="S37" s="4129">
        <v>1297.9960000000001</v>
      </c>
      <c r="T37" s="4129">
        <v>128.95400000000001</v>
      </c>
      <c r="U37" s="4176">
        <v>617</v>
      </c>
      <c r="V37" s="4178">
        <f t="shared" si="4"/>
        <v>2043.95</v>
      </c>
      <c r="W37" s="4177">
        <f t="shared" si="5"/>
        <v>3421.91</v>
      </c>
      <c r="X37" s="4141">
        <f t="shared" si="6"/>
        <v>12835.322000000002</v>
      </c>
      <c r="Y37" s="4140">
        <v>0</v>
      </c>
      <c r="Z37" s="4129">
        <v>0</v>
      </c>
      <c r="AA37" s="4129">
        <v>0</v>
      </c>
      <c r="AB37" s="4178">
        <f t="shared" si="7"/>
        <v>0</v>
      </c>
      <c r="AC37" s="4129">
        <v>0</v>
      </c>
      <c r="AD37" s="4129">
        <v>812</v>
      </c>
      <c r="AE37" s="4129">
        <v>448.16800000000001</v>
      </c>
      <c r="AF37" s="4139">
        <f t="shared" si="8"/>
        <v>1260.1680000000001</v>
      </c>
      <c r="AG37" s="4177">
        <f t="shared" si="9"/>
        <v>1260.1680000000001</v>
      </c>
      <c r="AH37" s="4125">
        <v>0</v>
      </c>
      <c r="AI37" s="4125">
        <v>0</v>
      </c>
      <c r="AJ37" s="4125">
        <v>0</v>
      </c>
      <c r="AK37" s="4178">
        <f t="shared" si="10"/>
        <v>0</v>
      </c>
      <c r="AL37" s="4129">
        <v>0</v>
      </c>
      <c r="AM37" s="4129">
        <v>0</v>
      </c>
      <c r="AN37" s="4176">
        <v>0</v>
      </c>
      <c r="AO37" s="4178">
        <f t="shared" si="11"/>
        <v>0</v>
      </c>
      <c r="AP37" s="4177">
        <f t="shared" si="12"/>
        <v>0</v>
      </c>
      <c r="AQ37" s="4138">
        <f t="shared" si="13"/>
        <v>1260.1680000000001</v>
      </c>
      <c r="AR37" s="4128">
        <f t="shared" si="14"/>
        <v>14095.490000000002</v>
      </c>
      <c r="AS37" s="4175"/>
      <c r="AT37" s="4131"/>
      <c r="AU37" s="4137">
        <f t="shared" si="15"/>
        <v>1150</v>
      </c>
      <c r="AV37" s="4136"/>
      <c r="AW37" s="4135">
        <f t="shared" si="16"/>
        <v>907</v>
      </c>
      <c r="AX37" s="4134"/>
      <c r="AY37" s="4134">
        <f t="shared" si="17"/>
        <v>2057</v>
      </c>
      <c r="AZ37" s="4134"/>
      <c r="BA37" s="4135">
        <f t="shared" si="18"/>
        <v>304</v>
      </c>
      <c r="BB37" s="4133"/>
      <c r="BC37" s="4133">
        <f t="shared" si="19"/>
        <v>2361</v>
      </c>
      <c r="BD37" s="4134"/>
      <c r="BE37" s="4135">
        <f t="shared" si="20"/>
        <v>5105</v>
      </c>
      <c r="BF37" s="4132"/>
      <c r="BG37" s="4132">
        <f t="shared" si="21"/>
        <v>7466</v>
      </c>
      <c r="BH37" s="4134"/>
      <c r="BI37" s="4135">
        <f t="shared" si="22"/>
        <v>1157</v>
      </c>
      <c r="BJ37" s="4132"/>
      <c r="BK37" s="4132">
        <f t="shared" si="23"/>
        <v>8623</v>
      </c>
      <c r="BL37" s="4134"/>
      <c r="BM37" s="4135">
        <f t="shared" si="24"/>
        <v>2050.58</v>
      </c>
      <c r="BN37" s="4134"/>
      <c r="BO37" s="4133">
        <f t="shared" si="25"/>
        <v>8312.58</v>
      </c>
      <c r="BP37" s="4134"/>
      <c r="BQ37" s="4157">
        <f t="shared" si="26"/>
        <v>10673.58</v>
      </c>
      <c r="BR37" s="4134"/>
      <c r="BS37" s="4135">
        <f t="shared" si="27"/>
        <v>481.99200000000002</v>
      </c>
      <c r="BT37" s="4134"/>
      <c r="BU37" s="4134">
        <f t="shared" si="28"/>
        <v>11155.572</v>
      </c>
      <c r="BV37" s="4134"/>
      <c r="BW37" s="4135">
        <f t="shared" si="29"/>
        <v>870.96799999999996</v>
      </c>
      <c r="BX37" s="4134"/>
      <c r="BY37" s="4134">
        <f t="shared" si="30"/>
        <v>12026.54</v>
      </c>
      <c r="BZ37" s="4134"/>
      <c r="CA37" s="4135">
        <f t="shared" si="31"/>
        <v>25</v>
      </c>
      <c r="CB37" s="4134"/>
      <c r="CC37" s="4133">
        <f t="shared" si="32"/>
        <v>1377.96</v>
      </c>
      <c r="CD37" s="4134"/>
      <c r="CE37" s="4134">
        <f t="shared" si="33"/>
        <v>12051.54</v>
      </c>
      <c r="CF37" s="4134"/>
      <c r="CG37" s="4135">
        <f t="shared" si="34"/>
        <v>1297.9960000000001</v>
      </c>
      <c r="CH37" s="4134"/>
      <c r="CI37" s="4134">
        <f t="shared" si="35"/>
        <v>13349.536</v>
      </c>
      <c r="CJ37" s="4134"/>
      <c r="CK37" s="4135">
        <f t="shared" si="36"/>
        <v>128.95400000000001</v>
      </c>
      <c r="CL37" s="4134"/>
      <c r="CM37" s="4134">
        <f t="shared" si="37"/>
        <v>13478.49</v>
      </c>
      <c r="CN37" s="4134"/>
      <c r="CO37" s="4135">
        <f t="shared" si="38"/>
        <v>617</v>
      </c>
      <c r="CP37" s="4134"/>
      <c r="CQ37" s="4133">
        <f t="shared" si="39"/>
        <v>2043.95</v>
      </c>
      <c r="CR37" s="4134"/>
      <c r="CS37" s="4157">
        <f t="shared" si="40"/>
        <v>3421.91</v>
      </c>
      <c r="CT37" s="4132"/>
      <c r="CU37" s="4160">
        <f t="shared" si="41"/>
        <v>14095.49</v>
      </c>
      <c r="CV37" s="4159"/>
      <c r="CW37" s="4168"/>
    </row>
    <row r="38" spans="1:101" x14ac:dyDescent="0.25">
      <c r="A38" s="4191"/>
      <c r="B38" s="4191"/>
      <c r="C38" s="4191"/>
      <c r="D38" s="4191"/>
      <c r="E38" s="4179" t="s">
        <v>1470</v>
      </c>
      <c r="F38" s="4171">
        <v>258</v>
      </c>
      <c r="G38" s="4129">
        <v>127</v>
      </c>
      <c r="H38" s="4129"/>
      <c r="I38" s="4178">
        <f t="shared" si="0"/>
        <v>385</v>
      </c>
      <c r="J38" s="4129">
        <v>514</v>
      </c>
      <c r="K38" s="4129"/>
      <c r="L38" s="4129">
        <v>976.66800000000001</v>
      </c>
      <c r="M38" s="4178">
        <f t="shared" si="1"/>
        <v>1490.6680000000001</v>
      </c>
      <c r="N38" s="4177">
        <f t="shared" si="2"/>
        <v>1875.6680000000001</v>
      </c>
      <c r="O38" s="4125"/>
      <c r="P38" s="4125"/>
      <c r="Q38" s="4129">
        <v>632</v>
      </c>
      <c r="R38" s="4178">
        <f t="shared" si="3"/>
        <v>632</v>
      </c>
      <c r="S38" s="4129">
        <v>1052.7719999999999</v>
      </c>
      <c r="T38" s="4129"/>
      <c r="U38" s="4176"/>
      <c r="V38" s="4178">
        <f t="shared" si="4"/>
        <v>1052.7719999999999</v>
      </c>
      <c r="W38" s="4177">
        <f t="shared" si="5"/>
        <v>1684.7719999999999</v>
      </c>
      <c r="X38" s="4141">
        <f t="shared" si="6"/>
        <v>3560.44</v>
      </c>
      <c r="Y38" s="4140">
        <v>0</v>
      </c>
      <c r="Z38" s="4129">
        <v>0</v>
      </c>
      <c r="AA38" s="4129"/>
      <c r="AB38" s="4178">
        <f t="shared" si="7"/>
        <v>0</v>
      </c>
      <c r="AC38" s="4129">
        <v>0</v>
      </c>
      <c r="AD38" s="4129"/>
      <c r="AE38" s="4129">
        <v>0</v>
      </c>
      <c r="AF38" s="4139">
        <f t="shared" si="8"/>
        <v>0</v>
      </c>
      <c r="AG38" s="4177">
        <f t="shared" si="9"/>
        <v>0</v>
      </c>
      <c r="AH38" s="4125"/>
      <c r="AI38" s="4125"/>
      <c r="AJ38" s="4125">
        <v>0</v>
      </c>
      <c r="AK38" s="4178">
        <f t="shared" si="10"/>
        <v>0</v>
      </c>
      <c r="AL38" s="4129">
        <v>0</v>
      </c>
      <c r="AM38" s="4129"/>
      <c r="AN38" s="4176"/>
      <c r="AO38" s="4178">
        <f t="shared" si="11"/>
        <v>0</v>
      </c>
      <c r="AP38" s="4177">
        <f t="shared" si="12"/>
        <v>0</v>
      </c>
      <c r="AQ38" s="4138">
        <f t="shared" si="13"/>
        <v>0</v>
      </c>
      <c r="AR38" s="4128">
        <f t="shared" si="14"/>
        <v>3560.44</v>
      </c>
      <c r="AS38" s="4175"/>
      <c r="AT38" s="4131"/>
      <c r="AU38" s="4137">
        <f t="shared" si="15"/>
        <v>258</v>
      </c>
      <c r="AV38" s="4136"/>
      <c r="AW38" s="4135">
        <f t="shared" si="16"/>
        <v>127</v>
      </c>
      <c r="AX38" s="4134"/>
      <c r="AY38" s="4134">
        <f t="shared" si="17"/>
        <v>385</v>
      </c>
      <c r="AZ38" s="4134"/>
      <c r="BA38" s="4135">
        <f t="shared" si="18"/>
        <v>0</v>
      </c>
      <c r="BB38" s="4133"/>
      <c r="BC38" s="4133">
        <f t="shared" si="19"/>
        <v>385</v>
      </c>
      <c r="BD38" s="4134"/>
      <c r="BE38" s="4135">
        <f t="shared" si="20"/>
        <v>514</v>
      </c>
      <c r="BF38" s="4132"/>
      <c r="BG38" s="4132">
        <f t="shared" si="21"/>
        <v>899</v>
      </c>
      <c r="BH38" s="4134"/>
      <c r="BI38" s="4135">
        <f t="shared" si="22"/>
        <v>0</v>
      </c>
      <c r="BJ38" s="4132"/>
      <c r="BK38" s="4132">
        <f t="shared" si="23"/>
        <v>899</v>
      </c>
      <c r="BL38" s="4134"/>
      <c r="BM38" s="4135">
        <f t="shared" si="24"/>
        <v>976.66800000000001</v>
      </c>
      <c r="BN38" s="4134"/>
      <c r="BO38" s="4133">
        <f t="shared" si="25"/>
        <v>1490.6680000000001</v>
      </c>
      <c r="BP38" s="4134"/>
      <c r="BQ38" s="4157">
        <f t="shared" si="26"/>
        <v>1875.6680000000001</v>
      </c>
      <c r="BR38" s="4134"/>
      <c r="BS38" s="4135">
        <f t="shared" si="27"/>
        <v>0</v>
      </c>
      <c r="BT38" s="4134"/>
      <c r="BU38" s="4134">
        <f t="shared" si="28"/>
        <v>1875.6680000000001</v>
      </c>
      <c r="BV38" s="4134"/>
      <c r="BW38" s="4135">
        <f t="shared" si="29"/>
        <v>0</v>
      </c>
      <c r="BX38" s="4134"/>
      <c r="BY38" s="4134">
        <f t="shared" si="30"/>
        <v>1875.6680000000001</v>
      </c>
      <c r="BZ38" s="4134"/>
      <c r="CA38" s="4135">
        <f t="shared" si="31"/>
        <v>632</v>
      </c>
      <c r="CB38" s="4134"/>
      <c r="CC38" s="4133">
        <f t="shared" si="32"/>
        <v>632</v>
      </c>
      <c r="CD38" s="4134"/>
      <c r="CE38" s="4134">
        <f t="shared" si="33"/>
        <v>2507.6680000000001</v>
      </c>
      <c r="CF38" s="4134"/>
      <c r="CG38" s="4135">
        <f t="shared" si="34"/>
        <v>1052.7719999999999</v>
      </c>
      <c r="CH38" s="4134"/>
      <c r="CI38" s="4134">
        <f t="shared" si="35"/>
        <v>3560.44</v>
      </c>
      <c r="CJ38" s="4134"/>
      <c r="CK38" s="4135">
        <f t="shared" si="36"/>
        <v>0</v>
      </c>
      <c r="CL38" s="4134"/>
      <c r="CM38" s="4134">
        <f t="shared" si="37"/>
        <v>3560.44</v>
      </c>
      <c r="CN38" s="4134"/>
      <c r="CO38" s="4135">
        <f t="shared" si="38"/>
        <v>0</v>
      </c>
      <c r="CP38" s="4134"/>
      <c r="CQ38" s="4133">
        <f t="shared" si="39"/>
        <v>1052.7719999999999</v>
      </c>
      <c r="CR38" s="4134"/>
      <c r="CS38" s="4157">
        <f t="shared" si="40"/>
        <v>1684.7719999999999</v>
      </c>
      <c r="CT38" s="4132"/>
      <c r="CU38" s="4160">
        <f t="shared" si="41"/>
        <v>3560.44</v>
      </c>
      <c r="CV38" s="4159"/>
      <c r="CW38" s="4168"/>
    </row>
    <row r="39" spans="1:101" x14ac:dyDescent="0.25">
      <c r="A39" s="4191"/>
      <c r="B39" s="4191"/>
      <c r="C39" s="4191"/>
      <c r="D39" s="4191"/>
      <c r="E39" s="4179" t="s">
        <v>2141</v>
      </c>
      <c r="F39" s="4171"/>
      <c r="G39" s="4129"/>
      <c r="H39" s="4129"/>
      <c r="I39" s="4178">
        <f t="shared" si="0"/>
        <v>0</v>
      </c>
      <c r="J39" s="4129"/>
      <c r="K39" s="4129"/>
      <c r="L39" s="4129">
        <v>0</v>
      </c>
      <c r="M39" s="4178">
        <f t="shared" si="1"/>
        <v>0</v>
      </c>
      <c r="N39" s="4177">
        <f t="shared" si="2"/>
        <v>0</v>
      </c>
      <c r="O39" s="4125">
        <v>105.7</v>
      </c>
      <c r="P39" s="4125"/>
      <c r="Q39" s="4129">
        <v>1010</v>
      </c>
      <c r="R39" s="4178">
        <f t="shared" si="3"/>
        <v>1115.7</v>
      </c>
      <c r="S39" s="4129">
        <v>323.44200000000001</v>
      </c>
      <c r="T39" s="4129">
        <v>109.928</v>
      </c>
      <c r="U39" s="4176"/>
      <c r="V39" s="4178">
        <f t="shared" si="4"/>
        <v>433.37</v>
      </c>
      <c r="W39" s="4177">
        <f t="shared" si="5"/>
        <v>1549.0700000000002</v>
      </c>
      <c r="X39" s="4141">
        <f t="shared" si="6"/>
        <v>1549.0700000000002</v>
      </c>
      <c r="Y39" s="4140"/>
      <c r="Z39" s="4129"/>
      <c r="AA39" s="4129"/>
      <c r="AB39" s="4178">
        <f t="shared" si="7"/>
        <v>0</v>
      </c>
      <c r="AC39" s="4129"/>
      <c r="AD39" s="4129"/>
      <c r="AE39" s="4129">
        <v>405.88799999999998</v>
      </c>
      <c r="AF39" s="4139">
        <f t="shared" si="8"/>
        <v>405.88799999999998</v>
      </c>
      <c r="AG39" s="4177">
        <f t="shared" si="9"/>
        <v>405.88799999999998</v>
      </c>
      <c r="AH39" s="4125">
        <v>0</v>
      </c>
      <c r="AI39" s="4125"/>
      <c r="AJ39" s="4125">
        <v>0</v>
      </c>
      <c r="AK39" s="4178">
        <f t="shared" si="10"/>
        <v>0</v>
      </c>
      <c r="AL39" s="4129">
        <v>0</v>
      </c>
      <c r="AM39" s="4129">
        <v>0</v>
      </c>
      <c r="AN39" s="4176"/>
      <c r="AO39" s="4178">
        <f t="shared" si="11"/>
        <v>0</v>
      </c>
      <c r="AP39" s="4177">
        <f t="shared" si="12"/>
        <v>0</v>
      </c>
      <c r="AQ39" s="4138">
        <f t="shared" si="13"/>
        <v>405.88799999999998</v>
      </c>
      <c r="AR39" s="4128">
        <f t="shared" si="14"/>
        <v>1954.9580000000001</v>
      </c>
      <c r="AS39" s="4175"/>
      <c r="AT39" s="4131"/>
      <c r="AU39" s="4137">
        <f t="shared" si="15"/>
        <v>0</v>
      </c>
      <c r="AV39" s="4136"/>
      <c r="AW39" s="4135">
        <f t="shared" si="16"/>
        <v>0</v>
      </c>
      <c r="AX39" s="4134"/>
      <c r="AY39" s="4134">
        <f t="shared" si="17"/>
        <v>0</v>
      </c>
      <c r="AZ39" s="4134"/>
      <c r="BA39" s="4135">
        <f t="shared" si="18"/>
        <v>0</v>
      </c>
      <c r="BB39" s="4133"/>
      <c r="BC39" s="4133">
        <f t="shared" si="19"/>
        <v>0</v>
      </c>
      <c r="BD39" s="4134"/>
      <c r="BE39" s="4135">
        <f t="shared" si="20"/>
        <v>0</v>
      </c>
      <c r="BF39" s="4132"/>
      <c r="BG39" s="4132">
        <f t="shared" si="21"/>
        <v>0</v>
      </c>
      <c r="BH39" s="4134"/>
      <c r="BI39" s="4135">
        <f t="shared" si="22"/>
        <v>0</v>
      </c>
      <c r="BJ39" s="4132"/>
      <c r="BK39" s="4132">
        <f t="shared" si="23"/>
        <v>0</v>
      </c>
      <c r="BL39" s="4134"/>
      <c r="BM39" s="4135">
        <f t="shared" si="24"/>
        <v>405.88799999999998</v>
      </c>
      <c r="BN39" s="4134"/>
      <c r="BO39" s="4133">
        <f t="shared" si="25"/>
        <v>405.88799999999998</v>
      </c>
      <c r="BP39" s="4134"/>
      <c r="BQ39" s="4157">
        <f t="shared" si="26"/>
        <v>405.88799999999998</v>
      </c>
      <c r="BR39" s="4134"/>
      <c r="BS39" s="4135">
        <f t="shared" si="27"/>
        <v>105.7</v>
      </c>
      <c r="BT39" s="4134"/>
      <c r="BU39" s="4134">
        <f t="shared" si="28"/>
        <v>511.58799999999997</v>
      </c>
      <c r="BV39" s="4134"/>
      <c r="BW39" s="4135">
        <f t="shared" si="29"/>
        <v>0</v>
      </c>
      <c r="BX39" s="4134"/>
      <c r="BY39" s="4134">
        <f t="shared" si="30"/>
        <v>511.58799999999997</v>
      </c>
      <c r="BZ39" s="4134"/>
      <c r="CA39" s="4135">
        <f t="shared" si="31"/>
        <v>1010</v>
      </c>
      <c r="CB39" s="4134"/>
      <c r="CC39" s="4133">
        <f t="shared" si="32"/>
        <v>1115.7</v>
      </c>
      <c r="CD39" s="4134"/>
      <c r="CE39" s="4134">
        <f t="shared" si="33"/>
        <v>1521.588</v>
      </c>
      <c r="CF39" s="4134"/>
      <c r="CG39" s="4135">
        <f t="shared" si="34"/>
        <v>323.44200000000001</v>
      </c>
      <c r="CH39" s="4134"/>
      <c r="CI39" s="4134">
        <f t="shared" si="35"/>
        <v>1845.03</v>
      </c>
      <c r="CJ39" s="4134"/>
      <c r="CK39" s="4135">
        <f t="shared" si="36"/>
        <v>109.928</v>
      </c>
      <c r="CL39" s="4134"/>
      <c r="CM39" s="4134">
        <f t="shared" si="37"/>
        <v>1954.9580000000001</v>
      </c>
      <c r="CN39" s="4134"/>
      <c r="CO39" s="4135">
        <f t="shared" si="38"/>
        <v>0</v>
      </c>
      <c r="CP39" s="4134"/>
      <c r="CQ39" s="4133">
        <f t="shared" si="39"/>
        <v>433.37</v>
      </c>
      <c r="CR39" s="4134"/>
      <c r="CS39" s="4157">
        <f t="shared" si="40"/>
        <v>1549.0700000000002</v>
      </c>
      <c r="CT39" s="4132"/>
      <c r="CU39" s="4160">
        <f t="shared" si="41"/>
        <v>1954.9580000000001</v>
      </c>
      <c r="CV39" s="4159"/>
      <c r="CW39" s="4168"/>
    </row>
    <row r="40" spans="1:101" x14ac:dyDescent="0.25">
      <c r="A40" s="4191"/>
      <c r="B40" s="4191"/>
      <c r="C40" s="4191"/>
      <c r="D40" s="4191"/>
      <c r="E40" s="4179" t="s">
        <v>1427</v>
      </c>
      <c r="F40" s="4171"/>
      <c r="G40" s="4129"/>
      <c r="H40" s="4129"/>
      <c r="I40" s="4178">
        <f t="shared" si="0"/>
        <v>0</v>
      </c>
      <c r="J40" s="4129">
        <v>0</v>
      </c>
      <c r="K40" s="4129"/>
      <c r="L40" s="4129">
        <v>372.06400000000002</v>
      </c>
      <c r="M40" s="4178">
        <f t="shared" si="1"/>
        <v>372.06400000000002</v>
      </c>
      <c r="N40" s="4177">
        <f t="shared" si="2"/>
        <v>372.06400000000002</v>
      </c>
      <c r="O40" s="4125"/>
      <c r="P40" s="4125"/>
      <c r="Q40" s="4129"/>
      <c r="R40" s="4178">
        <f t="shared" si="3"/>
        <v>0</v>
      </c>
      <c r="S40" s="4129"/>
      <c r="T40" s="4129"/>
      <c r="U40" s="4176"/>
      <c r="V40" s="4178">
        <f t="shared" si="4"/>
        <v>0</v>
      </c>
      <c r="W40" s="4177">
        <f t="shared" si="5"/>
        <v>0</v>
      </c>
      <c r="X40" s="4141">
        <f t="shared" si="6"/>
        <v>372.06400000000002</v>
      </c>
      <c r="Y40" s="4140"/>
      <c r="Z40" s="4129"/>
      <c r="AA40" s="4129"/>
      <c r="AB40" s="4178">
        <f t="shared" si="7"/>
        <v>0</v>
      </c>
      <c r="AC40" s="4129">
        <v>108</v>
      </c>
      <c r="AD40" s="4129"/>
      <c r="AE40" s="4129">
        <v>0</v>
      </c>
      <c r="AF40" s="4139">
        <f t="shared" si="8"/>
        <v>108</v>
      </c>
      <c r="AG40" s="4177">
        <f t="shared" si="9"/>
        <v>108</v>
      </c>
      <c r="AH40" s="4125"/>
      <c r="AI40" s="4125"/>
      <c r="AJ40" s="4125"/>
      <c r="AK40" s="4178">
        <f t="shared" si="10"/>
        <v>0</v>
      </c>
      <c r="AL40" s="4129"/>
      <c r="AM40" s="4129"/>
      <c r="AN40" s="4176"/>
      <c r="AO40" s="4178">
        <f t="shared" si="11"/>
        <v>0</v>
      </c>
      <c r="AP40" s="4177">
        <f t="shared" si="12"/>
        <v>0</v>
      </c>
      <c r="AQ40" s="4138">
        <f t="shared" si="13"/>
        <v>108</v>
      </c>
      <c r="AR40" s="4128">
        <f t="shared" si="14"/>
        <v>480.06400000000002</v>
      </c>
      <c r="AS40" s="4175"/>
      <c r="AT40" s="4131"/>
      <c r="AU40" s="4137">
        <f t="shared" si="15"/>
        <v>0</v>
      </c>
      <c r="AV40" s="4136"/>
      <c r="AW40" s="4135">
        <f t="shared" si="16"/>
        <v>0</v>
      </c>
      <c r="AX40" s="4134"/>
      <c r="AY40" s="4134">
        <f t="shared" si="17"/>
        <v>0</v>
      </c>
      <c r="AZ40" s="4134"/>
      <c r="BA40" s="4135">
        <f t="shared" si="18"/>
        <v>0</v>
      </c>
      <c r="BB40" s="4133"/>
      <c r="BC40" s="4133">
        <f t="shared" si="19"/>
        <v>0</v>
      </c>
      <c r="BD40" s="4134"/>
      <c r="BE40" s="4135">
        <f t="shared" si="20"/>
        <v>108</v>
      </c>
      <c r="BF40" s="4132"/>
      <c r="BG40" s="4132">
        <f t="shared" si="21"/>
        <v>108</v>
      </c>
      <c r="BH40" s="4134"/>
      <c r="BI40" s="4135">
        <f t="shared" si="22"/>
        <v>0</v>
      </c>
      <c r="BJ40" s="4132"/>
      <c r="BK40" s="4132">
        <f t="shared" si="23"/>
        <v>108</v>
      </c>
      <c r="BL40" s="4134"/>
      <c r="BM40" s="4135">
        <f t="shared" si="24"/>
        <v>372.06400000000002</v>
      </c>
      <c r="BN40" s="4134"/>
      <c r="BO40" s="4133">
        <f t="shared" si="25"/>
        <v>480.06400000000002</v>
      </c>
      <c r="BP40" s="4134"/>
      <c r="BQ40" s="4157">
        <f t="shared" si="26"/>
        <v>480.06400000000002</v>
      </c>
      <c r="BR40" s="4134"/>
      <c r="BS40" s="4135">
        <f t="shared" si="27"/>
        <v>0</v>
      </c>
      <c r="BT40" s="4134"/>
      <c r="BU40" s="4134">
        <f t="shared" si="28"/>
        <v>480.06400000000002</v>
      </c>
      <c r="BV40" s="4134"/>
      <c r="BW40" s="4135">
        <f t="shared" si="29"/>
        <v>0</v>
      </c>
      <c r="BX40" s="4134"/>
      <c r="BY40" s="4134">
        <f t="shared" si="30"/>
        <v>480.06400000000002</v>
      </c>
      <c r="BZ40" s="4134"/>
      <c r="CA40" s="4135">
        <f t="shared" si="31"/>
        <v>0</v>
      </c>
      <c r="CB40" s="4134"/>
      <c r="CC40" s="4133">
        <f t="shared" si="32"/>
        <v>0</v>
      </c>
      <c r="CD40" s="4134"/>
      <c r="CE40" s="4134">
        <f t="shared" si="33"/>
        <v>480.06400000000002</v>
      </c>
      <c r="CF40" s="4134"/>
      <c r="CG40" s="4135">
        <f t="shared" si="34"/>
        <v>0</v>
      </c>
      <c r="CH40" s="4134"/>
      <c r="CI40" s="4134">
        <f t="shared" si="35"/>
        <v>480.06400000000002</v>
      </c>
      <c r="CJ40" s="4134"/>
      <c r="CK40" s="4135">
        <f t="shared" si="36"/>
        <v>0</v>
      </c>
      <c r="CL40" s="4134"/>
      <c r="CM40" s="4134">
        <f t="shared" si="37"/>
        <v>480.06400000000002</v>
      </c>
      <c r="CN40" s="4134"/>
      <c r="CO40" s="4135">
        <f t="shared" si="38"/>
        <v>0</v>
      </c>
      <c r="CP40" s="4134"/>
      <c r="CQ40" s="4133">
        <f t="shared" si="39"/>
        <v>0</v>
      </c>
      <c r="CR40" s="4134"/>
      <c r="CS40" s="4157">
        <f t="shared" si="40"/>
        <v>0</v>
      </c>
      <c r="CT40" s="4132"/>
      <c r="CU40" s="4160">
        <f t="shared" si="41"/>
        <v>480.06400000000002</v>
      </c>
      <c r="CV40" s="4159"/>
      <c r="CW40" s="4168"/>
    </row>
    <row r="41" spans="1:101" x14ac:dyDescent="0.25">
      <c r="A41" s="4191"/>
      <c r="B41" s="4191"/>
      <c r="C41" s="4191"/>
      <c r="D41" s="4191"/>
      <c r="E41" s="4179" t="s">
        <v>1655</v>
      </c>
      <c r="F41" s="4171">
        <v>404</v>
      </c>
      <c r="G41" s="4129"/>
      <c r="H41" s="4129"/>
      <c r="I41" s="4178">
        <f t="shared" si="0"/>
        <v>404</v>
      </c>
      <c r="J41" s="4129"/>
      <c r="K41" s="4129">
        <v>651</v>
      </c>
      <c r="L41" s="4129"/>
      <c r="M41" s="4178">
        <f t="shared" si="1"/>
        <v>651</v>
      </c>
      <c r="N41" s="4177">
        <f t="shared" si="2"/>
        <v>1055</v>
      </c>
      <c r="O41" s="4125"/>
      <c r="P41" s="4125"/>
      <c r="Q41" s="4129"/>
      <c r="R41" s="4178">
        <f t="shared" si="3"/>
        <v>0</v>
      </c>
      <c r="S41" s="4129"/>
      <c r="T41" s="4129"/>
      <c r="U41" s="4176"/>
      <c r="V41" s="4178">
        <f t="shared" si="4"/>
        <v>0</v>
      </c>
      <c r="W41" s="4177">
        <f t="shared" si="5"/>
        <v>0</v>
      </c>
      <c r="X41" s="4141">
        <f t="shared" si="6"/>
        <v>1055</v>
      </c>
      <c r="Y41" s="4140">
        <v>0</v>
      </c>
      <c r="Z41" s="4129"/>
      <c r="AA41" s="4129"/>
      <c r="AB41" s="4178">
        <f t="shared" si="7"/>
        <v>0</v>
      </c>
      <c r="AC41" s="4129"/>
      <c r="AD41" s="4129">
        <v>0</v>
      </c>
      <c r="AE41" s="4129"/>
      <c r="AF41" s="4139">
        <f t="shared" si="8"/>
        <v>0</v>
      </c>
      <c r="AG41" s="4177">
        <f t="shared" si="9"/>
        <v>0</v>
      </c>
      <c r="AH41" s="4125"/>
      <c r="AI41" s="4125"/>
      <c r="AJ41" s="4125"/>
      <c r="AK41" s="4178">
        <f t="shared" si="10"/>
        <v>0</v>
      </c>
      <c r="AL41" s="4129"/>
      <c r="AM41" s="4129"/>
      <c r="AN41" s="4176"/>
      <c r="AO41" s="4178">
        <f t="shared" si="11"/>
        <v>0</v>
      </c>
      <c r="AP41" s="4177">
        <f t="shared" si="12"/>
        <v>0</v>
      </c>
      <c r="AQ41" s="4138">
        <f t="shared" si="13"/>
        <v>0</v>
      </c>
      <c r="AR41" s="4128">
        <f t="shared" si="14"/>
        <v>1055</v>
      </c>
      <c r="AS41" s="4175"/>
      <c r="AT41" s="4131"/>
      <c r="AU41" s="4137">
        <f t="shared" si="15"/>
        <v>404</v>
      </c>
      <c r="AV41" s="4136"/>
      <c r="AW41" s="4135">
        <f t="shared" si="16"/>
        <v>0</v>
      </c>
      <c r="AX41" s="4134"/>
      <c r="AY41" s="4134">
        <f t="shared" si="17"/>
        <v>404</v>
      </c>
      <c r="AZ41" s="4134"/>
      <c r="BA41" s="4135">
        <f t="shared" si="18"/>
        <v>0</v>
      </c>
      <c r="BB41" s="4133"/>
      <c r="BC41" s="4133">
        <f t="shared" si="19"/>
        <v>404</v>
      </c>
      <c r="BD41" s="4134"/>
      <c r="BE41" s="4135">
        <f t="shared" si="20"/>
        <v>0</v>
      </c>
      <c r="BF41" s="4132"/>
      <c r="BG41" s="4132">
        <f t="shared" si="21"/>
        <v>404</v>
      </c>
      <c r="BH41" s="4134"/>
      <c r="BI41" s="4135">
        <f t="shared" si="22"/>
        <v>651</v>
      </c>
      <c r="BJ41" s="4132"/>
      <c r="BK41" s="4132">
        <f t="shared" si="23"/>
        <v>1055</v>
      </c>
      <c r="BL41" s="4134"/>
      <c r="BM41" s="4135">
        <f t="shared" si="24"/>
        <v>0</v>
      </c>
      <c r="BN41" s="4134"/>
      <c r="BO41" s="4133">
        <f t="shared" si="25"/>
        <v>651</v>
      </c>
      <c r="BP41" s="4134"/>
      <c r="BQ41" s="4157">
        <f t="shared" si="26"/>
        <v>1055</v>
      </c>
      <c r="BR41" s="4134"/>
      <c r="BS41" s="4135">
        <f t="shared" si="27"/>
        <v>0</v>
      </c>
      <c r="BT41" s="4134"/>
      <c r="BU41" s="4134">
        <f t="shared" si="28"/>
        <v>1055</v>
      </c>
      <c r="BV41" s="4134"/>
      <c r="BW41" s="4135">
        <f t="shared" si="29"/>
        <v>0</v>
      </c>
      <c r="BX41" s="4134"/>
      <c r="BY41" s="4134">
        <f t="shared" si="30"/>
        <v>1055</v>
      </c>
      <c r="BZ41" s="4134"/>
      <c r="CA41" s="4135">
        <f t="shared" si="31"/>
        <v>0</v>
      </c>
      <c r="CB41" s="4134"/>
      <c r="CC41" s="4133">
        <f t="shared" si="32"/>
        <v>0</v>
      </c>
      <c r="CD41" s="4134"/>
      <c r="CE41" s="4134">
        <f t="shared" si="33"/>
        <v>1055</v>
      </c>
      <c r="CF41" s="4134"/>
      <c r="CG41" s="4135">
        <f t="shared" si="34"/>
        <v>0</v>
      </c>
      <c r="CH41" s="4134"/>
      <c r="CI41" s="4134">
        <f t="shared" si="35"/>
        <v>1055</v>
      </c>
      <c r="CJ41" s="4134"/>
      <c r="CK41" s="4135">
        <f t="shared" si="36"/>
        <v>0</v>
      </c>
      <c r="CL41" s="4134"/>
      <c r="CM41" s="4134">
        <f t="shared" si="37"/>
        <v>1055</v>
      </c>
      <c r="CN41" s="4134"/>
      <c r="CO41" s="4135">
        <f t="shared" si="38"/>
        <v>0</v>
      </c>
      <c r="CP41" s="4134"/>
      <c r="CQ41" s="4133">
        <f t="shared" si="39"/>
        <v>0</v>
      </c>
      <c r="CR41" s="4134"/>
      <c r="CS41" s="4157">
        <f t="shared" si="40"/>
        <v>0</v>
      </c>
      <c r="CT41" s="4132"/>
      <c r="CU41" s="4160">
        <f t="shared" si="41"/>
        <v>1055</v>
      </c>
      <c r="CV41" s="4159"/>
      <c r="CW41" s="4168"/>
    </row>
    <row r="42" spans="1:101" x14ac:dyDescent="0.25">
      <c r="A42" s="4191"/>
      <c r="B42" s="4191"/>
      <c r="C42" s="4191"/>
      <c r="D42" s="4191"/>
      <c r="E42" s="4179" t="s">
        <v>2142</v>
      </c>
      <c r="F42" s="4171"/>
      <c r="G42" s="4129"/>
      <c r="H42" s="4129"/>
      <c r="I42" s="4178">
        <f t="shared" si="0"/>
        <v>0</v>
      </c>
      <c r="J42" s="4129"/>
      <c r="K42" s="4129"/>
      <c r="L42" s="4129"/>
      <c r="M42" s="4178">
        <f t="shared" si="1"/>
        <v>0</v>
      </c>
      <c r="N42" s="4177">
        <f t="shared" si="2"/>
        <v>0</v>
      </c>
      <c r="O42" s="4125"/>
      <c r="P42" s="4125"/>
      <c r="Q42" s="4129">
        <v>258</v>
      </c>
      <c r="R42" s="4178">
        <f t="shared" si="3"/>
        <v>258</v>
      </c>
      <c r="S42" s="4129"/>
      <c r="T42" s="4129">
        <v>215.62799999999999</v>
      </c>
      <c r="U42" s="4176"/>
      <c r="V42" s="4178">
        <f t="shared" si="4"/>
        <v>215.62799999999999</v>
      </c>
      <c r="W42" s="4177">
        <f t="shared" si="5"/>
        <v>473.62799999999999</v>
      </c>
      <c r="X42" s="4141">
        <f t="shared" si="6"/>
        <v>473.62799999999999</v>
      </c>
      <c r="Y42" s="4140"/>
      <c r="Z42" s="4129"/>
      <c r="AA42" s="4129"/>
      <c r="AB42" s="4178">
        <f t="shared" si="7"/>
        <v>0</v>
      </c>
      <c r="AC42" s="4129"/>
      <c r="AD42" s="4129"/>
      <c r="AE42" s="4129"/>
      <c r="AF42" s="4139">
        <f t="shared" si="8"/>
        <v>0</v>
      </c>
      <c r="AG42" s="4177">
        <f t="shared" si="9"/>
        <v>0</v>
      </c>
      <c r="AH42" s="4125"/>
      <c r="AI42" s="4125"/>
      <c r="AJ42" s="4125">
        <v>0</v>
      </c>
      <c r="AK42" s="4178">
        <f t="shared" si="10"/>
        <v>0</v>
      </c>
      <c r="AL42" s="4129"/>
      <c r="AM42" s="4129">
        <v>0</v>
      </c>
      <c r="AN42" s="4176"/>
      <c r="AO42" s="4178">
        <f t="shared" si="11"/>
        <v>0</v>
      </c>
      <c r="AP42" s="4177">
        <f t="shared" si="12"/>
        <v>0</v>
      </c>
      <c r="AQ42" s="4138">
        <f t="shared" si="13"/>
        <v>0</v>
      </c>
      <c r="AR42" s="4128">
        <f t="shared" si="14"/>
        <v>473.62799999999999</v>
      </c>
      <c r="AS42" s="4175"/>
      <c r="AT42" s="4131"/>
      <c r="AU42" s="4137">
        <f t="shared" si="15"/>
        <v>0</v>
      </c>
      <c r="AV42" s="4136"/>
      <c r="AW42" s="4135">
        <f t="shared" si="16"/>
        <v>0</v>
      </c>
      <c r="AX42" s="4134"/>
      <c r="AY42" s="4134">
        <f t="shared" si="17"/>
        <v>0</v>
      </c>
      <c r="AZ42" s="4134"/>
      <c r="BA42" s="4135">
        <f t="shared" si="18"/>
        <v>0</v>
      </c>
      <c r="BB42" s="4133"/>
      <c r="BC42" s="4133">
        <f t="shared" si="19"/>
        <v>0</v>
      </c>
      <c r="BD42" s="4134"/>
      <c r="BE42" s="4135">
        <f t="shared" si="20"/>
        <v>0</v>
      </c>
      <c r="BF42" s="4132"/>
      <c r="BG42" s="4132">
        <f t="shared" si="21"/>
        <v>0</v>
      </c>
      <c r="BH42" s="4134"/>
      <c r="BI42" s="4135">
        <f t="shared" si="22"/>
        <v>0</v>
      </c>
      <c r="BJ42" s="4132"/>
      <c r="BK42" s="4132">
        <f t="shared" si="23"/>
        <v>0</v>
      </c>
      <c r="BL42" s="4134"/>
      <c r="BM42" s="4135">
        <f t="shared" si="24"/>
        <v>0</v>
      </c>
      <c r="BN42" s="4134"/>
      <c r="BO42" s="4133">
        <f t="shared" si="25"/>
        <v>0</v>
      </c>
      <c r="BP42" s="4134"/>
      <c r="BQ42" s="4157">
        <f t="shared" si="26"/>
        <v>0</v>
      </c>
      <c r="BR42" s="4134"/>
      <c r="BS42" s="4135">
        <f t="shared" si="27"/>
        <v>0</v>
      </c>
      <c r="BT42" s="4134"/>
      <c r="BU42" s="4134">
        <f t="shared" si="28"/>
        <v>0</v>
      </c>
      <c r="BV42" s="4134"/>
      <c r="BW42" s="4135">
        <f t="shared" si="29"/>
        <v>0</v>
      </c>
      <c r="BX42" s="4134"/>
      <c r="BY42" s="4134">
        <f t="shared" si="30"/>
        <v>0</v>
      </c>
      <c r="BZ42" s="4134"/>
      <c r="CA42" s="4135">
        <f t="shared" si="31"/>
        <v>258</v>
      </c>
      <c r="CB42" s="4134"/>
      <c r="CC42" s="4133">
        <f t="shared" si="32"/>
        <v>258</v>
      </c>
      <c r="CD42" s="4134"/>
      <c r="CE42" s="4134">
        <f t="shared" si="33"/>
        <v>258</v>
      </c>
      <c r="CF42" s="4134"/>
      <c r="CG42" s="4135">
        <f t="shared" si="34"/>
        <v>0</v>
      </c>
      <c r="CH42" s="4134"/>
      <c r="CI42" s="4134">
        <f t="shared" si="35"/>
        <v>258</v>
      </c>
      <c r="CJ42" s="4134"/>
      <c r="CK42" s="4135">
        <f t="shared" si="36"/>
        <v>215.62799999999999</v>
      </c>
      <c r="CL42" s="4134"/>
      <c r="CM42" s="4134">
        <f t="shared" si="37"/>
        <v>473.62799999999999</v>
      </c>
      <c r="CN42" s="4134"/>
      <c r="CO42" s="4135">
        <f t="shared" si="38"/>
        <v>0</v>
      </c>
      <c r="CP42" s="4134"/>
      <c r="CQ42" s="4133">
        <f t="shared" si="39"/>
        <v>215.62799999999999</v>
      </c>
      <c r="CR42" s="4134"/>
      <c r="CS42" s="4157">
        <f t="shared" si="40"/>
        <v>473.62799999999999</v>
      </c>
      <c r="CT42" s="4132"/>
      <c r="CU42" s="4160">
        <f t="shared" si="41"/>
        <v>473.62799999999999</v>
      </c>
      <c r="CV42" s="4159"/>
      <c r="CW42" s="4168"/>
    </row>
    <row r="43" spans="1:101" x14ac:dyDescent="0.25">
      <c r="A43" s="4191"/>
      <c r="B43" s="4191"/>
      <c r="C43" s="4191"/>
      <c r="D43" s="4191"/>
      <c r="E43" s="4179" t="s">
        <v>1426</v>
      </c>
      <c r="F43" s="4171">
        <v>224</v>
      </c>
      <c r="G43" s="4129"/>
      <c r="H43" s="4129"/>
      <c r="I43" s="4178">
        <f t="shared" si="0"/>
        <v>224</v>
      </c>
      <c r="J43" s="4129"/>
      <c r="K43" s="4129">
        <v>268</v>
      </c>
      <c r="L43" s="4129">
        <v>253.68</v>
      </c>
      <c r="M43" s="4178">
        <f t="shared" si="1"/>
        <v>521.68000000000006</v>
      </c>
      <c r="N43" s="4177">
        <f t="shared" si="2"/>
        <v>745.68000000000006</v>
      </c>
      <c r="O43" s="4125"/>
      <c r="P43" s="4125"/>
      <c r="Q43" s="4129"/>
      <c r="R43" s="4178">
        <f t="shared" si="3"/>
        <v>0</v>
      </c>
      <c r="S43" s="4129"/>
      <c r="T43" s="4129"/>
      <c r="U43" s="4176"/>
      <c r="V43" s="4178">
        <f t="shared" si="4"/>
        <v>0</v>
      </c>
      <c r="W43" s="4177">
        <f t="shared" si="5"/>
        <v>0</v>
      </c>
      <c r="X43" s="4141">
        <f t="shared" si="6"/>
        <v>745.68000000000006</v>
      </c>
      <c r="Y43" s="4140">
        <v>135</v>
      </c>
      <c r="Z43" s="4129"/>
      <c r="AA43" s="4129"/>
      <c r="AB43" s="4178">
        <f t="shared" si="7"/>
        <v>135</v>
      </c>
      <c r="AC43" s="4129"/>
      <c r="AD43" s="4129">
        <v>0</v>
      </c>
      <c r="AE43" s="4129">
        <v>0</v>
      </c>
      <c r="AF43" s="4139">
        <f t="shared" si="8"/>
        <v>0</v>
      </c>
      <c r="AG43" s="4177">
        <f t="shared" si="9"/>
        <v>135</v>
      </c>
      <c r="AH43" s="4125"/>
      <c r="AI43" s="4125"/>
      <c r="AJ43" s="4125"/>
      <c r="AK43" s="4178">
        <f t="shared" si="10"/>
        <v>0</v>
      </c>
      <c r="AL43" s="4129"/>
      <c r="AM43" s="4129"/>
      <c r="AN43" s="4176"/>
      <c r="AO43" s="4178">
        <f t="shared" si="11"/>
        <v>0</v>
      </c>
      <c r="AP43" s="4177">
        <f t="shared" si="12"/>
        <v>0</v>
      </c>
      <c r="AQ43" s="4138">
        <f t="shared" si="13"/>
        <v>135</v>
      </c>
      <c r="AR43" s="4128">
        <f t="shared" si="14"/>
        <v>880.68000000000006</v>
      </c>
      <c r="AS43" s="4175"/>
      <c r="AT43" s="4131"/>
      <c r="AU43" s="4137">
        <f t="shared" si="15"/>
        <v>359</v>
      </c>
      <c r="AV43" s="4136"/>
      <c r="AW43" s="4135">
        <f t="shared" si="16"/>
        <v>0</v>
      </c>
      <c r="AX43" s="4134"/>
      <c r="AY43" s="4134">
        <f t="shared" si="17"/>
        <v>359</v>
      </c>
      <c r="AZ43" s="4134"/>
      <c r="BA43" s="4135">
        <f t="shared" si="18"/>
        <v>0</v>
      </c>
      <c r="BB43" s="4133"/>
      <c r="BC43" s="4133">
        <f t="shared" si="19"/>
        <v>359</v>
      </c>
      <c r="BD43" s="4134"/>
      <c r="BE43" s="4135">
        <f t="shared" si="20"/>
        <v>0</v>
      </c>
      <c r="BF43" s="4132"/>
      <c r="BG43" s="4132">
        <f t="shared" si="21"/>
        <v>359</v>
      </c>
      <c r="BH43" s="4134"/>
      <c r="BI43" s="4135">
        <f t="shared" si="22"/>
        <v>268</v>
      </c>
      <c r="BJ43" s="4132"/>
      <c r="BK43" s="4132">
        <f t="shared" si="23"/>
        <v>627</v>
      </c>
      <c r="BL43" s="4134"/>
      <c r="BM43" s="4135">
        <f t="shared" si="24"/>
        <v>253.68</v>
      </c>
      <c r="BN43" s="4134"/>
      <c r="BO43" s="4133">
        <f t="shared" si="25"/>
        <v>521.68000000000006</v>
      </c>
      <c r="BP43" s="4134"/>
      <c r="BQ43" s="4157">
        <f t="shared" si="26"/>
        <v>880.68000000000006</v>
      </c>
      <c r="BR43" s="4134"/>
      <c r="BS43" s="4135">
        <f t="shared" si="27"/>
        <v>0</v>
      </c>
      <c r="BT43" s="4134"/>
      <c r="BU43" s="4134">
        <f t="shared" si="28"/>
        <v>880.68000000000006</v>
      </c>
      <c r="BV43" s="4134"/>
      <c r="BW43" s="4135">
        <f t="shared" si="29"/>
        <v>0</v>
      </c>
      <c r="BX43" s="4134"/>
      <c r="BY43" s="4134">
        <f t="shared" si="30"/>
        <v>880.68000000000006</v>
      </c>
      <c r="BZ43" s="4134"/>
      <c r="CA43" s="4135">
        <f t="shared" si="31"/>
        <v>0</v>
      </c>
      <c r="CB43" s="4134"/>
      <c r="CC43" s="4133">
        <f t="shared" si="32"/>
        <v>0</v>
      </c>
      <c r="CD43" s="4134"/>
      <c r="CE43" s="4134">
        <f t="shared" si="33"/>
        <v>880.68000000000006</v>
      </c>
      <c r="CF43" s="4134"/>
      <c r="CG43" s="4135">
        <f t="shared" si="34"/>
        <v>0</v>
      </c>
      <c r="CH43" s="4134"/>
      <c r="CI43" s="4134">
        <f t="shared" si="35"/>
        <v>880.68000000000006</v>
      </c>
      <c r="CJ43" s="4134"/>
      <c r="CK43" s="4135">
        <f t="shared" si="36"/>
        <v>0</v>
      </c>
      <c r="CL43" s="4134"/>
      <c r="CM43" s="4134">
        <f t="shared" si="37"/>
        <v>880.68000000000006</v>
      </c>
      <c r="CN43" s="4134"/>
      <c r="CO43" s="4135">
        <f t="shared" si="38"/>
        <v>0</v>
      </c>
      <c r="CP43" s="4134"/>
      <c r="CQ43" s="4133">
        <f t="shared" si="39"/>
        <v>0</v>
      </c>
      <c r="CR43" s="4134"/>
      <c r="CS43" s="4157">
        <f t="shared" si="40"/>
        <v>0</v>
      </c>
      <c r="CT43" s="4132"/>
      <c r="CU43" s="4160">
        <f t="shared" si="41"/>
        <v>880.68000000000006</v>
      </c>
      <c r="CV43" s="4159"/>
      <c r="CW43" s="4168"/>
    </row>
    <row r="44" spans="1:101" x14ac:dyDescent="0.25">
      <c r="A44" s="4191"/>
      <c r="B44" s="4191"/>
      <c r="C44" s="4191"/>
      <c r="D44" s="4191"/>
      <c r="E44" s="4179" t="s">
        <v>1966</v>
      </c>
      <c r="F44" s="4171"/>
      <c r="G44" s="4129"/>
      <c r="H44" s="4129"/>
      <c r="I44" s="4178">
        <f t="shared" si="0"/>
        <v>0</v>
      </c>
      <c r="J44" s="4129"/>
      <c r="K44" s="4129"/>
      <c r="L44" s="4129"/>
      <c r="M44" s="4178">
        <f t="shared" si="1"/>
        <v>0</v>
      </c>
      <c r="N44" s="4177">
        <f t="shared" si="2"/>
        <v>0</v>
      </c>
      <c r="O44" s="4125">
        <v>0</v>
      </c>
      <c r="P44" s="4125"/>
      <c r="Q44" s="4129"/>
      <c r="R44" s="4178">
        <f t="shared" si="3"/>
        <v>0</v>
      </c>
      <c r="S44" s="4129"/>
      <c r="T44" s="4129"/>
      <c r="U44" s="4176"/>
      <c r="V44" s="4178">
        <f t="shared" si="4"/>
        <v>0</v>
      </c>
      <c r="W44" s="4177">
        <f t="shared" si="5"/>
        <v>0</v>
      </c>
      <c r="X44" s="4141">
        <f t="shared" si="6"/>
        <v>0</v>
      </c>
      <c r="Y44" s="4140"/>
      <c r="Z44" s="4129"/>
      <c r="AA44" s="4129"/>
      <c r="AB44" s="4178">
        <f t="shared" si="7"/>
        <v>0</v>
      </c>
      <c r="AC44" s="4129"/>
      <c r="AD44" s="4129"/>
      <c r="AE44" s="4129"/>
      <c r="AF44" s="4139">
        <f t="shared" si="8"/>
        <v>0</v>
      </c>
      <c r="AG44" s="4177">
        <f t="shared" si="9"/>
        <v>0</v>
      </c>
      <c r="AH44" s="4125">
        <v>293.846</v>
      </c>
      <c r="AI44" s="4125"/>
      <c r="AJ44" s="4125"/>
      <c r="AK44" s="4178">
        <f t="shared" si="10"/>
        <v>293.846</v>
      </c>
      <c r="AL44" s="4129"/>
      <c r="AM44" s="4129"/>
      <c r="AN44" s="4176"/>
      <c r="AO44" s="4178">
        <f t="shared" si="11"/>
        <v>0</v>
      </c>
      <c r="AP44" s="4177">
        <f t="shared" si="12"/>
        <v>293.846</v>
      </c>
      <c r="AQ44" s="4138">
        <f t="shared" si="13"/>
        <v>293.846</v>
      </c>
      <c r="AR44" s="4128">
        <f t="shared" si="14"/>
        <v>293.846</v>
      </c>
      <c r="AS44" s="4175"/>
      <c r="AT44" s="4131"/>
      <c r="AU44" s="4137">
        <f t="shared" si="15"/>
        <v>0</v>
      </c>
      <c r="AV44" s="4136"/>
      <c r="AW44" s="4135">
        <f t="shared" si="16"/>
        <v>0</v>
      </c>
      <c r="AX44" s="4134"/>
      <c r="AY44" s="4134">
        <f t="shared" si="17"/>
        <v>0</v>
      </c>
      <c r="AZ44" s="4134"/>
      <c r="BA44" s="4135">
        <f t="shared" si="18"/>
        <v>0</v>
      </c>
      <c r="BB44" s="4133"/>
      <c r="BC44" s="4133">
        <f t="shared" si="19"/>
        <v>0</v>
      </c>
      <c r="BD44" s="4134"/>
      <c r="BE44" s="4135">
        <f t="shared" si="20"/>
        <v>0</v>
      </c>
      <c r="BF44" s="4132"/>
      <c r="BG44" s="4132">
        <f t="shared" si="21"/>
        <v>0</v>
      </c>
      <c r="BH44" s="4134"/>
      <c r="BI44" s="4135">
        <f t="shared" si="22"/>
        <v>0</v>
      </c>
      <c r="BJ44" s="4132"/>
      <c r="BK44" s="4132">
        <f t="shared" si="23"/>
        <v>0</v>
      </c>
      <c r="BL44" s="4134"/>
      <c r="BM44" s="4135">
        <f t="shared" si="24"/>
        <v>0</v>
      </c>
      <c r="BN44" s="4134"/>
      <c r="BO44" s="4133">
        <f t="shared" si="25"/>
        <v>0</v>
      </c>
      <c r="BP44" s="4134"/>
      <c r="BQ44" s="4157">
        <f t="shared" si="26"/>
        <v>0</v>
      </c>
      <c r="BR44" s="4134"/>
      <c r="BS44" s="4135">
        <f t="shared" si="27"/>
        <v>293.846</v>
      </c>
      <c r="BT44" s="4134"/>
      <c r="BU44" s="4134">
        <f t="shared" si="28"/>
        <v>293.846</v>
      </c>
      <c r="BV44" s="4134"/>
      <c r="BW44" s="4135">
        <f t="shared" si="29"/>
        <v>0</v>
      </c>
      <c r="BX44" s="4134"/>
      <c r="BY44" s="4134">
        <f t="shared" si="30"/>
        <v>293.846</v>
      </c>
      <c r="BZ44" s="4134"/>
      <c r="CA44" s="4135">
        <f t="shared" si="31"/>
        <v>0</v>
      </c>
      <c r="CB44" s="4134"/>
      <c r="CC44" s="4133">
        <f t="shared" si="32"/>
        <v>293.846</v>
      </c>
      <c r="CD44" s="4134"/>
      <c r="CE44" s="4134">
        <f t="shared" si="33"/>
        <v>293.846</v>
      </c>
      <c r="CF44" s="4134"/>
      <c r="CG44" s="4135">
        <f t="shared" si="34"/>
        <v>0</v>
      </c>
      <c r="CH44" s="4134"/>
      <c r="CI44" s="4134">
        <f t="shared" si="35"/>
        <v>293.846</v>
      </c>
      <c r="CJ44" s="4134"/>
      <c r="CK44" s="4135">
        <f t="shared" si="36"/>
        <v>0</v>
      </c>
      <c r="CL44" s="4134"/>
      <c r="CM44" s="4134">
        <f t="shared" si="37"/>
        <v>293.846</v>
      </c>
      <c r="CN44" s="4134"/>
      <c r="CO44" s="4135">
        <f t="shared" si="38"/>
        <v>0</v>
      </c>
      <c r="CP44" s="4134"/>
      <c r="CQ44" s="4133">
        <f t="shared" si="39"/>
        <v>0</v>
      </c>
      <c r="CR44" s="4134"/>
      <c r="CS44" s="4157">
        <f t="shared" si="40"/>
        <v>293.846</v>
      </c>
      <c r="CT44" s="4132"/>
      <c r="CU44" s="4160">
        <f t="shared" si="41"/>
        <v>293.846</v>
      </c>
      <c r="CV44" s="4159"/>
      <c r="CW44" s="4168"/>
    </row>
    <row r="45" spans="1:101" x14ac:dyDescent="0.25">
      <c r="A45" s="4191"/>
      <c r="B45" s="4191"/>
      <c r="C45" s="4191"/>
      <c r="D45" s="4191"/>
      <c r="E45" s="5050" t="s">
        <v>2143</v>
      </c>
      <c r="F45" s="4171"/>
      <c r="G45" s="4129"/>
      <c r="H45" s="4129"/>
      <c r="I45" s="4178">
        <f t="shared" si="0"/>
        <v>0</v>
      </c>
      <c r="J45" s="4129"/>
      <c r="K45" s="4129"/>
      <c r="L45" s="4129">
        <v>0</v>
      </c>
      <c r="M45" s="4178">
        <f t="shared" si="1"/>
        <v>0</v>
      </c>
      <c r="N45" s="4177">
        <f t="shared" si="2"/>
        <v>0</v>
      </c>
      <c r="O45" s="4125"/>
      <c r="P45" s="4125"/>
      <c r="Q45" s="4129">
        <v>5799</v>
      </c>
      <c r="R45" s="4178">
        <f t="shared" si="3"/>
        <v>5799</v>
      </c>
      <c r="S45" s="4129">
        <v>7842.94</v>
      </c>
      <c r="T45" s="4129">
        <v>2771.4540000000002</v>
      </c>
      <c r="U45" s="4176">
        <v>4262</v>
      </c>
      <c r="V45" s="4178">
        <f t="shared" si="4"/>
        <v>14876.394</v>
      </c>
      <c r="W45" s="4177">
        <f t="shared" si="5"/>
        <v>20675.394</v>
      </c>
      <c r="X45" s="4141">
        <f t="shared" si="6"/>
        <v>20675.394</v>
      </c>
      <c r="Y45" s="4140"/>
      <c r="Z45" s="4129"/>
      <c r="AA45" s="4129"/>
      <c r="AB45" s="4178">
        <f t="shared" si="7"/>
        <v>0</v>
      </c>
      <c r="AC45" s="4129"/>
      <c r="AD45" s="4129"/>
      <c r="AE45" s="4129">
        <v>103.586</v>
      </c>
      <c r="AF45" s="4139">
        <f t="shared" si="8"/>
        <v>103.586</v>
      </c>
      <c r="AG45" s="4177">
        <f t="shared" si="9"/>
        <v>103.586</v>
      </c>
      <c r="AH45" s="4125"/>
      <c r="AI45" s="4125"/>
      <c r="AJ45" s="4125">
        <v>3757</v>
      </c>
      <c r="AK45" s="4178">
        <f t="shared" si="10"/>
        <v>3757</v>
      </c>
      <c r="AL45" s="4129">
        <v>251.566</v>
      </c>
      <c r="AM45" s="4129">
        <v>0</v>
      </c>
      <c r="AN45" s="4176">
        <v>374</v>
      </c>
      <c r="AO45" s="4178">
        <f t="shared" si="11"/>
        <v>625.56600000000003</v>
      </c>
      <c r="AP45" s="4177">
        <f t="shared" si="12"/>
        <v>4382.5659999999998</v>
      </c>
      <c r="AQ45" s="4138">
        <f t="shared" si="13"/>
        <v>4486.152</v>
      </c>
      <c r="AR45" s="4128">
        <f t="shared" si="14"/>
        <v>25161.546000000002</v>
      </c>
      <c r="AS45" s="4175"/>
      <c r="AT45" s="4131"/>
      <c r="AU45" s="4137">
        <f t="shared" si="15"/>
        <v>0</v>
      </c>
      <c r="AV45" s="4136"/>
      <c r="AW45" s="4135">
        <f t="shared" si="16"/>
        <v>0</v>
      </c>
      <c r="AX45" s="4134"/>
      <c r="AY45" s="4134">
        <f t="shared" si="17"/>
        <v>0</v>
      </c>
      <c r="AZ45" s="4134"/>
      <c r="BA45" s="4135">
        <f t="shared" si="18"/>
        <v>0</v>
      </c>
      <c r="BB45" s="4133"/>
      <c r="BC45" s="4133">
        <f t="shared" si="19"/>
        <v>0</v>
      </c>
      <c r="BD45" s="4134"/>
      <c r="BE45" s="4135">
        <f t="shared" si="20"/>
        <v>0</v>
      </c>
      <c r="BF45" s="4132"/>
      <c r="BG45" s="4132">
        <f t="shared" si="21"/>
        <v>0</v>
      </c>
      <c r="BH45" s="4134"/>
      <c r="BI45" s="4135">
        <f t="shared" si="22"/>
        <v>0</v>
      </c>
      <c r="BJ45" s="4132"/>
      <c r="BK45" s="4132">
        <f t="shared" si="23"/>
        <v>0</v>
      </c>
      <c r="BL45" s="4134"/>
      <c r="BM45" s="4135">
        <f t="shared" si="24"/>
        <v>103.586</v>
      </c>
      <c r="BN45" s="4134"/>
      <c r="BO45" s="4133">
        <f t="shared" si="25"/>
        <v>103.586</v>
      </c>
      <c r="BP45" s="4134"/>
      <c r="BQ45" s="4157">
        <f t="shared" si="26"/>
        <v>103.586</v>
      </c>
      <c r="BR45" s="4134"/>
      <c r="BS45" s="4135">
        <f t="shared" si="27"/>
        <v>0</v>
      </c>
      <c r="BT45" s="4134"/>
      <c r="BU45" s="4134">
        <f t="shared" si="28"/>
        <v>103.586</v>
      </c>
      <c r="BV45" s="4134"/>
      <c r="BW45" s="4135">
        <f t="shared" si="29"/>
        <v>0</v>
      </c>
      <c r="BX45" s="4134"/>
      <c r="BY45" s="4134">
        <f t="shared" si="30"/>
        <v>103.586</v>
      </c>
      <c r="BZ45" s="4134"/>
      <c r="CA45" s="4135">
        <f t="shared" si="31"/>
        <v>9556</v>
      </c>
      <c r="CB45" s="4134"/>
      <c r="CC45" s="4133">
        <f t="shared" si="32"/>
        <v>9556</v>
      </c>
      <c r="CD45" s="4134"/>
      <c r="CE45" s="4134">
        <f t="shared" si="33"/>
        <v>9659.5859999999993</v>
      </c>
      <c r="CF45" s="4134"/>
      <c r="CG45" s="4135">
        <f t="shared" si="34"/>
        <v>8094.5059999999994</v>
      </c>
      <c r="CH45" s="4134"/>
      <c r="CI45" s="4134">
        <f t="shared" si="35"/>
        <v>17754.091999999997</v>
      </c>
      <c r="CJ45" s="4134"/>
      <c r="CK45" s="4135">
        <f t="shared" si="36"/>
        <v>2771.4540000000002</v>
      </c>
      <c r="CL45" s="4134"/>
      <c r="CM45" s="4134">
        <f t="shared" si="37"/>
        <v>20525.545999999998</v>
      </c>
      <c r="CN45" s="4134"/>
      <c r="CO45" s="4135">
        <f t="shared" si="38"/>
        <v>4636</v>
      </c>
      <c r="CP45" s="4134"/>
      <c r="CQ45" s="4133">
        <f t="shared" si="39"/>
        <v>15501.96</v>
      </c>
      <c r="CR45" s="4134"/>
      <c r="CS45" s="4157">
        <f t="shared" si="40"/>
        <v>25057.96</v>
      </c>
      <c r="CT45" s="4132"/>
      <c r="CU45" s="4160">
        <f t="shared" si="41"/>
        <v>25161.545999999998</v>
      </c>
      <c r="CV45" s="4159"/>
      <c r="CW45" s="4168"/>
    </row>
    <row r="46" spans="1:101" s="4167" customFormat="1" x14ac:dyDescent="0.25">
      <c r="A46" s="4151"/>
      <c r="B46" s="4151"/>
      <c r="C46" s="4151"/>
      <c r="D46" s="4151"/>
      <c r="E46" s="5050" t="s">
        <v>1290</v>
      </c>
      <c r="F46" s="4171">
        <v>3061</v>
      </c>
      <c r="G46" s="4129">
        <v>4450</v>
      </c>
      <c r="H46" s="4129">
        <v>4093</v>
      </c>
      <c r="I46" s="4178">
        <f>SUM(F46:H46)</f>
        <v>11604</v>
      </c>
      <c r="J46" s="4129">
        <v>7484</v>
      </c>
      <c r="K46" s="4129">
        <v>1776</v>
      </c>
      <c r="L46" s="4129">
        <v>3826.34</v>
      </c>
      <c r="M46" s="4178">
        <f>SUM(J46:L46)</f>
        <v>13086.34</v>
      </c>
      <c r="N46" s="4177">
        <f>+I46+M46</f>
        <v>24690.34</v>
      </c>
      <c r="O46" s="4125"/>
      <c r="P46" s="4125"/>
      <c r="Q46" s="4129"/>
      <c r="R46" s="4178">
        <f>SUM(O46:Q46)</f>
        <v>0</v>
      </c>
      <c r="S46" s="4129"/>
      <c r="T46" s="4129"/>
      <c r="U46" s="4176"/>
      <c r="V46" s="4178">
        <f>SUM(S46:U46)</f>
        <v>0</v>
      </c>
      <c r="W46" s="4177">
        <f>+R46+V46</f>
        <v>0</v>
      </c>
      <c r="X46" s="4141">
        <f>+F46+G46+H46+J46+K46+L46+O46+P46+Q46+S46+T46+U46</f>
        <v>24690.34</v>
      </c>
      <c r="Y46" s="4140">
        <v>281</v>
      </c>
      <c r="Z46" s="4129">
        <v>721</v>
      </c>
      <c r="AA46" s="4129">
        <v>3072</v>
      </c>
      <c r="AB46" s="4178">
        <f>+Y46+Z46+AA46</f>
        <v>4074</v>
      </c>
      <c r="AC46" s="4129">
        <v>767</v>
      </c>
      <c r="AD46" s="4129">
        <v>1226</v>
      </c>
      <c r="AE46" s="4129">
        <v>5130.6779999999999</v>
      </c>
      <c r="AF46" s="4139">
        <f>SUM(AC46:AE46)</f>
        <v>7123.6779999999999</v>
      </c>
      <c r="AG46" s="4177">
        <f>+AB46+AF46</f>
        <v>11197.678</v>
      </c>
      <c r="AH46" s="4125"/>
      <c r="AI46" s="4125"/>
      <c r="AJ46" s="4125"/>
      <c r="AK46" s="4178">
        <f>SUM(AH46:AJ46)</f>
        <v>0</v>
      </c>
      <c r="AL46" s="4129"/>
      <c r="AM46" s="4129"/>
      <c r="AN46" s="4176"/>
      <c r="AO46" s="4178">
        <f>+AL46+AM46+AN46</f>
        <v>0</v>
      </c>
      <c r="AP46" s="4177">
        <f>+AK46+AO46</f>
        <v>0</v>
      </c>
      <c r="AQ46" s="4138">
        <f>SUM(Y46:AA46,AC46:AE46,AH46:AJ46,AL46:AN46)</f>
        <v>11197.678</v>
      </c>
      <c r="AR46" s="4128">
        <f>+X46+AQ46</f>
        <v>35888.017999999996</v>
      </c>
      <c r="AS46" s="4175"/>
      <c r="AT46" s="4131"/>
      <c r="AU46" s="4137">
        <f>+F46+Y46</f>
        <v>3342</v>
      </c>
      <c r="AV46" s="4136"/>
      <c r="AW46" s="4135">
        <f>+G46+Z46</f>
        <v>5171</v>
      </c>
      <c r="AX46" s="4134"/>
      <c r="AY46" s="4134">
        <f>AU46+AW46</f>
        <v>8513</v>
      </c>
      <c r="AZ46" s="4134"/>
      <c r="BA46" s="4135">
        <f>+H46+AA46</f>
        <v>7165</v>
      </c>
      <c r="BB46" s="4133"/>
      <c r="BC46" s="4133">
        <f>AU46+AW46+BA46</f>
        <v>15678</v>
      </c>
      <c r="BD46" s="4134"/>
      <c r="BE46" s="4135">
        <f>+J46+AC46</f>
        <v>8251</v>
      </c>
      <c r="BF46" s="4132"/>
      <c r="BG46" s="4132">
        <f>+BC46+BE46</f>
        <v>23929</v>
      </c>
      <c r="BH46" s="4134"/>
      <c r="BI46" s="4135">
        <f>K46+AD46</f>
        <v>3002</v>
      </c>
      <c r="BJ46" s="4132"/>
      <c r="BK46" s="4132">
        <f>+BG46+BI46</f>
        <v>26931</v>
      </c>
      <c r="BL46" s="4134"/>
      <c r="BM46" s="4135">
        <f>+L46+AE46</f>
        <v>8957.018</v>
      </c>
      <c r="BN46" s="4134"/>
      <c r="BO46" s="4133">
        <f>BE46+BI46+BM46</f>
        <v>20210.018</v>
      </c>
      <c r="BP46" s="4134"/>
      <c r="BQ46" s="4157">
        <f>BC46+BO46</f>
        <v>35888.017999999996</v>
      </c>
      <c r="BR46" s="4134"/>
      <c r="BS46" s="4135">
        <f>+O46+AH46</f>
        <v>0</v>
      </c>
      <c r="BT46" s="4134"/>
      <c r="BU46" s="4134">
        <f>BQ46+BS46</f>
        <v>35888.017999999996</v>
      </c>
      <c r="BV46" s="4134"/>
      <c r="BW46" s="4135">
        <f>+P46+AI46</f>
        <v>0</v>
      </c>
      <c r="BX46" s="4134"/>
      <c r="BY46" s="4134">
        <f>BU46+BW46</f>
        <v>35888.017999999996</v>
      </c>
      <c r="BZ46" s="4134"/>
      <c r="CA46" s="4135">
        <f>+Q46+AJ46</f>
        <v>0</v>
      </c>
      <c r="CB46" s="4134"/>
      <c r="CC46" s="4133">
        <f>BS46+BW46+CA46</f>
        <v>0</v>
      </c>
      <c r="CD46" s="4134"/>
      <c r="CE46" s="4134">
        <f>BY46+CA46</f>
        <v>35888.017999999996</v>
      </c>
      <c r="CF46" s="4134"/>
      <c r="CG46" s="4135">
        <f>+S46+AL46</f>
        <v>0</v>
      </c>
      <c r="CH46" s="4134"/>
      <c r="CI46" s="4134">
        <f>CG46+CE46</f>
        <v>35888.017999999996</v>
      </c>
      <c r="CJ46" s="4134"/>
      <c r="CK46" s="4135">
        <f>+T46+AM46</f>
        <v>0</v>
      </c>
      <c r="CL46" s="4134"/>
      <c r="CM46" s="4134">
        <f>CI46+CK46</f>
        <v>35888.017999999996</v>
      </c>
      <c r="CN46" s="4134"/>
      <c r="CO46" s="4135">
        <f>+U46+AN46</f>
        <v>0</v>
      </c>
      <c r="CP46" s="4134"/>
      <c r="CQ46" s="4133">
        <f>CG46+CK46+CO46</f>
        <v>0</v>
      </c>
      <c r="CR46" s="4134"/>
      <c r="CS46" s="4157">
        <f>CC46+CQ46</f>
        <v>0</v>
      </c>
      <c r="CT46" s="4132"/>
      <c r="CU46" s="4160">
        <f>SUM(AU46,AW46,BA46,BE46,BI46,BM46,BS46,BW46,CA46,CG46,CK46,CO46)</f>
        <v>35888.017999999996</v>
      </c>
      <c r="CV46" s="4159"/>
      <c r="CW46" s="5055"/>
    </row>
    <row r="47" spans="1:101" x14ac:dyDescent="0.25">
      <c r="A47" s="4191"/>
      <c r="B47" s="4191"/>
      <c r="C47" s="4191"/>
      <c r="D47" s="4191"/>
      <c r="E47" s="5051" t="s">
        <v>2144</v>
      </c>
      <c r="F47" s="4171"/>
      <c r="G47" s="4129"/>
      <c r="H47" s="4129"/>
      <c r="I47" s="4178">
        <f t="shared" si="0"/>
        <v>0</v>
      </c>
      <c r="J47" s="4129"/>
      <c r="K47" s="4129"/>
      <c r="L47" s="4129">
        <v>160.66399999999999</v>
      </c>
      <c r="M47" s="4178">
        <f t="shared" si="1"/>
        <v>160.66399999999999</v>
      </c>
      <c r="N47" s="4177">
        <f t="shared" si="2"/>
        <v>160.66399999999999</v>
      </c>
      <c r="O47" s="4125"/>
      <c r="P47" s="4125"/>
      <c r="Q47" s="4129"/>
      <c r="R47" s="4178">
        <f t="shared" si="3"/>
        <v>0</v>
      </c>
      <c r="S47" s="4129"/>
      <c r="T47" s="4129"/>
      <c r="U47" s="4176"/>
      <c r="V47" s="4178">
        <f t="shared" si="4"/>
        <v>0</v>
      </c>
      <c r="W47" s="4177">
        <f t="shared" si="5"/>
        <v>0</v>
      </c>
      <c r="X47" s="4141">
        <f t="shared" si="6"/>
        <v>160.66399999999999</v>
      </c>
      <c r="Y47" s="4140"/>
      <c r="Z47" s="4129"/>
      <c r="AA47" s="4129"/>
      <c r="AB47" s="4178">
        <f t="shared" si="7"/>
        <v>0</v>
      </c>
      <c r="AC47" s="4129"/>
      <c r="AD47" s="4129"/>
      <c r="AE47" s="4129">
        <v>0</v>
      </c>
      <c r="AF47" s="4139">
        <f t="shared" si="8"/>
        <v>0</v>
      </c>
      <c r="AG47" s="4177">
        <f t="shared" si="9"/>
        <v>0</v>
      </c>
      <c r="AH47" s="4125"/>
      <c r="AI47" s="4125"/>
      <c r="AJ47" s="4125"/>
      <c r="AK47" s="4178">
        <f t="shared" si="10"/>
        <v>0</v>
      </c>
      <c r="AL47" s="4129"/>
      <c r="AM47" s="4129"/>
      <c r="AN47" s="4176"/>
      <c r="AO47" s="4178">
        <f t="shared" si="11"/>
        <v>0</v>
      </c>
      <c r="AP47" s="4177">
        <f t="shared" si="12"/>
        <v>0</v>
      </c>
      <c r="AQ47" s="4138">
        <f t="shared" si="13"/>
        <v>0</v>
      </c>
      <c r="AR47" s="4128">
        <f t="shared" si="14"/>
        <v>160.66399999999999</v>
      </c>
      <c r="AS47" s="4175"/>
      <c r="AT47" s="4131"/>
      <c r="AU47" s="4137">
        <f t="shared" si="15"/>
        <v>0</v>
      </c>
      <c r="AV47" s="4136"/>
      <c r="AW47" s="4135">
        <f t="shared" si="16"/>
        <v>0</v>
      </c>
      <c r="AX47" s="4134"/>
      <c r="AY47" s="4134">
        <f t="shared" si="17"/>
        <v>0</v>
      </c>
      <c r="AZ47" s="4134"/>
      <c r="BA47" s="4135">
        <f t="shared" si="18"/>
        <v>0</v>
      </c>
      <c r="BB47" s="4133"/>
      <c r="BC47" s="4133">
        <f t="shared" si="19"/>
        <v>0</v>
      </c>
      <c r="BD47" s="4134"/>
      <c r="BE47" s="4135">
        <f t="shared" si="20"/>
        <v>0</v>
      </c>
      <c r="BF47" s="4132"/>
      <c r="BG47" s="4132">
        <f t="shared" si="21"/>
        <v>0</v>
      </c>
      <c r="BH47" s="4134"/>
      <c r="BI47" s="4135">
        <f t="shared" si="22"/>
        <v>0</v>
      </c>
      <c r="BJ47" s="4132"/>
      <c r="BK47" s="4132">
        <f t="shared" si="23"/>
        <v>0</v>
      </c>
      <c r="BL47" s="4134"/>
      <c r="BM47" s="4135">
        <f t="shared" si="24"/>
        <v>160.66399999999999</v>
      </c>
      <c r="BN47" s="4134"/>
      <c r="BO47" s="4133">
        <f t="shared" si="25"/>
        <v>160.66399999999999</v>
      </c>
      <c r="BP47" s="4134"/>
      <c r="BQ47" s="4157">
        <f t="shared" si="26"/>
        <v>160.66399999999999</v>
      </c>
      <c r="BR47" s="4134"/>
      <c r="BS47" s="4135">
        <f t="shared" si="27"/>
        <v>0</v>
      </c>
      <c r="BT47" s="4134"/>
      <c r="BU47" s="4134">
        <f t="shared" si="28"/>
        <v>160.66399999999999</v>
      </c>
      <c r="BV47" s="4134"/>
      <c r="BW47" s="4135">
        <f t="shared" si="29"/>
        <v>0</v>
      </c>
      <c r="BX47" s="4134"/>
      <c r="BY47" s="4134">
        <f t="shared" si="30"/>
        <v>160.66399999999999</v>
      </c>
      <c r="BZ47" s="4134"/>
      <c r="CA47" s="4135">
        <f t="shared" si="31"/>
        <v>0</v>
      </c>
      <c r="CB47" s="4134"/>
      <c r="CC47" s="4133">
        <f t="shared" si="32"/>
        <v>0</v>
      </c>
      <c r="CD47" s="4134"/>
      <c r="CE47" s="4134">
        <f t="shared" si="33"/>
        <v>160.66399999999999</v>
      </c>
      <c r="CF47" s="4134"/>
      <c r="CG47" s="4135">
        <f t="shared" si="34"/>
        <v>0</v>
      </c>
      <c r="CH47" s="4134"/>
      <c r="CI47" s="4134">
        <f t="shared" si="35"/>
        <v>160.66399999999999</v>
      </c>
      <c r="CJ47" s="4134"/>
      <c r="CK47" s="4135">
        <f t="shared" si="36"/>
        <v>0</v>
      </c>
      <c r="CL47" s="4134"/>
      <c r="CM47" s="4134">
        <f t="shared" si="37"/>
        <v>160.66399999999999</v>
      </c>
      <c r="CN47" s="4134"/>
      <c r="CO47" s="4135">
        <f t="shared" si="38"/>
        <v>0</v>
      </c>
      <c r="CP47" s="4134"/>
      <c r="CQ47" s="4133">
        <f t="shared" si="39"/>
        <v>0</v>
      </c>
      <c r="CR47" s="4134"/>
      <c r="CS47" s="4157">
        <f t="shared" si="40"/>
        <v>0</v>
      </c>
      <c r="CT47" s="4132"/>
      <c r="CU47" s="4160">
        <f t="shared" si="41"/>
        <v>160.66399999999999</v>
      </c>
      <c r="CV47" s="4159"/>
      <c r="CW47" s="4168"/>
    </row>
    <row r="48" spans="1:101" s="4167" customFormat="1" x14ac:dyDescent="0.25">
      <c r="A48" s="4151"/>
      <c r="B48" s="4151"/>
      <c r="C48" s="4151"/>
      <c r="D48" s="4151"/>
      <c r="E48" s="5051" t="s">
        <v>1654</v>
      </c>
      <c r="F48" s="4171"/>
      <c r="G48" s="4129"/>
      <c r="H48" s="4129"/>
      <c r="I48" s="4178">
        <f>SUM(F48:H48)</f>
        <v>0</v>
      </c>
      <c r="J48" s="4129">
        <v>583</v>
      </c>
      <c r="K48" s="4129"/>
      <c r="L48" s="4129"/>
      <c r="M48" s="4178">
        <f>SUM(J48:L48)</f>
        <v>583</v>
      </c>
      <c r="N48" s="4177">
        <f>+I48+M48</f>
        <v>583</v>
      </c>
      <c r="O48" s="4125"/>
      <c r="P48" s="4125"/>
      <c r="Q48" s="4129"/>
      <c r="R48" s="4178">
        <f>SUM(O48:Q48)</f>
        <v>0</v>
      </c>
      <c r="S48" s="4129"/>
      <c r="T48" s="4129"/>
      <c r="U48" s="4176"/>
      <c r="V48" s="4178">
        <f>SUM(S48:U48)</f>
        <v>0</v>
      </c>
      <c r="W48" s="4177">
        <f>+R48+V48</f>
        <v>0</v>
      </c>
      <c r="X48" s="4141">
        <f>+F48+G48+H48+J48+K48+L48+O48+P48+Q48+S48+T48+U48</f>
        <v>583</v>
      </c>
      <c r="Y48" s="4140"/>
      <c r="Z48" s="4129"/>
      <c r="AA48" s="4129"/>
      <c r="AB48" s="4178">
        <f>+Y48+Z48+AA48</f>
        <v>0</v>
      </c>
      <c r="AC48" s="4129">
        <v>0</v>
      </c>
      <c r="AD48" s="4129"/>
      <c r="AE48" s="4129"/>
      <c r="AF48" s="4139">
        <f>SUM(AC48:AE48)</f>
        <v>0</v>
      </c>
      <c r="AG48" s="4177">
        <f>+AB48+AF48</f>
        <v>0</v>
      </c>
      <c r="AH48" s="4125"/>
      <c r="AI48" s="4125"/>
      <c r="AJ48" s="4125"/>
      <c r="AK48" s="4178">
        <f>SUM(AH48:AJ48)</f>
        <v>0</v>
      </c>
      <c r="AL48" s="4129"/>
      <c r="AM48" s="4129"/>
      <c r="AN48" s="4176"/>
      <c r="AO48" s="4178">
        <f>+AL48+AM48+AN48</f>
        <v>0</v>
      </c>
      <c r="AP48" s="4177">
        <f>+AK48+AO48</f>
        <v>0</v>
      </c>
      <c r="AQ48" s="4138">
        <f>SUM(Y48:AA48,AC48:AE48,AH48:AJ48,AL48:AN48)</f>
        <v>0</v>
      </c>
      <c r="AR48" s="4128">
        <f>+X48+AQ48</f>
        <v>583</v>
      </c>
      <c r="AS48" s="4175"/>
      <c r="AT48" s="4131"/>
      <c r="AU48" s="4137">
        <f>+F48+Y48</f>
        <v>0</v>
      </c>
      <c r="AV48" s="4136"/>
      <c r="AW48" s="4135">
        <f>+G48+Z48</f>
        <v>0</v>
      </c>
      <c r="AX48" s="4134"/>
      <c r="AY48" s="4134">
        <f>AU48+AW48</f>
        <v>0</v>
      </c>
      <c r="AZ48" s="4134"/>
      <c r="BA48" s="4135">
        <f>+H48+AA48</f>
        <v>0</v>
      </c>
      <c r="BB48" s="4133"/>
      <c r="BC48" s="4133">
        <f>AU48+AW48+BA48</f>
        <v>0</v>
      </c>
      <c r="BD48" s="4134"/>
      <c r="BE48" s="4135">
        <f>+J48+AC48</f>
        <v>583</v>
      </c>
      <c r="BF48" s="4132"/>
      <c r="BG48" s="4132">
        <f>+BC48+BE48</f>
        <v>583</v>
      </c>
      <c r="BH48" s="4134"/>
      <c r="BI48" s="4135">
        <f>K48+AD48</f>
        <v>0</v>
      </c>
      <c r="BJ48" s="4132"/>
      <c r="BK48" s="4132">
        <f>+BG48+BI48</f>
        <v>583</v>
      </c>
      <c r="BL48" s="4134"/>
      <c r="BM48" s="4135">
        <f>+L48+AE48</f>
        <v>0</v>
      </c>
      <c r="BN48" s="4134"/>
      <c r="BO48" s="4133">
        <f>BE48+BI48+BM48</f>
        <v>583</v>
      </c>
      <c r="BP48" s="4134"/>
      <c r="BQ48" s="4157">
        <f>BC48+BO48</f>
        <v>583</v>
      </c>
      <c r="BR48" s="4134"/>
      <c r="BS48" s="4135">
        <f>+O48+AH48</f>
        <v>0</v>
      </c>
      <c r="BT48" s="4134"/>
      <c r="BU48" s="4134">
        <f>BQ48+BS48</f>
        <v>583</v>
      </c>
      <c r="BV48" s="4134"/>
      <c r="BW48" s="4135">
        <f>+P48+AI48</f>
        <v>0</v>
      </c>
      <c r="BX48" s="4134"/>
      <c r="BY48" s="4134">
        <f>BU48+BW48</f>
        <v>583</v>
      </c>
      <c r="BZ48" s="4134"/>
      <c r="CA48" s="4135">
        <f>+Q48+AJ48</f>
        <v>0</v>
      </c>
      <c r="CB48" s="4134"/>
      <c r="CC48" s="4133">
        <f>BS48+BW48+CA48</f>
        <v>0</v>
      </c>
      <c r="CD48" s="4134"/>
      <c r="CE48" s="4134">
        <f>BY48+CA48</f>
        <v>583</v>
      </c>
      <c r="CF48" s="4134"/>
      <c r="CG48" s="4135">
        <f>+S48+AL48</f>
        <v>0</v>
      </c>
      <c r="CH48" s="4134"/>
      <c r="CI48" s="4134">
        <f>CG48+CE48</f>
        <v>583</v>
      </c>
      <c r="CJ48" s="4134"/>
      <c r="CK48" s="4135">
        <f>+T48+AM48</f>
        <v>0</v>
      </c>
      <c r="CL48" s="4134"/>
      <c r="CM48" s="4134">
        <f>CI48+CK48</f>
        <v>583</v>
      </c>
      <c r="CN48" s="4134"/>
      <c r="CO48" s="4135">
        <f>+U48+AN48</f>
        <v>0</v>
      </c>
      <c r="CP48" s="4134"/>
      <c r="CQ48" s="4133">
        <f>CG48+CK48+CO48</f>
        <v>0</v>
      </c>
      <c r="CR48" s="4134"/>
      <c r="CS48" s="4157">
        <f>CC48+CQ48</f>
        <v>0</v>
      </c>
      <c r="CT48" s="4132"/>
      <c r="CU48" s="4160">
        <f>SUM(AU48,AW48,BA48,BE48,BI48,BM48,BS48,BW48,CA48,CG48,CK48,CO48)</f>
        <v>583</v>
      </c>
      <c r="CV48" s="4159"/>
      <c r="CW48" s="5055"/>
    </row>
    <row r="49" spans="1:101" x14ac:dyDescent="0.25">
      <c r="A49" s="4191"/>
      <c r="B49" s="4191"/>
      <c r="C49" s="4191"/>
      <c r="D49" s="4191"/>
      <c r="E49" s="5052" t="s">
        <v>2145</v>
      </c>
      <c r="F49" s="4171"/>
      <c r="G49" s="4129"/>
      <c r="H49" s="4129"/>
      <c r="I49" s="4178">
        <f t="shared" si="0"/>
        <v>0</v>
      </c>
      <c r="J49" s="4129"/>
      <c r="K49" s="4129"/>
      <c r="L49" s="4129"/>
      <c r="M49" s="4178">
        <f t="shared" si="1"/>
        <v>0</v>
      </c>
      <c r="N49" s="4177">
        <f t="shared" si="2"/>
        <v>0</v>
      </c>
      <c r="O49" s="4125"/>
      <c r="P49" s="4125"/>
      <c r="Q49" s="4129"/>
      <c r="R49" s="4178">
        <f t="shared" si="3"/>
        <v>0</v>
      </c>
      <c r="S49" s="4129"/>
      <c r="T49" s="4129">
        <v>1828.61</v>
      </c>
      <c r="U49" s="4176">
        <v>577</v>
      </c>
      <c r="V49" s="4178">
        <f t="shared" si="4"/>
        <v>2405.6099999999997</v>
      </c>
      <c r="W49" s="4177">
        <f t="shared" si="5"/>
        <v>2405.6099999999997</v>
      </c>
      <c r="X49" s="4141">
        <f t="shared" si="6"/>
        <v>2405.6099999999997</v>
      </c>
      <c r="Y49" s="4140"/>
      <c r="Z49" s="4129"/>
      <c r="AA49" s="4129"/>
      <c r="AB49" s="4178">
        <f t="shared" si="7"/>
        <v>0</v>
      </c>
      <c r="AC49" s="4129"/>
      <c r="AD49" s="4129"/>
      <c r="AE49" s="4129"/>
      <c r="AF49" s="4139">
        <f t="shared" si="8"/>
        <v>0</v>
      </c>
      <c r="AG49" s="4177">
        <f t="shared" si="9"/>
        <v>0</v>
      </c>
      <c r="AH49" s="4125"/>
      <c r="AI49" s="4125"/>
      <c r="AJ49" s="4125"/>
      <c r="AK49" s="4178">
        <f t="shared" si="10"/>
        <v>0</v>
      </c>
      <c r="AL49" s="4129"/>
      <c r="AM49" s="4129">
        <v>0</v>
      </c>
      <c r="AN49" s="4176">
        <v>0</v>
      </c>
      <c r="AO49" s="4178">
        <f t="shared" si="11"/>
        <v>0</v>
      </c>
      <c r="AP49" s="4177">
        <f t="shared" si="12"/>
        <v>0</v>
      </c>
      <c r="AQ49" s="4138">
        <f t="shared" si="13"/>
        <v>0</v>
      </c>
      <c r="AR49" s="4128">
        <f t="shared" si="14"/>
        <v>2405.6099999999997</v>
      </c>
      <c r="AS49" s="4175"/>
      <c r="AT49" s="4131"/>
      <c r="AU49" s="4137">
        <f t="shared" si="15"/>
        <v>0</v>
      </c>
      <c r="AV49" s="4136"/>
      <c r="AW49" s="4135">
        <f t="shared" si="16"/>
        <v>0</v>
      </c>
      <c r="AX49" s="4134"/>
      <c r="AY49" s="4134">
        <f t="shared" si="17"/>
        <v>0</v>
      </c>
      <c r="AZ49" s="4134"/>
      <c r="BA49" s="4135">
        <f t="shared" si="18"/>
        <v>0</v>
      </c>
      <c r="BB49" s="4133"/>
      <c r="BC49" s="4133">
        <f t="shared" si="19"/>
        <v>0</v>
      </c>
      <c r="BD49" s="4134"/>
      <c r="BE49" s="4135">
        <f t="shared" si="20"/>
        <v>0</v>
      </c>
      <c r="BF49" s="4132"/>
      <c r="BG49" s="4132">
        <f t="shared" si="21"/>
        <v>0</v>
      </c>
      <c r="BH49" s="4134"/>
      <c r="BI49" s="4135">
        <f t="shared" si="22"/>
        <v>0</v>
      </c>
      <c r="BJ49" s="4132"/>
      <c r="BK49" s="4132">
        <f t="shared" si="23"/>
        <v>0</v>
      </c>
      <c r="BL49" s="4134"/>
      <c r="BM49" s="4135">
        <f t="shared" si="24"/>
        <v>0</v>
      </c>
      <c r="BN49" s="4134"/>
      <c r="BO49" s="4133">
        <f t="shared" si="25"/>
        <v>0</v>
      </c>
      <c r="BP49" s="4134"/>
      <c r="BQ49" s="4157">
        <f t="shared" si="26"/>
        <v>0</v>
      </c>
      <c r="BR49" s="4134"/>
      <c r="BS49" s="4135">
        <f t="shared" si="27"/>
        <v>0</v>
      </c>
      <c r="BT49" s="4134"/>
      <c r="BU49" s="4134">
        <f t="shared" si="28"/>
        <v>0</v>
      </c>
      <c r="BV49" s="4134"/>
      <c r="BW49" s="4135">
        <f t="shared" si="29"/>
        <v>0</v>
      </c>
      <c r="BX49" s="4134"/>
      <c r="BY49" s="4134">
        <f t="shared" si="30"/>
        <v>0</v>
      </c>
      <c r="BZ49" s="4134"/>
      <c r="CA49" s="4135">
        <f t="shared" si="31"/>
        <v>0</v>
      </c>
      <c r="CB49" s="4134"/>
      <c r="CC49" s="4133">
        <f t="shared" si="32"/>
        <v>0</v>
      </c>
      <c r="CD49" s="4134"/>
      <c r="CE49" s="4134">
        <f t="shared" si="33"/>
        <v>0</v>
      </c>
      <c r="CF49" s="4134"/>
      <c r="CG49" s="4135">
        <f t="shared" si="34"/>
        <v>0</v>
      </c>
      <c r="CH49" s="4134"/>
      <c r="CI49" s="4134">
        <f t="shared" si="35"/>
        <v>0</v>
      </c>
      <c r="CJ49" s="4134"/>
      <c r="CK49" s="4135">
        <f t="shared" si="36"/>
        <v>1828.61</v>
      </c>
      <c r="CL49" s="4134"/>
      <c r="CM49" s="4134">
        <f t="shared" si="37"/>
        <v>1828.61</v>
      </c>
      <c r="CN49" s="4134"/>
      <c r="CO49" s="4135">
        <f t="shared" si="38"/>
        <v>577</v>
      </c>
      <c r="CP49" s="4134"/>
      <c r="CQ49" s="4133">
        <f t="shared" si="39"/>
        <v>2405.6099999999997</v>
      </c>
      <c r="CR49" s="4134"/>
      <c r="CS49" s="4157">
        <f t="shared" si="40"/>
        <v>2405.6099999999997</v>
      </c>
      <c r="CT49" s="4132"/>
      <c r="CU49" s="4160">
        <f t="shared" si="41"/>
        <v>2405.6099999999997</v>
      </c>
      <c r="CV49" s="4159"/>
      <c r="CW49" s="4168"/>
    </row>
    <row r="50" spans="1:101" s="4167" customFormat="1" x14ac:dyDescent="0.25">
      <c r="A50" s="4151"/>
      <c r="B50" s="4151"/>
      <c r="C50" s="4151"/>
      <c r="D50" s="4151"/>
      <c r="E50" s="5052" t="s">
        <v>1425</v>
      </c>
      <c r="F50" s="4171">
        <v>0</v>
      </c>
      <c r="G50" s="4129"/>
      <c r="H50" s="4129"/>
      <c r="I50" s="4178">
        <f>SUM(F50:H50)</f>
        <v>0</v>
      </c>
      <c r="J50" s="4129"/>
      <c r="K50" s="4129"/>
      <c r="L50" s="4129"/>
      <c r="M50" s="4178">
        <f>SUM(J50:L50)</f>
        <v>0</v>
      </c>
      <c r="N50" s="4177">
        <f>+I50+M50</f>
        <v>0</v>
      </c>
      <c r="O50" s="4125"/>
      <c r="P50" s="4125"/>
      <c r="Q50" s="4129"/>
      <c r="R50" s="4178">
        <f>SUM(O50:Q50)</f>
        <v>0</v>
      </c>
      <c r="S50" s="4129"/>
      <c r="T50" s="4129"/>
      <c r="U50" s="4176"/>
      <c r="V50" s="4178">
        <f>SUM(S50:U50)</f>
        <v>0</v>
      </c>
      <c r="W50" s="4177">
        <f>+R50+V50</f>
        <v>0</v>
      </c>
      <c r="X50" s="4141">
        <f>+F50+G50+H50+J50+K50+L50+O50+P50+Q50+S50+T50+U50</f>
        <v>0</v>
      </c>
      <c r="Y50" s="4140">
        <v>101</v>
      </c>
      <c r="Z50" s="4129"/>
      <c r="AA50" s="4129"/>
      <c r="AB50" s="4178">
        <f>+Y50+Z50+AA50</f>
        <v>101</v>
      </c>
      <c r="AC50" s="4129"/>
      <c r="AD50" s="4129"/>
      <c r="AE50" s="4129"/>
      <c r="AF50" s="4139">
        <f>SUM(AC50:AE50)</f>
        <v>0</v>
      </c>
      <c r="AG50" s="4177">
        <f>+AB50+AF50</f>
        <v>101</v>
      </c>
      <c r="AH50" s="4125"/>
      <c r="AI50" s="4125"/>
      <c r="AJ50" s="4125"/>
      <c r="AK50" s="4178">
        <f>SUM(AH50:AJ50)</f>
        <v>0</v>
      </c>
      <c r="AL50" s="4129"/>
      <c r="AM50" s="4129"/>
      <c r="AN50" s="4176"/>
      <c r="AO50" s="4178">
        <f>+AL50+AM50+AN50</f>
        <v>0</v>
      </c>
      <c r="AP50" s="4177">
        <f>+AK50+AO50</f>
        <v>0</v>
      </c>
      <c r="AQ50" s="4138">
        <f>SUM(Y50:AA50,AC50:AE50,AH50:AJ50,AL50:AN50)</f>
        <v>101</v>
      </c>
      <c r="AR50" s="4128">
        <f>+X50+AQ50</f>
        <v>101</v>
      </c>
      <c r="AS50" s="4175"/>
      <c r="AT50" s="4131"/>
      <c r="AU50" s="4137">
        <f>+F50+Y50</f>
        <v>101</v>
      </c>
      <c r="AV50" s="4136"/>
      <c r="AW50" s="4135">
        <f>+G50+Z50</f>
        <v>0</v>
      </c>
      <c r="AX50" s="4134"/>
      <c r="AY50" s="4134">
        <f>AU50+AW50</f>
        <v>101</v>
      </c>
      <c r="AZ50" s="4134"/>
      <c r="BA50" s="4135">
        <f>+H50+AA50</f>
        <v>0</v>
      </c>
      <c r="BB50" s="4133"/>
      <c r="BC50" s="4133">
        <f>AU50+AW50+BA50</f>
        <v>101</v>
      </c>
      <c r="BD50" s="4134"/>
      <c r="BE50" s="4135">
        <f>+J50+AC50</f>
        <v>0</v>
      </c>
      <c r="BF50" s="4132"/>
      <c r="BG50" s="4132">
        <f>+BC50+BE50</f>
        <v>101</v>
      </c>
      <c r="BH50" s="4134"/>
      <c r="BI50" s="4135">
        <f>K50+AD50</f>
        <v>0</v>
      </c>
      <c r="BJ50" s="4132"/>
      <c r="BK50" s="4132">
        <f>+BG50+BI50</f>
        <v>101</v>
      </c>
      <c r="BL50" s="4134"/>
      <c r="BM50" s="4135">
        <f>+L50+AE50</f>
        <v>0</v>
      </c>
      <c r="BN50" s="4134"/>
      <c r="BO50" s="4133">
        <f>BE50+BI50+BM50</f>
        <v>0</v>
      </c>
      <c r="BP50" s="4134"/>
      <c r="BQ50" s="4157">
        <f>BC50+BO50</f>
        <v>101</v>
      </c>
      <c r="BR50" s="4134"/>
      <c r="BS50" s="4135">
        <f>+O50+AH50</f>
        <v>0</v>
      </c>
      <c r="BT50" s="4134"/>
      <c r="BU50" s="4134">
        <f>BQ50+BS50</f>
        <v>101</v>
      </c>
      <c r="BV50" s="4134"/>
      <c r="BW50" s="4135">
        <f>+P50+AI50</f>
        <v>0</v>
      </c>
      <c r="BX50" s="4134"/>
      <c r="BY50" s="4134">
        <f>BU50+BW50</f>
        <v>101</v>
      </c>
      <c r="BZ50" s="4134"/>
      <c r="CA50" s="4135">
        <f>+Q50+AJ50</f>
        <v>0</v>
      </c>
      <c r="CB50" s="4134"/>
      <c r="CC50" s="4133">
        <f>BS50+BW50+CA50</f>
        <v>0</v>
      </c>
      <c r="CD50" s="4134"/>
      <c r="CE50" s="4134">
        <f>BY50+CA50</f>
        <v>101</v>
      </c>
      <c r="CF50" s="4134"/>
      <c r="CG50" s="4135">
        <f>+S50+AL50</f>
        <v>0</v>
      </c>
      <c r="CH50" s="4134"/>
      <c r="CI50" s="4134">
        <f>CG50+CE50</f>
        <v>101</v>
      </c>
      <c r="CJ50" s="4134"/>
      <c r="CK50" s="4135">
        <f>+T50+AM50</f>
        <v>0</v>
      </c>
      <c r="CL50" s="4134"/>
      <c r="CM50" s="4134">
        <f>CI50+CK50</f>
        <v>101</v>
      </c>
      <c r="CN50" s="4134"/>
      <c r="CO50" s="4135">
        <f>+U50+AN50</f>
        <v>0</v>
      </c>
      <c r="CP50" s="4134"/>
      <c r="CQ50" s="4133">
        <f>CG50+CK50+CO50</f>
        <v>0</v>
      </c>
      <c r="CR50" s="4134"/>
      <c r="CS50" s="4157">
        <f>CC50+CQ50</f>
        <v>0</v>
      </c>
      <c r="CT50" s="4132"/>
      <c r="CU50" s="4160">
        <f>SUM(AU50,AW50,BA50,BE50,BI50,BM50,BS50,BW50,CA50,CG50,CK50,CO50)</f>
        <v>101</v>
      </c>
      <c r="CV50" s="4159"/>
      <c r="CW50" s="5055"/>
    </row>
    <row r="51" spans="1:101" x14ac:dyDescent="0.25">
      <c r="A51" s="4191"/>
      <c r="B51" s="4191"/>
      <c r="C51" s="4191"/>
      <c r="D51" s="4191"/>
      <c r="E51" s="5053" t="s">
        <v>2146</v>
      </c>
      <c r="F51" s="4171"/>
      <c r="G51" s="4129"/>
      <c r="H51" s="4129"/>
      <c r="I51" s="4178">
        <f t="shared" si="0"/>
        <v>0</v>
      </c>
      <c r="J51" s="4129"/>
      <c r="K51" s="4129"/>
      <c r="L51" s="4129"/>
      <c r="M51" s="4178">
        <f t="shared" si="1"/>
        <v>0</v>
      </c>
      <c r="N51" s="4177">
        <f t="shared" si="2"/>
        <v>0</v>
      </c>
      <c r="O51" s="4125">
        <v>710.30399999999997</v>
      </c>
      <c r="P51" s="4125"/>
      <c r="Q51" s="4129"/>
      <c r="R51" s="4178">
        <f t="shared" si="3"/>
        <v>710.30399999999997</v>
      </c>
      <c r="S51" s="4129"/>
      <c r="T51" s="4129"/>
      <c r="U51" s="4176"/>
      <c r="V51" s="4178">
        <f t="shared" si="4"/>
        <v>0</v>
      </c>
      <c r="W51" s="4177">
        <f t="shared" si="5"/>
        <v>710.30399999999997</v>
      </c>
      <c r="X51" s="4141">
        <f t="shared" si="6"/>
        <v>710.30399999999997</v>
      </c>
      <c r="Y51" s="4140"/>
      <c r="Z51" s="4129"/>
      <c r="AA51" s="4129"/>
      <c r="AB51" s="4178">
        <f t="shared" si="7"/>
        <v>0</v>
      </c>
      <c r="AC51" s="4129"/>
      <c r="AD51" s="4129"/>
      <c r="AE51" s="4129"/>
      <c r="AF51" s="4139">
        <f t="shared" si="8"/>
        <v>0</v>
      </c>
      <c r="AG51" s="4177">
        <f t="shared" si="9"/>
        <v>0</v>
      </c>
      <c r="AH51" s="4125">
        <v>0</v>
      </c>
      <c r="AI51" s="4125"/>
      <c r="AJ51" s="4125"/>
      <c r="AK51" s="4178">
        <f t="shared" si="10"/>
        <v>0</v>
      </c>
      <c r="AL51" s="4129"/>
      <c r="AM51" s="4129"/>
      <c r="AN51" s="4176"/>
      <c r="AO51" s="4178">
        <f t="shared" si="11"/>
        <v>0</v>
      </c>
      <c r="AP51" s="4177">
        <f t="shared" si="12"/>
        <v>0</v>
      </c>
      <c r="AQ51" s="4138">
        <f t="shared" si="13"/>
        <v>0</v>
      </c>
      <c r="AR51" s="4128">
        <f t="shared" si="14"/>
        <v>710.30399999999997</v>
      </c>
      <c r="AS51" s="4175"/>
      <c r="AT51" s="4131"/>
      <c r="AU51" s="4137">
        <f t="shared" si="15"/>
        <v>0</v>
      </c>
      <c r="AV51" s="4136"/>
      <c r="AW51" s="4135">
        <f t="shared" si="16"/>
        <v>0</v>
      </c>
      <c r="AX51" s="4134"/>
      <c r="AY51" s="4134">
        <f t="shared" si="17"/>
        <v>0</v>
      </c>
      <c r="AZ51" s="4134"/>
      <c r="BA51" s="4135">
        <f t="shared" si="18"/>
        <v>0</v>
      </c>
      <c r="BB51" s="4133"/>
      <c r="BC51" s="4133">
        <f t="shared" si="19"/>
        <v>0</v>
      </c>
      <c r="BD51" s="4134"/>
      <c r="BE51" s="4135">
        <f t="shared" si="20"/>
        <v>0</v>
      </c>
      <c r="BF51" s="4132"/>
      <c r="BG51" s="4132">
        <f t="shared" si="21"/>
        <v>0</v>
      </c>
      <c r="BH51" s="4134"/>
      <c r="BI51" s="4135">
        <f t="shared" si="22"/>
        <v>0</v>
      </c>
      <c r="BJ51" s="4132"/>
      <c r="BK51" s="4132">
        <f t="shared" si="23"/>
        <v>0</v>
      </c>
      <c r="BL51" s="4134"/>
      <c r="BM51" s="4135">
        <f t="shared" si="24"/>
        <v>0</v>
      </c>
      <c r="BN51" s="4134"/>
      <c r="BO51" s="4133">
        <f t="shared" si="25"/>
        <v>0</v>
      </c>
      <c r="BP51" s="4134"/>
      <c r="BQ51" s="4157">
        <f t="shared" si="26"/>
        <v>0</v>
      </c>
      <c r="BR51" s="4134"/>
      <c r="BS51" s="4135">
        <f t="shared" si="27"/>
        <v>710.30399999999997</v>
      </c>
      <c r="BT51" s="4134"/>
      <c r="BU51" s="4134">
        <f t="shared" si="28"/>
        <v>710.30399999999997</v>
      </c>
      <c r="BV51" s="4134"/>
      <c r="BW51" s="4135">
        <f t="shared" si="29"/>
        <v>0</v>
      </c>
      <c r="BX51" s="4134"/>
      <c r="BY51" s="4134">
        <f t="shared" si="30"/>
        <v>710.30399999999997</v>
      </c>
      <c r="BZ51" s="4134"/>
      <c r="CA51" s="4135">
        <f t="shared" si="31"/>
        <v>0</v>
      </c>
      <c r="CB51" s="4134"/>
      <c r="CC51" s="4133">
        <f t="shared" si="32"/>
        <v>710.30399999999997</v>
      </c>
      <c r="CD51" s="4134"/>
      <c r="CE51" s="4134">
        <f t="shared" si="33"/>
        <v>710.30399999999997</v>
      </c>
      <c r="CF51" s="4134"/>
      <c r="CG51" s="4135">
        <f t="shared" si="34"/>
        <v>0</v>
      </c>
      <c r="CH51" s="4134"/>
      <c r="CI51" s="4134">
        <f t="shared" si="35"/>
        <v>710.30399999999997</v>
      </c>
      <c r="CJ51" s="4134"/>
      <c r="CK51" s="4135">
        <f t="shared" si="36"/>
        <v>0</v>
      </c>
      <c r="CL51" s="4134"/>
      <c r="CM51" s="4134">
        <f t="shared" si="37"/>
        <v>710.30399999999997</v>
      </c>
      <c r="CN51" s="4134"/>
      <c r="CO51" s="4135">
        <f t="shared" si="38"/>
        <v>0</v>
      </c>
      <c r="CP51" s="4134"/>
      <c r="CQ51" s="4133">
        <f t="shared" si="39"/>
        <v>0</v>
      </c>
      <c r="CR51" s="4134"/>
      <c r="CS51" s="4157">
        <f t="shared" si="40"/>
        <v>710.30399999999997</v>
      </c>
      <c r="CT51" s="4132"/>
      <c r="CU51" s="4160">
        <f t="shared" si="41"/>
        <v>710.30399999999997</v>
      </c>
      <c r="CV51" s="4159"/>
      <c r="CW51" s="4168"/>
    </row>
    <row r="52" spans="1:101" s="4167" customFormat="1" x14ac:dyDescent="0.25">
      <c r="A52" s="4151"/>
      <c r="B52" s="4151"/>
      <c r="C52" s="4151"/>
      <c r="D52" s="4151"/>
      <c r="E52" s="5053" t="s">
        <v>1409</v>
      </c>
      <c r="F52" s="4171">
        <v>8109</v>
      </c>
      <c r="G52" s="4129">
        <v>2549</v>
      </c>
      <c r="H52" s="4129">
        <v>3623</v>
      </c>
      <c r="I52" s="4178">
        <f>SUM(F52:H52)</f>
        <v>14281</v>
      </c>
      <c r="J52" s="4129">
        <v>6369</v>
      </c>
      <c r="K52" s="4129">
        <v>2725</v>
      </c>
      <c r="L52" s="4129">
        <v>3101.2379999999998</v>
      </c>
      <c r="M52" s="4178">
        <f>SUM(J52:L52)</f>
        <v>12195.237999999999</v>
      </c>
      <c r="N52" s="4177">
        <f>+I52+M52</f>
        <v>26476.237999999998</v>
      </c>
      <c r="O52" s="4125"/>
      <c r="P52" s="4125"/>
      <c r="Q52" s="4129"/>
      <c r="R52" s="4178">
        <f>SUM(O52:Q52)</f>
        <v>0</v>
      </c>
      <c r="S52" s="4129"/>
      <c r="T52" s="4129"/>
      <c r="U52" s="4176"/>
      <c r="V52" s="4178">
        <f>SUM(S52:U52)</f>
        <v>0</v>
      </c>
      <c r="W52" s="4177">
        <f>+R52+V52</f>
        <v>0</v>
      </c>
      <c r="X52" s="4141">
        <f>+F52+G52+H52+J52+K52+L52+O52+P52+Q52+S52+T52+U52</f>
        <v>26476.238000000001</v>
      </c>
      <c r="Y52" s="4140">
        <v>161</v>
      </c>
      <c r="Z52" s="4129">
        <v>169</v>
      </c>
      <c r="AA52" s="4129">
        <v>135</v>
      </c>
      <c r="AB52" s="4178">
        <f>+Y52+Z52+AA52</f>
        <v>465</v>
      </c>
      <c r="AC52" s="4129">
        <v>137</v>
      </c>
      <c r="AD52" s="4129">
        <v>5175</v>
      </c>
      <c r="AE52" s="4129">
        <v>262.13600000000002</v>
      </c>
      <c r="AF52" s="4139">
        <f>SUM(AC52:AE52)</f>
        <v>5574.1360000000004</v>
      </c>
      <c r="AG52" s="4177">
        <f>+AB52+AF52</f>
        <v>6039.1360000000004</v>
      </c>
      <c r="AH52" s="4125"/>
      <c r="AI52" s="4125"/>
      <c r="AJ52" s="4125"/>
      <c r="AK52" s="4178">
        <f>SUM(AH52:AJ52)</f>
        <v>0</v>
      </c>
      <c r="AL52" s="4129"/>
      <c r="AM52" s="4129"/>
      <c r="AN52" s="4176"/>
      <c r="AO52" s="4178">
        <f>+AL52+AM52+AN52</f>
        <v>0</v>
      </c>
      <c r="AP52" s="4177">
        <f>+AK52+AO52</f>
        <v>0</v>
      </c>
      <c r="AQ52" s="4138">
        <f>SUM(Y52:AA52,AC52:AE52,AH52:AJ52,AL52:AN52)</f>
        <v>6039.1360000000004</v>
      </c>
      <c r="AR52" s="4128">
        <f>+X52+AQ52</f>
        <v>32515.374000000003</v>
      </c>
      <c r="AS52" s="4175"/>
      <c r="AT52" s="4131"/>
      <c r="AU52" s="4137">
        <f>+F52+Y52</f>
        <v>8270</v>
      </c>
      <c r="AV52" s="4136"/>
      <c r="AW52" s="4135">
        <f>+G52+Z52</f>
        <v>2718</v>
      </c>
      <c r="AX52" s="4134"/>
      <c r="AY52" s="4134">
        <f>AU52+AW52</f>
        <v>10988</v>
      </c>
      <c r="AZ52" s="4134"/>
      <c r="BA52" s="4135">
        <f>+H52+AA52</f>
        <v>3758</v>
      </c>
      <c r="BB52" s="4133"/>
      <c r="BC52" s="4133">
        <f>AU52+AW52+BA52</f>
        <v>14746</v>
      </c>
      <c r="BD52" s="4134"/>
      <c r="BE52" s="4135">
        <f>+J52+AC52</f>
        <v>6506</v>
      </c>
      <c r="BF52" s="4132"/>
      <c r="BG52" s="4132">
        <f>+BC52+BE52</f>
        <v>21252</v>
      </c>
      <c r="BH52" s="4134"/>
      <c r="BI52" s="4135">
        <f>K52+AD52</f>
        <v>7900</v>
      </c>
      <c r="BJ52" s="4132"/>
      <c r="BK52" s="4132">
        <f>+BG52+BI52</f>
        <v>29152</v>
      </c>
      <c r="BL52" s="4134"/>
      <c r="BM52" s="4135">
        <f>+L52+AE52</f>
        <v>3363.3739999999998</v>
      </c>
      <c r="BN52" s="4134"/>
      <c r="BO52" s="4133">
        <f>BE52+BI52+BM52</f>
        <v>17769.374</v>
      </c>
      <c r="BP52" s="4134"/>
      <c r="BQ52" s="4157">
        <f>BC52+BO52</f>
        <v>32515.374</v>
      </c>
      <c r="BR52" s="4134"/>
      <c r="BS52" s="4135">
        <f>+O52+AH52</f>
        <v>0</v>
      </c>
      <c r="BT52" s="4134"/>
      <c r="BU52" s="4134">
        <f>BQ52+BS52</f>
        <v>32515.374</v>
      </c>
      <c r="BV52" s="4134"/>
      <c r="BW52" s="4135">
        <f>+P52+AI52</f>
        <v>0</v>
      </c>
      <c r="BX52" s="4134"/>
      <c r="BY52" s="4134">
        <f>BU52+BW52</f>
        <v>32515.374</v>
      </c>
      <c r="BZ52" s="4134"/>
      <c r="CA52" s="4135">
        <f>+Q52+AJ52</f>
        <v>0</v>
      </c>
      <c r="CB52" s="4134"/>
      <c r="CC52" s="4133">
        <f>BS52+BW52+CA52</f>
        <v>0</v>
      </c>
      <c r="CD52" s="4134"/>
      <c r="CE52" s="4134">
        <f>BY52+CA52</f>
        <v>32515.374</v>
      </c>
      <c r="CF52" s="4134"/>
      <c r="CG52" s="4135">
        <f>+S52+AL52</f>
        <v>0</v>
      </c>
      <c r="CH52" s="4134"/>
      <c r="CI52" s="4134">
        <f>CG52+CE52</f>
        <v>32515.374</v>
      </c>
      <c r="CJ52" s="4134"/>
      <c r="CK52" s="4135">
        <f>+T52+AM52</f>
        <v>0</v>
      </c>
      <c r="CL52" s="4134"/>
      <c r="CM52" s="4134">
        <f>CI52+CK52</f>
        <v>32515.374</v>
      </c>
      <c r="CN52" s="4134"/>
      <c r="CO52" s="4135">
        <f>+U52+AN52</f>
        <v>0</v>
      </c>
      <c r="CP52" s="4134"/>
      <c r="CQ52" s="4133">
        <f>CG52+CK52+CO52</f>
        <v>0</v>
      </c>
      <c r="CR52" s="4134"/>
      <c r="CS52" s="4157">
        <f>CC52+CQ52</f>
        <v>0</v>
      </c>
      <c r="CT52" s="4132"/>
      <c r="CU52" s="4160">
        <f>SUM(AU52,AW52,BA52,BE52,BI52,BM52,BS52,BW52,CA52,CG52,CK52,CO52)</f>
        <v>32515.374</v>
      </c>
      <c r="CV52" s="4159"/>
      <c r="CW52" s="5055"/>
    </row>
    <row r="53" spans="1:101" x14ac:dyDescent="0.25">
      <c r="A53" s="4191"/>
      <c r="B53" s="4191"/>
      <c r="C53" s="4191"/>
      <c r="D53" s="4191"/>
      <c r="E53" s="5043" t="s">
        <v>2147</v>
      </c>
      <c r="F53" s="4171"/>
      <c r="G53" s="4129"/>
      <c r="H53" s="4129"/>
      <c r="I53" s="4178">
        <f t="shared" si="0"/>
        <v>0</v>
      </c>
      <c r="J53" s="4129"/>
      <c r="K53" s="4129"/>
      <c r="L53" s="4129"/>
      <c r="M53" s="4178">
        <f t="shared" si="1"/>
        <v>0</v>
      </c>
      <c r="N53" s="4177">
        <f t="shared" si="2"/>
        <v>0</v>
      </c>
      <c r="O53" s="4125"/>
      <c r="P53" s="4125"/>
      <c r="Q53" s="4129">
        <v>110</v>
      </c>
      <c r="R53" s="4178">
        <f t="shared" si="3"/>
        <v>110</v>
      </c>
      <c r="S53" s="4129"/>
      <c r="T53" s="4129"/>
      <c r="U53" s="4176"/>
      <c r="V53" s="4178">
        <f t="shared" si="4"/>
        <v>0</v>
      </c>
      <c r="W53" s="4177">
        <f t="shared" si="5"/>
        <v>110</v>
      </c>
      <c r="X53" s="4141">
        <f t="shared" si="6"/>
        <v>110</v>
      </c>
      <c r="Y53" s="4140"/>
      <c r="Z53" s="4129"/>
      <c r="AA53" s="4129"/>
      <c r="AB53" s="4178">
        <f t="shared" si="7"/>
        <v>0</v>
      </c>
      <c r="AC53" s="4129"/>
      <c r="AD53" s="4129"/>
      <c r="AE53" s="4129"/>
      <c r="AF53" s="4139">
        <f t="shared" si="8"/>
        <v>0</v>
      </c>
      <c r="AG53" s="4177">
        <f t="shared" si="9"/>
        <v>0</v>
      </c>
      <c r="AH53" s="4125"/>
      <c r="AI53" s="4125"/>
      <c r="AJ53" s="4125">
        <v>0</v>
      </c>
      <c r="AK53" s="4178">
        <f t="shared" si="10"/>
        <v>0</v>
      </c>
      <c r="AL53" s="4129"/>
      <c r="AM53" s="4129"/>
      <c r="AN53" s="4176"/>
      <c r="AO53" s="4178">
        <f t="shared" si="11"/>
        <v>0</v>
      </c>
      <c r="AP53" s="4177">
        <f t="shared" si="12"/>
        <v>0</v>
      </c>
      <c r="AQ53" s="4138">
        <f t="shared" si="13"/>
        <v>0</v>
      </c>
      <c r="AR53" s="4128">
        <f t="shared" si="14"/>
        <v>110</v>
      </c>
      <c r="AS53" s="4175"/>
      <c r="AT53" s="4131"/>
      <c r="AU53" s="4137">
        <f t="shared" si="15"/>
        <v>0</v>
      </c>
      <c r="AV53" s="4136"/>
      <c r="AW53" s="4135">
        <f t="shared" si="16"/>
        <v>0</v>
      </c>
      <c r="AX53" s="4134"/>
      <c r="AY53" s="4134">
        <f t="shared" si="17"/>
        <v>0</v>
      </c>
      <c r="AZ53" s="4134"/>
      <c r="BA53" s="4135">
        <f t="shared" si="18"/>
        <v>0</v>
      </c>
      <c r="BB53" s="4133"/>
      <c r="BC53" s="4133">
        <f t="shared" si="19"/>
        <v>0</v>
      </c>
      <c r="BD53" s="4134"/>
      <c r="BE53" s="4135">
        <f t="shared" si="20"/>
        <v>0</v>
      </c>
      <c r="BF53" s="4132"/>
      <c r="BG53" s="4132">
        <f t="shared" si="21"/>
        <v>0</v>
      </c>
      <c r="BH53" s="4134"/>
      <c r="BI53" s="4135">
        <f t="shared" si="22"/>
        <v>0</v>
      </c>
      <c r="BJ53" s="4132"/>
      <c r="BK53" s="4132">
        <f t="shared" si="23"/>
        <v>0</v>
      </c>
      <c r="BL53" s="4134"/>
      <c r="BM53" s="4135">
        <f t="shared" si="24"/>
        <v>0</v>
      </c>
      <c r="BN53" s="4134"/>
      <c r="BO53" s="4133">
        <f t="shared" si="25"/>
        <v>0</v>
      </c>
      <c r="BP53" s="4134"/>
      <c r="BQ53" s="4157">
        <f t="shared" si="26"/>
        <v>0</v>
      </c>
      <c r="BR53" s="4134"/>
      <c r="BS53" s="4135">
        <f t="shared" si="27"/>
        <v>0</v>
      </c>
      <c r="BT53" s="4134"/>
      <c r="BU53" s="4134">
        <f t="shared" si="28"/>
        <v>0</v>
      </c>
      <c r="BV53" s="4134"/>
      <c r="BW53" s="4135">
        <f t="shared" si="29"/>
        <v>0</v>
      </c>
      <c r="BX53" s="4134"/>
      <c r="BY53" s="4134">
        <f t="shared" si="30"/>
        <v>0</v>
      </c>
      <c r="BZ53" s="4134"/>
      <c r="CA53" s="4135">
        <f t="shared" si="31"/>
        <v>110</v>
      </c>
      <c r="CB53" s="4134"/>
      <c r="CC53" s="4133">
        <f t="shared" si="32"/>
        <v>110</v>
      </c>
      <c r="CD53" s="4134"/>
      <c r="CE53" s="4134">
        <f t="shared" si="33"/>
        <v>110</v>
      </c>
      <c r="CF53" s="4134"/>
      <c r="CG53" s="4135">
        <f t="shared" si="34"/>
        <v>0</v>
      </c>
      <c r="CH53" s="4134"/>
      <c r="CI53" s="4134">
        <f t="shared" si="35"/>
        <v>110</v>
      </c>
      <c r="CJ53" s="4134"/>
      <c r="CK53" s="4135">
        <f t="shared" si="36"/>
        <v>0</v>
      </c>
      <c r="CL53" s="4134"/>
      <c r="CM53" s="4134">
        <f t="shared" si="37"/>
        <v>110</v>
      </c>
      <c r="CN53" s="4134"/>
      <c r="CO53" s="4135">
        <f t="shared" si="38"/>
        <v>0</v>
      </c>
      <c r="CP53" s="4134"/>
      <c r="CQ53" s="4133">
        <f t="shared" si="39"/>
        <v>0</v>
      </c>
      <c r="CR53" s="4134"/>
      <c r="CS53" s="4157">
        <f t="shared" si="40"/>
        <v>110</v>
      </c>
      <c r="CT53" s="4132"/>
      <c r="CU53" s="4160">
        <f t="shared" si="41"/>
        <v>110</v>
      </c>
      <c r="CV53" s="4159"/>
      <c r="CW53" s="4168"/>
    </row>
    <row r="54" spans="1:101" x14ac:dyDescent="0.25">
      <c r="A54" s="4191"/>
      <c r="B54" s="4191"/>
      <c r="C54" s="4191"/>
      <c r="D54" s="4191"/>
      <c r="E54" s="5043" t="s">
        <v>1925</v>
      </c>
      <c r="F54" s="4171"/>
      <c r="G54" s="4129"/>
      <c r="H54" s="4129"/>
      <c r="I54" s="4178">
        <f>SUM(F54:H54)</f>
        <v>0</v>
      </c>
      <c r="J54" s="4129"/>
      <c r="K54" s="4129">
        <v>1442</v>
      </c>
      <c r="L54" s="4129">
        <v>150.09399999999999</v>
      </c>
      <c r="M54" s="4178">
        <f>SUM(J54:L54)</f>
        <v>1592.0940000000001</v>
      </c>
      <c r="N54" s="4177">
        <f>+I54+M54</f>
        <v>1592.0940000000001</v>
      </c>
      <c r="O54" s="4125"/>
      <c r="P54" s="4125"/>
      <c r="Q54" s="4129"/>
      <c r="R54" s="4178">
        <f>SUM(O54:Q54)</f>
        <v>0</v>
      </c>
      <c r="S54" s="4129"/>
      <c r="T54" s="4129"/>
      <c r="U54" s="4176"/>
      <c r="V54" s="4178">
        <f>SUM(S54:U54)</f>
        <v>0</v>
      </c>
      <c r="W54" s="4177">
        <f>+R54+V54</f>
        <v>0</v>
      </c>
      <c r="X54" s="4141">
        <f>+F54+G54+H54+J54+K54+L54+O54+P54+Q54+S54+T54+U54</f>
        <v>1592.0940000000001</v>
      </c>
      <c r="Y54" s="4140"/>
      <c r="Z54" s="4129"/>
      <c r="AA54" s="4129"/>
      <c r="AB54" s="4178">
        <f>+Y54+Z54+AA54</f>
        <v>0</v>
      </c>
      <c r="AC54" s="4129"/>
      <c r="AD54" s="4129">
        <v>0</v>
      </c>
      <c r="AE54" s="4129">
        <v>0</v>
      </c>
      <c r="AF54" s="4139">
        <f>SUM(AC54:AE54)</f>
        <v>0</v>
      </c>
      <c r="AG54" s="4177">
        <f>+AB54+AF54</f>
        <v>0</v>
      </c>
      <c r="AH54" s="4125"/>
      <c r="AI54" s="4125"/>
      <c r="AJ54" s="4125"/>
      <c r="AK54" s="4178">
        <f>SUM(AH54:AJ54)</f>
        <v>0</v>
      </c>
      <c r="AL54" s="4129"/>
      <c r="AM54" s="4129"/>
      <c r="AN54" s="4176"/>
      <c r="AO54" s="4178">
        <f>+AL54+AM54+AN54</f>
        <v>0</v>
      </c>
      <c r="AP54" s="4177">
        <f>+AK54+AO54</f>
        <v>0</v>
      </c>
      <c r="AQ54" s="4138">
        <f>SUM(Y54:AA54,AC54:AE54,AH54:AJ54,AL54:AN54)</f>
        <v>0</v>
      </c>
      <c r="AR54" s="4128">
        <f>+X54+AQ54</f>
        <v>1592.0940000000001</v>
      </c>
      <c r="AS54" s="4175"/>
      <c r="AT54" s="4131"/>
      <c r="AU54" s="4137">
        <f>+F54+Y54</f>
        <v>0</v>
      </c>
      <c r="AV54" s="4136"/>
      <c r="AW54" s="4135">
        <f>+G54+Z54</f>
        <v>0</v>
      </c>
      <c r="AX54" s="4134"/>
      <c r="AY54" s="4134">
        <f>AU54+AW54</f>
        <v>0</v>
      </c>
      <c r="AZ54" s="4134"/>
      <c r="BA54" s="4135">
        <f>+H54+AA54</f>
        <v>0</v>
      </c>
      <c r="BB54" s="4133"/>
      <c r="BC54" s="4133">
        <f>AU54+AW54+BA54</f>
        <v>0</v>
      </c>
      <c r="BD54" s="4134"/>
      <c r="BE54" s="4135">
        <f>+J54+AC54</f>
        <v>0</v>
      </c>
      <c r="BF54" s="4132"/>
      <c r="BG54" s="4132">
        <f>+BC54+BE54</f>
        <v>0</v>
      </c>
      <c r="BH54" s="4134"/>
      <c r="BI54" s="4135">
        <f>K54+AD54</f>
        <v>1442</v>
      </c>
      <c r="BJ54" s="4132"/>
      <c r="BK54" s="4132">
        <f>+BG54+BI54</f>
        <v>1442</v>
      </c>
      <c r="BL54" s="4134"/>
      <c r="BM54" s="4135">
        <f>+L54+AE54</f>
        <v>150.09399999999999</v>
      </c>
      <c r="BN54" s="4134"/>
      <c r="BO54" s="4133">
        <f>BE54+BI54+BM54</f>
        <v>1592.0940000000001</v>
      </c>
      <c r="BP54" s="4134"/>
      <c r="BQ54" s="4157">
        <f>BC54+BO54</f>
        <v>1592.0940000000001</v>
      </c>
      <c r="BR54" s="4134"/>
      <c r="BS54" s="4135">
        <f>+O54+AH54</f>
        <v>0</v>
      </c>
      <c r="BT54" s="4134"/>
      <c r="BU54" s="4134">
        <f>BQ54+BS54</f>
        <v>1592.0940000000001</v>
      </c>
      <c r="BV54" s="4134"/>
      <c r="BW54" s="4135">
        <f>+P54+AI54</f>
        <v>0</v>
      </c>
      <c r="BX54" s="4134"/>
      <c r="BY54" s="4134">
        <f>BU54+BW54</f>
        <v>1592.0940000000001</v>
      </c>
      <c r="BZ54" s="4134"/>
      <c r="CA54" s="4135">
        <f>+Q54+AJ54</f>
        <v>0</v>
      </c>
      <c r="CB54" s="4134"/>
      <c r="CC54" s="4133">
        <f>BS54+BW54+CA54</f>
        <v>0</v>
      </c>
      <c r="CD54" s="4134"/>
      <c r="CE54" s="4134">
        <f>BY54+CA54</f>
        <v>1592.0940000000001</v>
      </c>
      <c r="CF54" s="4134"/>
      <c r="CG54" s="4135">
        <f>+S54+AL54</f>
        <v>0</v>
      </c>
      <c r="CH54" s="4134"/>
      <c r="CI54" s="4134">
        <f>CG54+CE54</f>
        <v>1592.0940000000001</v>
      </c>
      <c r="CJ54" s="4134"/>
      <c r="CK54" s="4135">
        <f>+T54+AM54</f>
        <v>0</v>
      </c>
      <c r="CL54" s="4134"/>
      <c r="CM54" s="4134">
        <f>CI54+CK54</f>
        <v>1592.0940000000001</v>
      </c>
      <c r="CN54" s="4134"/>
      <c r="CO54" s="4135">
        <f>+U54+AN54</f>
        <v>0</v>
      </c>
      <c r="CP54" s="4134"/>
      <c r="CQ54" s="4133">
        <f>CG54+CK54+CO54</f>
        <v>0</v>
      </c>
      <c r="CR54" s="4134"/>
      <c r="CS54" s="4157">
        <f>CC54+CQ54</f>
        <v>0</v>
      </c>
      <c r="CT54" s="4132"/>
      <c r="CU54" s="4160">
        <f>SUM(AU54,AW54,BA54,BE54,BI54,BM54,BS54,BW54,CA54,CG54,CK54,CO54)</f>
        <v>1592.0940000000001</v>
      </c>
      <c r="CV54" s="4159"/>
      <c r="CW54" s="4168"/>
    </row>
    <row r="55" spans="1:101" x14ac:dyDescent="0.25">
      <c r="A55" s="4191"/>
      <c r="B55" s="4191"/>
      <c r="C55" s="4191"/>
      <c r="D55" s="4191"/>
      <c r="E55" s="5054" t="s">
        <v>2148</v>
      </c>
      <c r="F55" s="4171"/>
      <c r="G55" s="4129"/>
      <c r="H55" s="4129"/>
      <c r="I55" s="4178">
        <f t="shared" si="0"/>
        <v>0</v>
      </c>
      <c r="J55" s="4129"/>
      <c r="K55" s="4129"/>
      <c r="L55" s="4129">
        <v>262.13600000000002</v>
      </c>
      <c r="M55" s="4178">
        <f t="shared" si="1"/>
        <v>262.13600000000002</v>
      </c>
      <c r="N55" s="4177">
        <f t="shared" si="2"/>
        <v>262.13600000000002</v>
      </c>
      <c r="O55" s="4125">
        <v>1522.08</v>
      </c>
      <c r="P55" s="4125">
        <v>105.7</v>
      </c>
      <c r="Q55" s="4129">
        <v>2108</v>
      </c>
      <c r="R55" s="4178">
        <f t="shared" si="3"/>
        <v>3735.7799999999997</v>
      </c>
      <c r="S55" s="4129">
        <v>1272.6279999999999</v>
      </c>
      <c r="T55" s="4129">
        <v>1938.538</v>
      </c>
      <c r="U55" s="4176">
        <v>2171</v>
      </c>
      <c r="V55" s="4178">
        <f t="shared" si="4"/>
        <v>5382.1660000000002</v>
      </c>
      <c r="W55" s="4177">
        <f t="shared" si="5"/>
        <v>9117.9459999999999</v>
      </c>
      <c r="X55" s="4141">
        <f t="shared" si="6"/>
        <v>9380.0820000000003</v>
      </c>
      <c r="Y55" s="4140"/>
      <c r="Z55" s="4129"/>
      <c r="AA55" s="4129"/>
      <c r="AB55" s="4178">
        <f t="shared" si="7"/>
        <v>0</v>
      </c>
      <c r="AC55" s="4129"/>
      <c r="AD55" s="4129"/>
      <c r="AE55" s="4129">
        <v>10.57</v>
      </c>
      <c r="AF55" s="4139">
        <f t="shared" si="8"/>
        <v>10.57</v>
      </c>
      <c r="AG55" s="4177">
        <f t="shared" si="9"/>
        <v>10.57</v>
      </c>
      <c r="AH55" s="4125">
        <v>234.654</v>
      </c>
      <c r="AI55" s="4125">
        <v>0</v>
      </c>
      <c r="AJ55" s="4125">
        <v>806</v>
      </c>
      <c r="AK55" s="4178">
        <f t="shared" si="10"/>
        <v>1040.654</v>
      </c>
      <c r="AL55" s="4129">
        <v>147.97999999999999</v>
      </c>
      <c r="AM55" s="4129">
        <v>270.59199999999998</v>
      </c>
      <c r="AN55" s="4176">
        <v>378</v>
      </c>
      <c r="AO55" s="4178">
        <f t="shared" si="11"/>
        <v>796.572</v>
      </c>
      <c r="AP55" s="4177">
        <f t="shared" si="12"/>
        <v>1837.2260000000001</v>
      </c>
      <c r="AQ55" s="4138">
        <f t="shared" si="13"/>
        <v>1847.7959999999998</v>
      </c>
      <c r="AR55" s="4128">
        <f t="shared" si="14"/>
        <v>11227.878000000001</v>
      </c>
      <c r="AS55" s="4175"/>
      <c r="AT55" s="4131"/>
      <c r="AU55" s="4137">
        <f t="shared" si="15"/>
        <v>0</v>
      </c>
      <c r="AV55" s="4136"/>
      <c r="AW55" s="4135">
        <f t="shared" si="16"/>
        <v>0</v>
      </c>
      <c r="AX55" s="4134"/>
      <c r="AY55" s="4134">
        <f t="shared" si="17"/>
        <v>0</v>
      </c>
      <c r="AZ55" s="4134"/>
      <c r="BA55" s="4135">
        <f t="shared" si="18"/>
        <v>0</v>
      </c>
      <c r="BB55" s="4133"/>
      <c r="BC55" s="4133">
        <f t="shared" si="19"/>
        <v>0</v>
      </c>
      <c r="BD55" s="4134"/>
      <c r="BE55" s="4135">
        <f t="shared" si="20"/>
        <v>0</v>
      </c>
      <c r="BF55" s="4132"/>
      <c r="BG55" s="4132">
        <f t="shared" si="21"/>
        <v>0</v>
      </c>
      <c r="BH55" s="4134"/>
      <c r="BI55" s="4135">
        <f t="shared" si="22"/>
        <v>0</v>
      </c>
      <c r="BJ55" s="4132"/>
      <c r="BK55" s="4132">
        <f t="shared" si="23"/>
        <v>0</v>
      </c>
      <c r="BL55" s="4134"/>
      <c r="BM55" s="4135">
        <f t="shared" si="24"/>
        <v>272.70600000000002</v>
      </c>
      <c r="BN55" s="4134"/>
      <c r="BO55" s="4133">
        <f t="shared" si="25"/>
        <v>272.70600000000002</v>
      </c>
      <c r="BP55" s="4134"/>
      <c r="BQ55" s="4157">
        <f t="shared" si="26"/>
        <v>272.70600000000002</v>
      </c>
      <c r="BR55" s="4134"/>
      <c r="BS55" s="4135">
        <f t="shared" si="27"/>
        <v>1756.7339999999999</v>
      </c>
      <c r="BT55" s="4134"/>
      <c r="BU55" s="4134">
        <f t="shared" si="28"/>
        <v>2029.44</v>
      </c>
      <c r="BV55" s="4134"/>
      <c r="BW55" s="4135">
        <f t="shared" si="29"/>
        <v>105.7</v>
      </c>
      <c r="BX55" s="4134"/>
      <c r="BY55" s="4134">
        <f t="shared" si="30"/>
        <v>2135.14</v>
      </c>
      <c r="BZ55" s="4134"/>
      <c r="CA55" s="4135">
        <f t="shared" si="31"/>
        <v>2914</v>
      </c>
      <c r="CB55" s="4134"/>
      <c r="CC55" s="4133">
        <f t="shared" si="32"/>
        <v>4776.4340000000002</v>
      </c>
      <c r="CD55" s="4134"/>
      <c r="CE55" s="4134">
        <f t="shared" si="33"/>
        <v>5049.1399999999994</v>
      </c>
      <c r="CF55" s="4134"/>
      <c r="CG55" s="4135">
        <f t="shared" si="34"/>
        <v>1420.6079999999999</v>
      </c>
      <c r="CH55" s="4134"/>
      <c r="CI55" s="4134">
        <f t="shared" si="35"/>
        <v>6469.7479999999996</v>
      </c>
      <c r="CJ55" s="4134"/>
      <c r="CK55" s="4135">
        <f t="shared" si="36"/>
        <v>2209.13</v>
      </c>
      <c r="CL55" s="4134"/>
      <c r="CM55" s="4134">
        <f t="shared" si="37"/>
        <v>8678.8780000000006</v>
      </c>
      <c r="CN55" s="4134"/>
      <c r="CO55" s="4135">
        <f t="shared" si="38"/>
        <v>2549</v>
      </c>
      <c r="CP55" s="4134"/>
      <c r="CQ55" s="4133">
        <f t="shared" si="39"/>
        <v>6178.7380000000003</v>
      </c>
      <c r="CR55" s="4134"/>
      <c r="CS55" s="4157">
        <f t="shared" si="40"/>
        <v>10955.172</v>
      </c>
      <c r="CT55" s="4132"/>
      <c r="CU55" s="4160">
        <f t="shared" si="41"/>
        <v>11227.878000000001</v>
      </c>
      <c r="CV55" s="4159"/>
      <c r="CW55" s="4168"/>
    </row>
    <row r="56" spans="1:101" x14ac:dyDescent="0.25">
      <c r="A56" s="4191"/>
      <c r="B56" s="4191"/>
      <c r="C56" s="4191"/>
      <c r="D56" s="4191"/>
      <c r="E56" s="5054" t="s">
        <v>1214</v>
      </c>
      <c r="F56" s="4171">
        <v>2810</v>
      </c>
      <c r="G56" s="4129">
        <v>1812</v>
      </c>
      <c r="H56" s="4129">
        <v>1275</v>
      </c>
      <c r="I56" s="4178">
        <f>SUM(F56:H56)</f>
        <v>5897</v>
      </c>
      <c r="J56" s="4129">
        <v>1431</v>
      </c>
      <c r="K56" s="4129">
        <v>1072</v>
      </c>
      <c r="L56" s="4129">
        <v>2185.8760000000002</v>
      </c>
      <c r="M56" s="4178">
        <f>SUM(J56:L56)</f>
        <v>4688.8760000000002</v>
      </c>
      <c r="N56" s="4177">
        <f>+I56+M56</f>
        <v>10585.876</v>
      </c>
      <c r="O56" s="4125"/>
      <c r="P56" s="4125"/>
      <c r="Q56" s="4129"/>
      <c r="R56" s="4178">
        <f>SUM(O56:Q56)</f>
        <v>0</v>
      </c>
      <c r="S56" s="4129"/>
      <c r="T56" s="4129"/>
      <c r="U56" s="4176"/>
      <c r="V56" s="4178">
        <f>SUM(S56:U56)</f>
        <v>0</v>
      </c>
      <c r="W56" s="4177">
        <f>+R56+V56</f>
        <v>0</v>
      </c>
      <c r="X56" s="4141">
        <f>+F56+G56+H56+J56+K56+L56+O56+P56+Q56+S56+T56+U56</f>
        <v>10585.876</v>
      </c>
      <c r="Y56" s="4140">
        <v>85</v>
      </c>
      <c r="Z56" s="4129">
        <v>281</v>
      </c>
      <c r="AA56" s="4129">
        <v>505</v>
      </c>
      <c r="AB56" s="4178">
        <f>+Y56+Z56+AA56</f>
        <v>871</v>
      </c>
      <c r="AC56" s="4129">
        <v>326</v>
      </c>
      <c r="AD56" s="4129">
        <v>326</v>
      </c>
      <c r="AE56" s="4129">
        <v>167.006</v>
      </c>
      <c r="AF56" s="4139">
        <f>SUM(AC56:AE56)</f>
        <v>819.00599999999997</v>
      </c>
      <c r="AG56" s="4177">
        <f>+AB56+AF56</f>
        <v>1690.0059999999999</v>
      </c>
      <c r="AH56" s="4125"/>
      <c r="AI56" s="4125"/>
      <c r="AJ56" s="4125"/>
      <c r="AK56" s="4178">
        <f>SUM(AH56:AJ56)</f>
        <v>0</v>
      </c>
      <c r="AL56" s="4129"/>
      <c r="AM56" s="4129"/>
      <c r="AN56" s="4176"/>
      <c r="AO56" s="4178">
        <f>+AL56+AM56+AN56</f>
        <v>0</v>
      </c>
      <c r="AP56" s="4177">
        <f>+AK56+AO56</f>
        <v>0</v>
      </c>
      <c r="AQ56" s="4138">
        <f>SUM(Y56:AA56,AC56:AE56,AH56:AJ56,AL56:AN56)</f>
        <v>1690.0060000000001</v>
      </c>
      <c r="AR56" s="4128">
        <f>+X56+AQ56</f>
        <v>12275.882</v>
      </c>
      <c r="AS56" s="4175"/>
      <c r="AT56" s="4131"/>
      <c r="AU56" s="4137">
        <f>+F56+Y56</f>
        <v>2895</v>
      </c>
      <c r="AV56" s="4136"/>
      <c r="AW56" s="4135">
        <f>+G56+Z56</f>
        <v>2093</v>
      </c>
      <c r="AX56" s="4134"/>
      <c r="AY56" s="4134">
        <f>AU56+AW56</f>
        <v>4988</v>
      </c>
      <c r="AZ56" s="4134"/>
      <c r="BA56" s="4135">
        <f>+H56+AA56</f>
        <v>1780</v>
      </c>
      <c r="BB56" s="4133"/>
      <c r="BC56" s="4133">
        <f>AU56+AW56+BA56</f>
        <v>6768</v>
      </c>
      <c r="BD56" s="4134"/>
      <c r="BE56" s="4135">
        <f>+J56+AC56</f>
        <v>1757</v>
      </c>
      <c r="BF56" s="4132"/>
      <c r="BG56" s="4132">
        <f>+BC56+BE56</f>
        <v>8525</v>
      </c>
      <c r="BH56" s="4134"/>
      <c r="BI56" s="4135">
        <f>K56+AD56</f>
        <v>1398</v>
      </c>
      <c r="BJ56" s="4132"/>
      <c r="BK56" s="4132">
        <f>+BG56+BI56</f>
        <v>9923</v>
      </c>
      <c r="BL56" s="4134"/>
      <c r="BM56" s="4135">
        <f>+L56+AE56</f>
        <v>2352.8820000000001</v>
      </c>
      <c r="BN56" s="4134"/>
      <c r="BO56" s="4133">
        <f>BE56+BI56+BM56</f>
        <v>5507.8819999999996</v>
      </c>
      <c r="BP56" s="4134"/>
      <c r="BQ56" s="4157">
        <f>BC56+BO56</f>
        <v>12275.882</v>
      </c>
      <c r="BR56" s="4134"/>
      <c r="BS56" s="4135">
        <f>+O56+AH56</f>
        <v>0</v>
      </c>
      <c r="BT56" s="4134"/>
      <c r="BU56" s="4134">
        <f>BQ56+BS56</f>
        <v>12275.882</v>
      </c>
      <c r="BV56" s="4134"/>
      <c r="BW56" s="4135">
        <f>+P56+AI56</f>
        <v>0</v>
      </c>
      <c r="BX56" s="4134"/>
      <c r="BY56" s="4134">
        <f>BU56+BW56</f>
        <v>12275.882</v>
      </c>
      <c r="BZ56" s="4134"/>
      <c r="CA56" s="4135">
        <f>+Q56+AJ56</f>
        <v>0</v>
      </c>
      <c r="CB56" s="4134"/>
      <c r="CC56" s="4133">
        <f>BS56+BW56+CA56</f>
        <v>0</v>
      </c>
      <c r="CD56" s="4134"/>
      <c r="CE56" s="4134">
        <f>BY56+CA56</f>
        <v>12275.882</v>
      </c>
      <c r="CF56" s="4134"/>
      <c r="CG56" s="4135">
        <f>+S56+AL56</f>
        <v>0</v>
      </c>
      <c r="CH56" s="4134"/>
      <c r="CI56" s="4134">
        <f>CG56+CE56</f>
        <v>12275.882</v>
      </c>
      <c r="CJ56" s="4134"/>
      <c r="CK56" s="4135">
        <f>+T56+AM56</f>
        <v>0</v>
      </c>
      <c r="CL56" s="4134"/>
      <c r="CM56" s="4134">
        <f>CI56+CK56</f>
        <v>12275.882</v>
      </c>
      <c r="CN56" s="4134"/>
      <c r="CO56" s="4135">
        <f>+U56+AN56</f>
        <v>0</v>
      </c>
      <c r="CP56" s="4134"/>
      <c r="CQ56" s="4133">
        <f>CG56+CK56+CO56</f>
        <v>0</v>
      </c>
      <c r="CR56" s="4134"/>
      <c r="CS56" s="4157">
        <f>CC56+CQ56</f>
        <v>0</v>
      </c>
      <c r="CT56" s="4132"/>
      <c r="CU56" s="4160">
        <f>SUM(AU56,AW56,BA56,BE56,BI56,BM56,BS56,BW56,CA56,CG56,CK56,CO56)</f>
        <v>12275.882</v>
      </c>
      <c r="CV56" s="4159"/>
      <c r="CW56" s="4168"/>
    </row>
    <row r="57" spans="1:101" x14ac:dyDescent="0.25">
      <c r="A57" s="4191"/>
      <c r="B57" s="4191"/>
      <c r="C57" s="4191"/>
      <c r="D57" s="4191"/>
      <c r="E57" s="5056" t="s">
        <v>2149</v>
      </c>
      <c r="F57" s="4171"/>
      <c r="G57" s="4129"/>
      <c r="H57" s="4129"/>
      <c r="I57" s="4178">
        <f t="shared" si="0"/>
        <v>0</v>
      </c>
      <c r="J57" s="4129"/>
      <c r="K57" s="4129"/>
      <c r="L57" s="4129"/>
      <c r="M57" s="4178">
        <f t="shared" si="1"/>
        <v>0</v>
      </c>
      <c r="N57" s="4177">
        <f t="shared" si="2"/>
        <v>0</v>
      </c>
      <c r="O57" s="4125"/>
      <c r="P57" s="4125"/>
      <c r="Q57" s="4129">
        <v>4281</v>
      </c>
      <c r="R57" s="4178">
        <f t="shared" si="3"/>
        <v>4281</v>
      </c>
      <c r="S57" s="4129">
        <v>4955.2160000000003</v>
      </c>
      <c r="T57" s="4129">
        <v>3521.924</v>
      </c>
      <c r="U57" s="4176">
        <v>1951</v>
      </c>
      <c r="V57" s="4178">
        <f t="shared" si="4"/>
        <v>10428.14</v>
      </c>
      <c r="W57" s="4177">
        <f t="shared" si="5"/>
        <v>14709.14</v>
      </c>
      <c r="X57" s="4141">
        <f t="shared" si="6"/>
        <v>14709.14</v>
      </c>
      <c r="Y57" s="4140"/>
      <c r="Z57" s="4129"/>
      <c r="AA57" s="4129"/>
      <c r="AB57" s="4178">
        <f t="shared" si="7"/>
        <v>0</v>
      </c>
      <c r="AC57" s="4129"/>
      <c r="AD57" s="4129"/>
      <c r="AE57" s="4129"/>
      <c r="AF57" s="4139">
        <f t="shared" si="8"/>
        <v>0</v>
      </c>
      <c r="AG57" s="4177">
        <f t="shared" si="9"/>
        <v>0</v>
      </c>
      <c r="AH57" s="4125"/>
      <c r="AI57" s="4125"/>
      <c r="AJ57" s="4125">
        <v>3146</v>
      </c>
      <c r="AK57" s="4178">
        <f t="shared" si="10"/>
        <v>3146</v>
      </c>
      <c r="AL57" s="4129">
        <v>109.928</v>
      </c>
      <c r="AM57" s="4129">
        <v>270.59199999999998</v>
      </c>
      <c r="AN57" s="4176">
        <v>0</v>
      </c>
      <c r="AO57" s="4178">
        <f t="shared" si="11"/>
        <v>380.52</v>
      </c>
      <c r="AP57" s="4177">
        <f t="shared" si="12"/>
        <v>3526.52</v>
      </c>
      <c r="AQ57" s="4138">
        <f t="shared" si="13"/>
        <v>3526.52</v>
      </c>
      <c r="AR57" s="4128">
        <f t="shared" si="14"/>
        <v>18235.66</v>
      </c>
      <c r="AS57" s="4175"/>
      <c r="AT57" s="4131"/>
      <c r="AU57" s="4137">
        <f t="shared" si="15"/>
        <v>0</v>
      </c>
      <c r="AV57" s="4136"/>
      <c r="AW57" s="4135">
        <f t="shared" si="16"/>
        <v>0</v>
      </c>
      <c r="AX57" s="4134"/>
      <c r="AY57" s="4134">
        <f t="shared" si="17"/>
        <v>0</v>
      </c>
      <c r="AZ57" s="4134"/>
      <c r="BA57" s="4135">
        <f t="shared" si="18"/>
        <v>0</v>
      </c>
      <c r="BB57" s="4133"/>
      <c r="BC57" s="4133">
        <f t="shared" si="19"/>
        <v>0</v>
      </c>
      <c r="BD57" s="4134"/>
      <c r="BE57" s="4135">
        <f t="shared" si="20"/>
        <v>0</v>
      </c>
      <c r="BF57" s="4132"/>
      <c r="BG57" s="4132">
        <f t="shared" si="21"/>
        <v>0</v>
      </c>
      <c r="BH57" s="4134"/>
      <c r="BI57" s="4135">
        <f t="shared" si="22"/>
        <v>0</v>
      </c>
      <c r="BJ57" s="4132"/>
      <c r="BK57" s="4132">
        <f t="shared" si="23"/>
        <v>0</v>
      </c>
      <c r="BL57" s="4134"/>
      <c r="BM57" s="4135">
        <f t="shared" si="24"/>
        <v>0</v>
      </c>
      <c r="BN57" s="4134"/>
      <c r="BO57" s="4133">
        <f t="shared" si="25"/>
        <v>0</v>
      </c>
      <c r="BP57" s="4134"/>
      <c r="BQ57" s="4157">
        <f t="shared" si="26"/>
        <v>0</v>
      </c>
      <c r="BR57" s="4134"/>
      <c r="BS57" s="4135">
        <f t="shared" si="27"/>
        <v>0</v>
      </c>
      <c r="BT57" s="4134"/>
      <c r="BU57" s="4134">
        <f t="shared" si="28"/>
        <v>0</v>
      </c>
      <c r="BV57" s="4134"/>
      <c r="BW57" s="4135">
        <f t="shared" si="29"/>
        <v>0</v>
      </c>
      <c r="BX57" s="4134"/>
      <c r="BY57" s="4134">
        <f t="shared" si="30"/>
        <v>0</v>
      </c>
      <c r="BZ57" s="4134"/>
      <c r="CA57" s="4135">
        <f t="shared" si="31"/>
        <v>7427</v>
      </c>
      <c r="CB57" s="4134"/>
      <c r="CC57" s="4133">
        <f t="shared" si="32"/>
        <v>7427</v>
      </c>
      <c r="CD57" s="4134"/>
      <c r="CE57" s="4134">
        <f t="shared" si="33"/>
        <v>7427</v>
      </c>
      <c r="CF57" s="4134"/>
      <c r="CG57" s="4135">
        <f t="shared" si="34"/>
        <v>5065.1440000000002</v>
      </c>
      <c r="CH57" s="4134"/>
      <c r="CI57" s="4134">
        <f t="shared" si="35"/>
        <v>12492.144</v>
      </c>
      <c r="CJ57" s="4134"/>
      <c r="CK57" s="4135">
        <f t="shared" si="36"/>
        <v>3792.5160000000001</v>
      </c>
      <c r="CL57" s="4134"/>
      <c r="CM57" s="4134">
        <f t="shared" si="37"/>
        <v>16284.66</v>
      </c>
      <c r="CN57" s="4134"/>
      <c r="CO57" s="4135">
        <f t="shared" si="38"/>
        <v>1951</v>
      </c>
      <c r="CP57" s="4134"/>
      <c r="CQ57" s="4133">
        <f t="shared" si="39"/>
        <v>10808.66</v>
      </c>
      <c r="CR57" s="4134"/>
      <c r="CS57" s="4157">
        <f t="shared" si="40"/>
        <v>18235.66</v>
      </c>
      <c r="CT57" s="4132"/>
      <c r="CU57" s="4160">
        <f t="shared" si="41"/>
        <v>18235.66</v>
      </c>
      <c r="CV57" s="4159"/>
      <c r="CW57" s="4168"/>
    </row>
    <row r="58" spans="1:101" x14ac:dyDescent="0.25">
      <c r="A58" s="4191"/>
      <c r="B58" s="4191"/>
      <c r="C58" s="4191"/>
      <c r="D58" s="4191"/>
      <c r="E58" s="5056" t="s">
        <v>1424</v>
      </c>
      <c r="F58" s="4171">
        <v>1446</v>
      </c>
      <c r="G58" s="4129"/>
      <c r="H58" s="4129">
        <v>1962</v>
      </c>
      <c r="I58" s="4178">
        <f t="shared" si="0"/>
        <v>3408</v>
      </c>
      <c r="J58" s="4129">
        <v>0</v>
      </c>
      <c r="K58" s="4129">
        <v>406</v>
      </c>
      <c r="L58" s="4129">
        <v>0</v>
      </c>
      <c r="M58" s="4178">
        <f t="shared" si="1"/>
        <v>406</v>
      </c>
      <c r="N58" s="4177">
        <f t="shared" si="2"/>
        <v>3814</v>
      </c>
      <c r="O58" s="4125"/>
      <c r="P58" s="4125"/>
      <c r="Q58" s="4129"/>
      <c r="R58" s="4178">
        <f t="shared" si="3"/>
        <v>0</v>
      </c>
      <c r="S58" s="4129"/>
      <c r="T58" s="4129"/>
      <c r="U58" s="4176"/>
      <c r="V58" s="4178">
        <f t="shared" si="4"/>
        <v>0</v>
      </c>
      <c r="W58" s="4177">
        <f t="shared" si="5"/>
        <v>0</v>
      </c>
      <c r="X58" s="4141">
        <f t="shared" si="6"/>
        <v>3814</v>
      </c>
      <c r="Y58" s="4140">
        <v>1357</v>
      </c>
      <c r="Z58" s="4129"/>
      <c r="AA58" s="4129">
        <v>1087</v>
      </c>
      <c r="AB58" s="4178">
        <f t="shared" si="7"/>
        <v>2444</v>
      </c>
      <c r="AC58" s="4129">
        <v>564</v>
      </c>
      <c r="AD58" s="4129">
        <v>799</v>
      </c>
      <c r="AE58" s="4129">
        <v>517.92999999999995</v>
      </c>
      <c r="AF58" s="4139">
        <f t="shared" si="8"/>
        <v>1880.9299999999998</v>
      </c>
      <c r="AG58" s="4177">
        <f t="shared" si="9"/>
        <v>4324.93</v>
      </c>
      <c r="AH58" s="4125"/>
      <c r="AI58" s="4125"/>
      <c r="AJ58" s="4125"/>
      <c r="AK58" s="4178">
        <f t="shared" si="10"/>
        <v>0</v>
      </c>
      <c r="AL58" s="4129"/>
      <c r="AM58" s="4129"/>
      <c r="AN58" s="4176"/>
      <c r="AO58" s="4178">
        <f t="shared" si="11"/>
        <v>0</v>
      </c>
      <c r="AP58" s="4177">
        <f t="shared" si="12"/>
        <v>0</v>
      </c>
      <c r="AQ58" s="4138">
        <f t="shared" si="13"/>
        <v>4324.93</v>
      </c>
      <c r="AR58" s="4128">
        <f t="shared" si="14"/>
        <v>8138.93</v>
      </c>
      <c r="AS58" s="4175"/>
      <c r="AT58" s="4131"/>
      <c r="AU58" s="4137">
        <f t="shared" si="15"/>
        <v>2803</v>
      </c>
      <c r="AV58" s="4136"/>
      <c r="AW58" s="4135">
        <f t="shared" si="16"/>
        <v>0</v>
      </c>
      <c r="AX58" s="4134"/>
      <c r="AY58" s="4134">
        <f t="shared" si="17"/>
        <v>2803</v>
      </c>
      <c r="AZ58" s="4134"/>
      <c r="BA58" s="4135">
        <f t="shared" si="18"/>
        <v>3049</v>
      </c>
      <c r="BB58" s="4133"/>
      <c r="BC58" s="4133">
        <f t="shared" si="19"/>
        <v>5852</v>
      </c>
      <c r="BD58" s="4134"/>
      <c r="BE58" s="4135">
        <f t="shared" si="20"/>
        <v>564</v>
      </c>
      <c r="BF58" s="4132"/>
      <c r="BG58" s="4132">
        <f t="shared" si="21"/>
        <v>6416</v>
      </c>
      <c r="BH58" s="4134"/>
      <c r="BI58" s="4135">
        <f t="shared" si="22"/>
        <v>1205</v>
      </c>
      <c r="BJ58" s="4132"/>
      <c r="BK58" s="4132">
        <f t="shared" si="23"/>
        <v>7621</v>
      </c>
      <c r="BL58" s="4134"/>
      <c r="BM58" s="4135">
        <f t="shared" si="24"/>
        <v>517.92999999999995</v>
      </c>
      <c r="BN58" s="4134"/>
      <c r="BO58" s="4133">
        <f t="shared" si="25"/>
        <v>2286.9299999999998</v>
      </c>
      <c r="BP58" s="4134"/>
      <c r="BQ58" s="4157">
        <f t="shared" si="26"/>
        <v>8138.93</v>
      </c>
      <c r="BR58" s="4134"/>
      <c r="BS58" s="4135">
        <f t="shared" si="27"/>
        <v>0</v>
      </c>
      <c r="BT58" s="4134"/>
      <c r="BU58" s="4134">
        <f t="shared" si="28"/>
        <v>8138.93</v>
      </c>
      <c r="BV58" s="4134"/>
      <c r="BW58" s="4135">
        <f t="shared" si="29"/>
        <v>0</v>
      </c>
      <c r="BX58" s="4134"/>
      <c r="BY58" s="4134">
        <f t="shared" si="30"/>
        <v>8138.93</v>
      </c>
      <c r="BZ58" s="4134"/>
      <c r="CA58" s="4135">
        <f t="shared" si="31"/>
        <v>0</v>
      </c>
      <c r="CB58" s="4134"/>
      <c r="CC58" s="4133">
        <f t="shared" si="32"/>
        <v>0</v>
      </c>
      <c r="CD58" s="4134"/>
      <c r="CE58" s="4134">
        <f t="shared" si="33"/>
        <v>8138.93</v>
      </c>
      <c r="CF58" s="4134"/>
      <c r="CG58" s="4135">
        <f t="shared" si="34"/>
        <v>0</v>
      </c>
      <c r="CH58" s="4134"/>
      <c r="CI58" s="4134">
        <f t="shared" si="35"/>
        <v>8138.93</v>
      </c>
      <c r="CJ58" s="4134"/>
      <c r="CK58" s="4135">
        <f t="shared" si="36"/>
        <v>0</v>
      </c>
      <c r="CL58" s="4134"/>
      <c r="CM58" s="4134">
        <f t="shared" si="37"/>
        <v>8138.93</v>
      </c>
      <c r="CN58" s="4134"/>
      <c r="CO58" s="4135">
        <f t="shared" si="38"/>
        <v>0</v>
      </c>
      <c r="CP58" s="4134"/>
      <c r="CQ58" s="4133">
        <f t="shared" si="39"/>
        <v>0</v>
      </c>
      <c r="CR58" s="4134"/>
      <c r="CS58" s="4157">
        <f t="shared" si="40"/>
        <v>0</v>
      </c>
      <c r="CT58" s="4132"/>
      <c r="CU58" s="4160">
        <f t="shared" si="41"/>
        <v>8138.93</v>
      </c>
      <c r="CV58" s="4159"/>
      <c r="CW58" s="4168"/>
    </row>
    <row r="59" spans="1:101" x14ac:dyDescent="0.25">
      <c r="A59" s="4191"/>
      <c r="B59" s="4191"/>
      <c r="C59" s="4191"/>
      <c r="D59" s="4191"/>
      <c r="E59" s="4179" t="s">
        <v>1994</v>
      </c>
      <c r="F59" s="4171"/>
      <c r="G59" s="4129"/>
      <c r="H59" s="4129"/>
      <c r="I59" s="4178">
        <f t="shared" si="0"/>
        <v>0</v>
      </c>
      <c r="J59" s="4129"/>
      <c r="K59" s="4129"/>
      <c r="L59" s="4129"/>
      <c r="M59" s="4178">
        <f t="shared" si="1"/>
        <v>0</v>
      </c>
      <c r="N59" s="4177">
        <f t="shared" si="2"/>
        <v>0</v>
      </c>
      <c r="O59" s="4125">
        <v>5542.9080000000004</v>
      </c>
      <c r="P59" s="4125"/>
      <c r="Q59" s="4129">
        <v>767</v>
      </c>
      <c r="R59" s="4178">
        <f t="shared" si="3"/>
        <v>6309.9080000000004</v>
      </c>
      <c r="S59" s="4129">
        <v>541.18399999999997</v>
      </c>
      <c r="T59" s="4129">
        <v>1946.9939999999999</v>
      </c>
      <c r="U59" s="4176">
        <v>2919</v>
      </c>
      <c r="V59" s="4178">
        <f t="shared" si="4"/>
        <v>5407.1779999999999</v>
      </c>
      <c r="W59" s="4177">
        <f t="shared" si="5"/>
        <v>11717.085999999999</v>
      </c>
      <c r="X59" s="4141">
        <f t="shared" si="6"/>
        <v>11717.086000000001</v>
      </c>
      <c r="Y59" s="4140"/>
      <c r="Z59" s="4129"/>
      <c r="AA59" s="4129"/>
      <c r="AB59" s="4178">
        <f t="shared" si="7"/>
        <v>0</v>
      </c>
      <c r="AC59" s="4129"/>
      <c r="AD59" s="4129"/>
      <c r="AE59" s="4129"/>
      <c r="AF59" s="4139">
        <f t="shared" si="8"/>
        <v>0</v>
      </c>
      <c r="AG59" s="4177">
        <f t="shared" si="9"/>
        <v>0</v>
      </c>
      <c r="AH59" s="4125">
        <v>0</v>
      </c>
      <c r="AI59" s="4125"/>
      <c r="AJ59" s="4125">
        <v>30</v>
      </c>
      <c r="AK59" s="4178">
        <f t="shared" si="10"/>
        <v>30</v>
      </c>
      <c r="AL59" s="4129">
        <v>4.2279999999999998</v>
      </c>
      <c r="AM59" s="4129">
        <v>4.2279999999999998</v>
      </c>
      <c r="AN59" s="4176">
        <v>17</v>
      </c>
      <c r="AO59" s="4178">
        <f t="shared" si="11"/>
        <v>25.456</v>
      </c>
      <c r="AP59" s="4177">
        <f t="shared" si="12"/>
        <v>55.456000000000003</v>
      </c>
      <c r="AQ59" s="4138">
        <f t="shared" si="13"/>
        <v>55.456000000000003</v>
      </c>
      <c r="AR59" s="4128">
        <f t="shared" si="14"/>
        <v>11772.542000000001</v>
      </c>
      <c r="AS59" s="4175"/>
      <c r="AT59" s="4131"/>
      <c r="AU59" s="4137">
        <f t="shared" si="15"/>
        <v>0</v>
      </c>
      <c r="AV59" s="4136"/>
      <c r="AW59" s="4135">
        <f t="shared" si="16"/>
        <v>0</v>
      </c>
      <c r="AX59" s="4134"/>
      <c r="AY59" s="4134">
        <f t="shared" si="17"/>
        <v>0</v>
      </c>
      <c r="AZ59" s="4134"/>
      <c r="BA59" s="4135">
        <f t="shared" si="18"/>
        <v>0</v>
      </c>
      <c r="BB59" s="4133"/>
      <c r="BC59" s="4133">
        <f t="shared" si="19"/>
        <v>0</v>
      </c>
      <c r="BD59" s="4134"/>
      <c r="BE59" s="4135">
        <f t="shared" si="20"/>
        <v>0</v>
      </c>
      <c r="BF59" s="4132"/>
      <c r="BG59" s="4132">
        <f t="shared" si="21"/>
        <v>0</v>
      </c>
      <c r="BH59" s="4134"/>
      <c r="BI59" s="4135">
        <f t="shared" si="22"/>
        <v>0</v>
      </c>
      <c r="BJ59" s="4132"/>
      <c r="BK59" s="4132">
        <f t="shared" si="23"/>
        <v>0</v>
      </c>
      <c r="BL59" s="4134"/>
      <c r="BM59" s="4135">
        <f t="shared" si="24"/>
        <v>0</v>
      </c>
      <c r="BN59" s="4134"/>
      <c r="BO59" s="4133">
        <f t="shared" si="25"/>
        <v>0</v>
      </c>
      <c r="BP59" s="4134"/>
      <c r="BQ59" s="4157">
        <f t="shared" si="26"/>
        <v>0</v>
      </c>
      <c r="BR59" s="4134"/>
      <c r="BS59" s="4135">
        <f t="shared" si="27"/>
        <v>5542.9080000000004</v>
      </c>
      <c r="BT59" s="4134"/>
      <c r="BU59" s="4134">
        <f t="shared" si="28"/>
        <v>5542.9080000000004</v>
      </c>
      <c r="BV59" s="4134"/>
      <c r="BW59" s="4135">
        <f t="shared" si="29"/>
        <v>0</v>
      </c>
      <c r="BX59" s="4134"/>
      <c r="BY59" s="4134">
        <f t="shared" si="30"/>
        <v>5542.9080000000004</v>
      </c>
      <c r="BZ59" s="4134"/>
      <c r="CA59" s="4135">
        <f t="shared" si="31"/>
        <v>797</v>
      </c>
      <c r="CB59" s="4134"/>
      <c r="CC59" s="4133">
        <f t="shared" si="32"/>
        <v>6339.9080000000004</v>
      </c>
      <c r="CD59" s="4134"/>
      <c r="CE59" s="4134">
        <f t="shared" si="33"/>
        <v>6339.9080000000004</v>
      </c>
      <c r="CF59" s="4134"/>
      <c r="CG59" s="4135">
        <f t="shared" si="34"/>
        <v>545.41199999999992</v>
      </c>
      <c r="CH59" s="4134"/>
      <c r="CI59" s="4134">
        <f t="shared" si="35"/>
        <v>6885.3200000000006</v>
      </c>
      <c r="CJ59" s="4134"/>
      <c r="CK59" s="4135">
        <f t="shared" si="36"/>
        <v>1951.222</v>
      </c>
      <c r="CL59" s="4134"/>
      <c r="CM59" s="4134">
        <f t="shared" si="37"/>
        <v>8836.5420000000013</v>
      </c>
      <c r="CN59" s="4134"/>
      <c r="CO59" s="4135">
        <f t="shared" si="38"/>
        <v>2936</v>
      </c>
      <c r="CP59" s="4134"/>
      <c r="CQ59" s="4133">
        <f t="shared" si="39"/>
        <v>5432.634</v>
      </c>
      <c r="CR59" s="4134"/>
      <c r="CS59" s="4157">
        <f t="shared" si="40"/>
        <v>11772.542000000001</v>
      </c>
      <c r="CT59" s="4132"/>
      <c r="CU59" s="4160">
        <f t="shared" si="41"/>
        <v>11772.542000000001</v>
      </c>
      <c r="CV59" s="4159"/>
      <c r="CW59" s="4168"/>
    </row>
    <row r="60" spans="1:101" x14ac:dyDescent="0.25">
      <c r="A60" s="4191"/>
      <c r="B60" s="4191"/>
      <c r="C60" s="4191"/>
      <c r="D60" s="4191"/>
      <c r="E60" s="5042" t="s">
        <v>1415</v>
      </c>
      <c r="F60" s="4171">
        <v>564</v>
      </c>
      <c r="G60" s="4129"/>
      <c r="H60" s="4129"/>
      <c r="I60" s="4178">
        <f t="shared" si="0"/>
        <v>564</v>
      </c>
      <c r="J60" s="4129"/>
      <c r="K60" s="4129"/>
      <c r="L60" s="4129">
        <v>536.95600000000002</v>
      </c>
      <c r="M60" s="4178">
        <f t="shared" si="1"/>
        <v>536.95600000000002</v>
      </c>
      <c r="N60" s="4177">
        <f t="shared" si="2"/>
        <v>1100.9560000000001</v>
      </c>
      <c r="O60" s="4125"/>
      <c r="P60" s="4125"/>
      <c r="Q60" s="4129"/>
      <c r="R60" s="4178">
        <f t="shared" si="3"/>
        <v>0</v>
      </c>
      <c r="S60" s="4129"/>
      <c r="T60" s="4129"/>
      <c r="U60" s="4176"/>
      <c r="V60" s="4178">
        <f t="shared" si="4"/>
        <v>0</v>
      </c>
      <c r="W60" s="4177">
        <f t="shared" si="5"/>
        <v>0</v>
      </c>
      <c r="X60" s="4141">
        <f t="shared" si="6"/>
        <v>1100.9560000000001</v>
      </c>
      <c r="Y60" s="4140">
        <v>0</v>
      </c>
      <c r="Z60" s="4129"/>
      <c r="AA60" s="4129"/>
      <c r="AB60" s="4178">
        <f t="shared" si="7"/>
        <v>0</v>
      </c>
      <c r="AC60" s="4129"/>
      <c r="AD60" s="4129"/>
      <c r="AE60" s="4129">
        <v>152.208</v>
      </c>
      <c r="AF60" s="4139">
        <f t="shared" si="8"/>
        <v>152.208</v>
      </c>
      <c r="AG60" s="4177">
        <f t="shared" si="9"/>
        <v>152.208</v>
      </c>
      <c r="AH60" s="4125"/>
      <c r="AI60" s="4125"/>
      <c r="AJ60" s="4125"/>
      <c r="AK60" s="4178">
        <f t="shared" si="10"/>
        <v>0</v>
      </c>
      <c r="AL60" s="4129"/>
      <c r="AM60" s="4129"/>
      <c r="AN60" s="4176"/>
      <c r="AO60" s="4178">
        <f t="shared" si="11"/>
        <v>0</v>
      </c>
      <c r="AP60" s="4177">
        <f t="shared" si="12"/>
        <v>0</v>
      </c>
      <c r="AQ60" s="4138">
        <f t="shared" si="13"/>
        <v>152.208</v>
      </c>
      <c r="AR60" s="4128">
        <f t="shared" si="14"/>
        <v>1253.1640000000002</v>
      </c>
      <c r="AS60" s="4175"/>
      <c r="AT60" s="4131"/>
      <c r="AU60" s="4137">
        <f t="shared" si="15"/>
        <v>564</v>
      </c>
      <c r="AV60" s="4136"/>
      <c r="AW60" s="4135">
        <f t="shared" si="16"/>
        <v>0</v>
      </c>
      <c r="AX60" s="4134"/>
      <c r="AY60" s="4134">
        <f t="shared" si="17"/>
        <v>564</v>
      </c>
      <c r="AZ60" s="4134"/>
      <c r="BA60" s="4135">
        <f t="shared" si="18"/>
        <v>0</v>
      </c>
      <c r="BB60" s="4133"/>
      <c r="BC60" s="4133">
        <f t="shared" si="19"/>
        <v>564</v>
      </c>
      <c r="BD60" s="4134"/>
      <c r="BE60" s="4135">
        <f t="shared" si="20"/>
        <v>0</v>
      </c>
      <c r="BF60" s="4132"/>
      <c r="BG60" s="4132">
        <f t="shared" si="21"/>
        <v>564</v>
      </c>
      <c r="BH60" s="4134"/>
      <c r="BI60" s="4135">
        <f t="shared" si="22"/>
        <v>0</v>
      </c>
      <c r="BJ60" s="4132"/>
      <c r="BK60" s="4132">
        <f t="shared" si="23"/>
        <v>564</v>
      </c>
      <c r="BL60" s="4134"/>
      <c r="BM60" s="4135">
        <f t="shared" si="24"/>
        <v>689.16399999999999</v>
      </c>
      <c r="BN60" s="4134"/>
      <c r="BO60" s="4133">
        <f t="shared" si="25"/>
        <v>689.16399999999999</v>
      </c>
      <c r="BP60" s="4134"/>
      <c r="BQ60" s="4157">
        <f t="shared" si="26"/>
        <v>1253.164</v>
      </c>
      <c r="BR60" s="4134"/>
      <c r="BS60" s="4135">
        <f t="shared" si="27"/>
        <v>0</v>
      </c>
      <c r="BT60" s="4134"/>
      <c r="BU60" s="4134">
        <f t="shared" si="28"/>
        <v>1253.164</v>
      </c>
      <c r="BV60" s="4134"/>
      <c r="BW60" s="4135">
        <f t="shared" si="29"/>
        <v>0</v>
      </c>
      <c r="BX60" s="4134"/>
      <c r="BY60" s="4134">
        <f t="shared" si="30"/>
        <v>1253.164</v>
      </c>
      <c r="BZ60" s="4134"/>
      <c r="CA60" s="4135">
        <f t="shared" si="31"/>
        <v>0</v>
      </c>
      <c r="CB60" s="4134"/>
      <c r="CC60" s="4133">
        <f t="shared" si="32"/>
        <v>0</v>
      </c>
      <c r="CD60" s="4134"/>
      <c r="CE60" s="4134">
        <f t="shared" si="33"/>
        <v>1253.164</v>
      </c>
      <c r="CF60" s="4134"/>
      <c r="CG60" s="4135">
        <f t="shared" si="34"/>
        <v>0</v>
      </c>
      <c r="CH60" s="4134"/>
      <c r="CI60" s="4134">
        <f t="shared" si="35"/>
        <v>1253.164</v>
      </c>
      <c r="CJ60" s="4134"/>
      <c r="CK60" s="4135">
        <f t="shared" si="36"/>
        <v>0</v>
      </c>
      <c r="CL60" s="4134"/>
      <c r="CM60" s="4134">
        <f t="shared" si="37"/>
        <v>1253.164</v>
      </c>
      <c r="CN60" s="4134"/>
      <c r="CO60" s="4135">
        <f t="shared" si="38"/>
        <v>0</v>
      </c>
      <c r="CP60" s="4134"/>
      <c r="CQ60" s="4133">
        <f t="shared" si="39"/>
        <v>0</v>
      </c>
      <c r="CR60" s="4134"/>
      <c r="CS60" s="4157">
        <f t="shared" si="40"/>
        <v>0</v>
      </c>
      <c r="CT60" s="4132"/>
      <c r="CU60" s="4160">
        <f t="shared" si="41"/>
        <v>1253.164</v>
      </c>
      <c r="CV60" s="4159"/>
      <c r="CW60" s="4168"/>
    </row>
    <row r="61" spans="1:101" x14ac:dyDescent="0.25">
      <c r="A61" s="4191"/>
      <c r="B61" s="4191"/>
      <c r="C61" s="4191"/>
      <c r="D61" s="4191"/>
      <c r="E61" s="5042" t="s">
        <v>1534</v>
      </c>
      <c r="F61" s="4171"/>
      <c r="G61" s="4129"/>
      <c r="H61" s="4129">
        <v>588</v>
      </c>
      <c r="I61" s="4178">
        <f t="shared" si="0"/>
        <v>588</v>
      </c>
      <c r="J61" s="4129">
        <v>0</v>
      </c>
      <c r="K61" s="4129"/>
      <c r="L61" s="4129"/>
      <c r="M61" s="4178">
        <f t="shared" si="1"/>
        <v>0</v>
      </c>
      <c r="N61" s="4177">
        <f t="shared" si="2"/>
        <v>588</v>
      </c>
      <c r="O61" s="4125"/>
      <c r="P61" s="4125"/>
      <c r="Q61" s="4129"/>
      <c r="R61" s="4178">
        <f t="shared" si="3"/>
        <v>0</v>
      </c>
      <c r="S61" s="4129"/>
      <c r="T61" s="4129"/>
      <c r="U61" s="4176"/>
      <c r="V61" s="4178">
        <f t="shared" si="4"/>
        <v>0</v>
      </c>
      <c r="W61" s="4177">
        <f t="shared" si="5"/>
        <v>0</v>
      </c>
      <c r="X61" s="4141">
        <f t="shared" si="6"/>
        <v>588</v>
      </c>
      <c r="Y61" s="4140"/>
      <c r="Z61" s="4129"/>
      <c r="AA61" s="4129">
        <v>0</v>
      </c>
      <c r="AB61" s="4178">
        <f t="shared" si="7"/>
        <v>0</v>
      </c>
      <c r="AC61" s="4129">
        <v>254</v>
      </c>
      <c r="AD61" s="4129"/>
      <c r="AE61" s="4129"/>
      <c r="AF61" s="4139">
        <f t="shared" si="8"/>
        <v>254</v>
      </c>
      <c r="AG61" s="4177">
        <f t="shared" si="9"/>
        <v>254</v>
      </c>
      <c r="AH61" s="4125"/>
      <c r="AI61" s="4125"/>
      <c r="AJ61" s="4125"/>
      <c r="AK61" s="4178">
        <f t="shared" si="10"/>
        <v>0</v>
      </c>
      <c r="AL61" s="4129"/>
      <c r="AM61" s="4129"/>
      <c r="AN61" s="4176"/>
      <c r="AO61" s="4178">
        <f t="shared" si="11"/>
        <v>0</v>
      </c>
      <c r="AP61" s="4177">
        <f t="shared" si="12"/>
        <v>0</v>
      </c>
      <c r="AQ61" s="4138">
        <f t="shared" si="13"/>
        <v>254</v>
      </c>
      <c r="AR61" s="4128">
        <f t="shared" si="14"/>
        <v>842</v>
      </c>
      <c r="AS61" s="4175"/>
      <c r="AT61" s="4131"/>
      <c r="AU61" s="4137">
        <f t="shared" si="15"/>
        <v>0</v>
      </c>
      <c r="AV61" s="4136"/>
      <c r="AW61" s="4135">
        <f t="shared" si="16"/>
        <v>0</v>
      </c>
      <c r="AX61" s="4134"/>
      <c r="AY61" s="4134">
        <f t="shared" si="17"/>
        <v>0</v>
      </c>
      <c r="AZ61" s="4134"/>
      <c r="BA61" s="4135">
        <f t="shared" si="18"/>
        <v>588</v>
      </c>
      <c r="BB61" s="4133"/>
      <c r="BC61" s="4133">
        <f t="shared" si="19"/>
        <v>588</v>
      </c>
      <c r="BD61" s="4134"/>
      <c r="BE61" s="4135">
        <f t="shared" si="20"/>
        <v>254</v>
      </c>
      <c r="BF61" s="4132"/>
      <c r="BG61" s="4132">
        <f t="shared" si="21"/>
        <v>842</v>
      </c>
      <c r="BH61" s="4134"/>
      <c r="BI61" s="4135">
        <f t="shared" si="22"/>
        <v>0</v>
      </c>
      <c r="BJ61" s="4132"/>
      <c r="BK61" s="4132">
        <f t="shared" si="23"/>
        <v>842</v>
      </c>
      <c r="BL61" s="4134"/>
      <c r="BM61" s="4135">
        <f t="shared" si="24"/>
        <v>0</v>
      </c>
      <c r="BN61" s="4134"/>
      <c r="BO61" s="4133">
        <f t="shared" si="25"/>
        <v>254</v>
      </c>
      <c r="BP61" s="4134"/>
      <c r="BQ61" s="4157">
        <f t="shared" si="26"/>
        <v>842</v>
      </c>
      <c r="BR61" s="4134"/>
      <c r="BS61" s="4135">
        <f t="shared" si="27"/>
        <v>0</v>
      </c>
      <c r="BT61" s="4134"/>
      <c r="BU61" s="4134">
        <f t="shared" si="28"/>
        <v>842</v>
      </c>
      <c r="BV61" s="4134"/>
      <c r="BW61" s="4135">
        <f t="shared" si="29"/>
        <v>0</v>
      </c>
      <c r="BX61" s="4134"/>
      <c r="BY61" s="4134">
        <f t="shared" si="30"/>
        <v>842</v>
      </c>
      <c r="BZ61" s="4134"/>
      <c r="CA61" s="4135">
        <f t="shared" si="31"/>
        <v>0</v>
      </c>
      <c r="CB61" s="4134"/>
      <c r="CC61" s="4133">
        <f t="shared" si="32"/>
        <v>0</v>
      </c>
      <c r="CD61" s="4134"/>
      <c r="CE61" s="4134">
        <f t="shared" si="33"/>
        <v>842</v>
      </c>
      <c r="CF61" s="4134"/>
      <c r="CG61" s="4135">
        <f t="shared" si="34"/>
        <v>0</v>
      </c>
      <c r="CH61" s="4134"/>
      <c r="CI61" s="4134">
        <f t="shared" si="35"/>
        <v>842</v>
      </c>
      <c r="CJ61" s="4134"/>
      <c r="CK61" s="4135">
        <f t="shared" si="36"/>
        <v>0</v>
      </c>
      <c r="CL61" s="4134"/>
      <c r="CM61" s="4134">
        <f t="shared" si="37"/>
        <v>842</v>
      </c>
      <c r="CN61" s="4134"/>
      <c r="CO61" s="4135">
        <f t="shared" si="38"/>
        <v>0</v>
      </c>
      <c r="CP61" s="4134"/>
      <c r="CQ61" s="4133">
        <f t="shared" si="39"/>
        <v>0</v>
      </c>
      <c r="CR61" s="4134"/>
      <c r="CS61" s="4157">
        <f t="shared" si="40"/>
        <v>0</v>
      </c>
      <c r="CT61" s="4132"/>
      <c r="CU61" s="4160">
        <f t="shared" si="41"/>
        <v>842</v>
      </c>
      <c r="CV61" s="4159"/>
      <c r="CW61" s="4168"/>
    </row>
    <row r="62" spans="1:101" x14ac:dyDescent="0.25">
      <c r="A62" s="4191"/>
      <c r="B62" s="4191"/>
      <c r="C62" s="4191"/>
      <c r="D62" s="4191"/>
      <c r="E62" s="5042" t="s">
        <v>1256</v>
      </c>
      <c r="F62" s="4171">
        <v>144</v>
      </c>
      <c r="G62" s="4129"/>
      <c r="H62" s="4129"/>
      <c r="I62" s="4178">
        <f t="shared" si="0"/>
        <v>144</v>
      </c>
      <c r="J62" s="4129"/>
      <c r="K62" s="4129"/>
      <c r="L62" s="4129"/>
      <c r="M62" s="4178">
        <f t="shared" si="1"/>
        <v>0</v>
      </c>
      <c r="N62" s="4177">
        <f t="shared" si="2"/>
        <v>144</v>
      </c>
      <c r="O62" s="4125"/>
      <c r="P62" s="4125"/>
      <c r="Q62" s="4129"/>
      <c r="R62" s="4178">
        <f t="shared" si="3"/>
        <v>0</v>
      </c>
      <c r="S62" s="4129"/>
      <c r="T62" s="4129"/>
      <c r="U62" s="4176"/>
      <c r="V62" s="4178">
        <f t="shared" si="4"/>
        <v>0</v>
      </c>
      <c r="W62" s="4177">
        <f t="shared" si="5"/>
        <v>0</v>
      </c>
      <c r="X62" s="4141">
        <f t="shared" si="6"/>
        <v>144</v>
      </c>
      <c r="Y62" s="4140">
        <v>114</v>
      </c>
      <c r="Z62" s="4129"/>
      <c r="AA62" s="4129"/>
      <c r="AB62" s="4178">
        <f t="shared" si="7"/>
        <v>114</v>
      </c>
      <c r="AC62" s="4129"/>
      <c r="AD62" s="4129"/>
      <c r="AE62" s="4129"/>
      <c r="AF62" s="4139">
        <f t="shared" si="8"/>
        <v>0</v>
      </c>
      <c r="AG62" s="4177">
        <f t="shared" si="9"/>
        <v>114</v>
      </c>
      <c r="AH62" s="4125"/>
      <c r="AI62" s="4125"/>
      <c r="AJ62" s="4125"/>
      <c r="AK62" s="4178">
        <f t="shared" si="10"/>
        <v>0</v>
      </c>
      <c r="AL62" s="4129"/>
      <c r="AM62" s="4129"/>
      <c r="AN62" s="4176"/>
      <c r="AO62" s="4178">
        <f t="shared" si="11"/>
        <v>0</v>
      </c>
      <c r="AP62" s="4177">
        <f t="shared" si="12"/>
        <v>0</v>
      </c>
      <c r="AQ62" s="4138">
        <f t="shared" si="13"/>
        <v>114</v>
      </c>
      <c r="AR62" s="4128">
        <f t="shared" si="14"/>
        <v>258</v>
      </c>
      <c r="AS62" s="4175"/>
      <c r="AT62" s="4131"/>
      <c r="AU62" s="4137">
        <f t="shared" si="15"/>
        <v>258</v>
      </c>
      <c r="AV62" s="4136"/>
      <c r="AW62" s="4135">
        <f t="shared" si="16"/>
        <v>0</v>
      </c>
      <c r="AX62" s="4134"/>
      <c r="AY62" s="4134">
        <f t="shared" si="17"/>
        <v>258</v>
      </c>
      <c r="AZ62" s="4134"/>
      <c r="BA62" s="4135">
        <f t="shared" si="18"/>
        <v>0</v>
      </c>
      <c r="BB62" s="4133"/>
      <c r="BC62" s="4133">
        <f t="shared" si="19"/>
        <v>258</v>
      </c>
      <c r="BD62" s="4134"/>
      <c r="BE62" s="4135">
        <f t="shared" si="20"/>
        <v>0</v>
      </c>
      <c r="BF62" s="4132"/>
      <c r="BG62" s="4132">
        <f t="shared" si="21"/>
        <v>258</v>
      </c>
      <c r="BH62" s="4134"/>
      <c r="BI62" s="4135">
        <f t="shared" si="22"/>
        <v>0</v>
      </c>
      <c r="BJ62" s="4132"/>
      <c r="BK62" s="4132">
        <f t="shared" si="23"/>
        <v>258</v>
      </c>
      <c r="BL62" s="4134"/>
      <c r="BM62" s="4135">
        <f t="shared" si="24"/>
        <v>0</v>
      </c>
      <c r="BN62" s="4134"/>
      <c r="BO62" s="4133">
        <f t="shared" si="25"/>
        <v>0</v>
      </c>
      <c r="BP62" s="4134"/>
      <c r="BQ62" s="4157">
        <f t="shared" si="26"/>
        <v>258</v>
      </c>
      <c r="BR62" s="4134"/>
      <c r="BS62" s="4135">
        <f t="shared" si="27"/>
        <v>0</v>
      </c>
      <c r="BT62" s="4134"/>
      <c r="BU62" s="4134">
        <f t="shared" si="28"/>
        <v>258</v>
      </c>
      <c r="BV62" s="4134"/>
      <c r="BW62" s="4135">
        <f t="shared" si="29"/>
        <v>0</v>
      </c>
      <c r="BX62" s="4134"/>
      <c r="BY62" s="4134">
        <f t="shared" si="30"/>
        <v>258</v>
      </c>
      <c r="BZ62" s="4134"/>
      <c r="CA62" s="4135">
        <f t="shared" si="31"/>
        <v>0</v>
      </c>
      <c r="CB62" s="4134"/>
      <c r="CC62" s="4133">
        <f t="shared" si="32"/>
        <v>0</v>
      </c>
      <c r="CD62" s="4134"/>
      <c r="CE62" s="4134">
        <f t="shared" si="33"/>
        <v>258</v>
      </c>
      <c r="CF62" s="4134"/>
      <c r="CG62" s="4135">
        <f t="shared" si="34"/>
        <v>0</v>
      </c>
      <c r="CH62" s="4134"/>
      <c r="CI62" s="4134">
        <f t="shared" si="35"/>
        <v>258</v>
      </c>
      <c r="CJ62" s="4134"/>
      <c r="CK62" s="4135">
        <f t="shared" si="36"/>
        <v>0</v>
      </c>
      <c r="CL62" s="4134"/>
      <c r="CM62" s="4134">
        <f t="shared" si="37"/>
        <v>258</v>
      </c>
      <c r="CN62" s="4134"/>
      <c r="CO62" s="4135">
        <f t="shared" si="38"/>
        <v>0</v>
      </c>
      <c r="CP62" s="4134"/>
      <c r="CQ62" s="4133">
        <f t="shared" si="39"/>
        <v>0</v>
      </c>
      <c r="CR62" s="4134"/>
      <c r="CS62" s="4157">
        <f t="shared" si="40"/>
        <v>0</v>
      </c>
      <c r="CT62" s="4132"/>
      <c r="CU62" s="4160">
        <f t="shared" si="41"/>
        <v>258</v>
      </c>
      <c r="CV62" s="4159"/>
      <c r="CW62" s="4168"/>
    </row>
    <row r="63" spans="1:101" x14ac:dyDescent="0.25">
      <c r="A63" s="4191"/>
      <c r="B63" s="4191"/>
      <c r="C63" s="4191"/>
      <c r="D63" s="4191"/>
      <c r="E63" s="5042" t="s">
        <v>1715</v>
      </c>
      <c r="F63" s="4171"/>
      <c r="G63" s="4129">
        <v>95</v>
      </c>
      <c r="H63" s="4129"/>
      <c r="I63" s="4178">
        <f t="shared" si="0"/>
        <v>95</v>
      </c>
      <c r="J63" s="4129"/>
      <c r="K63" s="4129"/>
      <c r="L63" s="4129">
        <v>725.10199999999998</v>
      </c>
      <c r="M63" s="4178">
        <f t="shared" si="1"/>
        <v>725.10199999999998</v>
      </c>
      <c r="N63" s="4177">
        <f t="shared" si="2"/>
        <v>820.10199999999998</v>
      </c>
      <c r="O63" s="4125"/>
      <c r="P63" s="4125"/>
      <c r="Q63" s="4129">
        <v>258</v>
      </c>
      <c r="R63" s="4178">
        <f t="shared" si="3"/>
        <v>258</v>
      </c>
      <c r="S63" s="4129"/>
      <c r="T63" s="4129"/>
      <c r="U63" s="4176"/>
      <c r="V63" s="4178">
        <f t="shared" si="4"/>
        <v>0</v>
      </c>
      <c r="W63" s="4177">
        <f t="shared" si="5"/>
        <v>258</v>
      </c>
      <c r="X63" s="4141">
        <f t="shared" si="6"/>
        <v>1078.1019999999999</v>
      </c>
      <c r="Y63" s="4140"/>
      <c r="Z63" s="4129">
        <v>0</v>
      </c>
      <c r="AA63" s="4129"/>
      <c r="AB63" s="4178">
        <f t="shared" si="7"/>
        <v>0</v>
      </c>
      <c r="AC63" s="4129"/>
      <c r="AD63" s="4129"/>
      <c r="AE63" s="4129">
        <v>0</v>
      </c>
      <c r="AF63" s="4139">
        <f t="shared" si="8"/>
        <v>0</v>
      </c>
      <c r="AG63" s="4177">
        <f t="shared" si="9"/>
        <v>0</v>
      </c>
      <c r="AH63" s="4125"/>
      <c r="AI63" s="4125"/>
      <c r="AJ63" s="4125">
        <v>0</v>
      </c>
      <c r="AK63" s="4178">
        <f t="shared" si="10"/>
        <v>0</v>
      </c>
      <c r="AL63" s="4129"/>
      <c r="AM63" s="4129"/>
      <c r="AN63" s="4176"/>
      <c r="AO63" s="4178">
        <f t="shared" si="11"/>
        <v>0</v>
      </c>
      <c r="AP63" s="4177">
        <f t="shared" si="12"/>
        <v>0</v>
      </c>
      <c r="AQ63" s="4138">
        <f t="shared" si="13"/>
        <v>0</v>
      </c>
      <c r="AR63" s="4128">
        <f t="shared" si="14"/>
        <v>1078.1019999999999</v>
      </c>
      <c r="AS63" s="4175"/>
      <c r="AT63" s="4131"/>
      <c r="AU63" s="4137">
        <f t="shared" si="15"/>
        <v>0</v>
      </c>
      <c r="AV63" s="4136"/>
      <c r="AW63" s="4135">
        <f t="shared" si="16"/>
        <v>95</v>
      </c>
      <c r="AX63" s="4134"/>
      <c r="AY63" s="4134">
        <f t="shared" si="17"/>
        <v>95</v>
      </c>
      <c r="AZ63" s="4134"/>
      <c r="BA63" s="4135">
        <f t="shared" si="18"/>
        <v>0</v>
      </c>
      <c r="BB63" s="4133"/>
      <c r="BC63" s="4133">
        <f t="shared" si="19"/>
        <v>95</v>
      </c>
      <c r="BD63" s="4134"/>
      <c r="BE63" s="4135">
        <f t="shared" si="20"/>
        <v>0</v>
      </c>
      <c r="BF63" s="4132"/>
      <c r="BG63" s="4132">
        <f t="shared" si="21"/>
        <v>95</v>
      </c>
      <c r="BH63" s="4134"/>
      <c r="BI63" s="4135">
        <f t="shared" si="22"/>
        <v>0</v>
      </c>
      <c r="BJ63" s="4132"/>
      <c r="BK63" s="4132">
        <f t="shared" si="23"/>
        <v>95</v>
      </c>
      <c r="BL63" s="4134"/>
      <c r="BM63" s="4135">
        <f t="shared" si="24"/>
        <v>725.10199999999998</v>
      </c>
      <c r="BN63" s="4134"/>
      <c r="BO63" s="4133">
        <f t="shared" si="25"/>
        <v>725.10199999999998</v>
      </c>
      <c r="BP63" s="4134"/>
      <c r="BQ63" s="4157">
        <f t="shared" si="26"/>
        <v>820.10199999999998</v>
      </c>
      <c r="BR63" s="4134"/>
      <c r="BS63" s="4135">
        <f t="shared" si="27"/>
        <v>0</v>
      </c>
      <c r="BT63" s="4134"/>
      <c r="BU63" s="4134">
        <f t="shared" si="28"/>
        <v>820.10199999999998</v>
      </c>
      <c r="BV63" s="4134"/>
      <c r="BW63" s="4135">
        <f t="shared" si="29"/>
        <v>0</v>
      </c>
      <c r="BX63" s="4134"/>
      <c r="BY63" s="4134">
        <f t="shared" si="30"/>
        <v>820.10199999999998</v>
      </c>
      <c r="BZ63" s="4134"/>
      <c r="CA63" s="4135">
        <f t="shared" si="31"/>
        <v>258</v>
      </c>
      <c r="CB63" s="4134"/>
      <c r="CC63" s="4133">
        <f t="shared" si="32"/>
        <v>258</v>
      </c>
      <c r="CD63" s="4134"/>
      <c r="CE63" s="4134">
        <f t="shared" si="33"/>
        <v>1078.1019999999999</v>
      </c>
      <c r="CF63" s="4134"/>
      <c r="CG63" s="4135">
        <f t="shared" si="34"/>
        <v>0</v>
      </c>
      <c r="CH63" s="4134"/>
      <c r="CI63" s="4134">
        <f t="shared" si="35"/>
        <v>1078.1019999999999</v>
      </c>
      <c r="CJ63" s="4134"/>
      <c r="CK63" s="4135">
        <f t="shared" si="36"/>
        <v>0</v>
      </c>
      <c r="CL63" s="4134"/>
      <c r="CM63" s="4134">
        <f t="shared" si="37"/>
        <v>1078.1019999999999</v>
      </c>
      <c r="CN63" s="4134"/>
      <c r="CO63" s="4135">
        <f t="shared" si="38"/>
        <v>0</v>
      </c>
      <c r="CP63" s="4134"/>
      <c r="CQ63" s="4133">
        <f t="shared" si="39"/>
        <v>0</v>
      </c>
      <c r="CR63" s="4134"/>
      <c r="CS63" s="4157">
        <f t="shared" si="40"/>
        <v>258</v>
      </c>
      <c r="CT63" s="4132"/>
      <c r="CU63" s="4160">
        <f t="shared" si="41"/>
        <v>1078.1019999999999</v>
      </c>
      <c r="CV63" s="4159"/>
      <c r="CW63" s="4168"/>
    </row>
    <row r="64" spans="1:101" x14ac:dyDescent="0.25">
      <c r="A64" s="4191"/>
      <c r="B64" s="4191"/>
      <c r="C64" s="4191"/>
      <c r="D64" s="4191"/>
      <c r="E64" s="4179" t="s">
        <v>2150</v>
      </c>
      <c r="F64" s="4171"/>
      <c r="G64" s="4129"/>
      <c r="H64" s="4129"/>
      <c r="I64" s="4178">
        <f t="shared" si="0"/>
        <v>0</v>
      </c>
      <c r="J64" s="4129"/>
      <c r="K64" s="4129"/>
      <c r="L64" s="4129"/>
      <c r="M64" s="4178">
        <f t="shared" si="1"/>
        <v>0</v>
      </c>
      <c r="N64" s="4177">
        <f t="shared" si="2"/>
        <v>0</v>
      </c>
      <c r="O64" s="4125"/>
      <c r="P64" s="4125"/>
      <c r="Q64" s="4129">
        <v>1459</v>
      </c>
      <c r="R64" s="4178">
        <f t="shared" si="3"/>
        <v>1459</v>
      </c>
      <c r="S64" s="4129">
        <v>2228.1559999999999</v>
      </c>
      <c r="T64" s="4129"/>
      <c r="U64" s="4176"/>
      <c r="V64" s="4178">
        <f t="shared" si="4"/>
        <v>2228.1559999999999</v>
      </c>
      <c r="W64" s="4177">
        <f t="shared" si="5"/>
        <v>3687.1559999999999</v>
      </c>
      <c r="X64" s="4141">
        <f t="shared" si="6"/>
        <v>3687.1559999999999</v>
      </c>
      <c r="Y64" s="4140"/>
      <c r="Z64" s="4129"/>
      <c r="AA64" s="4129"/>
      <c r="AB64" s="4178">
        <f t="shared" si="7"/>
        <v>0</v>
      </c>
      <c r="AC64" s="4129"/>
      <c r="AD64" s="4129"/>
      <c r="AE64" s="4129"/>
      <c r="AF64" s="4139">
        <f t="shared" si="8"/>
        <v>0</v>
      </c>
      <c r="AG64" s="4177">
        <f t="shared" si="9"/>
        <v>0</v>
      </c>
      <c r="AH64" s="4125"/>
      <c r="AI64" s="4125"/>
      <c r="AJ64" s="4125">
        <v>0</v>
      </c>
      <c r="AK64" s="4178">
        <f t="shared" si="10"/>
        <v>0</v>
      </c>
      <c r="AL64" s="4129">
        <v>0</v>
      </c>
      <c r="AM64" s="4129"/>
      <c r="AN64" s="4176"/>
      <c r="AO64" s="4178">
        <f t="shared" si="11"/>
        <v>0</v>
      </c>
      <c r="AP64" s="4177">
        <f t="shared" si="12"/>
        <v>0</v>
      </c>
      <c r="AQ64" s="4138">
        <f t="shared" si="13"/>
        <v>0</v>
      </c>
      <c r="AR64" s="4128">
        <f t="shared" si="14"/>
        <v>3687.1559999999999</v>
      </c>
      <c r="AS64" s="4175"/>
      <c r="AT64" s="4131"/>
      <c r="AU64" s="4137">
        <f t="shared" si="15"/>
        <v>0</v>
      </c>
      <c r="AV64" s="4136"/>
      <c r="AW64" s="4135">
        <f t="shared" si="16"/>
        <v>0</v>
      </c>
      <c r="AX64" s="4134"/>
      <c r="AY64" s="4134">
        <f t="shared" si="17"/>
        <v>0</v>
      </c>
      <c r="AZ64" s="4134"/>
      <c r="BA64" s="4135">
        <f t="shared" si="18"/>
        <v>0</v>
      </c>
      <c r="BB64" s="4133"/>
      <c r="BC64" s="4133">
        <f t="shared" si="19"/>
        <v>0</v>
      </c>
      <c r="BD64" s="4134"/>
      <c r="BE64" s="4135">
        <f t="shared" si="20"/>
        <v>0</v>
      </c>
      <c r="BF64" s="4132"/>
      <c r="BG64" s="4132">
        <f t="shared" si="21"/>
        <v>0</v>
      </c>
      <c r="BH64" s="4134"/>
      <c r="BI64" s="4135">
        <f t="shared" si="22"/>
        <v>0</v>
      </c>
      <c r="BJ64" s="4132"/>
      <c r="BK64" s="4132">
        <f t="shared" si="23"/>
        <v>0</v>
      </c>
      <c r="BL64" s="4134"/>
      <c r="BM64" s="4135">
        <f t="shared" si="24"/>
        <v>0</v>
      </c>
      <c r="BN64" s="4134"/>
      <c r="BO64" s="4133">
        <f t="shared" si="25"/>
        <v>0</v>
      </c>
      <c r="BP64" s="4134"/>
      <c r="BQ64" s="4157">
        <f t="shared" si="26"/>
        <v>0</v>
      </c>
      <c r="BR64" s="4134"/>
      <c r="BS64" s="4135">
        <f t="shared" si="27"/>
        <v>0</v>
      </c>
      <c r="BT64" s="4134"/>
      <c r="BU64" s="4134">
        <f t="shared" si="28"/>
        <v>0</v>
      </c>
      <c r="BV64" s="4134"/>
      <c r="BW64" s="4135">
        <f t="shared" si="29"/>
        <v>0</v>
      </c>
      <c r="BX64" s="4134"/>
      <c r="BY64" s="4134">
        <f t="shared" si="30"/>
        <v>0</v>
      </c>
      <c r="BZ64" s="4134"/>
      <c r="CA64" s="4135">
        <f t="shared" si="31"/>
        <v>1459</v>
      </c>
      <c r="CB64" s="4134"/>
      <c r="CC64" s="4133">
        <f t="shared" si="32"/>
        <v>1459</v>
      </c>
      <c r="CD64" s="4134"/>
      <c r="CE64" s="4134">
        <f t="shared" si="33"/>
        <v>1459</v>
      </c>
      <c r="CF64" s="4134"/>
      <c r="CG64" s="4135">
        <f t="shared" si="34"/>
        <v>2228.1559999999999</v>
      </c>
      <c r="CH64" s="4134"/>
      <c r="CI64" s="4134">
        <f t="shared" si="35"/>
        <v>3687.1559999999999</v>
      </c>
      <c r="CJ64" s="4134"/>
      <c r="CK64" s="4135">
        <f t="shared" si="36"/>
        <v>0</v>
      </c>
      <c r="CL64" s="4134"/>
      <c r="CM64" s="4134">
        <f t="shared" si="37"/>
        <v>3687.1559999999999</v>
      </c>
      <c r="CN64" s="4134"/>
      <c r="CO64" s="4135">
        <f t="shared" si="38"/>
        <v>0</v>
      </c>
      <c r="CP64" s="4134"/>
      <c r="CQ64" s="4133">
        <f t="shared" si="39"/>
        <v>2228.1559999999999</v>
      </c>
      <c r="CR64" s="4134"/>
      <c r="CS64" s="4157">
        <f t="shared" si="40"/>
        <v>3687.1559999999999</v>
      </c>
      <c r="CT64" s="4132"/>
      <c r="CU64" s="4160">
        <f t="shared" si="41"/>
        <v>3687.1559999999999</v>
      </c>
      <c r="CV64" s="4159"/>
      <c r="CW64" s="4168"/>
    </row>
    <row r="65" spans="1:103" x14ac:dyDescent="0.25">
      <c r="A65" s="4191"/>
      <c r="B65" s="4191"/>
      <c r="C65" s="4191"/>
      <c r="D65" s="4191"/>
      <c r="E65" s="4179" t="s">
        <v>1210</v>
      </c>
      <c r="F65" s="4171">
        <v>9984</v>
      </c>
      <c r="G65" s="4129">
        <v>3129</v>
      </c>
      <c r="H65" s="4129">
        <v>2932</v>
      </c>
      <c r="I65" s="4178">
        <f t="shared" si="0"/>
        <v>16045</v>
      </c>
      <c r="J65" s="4129">
        <v>10428</v>
      </c>
      <c r="K65" s="4129">
        <v>10346</v>
      </c>
      <c r="L65" s="4129">
        <v>6306.0619999999999</v>
      </c>
      <c r="M65" s="4178">
        <f t="shared" si="1"/>
        <v>27080.061999999998</v>
      </c>
      <c r="N65" s="4177">
        <f t="shared" si="2"/>
        <v>43125.061999999998</v>
      </c>
      <c r="O65" s="4125"/>
      <c r="P65" s="4125"/>
      <c r="Q65" s="4129">
        <v>6357</v>
      </c>
      <c r="R65" s="4178">
        <f t="shared" si="3"/>
        <v>6357</v>
      </c>
      <c r="S65" s="4129">
        <v>11612.201999999999</v>
      </c>
      <c r="T65" s="4129">
        <v>13929.146000000001</v>
      </c>
      <c r="U65" s="4176">
        <v>15519</v>
      </c>
      <c r="V65" s="4178">
        <f t="shared" si="4"/>
        <v>41060.347999999998</v>
      </c>
      <c r="W65" s="4177">
        <f t="shared" si="5"/>
        <v>47417.347999999998</v>
      </c>
      <c r="X65" s="4141">
        <f t="shared" si="6"/>
        <v>90542.41</v>
      </c>
      <c r="Y65" s="4140">
        <v>1533</v>
      </c>
      <c r="Z65" s="4129">
        <v>3313</v>
      </c>
      <c r="AA65" s="4129">
        <v>0</v>
      </c>
      <c r="AB65" s="4178">
        <f t="shared" si="7"/>
        <v>4846</v>
      </c>
      <c r="AC65" s="4129">
        <v>5420</v>
      </c>
      <c r="AD65" s="4129">
        <v>3926</v>
      </c>
      <c r="AE65" s="4129">
        <v>4627.5460000000003</v>
      </c>
      <c r="AF65" s="4139">
        <f t="shared" si="8"/>
        <v>13973.546</v>
      </c>
      <c r="AG65" s="4177">
        <f t="shared" si="9"/>
        <v>18819.546000000002</v>
      </c>
      <c r="AH65" s="4125"/>
      <c r="AI65" s="4125"/>
      <c r="AJ65" s="4125">
        <v>9360</v>
      </c>
      <c r="AK65" s="4178">
        <f t="shared" si="10"/>
        <v>9360</v>
      </c>
      <c r="AL65" s="4129">
        <v>6263.7820000000002</v>
      </c>
      <c r="AM65" s="4129">
        <v>1566.4739999999999</v>
      </c>
      <c r="AN65" s="4176">
        <v>611</v>
      </c>
      <c r="AO65" s="4178">
        <f t="shared" si="11"/>
        <v>8441.2560000000012</v>
      </c>
      <c r="AP65" s="4177">
        <f t="shared" si="12"/>
        <v>17801.256000000001</v>
      </c>
      <c r="AQ65" s="4138">
        <f t="shared" si="13"/>
        <v>36620.802000000003</v>
      </c>
      <c r="AR65" s="4128">
        <f t="shared" si="14"/>
        <v>127163.212</v>
      </c>
      <c r="AS65" s="4175"/>
      <c r="AT65" s="4131"/>
      <c r="AU65" s="4137">
        <f t="shared" si="15"/>
        <v>11517</v>
      </c>
      <c r="AV65" s="4136"/>
      <c r="AW65" s="4135">
        <f t="shared" si="16"/>
        <v>6442</v>
      </c>
      <c r="AX65" s="4134"/>
      <c r="AY65" s="4134">
        <f t="shared" si="17"/>
        <v>17959</v>
      </c>
      <c r="AZ65" s="4134"/>
      <c r="BA65" s="4135">
        <f t="shared" si="18"/>
        <v>2932</v>
      </c>
      <c r="BB65" s="4133"/>
      <c r="BC65" s="4133">
        <f t="shared" si="19"/>
        <v>20891</v>
      </c>
      <c r="BD65" s="4134"/>
      <c r="BE65" s="4135">
        <f t="shared" si="20"/>
        <v>15848</v>
      </c>
      <c r="BF65" s="4132"/>
      <c r="BG65" s="4132">
        <f t="shared" si="21"/>
        <v>36739</v>
      </c>
      <c r="BH65" s="4134"/>
      <c r="BI65" s="4135">
        <f t="shared" si="22"/>
        <v>14272</v>
      </c>
      <c r="BJ65" s="4132"/>
      <c r="BK65" s="4132">
        <f t="shared" si="23"/>
        <v>51011</v>
      </c>
      <c r="BL65" s="4134"/>
      <c r="BM65" s="4135">
        <f t="shared" si="24"/>
        <v>10933.608</v>
      </c>
      <c r="BN65" s="4134"/>
      <c r="BO65" s="4133">
        <f t="shared" si="25"/>
        <v>41053.608</v>
      </c>
      <c r="BP65" s="4134"/>
      <c r="BQ65" s="4157">
        <f t="shared" si="26"/>
        <v>61944.608</v>
      </c>
      <c r="BR65" s="4134"/>
      <c r="BS65" s="4135">
        <f t="shared" si="27"/>
        <v>0</v>
      </c>
      <c r="BT65" s="4134"/>
      <c r="BU65" s="4134">
        <f t="shared" si="28"/>
        <v>61944.608</v>
      </c>
      <c r="BV65" s="4134"/>
      <c r="BW65" s="4135">
        <f t="shared" si="29"/>
        <v>0</v>
      </c>
      <c r="BX65" s="4134"/>
      <c r="BY65" s="4134">
        <f t="shared" si="30"/>
        <v>61944.608</v>
      </c>
      <c r="BZ65" s="4134"/>
      <c r="CA65" s="4135">
        <f t="shared" si="31"/>
        <v>15717</v>
      </c>
      <c r="CB65" s="4134"/>
      <c r="CC65" s="4133">
        <f t="shared" si="32"/>
        <v>15717</v>
      </c>
      <c r="CD65" s="4134"/>
      <c r="CE65" s="4134">
        <f t="shared" si="33"/>
        <v>77661.608000000007</v>
      </c>
      <c r="CF65" s="4134"/>
      <c r="CG65" s="4135">
        <f t="shared" si="34"/>
        <v>17875.984</v>
      </c>
      <c r="CH65" s="4134"/>
      <c r="CI65" s="4134">
        <f t="shared" si="35"/>
        <v>95537.592000000004</v>
      </c>
      <c r="CJ65" s="4134"/>
      <c r="CK65" s="4135">
        <f t="shared" si="36"/>
        <v>15495.62</v>
      </c>
      <c r="CL65" s="4134"/>
      <c r="CM65" s="4134">
        <f t="shared" si="37"/>
        <v>111033.212</v>
      </c>
      <c r="CN65" s="4134"/>
      <c r="CO65" s="4135">
        <f t="shared" si="38"/>
        <v>16130</v>
      </c>
      <c r="CP65" s="4134"/>
      <c r="CQ65" s="4133">
        <f t="shared" si="39"/>
        <v>49501.603999999999</v>
      </c>
      <c r="CR65" s="4134"/>
      <c r="CS65" s="4157">
        <f t="shared" si="40"/>
        <v>65218.603999999999</v>
      </c>
      <c r="CT65" s="4132"/>
      <c r="CU65" s="4160">
        <f t="shared" si="41"/>
        <v>127163.212</v>
      </c>
      <c r="CV65" s="4159"/>
      <c r="CW65" s="4168"/>
    </row>
    <row r="66" spans="1:103" x14ac:dyDescent="0.25">
      <c r="A66" s="4191"/>
      <c r="B66" s="4191"/>
      <c r="C66" s="4191"/>
      <c r="D66" s="4191"/>
      <c r="E66" s="4179" t="s">
        <v>1211</v>
      </c>
      <c r="F66" s="4171">
        <v>0</v>
      </c>
      <c r="G66" s="4129"/>
      <c r="H66" s="4129"/>
      <c r="I66" s="4178">
        <f t="shared" si="0"/>
        <v>0</v>
      </c>
      <c r="J66" s="4129"/>
      <c r="K66" s="4129">
        <v>288</v>
      </c>
      <c r="L66" s="4129">
        <v>408.00200000000001</v>
      </c>
      <c r="M66" s="4178">
        <f t="shared" si="1"/>
        <v>696.00199999999995</v>
      </c>
      <c r="N66" s="4177">
        <f t="shared" si="2"/>
        <v>696.00199999999995</v>
      </c>
      <c r="O66" s="4125">
        <v>0</v>
      </c>
      <c r="P66" s="4125"/>
      <c r="Q66" s="4129"/>
      <c r="R66" s="4178">
        <f t="shared" si="3"/>
        <v>0</v>
      </c>
      <c r="S66" s="4129">
        <v>80.331999999999994</v>
      </c>
      <c r="T66" s="4129"/>
      <c r="U66" s="4176"/>
      <c r="V66" s="4178">
        <f t="shared" si="4"/>
        <v>80.331999999999994</v>
      </c>
      <c r="W66" s="4177">
        <f t="shared" si="5"/>
        <v>80.331999999999994</v>
      </c>
      <c r="X66" s="4141">
        <f t="shared" si="6"/>
        <v>776.33399999999995</v>
      </c>
      <c r="Y66" s="4140">
        <v>110</v>
      </c>
      <c r="Z66" s="4129"/>
      <c r="AA66" s="4129"/>
      <c r="AB66" s="4178">
        <f t="shared" si="7"/>
        <v>110</v>
      </c>
      <c r="AC66" s="4129"/>
      <c r="AD66" s="4129">
        <v>188</v>
      </c>
      <c r="AE66" s="4129">
        <v>0</v>
      </c>
      <c r="AF66" s="4139">
        <f t="shared" si="8"/>
        <v>188</v>
      </c>
      <c r="AG66" s="4177">
        <f t="shared" si="9"/>
        <v>298</v>
      </c>
      <c r="AH66" s="4125">
        <v>105.7</v>
      </c>
      <c r="AI66" s="4125"/>
      <c r="AJ66" s="4125"/>
      <c r="AK66" s="4178">
        <f t="shared" si="10"/>
        <v>105.7</v>
      </c>
      <c r="AL66" s="4129">
        <v>270.59199999999998</v>
      </c>
      <c r="AM66" s="4129"/>
      <c r="AN66" s="4176"/>
      <c r="AO66" s="4178">
        <f t="shared" si="11"/>
        <v>270.59199999999998</v>
      </c>
      <c r="AP66" s="4177">
        <f t="shared" si="12"/>
        <v>376.29199999999997</v>
      </c>
      <c r="AQ66" s="4138">
        <f t="shared" si="13"/>
        <v>674.29199999999992</v>
      </c>
      <c r="AR66" s="4128">
        <f t="shared" si="14"/>
        <v>1450.6259999999997</v>
      </c>
      <c r="AS66" s="4175"/>
      <c r="AT66" s="4131"/>
      <c r="AU66" s="4137">
        <f t="shared" si="15"/>
        <v>110</v>
      </c>
      <c r="AV66" s="4136"/>
      <c r="AW66" s="4135">
        <f t="shared" si="16"/>
        <v>0</v>
      </c>
      <c r="AX66" s="4134"/>
      <c r="AY66" s="4134">
        <f t="shared" si="17"/>
        <v>110</v>
      </c>
      <c r="AZ66" s="4134"/>
      <c r="BA66" s="4135">
        <f t="shared" si="18"/>
        <v>0</v>
      </c>
      <c r="BB66" s="4133"/>
      <c r="BC66" s="4133">
        <f t="shared" si="19"/>
        <v>110</v>
      </c>
      <c r="BD66" s="4134"/>
      <c r="BE66" s="4135">
        <f t="shared" si="20"/>
        <v>0</v>
      </c>
      <c r="BF66" s="4132"/>
      <c r="BG66" s="4132">
        <f t="shared" si="21"/>
        <v>110</v>
      </c>
      <c r="BH66" s="4134"/>
      <c r="BI66" s="4135">
        <f t="shared" si="22"/>
        <v>476</v>
      </c>
      <c r="BJ66" s="4132"/>
      <c r="BK66" s="4132">
        <f t="shared" si="23"/>
        <v>586</v>
      </c>
      <c r="BL66" s="4134"/>
      <c r="BM66" s="4135">
        <f t="shared" si="24"/>
        <v>408.00200000000001</v>
      </c>
      <c r="BN66" s="4134"/>
      <c r="BO66" s="4133">
        <f t="shared" si="25"/>
        <v>884.00199999999995</v>
      </c>
      <c r="BP66" s="4134"/>
      <c r="BQ66" s="4157">
        <f t="shared" si="26"/>
        <v>994.00199999999995</v>
      </c>
      <c r="BR66" s="4134"/>
      <c r="BS66" s="4135">
        <f t="shared" si="27"/>
        <v>105.7</v>
      </c>
      <c r="BT66" s="4134"/>
      <c r="BU66" s="4134">
        <f t="shared" si="28"/>
        <v>1099.702</v>
      </c>
      <c r="BV66" s="4134"/>
      <c r="BW66" s="4135">
        <f t="shared" si="29"/>
        <v>0</v>
      </c>
      <c r="BX66" s="4134"/>
      <c r="BY66" s="4134">
        <f t="shared" si="30"/>
        <v>1099.702</v>
      </c>
      <c r="BZ66" s="4134"/>
      <c r="CA66" s="4135">
        <f t="shared" si="31"/>
        <v>0</v>
      </c>
      <c r="CB66" s="4134"/>
      <c r="CC66" s="4133">
        <f t="shared" si="32"/>
        <v>105.7</v>
      </c>
      <c r="CD66" s="4134"/>
      <c r="CE66" s="4134">
        <f t="shared" si="33"/>
        <v>1099.702</v>
      </c>
      <c r="CF66" s="4134"/>
      <c r="CG66" s="4135">
        <f t="shared" si="34"/>
        <v>350.92399999999998</v>
      </c>
      <c r="CH66" s="4134"/>
      <c r="CI66" s="4134">
        <f t="shared" si="35"/>
        <v>1450.626</v>
      </c>
      <c r="CJ66" s="4134"/>
      <c r="CK66" s="4135">
        <f t="shared" si="36"/>
        <v>0</v>
      </c>
      <c r="CL66" s="4134"/>
      <c r="CM66" s="4134">
        <f t="shared" si="37"/>
        <v>1450.626</v>
      </c>
      <c r="CN66" s="4134"/>
      <c r="CO66" s="4135">
        <f t="shared" si="38"/>
        <v>0</v>
      </c>
      <c r="CP66" s="4134"/>
      <c r="CQ66" s="4133">
        <f t="shared" si="39"/>
        <v>350.92399999999998</v>
      </c>
      <c r="CR66" s="4134"/>
      <c r="CS66" s="4157">
        <f t="shared" si="40"/>
        <v>456.62399999999997</v>
      </c>
      <c r="CT66" s="4132"/>
      <c r="CU66" s="4160">
        <f t="shared" si="41"/>
        <v>1450.626</v>
      </c>
      <c r="CV66" s="4159"/>
      <c r="CW66" s="4168"/>
    </row>
    <row r="67" spans="1:103" x14ac:dyDescent="0.25">
      <c r="A67" s="4191"/>
      <c r="B67" s="4191"/>
      <c r="C67" s="4191"/>
      <c r="D67" s="4191"/>
      <c r="E67" s="4179" t="s">
        <v>1408</v>
      </c>
      <c r="F67" s="4171">
        <v>3809</v>
      </c>
      <c r="G67" s="4129"/>
      <c r="H67" s="4129"/>
      <c r="I67" s="4178">
        <f t="shared" si="0"/>
        <v>3809</v>
      </c>
      <c r="J67" s="4129">
        <v>271</v>
      </c>
      <c r="K67" s="4129">
        <v>2370</v>
      </c>
      <c r="L67" s="4129">
        <v>3644.5360000000001</v>
      </c>
      <c r="M67" s="4178">
        <f t="shared" si="1"/>
        <v>6285.5360000000001</v>
      </c>
      <c r="N67" s="4177">
        <f t="shared" si="2"/>
        <v>10094.536</v>
      </c>
      <c r="O67" s="4125"/>
      <c r="P67" s="4125"/>
      <c r="Q67" s="4129"/>
      <c r="R67" s="4178">
        <f t="shared" si="3"/>
        <v>0</v>
      </c>
      <c r="S67" s="4129"/>
      <c r="T67" s="4129"/>
      <c r="U67" s="4176"/>
      <c r="V67" s="4178">
        <f t="shared" si="4"/>
        <v>0</v>
      </c>
      <c r="W67" s="4177">
        <f t="shared" si="5"/>
        <v>0</v>
      </c>
      <c r="X67" s="4141">
        <f t="shared" si="6"/>
        <v>10094.536</v>
      </c>
      <c r="Y67" s="4140">
        <v>0</v>
      </c>
      <c r="Z67" s="4129"/>
      <c r="AA67" s="4129"/>
      <c r="AB67" s="4178">
        <f t="shared" si="7"/>
        <v>0</v>
      </c>
      <c r="AC67" s="4129">
        <v>0</v>
      </c>
      <c r="AD67" s="4129">
        <v>0</v>
      </c>
      <c r="AE67" s="4129">
        <v>0</v>
      </c>
      <c r="AF67" s="4139">
        <f t="shared" si="8"/>
        <v>0</v>
      </c>
      <c r="AG67" s="4177">
        <f t="shared" si="9"/>
        <v>0</v>
      </c>
      <c r="AH67" s="4125"/>
      <c r="AI67" s="4125"/>
      <c r="AJ67" s="4125"/>
      <c r="AK67" s="4178">
        <f t="shared" si="10"/>
        <v>0</v>
      </c>
      <c r="AL67" s="4129"/>
      <c r="AM67" s="4129"/>
      <c r="AN67" s="4176"/>
      <c r="AO67" s="4178">
        <f t="shared" si="11"/>
        <v>0</v>
      </c>
      <c r="AP67" s="4177">
        <f t="shared" si="12"/>
        <v>0</v>
      </c>
      <c r="AQ67" s="4138">
        <f t="shared" si="13"/>
        <v>0</v>
      </c>
      <c r="AR67" s="4128">
        <f t="shared" si="14"/>
        <v>10094.536</v>
      </c>
      <c r="AS67" s="4175"/>
      <c r="AT67" s="4131"/>
      <c r="AU67" s="4137">
        <f t="shared" si="15"/>
        <v>3809</v>
      </c>
      <c r="AV67" s="4136"/>
      <c r="AW67" s="4135">
        <f t="shared" si="16"/>
        <v>0</v>
      </c>
      <c r="AX67" s="4134"/>
      <c r="AY67" s="4134">
        <f t="shared" si="17"/>
        <v>3809</v>
      </c>
      <c r="AZ67" s="4134"/>
      <c r="BA67" s="4135">
        <f t="shared" si="18"/>
        <v>0</v>
      </c>
      <c r="BB67" s="4133"/>
      <c r="BC67" s="4133">
        <f t="shared" si="19"/>
        <v>3809</v>
      </c>
      <c r="BD67" s="4134"/>
      <c r="BE67" s="4135">
        <f t="shared" si="20"/>
        <v>271</v>
      </c>
      <c r="BF67" s="4132"/>
      <c r="BG67" s="4132">
        <f t="shared" si="21"/>
        <v>4080</v>
      </c>
      <c r="BH67" s="4134"/>
      <c r="BI67" s="4135">
        <f t="shared" si="22"/>
        <v>2370</v>
      </c>
      <c r="BJ67" s="4132"/>
      <c r="BK67" s="4132">
        <f t="shared" si="23"/>
        <v>6450</v>
      </c>
      <c r="BL67" s="4134"/>
      <c r="BM67" s="4135">
        <f t="shared" si="24"/>
        <v>3644.5360000000001</v>
      </c>
      <c r="BN67" s="4134"/>
      <c r="BO67" s="4133">
        <f t="shared" si="25"/>
        <v>6285.5360000000001</v>
      </c>
      <c r="BP67" s="4134"/>
      <c r="BQ67" s="4157">
        <f t="shared" si="26"/>
        <v>10094.536</v>
      </c>
      <c r="BR67" s="4134"/>
      <c r="BS67" s="4135">
        <f t="shared" si="27"/>
        <v>0</v>
      </c>
      <c r="BT67" s="4134"/>
      <c r="BU67" s="4134">
        <f t="shared" si="28"/>
        <v>10094.536</v>
      </c>
      <c r="BV67" s="4134"/>
      <c r="BW67" s="4135">
        <f t="shared" si="29"/>
        <v>0</v>
      </c>
      <c r="BX67" s="4134"/>
      <c r="BY67" s="4134">
        <f t="shared" si="30"/>
        <v>10094.536</v>
      </c>
      <c r="BZ67" s="4134"/>
      <c r="CA67" s="4135">
        <f t="shared" si="31"/>
        <v>0</v>
      </c>
      <c r="CB67" s="4134"/>
      <c r="CC67" s="4133">
        <f t="shared" si="32"/>
        <v>0</v>
      </c>
      <c r="CD67" s="4134"/>
      <c r="CE67" s="4134">
        <f t="shared" si="33"/>
        <v>10094.536</v>
      </c>
      <c r="CF67" s="4134"/>
      <c r="CG67" s="4135">
        <f t="shared" si="34"/>
        <v>0</v>
      </c>
      <c r="CH67" s="4134"/>
      <c r="CI67" s="4134">
        <f t="shared" si="35"/>
        <v>10094.536</v>
      </c>
      <c r="CJ67" s="4134"/>
      <c r="CK67" s="4135">
        <f t="shared" si="36"/>
        <v>0</v>
      </c>
      <c r="CL67" s="4134"/>
      <c r="CM67" s="4134">
        <f t="shared" si="37"/>
        <v>10094.536</v>
      </c>
      <c r="CN67" s="4134"/>
      <c r="CO67" s="4135">
        <f t="shared" si="38"/>
        <v>0</v>
      </c>
      <c r="CP67" s="4134"/>
      <c r="CQ67" s="4133">
        <f t="shared" si="39"/>
        <v>0</v>
      </c>
      <c r="CR67" s="4134"/>
      <c r="CS67" s="4157">
        <f t="shared" si="40"/>
        <v>0</v>
      </c>
      <c r="CT67" s="4132"/>
      <c r="CU67" s="4160">
        <f t="shared" si="41"/>
        <v>10094.536</v>
      </c>
      <c r="CV67" s="4159"/>
      <c r="CW67" s="4168"/>
    </row>
    <row r="68" spans="1:103" x14ac:dyDescent="0.25">
      <c r="A68" s="4191"/>
      <c r="B68" s="4191"/>
      <c r="C68" s="4191"/>
      <c r="D68" s="4191"/>
      <c r="E68" s="4179" t="s">
        <v>1304</v>
      </c>
      <c r="F68" s="4171"/>
      <c r="G68" s="4129"/>
      <c r="H68" s="4129"/>
      <c r="I68" s="4178">
        <f t="shared" si="0"/>
        <v>0</v>
      </c>
      <c r="J68" s="4129"/>
      <c r="K68" s="4129"/>
      <c r="L68" s="4129">
        <v>458.738</v>
      </c>
      <c r="M68" s="4178">
        <f t="shared" si="1"/>
        <v>458.738</v>
      </c>
      <c r="N68" s="4177">
        <f t="shared" si="2"/>
        <v>458.738</v>
      </c>
      <c r="O68" s="4125"/>
      <c r="P68" s="4125"/>
      <c r="Q68" s="4129"/>
      <c r="R68" s="4178">
        <f t="shared" si="3"/>
        <v>0</v>
      </c>
      <c r="S68" s="4129"/>
      <c r="T68" s="4129"/>
      <c r="U68" s="4176"/>
      <c r="V68" s="4178">
        <f t="shared" si="4"/>
        <v>0</v>
      </c>
      <c r="W68" s="4177">
        <f t="shared" si="5"/>
        <v>0</v>
      </c>
      <c r="X68" s="4141">
        <f t="shared" si="6"/>
        <v>458.738</v>
      </c>
      <c r="Y68" s="4140"/>
      <c r="Z68" s="4129"/>
      <c r="AA68" s="4129"/>
      <c r="AB68" s="4178">
        <f t="shared" si="7"/>
        <v>0</v>
      </c>
      <c r="AC68" s="4129"/>
      <c r="AD68" s="4129"/>
      <c r="AE68" s="4129">
        <v>0</v>
      </c>
      <c r="AF68" s="4139">
        <f t="shared" si="8"/>
        <v>0</v>
      </c>
      <c r="AG68" s="4177">
        <f t="shared" si="9"/>
        <v>0</v>
      </c>
      <c r="AH68" s="4125"/>
      <c r="AI68" s="4125"/>
      <c r="AJ68" s="4125"/>
      <c r="AK68" s="4178">
        <f t="shared" si="10"/>
        <v>0</v>
      </c>
      <c r="AL68" s="4129"/>
      <c r="AM68" s="4129"/>
      <c r="AN68" s="4176"/>
      <c r="AO68" s="4178">
        <f t="shared" si="11"/>
        <v>0</v>
      </c>
      <c r="AP68" s="4177">
        <f t="shared" si="12"/>
        <v>0</v>
      </c>
      <c r="AQ68" s="4138">
        <f t="shared" si="13"/>
        <v>0</v>
      </c>
      <c r="AR68" s="4128">
        <f t="shared" si="14"/>
        <v>458.738</v>
      </c>
      <c r="AS68" s="4175"/>
      <c r="AT68" s="4131"/>
      <c r="AU68" s="4137">
        <f t="shared" si="15"/>
        <v>0</v>
      </c>
      <c r="AV68" s="4136"/>
      <c r="AW68" s="4135">
        <f t="shared" si="16"/>
        <v>0</v>
      </c>
      <c r="AX68" s="4134"/>
      <c r="AY68" s="4134">
        <f t="shared" si="17"/>
        <v>0</v>
      </c>
      <c r="AZ68" s="4134"/>
      <c r="BA68" s="4135">
        <f t="shared" si="18"/>
        <v>0</v>
      </c>
      <c r="BB68" s="4133"/>
      <c r="BC68" s="4133">
        <f t="shared" si="19"/>
        <v>0</v>
      </c>
      <c r="BD68" s="4134"/>
      <c r="BE68" s="4135">
        <f t="shared" si="20"/>
        <v>0</v>
      </c>
      <c r="BF68" s="4132"/>
      <c r="BG68" s="4132">
        <f t="shared" si="21"/>
        <v>0</v>
      </c>
      <c r="BH68" s="4134"/>
      <c r="BI68" s="4135">
        <f t="shared" si="22"/>
        <v>0</v>
      </c>
      <c r="BJ68" s="4132"/>
      <c r="BK68" s="4132">
        <f t="shared" si="23"/>
        <v>0</v>
      </c>
      <c r="BL68" s="4134"/>
      <c r="BM68" s="4135">
        <f t="shared" si="24"/>
        <v>458.738</v>
      </c>
      <c r="BN68" s="4134"/>
      <c r="BO68" s="4133">
        <f t="shared" si="25"/>
        <v>458.738</v>
      </c>
      <c r="BP68" s="4134"/>
      <c r="BQ68" s="4157">
        <f t="shared" si="26"/>
        <v>458.738</v>
      </c>
      <c r="BR68" s="4134"/>
      <c r="BS68" s="4135">
        <f t="shared" si="27"/>
        <v>0</v>
      </c>
      <c r="BT68" s="4134"/>
      <c r="BU68" s="4134">
        <f t="shared" si="28"/>
        <v>458.738</v>
      </c>
      <c r="BV68" s="4134"/>
      <c r="BW68" s="4135">
        <f t="shared" si="29"/>
        <v>0</v>
      </c>
      <c r="BX68" s="4134"/>
      <c r="BY68" s="4134">
        <f t="shared" si="30"/>
        <v>458.738</v>
      </c>
      <c r="BZ68" s="4134"/>
      <c r="CA68" s="4135">
        <f t="shared" si="31"/>
        <v>0</v>
      </c>
      <c r="CB68" s="4134"/>
      <c r="CC68" s="4133">
        <f t="shared" si="32"/>
        <v>0</v>
      </c>
      <c r="CD68" s="4134"/>
      <c r="CE68" s="4134">
        <f t="shared" si="33"/>
        <v>458.738</v>
      </c>
      <c r="CF68" s="4134"/>
      <c r="CG68" s="4135">
        <f t="shared" si="34"/>
        <v>0</v>
      </c>
      <c r="CH68" s="4134"/>
      <c r="CI68" s="4134">
        <f t="shared" si="35"/>
        <v>458.738</v>
      </c>
      <c r="CJ68" s="4134"/>
      <c r="CK68" s="4135">
        <f t="shared" si="36"/>
        <v>0</v>
      </c>
      <c r="CL68" s="4134"/>
      <c r="CM68" s="4134">
        <f t="shared" si="37"/>
        <v>458.738</v>
      </c>
      <c r="CN68" s="4134"/>
      <c r="CO68" s="4135">
        <f t="shared" si="38"/>
        <v>0</v>
      </c>
      <c r="CP68" s="4134"/>
      <c r="CQ68" s="4133">
        <f t="shared" si="39"/>
        <v>0</v>
      </c>
      <c r="CR68" s="4134"/>
      <c r="CS68" s="4157">
        <f t="shared" si="40"/>
        <v>0</v>
      </c>
      <c r="CT68" s="4132"/>
      <c r="CU68" s="4160">
        <f t="shared" si="41"/>
        <v>458.738</v>
      </c>
      <c r="CV68" s="4159"/>
      <c r="CW68" s="4168"/>
    </row>
    <row r="69" spans="1:103" x14ac:dyDescent="0.25">
      <c r="A69" s="4191"/>
      <c r="B69" s="4191"/>
      <c r="C69" s="4191"/>
      <c r="D69" s="4191"/>
      <c r="E69" s="4179" t="s">
        <v>1566</v>
      </c>
      <c r="F69" s="4171">
        <v>1503</v>
      </c>
      <c r="G69" s="4129"/>
      <c r="H69" s="4129"/>
      <c r="I69" s="4178">
        <f t="shared" si="0"/>
        <v>1503</v>
      </c>
      <c r="J69" s="4129">
        <v>3702</v>
      </c>
      <c r="K69" s="4129">
        <v>408</v>
      </c>
      <c r="L69" s="4129"/>
      <c r="M69" s="4178">
        <f t="shared" si="1"/>
        <v>4110</v>
      </c>
      <c r="N69" s="4177">
        <f t="shared" si="2"/>
        <v>5613</v>
      </c>
      <c r="O69" s="4125"/>
      <c r="P69" s="4125"/>
      <c r="Q69" s="4129"/>
      <c r="R69" s="4178">
        <f t="shared" si="3"/>
        <v>0</v>
      </c>
      <c r="S69" s="4129">
        <v>832.91600000000005</v>
      </c>
      <c r="T69" s="4129">
        <v>1663.7180000000001</v>
      </c>
      <c r="U69" s="4176"/>
      <c r="V69" s="4178">
        <f t="shared" si="4"/>
        <v>2496.634</v>
      </c>
      <c r="W69" s="4177">
        <f t="shared" si="5"/>
        <v>2496.634</v>
      </c>
      <c r="X69" s="4141">
        <f t="shared" si="6"/>
        <v>8109.634</v>
      </c>
      <c r="Y69" s="4140">
        <v>0</v>
      </c>
      <c r="Z69" s="4129"/>
      <c r="AA69" s="4129"/>
      <c r="AB69" s="4178">
        <f t="shared" si="7"/>
        <v>0</v>
      </c>
      <c r="AC69" s="4129">
        <v>0</v>
      </c>
      <c r="AD69" s="4129">
        <v>0</v>
      </c>
      <c r="AE69" s="4129"/>
      <c r="AF69" s="4139">
        <f t="shared" si="8"/>
        <v>0</v>
      </c>
      <c r="AG69" s="4177">
        <f t="shared" si="9"/>
        <v>0</v>
      </c>
      <c r="AH69" s="4125"/>
      <c r="AI69" s="4125"/>
      <c r="AJ69" s="4125"/>
      <c r="AK69" s="4178">
        <f t="shared" si="10"/>
        <v>0</v>
      </c>
      <c r="AL69" s="4129">
        <v>0</v>
      </c>
      <c r="AM69" s="4129">
        <v>0</v>
      </c>
      <c r="AN69" s="4176"/>
      <c r="AO69" s="4178">
        <f t="shared" si="11"/>
        <v>0</v>
      </c>
      <c r="AP69" s="4177">
        <f t="shared" si="12"/>
        <v>0</v>
      </c>
      <c r="AQ69" s="4138">
        <f t="shared" si="13"/>
        <v>0</v>
      </c>
      <c r="AR69" s="4128">
        <f t="shared" si="14"/>
        <v>8109.634</v>
      </c>
      <c r="AS69" s="4175"/>
      <c r="AT69" s="4131"/>
      <c r="AU69" s="4137">
        <f t="shared" si="15"/>
        <v>1503</v>
      </c>
      <c r="AV69" s="4136"/>
      <c r="AW69" s="4135">
        <f t="shared" si="16"/>
        <v>0</v>
      </c>
      <c r="AX69" s="4134"/>
      <c r="AY69" s="4134">
        <f t="shared" si="17"/>
        <v>1503</v>
      </c>
      <c r="AZ69" s="4134"/>
      <c r="BA69" s="4135">
        <f t="shared" si="18"/>
        <v>0</v>
      </c>
      <c r="BB69" s="4133"/>
      <c r="BC69" s="4133">
        <f t="shared" si="19"/>
        <v>1503</v>
      </c>
      <c r="BD69" s="4134"/>
      <c r="BE69" s="4135">
        <f t="shared" si="20"/>
        <v>3702</v>
      </c>
      <c r="BF69" s="4132"/>
      <c r="BG69" s="4132">
        <f t="shared" si="21"/>
        <v>5205</v>
      </c>
      <c r="BH69" s="4134"/>
      <c r="BI69" s="4135">
        <f t="shared" si="22"/>
        <v>408</v>
      </c>
      <c r="BJ69" s="4132"/>
      <c r="BK69" s="4132">
        <f t="shared" si="23"/>
        <v>5613</v>
      </c>
      <c r="BL69" s="4134"/>
      <c r="BM69" s="4135">
        <f t="shared" si="24"/>
        <v>0</v>
      </c>
      <c r="BN69" s="4134"/>
      <c r="BO69" s="4133">
        <f t="shared" si="25"/>
        <v>4110</v>
      </c>
      <c r="BP69" s="4134"/>
      <c r="BQ69" s="4157">
        <f t="shared" si="26"/>
        <v>5613</v>
      </c>
      <c r="BR69" s="4134"/>
      <c r="BS69" s="4135">
        <f t="shared" si="27"/>
        <v>0</v>
      </c>
      <c r="BT69" s="4134"/>
      <c r="BU69" s="4134">
        <f t="shared" si="28"/>
        <v>5613</v>
      </c>
      <c r="BV69" s="4134"/>
      <c r="BW69" s="4135">
        <f t="shared" si="29"/>
        <v>0</v>
      </c>
      <c r="BX69" s="4134"/>
      <c r="BY69" s="4134">
        <f t="shared" si="30"/>
        <v>5613</v>
      </c>
      <c r="BZ69" s="4134"/>
      <c r="CA69" s="4135">
        <f t="shared" si="31"/>
        <v>0</v>
      </c>
      <c r="CB69" s="4134"/>
      <c r="CC69" s="4133">
        <f t="shared" si="32"/>
        <v>0</v>
      </c>
      <c r="CD69" s="4134"/>
      <c r="CE69" s="4134">
        <f t="shared" si="33"/>
        <v>5613</v>
      </c>
      <c r="CF69" s="4134"/>
      <c r="CG69" s="4135">
        <f t="shared" si="34"/>
        <v>832.91600000000005</v>
      </c>
      <c r="CH69" s="4134"/>
      <c r="CI69" s="4134">
        <f t="shared" si="35"/>
        <v>6445.9160000000002</v>
      </c>
      <c r="CJ69" s="4134"/>
      <c r="CK69" s="4135">
        <f t="shared" si="36"/>
        <v>1663.7180000000001</v>
      </c>
      <c r="CL69" s="4134"/>
      <c r="CM69" s="4134">
        <f t="shared" si="37"/>
        <v>8109.634</v>
      </c>
      <c r="CN69" s="4134"/>
      <c r="CO69" s="4135">
        <f t="shared" si="38"/>
        <v>0</v>
      </c>
      <c r="CP69" s="4134"/>
      <c r="CQ69" s="4133">
        <f t="shared" si="39"/>
        <v>2496.634</v>
      </c>
      <c r="CR69" s="4134"/>
      <c r="CS69" s="4157">
        <f t="shared" si="40"/>
        <v>2496.634</v>
      </c>
      <c r="CT69" s="4132"/>
      <c r="CU69" s="4160">
        <f t="shared" si="41"/>
        <v>8109.634</v>
      </c>
      <c r="CV69" s="4159"/>
      <c r="CW69" s="4168"/>
    </row>
    <row r="70" spans="1:103" x14ac:dyDescent="0.25">
      <c r="A70" s="4191"/>
      <c r="B70" s="4191"/>
      <c r="C70" s="4191"/>
      <c r="D70" s="4191"/>
      <c r="E70" s="4179" t="s">
        <v>1714</v>
      </c>
      <c r="F70" s="4171">
        <v>2116</v>
      </c>
      <c r="G70" s="4129">
        <v>1002</v>
      </c>
      <c r="H70" s="4129">
        <v>0</v>
      </c>
      <c r="I70" s="4178">
        <f t="shared" ref="I70:I72" si="42">SUM(F70:H70)</f>
        <v>3118</v>
      </c>
      <c r="J70" s="4129"/>
      <c r="K70" s="4129">
        <v>696</v>
      </c>
      <c r="L70" s="4129"/>
      <c r="M70" s="4178">
        <f t="shared" ref="M70:M72" si="43">SUM(J70:L70)</f>
        <v>696</v>
      </c>
      <c r="N70" s="4177">
        <f t="shared" ref="N70:N72" si="44">+I70+M70</f>
        <v>3814</v>
      </c>
      <c r="O70" s="4125"/>
      <c r="P70" s="4125"/>
      <c r="Q70" s="4129"/>
      <c r="R70" s="4178">
        <f t="shared" ref="R70:R72" si="45">SUM(O70:Q70)</f>
        <v>0</v>
      </c>
      <c r="S70" s="4129"/>
      <c r="T70" s="4129"/>
      <c r="U70" s="4176"/>
      <c r="V70" s="4178">
        <f t="shared" ref="V70:V72" si="46">SUM(S70:U70)</f>
        <v>0</v>
      </c>
      <c r="W70" s="4177">
        <f t="shared" ref="W70:W72" si="47">+R70+V70</f>
        <v>0</v>
      </c>
      <c r="X70" s="4141">
        <f t="shared" ref="X70:X72" si="48">+F70+G70+H70+J70+K70+L70+O70+P70+Q70+S70+T70+U70</f>
        <v>3814</v>
      </c>
      <c r="Y70" s="4140">
        <v>0</v>
      </c>
      <c r="Z70" s="4129">
        <v>0</v>
      </c>
      <c r="AA70" s="4129">
        <v>99</v>
      </c>
      <c r="AB70" s="4178">
        <f t="shared" ref="AB70:AB72" si="49">+Y70+Z70+AA70</f>
        <v>99</v>
      </c>
      <c r="AC70" s="4129"/>
      <c r="AD70" s="4129">
        <v>0</v>
      </c>
      <c r="AE70" s="4129"/>
      <c r="AF70" s="4139">
        <f t="shared" ref="AF70:AF72" si="50">SUM(AC70:AE70)</f>
        <v>0</v>
      </c>
      <c r="AG70" s="4177">
        <f t="shared" ref="AG70:AG72" si="51">+AB70+AF70</f>
        <v>99</v>
      </c>
      <c r="AH70" s="4125"/>
      <c r="AI70" s="4125"/>
      <c r="AJ70" s="4125"/>
      <c r="AK70" s="4178">
        <f t="shared" ref="AK70:AK72" si="52">SUM(AH70:AJ70)</f>
        <v>0</v>
      </c>
      <c r="AL70" s="4129"/>
      <c r="AM70" s="4129"/>
      <c r="AN70" s="4176"/>
      <c r="AO70" s="4178">
        <f t="shared" ref="AO70:AO72" si="53">+AL70+AM70+AN70</f>
        <v>0</v>
      </c>
      <c r="AP70" s="4177">
        <f t="shared" ref="AP70:AP72" si="54">+AK70+AO70</f>
        <v>0</v>
      </c>
      <c r="AQ70" s="4138">
        <f t="shared" ref="AQ70:AQ72" si="55">SUM(Y70:AA70,AC70:AE70,AH70:AJ70,AL70:AN70)</f>
        <v>99</v>
      </c>
      <c r="AR70" s="4128">
        <f t="shared" ref="AR70:AR72" si="56">+X70+AQ70</f>
        <v>3913</v>
      </c>
      <c r="AS70" s="4175"/>
      <c r="AT70" s="4131"/>
      <c r="AU70" s="4137">
        <f t="shared" ref="AU70:AU72" si="57">+F70+Y70</f>
        <v>2116</v>
      </c>
      <c r="AV70" s="4136"/>
      <c r="AW70" s="4135">
        <f t="shared" ref="AW70:AW72" si="58">+G70+Z70</f>
        <v>1002</v>
      </c>
      <c r="AX70" s="4134"/>
      <c r="AY70" s="4134">
        <f t="shared" ref="AY70:AY72" si="59">AU70+AW70</f>
        <v>3118</v>
      </c>
      <c r="AZ70" s="4134"/>
      <c r="BA70" s="4135">
        <f t="shared" ref="BA70:BA72" si="60">+H70+AA70</f>
        <v>99</v>
      </c>
      <c r="BB70" s="4133"/>
      <c r="BC70" s="4133">
        <f t="shared" ref="BC70:BC72" si="61">AU70+AW70+BA70</f>
        <v>3217</v>
      </c>
      <c r="BD70" s="4134"/>
      <c r="BE70" s="4135">
        <f t="shared" ref="BE70:BE72" si="62">+J70+AC70</f>
        <v>0</v>
      </c>
      <c r="BF70" s="4132"/>
      <c r="BG70" s="4132">
        <f t="shared" ref="BG70:BG72" si="63">+BC70+BE70</f>
        <v>3217</v>
      </c>
      <c r="BH70" s="4134"/>
      <c r="BI70" s="4135">
        <f t="shared" ref="BI70:BI72" si="64">K70+AD70</f>
        <v>696</v>
      </c>
      <c r="BJ70" s="4132"/>
      <c r="BK70" s="4132">
        <f t="shared" ref="BK70:BK72" si="65">+BG70+BI70</f>
        <v>3913</v>
      </c>
      <c r="BL70" s="4134"/>
      <c r="BM70" s="4135">
        <f t="shared" ref="BM70:BM72" si="66">+L70+AE70</f>
        <v>0</v>
      </c>
      <c r="BN70" s="4134"/>
      <c r="BO70" s="4133">
        <f t="shared" ref="BO70:BO72" si="67">BE70+BI70+BM70</f>
        <v>696</v>
      </c>
      <c r="BP70" s="4134"/>
      <c r="BQ70" s="4157">
        <f t="shared" ref="BQ70:BQ72" si="68">BC70+BO70</f>
        <v>3913</v>
      </c>
      <c r="BR70" s="4134"/>
      <c r="BS70" s="4135">
        <f t="shared" ref="BS70:BS72" si="69">+O70+AH70</f>
        <v>0</v>
      </c>
      <c r="BT70" s="4134"/>
      <c r="BU70" s="4134">
        <f t="shared" ref="BU70:BU72" si="70">BQ70+BS70</f>
        <v>3913</v>
      </c>
      <c r="BV70" s="4134"/>
      <c r="BW70" s="4135">
        <f t="shared" ref="BW70:BW72" si="71">+P70+AI70</f>
        <v>0</v>
      </c>
      <c r="BX70" s="4134"/>
      <c r="BY70" s="4134">
        <f t="shared" ref="BY70:BY72" si="72">BU70+BW70</f>
        <v>3913</v>
      </c>
      <c r="BZ70" s="4134"/>
      <c r="CA70" s="4135">
        <f t="shared" ref="CA70:CA72" si="73">+Q70+AJ70</f>
        <v>0</v>
      </c>
      <c r="CB70" s="4134"/>
      <c r="CC70" s="4133">
        <f t="shared" ref="CC70:CC72" si="74">BS70+BW70+CA70</f>
        <v>0</v>
      </c>
      <c r="CD70" s="4134"/>
      <c r="CE70" s="4134">
        <f t="shared" ref="CE70:CE72" si="75">BY70+CA70</f>
        <v>3913</v>
      </c>
      <c r="CF70" s="4134"/>
      <c r="CG70" s="4135">
        <f t="shared" ref="CG70:CG72" si="76">+S70+AL70</f>
        <v>0</v>
      </c>
      <c r="CH70" s="4134"/>
      <c r="CI70" s="4134">
        <f t="shared" ref="CI70:CI72" si="77">CG70+CE70</f>
        <v>3913</v>
      </c>
      <c r="CJ70" s="4134"/>
      <c r="CK70" s="4135">
        <f t="shared" ref="CK70:CK72" si="78">+T70+AM70</f>
        <v>0</v>
      </c>
      <c r="CL70" s="4134"/>
      <c r="CM70" s="4134">
        <f t="shared" ref="CM70:CM72" si="79">CI70+CK70</f>
        <v>3913</v>
      </c>
      <c r="CN70" s="4134"/>
      <c r="CO70" s="4135">
        <f t="shared" ref="CO70:CO72" si="80">+U70+AN70</f>
        <v>0</v>
      </c>
      <c r="CP70" s="4134"/>
      <c r="CQ70" s="4133">
        <f t="shared" ref="CQ70:CQ72" si="81">CG70+CK70+CO70</f>
        <v>0</v>
      </c>
      <c r="CR70" s="4134"/>
      <c r="CS70" s="4157">
        <f t="shared" ref="CS70:CS72" si="82">CC70+CQ70</f>
        <v>0</v>
      </c>
      <c r="CT70" s="4132"/>
      <c r="CU70" s="4160">
        <f t="shared" ref="CU70:CU72" si="83">SUM(AU70,AW70,BA70,BE70,BI70,BM70,BS70,BW70,CA70,CG70,CK70,CO70)</f>
        <v>3913</v>
      </c>
      <c r="CV70" s="4159"/>
      <c r="CW70" s="4168"/>
    </row>
    <row r="71" spans="1:103" x14ac:dyDescent="0.25">
      <c r="A71" s="4191"/>
      <c r="B71" s="4191"/>
      <c r="C71" s="4191"/>
      <c r="D71" s="4191"/>
      <c r="E71" s="4179" t="s">
        <v>2151</v>
      </c>
      <c r="F71" s="4171"/>
      <c r="G71" s="4129"/>
      <c r="H71" s="4129"/>
      <c r="I71" s="4178">
        <f t="shared" si="42"/>
        <v>0</v>
      </c>
      <c r="J71" s="4129"/>
      <c r="K71" s="4129"/>
      <c r="L71" s="4129"/>
      <c r="M71" s="4178">
        <f t="shared" si="43"/>
        <v>0</v>
      </c>
      <c r="N71" s="4177">
        <f t="shared" si="44"/>
        <v>0</v>
      </c>
      <c r="O71" s="4125"/>
      <c r="P71" s="4125"/>
      <c r="Q71" s="4129"/>
      <c r="R71" s="4178">
        <f t="shared" si="45"/>
        <v>0</v>
      </c>
      <c r="S71" s="4129">
        <v>742.01400000000001</v>
      </c>
      <c r="T71" s="4129">
        <v>1488.2560000000001</v>
      </c>
      <c r="U71" s="4176">
        <v>1163</v>
      </c>
      <c r="V71" s="4178">
        <f t="shared" si="46"/>
        <v>3393.27</v>
      </c>
      <c r="W71" s="4177">
        <f t="shared" si="47"/>
        <v>3393.27</v>
      </c>
      <c r="X71" s="4141">
        <f t="shared" si="48"/>
        <v>3393.27</v>
      </c>
      <c r="Y71" s="4140"/>
      <c r="Z71" s="4129"/>
      <c r="AA71" s="4129"/>
      <c r="AB71" s="4178">
        <f t="shared" si="49"/>
        <v>0</v>
      </c>
      <c r="AC71" s="4129"/>
      <c r="AD71" s="4129"/>
      <c r="AE71" s="4129"/>
      <c r="AF71" s="4139">
        <f t="shared" si="50"/>
        <v>0</v>
      </c>
      <c r="AG71" s="4177">
        <f t="shared" si="51"/>
        <v>0</v>
      </c>
      <c r="AH71" s="4125"/>
      <c r="AI71" s="4125"/>
      <c r="AJ71" s="4125"/>
      <c r="AK71" s="4178">
        <f t="shared" si="52"/>
        <v>0</v>
      </c>
      <c r="AL71" s="4129">
        <v>71102.275999999998</v>
      </c>
      <c r="AM71" s="4129">
        <v>68108.851999999999</v>
      </c>
      <c r="AN71" s="4176">
        <v>83454</v>
      </c>
      <c r="AO71" s="4178">
        <f t="shared" si="53"/>
        <v>222665.128</v>
      </c>
      <c r="AP71" s="4177">
        <f t="shared" si="54"/>
        <v>222665.128</v>
      </c>
      <c r="AQ71" s="4138">
        <f t="shared" si="55"/>
        <v>222665.128</v>
      </c>
      <c r="AR71" s="4128">
        <f t="shared" si="56"/>
        <v>226058.39799999999</v>
      </c>
      <c r="AS71" s="4175"/>
      <c r="AT71" s="4131"/>
      <c r="AU71" s="4137">
        <f t="shared" si="57"/>
        <v>0</v>
      </c>
      <c r="AV71" s="4136"/>
      <c r="AW71" s="4135">
        <f t="shared" si="58"/>
        <v>0</v>
      </c>
      <c r="AX71" s="4134"/>
      <c r="AY71" s="4134">
        <f t="shared" si="59"/>
        <v>0</v>
      </c>
      <c r="AZ71" s="4134"/>
      <c r="BA71" s="4135">
        <f t="shared" si="60"/>
        <v>0</v>
      </c>
      <c r="BB71" s="4133"/>
      <c r="BC71" s="4133">
        <f t="shared" si="61"/>
        <v>0</v>
      </c>
      <c r="BD71" s="4134"/>
      <c r="BE71" s="4135">
        <f t="shared" si="62"/>
        <v>0</v>
      </c>
      <c r="BF71" s="4132"/>
      <c r="BG71" s="4132">
        <f t="shared" si="63"/>
        <v>0</v>
      </c>
      <c r="BH71" s="4134"/>
      <c r="BI71" s="4135">
        <f t="shared" si="64"/>
        <v>0</v>
      </c>
      <c r="BJ71" s="4132"/>
      <c r="BK71" s="4132">
        <f t="shared" si="65"/>
        <v>0</v>
      </c>
      <c r="BL71" s="4134"/>
      <c r="BM71" s="4135">
        <f t="shared" si="66"/>
        <v>0</v>
      </c>
      <c r="BN71" s="4134"/>
      <c r="BO71" s="4133">
        <f t="shared" si="67"/>
        <v>0</v>
      </c>
      <c r="BP71" s="4134"/>
      <c r="BQ71" s="4157">
        <f t="shared" si="68"/>
        <v>0</v>
      </c>
      <c r="BR71" s="4134"/>
      <c r="BS71" s="4135">
        <f t="shared" si="69"/>
        <v>0</v>
      </c>
      <c r="BT71" s="4134"/>
      <c r="BU71" s="4134">
        <f t="shared" si="70"/>
        <v>0</v>
      </c>
      <c r="BV71" s="4134"/>
      <c r="BW71" s="4135">
        <f t="shared" si="71"/>
        <v>0</v>
      </c>
      <c r="BX71" s="4134"/>
      <c r="BY71" s="4134">
        <f t="shared" si="72"/>
        <v>0</v>
      </c>
      <c r="BZ71" s="4134"/>
      <c r="CA71" s="4135">
        <f t="shared" si="73"/>
        <v>0</v>
      </c>
      <c r="CB71" s="4134"/>
      <c r="CC71" s="4133">
        <f t="shared" si="74"/>
        <v>0</v>
      </c>
      <c r="CD71" s="4134"/>
      <c r="CE71" s="4134">
        <f t="shared" si="75"/>
        <v>0</v>
      </c>
      <c r="CF71" s="4134"/>
      <c r="CG71" s="4135">
        <f t="shared" si="76"/>
        <v>71844.289999999994</v>
      </c>
      <c r="CH71" s="4134"/>
      <c r="CI71" s="4134">
        <f t="shared" si="77"/>
        <v>71844.289999999994</v>
      </c>
      <c r="CJ71" s="4134"/>
      <c r="CK71" s="4135">
        <f t="shared" si="78"/>
        <v>69597.107999999993</v>
      </c>
      <c r="CL71" s="4134"/>
      <c r="CM71" s="4134">
        <f t="shared" si="79"/>
        <v>141441.39799999999</v>
      </c>
      <c r="CN71" s="4134"/>
      <c r="CO71" s="4135">
        <f t="shared" si="80"/>
        <v>84617</v>
      </c>
      <c r="CP71" s="4134"/>
      <c r="CQ71" s="4133">
        <f t="shared" si="81"/>
        <v>226058.39799999999</v>
      </c>
      <c r="CR71" s="4134"/>
      <c r="CS71" s="4157">
        <f t="shared" si="82"/>
        <v>226058.39799999999</v>
      </c>
      <c r="CT71" s="4132"/>
      <c r="CU71" s="4160">
        <f t="shared" si="83"/>
        <v>226058.39799999999</v>
      </c>
      <c r="CV71" s="4159"/>
      <c r="CW71" s="4168"/>
    </row>
    <row r="72" spans="1:103" x14ac:dyDescent="0.25">
      <c r="A72" s="4191"/>
      <c r="B72" s="4191"/>
      <c r="C72" s="4191"/>
      <c r="D72" s="4191"/>
      <c r="E72" s="4179" t="s">
        <v>2152</v>
      </c>
      <c r="F72" s="4171"/>
      <c r="G72" s="4129"/>
      <c r="H72" s="4129">
        <v>476</v>
      </c>
      <c r="I72" s="4178">
        <f t="shared" si="42"/>
        <v>476</v>
      </c>
      <c r="J72" s="4129"/>
      <c r="K72" s="4129"/>
      <c r="L72" s="4129"/>
      <c r="M72" s="4178">
        <f t="shared" si="43"/>
        <v>0</v>
      </c>
      <c r="N72" s="4177">
        <f t="shared" si="44"/>
        <v>476</v>
      </c>
      <c r="O72" s="4125"/>
      <c r="P72" s="4125"/>
      <c r="Q72" s="4129"/>
      <c r="R72" s="4178">
        <f t="shared" si="45"/>
        <v>0</v>
      </c>
      <c r="S72" s="4129">
        <v>1224.0060000000001</v>
      </c>
      <c r="T72" s="4129">
        <v>1517.8520000000001</v>
      </c>
      <c r="U72" s="4176">
        <v>1194</v>
      </c>
      <c r="V72" s="4178">
        <f t="shared" si="46"/>
        <v>3935.8580000000002</v>
      </c>
      <c r="W72" s="4177">
        <f t="shared" si="47"/>
        <v>3935.8580000000002</v>
      </c>
      <c r="X72" s="4141">
        <f t="shared" si="48"/>
        <v>4411.8580000000002</v>
      </c>
      <c r="Y72" s="4140"/>
      <c r="Z72" s="4129"/>
      <c r="AA72" s="4129">
        <v>683</v>
      </c>
      <c r="AB72" s="4178">
        <f t="shared" si="49"/>
        <v>683</v>
      </c>
      <c r="AC72" s="4129"/>
      <c r="AD72" s="4129"/>
      <c r="AE72" s="4129"/>
      <c r="AF72" s="4139">
        <f t="shared" si="50"/>
        <v>0</v>
      </c>
      <c r="AG72" s="4177">
        <f t="shared" si="51"/>
        <v>683</v>
      </c>
      <c r="AH72" s="4125"/>
      <c r="AI72" s="4125"/>
      <c r="AJ72" s="4125"/>
      <c r="AK72" s="4178">
        <f t="shared" si="52"/>
        <v>0</v>
      </c>
      <c r="AL72" s="4129">
        <v>1391.0119999999999</v>
      </c>
      <c r="AM72" s="4129">
        <v>807.548</v>
      </c>
      <c r="AN72" s="4176">
        <v>867</v>
      </c>
      <c r="AO72" s="4178">
        <f t="shared" si="53"/>
        <v>3065.56</v>
      </c>
      <c r="AP72" s="4177">
        <f t="shared" si="54"/>
        <v>3065.56</v>
      </c>
      <c r="AQ72" s="4138">
        <f t="shared" si="55"/>
        <v>3748.5599999999995</v>
      </c>
      <c r="AR72" s="4128">
        <f t="shared" si="56"/>
        <v>8160.4179999999997</v>
      </c>
      <c r="AS72" s="4175"/>
      <c r="AT72" s="4131"/>
      <c r="AU72" s="4137">
        <f t="shared" si="57"/>
        <v>0</v>
      </c>
      <c r="AV72" s="4136"/>
      <c r="AW72" s="4135">
        <f t="shared" si="58"/>
        <v>0</v>
      </c>
      <c r="AX72" s="4134"/>
      <c r="AY72" s="4134">
        <f t="shared" si="59"/>
        <v>0</v>
      </c>
      <c r="AZ72" s="4134"/>
      <c r="BA72" s="4135">
        <f t="shared" si="60"/>
        <v>1159</v>
      </c>
      <c r="BB72" s="4133"/>
      <c r="BC72" s="4133">
        <f t="shared" si="61"/>
        <v>1159</v>
      </c>
      <c r="BD72" s="4134"/>
      <c r="BE72" s="4135">
        <f t="shared" si="62"/>
        <v>0</v>
      </c>
      <c r="BF72" s="4132"/>
      <c r="BG72" s="4132">
        <f t="shared" si="63"/>
        <v>1159</v>
      </c>
      <c r="BH72" s="4134"/>
      <c r="BI72" s="4135">
        <f t="shared" si="64"/>
        <v>0</v>
      </c>
      <c r="BJ72" s="4132"/>
      <c r="BK72" s="4132">
        <f t="shared" si="65"/>
        <v>1159</v>
      </c>
      <c r="BL72" s="4134"/>
      <c r="BM72" s="4135">
        <f t="shared" si="66"/>
        <v>0</v>
      </c>
      <c r="BN72" s="4134"/>
      <c r="BO72" s="4133">
        <f t="shared" si="67"/>
        <v>0</v>
      </c>
      <c r="BP72" s="4134"/>
      <c r="BQ72" s="4157">
        <f t="shared" si="68"/>
        <v>1159</v>
      </c>
      <c r="BR72" s="4134"/>
      <c r="BS72" s="4135">
        <f t="shared" si="69"/>
        <v>0</v>
      </c>
      <c r="BT72" s="4134"/>
      <c r="BU72" s="4134">
        <f t="shared" si="70"/>
        <v>1159</v>
      </c>
      <c r="BV72" s="4134"/>
      <c r="BW72" s="4135">
        <f t="shared" si="71"/>
        <v>0</v>
      </c>
      <c r="BX72" s="4134"/>
      <c r="BY72" s="4134">
        <f t="shared" si="72"/>
        <v>1159</v>
      </c>
      <c r="BZ72" s="4134"/>
      <c r="CA72" s="4135">
        <f t="shared" si="73"/>
        <v>0</v>
      </c>
      <c r="CB72" s="4134"/>
      <c r="CC72" s="4133">
        <f t="shared" si="74"/>
        <v>0</v>
      </c>
      <c r="CD72" s="4134"/>
      <c r="CE72" s="4134">
        <f t="shared" si="75"/>
        <v>1159</v>
      </c>
      <c r="CF72" s="4134"/>
      <c r="CG72" s="4135">
        <f t="shared" si="76"/>
        <v>2615.018</v>
      </c>
      <c r="CH72" s="4134"/>
      <c r="CI72" s="4134">
        <f t="shared" si="77"/>
        <v>3774.018</v>
      </c>
      <c r="CJ72" s="4134"/>
      <c r="CK72" s="4135">
        <f t="shared" si="78"/>
        <v>2325.4</v>
      </c>
      <c r="CL72" s="4134"/>
      <c r="CM72" s="4134">
        <f t="shared" si="79"/>
        <v>6099.4179999999997</v>
      </c>
      <c r="CN72" s="4134"/>
      <c r="CO72" s="4135">
        <f t="shared" si="80"/>
        <v>2061</v>
      </c>
      <c r="CP72" s="4134"/>
      <c r="CQ72" s="4133">
        <f t="shared" si="81"/>
        <v>7001.4179999999997</v>
      </c>
      <c r="CR72" s="4134"/>
      <c r="CS72" s="4157">
        <f t="shared" si="82"/>
        <v>7001.4179999999997</v>
      </c>
      <c r="CT72" s="4132"/>
      <c r="CU72" s="4160">
        <f t="shared" si="83"/>
        <v>8160.4179999999997</v>
      </c>
      <c r="CV72" s="4159"/>
      <c r="CW72" s="4168"/>
    </row>
    <row r="73" spans="1:103" ht="16.5" thickBot="1" x14ac:dyDescent="0.3">
      <c r="A73" s="4191"/>
      <c r="B73" s="4191"/>
      <c r="C73" s="4191"/>
      <c r="D73" s="4191"/>
      <c r="E73" s="4179" t="s">
        <v>1342</v>
      </c>
      <c r="F73" s="4171">
        <v>2300</v>
      </c>
      <c r="G73" s="4129">
        <v>2188</v>
      </c>
      <c r="H73" s="4129">
        <v>2180</v>
      </c>
      <c r="I73" s="4178">
        <f>SUM(F73:H73)</f>
        <v>6668</v>
      </c>
      <c r="J73" s="4129">
        <v>2270</v>
      </c>
      <c r="K73" s="4129">
        <v>2103</v>
      </c>
      <c r="L73" s="4129">
        <v>1894.144</v>
      </c>
      <c r="M73" s="4178">
        <f>SUM(J73:L73)</f>
        <v>6267.1440000000002</v>
      </c>
      <c r="N73" s="4177">
        <f>+I73+M73</f>
        <v>12935.144</v>
      </c>
      <c r="O73" s="4125">
        <v>1729.252</v>
      </c>
      <c r="P73" s="4125">
        <v>14.798</v>
      </c>
      <c r="Q73" s="4129">
        <v>1643</v>
      </c>
      <c r="R73" s="4178">
        <f>SUM(O73:Q73)</f>
        <v>3387.05</v>
      </c>
      <c r="S73" s="4129">
        <v>2583.308</v>
      </c>
      <c r="T73" s="4129">
        <v>2154.1660000000002</v>
      </c>
      <c r="U73" s="4176">
        <v>1689</v>
      </c>
      <c r="V73" s="4178">
        <f>SUM(S73:U73)</f>
        <v>6426.4740000000002</v>
      </c>
      <c r="W73" s="4177">
        <f>+R73+V73</f>
        <v>9813.5240000000013</v>
      </c>
      <c r="X73" s="4141">
        <f>+F73+G73+H73+J73+K73+L73+O73+P73+Q73+S73+T73+U73</f>
        <v>22748.668000000001</v>
      </c>
      <c r="Y73" s="4140">
        <v>338</v>
      </c>
      <c r="Z73" s="4129">
        <v>528</v>
      </c>
      <c r="AA73" s="4129">
        <v>499</v>
      </c>
      <c r="AB73" s="4178">
        <f>+Y73+Z73+AA73</f>
        <v>1365</v>
      </c>
      <c r="AC73" s="4129">
        <v>476</v>
      </c>
      <c r="AD73" s="4129">
        <v>370</v>
      </c>
      <c r="AE73" s="4129">
        <v>602.49</v>
      </c>
      <c r="AF73" s="4139">
        <f>SUM(AC73:AE73)</f>
        <v>1448.49</v>
      </c>
      <c r="AG73" s="4177">
        <f>+AB73+AF73</f>
        <v>2813.49</v>
      </c>
      <c r="AH73" s="4125">
        <v>515.81600000000003</v>
      </c>
      <c r="AI73" s="4125">
        <v>27.481999999999999</v>
      </c>
      <c r="AJ73" s="4125">
        <v>561</v>
      </c>
      <c r="AK73" s="4178">
        <f>SUM(AH73:AJ73)</f>
        <v>1104.298</v>
      </c>
      <c r="AL73" s="4129">
        <v>596.14800000000002</v>
      </c>
      <c r="AM73" s="4129">
        <v>450.28199999999998</v>
      </c>
      <c r="AN73" s="4176">
        <v>478</v>
      </c>
      <c r="AO73" s="4178">
        <f>+AL73+AM73+AN73</f>
        <v>1524.43</v>
      </c>
      <c r="AP73" s="4177">
        <f>+AK73+AO73</f>
        <v>2628.7280000000001</v>
      </c>
      <c r="AQ73" s="4138">
        <f>SUM(Y73:AA73,AC73:AE73,AH73:AJ73,AL73:AN73)</f>
        <v>5442.2179999999998</v>
      </c>
      <c r="AR73" s="4128">
        <f>+X73+AQ73</f>
        <v>28190.886000000002</v>
      </c>
      <c r="AS73" s="4175"/>
      <c r="AT73" s="4131"/>
      <c r="AU73" s="4137">
        <f>+F73+Y73</f>
        <v>2638</v>
      </c>
      <c r="AV73" s="4136"/>
      <c r="AW73" s="4135">
        <f>+G73+Z73</f>
        <v>2716</v>
      </c>
      <c r="AX73" s="4134"/>
      <c r="AY73" s="4134">
        <f>AU73+AW73</f>
        <v>5354</v>
      </c>
      <c r="AZ73" s="4134"/>
      <c r="BA73" s="4135">
        <f>+H73+AA73</f>
        <v>2679</v>
      </c>
      <c r="BB73" s="4133"/>
      <c r="BC73" s="4133">
        <f>AU73+AW73+BA73</f>
        <v>8033</v>
      </c>
      <c r="BD73" s="4134"/>
      <c r="BE73" s="4135">
        <f>+J73+AC73</f>
        <v>2746</v>
      </c>
      <c r="BF73" s="4132"/>
      <c r="BG73" s="4132">
        <f>+BC73+BE73</f>
        <v>10779</v>
      </c>
      <c r="BH73" s="4134"/>
      <c r="BI73" s="4135">
        <f>K73+AD73</f>
        <v>2473</v>
      </c>
      <c r="BJ73" s="4132"/>
      <c r="BK73" s="4132">
        <f>+BG73+BI73</f>
        <v>13252</v>
      </c>
      <c r="BL73" s="4134"/>
      <c r="BM73" s="4135">
        <f>+L73+AE73</f>
        <v>2496.634</v>
      </c>
      <c r="BN73" s="4134"/>
      <c r="BO73" s="4133">
        <f>BE73+BI73+BM73</f>
        <v>7715.634</v>
      </c>
      <c r="BP73" s="4134"/>
      <c r="BQ73" s="4157">
        <f>BC73+BO73</f>
        <v>15748.634</v>
      </c>
      <c r="BR73" s="4134"/>
      <c r="BS73" s="4135">
        <f>+O73+AH73</f>
        <v>2245.0680000000002</v>
      </c>
      <c r="BT73" s="4134"/>
      <c r="BU73" s="4134">
        <f>BQ73+BS73</f>
        <v>17993.702000000001</v>
      </c>
      <c r="BV73" s="4134"/>
      <c r="BW73" s="4135">
        <f>+P73+AI73</f>
        <v>42.28</v>
      </c>
      <c r="BX73" s="4134"/>
      <c r="BY73" s="4134">
        <f>BU73+BW73</f>
        <v>18035.982</v>
      </c>
      <c r="BZ73" s="4134"/>
      <c r="CA73" s="4135">
        <f>+Q73+AJ73</f>
        <v>2204</v>
      </c>
      <c r="CB73" s="4134"/>
      <c r="CC73" s="4133">
        <f>BS73+BW73+CA73</f>
        <v>4491.348</v>
      </c>
      <c r="CD73" s="4134"/>
      <c r="CE73" s="4134">
        <f>BY73+CA73</f>
        <v>20239.982</v>
      </c>
      <c r="CF73" s="4134"/>
      <c r="CG73" s="4135">
        <f>+S73+AL73</f>
        <v>3179.4560000000001</v>
      </c>
      <c r="CH73" s="4134"/>
      <c r="CI73" s="4134">
        <f>CG73+CE73</f>
        <v>23419.438000000002</v>
      </c>
      <c r="CJ73" s="4134"/>
      <c r="CK73" s="4135">
        <f>+T73+AM73</f>
        <v>2604.4480000000003</v>
      </c>
      <c r="CL73" s="4134"/>
      <c r="CM73" s="4134">
        <f>CI73+CK73</f>
        <v>26023.886000000002</v>
      </c>
      <c r="CN73" s="4134"/>
      <c r="CO73" s="4135">
        <f>+U73+AN73</f>
        <v>2167</v>
      </c>
      <c r="CP73" s="4134"/>
      <c r="CQ73" s="4133">
        <f>CG73+CK73+CO73</f>
        <v>7950.9040000000005</v>
      </c>
      <c r="CR73" s="4134"/>
      <c r="CS73" s="4157">
        <f>CC73+CQ73</f>
        <v>12442.252</v>
      </c>
      <c r="CT73" s="4132"/>
      <c r="CU73" s="4160">
        <f>SUM(AU73,AW73,BA73,BE73,BI73,BM73,BS73,BW73,CA73,CG73,CK73,CO73)</f>
        <v>28190.886000000002</v>
      </c>
      <c r="CV73" s="4159"/>
      <c r="CW73" s="4168"/>
    </row>
    <row r="74" spans="1:103" ht="16.5" thickBot="1" x14ac:dyDescent="0.3">
      <c r="A74" s="4151"/>
      <c r="B74" s="4151"/>
      <c r="C74" s="4151"/>
      <c r="D74" s="4151"/>
      <c r="E74" s="4166" t="s">
        <v>2</v>
      </c>
      <c r="F74" s="4165">
        <f t="shared" ref="F74:AR74" si="84">SUM(F6:F73)</f>
        <v>83369</v>
      </c>
      <c r="G74" s="4165">
        <f t="shared" si="84"/>
        <v>60303</v>
      </c>
      <c r="H74" s="4165">
        <f t="shared" si="84"/>
        <v>55835</v>
      </c>
      <c r="I74" s="4165">
        <f t="shared" si="84"/>
        <v>199507</v>
      </c>
      <c r="J74" s="4165">
        <f t="shared" si="84"/>
        <v>84515</v>
      </c>
      <c r="K74" s="4165">
        <f t="shared" si="84"/>
        <v>73782</v>
      </c>
      <c r="L74" s="4165">
        <f t="shared" si="84"/>
        <v>81369.973999999973</v>
      </c>
      <c r="M74" s="4165">
        <f t="shared" si="84"/>
        <v>239666.97400000002</v>
      </c>
      <c r="N74" s="4165">
        <f t="shared" si="84"/>
        <v>439173.97400000005</v>
      </c>
      <c r="O74" s="4165">
        <f t="shared" si="84"/>
        <v>74374.747999999992</v>
      </c>
      <c r="P74" s="4165">
        <f t="shared" si="84"/>
        <v>3946.8379999999997</v>
      </c>
      <c r="Q74" s="4165">
        <f t="shared" si="84"/>
        <v>77262</v>
      </c>
      <c r="R74" s="4165">
        <f t="shared" si="84"/>
        <v>155583.58600000001</v>
      </c>
      <c r="S74" s="4165">
        <f t="shared" si="84"/>
        <v>90407.323999999993</v>
      </c>
      <c r="T74" s="4165">
        <f t="shared" si="84"/>
        <v>78213.771999999968</v>
      </c>
      <c r="U74" s="4165">
        <f t="shared" si="84"/>
        <v>78723</v>
      </c>
      <c r="V74" s="4165">
        <f t="shared" si="84"/>
        <v>247344.09599999999</v>
      </c>
      <c r="W74" s="4165">
        <f t="shared" si="84"/>
        <v>402927.68199999997</v>
      </c>
      <c r="X74" s="4165">
        <f t="shared" si="84"/>
        <v>842101.65600000008</v>
      </c>
      <c r="Y74" s="4165">
        <f t="shared" si="84"/>
        <v>83517</v>
      </c>
      <c r="Z74" s="4165">
        <f t="shared" si="84"/>
        <v>81652</v>
      </c>
      <c r="AA74" s="4165">
        <f t="shared" si="84"/>
        <v>57314</v>
      </c>
      <c r="AB74" s="4165">
        <f t="shared" si="84"/>
        <v>222483</v>
      </c>
      <c r="AC74" s="4165">
        <f t="shared" si="84"/>
        <v>91064</v>
      </c>
      <c r="AD74" s="4165">
        <f t="shared" si="84"/>
        <v>100092</v>
      </c>
      <c r="AE74" s="4165">
        <f t="shared" si="84"/>
        <v>93233.741999999998</v>
      </c>
      <c r="AF74" s="4165">
        <f t="shared" si="84"/>
        <v>284389.74199999997</v>
      </c>
      <c r="AG74" s="4165">
        <f t="shared" si="84"/>
        <v>506872.74199999997</v>
      </c>
      <c r="AH74" s="4165">
        <f t="shared" si="84"/>
        <v>93519.132000000012</v>
      </c>
      <c r="AI74" s="4165">
        <f t="shared" si="84"/>
        <v>3970.0920000000001</v>
      </c>
      <c r="AJ74" s="4165">
        <f t="shared" si="84"/>
        <v>98500</v>
      </c>
      <c r="AK74" s="4165">
        <f t="shared" si="84"/>
        <v>195989.22400000005</v>
      </c>
      <c r="AL74" s="4165">
        <f t="shared" si="84"/>
        <v>92624.91</v>
      </c>
      <c r="AM74" s="4165">
        <f t="shared" si="84"/>
        <v>85555.694000000003</v>
      </c>
      <c r="AN74" s="4165">
        <f t="shared" si="84"/>
        <v>93143</v>
      </c>
      <c r="AO74" s="4165">
        <f t="shared" si="84"/>
        <v>271323.60399999999</v>
      </c>
      <c r="AP74" s="4165">
        <f t="shared" si="84"/>
        <v>467312.82799999998</v>
      </c>
      <c r="AQ74" s="4165">
        <f t="shared" si="84"/>
        <v>974185.57000000018</v>
      </c>
      <c r="AR74" s="4165">
        <f t="shared" si="84"/>
        <v>1816287.2260000007</v>
      </c>
      <c r="AS74" s="4175"/>
      <c r="AT74" s="4164"/>
      <c r="AU74" s="4163">
        <f>SUM(AU6:AU73)</f>
        <v>166886</v>
      </c>
      <c r="AV74" s="4162"/>
      <c r="AW74" s="4127">
        <f t="shared" ref="AW74:CB74" si="85">SUM(AW6:AW73)</f>
        <v>141955</v>
      </c>
      <c r="AX74" s="4127">
        <f t="shared" si="85"/>
        <v>0</v>
      </c>
      <c r="AY74" s="4127">
        <f t="shared" si="85"/>
        <v>308841</v>
      </c>
      <c r="AZ74" s="4127">
        <f t="shared" si="85"/>
        <v>0</v>
      </c>
      <c r="BA74" s="4127">
        <f t="shared" si="85"/>
        <v>113149</v>
      </c>
      <c r="BB74" s="4161">
        <f t="shared" si="85"/>
        <v>0</v>
      </c>
      <c r="BC74" s="4161">
        <f t="shared" si="85"/>
        <v>421990</v>
      </c>
      <c r="BD74" s="4127">
        <f t="shared" si="85"/>
        <v>0</v>
      </c>
      <c r="BE74" s="4127">
        <f t="shared" si="85"/>
        <v>175579</v>
      </c>
      <c r="BF74" s="4160">
        <f t="shared" si="85"/>
        <v>0</v>
      </c>
      <c r="BG74" s="4160">
        <f t="shared" si="85"/>
        <v>597569</v>
      </c>
      <c r="BH74" s="4127">
        <f t="shared" si="85"/>
        <v>0</v>
      </c>
      <c r="BI74" s="4127">
        <f t="shared" si="85"/>
        <v>173874</v>
      </c>
      <c r="BJ74" s="4160">
        <f t="shared" si="85"/>
        <v>0</v>
      </c>
      <c r="BK74" s="4160">
        <f t="shared" si="85"/>
        <v>771443</v>
      </c>
      <c r="BL74" s="4127">
        <f t="shared" si="85"/>
        <v>0</v>
      </c>
      <c r="BM74" s="4127">
        <f t="shared" si="85"/>
        <v>174603.71600000001</v>
      </c>
      <c r="BN74" s="4127">
        <f t="shared" si="85"/>
        <v>0</v>
      </c>
      <c r="BO74" s="4161">
        <f t="shared" si="85"/>
        <v>524056.71599999996</v>
      </c>
      <c r="BP74" s="4127">
        <f t="shared" si="85"/>
        <v>0</v>
      </c>
      <c r="BQ74" s="4174">
        <f t="shared" si="85"/>
        <v>946046.7159999999</v>
      </c>
      <c r="BR74" s="4127">
        <f t="shared" si="85"/>
        <v>0</v>
      </c>
      <c r="BS74" s="4127">
        <f t="shared" si="85"/>
        <v>167893.88000000003</v>
      </c>
      <c r="BT74" s="4127">
        <f t="shared" si="85"/>
        <v>0</v>
      </c>
      <c r="BU74" s="4127">
        <f t="shared" si="85"/>
        <v>1113940.5960000001</v>
      </c>
      <c r="BV74" s="4127">
        <f t="shared" si="85"/>
        <v>0</v>
      </c>
      <c r="BW74" s="4127">
        <f t="shared" si="85"/>
        <v>7916.9299999999985</v>
      </c>
      <c r="BX74" s="4127">
        <f t="shared" si="85"/>
        <v>0</v>
      </c>
      <c r="BY74" s="4127">
        <f t="shared" si="85"/>
        <v>1121857.5260000003</v>
      </c>
      <c r="BZ74" s="4127">
        <f t="shared" si="85"/>
        <v>0</v>
      </c>
      <c r="CA74" s="4127">
        <f t="shared" si="85"/>
        <v>175762</v>
      </c>
      <c r="CB74" s="4127">
        <f t="shared" si="85"/>
        <v>0</v>
      </c>
      <c r="CC74" s="4161">
        <f t="shared" ref="CC74:CU74" si="86">SUM(CC6:CC73)</f>
        <v>351572.81000000011</v>
      </c>
      <c r="CD74" s="4127">
        <f t="shared" si="86"/>
        <v>0</v>
      </c>
      <c r="CE74" s="4127">
        <f t="shared" si="86"/>
        <v>1297619.5260000001</v>
      </c>
      <c r="CF74" s="4127">
        <f t="shared" si="86"/>
        <v>0</v>
      </c>
      <c r="CG74" s="4127">
        <f t="shared" si="86"/>
        <v>183032.23399999997</v>
      </c>
      <c r="CH74" s="4127">
        <f t="shared" si="86"/>
        <v>0</v>
      </c>
      <c r="CI74" s="4127">
        <f t="shared" si="86"/>
        <v>1480651.7599999998</v>
      </c>
      <c r="CJ74" s="4127">
        <f t="shared" si="86"/>
        <v>0</v>
      </c>
      <c r="CK74" s="4127">
        <f t="shared" si="86"/>
        <v>163769.46599999996</v>
      </c>
      <c r="CL74" s="4127">
        <f t="shared" si="86"/>
        <v>0</v>
      </c>
      <c r="CM74" s="4127">
        <f t="shared" si="86"/>
        <v>1644421.2260000005</v>
      </c>
      <c r="CN74" s="4127">
        <f t="shared" si="86"/>
        <v>0</v>
      </c>
      <c r="CO74" s="4127">
        <f t="shared" si="86"/>
        <v>171866</v>
      </c>
      <c r="CP74" s="4127">
        <f t="shared" si="86"/>
        <v>0</v>
      </c>
      <c r="CQ74" s="4161">
        <f t="shared" si="86"/>
        <v>518667.69999999995</v>
      </c>
      <c r="CR74" s="4127">
        <f t="shared" si="86"/>
        <v>0</v>
      </c>
      <c r="CS74" s="4174">
        <f t="shared" si="86"/>
        <v>870240.51</v>
      </c>
      <c r="CT74" s="4160">
        <f t="shared" si="86"/>
        <v>0</v>
      </c>
      <c r="CU74" s="4160">
        <f t="shared" si="86"/>
        <v>1816287.2260000007</v>
      </c>
      <c r="CV74" s="4159"/>
      <c r="CW74" s="4168"/>
      <c r="CY74" s="4168"/>
    </row>
    <row r="75" spans="1:103" ht="15.6" hidden="1" x14ac:dyDescent="0.3">
      <c r="A75" s="4151"/>
      <c r="B75" s="4151"/>
      <c r="C75" s="4151"/>
      <c r="D75" s="4151"/>
      <c r="E75" s="4150"/>
      <c r="F75" s="4151"/>
      <c r="G75" s="4151"/>
      <c r="H75" s="4151"/>
      <c r="I75" s="4151"/>
      <c r="J75" s="4151"/>
      <c r="K75" s="4151"/>
      <c r="L75" s="4151"/>
      <c r="M75" s="4151"/>
      <c r="N75" s="4151"/>
      <c r="O75" s="4151"/>
      <c r="P75" s="4151"/>
      <c r="Q75" s="4151"/>
      <c r="R75" s="4151"/>
      <c r="S75" s="4151"/>
      <c r="T75" s="4151"/>
      <c r="U75" s="4151"/>
      <c r="V75" s="4151"/>
      <c r="W75" s="4151"/>
      <c r="X75" s="4151"/>
      <c r="Y75" s="4151"/>
      <c r="Z75" s="4151"/>
      <c r="AA75" s="4151"/>
      <c r="AB75" s="4151"/>
      <c r="AC75" s="4151"/>
      <c r="AD75" s="4151"/>
      <c r="AE75" s="4151"/>
      <c r="AF75" s="4151"/>
      <c r="AG75" s="4151"/>
      <c r="AH75" s="4151"/>
      <c r="AI75" s="4151"/>
      <c r="AJ75" s="4151"/>
      <c r="AK75" s="4151"/>
      <c r="AL75" s="4151"/>
      <c r="AM75" s="4151"/>
      <c r="AN75" s="4151"/>
      <c r="AO75" s="4151"/>
      <c r="AP75" s="4151"/>
      <c r="AQ75" s="4151"/>
      <c r="AR75" s="4151"/>
      <c r="AS75" s="4151"/>
      <c r="AT75" s="4151"/>
      <c r="AU75" s="4151"/>
      <c r="AV75" s="4151"/>
      <c r="AW75" s="4151"/>
      <c r="AX75" s="4151"/>
      <c r="AY75" s="4151"/>
      <c r="AZ75" s="4151"/>
      <c r="BA75" s="4151"/>
      <c r="BB75" s="4151"/>
      <c r="BC75" s="4151"/>
      <c r="BD75" s="4151"/>
      <c r="BE75" s="4151"/>
      <c r="BF75" s="4151"/>
      <c r="BG75" s="4151"/>
      <c r="BH75" s="4151"/>
      <c r="BI75" s="4151"/>
      <c r="BJ75" s="4151"/>
      <c r="BK75" s="4151"/>
      <c r="BL75" s="4151"/>
      <c r="BM75" s="4151"/>
      <c r="BN75" s="4151"/>
      <c r="BO75" s="4151"/>
      <c r="BP75" s="4151"/>
      <c r="BQ75" s="4151"/>
      <c r="BR75" s="4151"/>
      <c r="BS75" s="4151"/>
      <c r="BT75" s="4151"/>
      <c r="BU75" s="4151"/>
      <c r="BV75" s="4151"/>
      <c r="BW75" s="4151"/>
      <c r="BX75" s="4151"/>
      <c r="BY75" s="4151"/>
      <c r="BZ75" s="4151"/>
      <c r="CA75" s="4151"/>
      <c r="CB75" s="4151"/>
      <c r="CC75" s="4151"/>
      <c r="CD75" s="4151"/>
      <c r="CE75" s="4151"/>
      <c r="CF75" s="4151"/>
      <c r="CG75" s="4151"/>
      <c r="CH75" s="4151"/>
      <c r="CI75" s="4151"/>
      <c r="CJ75" s="4151"/>
      <c r="CK75" s="4151"/>
      <c r="CL75" s="4151"/>
      <c r="CM75" s="4151"/>
      <c r="CN75" s="4151"/>
      <c r="CO75" s="4151"/>
      <c r="CP75" s="4151"/>
      <c r="CQ75" s="4151"/>
      <c r="CR75" s="4151"/>
      <c r="CS75" s="4151"/>
      <c r="CT75" s="4151"/>
      <c r="CU75" s="4149"/>
      <c r="CV75" s="4148"/>
    </row>
    <row r="76" spans="1:103" ht="16.149999999999999" hidden="1" x14ac:dyDescent="0.3">
      <c r="A76" s="4151"/>
      <c r="B76" s="4151"/>
      <c r="C76" s="4151"/>
      <c r="D76" s="4151"/>
      <c r="E76" s="4150" t="s">
        <v>1109</v>
      </c>
      <c r="F76" s="4158">
        <f>+F74-SMS!F29</f>
        <v>20949</v>
      </c>
      <c r="G76" s="4158">
        <f>+G74-SMS!H29</f>
        <v>-21149.42</v>
      </c>
      <c r="H76" s="4158">
        <f>+H74-SMS!L29</f>
        <v>-28524</v>
      </c>
      <c r="I76" s="4158">
        <f>+I74-SMS!N29</f>
        <v>-28724.419999999984</v>
      </c>
      <c r="J76" s="4158">
        <f>+J74-SMS!P29</f>
        <v>-7852</v>
      </c>
      <c r="K76" s="4158">
        <f>+K74-SMS!T29</f>
        <v>-6419</v>
      </c>
      <c r="L76" s="4130"/>
      <c r="M76" s="4130"/>
      <c r="N76" s="4130"/>
      <c r="O76" s="4130"/>
      <c r="P76" s="4130"/>
      <c r="Q76" s="4130"/>
      <c r="R76" s="4130"/>
      <c r="S76" s="4130"/>
      <c r="T76" s="4130"/>
      <c r="U76" s="4130"/>
      <c r="V76" s="4130"/>
      <c r="W76" s="4130"/>
      <c r="X76" s="4158"/>
      <c r="Y76" s="4158"/>
      <c r="Z76" s="4158"/>
      <c r="AA76" s="4158"/>
      <c r="AB76" s="4158"/>
      <c r="AC76" s="4158"/>
      <c r="AD76" s="4158"/>
      <c r="AE76" s="4158"/>
      <c r="AF76" s="4158"/>
      <c r="AG76" s="4130"/>
      <c r="AH76" s="4130"/>
      <c r="AI76" s="4158"/>
      <c r="AJ76" s="4130"/>
      <c r="AK76" s="4130"/>
      <c r="AL76" s="4130"/>
      <c r="AM76" s="4130"/>
      <c r="AN76" s="4130"/>
      <c r="AO76" s="4130"/>
      <c r="AP76" s="4130"/>
      <c r="AQ76" s="4158"/>
      <c r="AR76" s="4158"/>
      <c r="AS76" s="4158"/>
      <c r="AT76" s="4151"/>
      <c r="AU76" s="4158">
        <f>+AU74-(SMS!F29+SMS!F32)</f>
        <v>17769</v>
      </c>
      <c r="AV76" s="4158"/>
      <c r="AW76" s="4158">
        <f>+AW74-(SMS!H29+SMS!H32)</f>
        <v>-33090.539999999979</v>
      </c>
      <c r="AX76" s="4158"/>
      <c r="AY76" s="4158"/>
      <c r="AZ76" s="4158"/>
      <c r="BA76" s="4158">
        <f>+BA74-(SMS!L29+SMS!L32)</f>
        <v>-69530</v>
      </c>
      <c r="BB76" s="4158"/>
      <c r="BC76" s="4158"/>
      <c r="BD76" s="4158"/>
      <c r="BE76" s="4158">
        <f>+BE74-(SMS!P29+SMS!P32)</f>
        <v>-13472</v>
      </c>
      <c r="BF76" s="4158"/>
      <c r="BG76" s="4158"/>
      <c r="BH76" s="4158"/>
      <c r="BI76" s="4158">
        <f>+BI74-(SMS!T29+SMS!T32)</f>
        <v>-5603</v>
      </c>
      <c r="BJ76" s="4158"/>
      <c r="BK76" s="4158">
        <f>+BK74-(SMS!V29+SMS!V32)</f>
        <v>-103926.54000000004</v>
      </c>
      <c r="BL76" s="4158"/>
      <c r="BM76" s="4158">
        <f>+BM74-(SMS!X29+SMS!X32)</f>
        <v>2524.1160000000091</v>
      </c>
      <c r="BN76" s="4158">
        <f>+BN74-(SMS!Y29+SMS!Y32)</f>
        <v>-433247.99868447694</v>
      </c>
      <c r="BO76" s="4158">
        <f>+BO74-(SMS!Z29+SMS!Z32)</f>
        <v>-16550.884000000136</v>
      </c>
      <c r="BP76" s="4158">
        <f>+BP74-(SMS!AA29+SMS!AA32)</f>
        <v>-952133.73994982196</v>
      </c>
      <c r="BQ76" s="4158">
        <f>+BQ74-(SMS!AB29+SMS!AB32)</f>
        <v>-101402.424</v>
      </c>
      <c r="BR76" s="4158"/>
      <c r="BS76" s="4158">
        <f>+BS74-(SMS!AD29+SMS!AD32)</f>
        <v>-0.11999999996623956</v>
      </c>
      <c r="BT76" s="4158">
        <f>+BT74-(SMS!AE29+SMS!AE32)</f>
        <v>-1129883.739949822</v>
      </c>
      <c r="BU76" s="4158">
        <f>+BU74-(SMS!AF29+SMS!AF32)</f>
        <v>-101402.54399999976</v>
      </c>
      <c r="BV76" s="4158">
        <f>+BV74-(SMS!AG29+SMS!AG32)</f>
        <v>-171825</v>
      </c>
      <c r="BW76" s="4158">
        <f>+BW74-(SMS!AH29+SMS!AH32)</f>
        <v>-7.0000000001527951E-2</v>
      </c>
      <c r="BX76" s="4158">
        <f>+BX74-(SMS!AI29+SMS!AI32)</f>
        <v>-1301708.739949822</v>
      </c>
      <c r="BY76" s="4158">
        <f>+BY74-(SMS!AJ29+SMS!AJ32)</f>
        <v>-101402.61399999959</v>
      </c>
      <c r="BZ76" s="4158">
        <f>+BZ74-(SMS!AK29+SMS!AK32)</f>
        <v>-177840.45</v>
      </c>
      <c r="CA76" s="4158">
        <f>+CA74-(SMS!AL29+SMS!AL32)</f>
        <v>1.6300000000046566</v>
      </c>
      <c r="CB76" s="4158">
        <f>+CB74-(SMS!AM29+SMS!AM32)</f>
        <v>-527415.44999999995</v>
      </c>
      <c r="CC76" s="4158">
        <f>+CC74-(SMS!AN29+SMS!AN32)</f>
        <v>1.4400000001187436</v>
      </c>
      <c r="CD76" s="4158">
        <f>+CD74-(SMS!AO29+SMS!AO32)</f>
        <v>-1479549.1899498219</v>
      </c>
      <c r="CE76" s="4158">
        <f>+CE74-(SMS!AP29+SMS!AP32)</f>
        <v>-101400.98399999971</v>
      </c>
      <c r="CF76" s="4158">
        <f>+CF74-(SMS!AQ29+SMS!AQ32)</f>
        <v>-177750</v>
      </c>
      <c r="CG76" s="4158">
        <f>+CG74-(SMS!AR29+SMS!AR32)</f>
        <v>0.23399999996763654</v>
      </c>
      <c r="CH76" s="4158">
        <f>+CH74-(SMS!AS29+SMS!AS32)</f>
        <v>-1657299.1899498219</v>
      </c>
      <c r="CI76" s="4158">
        <f>+CI74-(SMS!AT29+SMS!AT32)</f>
        <v>-101400.75</v>
      </c>
      <c r="CJ76" s="4158">
        <f>+CJ74-(SMS!AU29+SMS!AU32)</f>
        <v>-159975</v>
      </c>
      <c r="CK76" s="4158">
        <f>+CK74-(SMS!AV29+SMS!AV32)</f>
        <v>-0.5340000000433065</v>
      </c>
      <c r="CL76" s="4158">
        <f>+CL74-(SMS!AW29+SMS!AW32)</f>
        <v>-1817274.1899498219</v>
      </c>
      <c r="CM76" s="4158">
        <f>+CM74-(SMS!AX29+SMS!AX32)</f>
        <v>-101401.28399999929</v>
      </c>
      <c r="CN76" s="4158">
        <f>+CN74-(SMS!AY29+SMS!AY32)</f>
        <v>-177750</v>
      </c>
      <c r="CO76" s="4158">
        <f>+CO74-(SMS!AZ29+SMS!AZ32)</f>
        <v>0</v>
      </c>
      <c r="CP76" s="4158">
        <f>+CP74-(SMS!BA29+SMS!BA32)</f>
        <v>-515475</v>
      </c>
      <c r="CQ76" s="4158">
        <f>+CQ74-(SMS!BB29+SMS!BB32)</f>
        <v>-0.30000000004656613</v>
      </c>
      <c r="CR76" s="4158">
        <f>+CR74-(SMS!BC29+SMS!BC32)</f>
        <v>-1042890.45</v>
      </c>
      <c r="CS76" s="4158">
        <f>+CS74-(SMS!BD29+SMS!BD32)</f>
        <v>1.1400000000139698</v>
      </c>
      <c r="CT76" s="4158">
        <f>+CT74-(SMS!BE29+SMS!BE32)</f>
        <v>-1995024.1899498219</v>
      </c>
      <c r="CU76" s="4158">
        <f>+CU74-(SMS!BF29+SMS!BF32)</f>
        <v>-101401.28399999905</v>
      </c>
      <c r="CV76" s="4148"/>
    </row>
    <row r="77" spans="1:103" ht="15.6" hidden="1" x14ac:dyDescent="0.3">
      <c r="A77" s="4151"/>
      <c r="B77" s="4151"/>
      <c r="C77" s="4151"/>
      <c r="D77" s="4151"/>
      <c r="E77" s="4150"/>
      <c r="F77" s="4151"/>
      <c r="G77" s="4151"/>
      <c r="H77" s="4151"/>
      <c r="I77" s="4151"/>
      <c r="J77" s="4151"/>
      <c r="K77" s="4151"/>
      <c r="L77" s="4151"/>
      <c r="M77" s="4151"/>
      <c r="N77" s="4151"/>
      <c r="O77" s="4151"/>
      <c r="P77" s="4151"/>
      <c r="Q77" s="4151"/>
      <c r="R77" s="4151"/>
      <c r="S77" s="4151"/>
      <c r="T77" s="4151"/>
      <c r="U77" s="4151"/>
      <c r="V77" s="4151"/>
      <c r="W77" s="4151"/>
      <c r="X77" s="4151"/>
      <c r="Y77" s="4151"/>
      <c r="Z77" s="4151"/>
      <c r="AA77" s="4151"/>
      <c r="AB77" s="4151"/>
      <c r="AC77" s="4151"/>
      <c r="AD77" s="4151"/>
      <c r="AE77" s="4151"/>
      <c r="AF77" s="4151"/>
      <c r="AG77" s="4151"/>
      <c r="AH77" s="4151"/>
      <c r="AI77" s="4151"/>
      <c r="AJ77" s="4151"/>
      <c r="AK77" s="4151"/>
      <c r="AL77" s="4151"/>
      <c r="AM77" s="4151"/>
      <c r="AN77" s="4151"/>
      <c r="AO77" s="4151"/>
      <c r="AP77" s="4151"/>
      <c r="AQ77" s="4151"/>
      <c r="AR77" s="4151"/>
      <c r="AS77" s="4151"/>
      <c r="AT77" s="4151"/>
      <c r="AU77" s="4151"/>
      <c r="AV77" s="4151"/>
      <c r="AW77" s="4151"/>
      <c r="AX77" s="4151"/>
      <c r="AY77" s="4151"/>
      <c r="AZ77" s="4151"/>
      <c r="BA77" s="4151"/>
      <c r="BB77" s="4151"/>
      <c r="BC77" s="4151"/>
      <c r="BD77" s="4151"/>
      <c r="BE77" s="4151"/>
      <c r="BF77" s="4151"/>
      <c r="BG77" s="4151"/>
      <c r="BH77" s="4151"/>
      <c r="BI77" s="4151"/>
      <c r="BJ77" s="4151"/>
      <c r="BK77" s="4151"/>
      <c r="BL77" s="4151"/>
      <c r="BM77" s="4151"/>
      <c r="BN77" s="4151"/>
      <c r="BO77" s="4151"/>
      <c r="BP77" s="4151"/>
      <c r="BQ77" s="4151"/>
      <c r="BR77" s="4151"/>
      <c r="BS77" s="4151"/>
      <c r="BT77" s="4151"/>
      <c r="BU77" s="4151"/>
      <c r="BV77" s="4151"/>
      <c r="BW77" s="4151"/>
      <c r="BX77" s="4151"/>
      <c r="BY77" s="4151"/>
      <c r="BZ77" s="4151"/>
      <c r="CA77" s="4151"/>
      <c r="CB77" s="4151"/>
      <c r="CC77" s="4151"/>
      <c r="CD77" s="4151"/>
      <c r="CE77" s="4151"/>
      <c r="CF77" s="4151"/>
      <c r="CG77" s="4151"/>
      <c r="CH77" s="4151"/>
      <c r="CI77" s="4151"/>
      <c r="CJ77" s="4151"/>
      <c r="CK77" s="4151"/>
      <c r="CL77" s="4151"/>
      <c r="CM77" s="4151"/>
      <c r="CN77" s="4151"/>
      <c r="CO77" s="4151"/>
      <c r="CP77" s="4151"/>
      <c r="CQ77" s="4151"/>
      <c r="CR77" s="4151"/>
      <c r="CS77" s="4151"/>
      <c r="CT77" s="4151"/>
      <c r="CU77" s="4149"/>
      <c r="CV77" s="4148"/>
    </row>
    <row r="78" spans="1:103" ht="15.6" hidden="1" x14ac:dyDescent="0.3">
      <c r="AP78" s="4168"/>
    </row>
    <row r="79" spans="1:103" x14ac:dyDescent="0.25">
      <c r="AU79" s="4168"/>
      <c r="AV79" s="4168"/>
      <c r="AW79" s="4168"/>
      <c r="AX79" s="4168"/>
      <c r="AY79" s="4168"/>
      <c r="AZ79" s="4168"/>
      <c r="BA79" s="4168"/>
      <c r="BB79" s="4168"/>
      <c r="BC79" s="4168"/>
      <c r="BD79" s="4168"/>
      <c r="BE79" s="4168"/>
      <c r="BF79" s="4168"/>
      <c r="BG79" s="4168"/>
      <c r="BH79" s="4168"/>
      <c r="BI79" s="4168"/>
      <c r="BJ79" s="4168"/>
      <c r="BK79" s="4168"/>
      <c r="BL79" s="4168"/>
      <c r="BM79" s="4168"/>
      <c r="BN79" s="4168"/>
      <c r="BO79" s="4168"/>
      <c r="BP79" s="4168"/>
      <c r="BQ79" s="4168"/>
      <c r="BR79" s="4168"/>
      <c r="BS79" s="4168"/>
      <c r="BT79" s="4168"/>
      <c r="BU79" s="4168"/>
      <c r="BV79" s="4168"/>
    </row>
    <row r="80" spans="1:103" ht="21" x14ac:dyDescent="0.35">
      <c r="E80" s="5057" t="s">
        <v>2153</v>
      </c>
      <c r="F80" s="4168"/>
      <c r="O80" s="4168"/>
    </row>
    <row r="81" spans="6:34" x14ac:dyDescent="0.25">
      <c r="F81" s="4168"/>
      <c r="AH81" s="4168"/>
    </row>
  </sheetData>
  <mergeCells count="30">
    <mergeCell ref="CB4:CC4"/>
    <mergeCell ref="CR4:CS4"/>
    <mergeCell ref="CT4:CU4"/>
    <mergeCell ref="CF4:CG4"/>
    <mergeCell ref="CH4:CI4"/>
    <mergeCell ref="CJ4:CK4"/>
    <mergeCell ref="CL4:CM4"/>
    <mergeCell ref="CN4:CO4"/>
    <mergeCell ref="CP4:CQ4"/>
    <mergeCell ref="BR4:BS4"/>
    <mergeCell ref="BT4:BU4"/>
    <mergeCell ref="BV4:BW4"/>
    <mergeCell ref="BX4:BY4"/>
    <mergeCell ref="BZ4:CA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CD4:CE4"/>
    <mergeCell ref="BH4:BI4"/>
    <mergeCell ref="BJ4:BK4"/>
    <mergeCell ref="BL4:BM4"/>
    <mergeCell ref="BN4:BO4"/>
    <mergeCell ref="BP4:BQ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97575"/>
    <pageSetUpPr fitToPage="1"/>
  </sheetPr>
  <dimension ref="A1:DA63"/>
  <sheetViews>
    <sheetView topLeftCell="E1" zoomScaleNormal="100" workbookViewId="0">
      <pane xSplit="1" topLeftCell="AR1" activePane="topRight" state="frozen"/>
      <selection activeCell="G62" sqref="G62"/>
      <selection pane="topRight" activeCell="BQ12" sqref="BQ12"/>
    </sheetView>
  </sheetViews>
  <sheetFormatPr defaultColWidth="9.140625" defaultRowHeight="15.75" x14ac:dyDescent="0.25"/>
  <cols>
    <col min="1" max="4" width="9.140625" style="1155"/>
    <col min="5" max="5" width="55.140625" style="1155" bestFit="1" customWidth="1"/>
    <col min="6" max="6" width="15.5703125" style="1155" customWidth="1"/>
    <col min="7" max="7" width="11.85546875" style="1155" customWidth="1"/>
    <col min="8" max="8" width="10.42578125" style="1155" customWidth="1"/>
    <col min="9" max="10" width="9.7109375" style="1155" customWidth="1"/>
    <col min="11" max="12" width="8.42578125" style="1155" customWidth="1"/>
    <col min="13" max="14" width="7.85546875" style="1155" customWidth="1"/>
    <col min="15" max="15" width="8.42578125" style="1155" hidden="1" customWidth="1"/>
    <col min="16" max="16" width="9.85546875" style="1155" hidden="1" customWidth="1"/>
    <col min="17" max="17" width="8.42578125" style="1155" hidden="1" customWidth="1"/>
    <col min="18" max="23" width="9.85546875" style="1155" hidden="1" customWidth="1"/>
    <col min="24" max="25" width="12" style="1155" customWidth="1"/>
    <col min="26" max="26" width="9.140625" style="1155" customWidth="1"/>
    <col min="27" max="29" width="8.28515625" style="1155" customWidth="1"/>
    <col min="30" max="30" width="8.7109375" style="1155" customWidth="1"/>
    <col min="31" max="33" width="8.28515625" style="1155" customWidth="1"/>
    <col min="34" max="34" width="8.28515625" style="1155" hidden="1" customWidth="1"/>
    <col min="35" max="35" width="8.85546875" style="1155" hidden="1" customWidth="1"/>
    <col min="36" max="38" width="8.28515625" style="1155" hidden="1" customWidth="1"/>
    <col min="39" max="39" width="8.140625" style="1155" hidden="1" customWidth="1"/>
    <col min="40" max="40" width="9.42578125" style="1155" hidden="1" customWidth="1"/>
    <col min="41" max="42" width="8.28515625" style="1155" hidden="1" customWidth="1"/>
    <col min="43" max="43" width="9" style="1155" customWidth="1"/>
    <col min="44" max="44" width="13.28515625" style="1155" customWidth="1"/>
    <col min="45" max="45" width="13.28515625" style="4167" customWidth="1"/>
    <col min="46" max="46" width="5.42578125" style="1155" customWidth="1"/>
    <col min="47" max="47" width="16" style="1155" customWidth="1"/>
    <col min="48" max="48" width="16" style="1155" hidden="1" customWidth="1"/>
    <col min="49" max="49" width="11.42578125" style="1155" customWidth="1"/>
    <col min="50" max="52" width="18.140625" style="1155" hidden="1" customWidth="1"/>
    <col min="53" max="53" width="10.140625" style="1155" customWidth="1"/>
    <col min="54" max="54" width="10.140625" style="1155" hidden="1" customWidth="1"/>
    <col min="55" max="55" width="10.140625" style="1155" customWidth="1"/>
    <col min="56" max="56" width="10.140625" style="1155" hidden="1" customWidth="1"/>
    <col min="57" max="57" width="10.140625" style="1155" customWidth="1"/>
    <col min="58" max="60" width="10.140625" style="1155" hidden="1" customWidth="1"/>
    <col min="61" max="61" width="10.140625" style="1155" customWidth="1"/>
    <col min="62" max="64" width="10.140625" style="1155" hidden="1" customWidth="1"/>
    <col min="65" max="65" width="10.140625" style="1155" customWidth="1"/>
    <col min="66" max="66" width="10.140625" style="1155" hidden="1" customWidth="1"/>
    <col min="67" max="67" width="10.140625" style="1155" customWidth="1"/>
    <col min="68" max="68" width="10.140625" style="1155" hidden="1" customWidth="1"/>
    <col min="69" max="69" width="10.140625" style="1155" customWidth="1"/>
    <col min="70" max="98" width="10.140625" style="1155" hidden="1" customWidth="1"/>
    <col min="99" max="99" width="10.7109375" style="1155" hidden="1" customWidth="1"/>
    <col min="100" max="100" width="10.7109375" style="1155" customWidth="1"/>
    <col min="101" max="102" width="9.140625" style="1155" customWidth="1"/>
    <col min="103" max="103" width="44.42578125" style="1155" customWidth="1"/>
    <col min="104" max="104" width="9.140625" style="1155" customWidth="1"/>
    <col min="105" max="105" width="12" style="1155" customWidth="1"/>
    <col min="106" max="16384" width="9.140625" style="1155"/>
  </cols>
  <sheetData>
    <row r="1" spans="1:101" ht="15.6" x14ac:dyDescent="0.3">
      <c r="A1" s="4151"/>
      <c r="B1" s="4151"/>
      <c r="C1" s="4151"/>
      <c r="D1" s="4151"/>
      <c r="E1" s="4150" t="s">
        <v>2258</v>
      </c>
      <c r="F1" s="4151"/>
      <c r="G1" s="4151"/>
      <c r="H1" s="4151"/>
      <c r="I1" s="4151"/>
      <c r="J1" s="4151"/>
      <c r="K1" s="4151"/>
      <c r="L1" s="4151"/>
      <c r="M1" s="4151"/>
      <c r="N1" s="4151"/>
      <c r="O1" s="4151"/>
      <c r="P1" s="4151"/>
      <c r="Q1" s="4151"/>
      <c r="R1" s="4151"/>
      <c r="S1" s="4149"/>
      <c r="T1" s="4149"/>
      <c r="U1" s="4149"/>
      <c r="V1" s="4149"/>
      <c r="W1" s="4149"/>
      <c r="X1" s="4151"/>
      <c r="Y1" s="4151"/>
      <c r="Z1" s="4151"/>
      <c r="AA1" s="4151"/>
      <c r="AB1" s="4151"/>
      <c r="AC1" s="4151"/>
      <c r="AD1" s="4151"/>
      <c r="AE1" s="4151"/>
      <c r="AF1" s="4151"/>
      <c r="AG1" s="4151"/>
      <c r="AH1" s="4151"/>
      <c r="AI1" s="4151"/>
      <c r="AJ1" s="4151"/>
      <c r="AK1" s="4151"/>
      <c r="AL1" s="4149"/>
      <c r="AM1" s="4149"/>
      <c r="AN1" s="4149"/>
      <c r="AO1" s="4149"/>
      <c r="AP1" s="4149"/>
      <c r="AQ1" s="4149"/>
      <c r="AR1" s="4151"/>
      <c r="AS1" s="4151"/>
      <c r="AT1" s="4151"/>
      <c r="AU1" s="4151"/>
      <c r="AV1" s="4151"/>
      <c r="AW1" s="4151"/>
      <c r="AX1" s="4151"/>
      <c r="AY1" s="4151"/>
      <c r="AZ1" s="4151"/>
      <c r="BA1" s="4151"/>
      <c r="BB1" s="4151"/>
      <c r="BC1" s="4151"/>
      <c r="BD1" s="4151"/>
      <c r="BE1" s="4151"/>
      <c r="BF1" s="4151"/>
      <c r="BG1" s="4151"/>
      <c r="BH1" s="4151"/>
      <c r="BI1" s="4151"/>
      <c r="BJ1" s="4151"/>
      <c r="BK1" s="4151"/>
      <c r="BL1" s="4151"/>
      <c r="BM1" s="4151"/>
      <c r="BN1" s="4151"/>
      <c r="BO1" s="4151"/>
      <c r="BP1" s="4151"/>
      <c r="BQ1" s="4151"/>
      <c r="BR1" s="4151"/>
      <c r="BS1" s="4151"/>
      <c r="BT1" s="4151"/>
      <c r="BU1" s="4151"/>
      <c r="BV1" s="4151"/>
      <c r="BW1" s="4151"/>
      <c r="BX1" s="4151"/>
      <c r="BY1" s="4151"/>
      <c r="BZ1" s="4151"/>
      <c r="CA1" s="4151"/>
      <c r="CB1" s="4151"/>
      <c r="CC1" s="4151"/>
      <c r="CD1" s="4151"/>
      <c r="CE1" s="4151"/>
      <c r="CF1" s="4151"/>
      <c r="CG1" s="4151"/>
      <c r="CH1" s="4151"/>
      <c r="CI1" s="4151"/>
      <c r="CJ1" s="4151"/>
      <c r="CK1" s="4151"/>
      <c r="CL1" s="4151"/>
      <c r="CM1" s="4151"/>
      <c r="CN1" s="4151"/>
      <c r="CO1" s="4151"/>
      <c r="CP1" s="4151"/>
      <c r="CQ1" s="4151"/>
      <c r="CR1" s="4151"/>
      <c r="CS1" s="4151"/>
      <c r="CT1" s="4151"/>
      <c r="CU1" s="4151"/>
      <c r="CV1" s="4151"/>
    </row>
    <row r="2" spans="1:101" ht="17.45" x14ac:dyDescent="0.3">
      <c r="A2" s="4151"/>
      <c r="B2" s="4151"/>
      <c r="C2" s="4151"/>
      <c r="D2" s="4151"/>
      <c r="E2" s="6144" t="s">
        <v>2220</v>
      </c>
      <c r="F2" s="6144"/>
      <c r="G2" s="6144"/>
      <c r="H2" s="6144"/>
      <c r="I2" s="6144"/>
      <c r="J2" s="6144"/>
      <c r="K2" s="6144"/>
      <c r="L2" s="6144"/>
      <c r="M2" s="6144"/>
      <c r="N2" s="6144"/>
      <c r="O2" s="6144"/>
      <c r="P2" s="6144"/>
      <c r="Q2" s="6144"/>
      <c r="R2" s="6144"/>
      <c r="S2" s="6144"/>
      <c r="T2" s="6144"/>
      <c r="U2" s="6144"/>
      <c r="V2" s="6144"/>
      <c r="W2" s="6144"/>
      <c r="X2" s="6144"/>
      <c r="Y2" s="6144"/>
      <c r="Z2" s="6144"/>
      <c r="AA2" s="6144"/>
      <c r="AB2" s="6144"/>
      <c r="AC2" s="6144"/>
      <c r="AD2" s="6144"/>
      <c r="AE2" s="6144"/>
      <c r="AF2" s="6144"/>
      <c r="AG2" s="6144"/>
      <c r="AH2" s="6144"/>
      <c r="AI2" s="6144"/>
      <c r="AJ2" s="6144"/>
      <c r="AK2" s="6144"/>
      <c r="AL2" s="6144"/>
      <c r="AM2" s="6144"/>
      <c r="AN2" s="6144"/>
      <c r="AO2" s="6144"/>
      <c r="AP2" s="6144"/>
      <c r="AQ2" s="6144"/>
      <c r="AR2" s="6144"/>
      <c r="AS2" s="6144"/>
      <c r="AT2" s="6144"/>
      <c r="AU2" s="6144"/>
      <c r="AV2" s="6144"/>
      <c r="AW2" s="6144"/>
      <c r="AX2" s="6144"/>
      <c r="AY2" s="6144"/>
      <c r="AZ2" s="6144"/>
      <c r="BA2" s="6144"/>
      <c r="BB2" s="6144"/>
      <c r="BC2" s="6144"/>
      <c r="BD2" s="6144"/>
      <c r="BE2" s="6144"/>
      <c r="BF2" s="6144"/>
      <c r="BG2" s="6144"/>
      <c r="BH2" s="6144"/>
      <c r="BI2" s="6144"/>
      <c r="BJ2" s="6144"/>
      <c r="BK2" s="6144"/>
      <c r="BL2" s="6144"/>
      <c r="BM2" s="6144"/>
      <c r="BN2" s="6144"/>
      <c r="BO2" s="6144"/>
      <c r="BP2" s="6144"/>
      <c r="BQ2" s="6144"/>
      <c r="BR2" s="6144"/>
      <c r="BS2" s="6144"/>
      <c r="BT2" s="6144"/>
      <c r="BU2" s="6144"/>
      <c r="BV2" s="6144"/>
      <c r="BW2" s="6144"/>
      <c r="BX2" s="6144"/>
      <c r="BY2" s="6144"/>
      <c r="BZ2" s="6144"/>
      <c r="CA2" s="6144"/>
      <c r="CB2" s="6144"/>
      <c r="CC2" s="6144"/>
      <c r="CD2" s="6144"/>
      <c r="CE2" s="6144"/>
      <c r="CF2" s="6144"/>
      <c r="CG2" s="6144"/>
      <c r="CH2" s="6144"/>
      <c r="CI2" s="6144"/>
      <c r="CJ2" s="6144"/>
      <c r="CK2" s="6144"/>
      <c r="CL2" s="6144"/>
      <c r="CM2" s="6144"/>
      <c r="CN2" s="6144"/>
      <c r="CO2" s="6144"/>
      <c r="CP2" s="6144"/>
      <c r="CQ2" s="6144"/>
      <c r="CR2" s="6144"/>
      <c r="CS2" s="6144"/>
      <c r="CT2" s="6144"/>
      <c r="CU2" s="6144"/>
      <c r="CV2" s="4192"/>
    </row>
    <row r="3" spans="1:101" ht="16.149999999999999" thickBot="1" x14ac:dyDescent="0.35">
      <c r="A3" s="4151"/>
      <c r="B3" s="4151"/>
      <c r="C3" s="4151"/>
      <c r="D3" s="4151"/>
      <c r="E3" s="4150"/>
      <c r="F3" s="4151"/>
      <c r="G3" s="4151"/>
      <c r="H3" s="4151"/>
      <c r="I3" s="4151"/>
      <c r="J3" s="4151"/>
      <c r="K3" s="4151"/>
      <c r="L3" s="4151"/>
      <c r="M3" s="4151"/>
      <c r="N3" s="4151"/>
      <c r="O3" s="4151"/>
      <c r="P3" s="4151"/>
      <c r="Q3" s="4151"/>
      <c r="R3" s="4151"/>
      <c r="S3" s="4151"/>
      <c r="T3" s="4151"/>
      <c r="U3" s="4151"/>
      <c r="V3" s="4151"/>
      <c r="W3" s="4151"/>
      <c r="X3" s="4151"/>
      <c r="Y3" s="4151"/>
      <c r="Z3" s="4151"/>
      <c r="AA3" s="4151"/>
      <c r="AB3" s="4151"/>
      <c r="AC3" s="4151"/>
      <c r="AD3" s="4151"/>
      <c r="AE3" s="4151"/>
      <c r="AF3" s="4151"/>
      <c r="AG3" s="4151"/>
      <c r="AH3" s="4151"/>
      <c r="AI3" s="4151"/>
      <c r="AJ3" s="4151"/>
      <c r="AK3" s="4151"/>
      <c r="AL3" s="4151"/>
      <c r="AM3" s="4151"/>
      <c r="AN3" s="4151"/>
      <c r="AO3" s="4151"/>
      <c r="AP3" s="4151"/>
      <c r="AQ3" s="4151"/>
      <c r="AR3" s="4151"/>
      <c r="AS3" s="4151"/>
      <c r="AT3" s="4151"/>
      <c r="AU3" s="4151"/>
      <c r="AV3" s="4151"/>
      <c r="AW3" s="4151"/>
      <c r="AX3" s="4151"/>
      <c r="AY3" s="4151"/>
      <c r="AZ3" s="4151"/>
      <c r="BA3" s="4151"/>
      <c r="BB3" s="4151"/>
      <c r="BC3" s="4151"/>
      <c r="BD3" s="4151"/>
      <c r="BE3" s="4151"/>
      <c r="BF3" s="4151"/>
      <c r="BG3" s="4151"/>
      <c r="BH3" s="4151"/>
      <c r="BI3" s="4151"/>
      <c r="BJ3" s="4151"/>
      <c r="BK3" s="4151"/>
      <c r="BL3" s="4151"/>
      <c r="BM3" s="4149"/>
      <c r="BN3" s="4149"/>
      <c r="BO3" s="4149"/>
      <c r="BP3" s="4149"/>
      <c r="BQ3" s="4149"/>
      <c r="BR3" s="4149"/>
      <c r="BS3" s="4151"/>
      <c r="BT3" s="4151"/>
      <c r="BU3" s="4151"/>
      <c r="BV3" s="4151"/>
      <c r="BW3" s="4151"/>
      <c r="BX3" s="4151"/>
      <c r="BY3" s="4151"/>
      <c r="BZ3" s="4151"/>
      <c r="CA3" s="4151"/>
      <c r="CB3" s="4151"/>
      <c r="CC3" s="4151"/>
      <c r="CD3" s="4151"/>
      <c r="CE3" s="4151"/>
      <c r="CF3" s="4151"/>
      <c r="CG3" s="4151"/>
      <c r="CH3" s="4151"/>
      <c r="CI3" s="4151"/>
      <c r="CJ3" s="4151"/>
      <c r="CK3" s="4151"/>
      <c r="CL3" s="4151"/>
      <c r="CM3" s="4151"/>
      <c r="CN3" s="4151"/>
      <c r="CO3" s="4151"/>
      <c r="CP3" s="4151"/>
      <c r="CQ3" s="4151"/>
      <c r="CR3" s="4151"/>
      <c r="CS3" s="4151"/>
      <c r="CT3" s="4151"/>
      <c r="CU3" s="4151"/>
      <c r="CV3" s="4148"/>
    </row>
    <row r="4" spans="1:101" ht="16.149999999999999" thickBot="1" x14ac:dyDescent="0.35">
      <c r="A4" s="4191"/>
      <c r="B4" s="4191"/>
      <c r="C4" s="4191"/>
      <c r="D4" s="4191"/>
      <c r="E4" s="4190"/>
      <c r="F4" s="6145" t="s">
        <v>639</v>
      </c>
      <c r="G4" s="6146"/>
      <c r="H4" s="6146"/>
      <c r="I4" s="6146"/>
      <c r="J4" s="6146"/>
      <c r="K4" s="6146"/>
      <c r="L4" s="6146"/>
      <c r="M4" s="6146"/>
      <c r="N4" s="6146"/>
      <c r="O4" s="6146"/>
      <c r="P4" s="6146"/>
      <c r="Q4" s="6146"/>
      <c r="R4" s="6146"/>
      <c r="S4" s="6146"/>
      <c r="T4" s="6146"/>
      <c r="U4" s="6146"/>
      <c r="V4" s="6146"/>
      <c r="W4" s="6146"/>
      <c r="X4" s="6147"/>
      <c r="Y4" s="6148" t="s">
        <v>640</v>
      </c>
      <c r="Z4" s="6149"/>
      <c r="AA4" s="6149"/>
      <c r="AB4" s="6150"/>
      <c r="AC4" s="6150"/>
      <c r="AD4" s="6150"/>
      <c r="AE4" s="6150"/>
      <c r="AF4" s="6150"/>
      <c r="AG4" s="6150"/>
      <c r="AH4" s="6150"/>
      <c r="AI4" s="6150"/>
      <c r="AJ4" s="6150"/>
      <c r="AK4" s="6150"/>
      <c r="AL4" s="6150"/>
      <c r="AM4" s="6150"/>
      <c r="AN4" s="6150"/>
      <c r="AO4" s="6150"/>
      <c r="AP4" s="6150"/>
      <c r="AQ4" s="6150"/>
      <c r="AR4" s="4189" t="s">
        <v>126</v>
      </c>
      <c r="AS4" s="4142"/>
      <c r="AT4" s="6151" t="s">
        <v>2190</v>
      </c>
      <c r="AU4" s="6152"/>
      <c r="AV4" s="6153" t="s">
        <v>2242</v>
      </c>
      <c r="AW4" s="6154"/>
      <c r="AX4" s="6155" t="s">
        <v>14</v>
      </c>
      <c r="AY4" s="6156"/>
      <c r="AZ4" s="6157" t="s">
        <v>2273</v>
      </c>
      <c r="BA4" s="6158"/>
      <c r="BB4" s="6159" t="s">
        <v>637</v>
      </c>
      <c r="BC4" s="6160"/>
      <c r="BD4" s="6161" t="s">
        <v>2296</v>
      </c>
      <c r="BE4" s="6154"/>
      <c r="BF4" s="6155" t="s">
        <v>17</v>
      </c>
      <c r="BG4" s="6156"/>
      <c r="BH4" s="6161" t="s">
        <v>2299</v>
      </c>
      <c r="BI4" s="6154"/>
      <c r="BJ4" s="6155" t="s">
        <v>18</v>
      </c>
      <c r="BK4" s="6156"/>
      <c r="BL4" s="6153" t="s">
        <v>2344</v>
      </c>
      <c r="BM4" s="6162"/>
      <c r="BN4" s="6163" t="s">
        <v>839</v>
      </c>
      <c r="BO4" s="6163"/>
      <c r="BP4" s="6164" t="s">
        <v>657</v>
      </c>
      <c r="BQ4" s="6164"/>
      <c r="BR4" s="6161" t="s">
        <v>1954</v>
      </c>
      <c r="BS4" s="6154"/>
      <c r="BT4" s="6155" t="s">
        <v>24</v>
      </c>
      <c r="BU4" s="6156"/>
      <c r="BV4" s="6161" t="s">
        <v>1970</v>
      </c>
      <c r="BW4" s="6154"/>
      <c r="BX4" s="6155" t="s">
        <v>27</v>
      </c>
      <c r="BY4" s="6156"/>
      <c r="BZ4" s="6153" t="s">
        <v>1985</v>
      </c>
      <c r="CA4" s="6162"/>
      <c r="CB4" s="6163" t="s">
        <v>1665</v>
      </c>
      <c r="CC4" s="6163"/>
      <c r="CD4" s="6155" t="s">
        <v>1666</v>
      </c>
      <c r="CE4" s="6156"/>
      <c r="CF4" s="6161" t="s">
        <v>2085</v>
      </c>
      <c r="CG4" s="6154"/>
      <c r="CH4" s="6155" t="s">
        <v>28</v>
      </c>
      <c r="CI4" s="6156"/>
      <c r="CJ4" s="6161" t="s">
        <v>2099</v>
      </c>
      <c r="CK4" s="6154"/>
      <c r="CL4" s="6155" t="s">
        <v>30</v>
      </c>
      <c r="CM4" s="6156"/>
      <c r="CN4" s="6161" t="s">
        <v>2111</v>
      </c>
      <c r="CO4" s="6154"/>
      <c r="CP4" s="6163" t="s">
        <v>1709</v>
      </c>
      <c r="CQ4" s="6163"/>
      <c r="CR4" s="6164" t="s">
        <v>671</v>
      </c>
      <c r="CS4" s="6164"/>
      <c r="CT4" s="6155" t="s">
        <v>1745</v>
      </c>
      <c r="CU4" s="6156"/>
      <c r="CV4" s="4148"/>
    </row>
    <row r="5" spans="1:101" ht="16.149999999999999" thickBot="1" x14ac:dyDescent="0.35">
      <c r="A5" s="4191"/>
      <c r="B5" s="4191"/>
      <c r="C5" s="4191"/>
      <c r="D5" s="4191" t="s">
        <v>1405</v>
      </c>
      <c r="E5" s="4147"/>
      <c r="F5" s="4146" t="s">
        <v>2219</v>
      </c>
      <c r="G5" s="4145" t="s">
        <v>2250</v>
      </c>
      <c r="H5" s="4145" t="s">
        <v>2260</v>
      </c>
      <c r="I5" s="4188" t="s">
        <v>637</v>
      </c>
      <c r="J5" s="4144" t="s">
        <v>2261</v>
      </c>
      <c r="K5" s="4144" t="s">
        <v>2262</v>
      </c>
      <c r="L5" s="4144" t="s">
        <v>2263</v>
      </c>
      <c r="M5" s="4188" t="s">
        <v>660</v>
      </c>
      <c r="N5" s="4187" t="s">
        <v>512</v>
      </c>
      <c r="O5" s="4144" t="s">
        <v>2264</v>
      </c>
      <c r="P5" s="4144" t="s">
        <v>2265</v>
      </c>
      <c r="Q5" s="4144" t="s">
        <v>2266</v>
      </c>
      <c r="R5" s="4188" t="s">
        <v>662</v>
      </c>
      <c r="S5" s="4186" t="s">
        <v>2267</v>
      </c>
      <c r="T5" s="4186" t="s">
        <v>2268</v>
      </c>
      <c r="U5" s="4186" t="s">
        <v>2269</v>
      </c>
      <c r="V5" s="4188" t="s">
        <v>663</v>
      </c>
      <c r="W5" s="4188" t="s">
        <v>550</v>
      </c>
      <c r="X5" s="4185" t="s">
        <v>2271</v>
      </c>
      <c r="Y5" s="4172" t="s">
        <v>2219</v>
      </c>
      <c r="Z5" s="4143" t="s">
        <v>2250</v>
      </c>
      <c r="AA5" s="4143" t="s">
        <v>2260</v>
      </c>
      <c r="AB5" s="4143" t="s">
        <v>637</v>
      </c>
      <c r="AC5" s="4143" t="s">
        <v>2261</v>
      </c>
      <c r="AD5" s="4143" t="s">
        <v>2262</v>
      </c>
      <c r="AE5" s="4184" t="s">
        <v>2263</v>
      </c>
      <c r="AF5" s="4183" t="s">
        <v>660</v>
      </c>
      <c r="AG5" s="4187" t="s">
        <v>512</v>
      </c>
      <c r="AH5" s="4184" t="s">
        <v>2264</v>
      </c>
      <c r="AI5" s="4184" t="s">
        <v>2265</v>
      </c>
      <c r="AJ5" s="4184" t="s">
        <v>2266</v>
      </c>
      <c r="AK5" s="4183" t="s">
        <v>662</v>
      </c>
      <c r="AL5" s="4184" t="s">
        <v>2267</v>
      </c>
      <c r="AM5" s="4184" t="s">
        <v>2268</v>
      </c>
      <c r="AN5" s="4182" t="s">
        <v>2269</v>
      </c>
      <c r="AO5" s="4183" t="s">
        <v>663</v>
      </c>
      <c r="AP5" s="4187" t="s">
        <v>550</v>
      </c>
      <c r="AQ5" s="4169" t="s">
        <v>2271</v>
      </c>
      <c r="AR5" s="4181" t="s">
        <v>2271</v>
      </c>
      <c r="AS5" s="4180"/>
      <c r="AT5" s="3127" t="s">
        <v>173</v>
      </c>
      <c r="AU5" s="2506" t="s">
        <v>174</v>
      </c>
      <c r="AV5" s="3128" t="s">
        <v>173</v>
      </c>
      <c r="AW5" s="3129" t="s">
        <v>174</v>
      </c>
      <c r="AX5" s="3130" t="s">
        <v>173</v>
      </c>
      <c r="AY5" s="3131" t="s">
        <v>174</v>
      </c>
      <c r="AZ5" s="3132" t="s">
        <v>173</v>
      </c>
      <c r="BA5" s="3133" t="s">
        <v>174</v>
      </c>
      <c r="BB5" s="3134" t="s">
        <v>173</v>
      </c>
      <c r="BC5" s="3135" t="s">
        <v>174</v>
      </c>
      <c r="BD5" s="3132" t="s">
        <v>173</v>
      </c>
      <c r="BE5" s="3129" t="s">
        <v>174</v>
      </c>
      <c r="BF5" s="3130" t="s">
        <v>173</v>
      </c>
      <c r="BG5" s="3131" t="s">
        <v>174</v>
      </c>
      <c r="BH5" s="3132" t="s">
        <v>173</v>
      </c>
      <c r="BI5" s="3129" t="s">
        <v>174</v>
      </c>
      <c r="BJ5" s="3130" t="s">
        <v>173</v>
      </c>
      <c r="BK5" s="3131" t="s">
        <v>174</v>
      </c>
      <c r="BL5" s="3137" t="s">
        <v>173</v>
      </c>
      <c r="BM5" s="805" t="s">
        <v>174</v>
      </c>
      <c r="BN5" s="3138" t="s">
        <v>173</v>
      </c>
      <c r="BO5" s="3138" t="s">
        <v>174</v>
      </c>
      <c r="BP5" s="3139" t="s">
        <v>173</v>
      </c>
      <c r="BQ5" s="3139" t="s">
        <v>174</v>
      </c>
      <c r="BR5" s="3136" t="s">
        <v>173</v>
      </c>
      <c r="BS5" s="3129" t="s">
        <v>174</v>
      </c>
      <c r="BT5" s="3130" t="s">
        <v>173</v>
      </c>
      <c r="BU5" s="3131" t="s">
        <v>174</v>
      </c>
      <c r="BV5" s="3136" t="s">
        <v>173</v>
      </c>
      <c r="BW5" s="3129" t="s">
        <v>174</v>
      </c>
      <c r="BX5" s="3130" t="s">
        <v>173</v>
      </c>
      <c r="BY5" s="3131" t="s">
        <v>174</v>
      </c>
      <c r="BZ5" s="3137" t="s">
        <v>173</v>
      </c>
      <c r="CA5" s="805" t="s">
        <v>174</v>
      </c>
      <c r="CB5" s="3138" t="s">
        <v>173</v>
      </c>
      <c r="CC5" s="3138" t="s">
        <v>174</v>
      </c>
      <c r="CD5" s="3130" t="s">
        <v>173</v>
      </c>
      <c r="CE5" s="3131" t="s">
        <v>174</v>
      </c>
      <c r="CF5" s="3136" t="s">
        <v>173</v>
      </c>
      <c r="CG5" s="3129" t="s">
        <v>174</v>
      </c>
      <c r="CH5" s="3130" t="s">
        <v>173</v>
      </c>
      <c r="CI5" s="3131" t="s">
        <v>174</v>
      </c>
      <c r="CJ5" s="3136" t="s">
        <v>173</v>
      </c>
      <c r="CK5" s="3129" t="s">
        <v>174</v>
      </c>
      <c r="CL5" s="3130" t="s">
        <v>173</v>
      </c>
      <c r="CM5" s="3131" t="s">
        <v>174</v>
      </c>
      <c r="CN5" s="3136" t="s">
        <v>173</v>
      </c>
      <c r="CO5" s="3129" t="s">
        <v>174</v>
      </c>
      <c r="CP5" s="3138" t="s">
        <v>173</v>
      </c>
      <c r="CQ5" s="3138" t="s">
        <v>174</v>
      </c>
      <c r="CR5" s="3139" t="s">
        <v>173</v>
      </c>
      <c r="CS5" s="3139" t="s">
        <v>174</v>
      </c>
      <c r="CT5" s="3130" t="s">
        <v>173</v>
      </c>
      <c r="CU5" s="3131" t="s">
        <v>174</v>
      </c>
      <c r="CV5" s="4148"/>
    </row>
    <row r="6" spans="1:101" ht="15.6" x14ac:dyDescent="0.3">
      <c r="A6" s="4191"/>
      <c r="B6" s="4191"/>
      <c r="C6" s="4191"/>
      <c r="D6" s="4191"/>
      <c r="E6" s="4179" t="s">
        <v>1410</v>
      </c>
      <c r="F6" s="4171">
        <v>6517</v>
      </c>
      <c r="G6" s="4129">
        <v>6638</v>
      </c>
      <c r="H6" s="4129">
        <v>8371</v>
      </c>
      <c r="I6" s="4178">
        <f>SUM(F6:H6)</f>
        <v>21526</v>
      </c>
      <c r="J6" s="4129">
        <v>10061</v>
      </c>
      <c r="K6" s="4129">
        <v>12624.808000000001</v>
      </c>
      <c r="L6" s="4129">
        <v>10642</v>
      </c>
      <c r="M6" s="4178">
        <f>J6+K6+L6</f>
        <v>33327.808000000005</v>
      </c>
      <c r="N6" s="4177">
        <f>I6+M6</f>
        <v>54853.808000000005</v>
      </c>
      <c r="O6" s="4125"/>
      <c r="P6" s="4125"/>
      <c r="Q6" s="4129"/>
      <c r="R6" s="4178"/>
      <c r="S6" s="4129"/>
      <c r="T6" s="4129"/>
      <c r="U6" s="4176"/>
      <c r="V6" s="4178"/>
      <c r="W6" s="4177"/>
      <c r="X6" s="4141">
        <f>+I6+M6+R6+V6</f>
        <v>54853.808000000005</v>
      </c>
      <c r="Y6" s="4140">
        <v>0</v>
      </c>
      <c r="Z6" s="4129">
        <v>0</v>
      </c>
      <c r="AA6" s="4129"/>
      <c r="AB6" s="4178">
        <f t="shared" ref="AB6:AB56" si="0">+Y6+Z6+AA6</f>
        <v>0</v>
      </c>
      <c r="AC6" s="4129"/>
      <c r="AD6" s="4129"/>
      <c r="AE6" s="4129"/>
      <c r="AF6" s="4139">
        <f t="shared" ref="AF6" si="1">SUM(AC6:AE6)</f>
        <v>0</v>
      </c>
      <c r="AG6" s="4177">
        <f t="shared" ref="AG6" si="2">+AB6+AF6</f>
        <v>0</v>
      </c>
      <c r="AH6" s="4125"/>
      <c r="AI6" s="4125"/>
      <c r="AJ6" s="4125"/>
      <c r="AK6" s="4178">
        <f t="shared" ref="AK6:AK56" si="3">SUM(AH6:AJ6)</f>
        <v>0</v>
      </c>
      <c r="AL6" s="4129"/>
      <c r="AM6" s="4129"/>
      <c r="AN6" s="4176"/>
      <c r="AO6" s="4178">
        <f t="shared" ref="AO6" si="4">+AL6+AM6+AN6</f>
        <v>0</v>
      </c>
      <c r="AP6" s="4177">
        <f t="shared" ref="AP6" si="5">+AK6+AO6</f>
        <v>0</v>
      </c>
      <c r="AQ6" s="4138">
        <f>+AB6+AF6+AK6+AO6</f>
        <v>0</v>
      </c>
      <c r="AR6" s="4128">
        <f t="shared" ref="AR6" si="6">+X6+AQ6</f>
        <v>54853.808000000005</v>
      </c>
      <c r="AS6" s="4175"/>
      <c r="AT6" s="4131"/>
      <c r="AU6" s="4137">
        <f>+F6+Y6</f>
        <v>6517</v>
      </c>
      <c r="AV6" s="4136"/>
      <c r="AW6" s="4135">
        <f>+G6+Z6</f>
        <v>6638</v>
      </c>
      <c r="AX6" s="4134"/>
      <c r="AY6" s="4134">
        <f>AU6+AW6</f>
        <v>13155</v>
      </c>
      <c r="AZ6" s="4134"/>
      <c r="BA6" s="4135">
        <f t="shared" ref="BA6:BA52" si="7">+H6+AA6</f>
        <v>8371</v>
      </c>
      <c r="BB6" s="4133"/>
      <c r="BC6" s="4133">
        <f t="shared" ref="BC6:BC52" si="8">AU6+AW6+BA6</f>
        <v>21526</v>
      </c>
      <c r="BD6" s="4134"/>
      <c r="BE6" s="4135">
        <f t="shared" ref="BE6:BE52" si="9">+J6+AC6</f>
        <v>10061</v>
      </c>
      <c r="BF6" s="4132"/>
      <c r="BG6" s="4132">
        <f t="shared" ref="BG6:BG52" si="10">+BC6+BE6</f>
        <v>31587</v>
      </c>
      <c r="BH6" s="4134"/>
      <c r="BI6" s="4135">
        <f t="shared" ref="BI6:BI52" si="11">K6+AD6</f>
        <v>12624.808000000001</v>
      </c>
      <c r="BJ6" s="4132"/>
      <c r="BK6" s="4132">
        <f t="shared" ref="BK6:BK52" si="12">+BG6+BI6</f>
        <v>44211.808000000005</v>
      </c>
      <c r="BL6" s="4134"/>
      <c r="BM6" s="4135">
        <f t="shared" ref="BM6:BM52" si="13">+L6+AE6</f>
        <v>10642</v>
      </c>
      <c r="BN6" s="4134"/>
      <c r="BO6" s="4133">
        <f t="shared" ref="BO6:BO52" si="14">BE6+BI6+BM6</f>
        <v>33327.808000000005</v>
      </c>
      <c r="BP6" s="4134"/>
      <c r="BQ6" s="4157">
        <f t="shared" ref="BQ6:BQ52" si="15">BC6+BO6</f>
        <v>54853.808000000005</v>
      </c>
      <c r="BR6" s="4134"/>
      <c r="BS6" s="4135">
        <f t="shared" ref="BS6:BS52" si="16">+O6+AH6</f>
        <v>0</v>
      </c>
      <c r="BT6" s="4134"/>
      <c r="BU6" s="4134">
        <f t="shared" ref="BU6:BU52" si="17">BQ6+BS6</f>
        <v>54853.808000000005</v>
      </c>
      <c r="BV6" s="4134"/>
      <c r="BW6" s="4135">
        <f t="shared" ref="BW6:BW52" si="18">+P6+AI6</f>
        <v>0</v>
      </c>
      <c r="BX6" s="4134"/>
      <c r="BY6" s="4134">
        <f t="shared" ref="BY6:BY52" si="19">BU6+BW6</f>
        <v>54853.808000000005</v>
      </c>
      <c r="BZ6" s="4134"/>
      <c r="CA6" s="4135">
        <f t="shared" ref="CA6:CA52" si="20">+Q6+AJ6</f>
        <v>0</v>
      </c>
      <c r="CB6" s="4134"/>
      <c r="CC6" s="4133">
        <f t="shared" ref="CC6:CC52" si="21">BS6+BW6+CA6</f>
        <v>0</v>
      </c>
      <c r="CD6" s="4134"/>
      <c r="CE6" s="4134">
        <f t="shared" ref="CE6:CE52" si="22">BY6+CA6</f>
        <v>54853.808000000005</v>
      </c>
      <c r="CF6" s="4134"/>
      <c r="CG6" s="4135">
        <f t="shared" ref="CG6:CG52" si="23">+S6+AL6</f>
        <v>0</v>
      </c>
      <c r="CH6" s="4134"/>
      <c r="CI6" s="4134">
        <f t="shared" ref="CI6:CI52" si="24">CG6+CE6</f>
        <v>54853.808000000005</v>
      </c>
      <c r="CJ6" s="4134"/>
      <c r="CK6" s="4135">
        <f t="shared" ref="CK6:CK52" si="25">+T6+AM6</f>
        <v>0</v>
      </c>
      <c r="CL6" s="4134"/>
      <c r="CM6" s="4134">
        <f t="shared" ref="CM6:CM52" si="26">CI6+CK6</f>
        <v>54853.808000000005</v>
      </c>
      <c r="CN6" s="4134"/>
      <c r="CO6" s="4135">
        <f t="shared" ref="CO6:CO52" si="27">+U6+AN6</f>
        <v>0</v>
      </c>
      <c r="CP6" s="4134"/>
      <c r="CQ6" s="4133">
        <f t="shared" ref="CQ6:CQ52" si="28">CG6+CK6+CO6</f>
        <v>0</v>
      </c>
      <c r="CR6" s="4134"/>
      <c r="CS6" s="4157">
        <f t="shared" ref="CS6:CS52" si="29">CC6+CQ6</f>
        <v>0</v>
      </c>
      <c r="CT6" s="4132"/>
      <c r="CU6" s="4160">
        <f t="shared" ref="CU6:CU52" si="30">SUM(AU6,AW6,BA6,BE6,BI6,BM6,BS6,BW6,CA6,CG6,CK6,CO6)</f>
        <v>54853.808000000005</v>
      </c>
      <c r="CV6" s="4159"/>
      <c r="CW6" s="4168"/>
    </row>
    <row r="7" spans="1:101" ht="15.6" x14ac:dyDescent="0.3">
      <c r="A7" s="4191"/>
      <c r="B7" s="4191"/>
      <c r="C7" s="4191"/>
      <c r="D7" s="4191"/>
      <c r="E7" s="4179" t="s">
        <v>1206</v>
      </c>
      <c r="F7" s="4171">
        <v>4137</v>
      </c>
      <c r="G7" s="4129">
        <v>10029</v>
      </c>
      <c r="H7" s="4129">
        <v>7509</v>
      </c>
      <c r="I7" s="4178">
        <f t="shared" ref="I7:I56" si="31">SUM(F7:H7)</f>
        <v>21675</v>
      </c>
      <c r="J7" s="4129">
        <v>5553</v>
      </c>
      <c r="K7" s="4129">
        <v>9007.7540000000008</v>
      </c>
      <c r="L7" s="4129">
        <v>6746</v>
      </c>
      <c r="M7" s="4178">
        <f t="shared" ref="M7:M52" si="32">J7+K7+L7</f>
        <v>21306.754000000001</v>
      </c>
      <c r="N7" s="4177">
        <f t="shared" ref="N7:N52" si="33">I7+M7</f>
        <v>42981.754000000001</v>
      </c>
      <c r="O7" s="4125"/>
      <c r="P7" s="4125"/>
      <c r="Q7" s="4129"/>
      <c r="R7" s="4178"/>
      <c r="S7" s="4129"/>
      <c r="T7" s="4129"/>
      <c r="U7" s="4176"/>
      <c r="V7" s="4178"/>
      <c r="W7" s="4177"/>
      <c r="X7" s="4141">
        <f t="shared" ref="X7:X56" si="34">+I7+M7+R7+V7</f>
        <v>42981.754000000001</v>
      </c>
      <c r="Y7" s="4140">
        <v>0</v>
      </c>
      <c r="Z7" s="4129">
        <v>0</v>
      </c>
      <c r="AA7" s="4129"/>
      <c r="AB7" s="4178">
        <f t="shared" si="0"/>
        <v>0</v>
      </c>
      <c r="AC7" s="4129"/>
      <c r="AD7" s="4129"/>
      <c r="AE7" s="4129"/>
      <c r="AF7" s="4139">
        <f t="shared" ref="AF7:AF51" si="35">SUM(AC7:AE7)</f>
        <v>0</v>
      </c>
      <c r="AG7" s="4177">
        <f t="shared" ref="AG7:AG51" si="36">+AB7+AF7</f>
        <v>0</v>
      </c>
      <c r="AH7" s="4125"/>
      <c r="AI7" s="4125"/>
      <c r="AJ7" s="4125"/>
      <c r="AK7" s="4178">
        <f t="shared" ref="AK7:AK51" si="37">SUM(AH7:AJ7)</f>
        <v>0</v>
      </c>
      <c r="AL7" s="4129"/>
      <c r="AM7" s="4129"/>
      <c r="AN7" s="4176"/>
      <c r="AO7" s="4178">
        <f t="shared" ref="AO7:AO51" si="38">+AL7+AM7+AN7</f>
        <v>0</v>
      </c>
      <c r="AP7" s="4177">
        <f t="shared" ref="AP7:AP51" si="39">+AK7+AO7</f>
        <v>0</v>
      </c>
      <c r="AQ7" s="4138">
        <f t="shared" ref="AQ7:AQ51" si="40">+AB7+AF7+AK7+AO7</f>
        <v>0</v>
      </c>
      <c r="AR7" s="4128">
        <f t="shared" ref="AR7:AR51" si="41">+X7+AQ7</f>
        <v>42981.754000000001</v>
      </c>
      <c r="AS7" s="4175"/>
      <c r="AT7" s="4131"/>
      <c r="AU7" s="4137">
        <f t="shared" ref="AU7:AU56" si="42">+F7+Y7</f>
        <v>4137</v>
      </c>
      <c r="AV7" s="4136"/>
      <c r="AW7" s="4135">
        <f t="shared" ref="AW7:AW56" si="43">+G7+Z7</f>
        <v>10029</v>
      </c>
      <c r="AX7" s="4134"/>
      <c r="AY7" s="4134">
        <f t="shared" ref="AY7:AY56" si="44">AU7+AW7</f>
        <v>14166</v>
      </c>
      <c r="AZ7" s="4134"/>
      <c r="BA7" s="4135">
        <f t="shared" si="7"/>
        <v>7509</v>
      </c>
      <c r="BB7" s="4133"/>
      <c r="BC7" s="4133">
        <f t="shared" si="8"/>
        <v>21675</v>
      </c>
      <c r="BD7" s="4134"/>
      <c r="BE7" s="4135">
        <f t="shared" si="9"/>
        <v>5553</v>
      </c>
      <c r="BF7" s="4132"/>
      <c r="BG7" s="4132">
        <f t="shared" si="10"/>
        <v>27228</v>
      </c>
      <c r="BH7" s="4134"/>
      <c r="BI7" s="4135">
        <f t="shared" si="11"/>
        <v>9007.7540000000008</v>
      </c>
      <c r="BJ7" s="4132"/>
      <c r="BK7" s="4132">
        <f t="shared" si="12"/>
        <v>36235.754000000001</v>
      </c>
      <c r="BL7" s="4134"/>
      <c r="BM7" s="4135">
        <f t="shared" si="13"/>
        <v>6746</v>
      </c>
      <c r="BN7" s="4134"/>
      <c r="BO7" s="4133">
        <f t="shared" si="14"/>
        <v>21306.754000000001</v>
      </c>
      <c r="BP7" s="4134"/>
      <c r="BQ7" s="4157">
        <f t="shared" si="15"/>
        <v>42981.754000000001</v>
      </c>
      <c r="BR7" s="4134"/>
      <c r="BS7" s="4135">
        <f t="shared" si="16"/>
        <v>0</v>
      </c>
      <c r="BT7" s="4134"/>
      <c r="BU7" s="4134">
        <f t="shared" si="17"/>
        <v>42981.754000000001</v>
      </c>
      <c r="BV7" s="4134"/>
      <c r="BW7" s="4135">
        <f t="shared" si="18"/>
        <v>0</v>
      </c>
      <c r="BX7" s="4134"/>
      <c r="BY7" s="4134">
        <f t="shared" si="19"/>
        <v>42981.754000000001</v>
      </c>
      <c r="BZ7" s="4134"/>
      <c r="CA7" s="4135">
        <f t="shared" si="20"/>
        <v>0</v>
      </c>
      <c r="CB7" s="4134"/>
      <c r="CC7" s="4133">
        <f t="shared" si="21"/>
        <v>0</v>
      </c>
      <c r="CD7" s="4134"/>
      <c r="CE7" s="4134">
        <f t="shared" si="22"/>
        <v>42981.754000000001</v>
      </c>
      <c r="CF7" s="4134"/>
      <c r="CG7" s="4135">
        <f t="shared" si="23"/>
        <v>0</v>
      </c>
      <c r="CH7" s="4134"/>
      <c r="CI7" s="4134">
        <f t="shared" si="24"/>
        <v>42981.754000000001</v>
      </c>
      <c r="CJ7" s="4134"/>
      <c r="CK7" s="4135">
        <f t="shared" si="25"/>
        <v>0</v>
      </c>
      <c r="CL7" s="4134"/>
      <c r="CM7" s="4134">
        <f t="shared" si="26"/>
        <v>42981.754000000001</v>
      </c>
      <c r="CN7" s="4134"/>
      <c r="CO7" s="4135">
        <f t="shared" si="27"/>
        <v>0</v>
      </c>
      <c r="CP7" s="4134"/>
      <c r="CQ7" s="4133">
        <f t="shared" si="28"/>
        <v>0</v>
      </c>
      <c r="CR7" s="4134"/>
      <c r="CS7" s="4157">
        <f t="shared" si="29"/>
        <v>0</v>
      </c>
      <c r="CT7" s="4132"/>
      <c r="CU7" s="4160">
        <f t="shared" si="30"/>
        <v>42981.754000000001</v>
      </c>
      <c r="CV7" s="4159"/>
      <c r="CW7" s="4168"/>
    </row>
    <row r="8" spans="1:101" ht="15.6" x14ac:dyDescent="0.3">
      <c r="A8" s="4191"/>
      <c r="B8" s="4191"/>
      <c r="C8" s="4191"/>
      <c r="D8" s="4191"/>
      <c r="E8" s="4179" t="s">
        <v>2103</v>
      </c>
      <c r="F8" s="4171"/>
      <c r="G8" s="4129">
        <v>243</v>
      </c>
      <c r="H8" s="4129">
        <v>245</v>
      </c>
      <c r="I8" s="4178">
        <f t="shared" si="31"/>
        <v>488</v>
      </c>
      <c r="J8" s="4129"/>
      <c r="K8" s="4129">
        <v>236.768</v>
      </c>
      <c r="L8" s="4129">
        <v>723</v>
      </c>
      <c r="M8" s="4178">
        <f t="shared" si="32"/>
        <v>959.76800000000003</v>
      </c>
      <c r="N8" s="4177">
        <f t="shared" si="33"/>
        <v>1447.768</v>
      </c>
      <c r="O8" s="4125"/>
      <c r="P8" s="4125"/>
      <c r="Q8" s="4129"/>
      <c r="R8" s="4178"/>
      <c r="S8" s="4129"/>
      <c r="T8" s="4129"/>
      <c r="U8" s="4176"/>
      <c r="V8" s="4178"/>
      <c r="W8" s="4177"/>
      <c r="X8" s="4141">
        <f t="shared" si="34"/>
        <v>1447.768</v>
      </c>
      <c r="Y8" s="4140"/>
      <c r="Z8" s="4129">
        <v>0</v>
      </c>
      <c r="AA8" s="4129"/>
      <c r="AB8" s="4178">
        <f t="shared" si="0"/>
        <v>0</v>
      </c>
      <c r="AC8" s="4129"/>
      <c r="AD8" s="4129"/>
      <c r="AE8" s="4129"/>
      <c r="AF8" s="4139">
        <f t="shared" si="35"/>
        <v>0</v>
      </c>
      <c r="AG8" s="4177">
        <f t="shared" si="36"/>
        <v>0</v>
      </c>
      <c r="AH8" s="4125"/>
      <c r="AI8" s="4125"/>
      <c r="AJ8" s="4125"/>
      <c r="AK8" s="4178">
        <f t="shared" si="37"/>
        <v>0</v>
      </c>
      <c r="AL8" s="4129"/>
      <c r="AM8" s="4129"/>
      <c r="AN8" s="4176"/>
      <c r="AO8" s="4178">
        <f t="shared" si="38"/>
        <v>0</v>
      </c>
      <c r="AP8" s="4177">
        <f t="shared" si="39"/>
        <v>0</v>
      </c>
      <c r="AQ8" s="4138">
        <f t="shared" si="40"/>
        <v>0</v>
      </c>
      <c r="AR8" s="4128">
        <f t="shared" si="41"/>
        <v>1447.768</v>
      </c>
      <c r="AS8" s="4175"/>
      <c r="AT8" s="4131"/>
      <c r="AU8" s="4137">
        <f t="shared" si="42"/>
        <v>0</v>
      </c>
      <c r="AV8" s="5285"/>
      <c r="AW8" s="4135">
        <f t="shared" si="43"/>
        <v>243</v>
      </c>
      <c r="AX8" s="5428"/>
      <c r="AY8" s="4134">
        <f t="shared" si="44"/>
        <v>243</v>
      </c>
      <c r="AZ8" s="5428"/>
      <c r="BA8" s="4135">
        <f t="shared" si="7"/>
        <v>245</v>
      </c>
      <c r="BB8" s="5429"/>
      <c r="BC8" s="4133">
        <f t="shared" si="8"/>
        <v>488</v>
      </c>
      <c r="BD8" s="5428"/>
      <c r="BE8" s="4135">
        <f t="shared" si="9"/>
        <v>0</v>
      </c>
      <c r="BF8" s="5430"/>
      <c r="BG8" s="4132">
        <f t="shared" si="10"/>
        <v>488</v>
      </c>
      <c r="BH8" s="5428"/>
      <c r="BI8" s="4135">
        <f t="shared" si="11"/>
        <v>236.768</v>
      </c>
      <c r="BJ8" s="5430"/>
      <c r="BK8" s="4132">
        <f t="shared" si="12"/>
        <v>724.76800000000003</v>
      </c>
      <c r="BL8" s="5428"/>
      <c r="BM8" s="4135">
        <f t="shared" si="13"/>
        <v>723</v>
      </c>
      <c r="BN8" s="5428"/>
      <c r="BO8" s="4133">
        <f t="shared" si="14"/>
        <v>959.76800000000003</v>
      </c>
      <c r="BP8" s="5428"/>
      <c r="BQ8" s="4157">
        <f t="shared" si="15"/>
        <v>1447.768</v>
      </c>
      <c r="BR8" s="5428"/>
      <c r="BS8" s="5428"/>
      <c r="BT8" s="5428"/>
      <c r="BU8" s="5428"/>
      <c r="BV8" s="5428"/>
      <c r="BW8" s="5428"/>
      <c r="BX8" s="5428"/>
      <c r="BY8" s="5428"/>
      <c r="BZ8" s="5428"/>
      <c r="CA8" s="5428"/>
      <c r="CB8" s="5428"/>
      <c r="CC8" s="5429"/>
      <c r="CD8" s="5428"/>
      <c r="CE8" s="5428"/>
      <c r="CF8" s="5428"/>
      <c r="CG8" s="5428"/>
      <c r="CH8" s="5428"/>
      <c r="CI8" s="5428"/>
      <c r="CJ8" s="5428"/>
      <c r="CK8" s="5428"/>
      <c r="CL8" s="5428"/>
      <c r="CM8" s="5428"/>
      <c r="CN8" s="5428"/>
      <c r="CO8" s="5428"/>
      <c r="CP8" s="5428"/>
      <c r="CQ8" s="5429"/>
      <c r="CR8" s="5428"/>
      <c r="CS8" s="5431"/>
      <c r="CT8" s="5430"/>
      <c r="CU8" s="5432"/>
      <c r="CV8" s="4159"/>
      <c r="CW8" s="4168"/>
    </row>
    <row r="9" spans="1:101" ht="15.6" x14ac:dyDescent="0.3">
      <c r="A9" s="4191"/>
      <c r="B9" s="4191"/>
      <c r="C9" s="4191"/>
      <c r="D9" s="4191"/>
      <c r="E9" s="5041" t="s">
        <v>1715</v>
      </c>
      <c r="F9" s="4171"/>
      <c r="G9" s="4129">
        <v>258</v>
      </c>
      <c r="H9" s="4129"/>
      <c r="I9" s="4178">
        <f t="shared" si="31"/>
        <v>258</v>
      </c>
      <c r="J9" s="4129">
        <v>560</v>
      </c>
      <c r="K9" s="4129"/>
      <c r="L9" s="4129"/>
      <c r="M9" s="4178">
        <f t="shared" si="32"/>
        <v>560</v>
      </c>
      <c r="N9" s="4177">
        <f t="shared" si="33"/>
        <v>818</v>
      </c>
      <c r="O9" s="4125"/>
      <c r="P9" s="4125"/>
      <c r="Q9" s="4129"/>
      <c r="R9" s="4178"/>
      <c r="S9" s="4129"/>
      <c r="T9" s="4129"/>
      <c r="U9" s="4176"/>
      <c r="V9" s="4178"/>
      <c r="W9" s="4177"/>
      <c r="X9" s="4141">
        <f t="shared" si="34"/>
        <v>818</v>
      </c>
      <c r="Y9" s="4140"/>
      <c r="Z9" s="4129">
        <v>0</v>
      </c>
      <c r="AA9" s="4129"/>
      <c r="AB9" s="4178">
        <f t="shared" si="0"/>
        <v>0</v>
      </c>
      <c r="AC9" s="4129"/>
      <c r="AD9" s="4129"/>
      <c r="AE9" s="4129"/>
      <c r="AF9" s="4139">
        <f t="shared" si="35"/>
        <v>0</v>
      </c>
      <c r="AG9" s="4177">
        <f t="shared" si="36"/>
        <v>0</v>
      </c>
      <c r="AH9" s="4125"/>
      <c r="AI9" s="4125"/>
      <c r="AJ9" s="4125"/>
      <c r="AK9" s="4178">
        <f t="shared" si="37"/>
        <v>0</v>
      </c>
      <c r="AL9" s="4129"/>
      <c r="AM9" s="4129"/>
      <c r="AN9" s="4176"/>
      <c r="AO9" s="4178">
        <f t="shared" si="38"/>
        <v>0</v>
      </c>
      <c r="AP9" s="4177">
        <f t="shared" si="39"/>
        <v>0</v>
      </c>
      <c r="AQ9" s="4138">
        <f t="shared" si="40"/>
        <v>0</v>
      </c>
      <c r="AR9" s="4128">
        <f t="shared" si="41"/>
        <v>818</v>
      </c>
      <c r="AS9" s="4175"/>
      <c r="AT9" s="4131"/>
      <c r="AU9" s="4137">
        <f t="shared" si="42"/>
        <v>0</v>
      </c>
      <c r="AV9" s="5285"/>
      <c r="AW9" s="4135">
        <f t="shared" si="43"/>
        <v>258</v>
      </c>
      <c r="AX9" s="5428"/>
      <c r="AY9" s="4134">
        <f t="shared" si="44"/>
        <v>258</v>
      </c>
      <c r="AZ9" s="5428"/>
      <c r="BA9" s="4135">
        <f t="shared" si="7"/>
        <v>0</v>
      </c>
      <c r="BB9" s="5429"/>
      <c r="BC9" s="4133">
        <f t="shared" si="8"/>
        <v>258</v>
      </c>
      <c r="BD9" s="5428"/>
      <c r="BE9" s="4135">
        <f t="shared" si="9"/>
        <v>560</v>
      </c>
      <c r="BF9" s="5430"/>
      <c r="BG9" s="4132">
        <f t="shared" si="10"/>
        <v>818</v>
      </c>
      <c r="BH9" s="5428"/>
      <c r="BI9" s="4135">
        <f t="shared" si="11"/>
        <v>0</v>
      </c>
      <c r="BJ9" s="5430"/>
      <c r="BK9" s="4132">
        <f t="shared" si="12"/>
        <v>818</v>
      </c>
      <c r="BL9" s="5428"/>
      <c r="BM9" s="4135">
        <f t="shared" si="13"/>
        <v>0</v>
      </c>
      <c r="BN9" s="5428"/>
      <c r="BO9" s="4133">
        <f t="shared" si="14"/>
        <v>560</v>
      </c>
      <c r="BP9" s="5428"/>
      <c r="BQ9" s="4157">
        <f t="shared" si="15"/>
        <v>818</v>
      </c>
      <c r="BR9" s="5428"/>
      <c r="BS9" s="5428"/>
      <c r="BT9" s="5428"/>
      <c r="BU9" s="5428"/>
      <c r="BV9" s="5428"/>
      <c r="BW9" s="5428"/>
      <c r="BX9" s="5428"/>
      <c r="BY9" s="5428"/>
      <c r="BZ9" s="5428"/>
      <c r="CA9" s="5428"/>
      <c r="CB9" s="5428"/>
      <c r="CC9" s="5429"/>
      <c r="CD9" s="5428"/>
      <c r="CE9" s="5428"/>
      <c r="CF9" s="5428"/>
      <c r="CG9" s="5428"/>
      <c r="CH9" s="5428"/>
      <c r="CI9" s="5428"/>
      <c r="CJ9" s="5428"/>
      <c r="CK9" s="5428"/>
      <c r="CL9" s="5428"/>
      <c r="CM9" s="5428"/>
      <c r="CN9" s="5428"/>
      <c r="CO9" s="5428"/>
      <c r="CP9" s="5428"/>
      <c r="CQ9" s="5429"/>
      <c r="CR9" s="5428"/>
      <c r="CS9" s="5431"/>
      <c r="CT9" s="5430"/>
      <c r="CU9" s="5432"/>
      <c r="CV9" s="4159"/>
      <c r="CW9" s="4168"/>
    </row>
    <row r="10" spans="1:101" ht="15.6" x14ac:dyDescent="0.3">
      <c r="A10" s="4191"/>
      <c r="B10" s="4191"/>
      <c r="C10" s="4191"/>
      <c r="D10" s="4191"/>
      <c r="E10" s="4179" t="s">
        <v>1414</v>
      </c>
      <c r="F10" s="4171"/>
      <c r="G10" s="4129">
        <v>1890</v>
      </c>
      <c r="H10" s="4129"/>
      <c r="I10" s="4178">
        <f t="shared" si="31"/>
        <v>1890</v>
      </c>
      <c r="J10" s="4129"/>
      <c r="K10" s="4129"/>
      <c r="L10" s="4129"/>
      <c r="M10" s="4178">
        <f t="shared" si="32"/>
        <v>0</v>
      </c>
      <c r="N10" s="4177">
        <f t="shared" si="33"/>
        <v>1890</v>
      </c>
      <c r="O10" s="4125"/>
      <c r="P10" s="4125"/>
      <c r="Q10" s="4129"/>
      <c r="R10" s="4178"/>
      <c r="S10" s="4129"/>
      <c r="T10" s="4129"/>
      <c r="U10" s="4176"/>
      <c r="V10" s="4178"/>
      <c r="W10" s="4177"/>
      <c r="X10" s="4141">
        <f t="shared" si="34"/>
        <v>1890</v>
      </c>
      <c r="Y10" s="4140"/>
      <c r="Z10" s="4129">
        <v>0</v>
      </c>
      <c r="AA10" s="4129"/>
      <c r="AB10" s="4178">
        <f t="shared" si="0"/>
        <v>0</v>
      </c>
      <c r="AC10" s="4129"/>
      <c r="AD10" s="4129"/>
      <c r="AE10" s="4129"/>
      <c r="AF10" s="4139">
        <f t="shared" si="35"/>
        <v>0</v>
      </c>
      <c r="AG10" s="4177">
        <f t="shared" si="36"/>
        <v>0</v>
      </c>
      <c r="AH10" s="4125"/>
      <c r="AI10" s="4125"/>
      <c r="AJ10" s="4125"/>
      <c r="AK10" s="4178">
        <f t="shared" si="37"/>
        <v>0</v>
      </c>
      <c r="AL10" s="4129"/>
      <c r="AM10" s="4129"/>
      <c r="AN10" s="4176"/>
      <c r="AO10" s="4178">
        <f t="shared" si="38"/>
        <v>0</v>
      </c>
      <c r="AP10" s="4177">
        <f t="shared" si="39"/>
        <v>0</v>
      </c>
      <c r="AQ10" s="4138">
        <f t="shared" si="40"/>
        <v>0</v>
      </c>
      <c r="AR10" s="4128">
        <f t="shared" si="41"/>
        <v>1890</v>
      </c>
      <c r="AS10" s="4175"/>
      <c r="AT10" s="4131"/>
      <c r="AU10" s="4137">
        <f t="shared" si="42"/>
        <v>0</v>
      </c>
      <c r="AV10" s="5285"/>
      <c r="AW10" s="4135">
        <f t="shared" si="43"/>
        <v>1890</v>
      </c>
      <c r="AX10" s="5428"/>
      <c r="AY10" s="4134">
        <f t="shared" si="44"/>
        <v>1890</v>
      </c>
      <c r="AZ10" s="5428"/>
      <c r="BA10" s="4135">
        <f t="shared" si="7"/>
        <v>0</v>
      </c>
      <c r="BB10" s="5429"/>
      <c r="BC10" s="4133">
        <f t="shared" si="8"/>
        <v>1890</v>
      </c>
      <c r="BD10" s="5428"/>
      <c r="BE10" s="4135">
        <f t="shared" si="9"/>
        <v>0</v>
      </c>
      <c r="BF10" s="5430"/>
      <c r="BG10" s="4132">
        <f t="shared" si="10"/>
        <v>1890</v>
      </c>
      <c r="BH10" s="5428"/>
      <c r="BI10" s="4135">
        <f t="shared" si="11"/>
        <v>0</v>
      </c>
      <c r="BJ10" s="5430"/>
      <c r="BK10" s="4132">
        <f t="shared" si="12"/>
        <v>1890</v>
      </c>
      <c r="BL10" s="5428"/>
      <c r="BM10" s="4135">
        <f t="shared" si="13"/>
        <v>0</v>
      </c>
      <c r="BN10" s="5428"/>
      <c r="BO10" s="4133">
        <f t="shared" si="14"/>
        <v>0</v>
      </c>
      <c r="BP10" s="5428"/>
      <c r="BQ10" s="4157">
        <f t="shared" si="15"/>
        <v>1890</v>
      </c>
      <c r="BR10" s="5428"/>
      <c r="BS10" s="5428"/>
      <c r="BT10" s="5428"/>
      <c r="BU10" s="5428"/>
      <c r="BV10" s="5428"/>
      <c r="BW10" s="5428"/>
      <c r="BX10" s="5428"/>
      <c r="BY10" s="5428"/>
      <c r="BZ10" s="5428"/>
      <c r="CA10" s="5428"/>
      <c r="CB10" s="5428"/>
      <c r="CC10" s="5429"/>
      <c r="CD10" s="5428"/>
      <c r="CE10" s="5428"/>
      <c r="CF10" s="5428"/>
      <c r="CG10" s="5428"/>
      <c r="CH10" s="5428"/>
      <c r="CI10" s="5428"/>
      <c r="CJ10" s="5428"/>
      <c r="CK10" s="5428"/>
      <c r="CL10" s="5428"/>
      <c r="CM10" s="5428"/>
      <c r="CN10" s="5428"/>
      <c r="CO10" s="5428"/>
      <c r="CP10" s="5428"/>
      <c r="CQ10" s="5429"/>
      <c r="CR10" s="5428"/>
      <c r="CS10" s="5431"/>
      <c r="CT10" s="5430"/>
      <c r="CU10" s="5432"/>
      <c r="CV10" s="4159"/>
      <c r="CW10" s="4168"/>
    </row>
    <row r="11" spans="1:101" ht="15.6" x14ac:dyDescent="0.3">
      <c r="A11" s="4191"/>
      <c r="B11" s="4191"/>
      <c r="C11" s="4191"/>
      <c r="D11" s="4191"/>
      <c r="E11" s="4179" t="s">
        <v>1412</v>
      </c>
      <c r="F11" s="4171">
        <v>778</v>
      </c>
      <c r="G11" s="4129"/>
      <c r="H11" s="4129"/>
      <c r="I11" s="4178">
        <f t="shared" si="31"/>
        <v>778</v>
      </c>
      <c r="J11" s="4129">
        <v>913</v>
      </c>
      <c r="K11" s="4129"/>
      <c r="L11" s="4129">
        <v>1556</v>
      </c>
      <c r="M11" s="4178">
        <f t="shared" si="32"/>
        <v>2469</v>
      </c>
      <c r="N11" s="4177">
        <f t="shared" si="33"/>
        <v>3247</v>
      </c>
      <c r="O11" s="4125"/>
      <c r="P11" s="4125"/>
      <c r="Q11" s="4129"/>
      <c r="R11" s="4178"/>
      <c r="S11" s="4129"/>
      <c r="T11" s="4129"/>
      <c r="U11" s="4176"/>
      <c r="V11" s="4178"/>
      <c r="W11" s="4177"/>
      <c r="X11" s="4141">
        <f t="shared" si="34"/>
        <v>3247</v>
      </c>
      <c r="Y11" s="4140">
        <v>0</v>
      </c>
      <c r="Z11" s="4129"/>
      <c r="AA11" s="4129"/>
      <c r="AB11" s="4178">
        <f t="shared" si="0"/>
        <v>0</v>
      </c>
      <c r="AC11" s="4129"/>
      <c r="AD11" s="4129"/>
      <c r="AE11" s="4129"/>
      <c r="AF11" s="4139">
        <f t="shared" si="35"/>
        <v>0</v>
      </c>
      <c r="AG11" s="4177">
        <f t="shared" si="36"/>
        <v>0</v>
      </c>
      <c r="AH11" s="4125"/>
      <c r="AI11" s="4125"/>
      <c r="AJ11" s="4125"/>
      <c r="AK11" s="4178">
        <f t="shared" si="37"/>
        <v>0</v>
      </c>
      <c r="AL11" s="4129"/>
      <c r="AM11" s="4129"/>
      <c r="AN11" s="4176"/>
      <c r="AO11" s="4178">
        <f t="shared" si="38"/>
        <v>0</v>
      </c>
      <c r="AP11" s="4177">
        <f t="shared" si="39"/>
        <v>0</v>
      </c>
      <c r="AQ11" s="4138">
        <f t="shared" si="40"/>
        <v>0</v>
      </c>
      <c r="AR11" s="4128">
        <f t="shared" si="41"/>
        <v>3247</v>
      </c>
      <c r="AS11" s="4175"/>
      <c r="AT11" s="4131"/>
      <c r="AU11" s="4137">
        <f t="shared" si="42"/>
        <v>778</v>
      </c>
      <c r="AV11" s="4136"/>
      <c r="AW11" s="4135">
        <f t="shared" si="43"/>
        <v>0</v>
      </c>
      <c r="AX11" s="4134"/>
      <c r="AY11" s="4134">
        <f t="shared" si="44"/>
        <v>778</v>
      </c>
      <c r="AZ11" s="4134"/>
      <c r="BA11" s="4135">
        <f t="shared" si="7"/>
        <v>0</v>
      </c>
      <c r="BB11" s="4133"/>
      <c r="BC11" s="4133">
        <f t="shared" si="8"/>
        <v>778</v>
      </c>
      <c r="BD11" s="4134"/>
      <c r="BE11" s="4135">
        <f t="shared" si="9"/>
        <v>913</v>
      </c>
      <c r="BF11" s="4132"/>
      <c r="BG11" s="4132">
        <f t="shared" si="10"/>
        <v>1691</v>
      </c>
      <c r="BH11" s="4134"/>
      <c r="BI11" s="4135">
        <f t="shared" si="11"/>
        <v>0</v>
      </c>
      <c r="BJ11" s="4132"/>
      <c r="BK11" s="4132">
        <f t="shared" si="12"/>
        <v>1691</v>
      </c>
      <c r="BL11" s="4134"/>
      <c r="BM11" s="4135">
        <f t="shared" si="13"/>
        <v>1556</v>
      </c>
      <c r="BN11" s="4134"/>
      <c r="BO11" s="4133">
        <f t="shared" si="14"/>
        <v>2469</v>
      </c>
      <c r="BP11" s="4134"/>
      <c r="BQ11" s="4157">
        <f t="shared" si="15"/>
        <v>3247</v>
      </c>
      <c r="BR11" s="4134"/>
      <c r="BS11" s="4135">
        <f t="shared" si="16"/>
        <v>0</v>
      </c>
      <c r="BT11" s="4134"/>
      <c r="BU11" s="4134">
        <f t="shared" si="17"/>
        <v>3247</v>
      </c>
      <c r="BV11" s="4134"/>
      <c r="BW11" s="4135">
        <f t="shared" si="18"/>
        <v>0</v>
      </c>
      <c r="BX11" s="4134"/>
      <c r="BY11" s="4134">
        <f t="shared" si="19"/>
        <v>3247</v>
      </c>
      <c r="BZ11" s="4134"/>
      <c r="CA11" s="4135">
        <f t="shared" si="20"/>
        <v>0</v>
      </c>
      <c r="CB11" s="4134"/>
      <c r="CC11" s="4133">
        <f t="shared" si="21"/>
        <v>0</v>
      </c>
      <c r="CD11" s="4134"/>
      <c r="CE11" s="4134">
        <f t="shared" si="22"/>
        <v>3247</v>
      </c>
      <c r="CF11" s="4134"/>
      <c r="CG11" s="4135">
        <f t="shared" si="23"/>
        <v>0</v>
      </c>
      <c r="CH11" s="4134"/>
      <c r="CI11" s="4134">
        <f t="shared" si="24"/>
        <v>3247</v>
      </c>
      <c r="CJ11" s="4134"/>
      <c r="CK11" s="4135">
        <f t="shared" si="25"/>
        <v>0</v>
      </c>
      <c r="CL11" s="4134"/>
      <c r="CM11" s="4134">
        <f t="shared" si="26"/>
        <v>3247</v>
      </c>
      <c r="CN11" s="4134"/>
      <c r="CO11" s="4135">
        <f t="shared" si="27"/>
        <v>0</v>
      </c>
      <c r="CP11" s="4134"/>
      <c r="CQ11" s="4133">
        <f t="shared" si="28"/>
        <v>0</v>
      </c>
      <c r="CR11" s="4134"/>
      <c r="CS11" s="4157">
        <f t="shared" si="29"/>
        <v>0</v>
      </c>
      <c r="CT11" s="4132"/>
      <c r="CU11" s="4160">
        <f t="shared" si="30"/>
        <v>3247</v>
      </c>
      <c r="CV11" s="4159"/>
      <c r="CW11" s="4168"/>
    </row>
    <row r="12" spans="1:101" ht="15.6" x14ac:dyDescent="0.3">
      <c r="A12" s="4191"/>
      <c r="B12" s="4191"/>
      <c r="C12" s="4191"/>
      <c r="D12" s="4191"/>
      <c r="E12" s="4179" t="s">
        <v>2137</v>
      </c>
      <c r="F12" s="4171">
        <v>2306</v>
      </c>
      <c r="G12" s="4129">
        <v>2955</v>
      </c>
      <c r="H12" s="4129">
        <v>3040</v>
      </c>
      <c r="I12" s="4178">
        <f t="shared" si="31"/>
        <v>8301</v>
      </c>
      <c r="J12" s="4129">
        <v>2296</v>
      </c>
      <c r="K12" s="4129">
        <v>2464.924</v>
      </c>
      <c r="L12" s="4129">
        <v>1607</v>
      </c>
      <c r="M12" s="4178">
        <f t="shared" si="32"/>
        <v>6367.924</v>
      </c>
      <c r="N12" s="4177">
        <f t="shared" si="33"/>
        <v>14668.923999999999</v>
      </c>
      <c r="O12" s="4125"/>
      <c r="P12" s="4125"/>
      <c r="Q12" s="4129"/>
      <c r="R12" s="4178"/>
      <c r="S12" s="4129"/>
      <c r="T12" s="4129"/>
      <c r="U12" s="4176"/>
      <c r="V12" s="4178"/>
      <c r="W12" s="4177"/>
      <c r="X12" s="4141">
        <f t="shared" si="34"/>
        <v>14668.923999999999</v>
      </c>
      <c r="Y12" s="4140">
        <v>0</v>
      </c>
      <c r="Z12" s="4129">
        <v>0</v>
      </c>
      <c r="AA12" s="4129"/>
      <c r="AB12" s="4178">
        <f t="shared" si="0"/>
        <v>0</v>
      </c>
      <c r="AC12" s="4129"/>
      <c r="AD12" s="4129"/>
      <c r="AE12" s="4129"/>
      <c r="AF12" s="4139">
        <f t="shared" si="35"/>
        <v>0</v>
      </c>
      <c r="AG12" s="4177">
        <f t="shared" si="36"/>
        <v>0</v>
      </c>
      <c r="AH12" s="4125"/>
      <c r="AI12" s="4125"/>
      <c r="AJ12" s="4125"/>
      <c r="AK12" s="4178">
        <f t="shared" si="37"/>
        <v>0</v>
      </c>
      <c r="AL12" s="4129"/>
      <c r="AM12" s="4129"/>
      <c r="AN12" s="4176"/>
      <c r="AO12" s="4178">
        <f t="shared" si="38"/>
        <v>0</v>
      </c>
      <c r="AP12" s="4177">
        <f t="shared" si="39"/>
        <v>0</v>
      </c>
      <c r="AQ12" s="4138">
        <f t="shared" si="40"/>
        <v>0</v>
      </c>
      <c r="AR12" s="4128">
        <f t="shared" si="41"/>
        <v>14668.923999999999</v>
      </c>
      <c r="AS12" s="4175"/>
      <c r="AT12" s="4131"/>
      <c r="AU12" s="4137">
        <f t="shared" si="42"/>
        <v>2306</v>
      </c>
      <c r="AV12" s="4136"/>
      <c r="AW12" s="4135">
        <f t="shared" si="43"/>
        <v>2955</v>
      </c>
      <c r="AX12" s="4134"/>
      <c r="AY12" s="4134">
        <f t="shared" si="44"/>
        <v>5261</v>
      </c>
      <c r="AZ12" s="4134"/>
      <c r="BA12" s="4135">
        <f t="shared" si="7"/>
        <v>3040</v>
      </c>
      <c r="BB12" s="4133"/>
      <c r="BC12" s="4133">
        <f t="shared" si="8"/>
        <v>8301</v>
      </c>
      <c r="BD12" s="4134"/>
      <c r="BE12" s="4135">
        <f t="shared" si="9"/>
        <v>2296</v>
      </c>
      <c r="BF12" s="4132"/>
      <c r="BG12" s="4132">
        <f t="shared" si="10"/>
        <v>10597</v>
      </c>
      <c r="BH12" s="4134"/>
      <c r="BI12" s="4135">
        <f t="shared" si="11"/>
        <v>2464.924</v>
      </c>
      <c r="BJ12" s="4132"/>
      <c r="BK12" s="4132">
        <f t="shared" si="12"/>
        <v>13061.923999999999</v>
      </c>
      <c r="BL12" s="4134"/>
      <c r="BM12" s="4135">
        <f t="shared" si="13"/>
        <v>1607</v>
      </c>
      <c r="BN12" s="4134"/>
      <c r="BO12" s="4133">
        <f t="shared" si="14"/>
        <v>6367.924</v>
      </c>
      <c r="BP12" s="4134"/>
      <c r="BQ12" s="4157">
        <f t="shared" si="15"/>
        <v>14668.923999999999</v>
      </c>
      <c r="BR12" s="4134"/>
      <c r="BS12" s="4135">
        <f t="shared" si="16"/>
        <v>0</v>
      </c>
      <c r="BT12" s="4134"/>
      <c r="BU12" s="4134">
        <f t="shared" si="17"/>
        <v>14668.923999999999</v>
      </c>
      <c r="BV12" s="4134"/>
      <c r="BW12" s="4135">
        <f t="shared" si="18"/>
        <v>0</v>
      </c>
      <c r="BX12" s="4134"/>
      <c r="BY12" s="4134">
        <f t="shared" si="19"/>
        <v>14668.923999999999</v>
      </c>
      <c r="BZ12" s="4134"/>
      <c r="CA12" s="4135">
        <f t="shared" si="20"/>
        <v>0</v>
      </c>
      <c r="CB12" s="4134"/>
      <c r="CC12" s="4133">
        <f t="shared" si="21"/>
        <v>0</v>
      </c>
      <c r="CD12" s="4134"/>
      <c r="CE12" s="4134">
        <f t="shared" si="22"/>
        <v>14668.923999999999</v>
      </c>
      <c r="CF12" s="4134"/>
      <c r="CG12" s="4135">
        <f t="shared" si="23"/>
        <v>0</v>
      </c>
      <c r="CH12" s="4134"/>
      <c r="CI12" s="4134">
        <f t="shared" si="24"/>
        <v>14668.923999999999</v>
      </c>
      <c r="CJ12" s="4134"/>
      <c r="CK12" s="4135">
        <f t="shared" si="25"/>
        <v>0</v>
      </c>
      <c r="CL12" s="4134"/>
      <c r="CM12" s="4134">
        <f t="shared" si="26"/>
        <v>14668.923999999999</v>
      </c>
      <c r="CN12" s="4134"/>
      <c r="CO12" s="4135">
        <f t="shared" si="27"/>
        <v>0</v>
      </c>
      <c r="CP12" s="4134"/>
      <c r="CQ12" s="4133">
        <f t="shared" si="28"/>
        <v>0</v>
      </c>
      <c r="CR12" s="4134"/>
      <c r="CS12" s="4157">
        <f t="shared" si="29"/>
        <v>0</v>
      </c>
      <c r="CT12" s="4132"/>
      <c r="CU12" s="4160">
        <f t="shared" si="30"/>
        <v>14668.923999999999</v>
      </c>
      <c r="CV12" s="4159"/>
      <c r="CW12" s="4168"/>
    </row>
    <row r="13" spans="1:101" ht="15.6" x14ac:dyDescent="0.3">
      <c r="A13" s="4191"/>
      <c r="B13" s="4191"/>
      <c r="C13" s="4191"/>
      <c r="D13" s="4191"/>
      <c r="E13" s="4179" t="s">
        <v>1413</v>
      </c>
      <c r="F13" s="4171"/>
      <c r="G13" s="4129">
        <v>203</v>
      </c>
      <c r="H13" s="4129">
        <v>25</v>
      </c>
      <c r="I13" s="4178">
        <f t="shared" si="31"/>
        <v>228</v>
      </c>
      <c r="J13" s="4129"/>
      <c r="K13" s="4129">
        <v>344.58199999999999</v>
      </c>
      <c r="L13" s="4129"/>
      <c r="M13" s="4178">
        <f t="shared" si="32"/>
        <v>344.58199999999999</v>
      </c>
      <c r="N13" s="4177">
        <f t="shared" si="33"/>
        <v>572.58199999999999</v>
      </c>
      <c r="O13" s="4125"/>
      <c r="P13" s="4125"/>
      <c r="Q13" s="4129"/>
      <c r="R13" s="4178"/>
      <c r="S13" s="4129"/>
      <c r="T13" s="4129"/>
      <c r="U13" s="4176"/>
      <c r="V13" s="4178"/>
      <c r="W13" s="4177"/>
      <c r="X13" s="4141">
        <f t="shared" si="34"/>
        <v>572.58199999999999</v>
      </c>
      <c r="Y13" s="4140"/>
      <c r="Z13" s="4129">
        <v>0</v>
      </c>
      <c r="AA13" s="4129"/>
      <c r="AB13" s="4178">
        <f t="shared" si="0"/>
        <v>0</v>
      </c>
      <c r="AC13" s="4129"/>
      <c r="AD13" s="4129"/>
      <c r="AE13" s="4129"/>
      <c r="AF13" s="4139">
        <f t="shared" si="35"/>
        <v>0</v>
      </c>
      <c r="AG13" s="4177">
        <f t="shared" si="36"/>
        <v>0</v>
      </c>
      <c r="AH13" s="4125"/>
      <c r="AI13" s="4125"/>
      <c r="AJ13" s="4125"/>
      <c r="AK13" s="4178">
        <f t="shared" si="37"/>
        <v>0</v>
      </c>
      <c r="AL13" s="4129"/>
      <c r="AM13" s="4129"/>
      <c r="AN13" s="4176"/>
      <c r="AO13" s="4178">
        <f t="shared" si="38"/>
        <v>0</v>
      </c>
      <c r="AP13" s="4177">
        <f t="shared" si="39"/>
        <v>0</v>
      </c>
      <c r="AQ13" s="4138">
        <f t="shared" si="40"/>
        <v>0</v>
      </c>
      <c r="AR13" s="4128">
        <f t="shared" si="41"/>
        <v>572.58199999999999</v>
      </c>
      <c r="AS13" s="4175"/>
      <c r="AT13" s="4131"/>
      <c r="AU13" s="4137">
        <f t="shared" si="42"/>
        <v>0</v>
      </c>
      <c r="AV13" s="5285"/>
      <c r="AW13" s="4135">
        <f t="shared" si="43"/>
        <v>203</v>
      </c>
      <c r="AX13" s="5428"/>
      <c r="AY13" s="4134">
        <f t="shared" si="44"/>
        <v>203</v>
      </c>
      <c r="AZ13" s="5428"/>
      <c r="BA13" s="4135">
        <f t="shared" si="7"/>
        <v>25</v>
      </c>
      <c r="BB13" s="5429"/>
      <c r="BC13" s="4133">
        <f t="shared" si="8"/>
        <v>228</v>
      </c>
      <c r="BD13" s="5428"/>
      <c r="BE13" s="4135">
        <f t="shared" si="9"/>
        <v>0</v>
      </c>
      <c r="BF13" s="5430"/>
      <c r="BG13" s="4132">
        <f t="shared" si="10"/>
        <v>228</v>
      </c>
      <c r="BH13" s="5428"/>
      <c r="BI13" s="4135">
        <f t="shared" si="11"/>
        <v>344.58199999999999</v>
      </c>
      <c r="BJ13" s="5430"/>
      <c r="BK13" s="4132">
        <f t="shared" si="12"/>
        <v>572.58199999999999</v>
      </c>
      <c r="BL13" s="5428"/>
      <c r="BM13" s="4135">
        <f t="shared" si="13"/>
        <v>0</v>
      </c>
      <c r="BN13" s="5428"/>
      <c r="BO13" s="4133">
        <f t="shared" si="14"/>
        <v>344.58199999999999</v>
      </c>
      <c r="BP13" s="5428"/>
      <c r="BQ13" s="4157">
        <f t="shared" si="15"/>
        <v>572.58199999999999</v>
      </c>
      <c r="BR13" s="5428"/>
      <c r="BS13" s="5428"/>
      <c r="BT13" s="5428"/>
      <c r="BU13" s="5428"/>
      <c r="BV13" s="5428"/>
      <c r="BW13" s="5428"/>
      <c r="BX13" s="5428"/>
      <c r="BY13" s="5428"/>
      <c r="BZ13" s="5428"/>
      <c r="CA13" s="5428"/>
      <c r="CB13" s="5428"/>
      <c r="CC13" s="5429"/>
      <c r="CD13" s="5428"/>
      <c r="CE13" s="5428"/>
      <c r="CF13" s="5428"/>
      <c r="CG13" s="5428"/>
      <c r="CH13" s="5428"/>
      <c r="CI13" s="5428"/>
      <c r="CJ13" s="5428"/>
      <c r="CK13" s="5428"/>
      <c r="CL13" s="5428"/>
      <c r="CM13" s="5428"/>
      <c r="CN13" s="5428"/>
      <c r="CO13" s="5428"/>
      <c r="CP13" s="5428"/>
      <c r="CQ13" s="5429"/>
      <c r="CR13" s="5428"/>
      <c r="CS13" s="5431"/>
      <c r="CT13" s="5430"/>
      <c r="CU13" s="5432"/>
      <c r="CV13" s="4159"/>
      <c r="CW13" s="4168"/>
    </row>
    <row r="14" spans="1:101" ht="15.6" x14ac:dyDescent="0.3">
      <c r="A14" s="4191"/>
      <c r="B14" s="4191"/>
      <c r="C14" s="4191"/>
      <c r="D14" s="4191"/>
      <c r="E14" s="4179" t="s">
        <v>1207</v>
      </c>
      <c r="F14" s="4171">
        <v>152</v>
      </c>
      <c r="G14" s="4129">
        <v>1416</v>
      </c>
      <c r="H14" s="4129">
        <v>1774</v>
      </c>
      <c r="I14" s="4178">
        <f t="shared" si="31"/>
        <v>3342</v>
      </c>
      <c r="J14" s="4129">
        <v>1118</v>
      </c>
      <c r="K14" s="4129">
        <v>3515.5819999999999</v>
      </c>
      <c r="L14" s="4129">
        <v>1330</v>
      </c>
      <c r="M14" s="4178">
        <f t="shared" si="32"/>
        <v>5963.5820000000003</v>
      </c>
      <c r="N14" s="4177">
        <f t="shared" si="33"/>
        <v>9305.5820000000003</v>
      </c>
      <c r="O14" s="4125"/>
      <c r="P14" s="4125"/>
      <c r="Q14" s="4129"/>
      <c r="R14" s="4178"/>
      <c r="S14" s="4129"/>
      <c r="T14" s="4129"/>
      <c r="U14" s="4176"/>
      <c r="V14" s="4178"/>
      <c r="W14" s="4177"/>
      <c r="X14" s="4141">
        <f t="shared" si="34"/>
        <v>9305.5820000000003</v>
      </c>
      <c r="Y14" s="4140">
        <v>0</v>
      </c>
      <c r="Z14" s="4129">
        <v>0</v>
      </c>
      <c r="AA14" s="4129"/>
      <c r="AB14" s="4178">
        <f t="shared" si="0"/>
        <v>0</v>
      </c>
      <c r="AC14" s="4129"/>
      <c r="AD14" s="4129"/>
      <c r="AE14" s="4129"/>
      <c r="AF14" s="4139">
        <f t="shared" si="35"/>
        <v>0</v>
      </c>
      <c r="AG14" s="4177">
        <f t="shared" si="36"/>
        <v>0</v>
      </c>
      <c r="AH14" s="4125"/>
      <c r="AI14" s="4125"/>
      <c r="AJ14" s="4125"/>
      <c r="AK14" s="4178">
        <f t="shared" si="37"/>
        <v>0</v>
      </c>
      <c r="AL14" s="4129"/>
      <c r="AM14" s="4129"/>
      <c r="AN14" s="4176"/>
      <c r="AO14" s="4178">
        <f t="shared" si="38"/>
        <v>0</v>
      </c>
      <c r="AP14" s="4177">
        <f t="shared" si="39"/>
        <v>0</v>
      </c>
      <c r="AQ14" s="4138">
        <f t="shared" si="40"/>
        <v>0</v>
      </c>
      <c r="AR14" s="4128">
        <f t="shared" si="41"/>
        <v>9305.5820000000003</v>
      </c>
      <c r="AS14" s="4175"/>
      <c r="AT14" s="4131"/>
      <c r="AU14" s="4137">
        <f t="shared" si="42"/>
        <v>152</v>
      </c>
      <c r="AV14" s="4136"/>
      <c r="AW14" s="4135">
        <f t="shared" si="43"/>
        <v>1416</v>
      </c>
      <c r="AX14" s="4134"/>
      <c r="AY14" s="4134">
        <f t="shared" si="44"/>
        <v>1568</v>
      </c>
      <c r="AZ14" s="4134"/>
      <c r="BA14" s="4135">
        <f t="shared" si="7"/>
        <v>1774</v>
      </c>
      <c r="BB14" s="4133"/>
      <c r="BC14" s="4133">
        <f t="shared" si="8"/>
        <v>3342</v>
      </c>
      <c r="BD14" s="4134"/>
      <c r="BE14" s="4135">
        <f t="shared" si="9"/>
        <v>1118</v>
      </c>
      <c r="BF14" s="4132"/>
      <c r="BG14" s="4132">
        <f t="shared" si="10"/>
        <v>4460</v>
      </c>
      <c r="BH14" s="4134"/>
      <c r="BI14" s="4135">
        <f t="shared" si="11"/>
        <v>3515.5819999999999</v>
      </c>
      <c r="BJ14" s="4132"/>
      <c r="BK14" s="4132">
        <f t="shared" si="12"/>
        <v>7975.5820000000003</v>
      </c>
      <c r="BL14" s="4134"/>
      <c r="BM14" s="4135">
        <f t="shared" si="13"/>
        <v>1330</v>
      </c>
      <c r="BN14" s="4134"/>
      <c r="BO14" s="4133">
        <f t="shared" si="14"/>
        <v>5963.5820000000003</v>
      </c>
      <c r="BP14" s="4134"/>
      <c r="BQ14" s="4157">
        <f t="shared" si="15"/>
        <v>9305.5820000000003</v>
      </c>
      <c r="BR14" s="4134"/>
      <c r="BS14" s="4135">
        <f t="shared" si="16"/>
        <v>0</v>
      </c>
      <c r="BT14" s="4134"/>
      <c r="BU14" s="4134">
        <f t="shared" si="17"/>
        <v>9305.5820000000003</v>
      </c>
      <c r="BV14" s="4134"/>
      <c r="BW14" s="4135">
        <f t="shared" si="18"/>
        <v>0</v>
      </c>
      <c r="BX14" s="4134"/>
      <c r="BY14" s="4134">
        <f t="shared" si="19"/>
        <v>9305.5820000000003</v>
      </c>
      <c r="BZ14" s="4134"/>
      <c r="CA14" s="4135">
        <f t="shared" si="20"/>
        <v>0</v>
      </c>
      <c r="CB14" s="4134"/>
      <c r="CC14" s="4133">
        <f t="shared" si="21"/>
        <v>0</v>
      </c>
      <c r="CD14" s="4134"/>
      <c r="CE14" s="4134">
        <f t="shared" si="22"/>
        <v>9305.5820000000003</v>
      </c>
      <c r="CF14" s="4134"/>
      <c r="CG14" s="4135">
        <f t="shared" si="23"/>
        <v>0</v>
      </c>
      <c r="CH14" s="4134"/>
      <c r="CI14" s="4134">
        <f t="shared" si="24"/>
        <v>9305.5820000000003</v>
      </c>
      <c r="CJ14" s="4134"/>
      <c r="CK14" s="4135">
        <f t="shared" si="25"/>
        <v>0</v>
      </c>
      <c r="CL14" s="4134"/>
      <c r="CM14" s="4134">
        <f t="shared" si="26"/>
        <v>9305.5820000000003</v>
      </c>
      <c r="CN14" s="4134"/>
      <c r="CO14" s="4135">
        <f t="shared" si="27"/>
        <v>0</v>
      </c>
      <c r="CP14" s="4134"/>
      <c r="CQ14" s="4133">
        <f t="shared" si="28"/>
        <v>0</v>
      </c>
      <c r="CR14" s="4134"/>
      <c r="CS14" s="4157">
        <f t="shared" si="29"/>
        <v>0</v>
      </c>
      <c r="CT14" s="4132"/>
      <c r="CU14" s="4160">
        <f t="shared" si="30"/>
        <v>9305.5820000000003</v>
      </c>
      <c r="CV14" s="4159"/>
      <c r="CW14" s="4168"/>
    </row>
    <row r="15" spans="1:101" ht="15.6" x14ac:dyDescent="0.3">
      <c r="A15" s="4191"/>
      <c r="B15" s="4191"/>
      <c r="C15" s="4191"/>
      <c r="D15" s="4191"/>
      <c r="E15" s="4179" t="s">
        <v>1209</v>
      </c>
      <c r="F15" s="4171">
        <v>1998</v>
      </c>
      <c r="G15" s="4129">
        <v>2501</v>
      </c>
      <c r="H15" s="4129"/>
      <c r="I15" s="4178">
        <f t="shared" si="31"/>
        <v>4499</v>
      </c>
      <c r="J15" s="4129"/>
      <c r="K15" s="4129">
        <v>987.23800000000006</v>
      </c>
      <c r="L15" s="4129">
        <v>1340</v>
      </c>
      <c r="M15" s="4178">
        <f t="shared" si="32"/>
        <v>2327.2380000000003</v>
      </c>
      <c r="N15" s="4177">
        <f t="shared" si="33"/>
        <v>6826.2380000000003</v>
      </c>
      <c r="O15" s="4125"/>
      <c r="P15" s="4125"/>
      <c r="Q15" s="4129"/>
      <c r="R15" s="4178"/>
      <c r="S15" s="4129"/>
      <c r="T15" s="4129"/>
      <c r="U15" s="4176"/>
      <c r="V15" s="4178"/>
      <c r="W15" s="4177"/>
      <c r="X15" s="4141">
        <f t="shared" si="34"/>
        <v>6826.2380000000003</v>
      </c>
      <c r="Y15" s="4140">
        <v>0</v>
      </c>
      <c r="Z15" s="4129">
        <v>0</v>
      </c>
      <c r="AA15" s="4129"/>
      <c r="AB15" s="4178">
        <f t="shared" si="0"/>
        <v>0</v>
      </c>
      <c r="AC15" s="4129"/>
      <c r="AD15" s="4129"/>
      <c r="AE15" s="4129"/>
      <c r="AF15" s="4139">
        <f t="shared" si="35"/>
        <v>0</v>
      </c>
      <c r="AG15" s="4177">
        <f t="shared" si="36"/>
        <v>0</v>
      </c>
      <c r="AH15" s="4125"/>
      <c r="AI15" s="4125"/>
      <c r="AJ15" s="4125"/>
      <c r="AK15" s="4178">
        <f t="shared" si="37"/>
        <v>0</v>
      </c>
      <c r="AL15" s="4129"/>
      <c r="AM15" s="4129"/>
      <c r="AN15" s="4176"/>
      <c r="AO15" s="4178">
        <f t="shared" si="38"/>
        <v>0</v>
      </c>
      <c r="AP15" s="4177">
        <f t="shared" si="39"/>
        <v>0</v>
      </c>
      <c r="AQ15" s="4138">
        <f t="shared" si="40"/>
        <v>0</v>
      </c>
      <c r="AR15" s="4128">
        <f t="shared" si="41"/>
        <v>6826.2380000000003</v>
      </c>
      <c r="AS15" s="4175"/>
      <c r="AT15" s="4131"/>
      <c r="AU15" s="4137">
        <f t="shared" si="42"/>
        <v>1998</v>
      </c>
      <c r="AV15" s="4136"/>
      <c r="AW15" s="4135">
        <f t="shared" si="43"/>
        <v>2501</v>
      </c>
      <c r="AX15" s="4134"/>
      <c r="AY15" s="4134">
        <f t="shared" si="44"/>
        <v>4499</v>
      </c>
      <c r="AZ15" s="4134"/>
      <c r="BA15" s="4135">
        <f t="shared" si="7"/>
        <v>0</v>
      </c>
      <c r="BB15" s="4133"/>
      <c r="BC15" s="4133">
        <f t="shared" si="8"/>
        <v>4499</v>
      </c>
      <c r="BD15" s="4134"/>
      <c r="BE15" s="4135">
        <f t="shared" si="9"/>
        <v>0</v>
      </c>
      <c r="BF15" s="4132"/>
      <c r="BG15" s="4132">
        <f t="shared" si="10"/>
        <v>4499</v>
      </c>
      <c r="BH15" s="4134"/>
      <c r="BI15" s="4135">
        <f t="shared" si="11"/>
        <v>987.23800000000006</v>
      </c>
      <c r="BJ15" s="4132"/>
      <c r="BK15" s="4132">
        <f t="shared" si="12"/>
        <v>5486.2380000000003</v>
      </c>
      <c r="BL15" s="4134"/>
      <c r="BM15" s="4135">
        <f t="shared" si="13"/>
        <v>1340</v>
      </c>
      <c r="BN15" s="4134"/>
      <c r="BO15" s="4133">
        <f t="shared" si="14"/>
        <v>2327.2380000000003</v>
      </c>
      <c r="BP15" s="4134"/>
      <c r="BQ15" s="4157">
        <f t="shared" si="15"/>
        <v>6826.2380000000003</v>
      </c>
      <c r="BR15" s="4134"/>
      <c r="BS15" s="4135">
        <f t="shared" si="16"/>
        <v>0</v>
      </c>
      <c r="BT15" s="4134"/>
      <c r="BU15" s="4134">
        <f t="shared" si="17"/>
        <v>6826.2380000000003</v>
      </c>
      <c r="BV15" s="4134"/>
      <c r="BW15" s="4135">
        <f t="shared" si="18"/>
        <v>0</v>
      </c>
      <c r="BX15" s="4134"/>
      <c r="BY15" s="4134">
        <f t="shared" si="19"/>
        <v>6826.2380000000003</v>
      </c>
      <c r="BZ15" s="4134"/>
      <c r="CA15" s="4135">
        <f t="shared" si="20"/>
        <v>0</v>
      </c>
      <c r="CB15" s="4134"/>
      <c r="CC15" s="4133">
        <f t="shared" si="21"/>
        <v>0</v>
      </c>
      <c r="CD15" s="4134"/>
      <c r="CE15" s="4134">
        <f t="shared" si="22"/>
        <v>6826.2380000000003</v>
      </c>
      <c r="CF15" s="4134"/>
      <c r="CG15" s="4135">
        <f t="shared" si="23"/>
        <v>0</v>
      </c>
      <c r="CH15" s="4134"/>
      <c r="CI15" s="4134">
        <f t="shared" si="24"/>
        <v>6826.2380000000003</v>
      </c>
      <c r="CJ15" s="4134"/>
      <c r="CK15" s="4135">
        <f t="shared" si="25"/>
        <v>0</v>
      </c>
      <c r="CL15" s="4134"/>
      <c r="CM15" s="4134">
        <f t="shared" si="26"/>
        <v>6826.2380000000003</v>
      </c>
      <c r="CN15" s="4134"/>
      <c r="CO15" s="4135">
        <f t="shared" si="27"/>
        <v>0</v>
      </c>
      <c r="CP15" s="4134"/>
      <c r="CQ15" s="4133">
        <f t="shared" si="28"/>
        <v>0</v>
      </c>
      <c r="CR15" s="4134"/>
      <c r="CS15" s="4157">
        <f t="shared" si="29"/>
        <v>0</v>
      </c>
      <c r="CT15" s="4132"/>
      <c r="CU15" s="4160">
        <f t="shared" si="30"/>
        <v>6826.2380000000003</v>
      </c>
      <c r="CV15" s="4159"/>
      <c r="CW15" s="4168"/>
    </row>
    <row r="16" spans="1:101" ht="15.6" x14ac:dyDescent="0.3">
      <c r="A16" s="4191"/>
      <c r="B16" s="4191"/>
      <c r="C16" s="4191"/>
      <c r="D16" s="4191"/>
      <c r="E16" s="4179" t="s">
        <v>2138</v>
      </c>
      <c r="F16" s="4171">
        <v>3795</v>
      </c>
      <c r="G16" s="4129">
        <v>2748</v>
      </c>
      <c r="H16" s="4129">
        <v>2023</v>
      </c>
      <c r="I16" s="4178">
        <f t="shared" si="31"/>
        <v>8566</v>
      </c>
      <c r="J16" s="4129">
        <v>1323</v>
      </c>
      <c r="K16" s="4129"/>
      <c r="L16" s="4129"/>
      <c r="M16" s="4178">
        <f t="shared" si="32"/>
        <v>1323</v>
      </c>
      <c r="N16" s="4177">
        <f t="shared" si="33"/>
        <v>9889</v>
      </c>
      <c r="O16" s="4125"/>
      <c r="P16" s="4125"/>
      <c r="Q16" s="4129"/>
      <c r="R16" s="4178"/>
      <c r="S16" s="4129"/>
      <c r="T16" s="4129"/>
      <c r="U16" s="4176"/>
      <c r="V16" s="4178"/>
      <c r="W16" s="4177"/>
      <c r="X16" s="4141">
        <f t="shared" si="34"/>
        <v>9889</v>
      </c>
      <c r="Y16" s="4140">
        <v>0</v>
      </c>
      <c r="Z16" s="4129">
        <v>0</v>
      </c>
      <c r="AA16" s="4129"/>
      <c r="AB16" s="4178">
        <f t="shared" si="0"/>
        <v>0</v>
      </c>
      <c r="AC16" s="4129"/>
      <c r="AD16" s="4129"/>
      <c r="AE16" s="4129"/>
      <c r="AF16" s="4139">
        <f t="shared" si="35"/>
        <v>0</v>
      </c>
      <c r="AG16" s="4177">
        <f t="shared" si="36"/>
        <v>0</v>
      </c>
      <c r="AH16" s="4125"/>
      <c r="AI16" s="4125"/>
      <c r="AJ16" s="4125"/>
      <c r="AK16" s="4178">
        <f t="shared" si="37"/>
        <v>0</v>
      </c>
      <c r="AL16" s="4129"/>
      <c r="AM16" s="4129"/>
      <c r="AN16" s="4176"/>
      <c r="AO16" s="4178">
        <f t="shared" si="38"/>
        <v>0</v>
      </c>
      <c r="AP16" s="4177">
        <f t="shared" si="39"/>
        <v>0</v>
      </c>
      <c r="AQ16" s="4138">
        <f t="shared" si="40"/>
        <v>0</v>
      </c>
      <c r="AR16" s="4128">
        <f t="shared" si="41"/>
        <v>9889</v>
      </c>
      <c r="AS16" s="4175"/>
      <c r="AT16" s="4131"/>
      <c r="AU16" s="4137">
        <f t="shared" si="42"/>
        <v>3795</v>
      </c>
      <c r="AV16" s="4136"/>
      <c r="AW16" s="4135">
        <f t="shared" si="43"/>
        <v>2748</v>
      </c>
      <c r="AX16" s="4134"/>
      <c r="AY16" s="4134">
        <f t="shared" si="44"/>
        <v>6543</v>
      </c>
      <c r="AZ16" s="4134"/>
      <c r="BA16" s="4135">
        <f t="shared" si="7"/>
        <v>2023</v>
      </c>
      <c r="BB16" s="4133"/>
      <c r="BC16" s="4133">
        <f t="shared" si="8"/>
        <v>8566</v>
      </c>
      <c r="BD16" s="4134"/>
      <c r="BE16" s="4135">
        <f t="shared" si="9"/>
        <v>1323</v>
      </c>
      <c r="BF16" s="4132"/>
      <c r="BG16" s="4132">
        <f t="shared" si="10"/>
        <v>9889</v>
      </c>
      <c r="BH16" s="4134"/>
      <c r="BI16" s="4135">
        <f t="shared" si="11"/>
        <v>0</v>
      </c>
      <c r="BJ16" s="4132"/>
      <c r="BK16" s="4132">
        <f t="shared" si="12"/>
        <v>9889</v>
      </c>
      <c r="BL16" s="4134"/>
      <c r="BM16" s="4135">
        <f t="shared" si="13"/>
        <v>0</v>
      </c>
      <c r="BN16" s="4134"/>
      <c r="BO16" s="4133">
        <f t="shared" si="14"/>
        <v>1323</v>
      </c>
      <c r="BP16" s="4134"/>
      <c r="BQ16" s="4157">
        <f t="shared" si="15"/>
        <v>9889</v>
      </c>
      <c r="BR16" s="4134"/>
      <c r="BS16" s="4135">
        <f t="shared" si="16"/>
        <v>0</v>
      </c>
      <c r="BT16" s="4134"/>
      <c r="BU16" s="4134">
        <f t="shared" si="17"/>
        <v>9889</v>
      </c>
      <c r="BV16" s="4134"/>
      <c r="BW16" s="4135">
        <f t="shared" si="18"/>
        <v>0</v>
      </c>
      <c r="BX16" s="4134"/>
      <c r="BY16" s="4134">
        <f t="shared" si="19"/>
        <v>9889</v>
      </c>
      <c r="BZ16" s="4134"/>
      <c r="CA16" s="4135">
        <f t="shared" si="20"/>
        <v>0</v>
      </c>
      <c r="CB16" s="4134"/>
      <c r="CC16" s="4133">
        <f t="shared" si="21"/>
        <v>0</v>
      </c>
      <c r="CD16" s="4134"/>
      <c r="CE16" s="4134">
        <f t="shared" si="22"/>
        <v>9889</v>
      </c>
      <c r="CF16" s="4134"/>
      <c r="CG16" s="4135">
        <f t="shared" si="23"/>
        <v>0</v>
      </c>
      <c r="CH16" s="4134"/>
      <c r="CI16" s="4134">
        <f t="shared" si="24"/>
        <v>9889</v>
      </c>
      <c r="CJ16" s="4134"/>
      <c r="CK16" s="4135">
        <f t="shared" si="25"/>
        <v>0</v>
      </c>
      <c r="CL16" s="4134"/>
      <c r="CM16" s="4134">
        <f t="shared" si="26"/>
        <v>9889</v>
      </c>
      <c r="CN16" s="4134"/>
      <c r="CO16" s="4135">
        <f t="shared" si="27"/>
        <v>0</v>
      </c>
      <c r="CP16" s="4134"/>
      <c r="CQ16" s="4133">
        <f t="shared" si="28"/>
        <v>0</v>
      </c>
      <c r="CR16" s="4134"/>
      <c r="CS16" s="4157">
        <f t="shared" si="29"/>
        <v>0</v>
      </c>
      <c r="CT16" s="4132"/>
      <c r="CU16" s="4160">
        <f t="shared" si="30"/>
        <v>9889</v>
      </c>
      <c r="CV16" s="4159"/>
      <c r="CW16" s="4168"/>
    </row>
    <row r="17" spans="1:105" ht="15.6" x14ac:dyDescent="0.3">
      <c r="A17" s="4191"/>
      <c r="B17" s="4191"/>
      <c r="C17" s="4191"/>
      <c r="D17" s="4191"/>
      <c r="E17" s="4179" t="s">
        <v>2140</v>
      </c>
      <c r="F17" s="4171"/>
      <c r="G17" s="4129"/>
      <c r="H17" s="4129"/>
      <c r="I17" s="4178"/>
      <c r="J17" s="4129">
        <v>812</v>
      </c>
      <c r="K17" s="4129">
        <v>2784.1379999999999</v>
      </c>
      <c r="L17" s="4129">
        <v>207</v>
      </c>
      <c r="M17" s="4178">
        <f t="shared" si="32"/>
        <v>3803.1379999999999</v>
      </c>
      <c r="N17" s="4177">
        <f t="shared" si="33"/>
        <v>3803.1379999999999</v>
      </c>
      <c r="O17" s="4125"/>
      <c r="P17" s="4125"/>
      <c r="Q17" s="4129"/>
      <c r="R17" s="4178"/>
      <c r="S17" s="4129"/>
      <c r="T17" s="4129"/>
      <c r="U17" s="4176"/>
      <c r="V17" s="4178"/>
      <c r="W17" s="4177"/>
      <c r="X17" s="4141">
        <f t="shared" si="34"/>
        <v>3803.1379999999999</v>
      </c>
      <c r="Y17" s="4140"/>
      <c r="Z17" s="4129"/>
      <c r="AA17" s="4129"/>
      <c r="AB17" s="4178">
        <f t="shared" si="0"/>
        <v>0</v>
      </c>
      <c r="AC17" s="4129">
        <v>207</v>
      </c>
      <c r="AD17" s="4129"/>
      <c r="AE17" s="4129"/>
      <c r="AF17" s="4139">
        <f t="shared" si="35"/>
        <v>207</v>
      </c>
      <c r="AG17" s="4177">
        <f t="shared" si="36"/>
        <v>207</v>
      </c>
      <c r="AH17" s="4125"/>
      <c r="AI17" s="4125"/>
      <c r="AJ17" s="4125"/>
      <c r="AK17" s="4178">
        <f t="shared" si="37"/>
        <v>0</v>
      </c>
      <c r="AL17" s="4129"/>
      <c r="AM17" s="4129"/>
      <c r="AN17" s="4176"/>
      <c r="AO17" s="4178">
        <f t="shared" si="38"/>
        <v>0</v>
      </c>
      <c r="AP17" s="4177">
        <f t="shared" si="39"/>
        <v>0</v>
      </c>
      <c r="AQ17" s="4138">
        <f t="shared" si="40"/>
        <v>207</v>
      </c>
      <c r="AR17" s="4128">
        <f t="shared" si="41"/>
        <v>4010.1379999999999</v>
      </c>
      <c r="AS17" s="4175"/>
      <c r="AT17" s="4131"/>
      <c r="AU17" s="5525"/>
      <c r="AV17" s="5526"/>
      <c r="AW17" s="5428"/>
      <c r="AX17" s="5428"/>
      <c r="AY17" s="5428"/>
      <c r="AZ17" s="5428"/>
      <c r="BA17" s="5428"/>
      <c r="BB17" s="5429"/>
      <c r="BC17" s="4133">
        <f t="shared" si="8"/>
        <v>0</v>
      </c>
      <c r="BD17" s="5428"/>
      <c r="BE17" s="4135">
        <f t="shared" si="9"/>
        <v>1019</v>
      </c>
      <c r="BF17" s="5430"/>
      <c r="BG17" s="4132">
        <f t="shared" si="10"/>
        <v>1019</v>
      </c>
      <c r="BH17" s="5428"/>
      <c r="BI17" s="4135">
        <f t="shared" si="11"/>
        <v>2784.1379999999999</v>
      </c>
      <c r="BJ17" s="5430"/>
      <c r="BK17" s="4132">
        <f t="shared" si="12"/>
        <v>3803.1379999999999</v>
      </c>
      <c r="BL17" s="5428"/>
      <c r="BM17" s="4135">
        <f t="shared" si="13"/>
        <v>207</v>
      </c>
      <c r="BN17" s="5428"/>
      <c r="BO17" s="4133">
        <f t="shared" si="14"/>
        <v>4010.1379999999999</v>
      </c>
      <c r="BP17" s="5428"/>
      <c r="BQ17" s="4157">
        <f t="shared" si="15"/>
        <v>4010.1379999999999</v>
      </c>
      <c r="BR17" s="5428"/>
      <c r="BS17" s="5428"/>
      <c r="BT17" s="5428"/>
      <c r="BU17" s="5428"/>
      <c r="BV17" s="5428"/>
      <c r="BW17" s="5428"/>
      <c r="BX17" s="5428"/>
      <c r="BY17" s="5428"/>
      <c r="BZ17" s="5428"/>
      <c r="CA17" s="5428"/>
      <c r="CB17" s="5428"/>
      <c r="CC17" s="5429"/>
      <c r="CD17" s="5428"/>
      <c r="CE17" s="5428"/>
      <c r="CF17" s="5428"/>
      <c r="CG17" s="5428"/>
      <c r="CH17" s="5428"/>
      <c r="CI17" s="5428"/>
      <c r="CJ17" s="5428"/>
      <c r="CK17" s="5428"/>
      <c r="CL17" s="5428"/>
      <c r="CM17" s="5428"/>
      <c r="CN17" s="5428"/>
      <c r="CO17" s="5428"/>
      <c r="CP17" s="5428"/>
      <c r="CQ17" s="5429"/>
      <c r="CR17" s="5428"/>
      <c r="CS17" s="5431"/>
      <c r="CT17" s="5430"/>
      <c r="CU17" s="5432"/>
      <c r="CV17" s="4159"/>
      <c r="CW17" s="4168"/>
    </row>
    <row r="18" spans="1:105" ht="15.6" x14ac:dyDescent="0.3">
      <c r="A18" s="4191"/>
      <c r="B18" s="4191"/>
      <c r="C18" s="4191"/>
      <c r="D18" s="4191"/>
      <c r="E18" s="4179" t="s">
        <v>2139</v>
      </c>
      <c r="F18" s="4171">
        <v>3974</v>
      </c>
      <c r="G18" s="4129">
        <v>2518</v>
      </c>
      <c r="H18" s="4129">
        <v>1611</v>
      </c>
      <c r="I18" s="4178">
        <f t="shared" si="31"/>
        <v>8103</v>
      </c>
      <c r="J18" s="4129">
        <v>1484</v>
      </c>
      <c r="K18" s="4129">
        <v>2807.3919999999998</v>
      </c>
      <c r="L18" s="4129">
        <v>1769</v>
      </c>
      <c r="M18" s="4178">
        <f t="shared" si="32"/>
        <v>6060.3919999999998</v>
      </c>
      <c r="N18" s="4177">
        <f t="shared" si="33"/>
        <v>14163.392</v>
      </c>
      <c r="O18" s="4125"/>
      <c r="P18" s="4125"/>
      <c r="Q18" s="4129"/>
      <c r="R18" s="4178"/>
      <c r="S18" s="4129"/>
      <c r="T18" s="4129"/>
      <c r="U18" s="4176"/>
      <c r="V18" s="4178"/>
      <c r="W18" s="4177"/>
      <c r="X18" s="4141">
        <f t="shared" si="34"/>
        <v>14163.392</v>
      </c>
      <c r="Y18" s="4140">
        <v>0</v>
      </c>
      <c r="Z18" s="4129">
        <v>0</v>
      </c>
      <c r="AA18" s="4129"/>
      <c r="AB18" s="4178">
        <f t="shared" si="0"/>
        <v>0</v>
      </c>
      <c r="AC18" s="4129"/>
      <c r="AD18" s="4129"/>
      <c r="AE18" s="4129"/>
      <c r="AF18" s="4139">
        <f t="shared" si="35"/>
        <v>0</v>
      </c>
      <c r="AG18" s="4177">
        <f t="shared" si="36"/>
        <v>0</v>
      </c>
      <c r="AH18" s="4125"/>
      <c r="AI18" s="4125"/>
      <c r="AJ18" s="4125"/>
      <c r="AK18" s="4178">
        <f t="shared" si="37"/>
        <v>0</v>
      </c>
      <c r="AL18" s="4129"/>
      <c r="AM18" s="4129"/>
      <c r="AN18" s="4176"/>
      <c r="AO18" s="4178">
        <f t="shared" si="38"/>
        <v>0</v>
      </c>
      <c r="AP18" s="4177">
        <f t="shared" si="39"/>
        <v>0</v>
      </c>
      <c r="AQ18" s="4138">
        <f t="shared" si="40"/>
        <v>0</v>
      </c>
      <c r="AR18" s="4128">
        <f t="shared" si="41"/>
        <v>14163.392</v>
      </c>
      <c r="AS18" s="4175"/>
      <c r="AT18" s="4131"/>
      <c r="AU18" s="4137">
        <f t="shared" si="42"/>
        <v>3974</v>
      </c>
      <c r="AV18" s="4136"/>
      <c r="AW18" s="4135">
        <f t="shared" si="43"/>
        <v>2518</v>
      </c>
      <c r="AX18" s="4134"/>
      <c r="AY18" s="4134">
        <f t="shared" si="44"/>
        <v>6492</v>
      </c>
      <c r="AZ18" s="4134"/>
      <c r="BA18" s="4135">
        <f t="shared" si="7"/>
        <v>1611</v>
      </c>
      <c r="BB18" s="4133"/>
      <c r="BC18" s="4133">
        <f t="shared" si="8"/>
        <v>8103</v>
      </c>
      <c r="BD18" s="4134"/>
      <c r="BE18" s="4135">
        <f t="shared" si="9"/>
        <v>1484</v>
      </c>
      <c r="BF18" s="4132"/>
      <c r="BG18" s="4132">
        <f t="shared" si="10"/>
        <v>9587</v>
      </c>
      <c r="BH18" s="4134"/>
      <c r="BI18" s="4135">
        <f t="shared" si="11"/>
        <v>2807.3919999999998</v>
      </c>
      <c r="BJ18" s="4132"/>
      <c r="BK18" s="4132">
        <f t="shared" si="12"/>
        <v>12394.392</v>
      </c>
      <c r="BL18" s="4134"/>
      <c r="BM18" s="4135">
        <f t="shared" si="13"/>
        <v>1769</v>
      </c>
      <c r="BN18" s="4134"/>
      <c r="BO18" s="4133">
        <f t="shared" si="14"/>
        <v>6060.3919999999998</v>
      </c>
      <c r="BP18" s="4134"/>
      <c r="BQ18" s="4157">
        <f t="shared" si="15"/>
        <v>14163.392</v>
      </c>
      <c r="BR18" s="4134"/>
      <c r="BS18" s="4135">
        <f t="shared" si="16"/>
        <v>0</v>
      </c>
      <c r="BT18" s="4134"/>
      <c r="BU18" s="4134">
        <f t="shared" si="17"/>
        <v>14163.392</v>
      </c>
      <c r="BV18" s="4134"/>
      <c r="BW18" s="4135">
        <f t="shared" si="18"/>
        <v>0</v>
      </c>
      <c r="BX18" s="4134"/>
      <c r="BY18" s="4134">
        <f t="shared" si="19"/>
        <v>14163.392</v>
      </c>
      <c r="BZ18" s="4134"/>
      <c r="CA18" s="4135">
        <f t="shared" si="20"/>
        <v>0</v>
      </c>
      <c r="CB18" s="4134"/>
      <c r="CC18" s="4133">
        <f t="shared" si="21"/>
        <v>0</v>
      </c>
      <c r="CD18" s="4134"/>
      <c r="CE18" s="4134">
        <f t="shared" si="22"/>
        <v>14163.392</v>
      </c>
      <c r="CF18" s="4134"/>
      <c r="CG18" s="4135">
        <f t="shared" si="23"/>
        <v>0</v>
      </c>
      <c r="CH18" s="4134"/>
      <c r="CI18" s="4134">
        <f t="shared" si="24"/>
        <v>14163.392</v>
      </c>
      <c r="CJ18" s="4134"/>
      <c r="CK18" s="4135">
        <f t="shared" si="25"/>
        <v>0</v>
      </c>
      <c r="CL18" s="4134"/>
      <c r="CM18" s="4134">
        <f t="shared" si="26"/>
        <v>14163.392</v>
      </c>
      <c r="CN18" s="4134"/>
      <c r="CO18" s="4135">
        <f t="shared" si="27"/>
        <v>0</v>
      </c>
      <c r="CP18" s="4134"/>
      <c r="CQ18" s="4133">
        <f t="shared" si="28"/>
        <v>0</v>
      </c>
      <c r="CR18" s="4134"/>
      <c r="CS18" s="4157">
        <f t="shared" si="29"/>
        <v>0</v>
      </c>
      <c r="CT18" s="4132"/>
      <c r="CU18" s="4160">
        <f t="shared" si="30"/>
        <v>14163.392</v>
      </c>
      <c r="CV18" s="4159"/>
      <c r="CW18" s="4168"/>
    </row>
    <row r="19" spans="1:105" ht="15.6" x14ac:dyDescent="0.3">
      <c r="A19" s="4191"/>
      <c r="B19" s="4191"/>
      <c r="C19" s="4191"/>
      <c r="D19" s="4191"/>
      <c r="E19" s="5041" t="s">
        <v>1966</v>
      </c>
      <c r="F19" s="4171"/>
      <c r="G19" s="4129"/>
      <c r="H19" s="4129"/>
      <c r="I19" s="4178">
        <f t="shared" si="31"/>
        <v>0</v>
      </c>
      <c r="J19" s="4129">
        <v>264</v>
      </c>
      <c r="K19" s="4129"/>
      <c r="L19" s="4129"/>
      <c r="M19" s="4178">
        <f t="shared" si="32"/>
        <v>264</v>
      </c>
      <c r="N19" s="4177">
        <f t="shared" si="33"/>
        <v>264</v>
      </c>
      <c r="O19" s="4125"/>
      <c r="P19" s="4125"/>
      <c r="Q19" s="4129"/>
      <c r="R19" s="4178"/>
      <c r="S19" s="4129"/>
      <c r="T19" s="4129"/>
      <c r="U19" s="4176"/>
      <c r="V19" s="4178"/>
      <c r="W19" s="4177"/>
      <c r="X19" s="4141">
        <f t="shared" si="34"/>
        <v>264</v>
      </c>
      <c r="Y19" s="4140"/>
      <c r="Z19" s="4129"/>
      <c r="AA19" s="4129"/>
      <c r="AB19" s="4178">
        <f t="shared" si="0"/>
        <v>0</v>
      </c>
      <c r="AC19" s="4129"/>
      <c r="AD19" s="4129"/>
      <c r="AE19" s="4129"/>
      <c r="AF19" s="4139">
        <f t="shared" si="35"/>
        <v>0</v>
      </c>
      <c r="AG19" s="4177">
        <f t="shared" si="36"/>
        <v>0</v>
      </c>
      <c r="AH19" s="4125"/>
      <c r="AI19" s="4125"/>
      <c r="AJ19" s="4125"/>
      <c r="AK19" s="4178">
        <f t="shared" si="37"/>
        <v>0</v>
      </c>
      <c r="AL19" s="4129"/>
      <c r="AM19" s="4129"/>
      <c r="AN19" s="4176"/>
      <c r="AO19" s="4178">
        <f t="shared" si="38"/>
        <v>0</v>
      </c>
      <c r="AP19" s="4177">
        <f t="shared" si="39"/>
        <v>0</v>
      </c>
      <c r="AQ19" s="4138">
        <f t="shared" si="40"/>
        <v>0</v>
      </c>
      <c r="AR19" s="4128">
        <f t="shared" si="41"/>
        <v>264</v>
      </c>
      <c r="AS19" s="4175"/>
      <c r="AT19" s="4131"/>
      <c r="AU19" s="5525"/>
      <c r="AV19" s="5526"/>
      <c r="AW19" s="5428"/>
      <c r="AX19" s="5428"/>
      <c r="AY19" s="5428"/>
      <c r="AZ19" s="5428"/>
      <c r="BA19" s="5428"/>
      <c r="BB19" s="5429"/>
      <c r="BC19" s="4133">
        <f t="shared" si="8"/>
        <v>0</v>
      </c>
      <c r="BD19" s="5428"/>
      <c r="BE19" s="4135">
        <f t="shared" si="9"/>
        <v>264</v>
      </c>
      <c r="BF19" s="5430"/>
      <c r="BG19" s="4132">
        <f t="shared" si="10"/>
        <v>264</v>
      </c>
      <c r="BH19" s="5428"/>
      <c r="BI19" s="4135">
        <f t="shared" si="11"/>
        <v>0</v>
      </c>
      <c r="BJ19" s="5430"/>
      <c r="BK19" s="4132">
        <f t="shared" si="12"/>
        <v>264</v>
      </c>
      <c r="BL19" s="5428"/>
      <c r="BM19" s="4135">
        <f t="shared" si="13"/>
        <v>0</v>
      </c>
      <c r="BN19" s="5428"/>
      <c r="BO19" s="4133">
        <f t="shared" si="14"/>
        <v>264</v>
      </c>
      <c r="BP19" s="5428"/>
      <c r="BQ19" s="4157">
        <f t="shared" si="15"/>
        <v>264</v>
      </c>
      <c r="BR19" s="5428"/>
      <c r="BS19" s="5428"/>
      <c r="BT19" s="5428"/>
      <c r="BU19" s="5428"/>
      <c r="BV19" s="5428"/>
      <c r="BW19" s="5428"/>
      <c r="BX19" s="5428"/>
      <c r="BY19" s="5428"/>
      <c r="BZ19" s="5428"/>
      <c r="CA19" s="5428"/>
      <c r="CB19" s="5428"/>
      <c r="CC19" s="5429"/>
      <c r="CD19" s="5428"/>
      <c r="CE19" s="5428"/>
      <c r="CF19" s="5428"/>
      <c r="CG19" s="5428"/>
      <c r="CH19" s="5428"/>
      <c r="CI19" s="5428"/>
      <c r="CJ19" s="5428"/>
      <c r="CK19" s="5428"/>
      <c r="CL19" s="5428"/>
      <c r="CM19" s="5428"/>
      <c r="CN19" s="5428"/>
      <c r="CO19" s="5428"/>
      <c r="CP19" s="5428"/>
      <c r="CQ19" s="5429"/>
      <c r="CR19" s="5428"/>
      <c r="CS19" s="5431"/>
      <c r="CT19" s="5430"/>
      <c r="CU19" s="5432"/>
      <c r="CV19" s="4159"/>
      <c r="CW19" s="4168"/>
    </row>
    <row r="20" spans="1:105" ht="15.6" x14ac:dyDescent="0.3">
      <c r="A20" s="4191"/>
      <c r="B20" s="4191"/>
      <c r="C20" s="4191"/>
      <c r="D20" s="4191"/>
      <c r="E20" s="5041" t="s">
        <v>2270</v>
      </c>
      <c r="F20" s="4171">
        <v>685</v>
      </c>
      <c r="G20" s="4129">
        <v>480</v>
      </c>
      <c r="H20" s="4129">
        <v>613</v>
      </c>
      <c r="I20" s="4178">
        <f t="shared" si="31"/>
        <v>1778</v>
      </c>
      <c r="J20" s="4129"/>
      <c r="K20" s="4129"/>
      <c r="L20" s="4129"/>
      <c r="M20" s="4178">
        <f t="shared" si="32"/>
        <v>0</v>
      </c>
      <c r="N20" s="4177">
        <f t="shared" si="33"/>
        <v>1778</v>
      </c>
      <c r="O20" s="4125"/>
      <c r="P20" s="4125"/>
      <c r="Q20" s="4129"/>
      <c r="R20" s="4178"/>
      <c r="S20" s="4129"/>
      <c r="T20" s="4129"/>
      <c r="U20" s="4176"/>
      <c r="V20" s="4178"/>
      <c r="W20" s="4177"/>
      <c r="X20" s="4141">
        <f t="shared" si="34"/>
        <v>1778</v>
      </c>
      <c r="Y20" s="4140">
        <v>0</v>
      </c>
      <c r="Z20" s="4129">
        <v>0</v>
      </c>
      <c r="AA20" s="4129"/>
      <c r="AB20" s="4178">
        <f t="shared" si="0"/>
        <v>0</v>
      </c>
      <c r="AC20" s="4129"/>
      <c r="AD20" s="4129"/>
      <c r="AE20" s="4129"/>
      <c r="AF20" s="4139">
        <f t="shared" si="35"/>
        <v>0</v>
      </c>
      <c r="AG20" s="4177">
        <f t="shared" si="36"/>
        <v>0</v>
      </c>
      <c r="AH20" s="4125"/>
      <c r="AI20" s="4125"/>
      <c r="AJ20" s="4125"/>
      <c r="AK20" s="4178">
        <f t="shared" si="37"/>
        <v>0</v>
      </c>
      <c r="AL20" s="4129"/>
      <c r="AM20" s="4129"/>
      <c r="AN20" s="4176"/>
      <c r="AO20" s="4178">
        <f t="shared" si="38"/>
        <v>0</v>
      </c>
      <c r="AP20" s="4177">
        <f t="shared" si="39"/>
        <v>0</v>
      </c>
      <c r="AQ20" s="4138">
        <f t="shared" si="40"/>
        <v>0</v>
      </c>
      <c r="AR20" s="4128">
        <f t="shared" si="41"/>
        <v>1778</v>
      </c>
      <c r="AS20" s="4175"/>
      <c r="AT20" s="4131"/>
      <c r="AU20" s="4137">
        <f t="shared" si="42"/>
        <v>685</v>
      </c>
      <c r="AV20" s="4136"/>
      <c r="AW20" s="4135">
        <f t="shared" si="43"/>
        <v>480</v>
      </c>
      <c r="AX20" s="4134"/>
      <c r="AY20" s="4134">
        <f t="shared" si="44"/>
        <v>1165</v>
      </c>
      <c r="AZ20" s="4134"/>
      <c r="BA20" s="4135">
        <f t="shared" si="7"/>
        <v>613</v>
      </c>
      <c r="BB20" s="4133"/>
      <c r="BC20" s="4133">
        <f t="shared" si="8"/>
        <v>1778</v>
      </c>
      <c r="BD20" s="4134"/>
      <c r="BE20" s="4135">
        <f t="shared" si="9"/>
        <v>0</v>
      </c>
      <c r="BF20" s="4132"/>
      <c r="BG20" s="4132">
        <f t="shared" si="10"/>
        <v>1778</v>
      </c>
      <c r="BH20" s="4134"/>
      <c r="BI20" s="4135">
        <f t="shared" si="11"/>
        <v>0</v>
      </c>
      <c r="BJ20" s="4132"/>
      <c r="BK20" s="4132">
        <f t="shared" si="12"/>
        <v>1778</v>
      </c>
      <c r="BL20" s="4134"/>
      <c r="BM20" s="4135">
        <f t="shared" si="13"/>
        <v>0</v>
      </c>
      <c r="BN20" s="4134"/>
      <c r="BO20" s="4133">
        <f t="shared" si="14"/>
        <v>0</v>
      </c>
      <c r="BP20" s="4134"/>
      <c r="BQ20" s="4157">
        <f t="shared" si="15"/>
        <v>1778</v>
      </c>
      <c r="BR20" s="4134"/>
      <c r="BS20" s="4135">
        <f t="shared" si="16"/>
        <v>0</v>
      </c>
      <c r="BT20" s="4134"/>
      <c r="BU20" s="4134">
        <f t="shared" si="17"/>
        <v>1778</v>
      </c>
      <c r="BV20" s="4134"/>
      <c r="BW20" s="4135">
        <f t="shared" si="18"/>
        <v>0</v>
      </c>
      <c r="BX20" s="4134"/>
      <c r="BY20" s="4134">
        <f t="shared" si="19"/>
        <v>1778</v>
      </c>
      <c r="BZ20" s="4134"/>
      <c r="CA20" s="4135">
        <f t="shared" si="20"/>
        <v>0</v>
      </c>
      <c r="CB20" s="4134"/>
      <c r="CC20" s="4133">
        <f t="shared" si="21"/>
        <v>0</v>
      </c>
      <c r="CD20" s="4134"/>
      <c r="CE20" s="4134">
        <f t="shared" si="22"/>
        <v>1778</v>
      </c>
      <c r="CF20" s="4134"/>
      <c r="CG20" s="4135">
        <f t="shared" si="23"/>
        <v>0</v>
      </c>
      <c r="CH20" s="4134"/>
      <c r="CI20" s="4134">
        <f t="shared" si="24"/>
        <v>1778</v>
      </c>
      <c r="CJ20" s="4134"/>
      <c r="CK20" s="4135">
        <f t="shared" si="25"/>
        <v>0</v>
      </c>
      <c r="CL20" s="4134"/>
      <c r="CM20" s="4134">
        <f t="shared" si="26"/>
        <v>1778</v>
      </c>
      <c r="CN20" s="4134"/>
      <c r="CO20" s="4135">
        <f t="shared" si="27"/>
        <v>0</v>
      </c>
      <c r="CP20" s="4134"/>
      <c r="CQ20" s="4133">
        <f t="shared" si="28"/>
        <v>0</v>
      </c>
      <c r="CR20" s="4134"/>
      <c r="CS20" s="4157">
        <f t="shared" si="29"/>
        <v>0</v>
      </c>
      <c r="CT20" s="4132"/>
      <c r="CU20" s="4160">
        <f t="shared" si="30"/>
        <v>1778</v>
      </c>
      <c r="CV20" s="4159"/>
      <c r="CW20" s="4168"/>
    </row>
    <row r="21" spans="1:105" ht="15.6" x14ac:dyDescent="0.3">
      <c r="A21" s="4191"/>
      <c r="B21" s="4191"/>
      <c r="C21" s="4191"/>
      <c r="D21" s="4191"/>
      <c r="E21" s="5041" t="s">
        <v>2221</v>
      </c>
      <c r="F21" s="4171">
        <v>1636</v>
      </c>
      <c r="G21" s="4129"/>
      <c r="H21" s="4129"/>
      <c r="I21" s="4178">
        <f t="shared" si="31"/>
        <v>1636</v>
      </c>
      <c r="J21" s="4129"/>
      <c r="K21" s="4129"/>
      <c r="L21" s="4129"/>
      <c r="M21" s="4178">
        <f t="shared" si="32"/>
        <v>0</v>
      </c>
      <c r="N21" s="4177">
        <f t="shared" si="33"/>
        <v>1636</v>
      </c>
      <c r="O21" s="4125"/>
      <c r="P21" s="4125"/>
      <c r="Q21" s="4129"/>
      <c r="R21" s="4178"/>
      <c r="S21" s="4129"/>
      <c r="T21" s="4129"/>
      <c r="U21" s="4176"/>
      <c r="V21" s="4178"/>
      <c r="W21" s="4177"/>
      <c r="X21" s="4141">
        <f t="shared" si="34"/>
        <v>1636</v>
      </c>
      <c r="Y21" s="4140">
        <v>0</v>
      </c>
      <c r="Z21" s="4129"/>
      <c r="AA21" s="4129"/>
      <c r="AB21" s="4178">
        <f t="shared" si="0"/>
        <v>0</v>
      </c>
      <c r="AC21" s="4129"/>
      <c r="AD21" s="4129"/>
      <c r="AE21" s="4129"/>
      <c r="AF21" s="4139">
        <f t="shared" si="35"/>
        <v>0</v>
      </c>
      <c r="AG21" s="4177">
        <f t="shared" si="36"/>
        <v>0</v>
      </c>
      <c r="AH21" s="4125"/>
      <c r="AI21" s="4125"/>
      <c r="AJ21" s="4125"/>
      <c r="AK21" s="4178">
        <f t="shared" si="37"/>
        <v>0</v>
      </c>
      <c r="AL21" s="4129"/>
      <c r="AM21" s="4129"/>
      <c r="AN21" s="4176"/>
      <c r="AO21" s="4178">
        <f t="shared" si="38"/>
        <v>0</v>
      </c>
      <c r="AP21" s="4177">
        <f t="shared" si="39"/>
        <v>0</v>
      </c>
      <c r="AQ21" s="4138">
        <f t="shared" si="40"/>
        <v>0</v>
      </c>
      <c r="AR21" s="4128">
        <f t="shared" si="41"/>
        <v>1636</v>
      </c>
      <c r="AS21" s="4175"/>
      <c r="AT21" s="4131"/>
      <c r="AU21" s="4137">
        <f t="shared" si="42"/>
        <v>1636</v>
      </c>
      <c r="AV21" s="4136"/>
      <c r="AW21" s="4135">
        <f t="shared" si="43"/>
        <v>0</v>
      </c>
      <c r="AX21" s="4134"/>
      <c r="AY21" s="4134">
        <f t="shared" si="44"/>
        <v>1636</v>
      </c>
      <c r="AZ21" s="4134"/>
      <c r="BA21" s="4135">
        <f t="shared" si="7"/>
        <v>0</v>
      </c>
      <c r="BB21" s="4133"/>
      <c r="BC21" s="4133">
        <f t="shared" si="8"/>
        <v>1636</v>
      </c>
      <c r="BD21" s="4134"/>
      <c r="BE21" s="4135">
        <f t="shared" si="9"/>
        <v>0</v>
      </c>
      <c r="BF21" s="4132"/>
      <c r="BG21" s="4132">
        <f t="shared" si="10"/>
        <v>1636</v>
      </c>
      <c r="BH21" s="4134"/>
      <c r="BI21" s="4135">
        <f t="shared" si="11"/>
        <v>0</v>
      </c>
      <c r="BJ21" s="4132"/>
      <c r="BK21" s="4132">
        <f t="shared" si="12"/>
        <v>1636</v>
      </c>
      <c r="BL21" s="4134"/>
      <c r="BM21" s="4135">
        <f t="shared" si="13"/>
        <v>0</v>
      </c>
      <c r="BN21" s="4134"/>
      <c r="BO21" s="4133">
        <f t="shared" si="14"/>
        <v>0</v>
      </c>
      <c r="BP21" s="4134"/>
      <c r="BQ21" s="4157">
        <f t="shared" si="15"/>
        <v>1636</v>
      </c>
      <c r="BR21" s="4134"/>
      <c r="BS21" s="4135">
        <f t="shared" si="16"/>
        <v>0</v>
      </c>
      <c r="BT21" s="4134"/>
      <c r="BU21" s="4134">
        <f t="shared" si="17"/>
        <v>1636</v>
      </c>
      <c r="BV21" s="4134"/>
      <c r="BW21" s="4135">
        <f t="shared" si="18"/>
        <v>0</v>
      </c>
      <c r="BX21" s="4134"/>
      <c r="BY21" s="4134">
        <f t="shared" si="19"/>
        <v>1636</v>
      </c>
      <c r="BZ21" s="4134"/>
      <c r="CA21" s="4135">
        <f t="shared" si="20"/>
        <v>0</v>
      </c>
      <c r="CB21" s="4134"/>
      <c r="CC21" s="4133">
        <f t="shared" si="21"/>
        <v>0</v>
      </c>
      <c r="CD21" s="4134"/>
      <c r="CE21" s="4134">
        <f t="shared" si="22"/>
        <v>1636</v>
      </c>
      <c r="CF21" s="4134"/>
      <c r="CG21" s="4135">
        <f t="shared" si="23"/>
        <v>0</v>
      </c>
      <c r="CH21" s="4134"/>
      <c r="CI21" s="4134">
        <f t="shared" si="24"/>
        <v>1636</v>
      </c>
      <c r="CJ21" s="4134"/>
      <c r="CK21" s="4135">
        <f t="shared" si="25"/>
        <v>0</v>
      </c>
      <c r="CL21" s="4134"/>
      <c r="CM21" s="4134">
        <f t="shared" si="26"/>
        <v>1636</v>
      </c>
      <c r="CN21" s="4134"/>
      <c r="CO21" s="4135">
        <f t="shared" si="27"/>
        <v>0</v>
      </c>
      <c r="CP21" s="4134"/>
      <c r="CQ21" s="4133">
        <f t="shared" si="28"/>
        <v>0</v>
      </c>
      <c r="CR21" s="4134"/>
      <c r="CS21" s="4157">
        <f t="shared" si="29"/>
        <v>0</v>
      </c>
      <c r="CT21" s="4132"/>
      <c r="CU21" s="4160">
        <f t="shared" si="30"/>
        <v>1636</v>
      </c>
      <c r="CV21" s="4159"/>
      <c r="CW21" s="4168"/>
    </row>
    <row r="22" spans="1:105" ht="15.6" x14ac:dyDescent="0.3">
      <c r="A22" s="4191"/>
      <c r="B22" s="4191"/>
      <c r="C22" s="4191"/>
      <c r="D22" s="4191"/>
      <c r="E22" s="5041" t="s">
        <v>2143</v>
      </c>
      <c r="F22" s="4171">
        <v>2361</v>
      </c>
      <c r="G22" s="4129">
        <v>3357</v>
      </c>
      <c r="H22" s="4129">
        <v>2653</v>
      </c>
      <c r="I22" s="4178">
        <f t="shared" si="31"/>
        <v>8371</v>
      </c>
      <c r="J22" s="4129">
        <v>8179</v>
      </c>
      <c r="K22" s="4129">
        <v>4099.0460000000003</v>
      </c>
      <c r="L22" s="4129">
        <v>6553</v>
      </c>
      <c r="M22" s="4178">
        <f t="shared" si="32"/>
        <v>18831.046000000002</v>
      </c>
      <c r="N22" s="4177">
        <f t="shared" si="33"/>
        <v>27202.046000000002</v>
      </c>
      <c r="O22" s="4125"/>
      <c r="P22" s="4125"/>
      <c r="Q22" s="4129"/>
      <c r="R22" s="4178"/>
      <c r="S22" s="4129"/>
      <c r="T22" s="4129"/>
      <c r="U22" s="4176"/>
      <c r="V22" s="4178"/>
      <c r="W22" s="4177"/>
      <c r="X22" s="4141">
        <f t="shared" si="34"/>
        <v>27202.046000000002</v>
      </c>
      <c r="Y22" s="4140">
        <v>0</v>
      </c>
      <c r="Z22" s="4129">
        <v>725</v>
      </c>
      <c r="AA22" s="4129">
        <v>3211</v>
      </c>
      <c r="AB22" s="4178">
        <f t="shared" si="0"/>
        <v>3936</v>
      </c>
      <c r="AC22" s="4129"/>
      <c r="AD22" s="4129">
        <v>2648.8420000000001</v>
      </c>
      <c r="AE22" s="4129"/>
      <c r="AF22" s="4139">
        <f t="shared" si="35"/>
        <v>2648.8420000000001</v>
      </c>
      <c r="AG22" s="4177">
        <f t="shared" si="36"/>
        <v>6584.8420000000006</v>
      </c>
      <c r="AH22" s="4125"/>
      <c r="AI22" s="4125"/>
      <c r="AJ22" s="4125"/>
      <c r="AK22" s="4178">
        <f t="shared" si="37"/>
        <v>0</v>
      </c>
      <c r="AL22" s="4129"/>
      <c r="AM22" s="4129"/>
      <c r="AN22" s="4176"/>
      <c r="AO22" s="4178">
        <f t="shared" si="38"/>
        <v>0</v>
      </c>
      <c r="AP22" s="4177">
        <f t="shared" si="39"/>
        <v>0</v>
      </c>
      <c r="AQ22" s="4138">
        <f t="shared" si="40"/>
        <v>6584.8420000000006</v>
      </c>
      <c r="AR22" s="4128">
        <f t="shared" si="41"/>
        <v>33786.888000000006</v>
      </c>
      <c r="AS22" s="4175"/>
      <c r="AT22" s="4131"/>
      <c r="AU22" s="4137">
        <f t="shared" si="42"/>
        <v>2361</v>
      </c>
      <c r="AV22" s="4136"/>
      <c r="AW22" s="4135">
        <f t="shared" si="43"/>
        <v>4082</v>
      </c>
      <c r="AX22" s="4134"/>
      <c r="AY22" s="4134">
        <f t="shared" si="44"/>
        <v>6443</v>
      </c>
      <c r="AZ22" s="4134"/>
      <c r="BA22" s="4135">
        <f t="shared" si="7"/>
        <v>5864</v>
      </c>
      <c r="BB22" s="4133"/>
      <c r="BC22" s="4133">
        <f t="shared" si="8"/>
        <v>12307</v>
      </c>
      <c r="BD22" s="4134"/>
      <c r="BE22" s="4135">
        <f t="shared" si="9"/>
        <v>8179</v>
      </c>
      <c r="BF22" s="4132"/>
      <c r="BG22" s="4132">
        <f t="shared" si="10"/>
        <v>20486</v>
      </c>
      <c r="BH22" s="4134"/>
      <c r="BI22" s="4135">
        <f t="shared" si="11"/>
        <v>6747.8880000000008</v>
      </c>
      <c r="BJ22" s="4132"/>
      <c r="BK22" s="4132">
        <f t="shared" si="12"/>
        <v>27233.887999999999</v>
      </c>
      <c r="BL22" s="4134"/>
      <c r="BM22" s="4135">
        <f t="shared" si="13"/>
        <v>6553</v>
      </c>
      <c r="BN22" s="4134"/>
      <c r="BO22" s="4133">
        <f t="shared" si="14"/>
        <v>21479.887999999999</v>
      </c>
      <c r="BP22" s="4134"/>
      <c r="BQ22" s="4157">
        <f t="shared" si="15"/>
        <v>33786.887999999999</v>
      </c>
      <c r="BR22" s="4134"/>
      <c r="BS22" s="4135">
        <f t="shared" si="16"/>
        <v>0</v>
      </c>
      <c r="BT22" s="4134"/>
      <c r="BU22" s="4134">
        <f t="shared" si="17"/>
        <v>33786.887999999999</v>
      </c>
      <c r="BV22" s="4134"/>
      <c r="BW22" s="4135">
        <f t="shared" si="18"/>
        <v>0</v>
      </c>
      <c r="BX22" s="4134"/>
      <c r="BY22" s="4134">
        <f t="shared" si="19"/>
        <v>33786.887999999999</v>
      </c>
      <c r="BZ22" s="4134"/>
      <c r="CA22" s="4135">
        <f t="shared" si="20"/>
        <v>0</v>
      </c>
      <c r="CB22" s="4134"/>
      <c r="CC22" s="4133">
        <f t="shared" si="21"/>
        <v>0</v>
      </c>
      <c r="CD22" s="4134"/>
      <c r="CE22" s="4134">
        <f t="shared" si="22"/>
        <v>33786.887999999999</v>
      </c>
      <c r="CF22" s="4134"/>
      <c r="CG22" s="4135">
        <f t="shared" si="23"/>
        <v>0</v>
      </c>
      <c r="CH22" s="4134"/>
      <c r="CI22" s="4134">
        <f t="shared" si="24"/>
        <v>33786.887999999999</v>
      </c>
      <c r="CJ22" s="4134"/>
      <c r="CK22" s="4135">
        <f t="shared" si="25"/>
        <v>0</v>
      </c>
      <c r="CL22" s="4134"/>
      <c r="CM22" s="4134">
        <f t="shared" si="26"/>
        <v>33786.887999999999</v>
      </c>
      <c r="CN22" s="4134"/>
      <c r="CO22" s="4135">
        <f t="shared" si="27"/>
        <v>0</v>
      </c>
      <c r="CP22" s="4134"/>
      <c r="CQ22" s="4133">
        <f t="shared" si="28"/>
        <v>0</v>
      </c>
      <c r="CR22" s="4134"/>
      <c r="CS22" s="4157">
        <f t="shared" si="29"/>
        <v>0</v>
      </c>
      <c r="CT22" s="4132"/>
      <c r="CU22" s="4160">
        <f t="shared" si="30"/>
        <v>33786.887999999999</v>
      </c>
      <c r="CV22" s="4159"/>
      <c r="CW22" s="4168"/>
      <c r="CY22" s="4167"/>
      <c r="CZ22" s="4167"/>
      <c r="DA22" s="4167"/>
    </row>
    <row r="23" spans="1:105" ht="15.6" x14ac:dyDescent="0.3">
      <c r="A23" s="4191"/>
      <c r="B23" s="4191"/>
      <c r="C23" s="4191"/>
      <c r="D23" s="4191"/>
      <c r="E23" s="4179" t="s">
        <v>1421</v>
      </c>
      <c r="F23" s="4171">
        <v>106</v>
      </c>
      <c r="G23" s="4129">
        <v>410</v>
      </c>
      <c r="H23" s="4129">
        <v>552</v>
      </c>
      <c r="I23" s="4178">
        <f t="shared" si="31"/>
        <v>1068</v>
      </c>
      <c r="J23" s="4129">
        <v>592</v>
      </c>
      <c r="K23" s="4129">
        <v>1991.3879999999999</v>
      </c>
      <c r="L23" s="4129"/>
      <c r="M23" s="4178">
        <f t="shared" si="32"/>
        <v>2583.3879999999999</v>
      </c>
      <c r="N23" s="4177">
        <f t="shared" si="33"/>
        <v>3651.3879999999999</v>
      </c>
      <c r="O23" s="4125"/>
      <c r="P23" s="4125"/>
      <c r="Q23" s="4129"/>
      <c r="R23" s="4178"/>
      <c r="S23" s="4129"/>
      <c r="T23" s="4129"/>
      <c r="U23" s="4176"/>
      <c r="V23" s="4178"/>
      <c r="W23" s="4177"/>
      <c r="X23" s="4141">
        <f t="shared" si="34"/>
        <v>3651.3879999999999</v>
      </c>
      <c r="Y23" s="4140">
        <v>0</v>
      </c>
      <c r="Z23" s="4129">
        <v>0</v>
      </c>
      <c r="AA23" s="4129"/>
      <c r="AB23" s="4178">
        <f t="shared" si="0"/>
        <v>0</v>
      </c>
      <c r="AC23" s="4129"/>
      <c r="AD23" s="4129"/>
      <c r="AE23" s="4129"/>
      <c r="AF23" s="4139">
        <f t="shared" si="35"/>
        <v>0</v>
      </c>
      <c r="AG23" s="4177">
        <f t="shared" si="36"/>
        <v>0</v>
      </c>
      <c r="AH23" s="4125"/>
      <c r="AI23" s="4125"/>
      <c r="AJ23" s="4125"/>
      <c r="AK23" s="4178">
        <f t="shared" si="37"/>
        <v>0</v>
      </c>
      <c r="AL23" s="4129"/>
      <c r="AM23" s="4129"/>
      <c r="AN23" s="4176"/>
      <c r="AO23" s="4178">
        <f t="shared" si="38"/>
        <v>0</v>
      </c>
      <c r="AP23" s="4177">
        <f t="shared" si="39"/>
        <v>0</v>
      </c>
      <c r="AQ23" s="4138">
        <f t="shared" si="40"/>
        <v>0</v>
      </c>
      <c r="AR23" s="4128">
        <f t="shared" si="41"/>
        <v>3651.3879999999999</v>
      </c>
      <c r="AS23" s="4175"/>
      <c r="AT23" s="4131"/>
      <c r="AU23" s="4137">
        <f t="shared" si="42"/>
        <v>106</v>
      </c>
      <c r="AV23" s="4136"/>
      <c r="AW23" s="4135">
        <f t="shared" si="43"/>
        <v>410</v>
      </c>
      <c r="AX23" s="4134"/>
      <c r="AY23" s="4134">
        <f t="shared" si="44"/>
        <v>516</v>
      </c>
      <c r="AZ23" s="4134"/>
      <c r="BA23" s="4135">
        <f t="shared" si="7"/>
        <v>552</v>
      </c>
      <c r="BB23" s="4133"/>
      <c r="BC23" s="4133">
        <f t="shared" si="8"/>
        <v>1068</v>
      </c>
      <c r="BD23" s="4134"/>
      <c r="BE23" s="4135">
        <f t="shared" si="9"/>
        <v>592</v>
      </c>
      <c r="BF23" s="4132"/>
      <c r="BG23" s="4132">
        <f t="shared" si="10"/>
        <v>1660</v>
      </c>
      <c r="BH23" s="4134"/>
      <c r="BI23" s="4135">
        <f t="shared" si="11"/>
        <v>1991.3879999999999</v>
      </c>
      <c r="BJ23" s="4132"/>
      <c r="BK23" s="4132">
        <f t="shared" si="12"/>
        <v>3651.3879999999999</v>
      </c>
      <c r="BL23" s="4134"/>
      <c r="BM23" s="4135">
        <f t="shared" si="13"/>
        <v>0</v>
      </c>
      <c r="BN23" s="4134"/>
      <c r="BO23" s="4133">
        <f t="shared" si="14"/>
        <v>2583.3879999999999</v>
      </c>
      <c r="BP23" s="4134"/>
      <c r="BQ23" s="4157">
        <f t="shared" si="15"/>
        <v>3651.3879999999999</v>
      </c>
      <c r="BR23" s="4134"/>
      <c r="BS23" s="4135">
        <f t="shared" si="16"/>
        <v>0</v>
      </c>
      <c r="BT23" s="4134"/>
      <c r="BU23" s="4134">
        <f t="shared" si="17"/>
        <v>3651.3879999999999</v>
      </c>
      <c r="BV23" s="4134"/>
      <c r="BW23" s="4135">
        <f t="shared" si="18"/>
        <v>0</v>
      </c>
      <c r="BX23" s="4134"/>
      <c r="BY23" s="4134">
        <f t="shared" si="19"/>
        <v>3651.3879999999999</v>
      </c>
      <c r="BZ23" s="4134"/>
      <c r="CA23" s="4135">
        <f t="shared" si="20"/>
        <v>0</v>
      </c>
      <c r="CB23" s="4134"/>
      <c r="CC23" s="4133">
        <f t="shared" si="21"/>
        <v>0</v>
      </c>
      <c r="CD23" s="4134"/>
      <c r="CE23" s="4134">
        <f t="shared" si="22"/>
        <v>3651.3879999999999</v>
      </c>
      <c r="CF23" s="4134"/>
      <c r="CG23" s="4135">
        <f t="shared" si="23"/>
        <v>0</v>
      </c>
      <c r="CH23" s="4134"/>
      <c r="CI23" s="4134">
        <f t="shared" si="24"/>
        <v>3651.3879999999999</v>
      </c>
      <c r="CJ23" s="4134"/>
      <c r="CK23" s="4135">
        <f t="shared" si="25"/>
        <v>0</v>
      </c>
      <c r="CL23" s="4134"/>
      <c r="CM23" s="4134">
        <f t="shared" si="26"/>
        <v>3651.3879999999999</v>
      </c>
      <c r="CN23" s="4134"/>
      <c r="CO23" s="4135">
        <f t="shared" si="27"/>
        <v>0</v>
      </c>
      <c r="CP23" s="4134"/>
      <c r="CQ23" s="4133">
        <f t="shared" si="28"/>
        <v>0</v>
      </c>
      <c r="CR23" s="4134"/>
      <c r="CS23" s="4157">
        <f t="shared" si="29"/>
        <v>0</v>
      </c>
      <c r="CT23" s="4132"/>
      <c r="CU23" s="4160">
        <f t="shared" si="30"/>
        <v>3651.3879999999999</v>
      </c>
      <c r="CV23" s="4159"/>
      <c r="CW23" s="4168"/>
    </row>
    <row r="24" spans="1:105" ht="15.6" x14ac:dyDescent="0.3">
      <c r="A24" s="4191"/>
      <c r="B24" s="4191"/>
      <c r="C24" s="4191"/>
      <c r="D24" s="4191"/>
      <c r="E24" s="4179" t="s">
        <v>1420</v>
      </c>
      <c r="F24" s="4171">
        <v>114</v>
      </c>
      <c r="G24" s="4129">
        <v>567</v>
      </c>
      <c r="H24" s="4129">
        <v>607</v>
      </c>
      <c r="I24" s="4178">
        <f t="shared" si="31"/>
        <v>1288</v>
      </c>
      <c r="J24" s="4129">
        <v>429</v>
      </c>
      <c r="K24" s="4129">
        <v>257.90800000000002</v>
      </c>
      <c r="L24" s="4129">
        <v>389</v>
      </c>
      <c r="M24" s="4178">
        <f t="shared" si="32"/>
        <v>1075.9079999999999</v>
      </c>
      <c r="N24" s="4177">
        <f t="shared" si="33"/>
        <v>2363.9079999999999</v>
      </c>
      <c r="O24" s="4125"/>
      <c r="P24" s="4125"/>
      <c r="Q24" s="4129"/>
      <c r="R24" s="4178"/>
      <c r="S24" s="4129"/>
      <c r="T24" s="4129"/>
      <c r="U24" s="4176"/>
      <c r="V24" s="4178"/>
      <c r="W24" s="4177"/>
      <c r="X24" s="4141">
        <f t="shared" si="34"/>
        <v>2363.9079999999999</v>
      </c>
      <c r="Y24" s="4140">
        <v>0</v>
      </c>
      <c r="Z24" s="4129">
        <v>0</v>
      </c>
      <c r="AA24" s="4129"/>
      <c r="AB24" s="4178">
        <f t="shared" si="0"/>
        <v>0</v>
      </c>
      <c r="AC24" s="4129"/>
      <c r="AD24" s="4129"/>
      <c r="AE24" s="4129"/>
      <c r="AF24" s="4139">
        <f t="shared" si="35"/>
        <v>0</v>
      </c>
      <c r="AG24" s="4177">
        <f t="shared" si="36"/>
        <v>0</v>
      </c>
      <c r="AH24" s="4125"/>
      <c r="AI24" s="4125"/>
      <c r="AJ24" s="4125"/>
      <c r="AK24" s="4178">
        <f t="shared" si="37"/>
        <v>0</v>
      </c>
      <c r="AL24" s="4129"/>
      <c r="AM24" s="4129"/>
      <c r="AN24" s="4176"/>
      <c r="AO24" s="4178">
        <f t="shared" si="38"/>
        <v>0</v>
      </c>
      <c r="AP24" s="4177">
        <f t="shared" si="39"/>
        <v>0</v>
      </c>
      <c r="AQ24" s="4138">
        <f t="shared" si="40"/>
        <v>0</v>
      </c>
      <c r="AR24" s="4128">
        <f t="shared" si="41"/>
        <v>2363.9079999999999</v>
      </c>
      <c r="AS24" s="4175"/>
      <c r="AT24" s="4131"/>
      <c r="AU24" s="4137">
        <f t="shared" si="42"/>
        <v>114</v>
      </c>
      <c r="AV24" s="4136"/>
      <c r="AW24" s="4135">
        <f t="shared" si="43"/>
        <v>567</v>
      </c>
      <c r="AX24" s="4134"/>
      <c r="AY24" s="4134">
        <f t="shared" si="44"/>
        <v>681</v>
      </c>
      <c r="AZ24" s="4134"/>
      <c r="BA24" s="4135">
        <f t="shared" si="7"/>
        <v>607</v>
      </c>
      <c r="BB24" s="4133"/>
      <c r="BC24" s="4133">
        <f t="shared" si="8"/>
        <v>1288</v>
      </c>
      <c r="BD24" s="4134"/>
      <c r="BE24" s="4135">
        <f t="shared" si="9"/>
        <v>429</v>
      </c>
      <c r="BF24" s="4132"/>
      <c r="BG24" s="4132">
        <f t="shared" si="10"/>
        <v>1717</v>
      </c>
      <c r="BH24" s="4134"/>
      <c r="BI24" s="4135">
        <f t="shared" si="11"/>
        <v>257.90800000000002</v>
      </c>
      <c r="BJ24" s="4132"/>
      <c r="BK24" s="4132">
        <f t="shared" si="12"/>
        <v>1974.9079999999999</v>
      </c>
      <c r="BL24" s="4134"/>
      <c r="BM24" s="4135">
        <f t="shared" si="13"/>
        <v>389</v>
      </c>
      <c r="BN24" s="4134"/>
      <c r="BO24" s="4133">
        <f t="shared" si="14"/>
        <v>1075.9079999999999</v>
      </c>
      <c r="BP24" s="4134"/>
      <c r="BQ24" s="4157">
        <f t="shared" si="15"/>
        <v>2363.9079999999999</v>
      </c>
      <c r="BR24" s="4134"/>
      <c r="BS24" s="4135">
        <f t="shared" si="16"/>
        <v>0</v>
      </c>
      <c r="BT24" s="4134"/>
      <c r="BU24" s="4134">
        <f t="shared" si="17"/>
        <v>2363.9079999999999</v>
      </c>
      <c r="BV24" s="4134"/>
      <c r="BW24" s="4135">
        <f t="shared" si="18"/>
        <v>0</v>
      </c>
      <c r="BX24" s="4134"/>
      <c r="BY24" s="4134">
        <f t="shared" si="19"/>
        <v>2363.9079999999999</v>
      </c>
      <c r="BZ24" s="4134"/>
      <c r="CA24" s="4135">
        <f t="shared" si="20"/>
        <v>0</v>
      </c>
      <c r="CB24" s="4134"/>
      <c r="CC24" s="4133">
        <f t="shared" si="21"/>
        <v>0</v>
      </c>
      <c r="CD24" s="4134"/>
      <c r="CE24" s="4134">
        <f t="shared" si="22"/>
        <v>2363.9079999999999</v>
      </c>
      <c r="CF24" s="4134"/>
      <c r="CG24" s="4135">
        <f t="shared" si="23"/>
        <v>0</v>
      </c>
      <c r="CH24" s="4134"/>
      <c r="CI24" s="4134">
        <f t="shared" si="24"/>
        <v>2363.9079999999999</v>
      </c>
      <c r="CJ24" s="4134"/>
      <c r="CK24" s="4135">
        <f t="shared" si="25"/>
        <v>0</v>
      </c>
      <c r="CL24" s="4134"/>
      <c r="CM24" s="4134">
        <f t="shared" si="26"/>
        <v>2363.9079999999999</v>
      </c>
      <c r="CN24" s="4134"/>
      <c r="CO24" s="4135">
        <f t="shared" si="27"/>
        <v>0</v>
      </c>
      <c r="CP24" s="4134"/>
      <c r="CQ24" s="4133">
        <f t="shared" si="28"/>
        <v>0</v>
      </c>
      <c r="CR24" s="4134"/>
      <c r="CS24" s="4157">
        <f t="shared" si="29"/>
        <v>0</v>
      </c>
      <c r="CT24" s="4132"/>
      <c r="CU24" s="4160">
        <f t="shared" si="30"/>
        <v>2363.9079999999999</v>
      </c>
      <c r="CV24" s="4159"/>
      <c r="CW24" s="4168"/>
    </row>
    <row r="25" spans="1:105" ht="15.6" x14ac:dyDescent="0.3">
      <c r="A25" s="4191"/>
      <c r="B25" s="4191"/>
      <c r="C25" s="4191"/>
      <c r="D25" s="4191"/>
      <c r="E25" s="5041" t="s">
        <v>2142</v>
      </c>
      <c r="F25" s="4171">
        <v>334</v>
      </c>
      <c r="G25" s="4129">
        <v>104</v>
      </c>
      <c r="H25" s="4129">
        <v>235</v>
      </c>
      <c r="I25" s="4178">
        <f t="shared" si="31"/>
        <v>673</v>
      </c>
      <c r="J25" s="4129">
        <v>116</v>
      </c>
      <c r="K25" s="4129"/>
      <c r="L25" s="4129"/>
      <c r="M25" s="4178">
        <f t="shared" si="32"/>
        <v>116</v>
      </c>
      <c r="N25" s="4177">
        <f t="shared" si="33"/>
        <v>789</v>
      </c>
      <c r="O25" s="4125"/>
      <c r="P25" s="4125"/>
      <c r="Q25" s="4129"/>
      <c r="R25" s="4178"/>
      <c r="S25" s="4129"/>
      <c r="T25" s="4129"/>
      <c r="U25" s="4176"/>
      <c r="V25" s="4178"/>
      <c r="W25" s="4177"/>
      <c r="X25" s="4141">
        <f t="shared" si="34"/>
        <v>789</v>
      </c>
      <c r="Y25" s="4140">
        <v>108</v>
      </c>
      <c r="Z25" s="4129"/>
      <c r="AA25" s="4129"/>
      <c r="AB25" s="4178">
        <f t="shared" si="0"/>
        <v>108</v>
      </c>
      <c r="AC25" s="4129"/>
      <c r="AD25" s="4129"/>
      <c r="AE25" s="4129"/>
      <c r="AF25" s="4139">
        <f t="shared" si="35"/>
        <v>0</v>
      </c>
      <c r="AG25" s="4177">
        <f t="shared" si="36"/>
        <v>108</v>
      </c>
      <c r="AH25" s="4125"/>
      <c r="AI25" s="4125"/>
      <c r="AJ25" s="4125"/>
      <c r="AK25" s="4178">
        <f t="shared" si="37"/>
        <v>0</v>
      </c>
      <c r="AL25" s="4129"/>
      <c r="AM25" s="4129"/>
      <c r="AN25" s="4176"/>
      <c r="AO25" s="4178">
        <f t="shared" si="38"/>
        <v>0</v>
      </c>
      <c r="AP25" s="4177">
        <f t="shared" si="39"/>
        <v>0</v>
      </c>
      <c r="AQ25" s="4138">
        <f t="shared" si="40"/>
        <v>108</v>
      </c>
      <c r="AR25" s="4128">
        <f t="shared" si="41"/>
        <v>897</v>
      </c>
      <c r="AS25" s="4175"/>
      <c r="AT25" s="4131"/>
      <c r="AU25" s="4137">
        <f t="shared" si="42"/>
        <v>442</v>
      </c>
      <c r="AV25" s="4136"/>
      <c r="AW25" s="4135">
        <f t="shared" si="43"/>
        <v>104</v>
      </c>
      <c r="AX25" s="4134"/>
      <c r="AY25" s="4134">
        <f t="shared" si="44"/>
        <v>546</v>
      </c>
      <c r="AZ25" s="4134"/>
      <c r="BA25" s="4135">
        <f t="shared" si="7"/>
        <v>235</v>
      </c>
      <c r="BB25" s="4133"/>
      <c r="BC25" s="4133">
        <f t="shared" si="8"/>
        <v>781</v>
      </c>
      <c r="BD25" s="4134"/>
      <c r="BE25" s="4135">
        <f t="shared" si="9"/>
        <v>116</v>
      </c>
      <c r="BF25" s="4132"/>
      <c r="BG25" s="4132">
        <f t="shared" si="10"/>
        <v>897</v>
      </c>
      <c r="BH25" s="4134"/>
      <c r="BI25" s="4135">
        <f t="shared" si="11"/>
        <v>0</v>
      </c>
      <c r="BJ25" s="4132"/>
      <c r="BK25" s="4132">
        <f t="shared" si="12"/>
        <v>897</v>
      </c>
      <c r="BL25" s="4134"/>
      <c r="BM25" s="4135">
        <f t="shared" si="13"/>
        <v>0</v>
      </c>
      <c r="BN25" s="4134"/>
      <c r="BO25" s="4133">
        <f t="shared" si="14"/>
        <v>116</v>
      </c>
      <c r="BP25" s="4134"/>
      <c r="BQ25" s="4157">
        <f t="shared" si="15"/>
        <v>897</v>
      </c>
      <c r="BR25" s="4134"/>
      <c r="BS25" s="4135">
        <f t="shared" si="16"/>
        <v>0</v>
      </c>
      <c r="BT25" s="4134"/>
      <c r="BU25" s="4134">
        <f t="shared" si="17"/>
        <v>897</v>
      </c>
      <c r="BV25" s="4134"/>
      <c r="BW25" s="4135">
        <f t="shared" si="18"/>
        <v>0</v>
      </c>
      <c r="BX25" s="4134"/>
      <c r="BY25" s="4134">
        <f t="shared" si="19"/>
        <v>897</v>
      </c>
      <c r="BZ25" s="4134"/>
      <c r="CA25" s="4135">
        <f t="shared" si="20"/>
        <v>0</v>
      </c>
      <c r="CB25" s="4134"/>
      <c r="CC25" s="4133">
        <f t="shared" si="21"/>
        <v>0</v>
      </c>
      <c r="CD25" s="4134"/>
      <c r="CE25" s="4134">
        <f t="shared" si="22"/>
        <v>897</v>
      </c>
      <c r="CF25" s="4134"/>
      <c r="CG25" s="4135">
        <f t="shared" si="23"/>
        <v>0</v>
      </c>
      <c r="CH25" s="4134"/>
      <c r="CI25" s="4134">
        <f t="shared" si="24"/>
        <v>897</v>
      </c>
      <c r="CJ25" s="4134"/>
      <c r="CK25" s="4135">
        <f t="shared" si="25"/>
        <v>0</v>
      </c>
      <c r="CL25" s="4134"/>
      <c r="CM25" s="4134">
        <f t="shared" si="26"/>
        <v>897</v>
      </c>
      <c r="CN25" s="4134"/>
      <c r="CO25" s="4135">
        <f t="shared" si="27"/>
        <v>0</v>
      </c>
      <c r="CP25" s="4134"/>
      <c r="CQ25" s="4133">
        <f t="shared" si="28"/>
        <v>0</v>
      </c>
      <c r="CR25" s="4134"/>
      <c r="CS25" s="4157">
        <f t="shared" si="29"/>
        <v>0</v>
      </c>
      <c r="CT25" s="4132"/>
      <c r="CU25" s="4160">
        <f t="shared" si="30"/>
        <v>897</v>
      </c>
      <c r="CV25" s="4159"/>
      <c r="CW25" s="4168"/>
    </row>
    <row r="26" spans="1:105" ht="15.6" x14ac:dyDescent="0.3">
      <c r="A26" s="4191"/>
      <c r="B26" s="4191"/>
      <c r="C26" s="4191"/>
      <c r="D26" s="4191"/>
      <c r="E26" s="4179" t="s">
        <v>1419</v>
      </c>
      <c r="F26" s="4171">
        <v>268</v>
      </c>
      <c r="G26" s="4129">
        <v>1279</v>
      </c>
      <c r="H26" s="4129">
        <v>1046</v>
      </c>
      <c r="I26" s="4178">
        <f t="shared" si="31"/>
        <v>2593</v>
      </c>
      <c r="J26" s="4129">
        <v>1302</v>
      </c>
      <c r="K26" s="4129">
        <v>1701.77</v>
      </c>
      <c r="L26" s="4129">
        <v>1156</v>
      </c>
      <c r="M26" s="4178">
        <f t="shared" si="32"/>
        <v>4159.7700000000004</v>
      </c>
      <c r="N26" s="4177">
        <f t="shared" si="33"/>
        <v>6752.77</v>
      </c>
      <c r="O26" s="4125"/>
      <c r="P26" s="4125"/>
      <c r="Q26" s="4129"/>
      <c r="R26" s="4178"/>
      <c r="S26" s="4129"/>
      <c r="T26" s="4129"/>
      <c r="U26" s="4176"/>
      <c r="V26" s="4178"/>
      <c r="W26" s="4177"/>
      <c r="X26" s="4141">
        <f t="shared" si="34"/>
        <v>6752.77</v>
      </c>
      <c r="Y26" s="4140">
        <v>0</v>
      </c>
      <c r="Z26" s="4129">
        <v>0</v>
      </c>
      <c r="AA26" s="4129"/>
      <c r="AB26" s="4178">
        <f t="shared" si="0"/>
        <v>0</v>
      </c>
      <c r="AC26" s="4129"/>
      <c r="AD26" s="4129"/>
      <c r="AE26" s="4129"/>
      <c r="AF26" s="4139">
        <f t="shared" si="35"/>
        <v>0</v>
      </c>
      <c r="AG26" s="4177">
        <f t="shared" si="36"/>
        <v>0</v>
      </c>
      <c r="AH26" s="4125"/>
      <c r="AI26" s="4125"/>
      <c r="AJ26" s="4125"/>
      <c r="AK26" s="4178">
        <f t="shared" si="37"/>
        <v>0</v>
      </c>
      <c r="AL26" s="4129"/>
      <c r="AM26" s="4129"/>
      <c r="AN26" s="4176"/>
      <c r="AO26" s="4178">
        <f t="shared" si="38"/>
        <v>0</v>
      </c>
      <c r="AP26" s="4177">
        <f t="shared" si="39"/>
        <v>0</v>
      </c>
      <c r="AQ26" s="4138">
        <f t="shared" si="40"/>
        <v>0</v>
      </c>
      <c r="AR26" s="4128">
        <f t="shared" si="41"/>
        <v>6752.77</v>
      </c>
      <c r="AS26" s="4175"/>
      <c r="AT26" s="4131"/>
      <c r="AU26" s="4137">
        <f t="shared" si="42"/>
        <v>268</v>
      </c>
      <c r="AV26" s="4136"/>
      <c r="AW26" s="4135">
        <f t="shared" si="43"/>
        <v>1279</v>
      </c>
      <c r="AX26" s="4134"/>
      <c r="AY26" s="4134">
        <f t="shared" si="44"/>
        <v>1547</v>
      </c>
      <c r="AZ26" s="4134"/>
      <c r="BA26" s="4135">
        <f t="shared" si="7"/>
        <v>1046</v>
      </c>
      <c r="BB26" s="4133"/>
      <c r="BC26" s="4133">
        <f t="shared" si="8"/>
        <v>2593</v>
      </c>
      <c r="BD26" s="4134"/>
      <c r="BE26" s="4135">
        <f t="shared" si="9"/>
        <v>1302</v>
      </c>
      <c r="BF26" s="4132"/>
      <c r="BG26" s="4132">
        <f t="shared" si="10"/>
        <v>3895</v>
      </c>
      <c r="BH26" s="4134"/>
      <c r="BI26" s="4135">
        <f t="shared" si="11"/>
        <v>1701.77</v>
      </c>
      <c r="BJ26" s="4132"/>
      <c r="BK26" s="4132">
        <f t="shared" si="12"/>
        <v>5596.77</v>
      </c>
      <c r="BL26" s="4134"/>
      <c r="BM26" s="4135">
        <f t="shared" si="13"/>
        <v>1156</v>
      </c>
      <c r="BN26" s="4134"/>
      <c r="BO26" s="4133">
        <f t="shared" si="14"/>
        <v>4159.7700000000004</v>
      </c>
      <c r="BP26" s="4134"/>
      <c r="BQ26" s="4157">
        <f t="shared" si="15"/>
        <v>6752.77</v>
      </c>
      <c r="BR26" s="4134"/>
      <c r="BS26" s="4135">
        <f t="shared" si="16"/>
        <v>0</v>
      </c>
      <c r="BT26" s="4134"/>
      <c r="BU26" s="4134">
        <f t="shared" si="17"/>
        <v>6752.77</v>
      </c>
      <c r="BV26" s="4134"/>
      <c r="BW26" s="4135">
        <f t="shared" si="18"/>
        <v>0</v>
      </c>
      <c r="BX26" s="4134"/>
      <c r="BY26" s="4134">
        <f t="shared" si="19"/>
        <v>6752.77</v>
      </c>
      <c r="BZ26" s="4134"/>
      <c r="CA26" s="4135">
        <f t="shared" si="20"/>
        <v>0</v>
      </c>
      <c r="CB26" s="4134"/>
      <c r="CC26" s="4133">
        <f t="shared" si="21"/>
        <v>0</v>
      </c>
      <c r="CD26" s="4134"/>
      <c r="CE26" s="4134">
        <f t="shared" si="22"/>
        <v>6752.77</v>
      </c>
      <c r="CF26" s="4134"/>
      <c r="CG26" s="4135">
        <f t="shared" si="23"/>
        <v>0</v>
      </c>
      <c r="CH26" s="4134"/>
      <c r="CI26" s="4134">
        <f t="shared" si="24"/>
        <v>6752.77</v>
      </c>
      <c r="CJ26" s="4134"/>
      <c r="CK26" s="4135">
        <f t="shared" si="25"/>
        <v>0</v>
      </c>
      <c r="CL26" s="4134"/>
      <c r="CM26" s="4134">
        <f t="shared" si="26"/>
        <v>6752.77</v>
      </c>
      <c r="CN26" s="4134"/>
      <c r="CO26" s="4135">
        <f t="shared" si="27"/>
        <v>0</v>
      </c>
      <c r="CP26" s="4134"/>
      <c r="CQ26" s="4133">
        <f t="shared" si="28"/>
        <v>0</v>
      </c>
      <c r="CR26" s="4134"/>
      <c r="CS26" s="4157">
        <f t="shared" si="29"/>
        <v>0</v>
      </c>
      <c r="CT26" s="4132"/>
      <c r="CU26" s="4160">
        <f t="shared" si="30"/>
        <v>6752.77</v>
      </c>
      <c r="CV26" s="4159"/>
      <c r="CW26" s="4168"/>
    </row>
    <row r="27" spans="1:105" ht="15.6" x14ac:dyDescent="0.3">
      <c r="A27" s="4191"/>
      <c r="B27" s="4191"/>
      <c r="C27" s="4191"/>
      <c r="D27" s="4191"/>
      <c r="E27" s="4179" t="s">
        <v>1418</v>
      </c>
      <c r="F27" s="4171">
        <v>266</v>
      </c>
      <c r="G27" s="4129">
        <v>245</v>
      </c>
      <c r="H27" s="4129"/>
      <c r="I27" s="4178">
        <f t="shared" si="31"/>
        <v>511</v>
      </c>
      <c r="J27" s="4129">
        <v>279</v>
      </c>
      <c r="K27" s="4129">
        <v>1135.2180000000001</v>
      </c>
      <c r="L27" s="4129"/>
      <c r="M27" s="4178">
        <f t="shared" si="32"/>
        <v>1414.2180000000001</v>
      </c>
      <c r="N27" s="4177">
        <f t="shared" si="33"/>
        <v>1925.2180000000001</v>
      </c>
      <c r="O27" s="4125"/>
      <c r="P27" s="4125"/>
      <c r="Q27" s="4129"/>
      <c r="R27" s="4178"/>
      <c r="S27" s="4129"/>
      <c r="T27" s="4129"/>
      <c r="U27" s="4176"/>
      <c r="V27" s="4178"/>
      <c r="W27" s="4177"/>
      <c r="X27" s="4141">
        <f t="shared" si="34"/>
        <v>1925.2180000000001</v>
      </c>
      <c r="Y27" s="4140">
        <v>0</v>
      </c>
      <c r="Z27" s="4129">
        <v>0</v>
      </c>
      <c r="AA27" s="4129"/>
      <c r="AB27" s="4178">
        <f t="shared" si="0"/>
        <v>0</v>
      </c>
      <c r="AC27" s="4129"/>
      <c r="AD27" s="4129"/>
      <c r="AE27" s="4129"/>
      <c r="AF27" s="4139">
        <f t="shared" si="35"/>
        <v>0</v>
      </c>
      <c r="AG27" s="4177">
        <f t="shared" si="36"/>
        <v>0</v>
      </c>
      <c r="AH27" s="4125"/>
      <c r="AI27" s="4125"/>
      <c r="AJ27" s="4125"/>
      <c r="AK27" s="4178">
        <f t="shared" si="37"/>
        <v>0</v>
      </c>
      <c r="AL27" s="4129"/>
      <c r="AM27" s="4129"/>
      <c r="AN27" s="4176"/>
      <c r="AO27" s="4178">
        <f t="shared" si="38"/>
        <v>0</v>
      </c>
      <c r="AP27" s="4177">
        <f t="shared" si="39"/>
        <v>0</v>
      </c>
      <c r="AQ27" s="4138">
        <f t="shared" si="40"/>
        <v>0</v>
      </c>
      <c r="AR27" s="4128">
        <f t="shared" si="41"/>
        <v>1925.2180000000001</v>
      </c>
      <c r="AS27" s="4175"/>
      <c r="AT27" s="4131"/>
      <c r="AU27" s="4137">
        <f t="shared" si="42"/>
        <v>266</v>
      </c>
      <c r="AV27" s="4136"/>
      <c r="AW27" s="4135">
        <f t="shared" si="43"/>
        <v>245</v>
      </c>
      <c r="AX27" s="4134"/>
      <c r="AY27" s="4134">
        <f t="shared" si="44"/>
        <v>511</v>
      </c>
      <c r="AZ27" s="4134"/>
      <c r="BA27" s="4135">
        <f t="shared" si="7"/>
        <v>0</v>
      </c>
      <c r="BB27" s="4133"/>
      <c r="BC27" s="4133">
        <f t="shared" si="8"/>
        <v>511</v>
      </c>
      <c r="BD27" s="4134"/>
      <c r="BE27" s="4135">
        <f t="shared" si="9"/>
        <v>279</v>
      </c>
      <c r="BF27" s="4132"/>
      <c r="BG27" s="4132">
        <f t="shared" si="10"/>
        <v>790</v>
      </c>
      <c r="BH27" s="4134"/>
      <c r="BI27" s="4135">
        <f t="shared" si="11"/>
        <v>1135.2180000000001</v>
      </c>
      <c r="BJ27" s="4132"/>
      <c r="BK27" s="4132">
        <f t="shared" si="12"/>
        <v>1925.2180000000001</v>
      </c>
      <c r="BL27" s="4134"/>
      <c r="BM27" s="4135">
        <f t="shared" si="13"/>
        <v>0</v>
      </c>
      <c r="BN27" s="4134"/>
      <c r="BO27" s="4133">
        <f t="shared" si="14"/>
        <v>1414.2180000000001</v>
      </c>
      <c r="BP27" s="4134"/>
      <c r="BQ27" s="4157">
        <f t="shared" si="15"/>
        <v>1925.2180000000001</v>
      </c>
      <c r="BR27" s="4134"/>
      <c r="BS27" s="4135">
        <f t="shared" si="16"/>
        <v>0</v>
      </c>
      <c r="BT27" s="4134"/>
      <c r="BU27" s="4134">
        <f t="shared" si="17"/>
        <v>1925.2180000000001</v>
      </c>
      <c r="BV27" s="4134"/>
      <c r="BW27" s="4135">
        <f t="shared" si="18"/>
        <v>0</v>
      </c>
      <c r="BX27" s="4134"/>
      <c r="BY27" s="4134">
        <f t="shared" si="19"/>
        <v>1925.2180000000001</v>
      </c>
      <c r="BZ27" s="4134"/>
      <c r="CA27" s="4135">
        <f t="shared" si="20"/>
        <v>0</v>
      </c>
      <c r="CB27" s="4134"/>
      <c r="CC27" s="4133">
        <f t="shared" si="21"/>
        <v>0</v>
      </c>
      <c r="CD27" s="4134"/>
      <c r="CE27" s="4134">
        <f t="shared" si="22"/>
        <v>1925.2180000000001</v>
      </c>
      <c r="CF27" s="4134"/>
      <c r="CG27" s="4135">
        <f t="shared" si="23"/>
        <v>0</v>
      </c>
      <c r="CH27" s="4134"/>
      <c r="CI27" s="4134">
        <f t="shared" si="24"/>
        <v>1925.2180000000001</v>
      </c>
      <c r="CJ27" s="4134"/>
      <c r="CK27" s="4135">
        <f t="shared" si="25"/>
        <v>0</v>
      </c>
      <c r="CL27" s="4134"/>
      <c r="CM27" s="4134">
        <f t="shared" si="26"/>
        <v>1925.2180000000001</v>
      </c>
      <c r="CN27" s="4134"/>
      <c r="CO27" s="4135">
        <f t="shared" si="27"/>
        <v>0</v>
      </c>
      <c r="CP27" s="4134"/>
      <c r="CQ27" s="4133">
        <f t="shared" si="28"/>
        <v>0</v>
      </c>
      <c r="CR27" s="4134"/>
      <c r="CS27" s="4157">
        <f t="shared" si="29"/>
        <v>0</v>
      </c>
      <c r="CT27" s="4132"/>
      <c r="CU27" s="4160">
        <f t="shared" si="30"/>
        <v>1925.2180000000001</v>
      </c>
      <c r="CV27" s="4159"/>
      <c r="CW27" s="4168"/>
    </row>
    <row r="28" spans="1:105" ht="15.6" x14ac:dyDescent="0.3">
      <c r="A28" s="4191"/>
      <c r="B28" s="4191"/>
      <c r="C28" s="4191"/>
      <c r="D28" s="4191"/>
      <c r="E28" s="4179" t="s">
        <v>1417</v>
      </c>
      <c r="F28" s="4171">
        <v>1328</v>
      </c>
      <c r="G28" s="4129">
        <v>2306</v>
      </c>
      <c r="H28" s="4129">
        <v>2585</v>
      </c>
      <c r="I28" s="4178">
        <f t="shared" si="31"/>
        <v>6219</v>
      </c>
      <c r="J28" s="4129">
        <v>1127</v>
      </c>
      <c r="K28" s="4129">
        <v>2655.1840000000002</v>
      </c>
      <c r="L28" s="4129">
        <v>989</v>
      </c>
      <c r="M28" s="4178">
        <f t="shared" si="32"/>
        <v>4771.1840000000002</v>
      </c>
      <c r="N28" s="4177">
        <f t="shared" si="33"/>
        <v>10990.184000000001</v>
      </c>
      <c r="O28" s="4125"/>
      <c r="P28" s="4125"/>
      <c r="Q28" s="4129"/>
      <c r="R28" s="4178"/>
      <c r="S28" s="4129"/>
      <c r="T28" s="4129"/>
      <c r="U28" s="4176"/>
      <c r="V28" s="4178"/>
      <c r="W28" s="4177"/>
      <c r="X28" s="4141">
        <f t="shared" si="34"/>
        <v>10990.184000000001</v>
      </c>
      <c r="Y28" s="4140">
        <v>0</v>
      </c>
      <c r="Z28" s="4129">
        <v>0</v>
      </c>
      <c r="AA28" s="4129"/>
      <c r="AB28" s="4178">
        <f t="shared" si="0"/>
        <v>0</v>
      </c>
      <c r="AC28" s="4129"/>
      <c r="AD28" s="4129"/>
      <c r="AE28" s="4129"/>
      <c r="AF28" s="4139">
        <f t="shared" si="35"/>
        <v>0</v>
      </c>
      <c r="AG28" s="4177">
        <f t="shared" si="36"/>
        <v>0</v>
      </c>
      <c r="AH28" s="4125"/>
      <c r="AI28" s="4125"/>
      <c r="AJ28" s="4125"/>
      <c r="AK28" s="4178">
        <f t="shared" si="37"/>
        <v>0</v>
      </c>
      <c r="AL28" s="4129"/>
      <c r="AM28" s="4129"/>
      <c r="AN28" s="4176"/>
      <c r="AO28" s="4178">
        <f t="shared" si="38"/>
        <v>0</v>
      </c>
      <c r="AP28" s="4177">
        <f t="shared" si="39"/>
        <v>0</v>
      </c>
      <c r="AQ28" s="4138">
        <f t="shared" si="40"/>
        <v>0</v>
      </c>
      <c r="AR28" s="4128">
        <f t="shared" si="41"/>
        <v>10990.184000000001</v>
      </c>
      <c r="AS28" s="4175"/>
      <c r="AT28" s="4131"/>
      <c r="AU28" s="4137">
        <f t="shared" si="42"/>
        <v>1328</v>
      </c>
      <c r="AV28" s="4136"/>
      <c r="AW28" s="4135">
        <f t="shared" si="43"/>
        <v>2306</v>
      </c>
      <c r="AX28" s="4134"/>
      <c r="AY28" s="4134">
        <f t="shared" si="44"/>
        <v>3634</v>
      </c>
      <c r="AZ28" s="4134"/>
      <c r="BA28" s="4135">
        <f t="shared" si="7"/>
        <v>2585</v>
      </c>
      <c r="BB28" s="4133"/>
      <c r="BC28" s="4133">
        <f t="shared" si="8"/>
        <v>6219</v>
      </c>
      <c r="BD28" s="4134"/>
      <c r="BE28" s="4135">
        <f t="shared" si="9"/>
        <v>1127</v>
      </c>
      <c r="BF28" s="4132"/>
      <c r="BG28" s="4132">
        <f t="shared" si="10"/>
        <v>7346</v>
      </c>
      <c r="BH28" s="4134"/>
      <c r="BI28" s="4135">
        <f t="shared" si="11"/>
        <v>2655.1840000000002</v>
      </c>
      <c r="BJ28" s="4132"/>
      <c r="BK28" s="4132">
        <f t="shared" si="12"/>
        <v>10001.184000000001</v>
      </c>
      <c r="BL28" s="4134"/>
      <c r="BM28" s="4135">
        <f t="shared" si="13"/>
        <v>989</v>
      </c>
      <c r="BN28" s="4134"/>
      <c r="BO28" s="4133">
        <f t="shared" si="14"/>
        <v>4771.1840000000002</v>
      </c>
      <c r="BP28" s="4134"/>
      <c r="BQ28" s="4157">
        <f t="shared" si="15"/>
        <v>10990.184000000001</v>
      </c>
      <c r="BR28" s="4134"/>
      <c r="BS28" s="4135">
        <f t="shared" si="16"/>
        <v>0</v>
      </c>
      <c r="BT28" s="4134"/>
      <c r="BU28" s="4134">
        <f t="shared" si="17"/>
        <v>10990.184000000001</v>
      </c>
      <c r="BV28" s="4134"/>
      <c r="BW28" s="4135">
        <f t="shared" si="18"/>
        <v>0</v>
      </c>
      <c r="BX28" s="4134"/>
      <c r="BY28" s="4134">
        <f t="shared" si="19"/>
        <v>10990.184000000001</v>
      </c>
      <c r="BZ28" s="4134"/>
      <c r="CA28" s="4135">
        <f t="shared" si="20"/>
        <v>0</v>
      </c>
      <c r="CB28" s="4134"/>
      <c r="CC28" s="4133">
        <f t="shared" si="21"/>
        <v>0</v>
      </c>
      <c r="CD28" s="4134"/>
      <c r="CE28" s="4134">
        <f t="shared" si="22"/>
        <v>10990.184000000001</v>
      </c>
      <c r="CF28" s="4134"/>
      <c r="CG28" s="4135">
        <f t="shared" si="23"/>
        <v>0</v>
      </c>
      <c r="CH28" s="4134"/>
      <c r="CI28" s="4134">
        <f t="shared" si="24"/>
        <v>10990.184000000001</v>
      </c>
      <c r="CJ28" s="4134"/>
      <c r="CK28" s="4135">
        <f t="shared" si="25"/>
        <v>0</v>
      </c>
      <c r="CL28" s="4134"/>
      <c r="CM28" s="4134">
        <f t="shared" si="26"/>
        <v>10990.184000000001</v>
      </c>
      <c r="CN28" s="4134"/>
      <c r="CO28" s="4135">
        <f t="shared" si="27"/>
        <v>0</v>
      </c>
      <c r="CP28" s="4134"/>
      <c r="CQ28" s="4133">
        <f t="shared" si="28"/>
        <v>0</v>
      </c>
      <c r="CR28" s="4134"/>
      <c r="CS28" s="4157">
        <f t="shared" si="29"/>
        <v>0</v>
      </c>
      <c r="CT28" s="4132"/>
      <c r="CU28" s="4160">
        <f t="shared" si="30"/>
        <v>10990.184000000001</v>
      </c>
      <c r="CV28" s="4159"/>
      <c r="CW28" s="4168"/>
    </row>
    <row r="29" spans="1:105" ht="15.6" x14ac:dyDescent="0.3">
      <c r="A29" s="4191"/>
      <c r="B29" s="4191"/>
      <c r="C29" s="4191"/>
      <c r="D29" s="4191"/>
      <c r="E29" s="4179" t="s">
        <v>846</v>
      </c>
      <c r="F29" s="4171">
        <v>4921</v>
      </c>
      <c r="G29" s="4129">
        <v>6222</v>
      </c>
      <c r="H29" s="4129">
        <v>4217</v>
      </c>
      <c r="I29" s="4178">
        <f t="shared" si="31"/>
        <v>15360</v>
      </c>
      <c r="J29" s="4129">
        <v>5670</v>
      </c>
      <c r="K29" s="4129">
        <v>5008.0659999999998</v>
      </c>
      <c r="L29" s="4129">
        <v>9409</v>
      </c>
      <c r="M29" s="4178">
        <f t="shared" si="32"/>
        <v>20087.065999999999</v>
      </c>
      <c r="N29" s="4177">
        <f t="shared" si="33"/>
        <v>35447.065999999999</v>
      </c>
      <c r="O29" s="4125"/>
      <c r="P29" s="4125"/>
      <c r="Q29" s="4129"/>
      <c r="R29" s="4178"/>
      <c r="S29" s="4129"/>
      <c r="T29" s="4129"/>
      <c r="U29" s="4176"/>
      <c r="V29" s="4178"/>
      <c r="W29" s="4177"/>
      <c r="X29" s="4141">
        <f t="shared" si="34"/>
        <v>35447.065999999999</v>
      </c>
      <c r="Y29" s="4140">
        <v>0</v>
      </c>
      <c r="Z29" s="4129">
        <v>0</v>
      </c>
      <c r="AA29" s="4129"/>
      <c r="AB29" s="4178">
        <f t="shared" si="0"/>
        <v>0</v>
      </c>
      <c r="AC29" s="4129"/>
      <c r="AD29" s="4129"/>
      <c r="AE29" s="4129"/>
      <c r="AF29" s="4139">
        <f t="shared" si="35"/>
        <v>0</v>
      </c>
      <c r="AG29" s="4177">
        <f t="shared" si="36"/>
        <v>0</v>
      </c>
      <c r="AH29" s="4125"/>
      <c r="AI29" s="4125"/>
      <c r="AJ29" s="4125"/>
      <c r="AK29" s="4178">
        <f t="shared" si="37"/>
        <v>0</v>
      </c>
      <c r="AL29" s="4129"/>
      <c r="AM29" s="4129"/>
      <c r="AN29" s="4176"/>
      <c r="AO29" s="4178">
        <f t="shared" si="38"/>
        <v>0</v>
      </c>
      <c r="AP29" s="4177">
        <f t="shared" si="39"/>
        <v>0</v>
      </c>
      <c r="AQ29" s="4138">
        <f t="shared" si="40"/>
        <v>0</v>
      </c>
      <c r="AR29" s="4128">
        <f t="shared" si="41"/>
        <v>35447.065999999999</v>
      </c>
      <c r="AS29" s="4175"/>
      <c r="AT29" s="4131"/>
      <c r="AU29" s="4137">
        <f t="shared" si="42"/>
        <v>4921</v>
      </c>
      <c r="AV29" s="4136"/>
      <c r="AW29" s="4135">
        <f t="shared" si="43"/>
        <v>6222</v>
      </c>
      <c r="AX29" s="4134"/>
      <c r="AY29" s="4134">
        <f t="shared" si="44"/>
        <v>11143</v>
      </c>
      <c r="AZ29" s="4134"/>
      <c r="BA29" s="4135">
        <f t="shared" si="7"/>
        <v>4217</v>
      </c>
      <c r="BB29" s="4133"/>
      <c r="BC29" s="4133">
        <f t="shared" si="8"/>
        <v>15360</v>
      </c>
      <c r="BD29" s="4134"/>
      <c r="BE29" s="4135">
        <f t="shared" si="9"/>
        <v>5670</v>
      </c>
      <c r="BF29" s="4132"/>
      <c r="BG29" s="4132">
        <f t="shared" si="10"/>
        <v>21030</v>
      </c>
      <c r="BH29" s="4134"/>
      <c r="BI29" s="4135">
        <f t="shared" si="11"/>
        <v>5008.0659999999998</v>
      </c>
      <c r="BJ29" s="4132"/>
      <c r="BK29" s="4132">
        <f t="shared" si="12"/>
        <v>26038.065999999999</v>
      </c>
      <c r="BL29" s="4134"/>
      <c r="BM29" s="4135">
        <f t="shared" si="13"/>
        <v>9409</v>
      </c>
      <c r="BN29" s="4134"/>
      <c r="BO29" s="4133">
        <f t="shared" si="14"/>
        <v>20087.065999999999</v>
      </c>
      <c r="BP29" s="4134"/>
      <c r="BQ29" s="4157">
        <f t="shared" si="15"/>
        <v>35447.065999999999</v>
      </c>
      <c r="BR29" s="4134"/>
      <c r="BS29" s="4135">
        <f t="shared" si="16"/>
        <v>0</v>
      </c>
      <c r="BT29" s="4134"/>
      <c r="BU29" s="4134">
        <f t="shared" si="17"/>
        <v>35447.065999999999</v>
      </c>
      <c r="BV29" s="4134"/>
      <c r="BW29" s="4135">
        <f t="shared" si="18"/>
        <v>0</v>
      </c>
      <c r="BX29" s="4134"/>
      <c r="BY29" s="4134">
        <f t="shared" si="19"/>
        <v>35447.065999999999</v>
      </c>
      <c r="BZ29" s="4134"/>
      <c r="CA29" s="4135">
        <f t="shared" si="20"/>
        <v>0</v>
      </c>
      <c r="CB29" s="4134"/>
      <c r="CC29" s="4133">
        <f t="shared" si="21"/>
        <v>0</v>
      </c>
      <c r="CD29" s="4134"/>
      <c r="CE29" s="4134">
        <f t="shared" si="22"/>
        <v>35447.065999999999</v>
      </c>
      <c r="CF29" s="4134"/>
      <c r="CG29" s="4135">
        <f t="shared" si="23"/>
        <v>0</v>
      </c>
      <c r="CH29" s="4134"/>
      <c r="CI29" s="4134">
        <f t="shared" si="24"/>
        <v>35447.065999999999</v>
      </c>
      <c r="CJ29" s="4134"/>
      <c r="CK29" s="4135">
        <f t="shared" si="25"/>
        <v>0</v>
      </c>
      <c r="CL29" s="4134"/>
      <c r="CM29" s="4134">
        <f t="shared" si="26"/>
        <v>35447.065999999999</v>
      </c>
      <c r="CN29" s="4134"/>
      <c r="CO29" s="4135">
        <f t="shared" si="27"/>
        <v>0</v>
      </c>
      <c r="CP29" s="4134"/>
      <c r="CQ29" s="4133">
        <f t="shared" si="28"/>
        <v>0</v>
      </c>
      <c r="CR29" s="4134"/>
      <c r="CS29" s="4157">
        <f t="shared" si="29"/>
        <v>0</v>
      </c>
      <c r="CT29" s="4132"/>
      <c r="CU29" s="4160">
        <f t="shared" si="30"/>
        <v>35447.065999999999</v>
      </c>
      <c r="CV29" s="4159"/>
      <c r="CW29" s="4168"/>
    </row>
    <row r="30" spans="1:105" ht="15.6" x14ac:dyDescent="0.3">
      <c r="A30" s="4191"/>
      <c r="B30" s="4191"/>
      <c r="C30" s="4191"/>
      <c r="D30" s="4191"/>
      <c r="E30" s="4179" t="s">
        <v>2222</v>
      </c>
      <c r="F30" s="4171">
        <v>159</v>
      </c>
      <c r="G30" s="4129"/>
      <c r="H30" s="4129"/>
      <c r="I30" s="4178">
        <f t="shared" si="31"/>
        <v>159</v>
      </c>
      <c r="J30" s="4129">
        <v>163</v>
      </c>
      <c r="K30" s="4129">
        <v>135.29599999999999</v>
      </c>
      <c r="L30" s="4129">
        <v>133</v>
      </c>
      <c r="M30" s="4178">
        <f t="shared" si="32"/>
        <v>431.29599999999999</v>
      </c>
      <c r="N30" s="4177">
        <f t="shared" si="33"/>
        <v>590.29600000000005</v>
      </c>
      <c r="O30" s="4125"/>
      <c r="P30" s="4125"/>
      <c r="Q30" s="4129"/>
      <c r="R30" s="4178"/>
      <c r="S30" s="4129"/>
      <c r="T30" s="4129"/>
      <c r="U30" s="4176"/>
      <c r="V30" s="4178"/>
      <c r="W30" s="4177"/>
      <c r="X30" s="4141">
        <f t="shared" si="34"/>
        <v>590.29600000000005</v>
      </c>
      <c r="Y30" s="4140">
        <v>0</v>
      </c>
      <c r="Z30" s="4129"/>
      <c r="AA30" s="4129"/>
      <c r="AB30" s="4178">
        <f t="shared" si="0"/>
        <v>0</v>
      </c>
      <c r="AC30" s="4129"/>
      <c r="AD30" s="4129"/>
      <c r="AE30" s="4129"/>
      <c r="AF30" s="4139">
        <f t="shared" si="35"/>
        <v>0</v>
      </c>
      <c r="AG30" s="4177">
        <f t="shared" si="36"/>
        <v>0</v>
      </c>
      <c r="AH30" s="4125"/>
      <c r="AI30" s="4125"/>
      <c r="AJ30" s="4125"/>
      <c r="AK30" s="4178">
        <f t="shared" si="37"/>
        <v>0</v>
      </c>
      <c r="AL30" s="4129"/>
      <c r="AM30" s="4129"/>
      <c r="AN30" s="4176"/>
      <c r="AO30" s="4178">
        <f t="shared" si="38"/>
        <v>0</v>
      </c>
      <c r="AP30" s="4177">
        <f t="shared" si="39"/>
        <v>0</v>
      </c>
      <c r="AQ30" s="4138">
        <f t="shared" si="40"/>
        <v>0</v>
      </c>
      <c r="AR30" s="4128">
        <f t="shared" si="41"/>
        <v>590.29600000000005</v>
      </c>
      <c r="AS30" s="4175"/>
      <c r="AT30" s="4131"/>
      <c r="AU30" s="4137">
        <f t="shared" si="42"/>
        <v>159</v>
      </c>
      <c r="AV30" s="4136"/>
      <c r="AW30" s="4135">
        <f t="shared" si="43"/>
        <v>0</v>
      </c>
      <c r="AX30" s="4134"/>
      <c r="AY30" s="4134">
        <f t="shared" si="44"/>
        <v>159</v>
      </c>
      <c r="AZ30" s="4134"/>
      <c r="BA30" s="4135">
        <f t="shared" si="7"/>
        <v>0</v>
      </c>
      <c r="BB30" s="4133"/>
      <c r="BC30" s="4133">
        <f t="shared" si="8"/>
        <v>159</v>
      </c>
      <c r="BD30" s="4134"/>
      <c r="BE30" s="4135">
        <f t="shared" si="9"/>
        <v>163</v>
      </c>
      <c r="BF30" s="4132"/>
      <c r="BG30" s="4132">
        <f t="shared" si="10"/>
        <v>322</v>
      </c>
      <c r="BH30" s="4134"/>
      <c r="BI30" s="4135">
        <f t="shared" si="11"/>
        <v>135.29599999999999</v>
      </c>
      <c r="BJ30" s="4132"/>
      <c r="BK30" s="4132">
        <f t="shared" si="12"/>
        <v>457.29599999999999</v>
      </c>
      <c r="BL30" s="4134"/>
      <c r="BM30" s="4135">
        <f t="shared" si="13"/>
        <v>133</v>
      </c>
      <c r="BN30" s="4134"/>
      <c r="BO30" s="4133">
        <f t="shared" si="14"/>
        <v>431.29599999999999</v>
      </c>
      <c r="BP30" s="4134"/>
      <c r="BQ30" s="4157">
        <f t="shared" si="15"/>
        <v>590.29600000000005</v>
      </c>
      <c r="BR30" s="4134"/>
      <c r="BS30" s="4135">
        <f t="shared" si="16"/>
        <v>0</v>
      </c>
      <c r="BT30" s="4134"/>
      <c r="BU30" s="4134">
        <f t="shared" si="17"/>
        <v>590.29600000000005</v>
      </c>
      <c r="BV30" s="4134"/>
      <c r="BW30" s="4135">
        <f t="shared" si="18"/>
        <v>0</v>
      </c>
      <c r="BX30" s="4134"/>
      <c r="BY30" s="4134">
        <f t="shared" si="19"/>
        <v>590.29600000000005</v>
      </c>
      <c r="BZ30" s="4134"/>
      <c r="CA30" s="4135">
        <f t="shared" si="20"/>
        <v>0</v>
      </c>
      <c r="CB30" s="4134"/>
      <c r="CC30" s="4133">
        <f t="shared" si="21"/>
        <v>0</v>
      </c>
      <c r="CD30" s="4134"/>
      <c r="CE30" s="4134">
        <f t="shared" si="22"/>
        <v>590.29600000000005</v>
      </c>
      <c r="CF30" s="4134"/>
      <c r="CG30" s="4135">
        <f t="shared" si="23"/>
        <v>0</v>
      </c>
      <c r="CH30" s="4134"/>
      <c r="CI30" s="4134">
        <f t="shared" si="24"/>
        <v>590.29600000000005</v>
      </c>
      <c r="CJ30" s="4134"/>
      <c r="CK30" s="4135">
        <f t="shared" si="25"/>
        <v>0</v>
      </c>
      <c r="CL30" s="4134"/>
      <c r="CM30" s="4134">
        <f t="shared" si="26"/>
        <v>590.29600000000005</v>
      </c>
      <c r="CN30" s="4134"/>
      <c r="CO30" s="4135">
        <f t="shared" si="27"/>
        <v>0</v>
      </c>
      <c r="CP30" s="4134"/>
      <c r="CQ30" s="4133">
        <f t="shared" si="28"/>
        <v>0</v>
      </c>
      <c r="CR30" s="4134"/>
      <c r="CS30" s="4157">
        <f t="shared" si="29"/>
        <v>0</v>
      </c>
      <c r="CT30" s="4132"/>
      <c r="CU30" s="4160">
        <f t="shared" si="30"/>
        <v>590.29600000000005</v>
      </c>
      <c r="CV30" s="4159"/>
      <c r="CW30" s="4168"/>
    </row>
    <row r="31" spans="1:105" ht="15.6" x14ac:dyDescent="0.3">
      <c r="A31" s="4191"/>
      <c r="B31" s="4191"/>
      <c r="C31" s="4191"/>
      <c r="D31" s="4191"/>
      <c r="E31" s="4179" t="s">
        <v>2329</v>
      </c>
      <c r="F31" s="4171"/>
      <c r="G31" s="4129"/>
      <c r="H31" s="4129"/>
      <c r="I31" s="4178"/>
      <c r="J31" s="4129"/>
      <c r="K31" s="4129">
        <v>454.51</v>
      </c>
      <c r="L31" s="4129">
        <v>1723</v>
      </c>
      <c r="M31" s="4178">
        <f t="shared" si="32"/>
        <v>2177.5100000000002</v>
      </c>
      <c r="N31" s="4177">
        <f t="shared" si="33"/>
        <v>2177.5100000000002</v>
      </c>
      <c r="O31" s="4125"/>
      <c r="P31" s="4125"/>
      <c r="Q31" s="4129"/>
      <c r="R31" s="4178"/>
      <c r="S31" s="4129"/>
      <c r="T31" s="4129"/>
      <c r="U31" s="4176"/>
      <c r="V31" s="4178"/>
      <c r="W31" s="4177"/>
      <c r="X31" s="4141">
        <f t="shared" si="34"/>
        <v>2177.5100000000002</v>
      </c>
      <c r="Y31" s="4140"/>
      <c r="Z31" s="4129"/>
      <c r="AA31" s="4129"/>
      <c r="AB31" s="4178"/>
      <c r="AC31" s="4129"/>
      <c r="AD31" s="4129"/>
      <c r="AE31" s="4129"/>
      <c r="AF31" s="4139">
        <f t="shared" si="35"/>
        <v>0</v>
      </c>
      <c r="AG31" s="4177">
        <f t="shared" si="36"/>
        <v>0</v>
      </c>
      <c r="AH31" s="4125"/>
      <c r="AI31" s="4125"/>
      <c r="AJ31" s="4125"/>
      <c r="AK31" s="4178">
        <f t="shared" si="37"/>
        <v>0</v>
      </c>
      <c r="AL31" s="4129"/>
      <c r="AM31" s="4129"/>
      <c r="AN31" s="4176"/>
      <c r="AO31" s="4178">
        <f t="shared" si="38"/>
        <v>0</v>
      </c>
      <c r="AP31" s="4177">
        <f t="shared" si="39"/>
        <v>0</v>
      </c>
      <c r="AQ31" s="4138">
        <f t="shared" si="40"/>
        <v>0</v>
      </c>
      <c r="AR31" s="4128">
        <f t="shared" si="41"/>
        <v>2177.5100000000002</v>
      </c>
      <c r="AS31" s="4175"/>
      <c r="AT31" s="4131"/>
      <c r="AU31" s="4137">
        <f t="shared" ref="AU31" si="45">+F31+Y31</f>
        <v>0</v>
      </c>
      <c r="AV31" s="4136"/>
      <c r="AW31" s="4135">
        <f t="shared" ref="AW31" si="46">+G31+Z31</f>
        <v>0</v>
      </c>
      <c r="AX31" s="4134"/>
      <c r="AY31" s="4134">
        <f t="shared" ref="AY31" si="47">AU31+AW31</f>
        <v>0</v>
      </c>
      <c r="AZ31" s="4134"/>
      <c r="BA31" s="4135">
        <f t="shared" ref="BA31" si="48">+H31+AA31</f>
        <v>0</v>
      </c>
      <c r="BB31" s="4133"/>
      <c r="BC31" s="4133">
        <f t="shared" ref="BC31" si="49">AU31+AW31+BA31</f>
        <v>0</v>
      </c>
      <c r="BD31" s="4134"/>
      <c r="BE31" s="4135">
        <f t="shared" ref="BE31" si="50">+J31+AC31</f>
        <v>0</v>
      </c>
      <c r="BF31" s="4132"/>
      <c r="BG31" s="4132">
        <f t="shared" ref="BG31" si="51">+BC31+BE31</f>
        <v>0</v>
      </c>
      <c r="BH31" s="4134"/>
      <c r="BI31" s="4135">
        <f t="shared" ref="BI31" si="52">K31+AD31</f>
        <v>454.51</v>
      </c>
      <c r="BJ31" s="4132"/>
      <c r="BK31" s="4132">
        <f t="shared" ref="BK31" si="53">+BG31+BI31</f>
        <v>454.51</v>
      </c>
      <c r="BL31" s="4134"/>
      <c r="BM31" s="4135">
        <f t="shared" si="13"/>
        <v>1723</v>
      </c>
      <c r="BN31" s="4134"/>
      <c r="BO31" s="4133">
        <f t="shared" si="14"/>
        <v>2177.5100000000002</v>
      </c>
      <c r="BP31" s="4134"/>
      <c r="BQ31" s="4157">
        <f t="shared" si="15"/>
        <v>2177.5100000000002</v>
      </c>
      <c r="BR31" s="4134"/>
      <c r="BS31" s="4135">
        <f t="shared" ref="BS31" si="54">+O31+AH31</f>
        <v>0</v>
      </c>
      <c r="BT31" s="4134"/>
      <c r="BU31" s="4134">
        <f t="shared" ref="BU31" si="55">BQ31+BS31</f>
        <v>2177.5100000000002</v>
      </c>
      <c r="BV31" s="4134"/>
      <c r="BW31" s="4135">
        <f t="shared" ref="BW31" si="56">+P31+AI31</f>
        <v>0</v>
      </c>
      <c r="BX31" s="4134"/>
      <c r="BY31" s="4134">
        <f t="shared" ref="BY31" si="57">BU31+BW31</f>
        <v>2177.5100000000002</v>
      </c>
      <c r="BZ31" s="4134"/>
      <c r="CA31" s="4135">
        <f t="shared" ref="CA31" si="58">+Q31+AJ31</f>
        <v>0</v>
      </c>
      <c r="CB31" s="4134"/>
      <c r="CC31" s="4133">
        <f t="shared" ref="CC31" si="59">BS31+BW31+CA31</f>
        <v>0</v>
      </c>
      <c r="CD31" s="4134"/>
      <c r="CE31" s="4134">
        <f t="shared" ref="CE31" si="60">BY31+CA31</f>
        <v>2177.5100000000002</v>
      </c>
      <c r="CF31" s="4134"/>
      <c r="CG31" s="4135">
        <f t="shared" ref="CG31" si="61">+S31+AL31</f>
        <v>0</v>
      </c>
      <c r="CH31" s="4134"/>
      <c r="CI31" s="4134">
        <f t="shared" ref="CI31" si="62">CG31+CE31</f>
        <v>2177.5100000000002</v>
      </c>
      <c r="CJ31" s="4134"/>
      <c r="CK31" s="4135">
        <f t="shared" ref="CK31" si="63">+T31+AM31</f>
        <v>0</v>
      </c>
      <c r="CL31" s="4134"/>
      <c r="CM31" s="4134">
        <f t="shared" ref="CM31" si="64">CI31+CK31</f>
        <v>2177.5100000000002</v>
      </c>
      <c r="CN31" s="4134"/>
      <c r="CO31" s="4135">
        <f t="shared" ref="CO31" si="65">+U31+AN31</f>
        <v>0</v>
      </c>
      <c r="CP31" s="4134"/>
      <c r="CQ31" s="4133">
        <f t="shared" ref="CQ31" si="66">CG31+CK31+CO31</f>
        <v>0</v>
      </c>
      <c r="CR31" s="4134"/>
      <c r="CS31" s="4157">
        <f t="shared" ref="CS31" si="67">CC31+CQ31</f>
        <v>0</v>
      </c>
      <c r="CT31" s="4132"/>
      <c r="CU31" s="4160">
        <f t="shared" ref="CU31" si="68">SUM(AU31,AW31,BA31,BE31,BI31,BM31,BS31,BW31,CA31,CG31,CK31,CO31)</f>
        <v>2177.5100000000002</v>
      </c>
      <c r="CV31" s="4159"/>
      <c r="CW31" s="4168"/>
    </row>
    <row r="32" spans="1:105" ht="15.6" x14ac:dyDescent="0.3">
      <c r="A32" s="4191"/>
      <c r="B32" s="4191"/>
      <c r="C32" s="4191"/>
      <c r="D32" s="4191"/>
      <c r="E32" s="4179" t="s">
        <v>1701</v>
      </c>
      <c r="F32" s="4171">
        <v>1772</v>
      </c>
      <c r="G32" s="4129">
        <v>304</v>
      </c>
      <c r="H32" s="4129">
        <v>1273</v>
      </c>
      <c r="I32" s="4178">
        <f t="shared" si="31"/>
        <v>3349</v>
      </c>
      <c r="J32" s="4129">
        <v>482</v>
      </c>
      <c r="K32" s="4129">
        <v>2604.4479999999999</v>
      </c>
      <c r="L32" s="4129">
        <v>719</v>
      </c>
      <c r="M32" s="4178">
        <f t="shared" si="32"/>
        <v>3805.4479999999999</v>
      </c>
      <c r="N32" s="4177">
        <f t="shared" si="33"/>
        <v>7154.4480000000003</v>
      </c>
      <c r="O32" s="4125"/>
      <c r="P32" s="4125"/>
      <c r="Q32" s="4129"/>
      <c r="R32" s="4178"/>
      <c r="S32" s="4129"/>
      <c r="T32" s="4129"/>
      <c r="U32" s="4176"/>
      <c r="V32" s="4178"/>
      <c r="W32" s="4177"/>
      <c r="X32" s="4141">
        <f t="shared" si="34"/>
        <v>7154.4480000000003</v>
      </c>
      <c r="Y32" s="4140">
        <v>0</v>
      </c>
      <c r="Z32" s="4129">
        <v>0</v>
      </c>
      <c r="AA32" s="4129"/>
      <c r="AB32" s="4178">
        <f t="shared" si="0"/>
        <v>0</v>
      </c>
      <c r="AC32" s="4129"/>
      <c r="AD32" s="4129"/>
      <c r="AE32" s="4129"/>
      <c r="AF32" s="4139">
        <f t="shared" si="35"/>
        <v>0</v>
      </c>
      <c r="AG32" s="4177">
        <f t="shared" si="36"/>
        <v>0</v>
      </c>
      <c r="AH32" s="4125"/>
      <c r="AI32" s="4125"/>
      <c r="AJ32" s="4125"/>
      <c r="AK32" s="4178">
        <f t="shared" si="37"/>
        <v>0</v>
      </c>
      <c r="AL32" s="4129"/>
      <c r="AM32" s="4129"/>
      <c r="AN32" s="4176"/>
      <c r="AO32" s="4178">
        <f t="shared" si="38"/>
        <v>0</v>
      </c>
      <c r="AP32" s="4177">
        <f t="shared" si="39"/>
        <v>0</v>
      </c>
      <c r="AQ32" s="4138">
        <f t="shared" si="40"/>
        <v>0</v>
      </c>
      <c r="AR32" s="4128">
        <f t="shared" si="41"/>
        <v>7154.4480000000003</v>
      </c>
      <c r="AS32" s="4175"/>
      <c r="AT32" s="4131"/>
      <c r="AU32" s="4137">
        <f t="shared" si="42"/>
        <v>1772</v>
      </c>
      <c r="AV32" s="4136"/>
      <c r="AW32" s="4135">
        <f t="shared" si="43"/>
        <v>304</v>
      </c>
      <c r="AX32" s="4134"/>
      <c r="AY32" s="4134">
        <f t="shared" si="44"/>
        <v>2076</v>
      </c>
      <c r="AZ32" s="4134"/>
      <c r="BA32" s="4135">
        <f t="shared" si="7"/>
        <v>1273</v>
      </c>
      <c r="BB32" s="4133"/>
      <c r="BC32" s="4133">
        <f t="shared" si="8"/>
        <v>3349</v>
      </c>
      <c r="BD32" s="4134"/>
      <c r="BE32" s="4135">
        <f t="shared" si="9"/>
        <v>482</v>
      </c>
      <c r="BF32" s="4132"/>
      <c r="BG32" s="4132">
        <f t="shared" si="10"/>
        <v>3831</v>
      </c>
      <c r="BH32" s="4134"/>
      <c r="BI32" s="4135">
        <f t="shared" si="11"/>
        <v>2604.4479999999999</v>
      </c>
      <c r="BJ32" s="4132"/>
      <c r="BK32" s="4132">
        <f t="shared" si="12"/>
        <v>6435.4480000000003</v>
      </c>
      <c r="BL32" s="4134"/>
      <c r="BM32" s="4135">
        <f t="shared" si="13"/>
        <v>719</v>
      </c>
      <c r="BN32" s="4134"/>
      <c r="BO32" s="4133">
        <f t="shared" si="14"/>
        <v>3805.4479999999999</v>
      </c>
      <c r="BP32" s="4134"/>
      <c r="BQ32" s="4157">
        <f t="shared" si="15"/>
        <v>7154.4480000000003</v>
      </c>
      <c r="BR32" s="4134"/>
      <c r="BS32" s="4135">
        <f t="shared" si="16"/>
        <v>0</v>
      </c>
      <c r="BT32" s="4134"/>
      <c r="BU32" s="4134">
        <f t="shared" si="17"/>
        <v>7154.4480000000003</v>
      </c>
      <c r="BV32" s="4134"/>
      <c r="BW32" s="4135">
        <f t="shared" si="18"/>
        <v>0</v>
      </c>
      <c r="BX32" s="4134"/>
      <c r="BY32" s="4134">
        <f t="shared" si="19"/>
        <v>7154.4480000000003</v>
      </c>
      <c r="BZ32" s="4134"/>
      <c r="CA32" s="4135">
        <f t="shared" si="20"/>
        <v>0</v>
      </c>
      <c r="CB32" s="4134"/>
      <c r="CC32" s="4133">
        <f t="shared" si="21"/>
        <v>0</v>
      </c>
      <c r="CD32" s="4134"/>
      <c r="CE32" s="4134">
        <f t="shared" si="22"/>
        <v>7154.4480000000003</v>
      </c>
      <c r="CF32" s="4134"/>
      <c r="CG32" s="4135">
        <f t="shared" si="23"/>
        <v>0</v>
      </c>
      <c r="CH32" s="4134"/>
      <c r="CI32" s="4134">
        <f t="shared" si="24"/>
        <v>7154.4480000000003</v>
      </c>
      <c r="CJ32" s="4134"/>
      <c r="CK32" s="4135">
        <f t="shared" si="25"/>
        <v>0</v>
      </c>
      <c r="CL32" s="4134"/>
      <c r="CM32" s="4134">
        <f t="shared" si="26"/>
        <v>7154.4480000000003</v>
      </c>
      <c r="CN32" s="4134"/>
      <c r="CO32" s="4135">
        <f t="shared" si="27"/>
        <v>0</v>
      </c>
      <c r="CP32" s="4134"/>
      <c r="CQ32" s="4133">
        <f t="shared" si="28"/>
        <v>0</v>
      </c>
      <c r="CR32" s="4134"/>
      <c r="CS32" s="4157">
        <f t="shared" si="29"/>
        <v>0</v>
      </c>
      <c r="CT32" s="4132"/>
      <c r="CU32" s="4160">
        <f t="shared" si="30"/>
        <v>7154.4480000000003</v>
      </c>
      <c r="CV32" s="4159"/>
      <c r="CW32" s="4168"/>
    </row>
    <row r="33" spans="1:101" ht="15.6" x14ac:dyDescent="0.3">
      <c r="A33" s="4191"/>
      <c r="B33" s="4191"/>
      <c r="C33" s="4191"/>
      <c r="D33" s="4191"/>
      <c r="E33" s="4179" t="s">
        <v>1946</v>
      </c>
      <c r="F33" s="4171">
        <v>304</v>
      </c>
      <c r="G33" s="4129">
        <v>1611</v>
      </c>
      <c r="H33" s="4129"/>
      <c r="I33" s="4178">
        <f t="shared" si="31"/>
        <v>1915</v>
      </c>
      <c r="J33" s="4129">
        <v>218</v>
      </c>
      <c r="K33" s="4129"/>
      <c r="L33" s="4129"/>
      <c r="M33" s="4178">
        <f t="shared" si="32"/>
        <v>218</v>
      </c>
      <c r="N33" s="4177">
        <f t="shared" si="33"/>
        <v>2133</v>
      </c>
      <c r="O33" s="4125"/>
      <c r="P33" s="4125"/>
      <c r="Q33" s="4129"/>
      <c r="R33" s="4178"/>
      <c r="S33" s="4129"/>
      <c r="T33" s="4129"/>
      <c r="U33" s="4176"/>
      <c r="V33" s="4178"/>
      <c r="W33" s="4177"/>
      <c r="X33" s="4141">
        <f t="shared" si="34"/>
        <v>2133</v>
      </c>
      <c r="Y33" s="4140">
        <v>0</v>
      </c>
      <c r="Z33" s="4129">
        <v>0</v>
      </c>
      <c r="AA33" s="4129"/>
      <c r="AB33" s="4178">
        <f t="shared" si="0"/>
        <v>0</v>
      </c>
      <c r="AC33" s="4129"/>
      <c r="AD33" s="4129"/>
      <c r="AE33" s="4129"/>
      <c r="AF33" s="4139">
        <f t="shared" si="35"/>
        <v>0</v>
      </c>
      <c r="AG33" s="4177">
        <f t="shared" si="36"/>
        <v>0</v>
      </c>
      <c r="AH33" s="4125"/>
      <c r="AI33" s="4125"/>
      <c r="AJ33" s="4125"/>
      <c r="AK33" s="4178">
        <f t="shared" si="37"/>
        <v>0</v>
      </c>
      <c r="AL33" s="4129"/>
      <c r="AM33" s="4129"/>
      <c r="AN33" s="4176"/>
      <c r="AO33" s="4178">
        <f t="shared" si="38"/>
        <v>0</v>
      </c>
      <c r="AP33" s="4177">
        <f t="shared" si="39"/>
        <v>0</v>
      </c>
      <c r="AQ33" s="4138">
        <f t="shared" si="40"/>
        <v>0</v>
      </c>
      <c r="AR33" s="4128">
        <f t="shared" si="41"/>
        <v>2133</v>
      </c>
      <c r="AS33" s="4175"/>
      <c r="AT33" s="4131"/>
      <c r="AU33" s="4137">
        <f t="shared" si="42"/>
        <v>304</v>
      </c>
      <c r="AV33" s="4136"/>
      <c r="AW33" s="4135">
        <f t="shared" si="43"/>
        <v>1611</v>
      </c>
      <c r="AX33" s="4134"/>
      <c r="AY33" s="4134">
        <f t="shared" si="44"/>
        <v>1915</v>
      </c>
      <c r="AZ33" s="4134"/>
      <c r="BA33" s="4135">
        <f t="shared" si="7"/>
        <v>0</v>
      </c>
      <c r="BB33" s="4133"/>
      <c r="BC33" s="4133">
        <f t="shared" si="8"/>
        <v>1915</v>
      </c>
      <c r="BD33" s="4134"/>
      <c r="BE33" s="4135">
        <f t="shared" si="9"/>
        <v>218</v>
      </c>
      <c r="BF33" s="4132"/>
      <c r="BG33" s="4132">
        <f t="shared" si="10"/>
        <v>2133</v>
      </c>
      <c r="BH33" s="4134"/>
      <c r="BI33" s="4135">
        <f t="shared" si="11"/>
        <v>0</v>
      </c>
      <c r="BJ33" s="4132"/>
      <c r="BK33" s="4132">
        <f t="shared" si="12"/>
        <v>2133</v>
      </c>
      <c r="BL33" s="4134"/>
      <c r="BM33" s="4135">
        <f t="shared" si="13"/>
        <v>0</v>
      </c>
      <c r="BN33" s="4134"/>
      <c r="BO33" s="4133">
        <f t="shared" si="14"/>
        <v>218</v>
      </c>
      <c r="BP33" s="4134"/>
      <c r="BQ33" s="4157">
        <f t="shared" si="15"/>
        <v>2133</v>
      </c>
      <c r="BR33" s="4134"/>
      <c r="BS33" s="4135">
        <f t="shared" si="16"/>
        <v>0</v>
      </c>
      <c r="BT33" s="4134"/>
      <c r="BU33" s="4134">
        <f t="shared" si="17"/>
        <v>2133</v>
      </c>
      <c r="BV33" s="4134"/>
      <c r="BW33" s="4135">
        <f t="shared" si="18"/>
        <v>0</v>
      </c>
      <c r="BX33" s="4134"/>
      <c r="BY33" s="4134">
        <f t="shared" si="19"/>
        <v>2133</v>
      </c>
      <c r="BZ33" s="4134"/>
      <c r="CA33" s="4135">
        <f t="shared" si="20"/>
        <v>0</v>
      </c>
      <c r="CB33" s="4134"/>
      <c r="CC33" s="4133">
        <f t="shared" si="21"/>
        <v>0</v>
      </c>
      <c r="CD33" s="4134"/>
      <c r="CE33" s="4134">
        <f t="shared" si="22"/>
        <v>2133</v>
      </c>
      <c r="CF33" s="4134"/>
      <c r="CG33" s="4135">
        <f t="shared" si="23"/>
        <v>0</v>
      </c>
      <c r="CH33" s="4134"/>
      <c r="CI33" s="4134">
        <f t="shared" si="24"/>
        <v>2133</v>
      </c>
      <c r="CJ33" s="4134"/>
      <c r="CK33" s="4135">
        <f t="shared" si="25"/>
        <v>0</v>
      </c>
      <c r="CL33" s="4134"/>
      <c r="CM33" s="4134">
        <f t="shared" si="26"/>
        <v>2133</v>
      </c>
      <c r="CN33" s="4134"/>
      <c r="CO33" s="4135">
        <f t="shared" si="27"/>
        <v>0</v>
      </c>
      <c r="CP33" s="4134"/>
      <c r="CQ33" s="4133">
        <f t="shared" si="28"/>
        <v>0</v>
      </c>
      <c r="CR33" s="4134"/>
      <c r="CS33" s="4157">
        <f t="shared" si="29"/>
        <v>0</v>
      </c>
      <c r="CT33" s="4132"/>
      <c r="CU33" s="4160">
        <f t="shared" si="30"/>
        <v>2133</v>
      </c>
      <c r="CV33" s="4159"/>
      <c r="CW33" s="4168"/>
    </row>
    <row r="34" spans="1:101" ht="15.6" x14ac:dyDescent="0.3">
      <c r="A34" s="4191"/>
      <c r="B34" s="4191"/>
      <c r="C34" s="4191"/>
      <c r="D34" s="4191"/>
      <c r="E34" s="5041" t="s">
        <v>1566</v>
      </c>
      <c r="F34" s="4171">
        <v>723</v>
      </c>
      <c r="G34" s="4129">
        <v>590</v>
      </c>
      <c r="H34" s="4129">
        <v>619</v>
      </c>
      <c r="I34" s="4178">
        <f t="shared" si="31"/>
        <v>1932</v>
      </c>
      <c r="J34" s="4129">
        <v>583</v>
      </c>
      <c r="K34" s="4129">
        <v>112.042</v>
      </c>
      <c r="L34" s="4129">
        <v>674</v>
      </c>
      <c r="M34" s="4178">
        <f t="shared" si="32"/>
        <v>1369.0419999999999</v>
      </c>
      <c r="N34" s="4177">
        <f t="shared" si="33"/>
        <v>3301.0419999999999</v>
      </c>
      <c r="O34" s="4125"/>
      <c r="P34" s="4125"/>
      <c r="Q34" s="4129"/>
      <c r="R34" s="4178"/>
      <c r="S34" s="4129"/>
      <c r="T34" s="4129"/>
      <c r="U34" s="4176"/>
      <c r="V34" s="4178"/>
      <c r="W34" s="4177"/>
      <c r="X34" s="4141">
        <f t="shared" si="34"/>
        <v>3301.0419999999999</v>
      </c>
      <c r="Y34" s="4140">
        <v>0</v>
      </c>
      <c r="Z34" s="4129">
        <v>0</v>
      </c>
      <c r="AA34" s="4129"/>
      <c r="AB34" s="4178">
        <f t="shared" si="0"/>
        <v>0</v>
      </c>
      <c r="AC34" s="4129"/>
      <c r="AD34" s="4129"/>
      <c r="AE34" s="4129"/>
      <c r="AF34" s="4139">
        <f t="shared" si="35"/>
        <v>0</v>
      </c>
      <c r="AG34" s="4177">
        <f t="shared" si="36"/>
        <v>0</v>
      </c>
      <c r="AH34" s="4125"/>
      <c r="AI34" s="4125"/>
      <c r="AJ34" s="4125"/>
      <c r="AK34" s="4178">
        <f t="shared" si="37"/>
        <v>0</v>
      </c>
      <c r="AL34" s="4129"/>
      <c r="AM34" s="4129"/>
      <c r="AN34" s="4176"/>
      <c r="AO34" s="4178">
        <f t="shared" si="38"/>
        <v>0</v>
      </c>
      <c r="AP34" s="4177">
        <f t="shared" si="39"/>
        <v>0</v>
      </c>
      <c r="AQ34" s="4138">
        <f t="shared" si="40"/>
        <v>0</v>
      </c>
      <c r="AR34" s="4128">
        <f t="shared" si="41"/>
        <v>3301.0419999999999</v>
      </c>
      <c r="AS34" s="4175"/>
      <c r="AT34" s="4131"/>
      <c r="AU34" s="4137">
        <f t="shared" si="42"/>
        <v>723</v>
      </c>
      <c r="AV34" s="4136"/>
      <c r="AW34" s="4135">
        <f t="shared" si="43"/>
        <v>590</v>
      </c>
      <c r="AX34" s="4134"/>
      <c r="AY34" s="4134">
        <f t="shared" si="44"/>
        <v>1313</v>
      </c>
      <c r="AZ34" s="4134"/>
      <c r="BA34" s="4135">
        <f t="shared" si="7"/>
        <v>619</v>
      </c>
      <c r="BB34" s="4133"/>
      <c r="BC34" s="4133">
        <f t="shared" si="8"/>
        <v>1932</v>
      </c>
      <c r="BD34" s="4134"/>
      <c r="BE34" s="4135">
        <f t="shared" si="9"/>
        <v>583</v>
      </c>
      <c r="BF34" s="4132"/>
      <c r="BG34" s="4132">
        <f t="shared" si="10"/>
        <v>2515</v>
      </c>
      <c r="BH34" s="4134"/>
      <c r="BI34" s="4135">
        <f t="shared" si="11"/>
        <v>112.042</v>
      </c>
      <c r="BJ34" s="4132"/>
      <c r="BK34" s="4132">
        <f t="shared" si="12"/>
        <v>2627.0419999999999</v>
      </c>
      <c r="BL34" s="4134"/>
      <c r="BM34" s="4135">
        <f t="shared" si="13"/>
        <v>674</v>
      </c>
      <c r="BN34" s="4134"/>
      <c r="BO34" s="4133">
        <f t="shared" si="14"/>
        <v>1369.0419999999999</v>
      </c>
      <c r="BP34" s="4134"/>
      <c r="BQ34" s="4157">
        <f t="shared" si="15"/>
        <v>3301.0419999999999</v>
      </c>
      <c r="BR34" s="4134"/>
      <c r="BS34" s="4135">
        <f t="shared" si="16"/>
        <v>0</v>
      </c>
      <c r="BT34" s="4134"/>
      <c r="BU34" s="4134">
        <f t="shared" si="17"/>
        <v>3301.0419999999999</v>
      </c>
      <c r="BV34" s="4134"/>
      <c r="BW34" s="4135">
        <f t="shared" si="18"/>
        <v>0</v>
      </c>
      <c r="BX34" s="4134"/>
      <c r="BY34" s="4134">
        <f t="shared" si="19"/>
        <v>3301.0419999999999</v>
      </c>
      <c r="BZ34" s="4134"/>
      <c r="CA34" s="4135">
        <f t="shared" si="20"/>
        <v>0</v>
      </c>
      <c r="CB34" s="4134"/>
      <c r="CC34" s="4133">
        <f t="shared" si="21"/>
        <v>0</v>
      </c>
      <c r="CD34" s="4134"/>
      <c r="CE34" s="4134">
        <f t="shared" si="22"/>
        <v>3301.0419999999999</v>
      </c>
      <c r="CF34" s="4134"/>
      <c r="CG34" s="4135">
        <f t="shared" si="23"/>
        <v>0</v>
      </c>
      <c r="CH34" s="4134"/>
      <c r="CI34" s="4134">
        <f t="shared" si="24"/>
        <v>3301.0419999999999</v>
      </c>
      <c r="CJ34" s="4134"/>
      <c r="CK34" s="4135">
        <f t="shared" si="25"/>
        <v>0</v>
      </c>
      <c r="CL34" s="4134"/>
      <c r="CM34" s="4134">
        <f t="shared" si="26"/>
        <v>3301.0419999999999</v>
      </c>
      <c r="CN34" s="4134"/>
      <c r="CO34" s="4135">
        <f t="shared" si="27"/>
        <v>0</v>
      </c>
      <c r="CP34" s="4134"/>
      <c r="CQ34" s="4133">
        <f t="shared" si="28"/>
        <v>0</v>
      </c>
      <c r="CR34" s="4134"/>
      <c r="CS34" s="4157">
        <f t="shared" si="29"/>
        <v>0</v>
      </c>
      <c r="CT34" s="4132"/>
      <c r="CU34" s="4160">
        <f t="shared" si="30"/>
        <v>3301.0419999999999</v>
      </c>
      <c r="CV34" s="4159"/>
      <c r="CW34" s="4168"/>
    </row>
    <row r="35" spans="1:101" ht="15.6" x14ac:dyDescent="0.3">
      <c r="A35" s="4191"/>
      <c r="B35" s="4191"/>
      <c r="C35" s="4191"/>
      <c r="D35" s="4191"/>
      <c r="E35" s="5041" t="s">
        <v>1426</v>
      </c>
      <c r="F35" s="4171"/>
      <c r="G35" s="4129"/>
      <c r="H35" s="4129"/>
      <c r="I35" s="4178">
        <f t="shared" si="31"/>
        <v>0</v>
      </c>
      <c r="J35" s="4129"/>
      <c r="K35" s="4129"/>
      <c r="L35" s="4129"/>
      <c r="M35" s="4178">
        <f t="shared" si="32"/>
        <v>0</v>
      </c>
      <c r="N35" s="4177">
        <f t="shared" si="33"/>
        <v>0</v>
      </c>
      <c r="O35" s="4125"/>
      <c r="P35" s="4125"/>
      <c r="Q35" s="4129"/>
      <c r="R35" s="4178"/>
      <c r="S35" s="4129"/>
      <c r="T35" s="4129"/>
      <c r="U35" s="4176"/>
      <c r="V35" s="4178"/>
      <c r="W35" s="4177"/>
      <c r="X35" s="4141">
        <f t="shared" si="34"/>
        <v>0</v>
      </c>
      <c r="Y35" s="4140"/>
      <c r="Z35" s="4129">
        <v>0</v>
      </c>
      <c r="AA35" s="4129"/>
      <c r="AB35" s="4178">
        <f t="shared" si="0"/>
        <v>0</v>
      </c>
      <c r="AC35" s="4129"/>
      <c r="AD35" s="4129"/>
      <c r="AE35" s="4129"/>
      <c r="AF35" s="4139">
        <f t="shared" si="35"/>
        <v>0</v>
      </c>
      <c r="AG35" s="4177">
        <f t="shared" si="36"/>
        <v>0</v>
      </c>
      <c r="AH35" s="4125"/>
      <c r="AI35" s="4125"/>
      <c r="AJ35" s="4125"/>
      <c r="AK35" s="4178">
        <f t="shared" si="37"/>
        <v>0</v>
      </c>
      <c r="AL35" s="4129"/>
      <c r="AM35" s="4129"/>
      <c r="AN35" s="4176"/>
      <c r="AO35" s="4178">
        <f t="shared" si="38"/>
        <v>0</v>
      </c>
      <c r="AP35" s="4177">
        <f t="shared" si="39"/>
        <v>0</v>
      </c>
      <c r="AQ35" s="4138">
        <f t="shared" si="40"/>
        <v>0</v>
      </c>
      <c r="AR35" s="4128">
        <f t="shared" si="41"/>
        <v>0</v>
      </c>
      <c r="AS35" s="4175"/>
      <c r="AT35" s="4131"/>
      <c r="AU35" s="4137">
        <f t="shared" si="42"/>
        <v>0</v>
      </c>
      <c r="AV35" s="5285"/>
      <c r="AW35" s="4135">
        <f t="shared" si="43"/>
        <v>0</v>
      </c>
      <c r="AX35" s="5428"/>
      <c r="AY35" s="4134">
        <f t="shared" si="44"/>
        <v>0</v>
      </c>
      <c r="AZ35" s="5428"/>
      <c r="BA35" s="4135">
        <f t="shared" si="7"/>
        <v>0</v>
      </c>
      <c r="BB35" s="5429"/>
      <c r="BC35" s="4133">
        <f t="shared" si="8"/>
        <v>0</v>
      </c>
      <c r="BD35" s="5428"/>
      <c r="BE35" s="4135">
        <f t="shared" si="9"/>
        <v>0</v>
      </c>
      <c r="BF35" s="5430"/>
      <c r="BG35" s="4132">
        <f t="shared" si="10"/>
        <v>0</v>
      </c>
      <c r="BH35" s="5428"/>
      <c r="BI35" s="4135">
        <f t="shared" si="11"/>
        <v>0</v>
      </c>
      <c r="BJ35" s="5430"/>
      <c r="BK35" s="4132">
        <f t="shared" si="12"/>
        <v>0</v>
      </c>
      <c r="BL35" s="5428"/>
      <c r="BM35" s="4135">
        <f t="shared" si="13"/>
        <v>0</v>
      </c>
      <c r="BN35" s="5428"/>
      <c r="BO35" s="4133">
        <f t="shared" si="14"/>
        <v>0</v>
      </c>
      <c r="BP35" s="5428"/>
      <c r="BQ35" s="4157">
        <f t="shared" si="15"/>
        <v>0</v>
      </c>
      <c r="BR35" s="5428"/>
      <c r="BS35" s="5428"/>
      <c r="BT35" s="5428"/>
      <c r="BU35" s="5428"/>
      <c r="BV35" s="5428"/>
      <c r="BW35" s="5428"/>
      <c r="BX35" s="5428"/>
      <c r="BY35" s="5428"/>
      <c r="BZ35" s="5428"/>
      <c r="CA35" s="5428"/>
      <c r="CB35" s="5428"/>
      <c r="CC35" s="5429"/>
      <c r="CD35" s="5428"/>
      <c r="CE35" s="5428"/>
      <c r="CF35" s="5428"/>
      <c r="CG35" s="5428"/>
      <c r="CH35" s="5428"/>
      <c r="CI35" s="5428"/>
      <c r="CJ35" s="5428"/>
      <c r="CK35" s="5428"/>
      <c r="CL35" s="5428"/>
      <c r="CM35" s="5428"/>
      <c r="CN35" s="5428"/>
      <c r="CO35" s="5428"/>
      <c r="CP35" s="5428"/>
      <c r="CQ35" s="5429"/>
      <c r="CR35" s="5428"/>
      <c r="CS35" s="5431"/>
      <c r="CT35" s="5430"/>
      <c r="CU35" s="5432"/>
      <c r="CV35" s="4159"/>
      <c r="CW35" s="4168"/>
    </row>
    <row r="36" spans="1:101" x14ac:dyDescent="0.25">
      <c r="A36" s="4191"/>
      <c r="B36" s="4191"/>
      <c r="C36" s="4191"/>
      <c r="D36" s="4191"/>
      <c r="E36" s="4179" t="s">
        <v>1945</v>
      </c>
      <c r="F36" s="4171">
        <v>1306</v>
      </c>
      <c r="G36" s="4129">
        <v>110</v>
      </c>
      <c r="H36" s="4129"/>
      <c r="I36" s="4178">
        <f t="shared" si="31"/>
        <v>1416</v>
      </c>
      <c r="J36" s="4129"/>
      <c r="K36" s="4129"/>
      <c r="L36" s="4129"/>
      <c r="M36" s="4178">
        <f t="shared" si="32"/>
        <v>0</v>
      </c>
      <c r="N36" s="4177">
        <f t="shared" si="33"/>
        <v>1416</v>
      </c>
      <c r="O36" s="4125"/>
      <c r="P36" s="4125"/>
      <c r="Q36" s="4129"/>
      <c r="R36" s="4178"/>
      <c r="S36" s="4129"/>
      <c r="T36" s="4129"/>
      <c r="U36" s="4176"/>
      <c r="V36" s="4178"/>
      <c r="W36" s="4177"/>
      <c r="X36" s="4141">
        <f t="shared" si="34"/>
        <v>1416</v>
      </c>
      <c r="Y36" s="4140">
        <v>0</v>
      </c>
      <c r="Z36" s="4129">
        <v>0</v>
      </c>
      <c r="AA36" s="4129"/>
      <c r="AB36" s="4178">
        <f t="shared" si="0"/>
        <v>0</v>
      </c>
      <c r="AC36" s="4129"/>
      <c r="AD36" s="4129"/>
      <c r="AE36" s="4129"/>
      <c r="AF36" s="4139">
        <f t="shared" si="35"/>
        <v>0</v>
      </c>
      <c r="AG36" s="4177">
        <f t="shared" si="36"/>
        <v>0</v>
      </c>
      <c r="AH36" s="4125"/>
      <c r="AI36" s="4125"/>
      <c r="AJ36" s="4125"/>
      <c r="AK36" s="4178">
        <f t="shared" si="37"/>
        <v>0</v>
      </c>
      <c r="AL36" s="4129"/>
      <c r="AM36" s="4129"/>
      <c r="AN36" s="4176"/>
      <c r="AO36" s="4178">
        <f t="shared" si="38"/>
        <v>0</v>
      </c>
      <c r="AP36" s="4177">
        <f t="shared" si="39"/>
        <v>0</v>
      </c>
      <c r="AQ36" s="4138">
        <f t="shared" si="40"/>
        <v>0</v>
      </c>
      <c r="AR36" s="4128">
        <f t="shared" si="41"/>
        <v>1416</v>
      </c>
      <c r="AS36" s="4175"/>
      <c r="AT36" s="4131"/>
      <c r="AU36" s="4137">
        <f t="shared" si="42"/>
        <v>1306</v>
      </c>
      <c r="AV36" s="4136"/>
      <c r="AW36" s="4135">
        <f t="shared" si="43"/>
        <v>110</v>
      </c>
      <c r="AX36" s="4134"/>
      <c r="AY36" s="4134">
        <f t="shared" si="44"/>
        <v>1416</v>
      </c>
      <c r="AZ36" s="4134"/>
      <c r="BA36" s="4135">
        <f t="shared" si="7"/>
        <v>0</v>
      </c>
      <c r="BB36" s="4133"/>
      <c r="BC36" s="4133">
        <f t="shared" si="8"/>
        <v>1416</v>
      </c>
      <c r="BD36" s="4134"/>
      <c r="BE36" s="4135">
        <f t="shared" si="9"/>
        <v>0</v>
      </c>
      <c r="BF36" s="4132"/>
      <c r="BG36" s="4132">
        <f t="shared" si="10"/>
        <v>1416</v>
      </c>
      <c r="BH36" s="4134"/>
      <c r="BI36" s="4135">
        <f t="shared" si="11"/>
        <v>0</v>
      </c>
      <c r="BJ36" s="4132"/>
      <c r="BK36" s="4132">
        <f t="shared" si="12"/>
        <v>1416</v>
      </c>
      <c r="BL36" s="4134"/>
      <c r="BM36" s="4135">
        <f t="shared" si="13"/>
        <v>0</v>
      </c>
      <c r="BN36" s="4134"/>
      <c r="BO36" s="4133">
        <f t="shared" si="14"/>
        <v>0</v>
      </c>
      <c r="BP36" s="4134"/>
      <c r="BQ36" s="4157">
        <f t="shared" si="15"/>
        <v>1416</v>
      </c>
      <c r="BR36" s="4134"/>
      <c r="BS36" s="4135">
        <f t="shared" si="16"/>
        <v>0</v>
      </c>
      <c r="BT36" s="4134"/>
      <c r="BU36" s="4134">
        <f t="shared" si="17"/>
        <v>1416</v>
      </c>
      <c r="BV36" s="4134"/>
      <c r="BW36" s="4135">
        <f t="shared" si="18"/>
        <v>0</v>
      </c>
      <c r="BX36" s="4134"/>
      <c r="BY36" s="4134">
        <f t="shared" si="19"/>
        <v>1416</v>
      </c>
      <c r="BZ36" s="4134"/>
      <c r="CA36" s="4135">
        <f t="shared" si="20"/>
        <v>0</v>
      </c>
      <c r="CB36" s="4134"/>
      <c r="CC36" s="4133">
        <f t="shared" si="21"/>
        <v>0</v>
      </c>
      <c r="CD36" s="4134"/>
      <c r="CE36" s="4134">
        <f t="shared" si="22"/>
        <v>1416</v>
      </c>
      <c r="CF36" s="4134"/>
      <c r="CG36" s="4135">
        <f t="shared" si="23"/>
        <v>0</v>
      </c>
      <c r="CH36" s="4134"/>
      <c r="CI36" s="4134">
        <f t="shared" si="24"/>
        <v>1416</v>
      </c>
      <c r="CJ36" s="4134"/>
      <c r="CK36" s="4135">
        <f t="shared" si="25"/>
        <v>0</v>
      </c>
      <c r="CL36" s="4134"/>
      <c r="CM36" s="4134">
        <f t="shared" si="26"/>
        <v>1416</v>
      </c>
      <c r="CN36" s="4134"/>
      <c r="CO36" s="4135">
        <f t="shared" si="27"/>
        <v>0</v>
      </c>
      <c r="CP36" s="4134"/>
      <c r="CQ36" s="4133">
        <f t="shared" si="28"/>
        <v>0</v>
      </c>
      <c r="CR36" s="4134"/>
      <c r="CS36" s="4157">
        <f t="shared" si="29"/>
        <v>0</v>
      </c>
      <c r="CT36" s="4132"/>
      <c r="CU36" s="4160">
        <f t="shared" si="30"/>
        <v>1416</v>
      </c>
      <c r="CV36" s="4159"/>
      <c r="CW36" s="4168"/>
    </row>
    <row r="37" spans="1:101" x14ac:dyDescent="0.25">
      <c r="A37" s="4191"/>
      <c r="B37" s="4191"/>
      <c r="C37" s="4191"/>
      <c r="D37" s="4191"/>
      <c r="E37" s="4179" t="s">
        <v>1469</v>
      </c>
      <c r="F37" s="4171">
        <v>425</v>
      </c>
      <c r="G37" s="4129">
        <v>435</v>
      </c>
      <c r="H37" s="4129"/>
      <c r="I37" s="4178">
        <f t="shared" si="31"/>
        <v>860</v>
      </c>
      <c r="J37" s="4129"/>
      <c r="K37" s="4129"/>
      <c r="L37" s="4129"/>
      <c r="M37" s="4178">
        <f t="shared" si="32"/>
        <v>0</v>
      </c>
      <c r="N37" s="4177">
        <f t="shared" si="33"/>
        <v>860</v>
      </c>
      <c r="O37" s="4125"/>
      <c r="P37" s="4125"/>
      <c r="Q37" s="4129"/>
      <c r="R37" s="4178"/>
      <c r="S37" s="4129"/>
      <c r="T37" s="4129"/>
      <c r="U37" s="4176"/>
      <c r="V37" s="4178"/>
      <c r="W37" s="4177"/>
      <c r="X37" s="4141">
        <f t="shared" si="34"/>
        <v>860</v>
      </c>
      <c r="Y37" s="4140">
        <v>0</v>
      </c>
      <c r="Z37" s="4129">
        <v>0</v>
      </c>
      <c r="AA37" s="4129"/>
      <c r="AB37" s="4178">
        <f t="shared" si="0"/>
        <v>0</v>
      </c>
      <c r="AC37" s="4129"/>
      <c r="AD37" s="4129"/>
      <c r="AE37" s="4129"/>
      <c r="AF37" s="4139">
        <f t="shared" si="35"/>
        <v>0</v>
      </c>
      <c r="AG37" s="4177">
        <f t="shared" si="36"/>
        <v>0</v>
      </c>
      <c r="AH37" s="4125"/>
      <c r="AI37" s="4125"/>
      <c r="AJ37" s="4125"/>
      <c r="AK37" s="4178">
        <f t="shared" si="37"/>
        <v>0</v>
      </c>
      <c r="AL37" s="4129"/>
      <c r="AM37" s="4129"/>
      <c r="AN37" s="4176"/>
      <c r="AO37" s="4178">
        <f t="shared" si="38"/>
        <v>0</v>
      </c>
      <c r="AP37" s="4177">
        <f t="shared" si="39"/>
        <v>0</v>
      </c>
      <c r="AQ37" s="4138">
        <f t="shared" si="40"/>
        <v>0</v>
      </c>
      <c r="AR37" s="4128">
        <f t="shared" si="41"/>
        <v>860</v>
      </c>
      <c r="AS37" s="4175"/>
      <c r="AT37" s="4131"/>
      <c r="AU37" s="4137">
        <f t="shared" si="42"/>
        <v>425</v>
      </c>
      <c r="AV37" s="4136"/>
      <c r="AW37" s="4135">
        <f t="shared" si="43"/>
        <v>435</v>
      </c>
      <c r="AX37" s="4134"/>
      <c r="AY37" s="4134">
        <f t="shared" si="44"/>
        <v>860</v>
      </c>
      <c r="AZ37" s="4134"/>
      <c r="BA37" s="4135">
        <f t="shared" si="7"/>
        <v>0</v>
      </c>
      <c r="BB37" s="4133"/>
      <c r="BC37" s="4133">
        <f t="shared" si="8"/>
        <v>860</v>
      </c>
      <c r="BD37" s="4134"/>
      <c r="BE37" s="4135">
        <f t="shared" si="9"/>
        <v>0</v>
      </c>
      <c r="BF37" s="4132"/>
      <c r="BG37" s="4132">
        <f t="shared" si="10"/>
        <v>860</v>
      </c>
      <c r="BH37" s="4134"/>
      <c r="BI37" s="4135">
        <f t="shared" si="11"/>
        <v>0</v>
      </c>
      <c r="BJ37" s="4132"/>
      <c r="BK37" s="4132">
        <f t="shared" si="12"/>
        <v>860</v>
      </c>
      <c r="BL37" s="4134"/>
      <c r="BM37" s="4135">
        <f t="shared" si="13"/>
        <v>0</v>
      </c>
      <c r="BN37" s="4134"/>
      <c r="BO37" s="4133">
        <f t="shared" si="14"/>
        <v>0</v>
      </c>
      <c r="BP37" s="4134"/>
      <c r="BQ37" s="4157">
        <f t="shared" si="15"/>
        <v>860</v>
      </c>
      <c r="BR37" s="4134"/>
      <c r="BS37" s="4135">
        <f t="shared" si="16"/>
        <v>0</v>
      </c>
      <c r="BT37" s="4134"/>
      <c r="BU37" s="4134">
        <f t="shared" si="17"/>
        <v>860</v>
      </c>
      <c r="BV37" s="4134"/>
      <c r="BW37" s="4135">
        <f t="shared" si="18"/>
        <v>0</v>
      </c>
      <c r="BX37" s="4134"/>
      <c r="BY37" s="4134">
        <f t="shared" si="19"/>
        <v>860</v>
      </c>
      <c r="BZ37" s="4134"/>
      <c r="CA37" s="4135">
        <f t="shared" si="20"/>
        <v>0</v>
      </c>
      <c r="CB37" s="4134"/>
      <c r="CC37" s="4133">
        <f t="shared" si="21"/>
        <v>0</v>
      </c>
      <c r="CD37" s="4134"/>
      <c r="CE37" s="4134">
        <f t="shared" si="22"/>
        <v>860</v>
      </c>
      <c r="CF37" s="4134"/>
      <c r="CG37" s="4135">
        <f t="shared" si="23"/>
        <v>0</v>
      </c>
      <c r="CH37" s="4134"/>
      <c r="CI37" s="4134">
        <f t="shared" si="24"/>
        <v>860</v>
      </c>
      <c r="CJ37" s="4134"/>
      <c r="CK37" s="4135">
        <f t="shared" si="25"/>
        <v>0</v>
      </c>
      <c r="CL37" s="4134"/>
      <c r="CM37" s="4134">
        <f t="shared" si="26"/>
        <v>860</v>
      </c>
      <c r="CN37" s="4134"/>
      <c r="CO37" s="4135">
        <f t="shared" si="27"/>
        <v>0</v>
      </c>
      <c r="CP37" s="4134"/>
      <c r="CQ37" s="4133">
        <f t="shared" si="28"/>
        <v>0</v>
      </c>
      <c r="CR37" s="4134"/>
      <c r="CS37" s="4157">
        <f t="shared" si="29"/>
        <v>0</v>
      </c>
      <c r="CT37" s="4132"/>
      <c r="CU37" s="4160">
        <f t="shared" si="30"/>
        <v>860</v>
      </c>
      <c r="CV37" s="4159"/>
      <c r="CW37" s="4168"/>
    </row>
    <row r="38" spans="1:101" x14ac:dyDescent="0.25">
      <c r="A38" s="4191"/>
      <c r="B38" s="4191"/>
      <c r="C38" s="4191"/>
      <c r="D38" s="4191"/>
      <c r="E38" s="4179" t="s">
        <v>1470</v>
      </c>
      <c r="F38" s="4171">
        <v>252</v>
      </c>
      <c r="G38" s="4129">
        <v>260</v>
      </c>
      <c r="H38" s="4129"/>
      <c r="I38" s="4178">
        <f t="shared" si="31"/>
        <v>512</v>
      </c>
      <c r="J38" s="4129"/>
      <c r="K38" s="4129"/>
      <c r="L38" s="4129"/>
      <c r="M38" s="4178">
        <f t="shared" si="32"/>
        <v>0</v>
      </c>
      <c r="N38" s="4177">
        <f t="shared" si="33"/>
        <v>512</v>
      </c>
      <c r="O38" s="4125"/>
      <c r="P38" s="4125"/>
      <c r="Q38" s="4129"/>
      <c r="R38" s="4178"/>
      <c r="S38" s="4129"/>
      <c r="T38" s="4129"/>
      <c r="U38" s="4176"/>
      <c r="V38" s="4178"/>
      <c r="W38" s="4177"/>
      <c r="X38" s="4141">
        <f t="shared" si="34"/>
        <v>512</v>
      </c>
      <c r="Y38" s="4140">
        <v>0</v>
      </c>
      <c r="Z38" s="4129">
        <v>0</v>
      </c>
      <c r="AA38" s="4129"/>
      <c r="AB38" s="4178">
        <f t="shared" si="0"/>
        <v>0</v>
      </c>
      <c r="AC38" s="4129"/>
      <c r="AD38" s="4129"/>
      <c r="AE38" s="4129"/>
      <c r="AF38" s="4139">
        <f t="shared" si="35"/>
        <v>0</v>
      </c>
      <c r="AG38" s="4177">
        <f t="shared" si="36"/>
        <v>0</v>
      </c>
      <c r="AH38" s="4125"/>
      <c r="AI38" s="4125"/>
      <c r="AJ38" s="4125"/>
      <c r="AK38" s="4178">
        <f t="shared" si="37"/>
        <v>0</v>
      </c>
      <c r="AL38" s="4129"/>
      <c r="AM38" s="4129"/>
      <c r="AN38" s="4176"/>
      <c r="AO38" s="4178">
        <f t="shared" si="38"/>
        <v>0</v>
      </c>
      <c r="AP38" s="4177">
        <f t="shared" si="39"/>
        <v>0</v>
      </c>
      <c r="AQ38" s="4138">
        <f t="shared" si="40"/>
        <v>0</v>
      </c>
      <c r="AR38" s="4128">
        <f t="shared" si="41"/>
        <v>512</v>
      </c>
      <c r="AS38" s="4175"/>
      <c r="AT38" s="4131"/>
      <c r="AU38" s="4137">
        <f t="shared" si="42"/>
        <v>252</v>
      </c>
      <c r="AV38" s="4136"/>
      <c r="AW38" s="4135">
        <f t="shared" si="43"/>
        <v>260</v>
      </c>
      <c r="AX38" s="4134"/>
      <c r="AY38" s="4134">
        <f t="shared" si="44"/>
        <v>512</v>
      </c>
      <c r="AZ38" s="4134"/>
      <c r="BA38" s="4135">
        <f t="shared" si="7"/>
        <v>0</v>
      </c>
      <c r="BB38" s="4133"/>
      <c r="BC38" s="4133">
        <f t="shared" si="8"/>
        <v>512</v>
      </c>
      <c r="BD38" s="4134"/>
      <c r="BE38" s="4135">
        <f t="shared" si="9"/>
        <v>0</v>
      </c>
      <c r="BF38" s="4132"/>
      <c r="BG38" s="4132">
        <f t="shared" si="10"/>
        <v>512</v>
      </c>
      <c r="BH38" s="4134"/>
      <c r="BI38" s="4135">
        <f t="shared" si="11"/>
        <v>0</v>
      </c>
      <c r="BJ38" s="4132"/>
      <c r="BK38" s="4132">
        <f t="shared" si="12"/>
        <v>512</v>
      </c>
      <c r="BL38" s="4134"/>
      <c r="BM38" s="4135">
        <f t="shared" si="13"/>
        <v>0</v>
      </c>
      <c r="BN38" s="4134"/>
      <c r="BO38" s="4133">
        <f t="shared" si="14"/>
        <v>0</v>
      </c>
      <c r="BP38" s="4134"/>
      <c r="BQ38" s="4157">
        <f t="shared" si="15"/>
        <v>512</v>
      </c>
      <c r="BR38" s="4134"/>
      <c r="BS38" s="4135">
        <f t="shared" si="16"/>
        <v>0</v>
      </c>
      <c r="BT38" s="4134"/>
      <c r="BU38" s="4134">
        <f t="shared" si="17"/>
        <v>512</v>
      </c>
      <c r="BV38" s="4134"/>
      <c r="BW38" s="4135">
        <f t="shared" si="18"/>
        <v>0</v>
      </c>
      <c r="BX38" s="4134"/>
      <c r="BY38" s="4134">
        <f t="shared" si="19"/>
        <v>512</v>
      </c>
      <c r="BZ38" s="4134"/>
      <c r="CA38" s="4135">
        <f t="shared" si="20"/>
        <v>0</v>
      </c>
      <c r="CB38" s="4134"/>
      <c r="CC38" s="4133">
        <f t="shared" si="21"/>
        <v>0</v>
      </c>
      <c r="CD38" s="4134"/>
      <c r="CE38" s="4134">
        <f t="shared" si="22"/>
        <v>512</v>
      </c>
      <c r="CF38" s="4134"/>
      <c r="CG38" s="4135">
        <f t="shared" si="23"/>
        <v>0</v>
      </c>
      <c r="CH38" s="4134"/>
      <c r="CI38" s="4134">
        <f t="shared" si="24"/>
        <v>512</v>
      </c>
      <c r="CJ38" s="4134"/>
      <c r="CK38" s="4135">
        <f t="shared" si="25"/>
        <v>0</v>
      </c>
      <c r="CL38" s="4134"/>
      <c r="CM38" s="4134">
        <f t="shared" si="26"/>
        <v>512</v>
      </c>
      <c r="CN38" s="4134"/>
      <c r="CO38" s="4135">
        <f t="shared" si="27"/>
        <v>0</v>
      </c>
      <c r="CP38" s="4134"/>
      <c r="CQ38" s="4133">
        <f t="shared" si="28"/>
        <v>0</v>
      </c>
      <c r="CR38" s="4134"/>
      <c r="CS38" s="4157">
        <f t="shared" si="29"/>
        <v>0</v>
      </c>
      <c r="CT38" s="4132"/>
      <c r="CU38" s="4160">
        <f t="shared" si="30"/>
        <v>512</v>
      </c>
      <c r="CV38" s="4159"/>
      <c r="CW38" s="4168"/>
    </row>
    <row r="39" spans="1:101" x14ac:dyDescent="0.25">
      <c r="A39" s="4191"/>
      <c r="B39" s="4191"/>
      <c r="C39" s="4191"/>
      <c r="D39" s="4191"/>
      <c r="E39" s="5041" t="s">
        <v>2150</v>
      </c>
      <c r="F39" s="4171">
        <v>442</v>
      </c>
      <c r="G39" s="4129">
        <v>1461</v>
      </c>
      <c r="H39" s="4129">
        <v>3839</v>
      </c>
      <c r="I39" s="4178">
        <f t="shared" si="31"/>
        <v>5742</v>
      </c>
      <c r="J39" s="4129">
        <v>3196</v>
      </c>
      <c r="K39" s="4129"/>
      <c r="L39" s="4129"/>
      <c r="M39" s="4178">
        <f t="shared" si="32"/>
        <v>3196</v>
      </c>
      <c r="N39" s="4177">
        <f t="shared" si="33"/>
        <v>8938</v>
      </c>
      <c r="O39" s="4125"/>
      <c r="P39" s="4125"/>
      <c r="Q39" s="4129"/>
      <c r="R39" s="4178"/>
      <c r="S39" s="4129"/>
      <c r="T39" s="4129"/>
      <c r="U39" s="4176"/>
      <c r="V39" s="4178"/>
      <c r="W39" s="4177"/>
      <c r="X39" s="4141">
        <f t="shared" si="34"/>
        <v>8938</v>
      </c>
      <c r="Y39" s="4140">
        <v>0</v>
      </c>
      <c r="Z39" s="4129">
        <v>0</v>
      </c>
      <c r="AA39" s="4129"/>
      <c r="AB39" s="4178">
        <f t="shared" si="0"/>
        <v>0</v>
      </c>
      <c r="AC39" s="4129"/>
      <c r="AD39" s="4129"/>
      <c r="AE39" s="4129"/>
      <c r="AF39" s="4139">
        <f t="shared" si="35"/>
        <v>0</v>
      </c>
      <c r="AG39" s="4177">
        <f t="shared" si="36"/>
        <v>0</v>
      </c>
      <c r="AH39" s="4125"/>
      <c r="AI39" s="4125"/>
      <c r="AJ39" s="4125"/>
      <c r="AK39" s="4178">
        <f t="shared" si="37"/>
        <v>0</v>
      </c>
      <c r="AL39" s="4129"/>
      <c r="AM39" s="4129"/>
      <c r="AN39" s="4176"/>
      <c r="AO39" s="4178">
        <f t="shared" si="38"/>
        <v>0</v>
      </c>
      <c r="AP39" s="4177">
        <f t="shared" si="39"/>
        <v>0</v>
      </c>
      <c r="AQ39" s="4138">
        <f t="shared" si="40"/>
        <v>0</v>
      </c>
      <c r="AR39" s="4128">
        <f t="shared" si="41"/>
        <v>8938</v>
      </c>
      <c r="AS39" s="4175"/>
      <c r="AT39" s="4131"/>
      <c r="AU39" s="4137">
        <f t="shared" si="42"/>
        <v>442</v>
      </c>
      <c r="AV39" s="4136"/>
      <c r="AW39" s="4135">
        <f t="shared" si="43"/>
        <v>1461</v>
      </c>
      <c r="AX39" s="4134"/>
      <c r="AY39" s="4134">
        <f t="shared" si="44"/>
        <v>1903</v>
      </c>
      <c r="AZ39" s="5286"/>
      <c r="BA39" s="4135">
        <f t="shared" si="7"/>
        <v>3839</v>
      </c>
      <c r="BB39" s="5287"/>
      <c r="BC39" s="4133">
        <f t="shared" si="8"/>
        <v>5742</v>
      </c>
      <c r="BD39" s="5286"/>
      <c r="BE39" s="4135">
        <f t="shared" si="9"/>
        <v>3196</v>
      </c>
      <c r="BF39" s="5288"/>
      <c r="BG39" s="4132">
        <f t="shared" si="10"/>
        <v>8938</v>
      </c>
      <c r="BH39" s="5286"/>
      <c r="BI39" s="4135">
        <f t="shared" si="11"/>
        <v>0</v>
      </c>
      <c r="BJ39" s="5288"/>
      <c r="BK39" s="4132">
        <f t="shared" si="12"/>
        <v>8938</v>
      </c>
      <c r="BL39" s="5286"/>
      <c r="BM39" s="4135">
        <f t="shared" si="13"/>
        <v>0</v>
      </c>
      <c r="BN39" s="5286"/>
      <c r="BO39" s="4133">
        <f t="shared" si="14"/>
        <v>3196</v>
      </c>
      <c r="BP39" s="5286"/>
      <c r="BQ39" s="4157">
        <f t="shared" si="15"/>
        <v>8938</v>
      </c>
      <c r="BR39" s="5286"/>
      <c r="BS39" s="5286"/>
      <c r="BT39" s="5286"/>
      <c r="BU39" s="5286"/>
      <c r="BV39" s="5286"/>
      <c r="BW39" s="5286"/>
      <c r="BX39" s="5286"/>
      <c r="BY39" s="5286"/>
      <c r="BZ39" s="5286"/>
      <c r="CA39" s="5286"/>
      <c r="CB39" s="5286"/>
      <c r="CC39" s="5287"/>
      <c r="CD39" s="5286"/>
      <c r="CE39" s="5286"/>
      <c r="CF39" s="5286"/>
      <c r="CG39" s="5286"/>
      <c r="CH39" s="5286"/>
      <c r="CI39" s="5286"/>
      <c r="CJ39" s="5286"/>
      <c r="CK39" s="5286"/>
      <c r="CL39" s="5286"/>
      <c r="CM39" s="5286"/>
      <c r="CN39" s="5286"/>
      <c r="CO39" s="5286"/>
      <c r="CP39" s="5286"/>
      <c r="CQ39" s="5287"/>
      <c r="CR39" s="5286"/>
      <c r="CS39" s="5289"/>
      <c r="CT39" s="5288"/>
      <c r="CU39" s="5290"/>
      <c r="CV39" s="4159"/>
      <c r="CW39" s="4168"/>
    </row>
    <row r="40" spans="1:101" x14ac:dyDescent="0.25">
      <c r="A40" s="4191"/>
      <c r="B40" s="4191"/>
      <c r="C40" s="4191"/>
      <c r="D40" s="4191"/>
      <c r="E40" s="5041" t="s">
        <v>1211</v>
      </c>
      <c r="F40" s="4171">
        <v>0</v>
      </c>
      <c r="G40" s="4129"/>
      <c r="H40" s="4129"/>
      <c r="I40" s="4178">
        <f t="shared" si="31"/>
        <v>0</v>
      </c>
      <c r="J40" s="4129"/>
      <c r="K40" s="4129">
        <v>268.47800000000001</v>
      </c>
      <c r="L40" s="4129"/>
      <c r="M40" s="4178">
        <f t="shared" si="32"/>
        <v>268.47800000000001</v>
      </c>
      <c r="N40" s="4177">
        <f t="shared" si="33"/>
        <v>268.47800000000001</v>
      </c>
      <c r="O40" s="4125"/>
      <c r="P40" s="4125"/>
      <c r="Q40" s="4129"/>
      <c r="R40" s="4178"/>
      <c r="S40" s="4129"/>
      <c r="T40" s="4129"/>
      <c r="U40" s="4176"/>
      <c r="V40" s="4178"/>
      <c r="W40" s="4177"/>
      <c r="X40" s="4141">
        <f t="shared" si="34"/>
        <v>268.47800000000001</v>
      </c>
      <c r="Y40" s="4140">
        <v>178</v>
      </c>
      <c r="Z40" s="4129"/>
      <c r="AA40" s="4129"/>
      <c r="AB40" s="4178">
        <f t="shared" si="0"/>
        <v>178</v>
      </c>
      <c r="AC40" s="4129">
        <v>116</v>
      </c>
      <c r="AD40" s="4129"/>
      <c r="AE40" s="4129"/>
      <c r="AF40" s="4139">
        <f t="shared" si="35"/>
        <v>116</v>
      </c>
      <c r="AG40" s="4177">
        <f t="shared" si="36"/>
        <v>294</v>
      </c>
      <c r="AH40" s="4125"/>
      <c r="AI40" s="4125"/>
      <c r="AJ40" s="4125"/>
      <c r="AK40" s="4178">
        <f t="shared" si="37"/>
        <v>0</v>
      </c>
      <c r="AL40" s="4129"/>
      <c r="AM40" s="4129"/>
      <c r="AN40" s="4176"/>
      <c r="AO40" s="4178">
        <f t="shared" si="38"/>
        <v>0</v>
      </c>
      <c r="AP40" s="4177">
        <f t="shared" si="39"/>
        <v>0</v>
      </c>
      <c r="AQ40" s="4138">
        <f t="shared" si="40"/>
        <v>294</v>
      </c>
      <c r="AR40" s="4128">
        <f t="shared" si="41"/>
        <v>562.47800000000007</v>
      </c>
      <c r="AS40" s="4175"/>
      <c r="AT40" s="4131"/>
      <c r="AU40" s="4137">
        <f t="shared" si="42"/>
        <v>178</v>
      </c>
      <c r="AV40" s="4136"/>
      <c r="AW40" s="4135">
        <f t="shared" si="43"/>
        <v>0</v>
      </c>
      <c r="AX40" s="4134"/>
      <c r="AY40" s="4134">
        <f t="shared" si="44"/>
        <v>178</v>
      </c>
      <c r="AZ40" s="4134"/>
      <c r="BA40" s="4135">
        <f t="shared" si="7"/>
        <v>0</v>
      </c>
      <c r="BB40" s="4133"/>
      <c r="BC40" s="4133">
        <f t="shared" si="8"/>
        <v>178</v>
      </c>
      <c r="BD40" s="4134"/>
      <c r="BE40" s="4135">
        <f t="shared" si="9"/>
        <v>116</v>
      </c>
      <c r="BF40" s="4132"/>
      <c r="BG40" s="4132">
        <f t="shared" si="10"/>
        <v>294</v>
      </c>
      <c r="BH40" s="4134"/>
      <c r="BI40" s="4135">
        <f t="shared" si="11"/>
        <v>268.47800000000001</v>
      </c>
      <c r="BJ40" s="4132"/>
      <c r="BK40" s="4132">
        <f t="shared" si="12"/>
        <v>562.47800000000007</v>
      </c>
      <c r="BL40" s="4134"/>
      <c r="BM40" s="4135">
        <f t="shared" si="13"/>
        <v>0</v>
      </c>
      <c r="BN40" s="4134"/>
      <c r="BO40" s="4133">
        <f t="shared" si="14"/>
        <v>384.47800000000001</v>
      </c>
      <c r="BP40" s="4134"/>
      <c r="BQ40" s="4157">
        <f t="shared" si="15"/>
        <v>562.47800000000007</v>
      </c>
      <c r="BR40" s="4134"/>
      <c r="BS40" s="4135">
        <f t="shared" si="16"/>
        <v>0</v>
      </c>
      <c r="BT40" s="4134"/>
      <c r="BU40" s="4134">
        <f t="shared" si="17"/>
        <v>562.47800000000007</v>
      </c>
      <c r="BV40" s="4134"/>
      <c r="BW40" s="4135">
        <f t="shared" si="18"/>
        <v>0</v>
      </c>
      <c r="BX40" s="4134"/>
      <c r="BY40" s="4134">
        <f t="shared" si="19"/>
        <v>562.47800000000007</v>
      </c>
      <c r="BZ40" s="4134"/>
      <c r="CA40" s="4135">
        <f t="shared" si="20"/>
        <v>0</v>
      </c>
      <c r="CB40" s="4134"/>
      <c r="CC40" s="4133">
        <f t="shared" si="21"/>
        <v>0</v>
      </c>
      <c r="CD40" s="4134"/>
      <c r="CE40" s="4134">
        <f t="shared" si="22"/>
        <v>562.47800000000007</v>
      </c>
      <c r="CF40" s="4134"/>
      <c r="CG40" s="4135">
        <f t="shared" si="23"/>
        <v>0</v>
      </c>
      <c r="CH40" s="4134"/>
      <c r="CI40" s="4134">
        <f t="shared" si="24"/>
        <v>562.47800000000007</v>
      </c>
      <c r="CJ40" s="4134"/>
      <c r="CK40" s="4135">
        <f t="shared" si="25"/>
        <v>0</v>
      </c>
      <c r="CL40" s="4134"/>
      <c r="CM40" s="4134">
        <f t="shared" si="26"/>
        <v>562.47800000000007</v>
      </c>
      <c r="CN40" s="4134"/>
      <c r="CO40" s="4135">
        <f t="shared" si="27"/>
        <v>0</v>
      </c>
      <c r="CP40" s="4134"/>
      <c r="CQ40" s="4133">
        <f t="shared" si="28"/>
        <v>0</v>
      </c>
      <c r="CR40" s="4134"/>
      <c r="CS40" s="4157">
        <f t="shared" si="29"/>
        <v>0</v>
      </c>
      <c r="CT40" s="4132"/>
      <c r="CU40" s="4160">
        <f t="shared" si="30"/>
        <v>562.47800000000007</v>
      </c>
      <c r="CV40" s="4159"/>
      <c r="CW40" s="4168"/>
    </row>
    <row r="41" spans="1:101" x14ac:dyDescent="0.25">
      <c r="A41" s="4191"/>
      <c r="B41" s="4191"/>
      <c r="C41" s="4191"/>
      <c r="D41" s="4191"/>
      <c r="E41" s="5041" t="s">
        <v>1210</v>
      </c>
      <c r="F41" s="4171">
        <v>6703</v>
      </c>
      <c r="G41" s="4129"/>
      <c r="H41" s="4129">
        <v>5911</v>
      </c>
      <c r="I41" s="4178">
        <f t="shared" si="31"/>
        <v>12614</v>
      </c>
      <c r="J41" s="4129">
        <v>13705</v>
      </c>
      <c r="K41" s="4129"/>
      <c r="L41" s="4129">
        <v>6549</v>
      </c>
      <c r="M41" s="4178">
        <f t="shared" si="32"/>
        <v>20254</v>
      </c>
      <c r="N41" s="4177">
        <f t="shared" si="33"/>
        <v>32868</v>
      </c>
      <c r="O41" s="4125"/>
      <c r="P41" s="4125"/>
      <c r="Q41" s="4129"/>
      <c r="R41" s="4178"/>
      <c r="S41" s="4129"/>
      <c r="T41" s="4129"/>
      <c r="U41" s="4176"/>
      <c r="V41" s="4178"/>
      <c r="W41" s="4177"/>
      <c r="X41" s="4141">
        <f t="shared" si="34"/>
        <v>32868</v>
      </c>
      <c r="Y41" s="4140">
        <v>5833</v>
      </c>
      <c r="Z41" s="4129"/>
      <c r="AA41" s="4129">
        <v>5439</v>
      </c>
      <c r="AB41" s="4178">
        <f t="shared" si="0"/>
        <v>11272</v>
      </c>
      <c r="AC41" s="4129"/>
      <c r="AD41" s="4129">
        <v>6337.7719999999999</v>
      </c>
      <c r="AE41" s="4129">
        <v>4135</v>
      </c>
      <c r="AF41" s="4139">
        <f t="shared" si="35"/>
        <v>10472.772000000001</v>
      </c>
      <c r="AG41" s="4177">
        <f t="shared" si="36"/>
        <v>21744.772000000001</v>
      </c>
      <c r="AH41" s="4125"/>
      <c r="AI41" s="4125"/>
      <c r="AJ41" s="4125"/>
      <c r="AK41" s="4178">
        <f t="shared" si="37"/>
        <v>0</v>
      </c>
      <c r="AL41" s="4129"/>
      <c r="AM41" s="4129"/>
      <c r="AN41" s="4176"/>
      <c r="AO41" s="4178">
        <f t="shared" si="38"/>
        <v>0</v>
      </c>
      <c r="AP41" s="4177">
        <f t="shared" si="39"/>
        <v>0</v>
      </c>
      <c r="AQ41" s="4138">
        <f t="shared" si="40"/>
        <v>21744.772000000001</v>
      </c>
      <c r="AR41" s="4128">
        <f t="shared" si="41"/>
        <v>54612.771999999997</v>
      </c>
      <c r="AS41" s="4175"/>
      <c r="AT41" s="4131"/>
      <c r="AU41" s="4137">
        <f t="shared" si="42"/>
        <v>12536</v>
      </c>
      <c r="AV41" s="4136"/>
      <c r="AW41" s="4135">
        <f t="shared" si="43"/>
        <v>0</v>
      </c>
      <c r="AX41" s="4134"/>
      <c r="AY41" s="4134">
        <f t="shared" si="44"/>
        <v>12536</v>
      </c>
      <c r="AZ41" s="4134"/>
      <c r="BA41" s="4135">
        <f t="shared" si="7"/>
        <v>11350</v>
      </c>
      <c r="BB41" s="4133"/>
      <c r="BC41" s="4133">
        <f t="shared" si="8"/>
        <v>23886</v>
      </c>
      <c r="BD41" s="4134"/>
      <c r="BE41" s="4135">
        <f t="shared" si="9"/>
        <v>13705</v>
      </c>
      <c r="BF41" s="4132"/>
      <c r="BG41" s="4132">
        <f t="shared" si="10"/>
        <v>37591</v>
      </c>
      <c r="BH41" s="4134"/>
      <c r="BI41" s="4135">
        <f t="shared" si="11"/>
        <v>6337.7719999999999</v>
      </c>
      <c r="BJ41" s="4132"/>
      <c r="BK41" s="4132">
        <f t="shared" si="12"/>
        <v>43928.771999999997</v>
      </c>
      <c r="BL41" s="4134"/>
      <c r="BM41" s="4135">
        <f t="shared" si="13"/>
        <v>10684</v>
      </c>
      <c r="BN41" s="4134"/>
      <c r="BO41" s="4133">
        <f t="shared" si="14"/>
        <v>30726.772000000001</v>
      </c>
      <c r="BP41" s="4134"/>
      <c r="BQ41" s="4157">
        <f t="shared" si="15"/>
        <v>54612.771999999997</v>
      </c>
      <c r="BR41" s="4134"/>
      <c r="BS41" s="4135">
        <f t="shared" si="16"/>
        <v>0</v>
      </c>
      <c r="BT41" s="4134"/>
      <c r="BU41" s="4134">
        <f t="shared" si="17"/>
        <v>54612.771999999997</v>
      </c>
      <c r="BV41" s="4134"/>
      <c r="BW41" s="4135">
        <f t="shared" si="18"/>
        <v>0</v>
      </c>
      <c r="BX41" s="4134"/>
      <c r="BY41" s="4134">
        <f t="shared" si="19"/>
        <v>54612.771999999997</v>
      </c>
      <c r="BZ41" s="4134"/>
      <c r="CA41" s="4135">
        <f t="shared" si="20"/>
        <v>0</v>
      </c>
      <c r="CB41" s="4134"/>
      <c r="CC41" s="4133">
        <f t="shared" si="21"/>
        <v>0</v>
      </c>
      <c r="CD41" s="4134"/>
      <c r="CE41" s="4134">
        <f t="shared" si="22"/>
        <v>54612.771999999997</v>
      </c>
      <c r="CF41" s="4134"/>
      <c r="CG41" s="4135">
        <f t="shared" si="23"/>
        <v>0</v>
      </c>
      <c r="CH41" s="4134"/>
      <c r="CI41" s="4134">
        <f t="shared" si="24"/>
        <v>54612.771999999997</v>
      </c>
      <c r="CJ41" s="4134"/>
      <c r="CK41" s="4135">
        <f t="shared" si="25"/>
        <v>0</v>
      </c>
      <c r="CL41" s="4134"/>
      <c r="CM41" s="4134">
        <f t="shared" si="26"/>
        <v>54612.771999999997</v>
      </c>
      <c r="CN41" s="4134"/>
      <c r="CO41" s="4135">
        <f t="shared" si="27"/>
        <v>0</v>
      </c>
      <c r="CP41" s="4134"/>
      <c r="CQ41" s="4133">
        <f t="shared" si="28"/>
        <v>0</v>
      </c>
      <c r="CR41" s="4134"/>
      <c r="CS41" s="4157">
        <f t="shared" si="29"/>
        <v>0</v>
      </c>
      <c r="CT41" s="4132"/>
      <c r="CU41" s="4160">
        <f t="shared" si="30"/>
        <v>54612.771999999997</v>
      </c>
      <c r="CV41" s="4159"/>
      <c r="CW41" s="4168"/>
    </row>
    <row r="42" spans="1:101" x14ac:dyDescent="0.25">
      <c r="A42" s="4191"/>
      <c r="B42" s="4191"/>
      <c r="C42" s="4191"/>
      <c r="D42" s="4191"/>
      <c r="E42" s="4179" t="s">
        <v>2140</v>
      </c>
      <c r="F42" s="4171">
        <v>49</v>
      </c>
      <c r="G42" s="4129">
        <v>1970</v>
      </c>
      <c r="H42" s="4129">
        <v>154</v>
      </c>
      <c r="I42" s="4178">
        <f t="shared" si="31"/>
        <v>2173</v>
      </c>
      <c r="J42" s="4129"/>
      <c r="K42" s="4129"/>
      <c r="L42" s="4129"/>
      <c r="M42" s="4178">
        <f t="shared" si="32"/>
        <v>0</v>
      </c>
      <c r="N42" s="4177">
        <f t="shared" si="33"/>
        <v>2173</v>
      </c>
      <c r="O42" s="4125"/>
      <c r="P42" s="4125"/>
      <c r="Q42" s="4129"/>
      <c r="R42" s="4178"/>
      <c r="S42" s="4129"/>
      <c r="T42" s="4129"/>
      <c r="U42" s="4176"/>
      <c r="V42" s="4178"/>
      <c r="W42" s="4177"/>
      <c r="X42" s="4141">
        <f t="shared" si="34"/>
        <v>2173</v>
      </c>
      <c r="Y42" s="4140">
        <v>0</v>
      </c>
      <c r="Z42" s="4129">
        <v>0</v>
      </c>
      <c r="AA42" s="4129"/>
      <c r="AB42" s="4178">
        <f t="shared" si="0"/>
        <v>0</v>
      </c>
      <c r="AC42" s="4129"/>
      <c r="AD42" s="4129"/>
      <c r="AE42" s="4129"/>
      <c r="AF42" s="4139">
        <f t="shared" si="35"/>
        <v>0</v>
      </c>
      <c r="AG42" s="4177">
        <f t="shared" si="36"/>
        <v>0</v>
      </c>
      <c r="AH42" s="4125"/>
      <c r="AI42" s="4125"/>
      <c r="AJ42" s="4125"/>
      <c r="AK42" s="4178">
        <f t="shared" si="37"/>
        <v>0</v>
      </c>
      <c r="AL42" s="4129"/>
      <c r="AM42" s="4129"/>
      <c r="AN42" s="4176"/>
      <c r="AO42" s="4178">
        <f t="shared" si="38"/>
        <v>0</v>
      </c>
      <c r="AP42" s="4177">
        <f t="shared" si="39"/>
        <v>0</v>
      </c>
      <c r="AQ42" s="4138">
        <f t="shared" si="40"/>
        <v>0</v>
      </c>
      <c r="AR42" s="4128">
        <f t="shared" si="41"/>
        <v>2173</v>
      </c>
      <c r="AS42" s="4175"/>
      <c r="AT42" s="4131"/>
      <c r="AU42" s="4137">
        <f t="shared" si="42"/>
        <v>49</v>
      </c>
      <c r="AV42" s="4136"/>
      <c r="AW42" s="4135">
        <f t="shared" si="43"/>
        <v>1970</v>
      </c>
      <c r="AX42" s="4134"/>
      <c r="AY42" s="4134">
        <f t="shared" si="44"/>
        <v>2019</v>
      </c>
      <c r="AZ42" s="4134"/>
      <c r="BA42" s="4135">
        <f t="shared" si="7"/>
        <v>154</v>
      </c>
      <c r="BB42" s="4133"/>
      <c r="BC42" s="4133">
        <f t="shared" si="8"/>
        <v>2173</v>
      </c>
      <c r="BD42" s="4134"/>
      <c r="BE42" s="4135">
        <f t="shared" si="9"/>
        <v>0</v>
      </c>
      <c r="BF42" s="4132"/>
      <c r="BG42" s="4132">
        <f t="shared" si="10"/>
        <v>2173</v>
      </c>
      <c r="BH42" s="4134"/>
      <c r="BI42" s="4135">
        <f t="shared" si="11"/>
        <v>0</v>
      </c>
      <c r="BJ42" s="4132"/>
      <c r="BK42" s="4132">
        <f t="shared" si="12"/>
        <v>2173</v>
      </c>
      <c r="BL42" s="4134"/>
      <c r="BM42" s="4135">
        <f t="shared" si="13"/>
        <v>0</v>
      </c>
      <c r="BN42" s="4134"/>
      <c r="BO42" s="4133">
        <f t="shared" si="14"/>
        <v>0</v>
      </c>
      <c r="BP42" s="4134"/>
      <c r="BQ42" s="4157">
        <f t="shared" si="15"/>
        <v>2173</v>
      </c>
      <c r="BR42" s="4134"/>
      <c r="BS42" s="4135">
        <f t="shared" si="16"/>
        <v>0</v>
      </c>
      <c r="BT42" s="4134"/>
      <c r="BU42" s="4134">
        <f t="shared" si="17"/>
        <v>2173</v>
      </c>
      <c r="BV42" s="4134"/>
      <c r="BW42" s="4135">
        <f t="shared" si="18"/>
        <v>0</v>
      </c>
      <c r="BX42" s="4134"/>
      <c r="BY42" s="4134">
        <f t="shared" si="19"/>
        <v>2173</v>
      </c>
      <c r="BZ42" s="4134"/>
      <c r="CA42" s="4135">
        <f t="shared" si="20"/>
        <v>0</v>
      </c>
      <c r="CB42" s="4134"/>
      <c r="CC42" s="4133">
        <f t="shared" si="21"/>
        <v>0</v>
      </c>
      <c r="CD42" s="4134"/>
      <c r="CE42" s="4134">
        <f t="shared" si="22"/>
        <v>2173</v>
      </c>
      <c r="CF42" s="4134"/>
      <c r="CG42" s="4135">
        <f t="shared" si="23"/>
        <v>0</v>
      </c>
      <c r="CH42" s="4134"/>
      <c r="CI42" s="4134">
        <f t="shared" si="24"/>
        <v>2173</v>
      </c>
      <c r="CJ42" s="4134"/>
      <c r="CK42" s="4135">
        <f t="shared" si="25"/>
        <v>0</v>
      </c>
      <c r="CL42" s="4134"/>
      <c r="CM42" s="4134">
        <f t="shared" si="26"/>
        <v>2173</v>
      </c>
      <c r="CN42" s="4134"/>
      <c r="CO42" s="4135">
        <f t="shared" si="27"/>
        <v>0</v>
      </c>
      <c r="CP42" s="4134"/>
      <c r="CQ42" s="4133">
        <f t="shared" si="28"/>
        <v>0</v>
      </c>
      <c r="CR42" s="4134"/>
      <c r="CS42" s="4157">
        <f t="shared" si="29"/>
        <v>0</v>
      </c>
      <c r="CT42" s="4132"/>
      <c r="CU42" s="4160">
        <f t="shared" si="30"/>
        <v>2173</v>
      </c>
      <c r="CV42" s="4159"/>
      <c r="CW42" s="4168"/>
    </row>
    <row r="43" spans="1:101" x14ac:dyDescent="0.25">
      <c r="A43" s="4191"/>
      <c r="B43" s="4191"/>
      <c r="C43" s="4191"/>
      <c r="D43" s="4191"/>
      <c r="E43" s="5041" t="s">
        <v>2141</v>
      </c>
      <c r="F43" s="4171"/>
      <c r="G43" s="4129">
        <v>173</v>
      </c>
      <c r="H43" s="4129"/>
      <c r="I43" s="4178">
        <f t="shared" si="31"/>
        <v>173</v>
      </c>
      <c r="J43" s="4129"/>
      <c r="K43" s="4129">
        <v>353.03800000000001</v>
      </c>
      <c r="L43" s="4129">
        <v>114</v>
      </c>
      <c r="M43" s="4178">
        <f t="shared" si="32"/>
        <v>467.03800000000001</v>
      </c>
      <c r="N43" s="4177">
        <f t="shared" si="33"/>
        <v>640.03800000000001</v>
      </c>
      <c r="O43" s="4125"/>
      <c r="P43" s="4125"/>
      <c r="Q43" s="4129"/>
      <c r="R43" s="4178"/>
      <c r="S43" s="4129"/>
      <c r="T43" s="4129"/>
      <c r="U43" s="4176"/>
      <c r="V43" s="4178"/>
      <c r="W43" s="4177"/>
      <c r="X43" s="4141">
        <f t="shared" si="34"/>
        <v>640.03800000000001</v>
      </c>
      <c r="Y43" s="4140"/>
      <c r="Z43" s="4129">
        <v>95</v>
      </c>
      <c r="AA43" s="4129"/>
      <c r="AB43" s="4178">
        <f t="shared" si="0"/>
        <v>95</v>
      </c>
      <c r="AC43" s="4129"/>
      <c r="AD43" s="4129"/>
      <c r="AE43" s="4129"/>
      <c r="AF43" s="4139">
        <f t="shared" si="35"/>
        <v>0</v>
      </c>
      <c r="AG43" s="4177">
        <f t="shared" si="36"/>
        <v>95</v>
      </c>
      <c r="AH43" s="4125"/>
      <c r="AI43" s="4125"/>
      <c r="AJ43" s="4125"/>
      <c r="AK43" s="4178">
        <f t="shared" si="37"/>
        <v>0</v>
      </c>
      <c r="AL43" s="4129"/>
      <c r="AM43" s="4129"/>
      <c r="AN43" s="4176"/>
      <c r="AO43" s="4178">
        <f t="shared" si="38"/>
        <v>0</v>
      </c>
      <c r="AP43" s="4177">
        <f t="shared" si="39"/>
        <v>0</v>
      </c>
      <c r="AQ43" s="4138">
        <f t="shared" si="40"/>
        <v>95</v>
      </c>
      <c r="AR43" s="4128">
        <f t="shared" si="41"/>
        <v>735.03800000000001</v>
      </c>
      <c r="AS43" s="4175"/>
      <c r="AT43" s="4131"/>
      <c r="AU43" s="4137">
        <f t="shared" si="42"/>
        <v>0</v>
      </c>
      <c r="AV43" s="5285"/>
      <c r="AW43" s="4135">
        <f t="shared" si="43"/>
        <v>268</v>
      </c>
      <c r="AX43" s="5428"/>
      <c r="AY43" s="4134">
        <f t="shared" si="44"/>
        <v>268</v>
      </c>
      <c r="AZ43" s="5428"/>
      <c r="BA43" s="4135">
        <f t="shared" si="7"/>
        <v>0</v>
      </c>
      <c r="BB43" s="5429"/>
      <c r="BC43" s="4133">
        <f t="shared" si="8"/>
        <v>268</v>
      </c>
      <c r="BD43" s="5428"/>
      <c r="BE43" s="4135">
        <f t="shared" si="9"/>
        <v>0</v>
      </c>
      <c r="BF43" s="5430"/>
      <c r="BG43" s="4132">
        <f t="shared" si="10"/>
        <v>268</v>
      </c>
      <c r="BH43" s="5428"/>
      <c r="BI43" s="4135">
        <f t="shared" si="11"/>
        <v>353.03800000000001</v>
      </c>
      <c r="BJ43" s="5430"/>
      <c r="BK43" s="4132">
        <f t="shared" si="12"/>
        <v>621.03800000000001</v>
      </c>
      <c r="BL43" s="5428"/>
      <c r="BM43" s="4135">
        <f t="shared" si="13"/>
        <v>114</v>
      </c>
      <c r="BN43" s="5428"/>
      <c r="BO43" s="4133">
        <f t="shared" si="14"/>
        <v>467.03800000000001</v>
      </c>
      <c r="BP43" s="5428"/>
      <c r="BQ43" s="4157">
        <f t="shared" si="15"/>
        <v>735.03800000000001</v>
      </c>
      <c r="BR43" s="5428"/>
      <c r="BS43" s="5428"/>
      <c r="BT43" s="5428"/>
      <c r="BU43" s="5428"/>
      <c r="BV43" s="5428"/>
      <c r="BW43" s="5428"/>
      <c r="BX43" s="5428"/>
      <c r="BY43" s="5428"/>
      <c r="BZ43" s="5428"/>
      <c r="CA43" s="5428"/>
      <c r="CB43" s="5428"/>
      <c r="CC43" s="5429"/>
      <c r="CD43" s="5428"/>
      <c r="CE43" s="5428"/>
      <c r="CF43" s="5428"/>
      <c r="CG43" s="5428"/>
      <c r="CH43" s="5428"/>
      <c r="CI43" s="5428"/>
      <c r="CJ43" s="5428"/>
      <c r="CK43" s="5428"/>
      <c r="CL43" s="5428"/>
      <c r="CM43" s="5428"/>
      <c r="CN43" s="5428"/>
      <c r="CO43" s="5428"/>
      <c r="CP43" s="5428"/>
      <c r="CQ43" s="5429"/>
      <c r="CR43" s="5428"/>
      <c r="CS43" s="5431"/>
      <c r="CT43" s="5430"/>
      <c r="CU43" s="5432"/>
      <c r="CV43" s="4159"/>
      <c r="CW43" s="4168"/>
    </row>
    <row r="44" spans="1:101" x14ac:dyDescent="0.25">
      <c r="A44" s="4191"/>
      <c r="B44" s="4191"/>
      <c r="C44" s="4191"/>
      <c r="D44" s="4191"/>
      <c r="E44" s="5041" t="s">
        <v>1210</v>
      </c>
      <c r="F44" s="4171"/>
      <c r="G44" s="4129">
        <v>7262</v>
      </c>
      <c r="H44" s="4129"/>
      <c r="I44" s="4178">
        <f t="shared" si="31"/>
        <v>7262</v>
      </c>
      <c r="J44" s="4129"/>
      <c r="K44" s="4129">
        <v>8141.0140000000001</v>
      </c>
      <c r="L44" s="4129"/>
      <c r="M44" s="4178">
        <f t="shared" si="32"/>
        <v>8141.0140000000001</v>
      </c>
      <c r="N44" s="4177">
        <f t="shared" si="33"/>
        <v>15403.013999999999</v>
      </c>
      <c r="O44" s="4125"/>
      <c r="P44" s="4125"/>
      <c r="Q44" s="4129"/>
      <c r="R44" s="4178"/>
      <c r="S44" s="4129"/>
      <c r="T44" s="4129"/>
      <c r="U44" s="4176"/>
      <c r="V44" s="4178"/>
      <c r="W44" s="4177"/>
      <c r="X44" s="4141">
        <f t="shared" si="34"/>
        <v>15403.013999999999</v>
      </c>
      <c r="Y44" s="4140"/>
      <c r="Z44" s="4129">
        <v>4524</v>
      </c>
      <c r="AA44" s="4129"/>
      <c r="AB44" s="4178">
        <f t="shared" si="0"/>
        <v>4524</v>
      </c>
      <c r="AC44" s="4129"/>
      <c r="AD44" s="4129"/>
      <c r="AE44" s="4129"/>
      <c r="AF44" s="4139">
        <f t="shared" si="35"/>
        <v>0</v>
      </c>
      <c r="AG44" s="4177">
        <f t="shared" si="36"/>
        <v>4524</v>
      </c>
      <c r="AH44" s="4125"/>
      <c r="AI44" s="4125"/>
      <c r="AJ44" s="4125"/>
      <c r="AK44" s="4178">
        <f t="shared" si="37"/>
        <v>0</v>
      </c>
      <c r="AL44" s="4129"/>
      <c r="AM44" s="4129"/>
      <c r="AN44" s="4176"/>
      <c r="AO44" s="4178">
        <f t="shared" si="38"/>
        <v>0</v>
      </c>
      <c r="AP44" s="4177">
        <f t="shared" si="39"/>
        <v>0</v>
      </c>
      <c r="AQ44" s="4138">
        <f t="shared" si="40"/>
        <v>4524</v>
      </c>
      <c r="AR44" s="4128">
        <f t="shared" si="41"/>
        <v>19927.013999999999</v>
      </c>
      <c r="AS44" s="4175"/>
      <c r="AT44" s="4131"/>
      <c r="AU44" s="4137">
        <f t="shared" si="42"/>
        <v>0</v>
      </c>
      <c r="AV44" s="5285"/>
      <c r="AW44" s="4135">
        <f t="shared" si="43"/>
        <v>11786</v>
      </c>
      <c r="AX44" s="5428"/>
      <c r="AY44" s="4134">
        <f t="shared" si="44"/>
        <v>11786</v>
      </c>
      <c r="AZ44" s="5428"/>
      <c r="BA44" s="4135">
        <f t="shared" si="7"/>
        <v>0</v>
      </c>
      <c r="BB44" s="5429"/>
      <c r="BC44" s="4133">
        <f t="shared" si="8"/>
        <v>11786</v>
      </c>
      <c r="BD44" s="5428"/>
      <c r="BE44" s="4135">
        <f t="shared" si="9"/>
        <v>0</v>
      </c>
      <c r="BF44" s="5430"/>
      <c r="BG44" s="4132">
        <f t="shared" si="10"/>
        <v>11786</v>
      </c>
      <c r="BH44" s="5428"/>
      <c r="BI44" s="4135">
        <f t="shared" si="11"/>
        <v>8141.0140000000001</v>
      </c>
      <c r="BJ44" s="5430"/>
      <c r="BK44" s="4132">
        <f t="shared" si="12"/>
        <v>19927.013999999999</v>
      </c>
      <c r="BL44" s="5428"/>
      <c r="BM44" s="4135">
        <f t="shared" si="13"/>
        <v>0</v>
      </c>
      <c r="BN44" s="5428"/>
      <c r="BO44" s="4133">
        <f t="shared" si="14"/>
        <v>8141.0140000000001</v>
      </c>
      <c r="BP44" s="5428"/>
      <c r="BQ44" s="4157">
        <f t="shared" si="15"/>
        <v>19927.013999999999</v>
      </c>
      <c r="BR44" s="5428"/>
      <c r="BS44" s="5428"/>
      <c r="BT44" s="5428"/>
      <c r="BU44" s="5428"/>
      <c r="BV44" s="5428"/>
      <c r="BW44" s="5428"/>
      <c r="BX44" s="5428"/>
      <c r="BY44" s="5428"/>
      <c r="BZ44" s="5428"/>
      <c r="CA44" s="5428"/>
      <c r="CB44" s="5428"/>
      <c r="CC44" s="5429"/>
      <c r="CD44" s="5428"/>
      <c r="CE44" s="5428"/>
      <c r="CF44" s="5428"/>
      <c r="CG44" s="5428"/>
      <c r="CH44" s="5428"/>
      <c r="CI44" s="5428"/>
      <c r="CJ44" s="5428"/>
      <c r="CK44" s="5428"/>
      <c r="CL44" s="5428"/>
      <c r="CM44" s="5428"/>
      <c r="CN44" s="5428"/>
      <c r="CO44" s="5428"/>
      <c r="CP44" s="5428"/>
      <c r="CQ44" s="5429"/>
      <c r="CR44" s="5428"/>
      <c r="CS44" s="5431"/>
      <c r="CT44" s="5430"/>
      <c r="CU44" s="5432"/>
      <c r="CV44" s="4159"/>
      <c r="CW44" s="4168"/>
    </row>
    <row r="45" spans="1:101" x14ac:dyDescent="0.25">
      <c r="A45" s="4191"/>
      <c r="B45" s="4191"/>
      <c r="C45" s="4191"/>
      <c r="D45" s="4191"/>
      <c r="E45" s="5041" t="s">
        <v>2149</v>
      </c>
      <c r="F45" s="4171"/>
      <c r="G45" s="4129"/>
      <c r="H45" s="4129">
        <v>1353</v>
      </c>
      <c r="I45" s="4178">
        <f t="shared" si="31"/>
        <v>1353</v>
      </c>
      <c r="J45" s="4129"/>
      <c r="K45" s="4129"/>
      <c r="L45" s="4129">
        <v>1543</v>
      </c>
      <c r="M45" s="4178">
        <f t="shared" si="32"/>
        <v>1543</v>
      </c>
      <c r="N45" s="4177">
        <f t="shared" si="33"/>
        <v>2896</v>
      </c>
      <c r="O45" s="4125"/>
      <c r="P45" s="4125"/>
      <c r="Q45" s="4129"/>
      <c r="R45" s="4178"/>
      <c r="S45" s="4129"/>
      <c r="T45" s="4129"/>
      <c r="U45" s="4176"/>
      <c r="V45" s="4178"/>
      <c r="W45" s="4177"/>
      <c r="X45" s="4141">
        <f t="shared" si="34"/>
        <v>2896</v>
      </c>
      <c r="Y45" s="4140"/>
      <c r="Z45" s="4129"/>
      <c r="AA45" s="4129">
        <v>2558</v>
      </c>
      <c r="AB45" s="4178">
        <f t="shared" si="0"/>
        <v>2558</v>
      </c>
      <c r="AC45" s="4129"/>
      <c r="AD45" s="4129"/>
      <c r="AE45" s="4129">
        <v>235</v>
      </c>
      <c r="AF45" s="4139">
        <f t="shared" si="35"/>
        <v>235</v>
      </c>
      <c r="AG45" s="4177">
        <f t="shared" si="36"/>
        <v>2793</v>
      </c>
      <c r="AH45" s="4125"/>
      <c r="AI45" s="4125"/>
      <c r="AJ45" s="4125"/>
      <c r="AK45" s="4178">
        <f t="shared" si="37"/>
        <v>0</v>
      </c>
      <c r="AL45" s="4129"/>
      <c r="AM45" s="4129"/>
      <c r="AN45" s="4176"/>
      <c r="AO45" s="4178">
        <f t="shared" si="38"/>
        <v>0</v>
      </c>
      <c r="AP45" s="4177">
        <f t="shared" si="39"/>
        <v>0</v>
      </c>
      <c r="AQ45" s="4138">
        <f t="shared" si="40"/>
        <v>2793</v>
      </c>
      <c r="AR45" s="4128">
        <f t="shared" si="41"/>
        <v>5689</v>
      </c>
      <c r="AS45" s="4175"/>
      <c r="AT45" s="4131"/>
      <c r="AU45" s="4137">
        <f t="shared" ref="AU45" si="69">+F45+Y45</f>
        <v>0</v>
      </c>
      <c r="AV45" s="5285"/>
      <c r="AW45" s="4135">
        <f t="shared" ref="AW45" si="70">+G45+Z45</f>
        <v>0</v>
      </c>
      <c r="AX45" s="5428"/>
      <c r="AY45" s="4134">
        <f t="shared" ref="AY45" si="71">AU45+AW45</f>
        <v>0</v>
      </c>
      <c r="AZ45" s="5428"/>
      <c r="BA45" s="4135">
        <f t="shared" ref="BA45" si="72">+H45+AA45</f>
        <v>3911</v>
      </c>
      <c r="BB45" s="5429"/>
      <c r="BC45" s="4133">
        <f t="shared" ref="BC45" si="73">AU45+AW45+BA45</f>
        <v>3911</v>
      </c>
      <c r="BD45" s="5428"/>
      <c r="BE45" s="4135">
        <f t="shared" si="9"/>
        <v>0</v>
      </c>
      <c r="BF45" s="5430"/>
      <c r="BG45" s="4132">
        <f t="shared" si="10"/>
        <v>3911</v>
      </c>
      <c r="BH45" s="5428"/>
      <c r="BI45" s="4135">
        <f t="shared" si="11"/>
        <v>0</v>
      </c>
      <c r="BJ45" s="5430"/>
      <c r="BK45" s="4132">
        <f t="shared" si="12"/>
        <v>3911</v>
      </c>
      <c r="BL45" s="5428"/>
      <c r="BM45" s="4135">
        <f t="shared" si="13"/>
        <v>1778</v>
      </c>
      <c r="BN45" s="5428"/>
      <c r="BO45" s="4133">
        <f t="shared" si="14"/>
        <v>1778</v>
      </c>
      <c r="BP45" s="5428"/>
      <c r="BQ45" s="4157">
        <f t="shared" si="15"/>
        <v>5689</v>
      </c>
      <c r="BR45" s="5428"/>
      <c r="BS45" s="5428"/>
      <c r="BT45" s="5428"/>
      <c r="BU45" s="5428"/>
      <c r="BV45" s="5428"/>
      <c r="BW45" s="5428"/>
      <c r="BX45" s="5428"/>
      <c r="BY45" s="5428"/>
      <c r="BZ45" s="5428"/>
      <c r="CA45" s="5428"/>
      <c r="CB45" s="5428"/>
      <c r="CC45" s="5429"/>
      <c r="CD45" s="5428"/>
      <c r="CE45" s="5428"/>
      <c r="CF45" s="5428"/>
      <c r="CG45" s="5428"/>
      <c r="CH45" s="5428"/>
      <c r="CI45" s="5428"/>
      <c r="CJ45" s="5428"/>
      <c r="CK45" s="5428"/>
      <c r="CL45" s="5428"/>
      <c r="CM45" s="5428"/>
      <c r="CN45" s="5428"/>
      <c r="CO45" s="5428"/>
      <c r="CP45" s="5428"/>
      <c r="CQ45" s="5429"/>
      <c r="CR45" s="5428"/>
      <c r="CS45" s="5431"/>
      <c r="CT45" s="5430"/>
      <c r="CU45" s="5432"/>
      <c r="CV45" s="4159"/>
      <c r="CW45" s="4168"/>
    </row>
    <row r="46" spans="1:101" x14ac:dyDescent="0.25">
      <c r="A46" s="4191"/>
      <c r="B46" s="4191"/>
      <c r="C46" s="4191"/>
      <c r="D46" s="4191"/>
      <c r="E46" s="5041" t="s">
        <v>1994</v>
      </c>
      <c r="F46" s="4171">
        <v>252</v>
      </c>
      <c r="G46" s="4129">
        <v>742</v>
      </c>
      <c r="H46" s="4129">
        <v>129</v>
      </c>
      <c r="I46" s="4178">
        <f t="shared" si="31"/>
        <v>1123</v>
      </c>
      <c r="J46" s="4129">
        <v>609</v>
      </c>
      <c r="K46" s="4129">
        <v>395.31799999999998</v>
      </c>
      <c r="L46" s="4129">
        <v>2442</v>
      </c>
      <c r="M46" s="4178">
        <f t="shared" si="32"/>
        <v>3446.3180000000002</v>
      </c>
      <c r="N46" s="4177">
        <f t="shared" si="33"/>
        <v>4569.3180000000002</v>
      </c>
      <c r="O46" s="4125"/>
      <c r="P46" s="4125"/>
      <c r="Q46" s="4129"/>
      <c r="R46" s="4178"/>
      <c r="S46" s="4129"/>
      <c r="T46" s="4129"/>
      <c r="U46" s="4176"/>
      <c r="V46" s="4178"/>
      <c r="W46" s="4177"/>
      <c r="X46" s="4141">
        <f t="shared" si="34"/>
        <v>4569.3180000000002</v>
      </c>
      <c r="Y46" s="4140">
        <v>4</v>
      </c>
      <c r="Z46" s="4129">
        <v>8</v>
      </c>
      <c r="AA46" s="4129">
        <v>2</v>
      </c>
      <c r="AB46" s="4178">
        <f t="shared" si="0"/>
        <v>14</v>
      </c>
      <c r="AC46" s="4129">
        <v>76</v>
      </c>
      <c r="AD46" s="4129">
        <v>14.798</v>
      </c>
      <c r="AE46" s="4129">
        <v>2913</v>
      </c>
      <c r="AF46" s="4139">
        <f t="shared" si="35"/>
        <v>3003.7979999999998</v>
      </c>
      <c r="AG46" s="4177">
        <f t="shared" si="36"/>
        <v>3017.7979999999998</v>
      </c>
      <c r="AH46" s="4125"/>
      <c r="AI46" s="4125"/>
      <c r="AJ46" s="4125"/>
      <c r="AK46" s="4178">
        <f t="shared" si="37"/>
        <v>0</v>
      </c>
      <c r="AL46" s="4129"/>
      <c r="AM46" s="4129"/>
      <c r="AN46" s="4176"/>
      <c r="AO46" s="4178">
        <f t="shared" si="38"/>
        <v>0</v>
      </c>
      <c r="AP46" s="4177">
        <f t="shared" si="39"/>
        <v>0</v>
      </c>
      <c r="AQ46" s="4138">
        <f t="shared" si="40"/>
        <v>3017.7979999999998</v>
      </c>
      <c r="AR46" s="4128">
        <f t="shared" si="41"/>
        <v>7587.116</v>
      </c>
      <c r="AS46" s="4175"/>
      <c r="AT46" s="4131"/>
      <c r="AU46" s="4137">
        <f t="shared" si="42"/>
        <v>256</v>
      </c>
      <c r="AV46" s="4136"/>
      <c r="AW46" s="4135">
        <f t="shared" si="43"/>
        <v>750</v>
      </c>
      <c r="AX46" s="4134"/>
      <c r="AY46" s="4134">
        <f t="shared" si="44"/>
        <v>1006</v>
      </c>
      <c r="AZ46" s="4134"/>
      <c r="BA46" s="4135">
        <f t="shared" si="7"/>
        <v>131</v>
      </c>
      <c r="BB46" s="4133"/>
      <c r="BC46" s="4133">
        <f t="shared" si="8"/>
        <v>1137</v>
      </c>
      <c r="BD46" s="4134"/>
      <c r="BE46" s="4135">
        <f t="shared" si="9"/>
        <v>685</v>
      </c>
      <c r="BF46" s="4132"/>
      <c r="BG46" s="4132">
        <f t="shared" si="10"/>
        <v>1822</v>
      </c>
      <c r="BH46" s="4134"/>
      <c r="BI46" s="4135">
        <f t="shared" si="11"/>
        <v>410.11599999999999</v>
      </c>
      <c r="BJ46" s="4132"/>
      <c r="BK46" s="4132">
        <f t="shared" si="12"/>
        <v>2232.116</v>
      </c>
      <c r="BL46" s="4134"/>
      <c r="BM46" s="4135">
        <f t="shared" si="13"/>
        <v>5355</v>
      </c>
      <c r="BN46" s="4134"/>
      <c r="BO46" s="4133">
        <f t="shared" si="14"/>
        <v>6450.116</v>
      </c>
      <c r="BP46" s="4134"/>
      <c r="BQ46" s="4157">
        <f t="shared" si="15"/>
        <v>7587.116</v>
      </c>
      <c r="BR46" s="4134"/>
      <c r="BS46" s="4135">
        <f t="shared" si="16"/>
        <v>0</v>
      </c>
      <c r="BT46" s="4134"/>
      <c r="BU46" s="4134">
        <f t="shared" si="17"/>
        <v>7587.116</v>
      </c>
      <c r="BV46" s="4134"/>
      <c r="BW46" s="4135">
        <f t="shared" si="18"/>
        <v>0</v>
      </c>
      <c r="BX46" s="4134"/>
      <c r="BY46" s="4134">
        <f t="shared" si="19"/>
        <v>7587.116</v>
      </c>
      <c r="BZ46" s="4134"/>
      <c r="CA46" s="4135">
        <f t="shared" si="20"/>
        <v>0</v>
      </c>
      <c r="CB46" s="4134"/>
      <c r="CC46" s="4133">
        <f t="shared" si="21"/>
        <v>0</v>
      </c>
      <c r="CD46" s="4134"/>
      <c r="CE46" s="4134">
        <f t="shared" si="22"/>
        <v>7587.116</v>
      </c>
      <c r="CF46" s="4134"/>
      <c r="CG46" s="4135">
        <f t="shared" si="23"/>
        <v>0</v>
      </c>
      <c r="CH46" s="4134"/>
      <c r="CI46" s="4134">
        <f t="shared" si="24"/>
        <v>7587.116</v>
      </c>
      <c r="CJ46" s="4134"/>
      <c r="CK46" s="4135">
        <f t="shared" si="25"/>
        <v>0</v>
      </c>
      <c r="CL46" s="4134"/>
      <c r="CM46" s="4134">
        <f t="shared" si="26"/>
        <v>7587.116</v>
      </c>
      <c r="CN46" s="4134"/>
      <c r="CO46" s="4135">
        <f t="shared" si="27"/>
        <v>0</v>
      </c>
      <c r="CP46" s="4134"/>
      <c r="CQ46" s="4133">
        <f t="shared" si="28"/>
        <v>0</v>
      </c>
      <c r="CR46" s="4134"/>
      <c r="CS46" s="4157">
        <f t="shared" si="29"/>
        <v>0</v>
      </c>
      <c r="CT46" s="4132"/>
      <c r="CU46" s="4160">
        <f t="shared" si="30"/>
        <v>7587.116</v>
      </c>
      <c r="CV46" s="4159"/>
      <c r="CW46" s="4168"/>
    </row>
    <row r="47" spans="1:101" x14ac:dyDescent="0.25">
      <c r="A47" s="4191"/>
      <c r="B47" s="4191"/>
      <c r="C47" s="4191"/>
      <c r="D47" s="4191"/>
      <c r="E47" s="5041" t="s">
        <v>1212</v>
      </c>
      <c r="F47" s="4171">
        <v>9177</v>
      </c>
      <c r="G47" s="4129">
        <v>13971</v>
      </c>
      <c r="H47" s="4129">
        <v>11908</v>
      </c>
      <c r="I47" s="4178">
        <f t="shared" si="31"/>
        <v>35056</v>
      </c>
      <c r="J47" s="4129">
        <v>16145</v>
      </c>
      <c r="K47" s="4129">
        <v>10838.477999999999</v>
      </c>
      <c r="L47" s="4129">
        <v>13202</v>
      </c>
      <c r="M47" s="4178">
        <f t="shared" si="32"/>
        <v>40185.478000000003</v>
      </c>
      <c r="N47" s="4177">
        <f t="shared" si="33"/>
        <v>75241.478000000003</v>
      </c>
      <c r="O47" s="4125"/>
      <c r="P47" s="4125"/>
      <c r="Q47" s="4129"/>
      <c r="R47" s="4178"/>
      <c r="S47" s="4129"/>
      <c r="T47" s="4129"/>
      <c r="U47" s="4176"/>
      <c r="V47" s="4178"/>
      <c r="W47" s="4177"/>
      <c r="X47" s="4141">
        <f t="shared" si="34"/>
        <v>75241.478000000003</v>
      </c>
      <c r="Y47" s="4140">
        <v>6023</v>
      </c>
      <c r="Z47" s="4129">
        <v>3397</v>
      </c>
      <c r="AA47" s="4129">
        <v>941</v>
      </c>
      <c r="AB47" s="4178">
        <f t="shared" si="0"/>
        <v>10361</v>
      </c>
      <c r="AC47" s="4129">
        <v>2372</v>
      </c>
      <c r="AD47" s="4129">
        <v>3259.788</v>
      </c>
      <c r="AE47" s="4129">
        <v>3979</v>
      </c>
      <c r="AF47" s="4139">
        <f t="shared" si="35"/>
        <v>9610.7880000000005</v>
      </c>
      <c r="AG47" s="4177">
        <f t="shared" si="36"/>
        <v>19971.788</v>
      </c>
      <c r="AH47" s="4125"/>
      <c r="AI47" s="4125"/>
      <c r="AJ47" s="4125"/>
      <c r="AK47" s="4178">
        <f t="shared" si="37"/>
        <v>0</v>
      </c>
      <c r="AL47" s="4129"/>
      <c r="AM47" s="4129"/>
      <c r="AN47" s="4176"/>
      <c r="AO47" s="4178">
        <f t="shared" si="38"/>
        <v>0</v>
      </c>
      <c r="AP47" s="4177">
        <f t="shared" si="39"/>
        <v>0</v>
      </c>
      <c r="AQ47" s="4138">
        <f t="shared" si="40"/>
        <v>19971.788</v>
      </c>
      <c r="AR47" s="4128">
        <f t="shared" si="41"/>
        <v>95213.266000000003</v>
      </c>
      <c r="AS47" s="4175"/>
      <c r="AT47" s="4131"/>
      <c r="AU47" s="4137">
        <f t="shared" si="42"/>
        <v>15200</v>
      </c>
      <c r="AV47" s="4136"/>
      <c r="AW47" s="4135">
        <f t="shared" si="43"/>
        <v>17368</v>
      </c>
      <c r="AX47" s="4134"/>
      <c r="AY47" s="4134">
        <f t="shared" si="44"/>
        <v>32568</v>
      </c>
      <c r="AZ47" s="4134"/>
      <c r="BA47" s="4135">
        <f t="shared" si="7"/>
        <v>12849</v>
      </c>
      <c r="BB47" s="4133"/>
      <c r="BC47" s="4133">
        <f t="shared" si="8"/>
        <v>45417</v>
      </c>
      <c r="BD47" s="4134"/>
      <c r="BE47" s="4135">
        <f t="shared" si="9"/>
        <v>18517</v>
      </c>
      <c r="BF47" s="4132"/>
      <c r="BG47" s="4132">
        <f t="shared" si="10"/>
        <v>63934</v>
      </c>
      <c r="BH47" s="4134"/>
      <c r="BI47" s="4135">
        <f t="shared" si="11"/>
        <v>14098.266</v>
      </c>
      <c r="BJ47" s="4132"/>
      <c r="BK47" s="4132">
        <f t="shared" si="12"/>
        <v>78032.266000000003</v>
      </c>
      <c r="BL47" s="4134"/>
      <c r="BM47" s="4135">
        <f t="shared" si="13"/>
        <v>17181</v>
      </c>
      <c r="BN47" s="4134"/>
      <c r="BO47" s="4133">
        <f t="shared" si="14"/>
        <v>49796.266000000003</v>
      </c>
      <c r="BP47" s="4134"/>
      <c r="BQ47" s="4157">
        <f t="shared" si="15"/>
        <v>95213.266000000003</v>
      </c>
      <c r="BR47" s="4134"/>
      <c r="BS47" s="4135">
        <f t="shared" si="16"/>
        <v>0</v>
      </c>
      <c r="BT47" s="4134"/>
      <c r="BU47" s="4134">
        <f t="shared" si="17"/>
        <v>95213.266000000003</v>
      </c>
      <c r="BV47" s="4134"/>
      <c r="BW47" s="4135">
        <f t="shared" si="18"/>
        <v>0</v>
      </c>
      <c r="BX47" s="4134"/>
      <c r="BY47" s="4134">
        <f t="shared" si="19"/>
        <v>95213.266000000003</v>
      </c>
      <c r="BZ47" s="4134"/>
      <c r="CA47" s="4135">
        <f t="shared" si="20"/>
        <v>0</v>
      </c>
      <c r="CB47" s="4134"/>
      <c r="CC47" s="4133">
        <f t="shared" si="21"/>
        <v>0</v>
      </c>
      <c r="CD47" s="4134"/>
      <c r="CE47" s="4134">
        <f t="shared" si="22"/>
        <v>95213.266000000003</v>
      </c>
      <c r="CF47" s="4134"/>
      <c r="CG47" s="4135">
        <f t="shared" si="23"/>
        <v>0</v>
      </c>
      <c r="CH47" s="4134"/>
      <c r="CI47" s="4134">
        <f t="shared" si="24"/>
        <v>95213.266000000003</v>
      </c>
      <c r="CJ47" s="4134"/>
      <c r="CK47" s="4135">
        <f t="shared" si="25"/>
        <v>0</v>
      </c>
      <c r="CL47" s="4134"/>
      <c r="CM47" s="4134">
        <f t="shared" si="26"/>
        <v>95213.266000000003</v>
      </c>
      <c r="CN47" s="4134"/>
      <c r="CO47" s="4135">
        <f t="shared" si="27"/>
        <v>0</v>
      </c>
      <c r="CP47" s="4134"/>
      <c r="CQ47" s="4133">
        <f t="shared" si="28"/>
        <v>0</v>
      </c>
      <c r="CR47" s="4134"/>
      <c r="CS47" s="4157">
        <f t="shared" si="29"/>
        <v>0</v>
      </c>
      <c r="CT47" s="4132"/>
      <c r="CU47" s="4160">
        <f t="shared" si="30"/>
        <v>95213.266000000003</v>
      </c>
      <c r="CV47" s="4159"/>
      <c r="CW47" s="4168"/>
    </row>
    <row r="48" spans="1:101" x14ac:dyDescent="0.25">
      <c r="A48" s="4191"/>
      <c r="B48" s="4191"/>
      <c r="C48" s="4191"/>
      <c r="D48" s="4191"/>
      <c r="E48" s="4179" t="s">
        <v>2151</v>
      </c>
      <c r="F48" s="4171">
        <v>0</v>
      </c>
      <c r="G48" s="4129">
        <v>156</v>
      </c>
      <c r="H48" s="4129">
        <v>16383</v>
      </c>
      <c r="I48" s="4178">
        <f t="shared" si="31"/>
        <v>16539</v>
      </c>
      <c r="J48" s="4129">
        <v>9401</v>
      </c>
      <c r="K48" s="4129">
        <v>150.09399999999999</v>
      </c>
      <c r="L48" s="4129"/>
      <c r="M48" s="4178">
        <f t="shared" si="32"/>
        <v>9551.0939999999991</v>
      </c>
      <c r="N48" s="4177">
        <f t="shared" si="33"/>
        <v>26090.093999999997</v>
      </c>
      <c r="O48" s="4125"/>
      <c r="P48" s="4125"/>
      <c r="Q48" s="4129"/>
      <c r="R48" s="4178"/>
      <c r="S48" s="4129"/>
      <c r="T48" s="4129"/>
      <c r="U48" s="4176"/>
      <c r="V48" s="4178"/>
      <c r="W48" s="4177"/>
      <c r="X48" s="4141">
        <f t="shared" si="34"/>
        <v>26090.093999999997</v>
      </c>
      <c r="Y48" s="4140">
        <v>70271</v>
      </c>
      <c r="Z48" s="4129">
        <v>81649</v>
      </c>
      <c r="AA48" s="4129">
        <v>80983</v>
      </c>
      <c r="AB48" s="4178">
        <f t="shared" si="0"/>
        <v>232903</v>
      </c>
      <c r="AC48" s="4129">
        <v>91217</v>
      </c>
      <c r="AD48" s="4129">
        <v>79737.966</v>
      </c>
      <c r="AE48" s="4129">
        <v>79038</v>
      </c>
      <c r="AF48" s="4139">
        <f t="shared" si="35"/>
        <v>249992.96600000001</v>
      </c>
      <c r="AG48" s="4177">
        <f t="shared" si="36"/>
        <v>482895.96600000001</v>
      </c>
      <c r="AH48" s="4125"/>
      <c r="AI48" s="4125"/>
      <c r="AJ48" s="4125"/>
      <c r="AK48" s="4178">
        <f t="shared" si="37"/>
        <v>0</v>
      </c>
      <c r="AL48" s="4129"/>
      <c r="AM48" s="4129"/>
      <c r="AN48" s="4176"/>
      <c r="AO48" s="4178">
        <f t="shared" si="38"/>
        <v>0</v>
      </c>
      <c r="AP48" s="4177">
        <f t="shared" si="39"/>
        <v>0</v>
      </c>
      <c r="AQ48" s="4138">
        <f t="shared" si="40"/>
        <v>482895.96600000001</v>
      </c>
      <c r="AR48" s="4128">
        <f t="shared" si="41"/>
        <v>508986.06</v>
      </c>
      <c r="AS48" s="4175"/>
      <c r="AT48" s="4131"/>
      <c r="AU48" s="4137">
        <f t="shared" si="42"/>
        <v>70271</v>
      </c>
      <c r="AV48" s="4136"/>
      <c r="AW48" s="4135">
        <f t="shared" si="43"/>
        <v>81805</v>
      </c>
      <c r="AX48" s="4134"/>
      <c r="AY48" s="4134">
        <f t="shared" si="44"/>
        <v>152076</v>
      </c>
      <c r="AZ48" s="4134"/>
      <c r="BA48" s="4135">
        <f t="shared" si="7"/>
        <v>97366</v>
      </c>
      <c r="BB48" s="4133"/>
      <c r="BC48" s="4133">
        <f t="shared" si="8"/>
        <v>249442</v>
      </c>
      <c r="BD48" s="4134"/>
      <c r="BE48" s="4135">
        <f t="shared" si="9"/>
        <v>100618</v>
      </c>
      <c r="BF48" s="4132"/>
      <c r="BG48" s="4132">
        <f t="shared" si="10"/>
        <v>350060</v>
      </c>
      <c r="BH48" s="4134"/>
      <c r="BI48" s="4135">
        <f t="shared" si="11"/>
        <v>79888.06</v>
      </c>
      <c r="BJ48" s="4132"/>
      <c r="BK48" s="4132">
        <f t="shared" si="12"/>
        <v>429948.06</v>
      </c>
      <c r="BL48" s="4134"/>
      <c r="BM48" s="4135">
        <f t="shared" si="13"/>
        <v>79038</v>
      </c>
      <c r="BN48" s="4134"/>
      <c r="BO48" s="4133">
        <f t="shared" si="14"/>
        <v>259544.06</v>
      </c>
      <c r="BP48" s="4134"/>
      <c r="BQ48" s="4157">
        <f t="shared" si="15"/>
        <v>508986.06</v>
      </c>
      <c r="BR48" s="4134"/>
      <c r="BS48" s="4135">
        <f t="shared" si="16"/>
        <v>0</v>
      </c>
      <c r="BT48" s="4134"/>
      <c r="BU48" s="4134">
        <f t="shared" si="17"/>
        <v>508986.06</v>
      </c>
      <c r="BV48" s="4134"/>
      <c r="BW48" s="4135">
        <f t="shared" si="18"/>
        <v>0</v>
      </c>
      <c r="BX48" s="4134"/>
      <c r="BY48" s="4134">
        <f t="shared" si="19"/>
        <v>508986.06</v>
      </c>
      <c r="BZ48" s="4134"/>
      <c r="CA48" s="4135">
        <f t="shared" si="20"/>
        <v>0</v>
      </c>
      <c r="CB48" s="4134"/>
      <c r="CC48" s="4133">
        <f t="shared" si="21"/>
        <v>0</v>
      </c>
      <c r="CD48" s="4134"/>
      <c r="CE48" s="4134">
        <f t="shared" si="22"/>
        <v>508986.06</v>
      </c>
      <c r="CF48" s="4134"/>
      <c r="CG48" s="4135">
        <f t="shared" si="23"/>
        <v>0</v>
      </c>
      <c r="CH48" s="4134"/>
      <c r="CI48" s="4134">
        <f t="shared" si="24"/>
        <v>508986.06</v>
      </c>
      <c r="CJ48" s="4134"/>
      <c r="CK48" s="4135">
        <f t="shared" si="25"/>
        <v>0</v>
      </c>
      <c r="CL48" s="4134"/>
      <c r="CM48" s="4134">
        <f t="shared" si="26"/>
        <v>508986.06</v>
      </c>
      <c r="CN48" s="4134"/>
      <c r="CO48" s="4135">
        <f t="shared" si="27"/>
        <v>0</v>
      </c>
      <c r="CP48" s="4134"/>
      <c r="CQ48" s="4133">
        <f t="shared" si="28"/>
        <v>0</v>
      </c>
      <c r="CR48" s="4134"/>
      <c r="CS48" s="4157">
        <f t="shared" si="29"/>
        <v>0</v>
      </c>
      <c r="CT48" s="4132"/>
      <c r="CU48" s="4160">
        <f t="shared" si="30"/>
        <v>508986.06</v>
      </c>
      <c r="CV48" s="4159"/>
      <c r="CW48" s="4168"/>
    </row>
    <row r="49" spans="1:105" x14ac:dyDescent="0.25">
      <c r="A49" s="4191"/>
      <c r="B49" s="4191"/>
      <c r="C49" s="4191"/>
      <c r="D49" s="4191"/>
      <c r="E49" s="4179" t="s">
        <v>2152</v>
      </c>
      <c r="F49" s="4171">
        <v>1812</v>
      </c>
      <c r="G49" s="4129">
        <v>888</v>
      </c>
      <c r="H49" s="4129">
        <v>1068</v>
      </c>
      <c r="I49" s="4178">
        <f t="shared" si="31"/>
        <v>3768</v>
      </c>
      <c r="J49" s="4129">
        <v>1241</v>
      </c>
      <c r="K49" s="4129">
        <v>932.274</v>
      </c>
      <c r="L49" s="4129">
        <v>1486</v>
      </c>
      <c r="M49" s="4178">
        <f t="shared" si="32"/>
        <v>3659.2739999999999</v>
      </c>
      <c r="N49" s="4177">
        <f t="shared" si="33"/>
        <v>7427.2739999999994</v>
      </c>
      <c r="O49" s="4125"/>
      <c r="P49" s="4125"/>
      <c r="Q49" s="4129"/>
      <c r="R49" s="4178"/>
      <c r="S49" s="4129"/>
      <c r="T49" s="4129"/>
      <c r="U49" s="4176"/>
      <c r="V49" s="4178"/>
      <c r="W49" s="4177"/>
      <c r="X49" s="4141">
        <f t="shared" si="34"/>
        <v>7427.2739999999994</v>
      </c>
      <c r="Y49" s="4140">
        <v>1378</v>
      </c>
      <c r="Z49" s="4129">
        <v>543</v>
      </c>
      <c r="AA49" s="4129">
        <v>1824</v>
      </c>
      <c r="AB49" s="4178">
        <f t="shared" si="0"/>
        <v>3745</v>
      </c>
      <c r="AC49" s="4129">
        <v>152</v>
      </c>
      <c r="AD49" s="4129">
        <v>1295.8820000000001</v>
      </c>
      <c r="AE49" s="4129">
        <v>2106</v>
      </c>
      <c r="AF49" s="4139">
        <f t="shared" si="35"/>
        <v>3553.8820000000001</v>
      </c>
      <c r="AG49" s="4177">
        <f t="shared" si="36"/>
        <v>7298.8819999999996</v>
      </c>
      <c r="AH49" s="4125"/>
      <c r="AI49" s="4125"/>
      <c r="AJ49" s="4125"/>
      <c r="AK49" s="4178">
        <f t="shared" si="37"/>
        <v>0</v>
      </c>
      <c r="AL49" s="4129"/>
      <c r="AM49" s="4129"/>
      <c r="AN49" s="4176"/>
      <c r="AO49" s="4178">
        <f t="shared" si="38"/>
        <v>0</v>
      </c>
      <c r="AP49" s="4177">
        <f t="shared" si="39"/>
        <v>0</v>
      </c>
      <c r="AQ49" s="4138">
        <f t="shared" si="40"/>
        <v>7298.8819999999996</v>
      </c>
      <c r="AR49" s="4128">
        <f t="shared" si="41"/>
        <v>14726.155999999999</v>
      </c>
      <c r="AS49" s="4175"/>
      <c r="AT49" s="4131"/>
      <c r="AU49" s="4137">
        <f t="shared" si="42"/>
        <v>3190</v>
      </c>
      <c r="AV49" s="4136"/>
      <c r="AW49" s="4135">
        <f t="shared" si="43"/>
        <v>1431</v>
      </c>
      <c r="AX49" s="4134"/>
      <c r="AY49" s="4134">
        <f t="shared" si="44"/>
        <v>4621</v>
      </c>
      <c r="AZ49" s="4134"/>
      <c r="BA49" s="4135">
        <f t="shared" si="7"/>
        <v>2892</v>
      </c>
      <c r="BB49" s="4133"/>
      <c r="BC49" s="4133">
        <f t="shared" si="8"/>
        <v>7513</v>
      </c>
      <c r="BD49" s="4134"/>
      <c r="BE49" s="4135">
        <f t="shared" si="9"/>
        <v>1393</v>
      </c>
      <c r="BF49" s="4132"/>
      <c r="BG49" s="4132">
        <f t="shared" si="10"/>
        <v>8906</v>
      </c>
      <c r="BH49" s="4134"/>
      <c r="BI49" s="4135">
        <f t="shared" si="11"/>
        <v>2228.1559999999999</v>
      </c>
      <c r="BJ49" s="4132"/>
      <c r="BK49" s="4132">
        <f t="shared" si="12"/>
        <v>11134.155999999999</v>
      </c>
      <c r="BL49" s="4134"/>
      <c r="BM49" s="4135">
        <f t="shared" si="13"/>
        <v>3592</v>
      </c>
      <c r="BN49" s="4134"/>
      <c r="BO49" s="4133">
        <f t="shared" si="14"/>
        <v>7213.1559999999999</v>
      </c>
      <c r="BP49" s="4134"/>
      <c r="BQ49" s="4157">
        <f t="shared" si="15"/>
        <v>14726.155999999999</v>
      </c>
      <c r="BR49" s="4134"/>
      <c r="BS49" s="4135">
        <f t="shared" si="16"/>
        <v>0</v>
      </c>
      <c r="BT49" s="4134"/>
      <c r="BU49" s="4134">
        <f t="shared" si="17"/>
        <v>14726.155999999999</v>
      </c>
      <c r="BV49" s="4134"/>
      <c r="BW49" s="4135">
        <f t="shared" si="18"/>
        <v>0</v>
      </c>
      <c r="BX49" s="4134"/>
      <c r="BY49" s="4134">
        <f t="shared" si="19"/>
        <v>14726.155999999999</v>
      </c>
      <c r="BZ49" s="4134"/>
      <c r="CA49" s="4135">
        <f t="shared" si="20"/>
        <v>0</v>
      </c>
      <c r="CB49" s="4134"/>
      <c r="CC49" s="4133">
        <f t="shared" si="21"/>
        <v>0</v>
      </c>
      <c r="CD49" s="4134"/>
      <c r="CE49" s="4134">
        <f t="shared" si="22"/>
        <v>14726.155999999999</v>
      </c>
      <c r="CF49" s="4134"/>
      <c r="CG49" s="4135">
        <f t="shared" si="23"/>
        <v>0</v>
      </c>
      <c r="CH49" s="4134"/>
      <c r="CI49" s="4134">
        <f t="shared" si="24"/>
        <v>14726.155999999999</v>
      </c>
      <c r="CJ49" s="4134"/>
      <c r="CK49" s="4135">
        <f t="shared" si="25"/>
        <v>0</v>
      </c>
      <c r="CL49" s="4134"/>
      <c r="CM49" s="4134">
        <f t="shared" si="26"/>
        <v>14726.155999999999</v>
      </c>
      <c r="CN49" s="4134"/>
      <c r="CO49" s="4135">
        <f t="shared" si="27"/>
        <v>0</v>
      </c>
      <c r="CP49" s="4134"/>
      <c r="CQ49" s="4133">
        <f t="shared" si="28"/>
        <v>0</v>
      </c>
      <c r="CR49" s="4134"/>
      <c r="CS49" s="4157">
        <f t="shared" si="29"/>
        <v>0</v>
      </c>
      <c r="CT49" s="4132"/>
      <c r="CU49" s="4160">
        <f t="shared" si="30"/>
        <v>14726.155999999999</v>
      </c>
      <c r="CV49" s="4159"/>
      <c r="CW49" s="4168"/>
    </row>
    <row r="50" spans="1:105" x14ac:dyDescent="0.25">
      <c r="A50" s="4191"/>
      <c r="B50" s="4191"/>
      <c r="C50" s="4191"/>
      <c r="D50" s="4191"/>
      <c r="E50" s="4179" t="s">
        <v>1430</v>
      </c>
      <c r="F50" s="4171"/>
      <c r="G50" s="4129"/>
      <c r="H50" s="4129">
        <v>336</v>
      </c>
      <c r="I50" s="4178">
        <f t="shared" si="31"/>
        <v>336</v>
      </c>
      <c r="J50" s="4129"/>
      <c r="K50" s="4129"/>
      <c r="L50" s="4129"/>
      <c r="M50" s="4178">
        <f t="shared" si="32"/>
        <v>0</v>
      </c>
      <c r="N50" s="4177">
        <f t="shared" si="33"/>
        <v>336</v>
      </c>
      <c r="O50" s="4125"/>
      <c r="P50" s="4125"/>
      <c r="Q50" s="4129"/>
      <c r="R50" s="4178"/>
      <c r="S50" s="4129"/>
      <c r="T50" s="4129"/>
      <c r="U50" s="4176"/>
      <c r="V50" s="4178"/>
      <c r="W50" s="4177"/>
      <c r="X50" s="4141">
        <f t="shared" si="34"/>
        <v>336</v>
      </c>
      <c r="Y50" s="4140"/>
      <c r="Z50" s="4129"/>
      <c r="AA50" s="4129">
        <v>1209</v>
      </c>
      <c r="AB50" s="4178">
        <f t="shared" si="0"/>
        <v>1209</v>
      </c>
      <c r="AC50" s="4129">
        <v>211</v>
      </c>
      <c r="AD50" s="4129">
        <v>205.05799999999999</v>
      </c>
      <c r="AE50" s="4129"/>
      <c r="AF50" s="4139">
        <f t="shared" si="35"/>
        <v>416.05799999999999</v>
      </c>
      <c r="AG50" s="4177">
        <f t="shared" si="36"/>
        <v>1625.058</v>
      </c>
      <c r="AH50" s="4125"/>
      <c r="AI50" s="4125"/>
      <c r="AJ50" s="4125"/>
      <c r="AK50" s="4178">
        <f t="shared" si="37"/>
        <v>0</v>
      </c>
      <c r="AL50" s="4129"/>
      <c r="AM50" s="4129"/>
      <c r="AN50" s="4176"/>
      <c r="AO50" s="4178">
        <f t="shared" si="38"/>
        <v>0</v>
      </c>
      <c r="AP50" s="4177">
        <f t="shared" si="39"/>
        <v>0</v>
      </c>
      <c r="AQ50" s="4138">
        <f t="shared" si="40"/>
        <v>1625.058</v>
      </c>
      <c r="AR50" s="4128">
        <f t="shared" si="41"/>
        <v>1961.058</v>
      </c>
      <c r="AS50" s="4175"/>
      <c r="AT50" s="4131"/>
      <c r="AU50" s="4137">
        <f t="shared" ref="AU50" si="74">+F50+Y50</f>
        <v>0</v>
      </c>
      <c r="AV50" s="4136"/>
      <c r="AW50" s="4135">
        <f t="shared" ref="AW50" si="75">+G50+Z50</f>
        <v>0</v>
      </c>
      <c r="AX50" s="4134"/>
      <c r="AY50" s="4134">
        <f t="shared" ref="AY50" si="76">AU50+AW50</f>
        <v>0</v>
      </c>
      <c r="AZ50" s="4134"/>
      <c r="BA50" s="4135">
        <f t="shared" ref="BA50" si="77">+H50+AA50</f>
        <v>1545</v>
      </c>
      <c r="BB50" s="4133"/>
      <c r="BC50" s="4133">
        <f t="shared" ref="BC50" si="78">AU50+AW50+BA50</f>
        <v>1545</v>
      </c>
      <c r="BD50" s="4134"/>
      <c r="BE50" s="4135">
        <f t="shared" si="9"/>
        <v>211</v>
      </c>
      <c r="BF50" s="4132"/>
      <c r="BG50" s="4132">
        <f t="shared" si="10"/>
        <v>1756</v>
      </c>
      <c r="BH50" s="4134"/>
      <c r="BI50" s="4135">
        <f t="shared" si="11"/>
        <v>205.05799999999999</v>
      </c>
      <c r="BJ50" s="4132"/>
      <c r="BK50" s="4132">
        <f t="shared" si="12"/>
        <v>1961.058</v>
      </c>
      <c r="BL50" s="4134"/>
      <c r="BM50" s="4135">
        <f t="shared" si="13"/>
        <v>0</v>
      </c>
      <c r="BN50" s="4134"/>
      <c r="BO50" s="4133">
        <f t="shared" si="14"/>
        <v>416.05799999999999</v>
      </c>
      <c r="BP50" s="4134"/>
      <c r="BQ50" s="4157">
        <f t="shared" si="15"/>
        <v>1961.058</v>
      </c>
      <c r="BR50" s="4134"/>
      <c r="BS50" s="4135">
        <f t="shared" ref="BS50" si="79">+O50+AH50</f>
        <v>0</v>
      </c>
      <c r="BT50" s="4134"/>
      <c r="BU50" s="4134">
        <f t="shared" ref="BU50" si="80">BQ50+BS50</f>
        <v>1961.058</v>
      </c>
      <c r="BV50" s="4134"/>
      <c r="BW50" s="4135">
        <f t="shared" ref="BW50" si="81">+P50+AI50</f>
        <v>0</v>
      </c>
      <c r="BX50" s="4134"/>
      <c r="BY50" s="4134">
        <f t="shared" ref="BY50" si="82">BU50+BW50</f>
        <v>1961.058</v>
      </c>
      <c r="BZ50" s="4134"/>
      <c r="CA50" s="4135">
        <f t="shared" ref="CA50" si="83">+Q50+AJ50</f>
        <v>0</v>
      </c>
      <c r="CB50" s="4134"/>
      <c r="CC50" s="4133">
        <f t="shared" ref="CC50" si="84">BS50+BW50+CA50</f>
        <v>0</v>
      </c>
      <c r="CD50" s="4134"/>
      <c r="CE50" s="4134">
        <f t="shared" ref="CE50" si="85">BY50+CA50</f>
        <v>1961.058</v>
      </c>
      <c r="CF50" s="4134"/>
      <c r="CG50" s="4135">
        <f t="shared" ref="CG50" si="86">+S50+AL50</f>
        <v>0</v>
      </c>
      <c r="CH50" s="4134"/>
      <c r="CI50" s="4134">
        <f t="shared" ref="CI50" si="87">CG50+CE50</f>
        <v>1961.058</v>
      </c>
      <c r="CJ50" s="4134"/>
      <c r="CK50" s="4135">
        <f t="shared" ref="CK50" si="88">+T50+AM50</f>
        <v>0</v>
      </c>
      <c r="CL50" s="4134"/>
      <c r="CM50" s="4134">
        <f t="shared" ref="CM50" si="89">CI50+CK50</f>
        <v>1961.058</v>
      </c>
      <c r="CN50" s="4134"/>
      <c r="CO50" s="4135">
        <f t="shared" ref="CO50" si="90">+U50+AN50</f>
        <v>0</v>
      </c>
      <c r="CP50" s="4134"/>
      <c r="CQ50" s="4133">
        <f t="shared" ref="CQ50" si="91">CG50+CK50+CO50</f>
        <v>0</v>
      </c>
      <c r="CR50" s="4134"/>
      <c r="CS50" s="4157">
        <f t="shared" ref="CS50" si="92">CC50+CQ50</f>
        <v>0</v>
      </c>
      <c r="CT50" s="4132"/>
      <c r="CU50" s="4160">
        <f t="shared" ref="CU50" si="93">SUM(AU50,AW50,BA50,BE50,BI50,BM50,BS50,BW50,CA50,CG50,CK50,CO50)</f>
        <v>1961.058</v>
      </c>
      <c r="CV50" s="4159"/>
      <c r="CW50" s="4168"/>
    </row>
    <row r="51" spans="1:105" x14ac:dyDescent="0.25">
      <c r="A51" s="4191"/>
      <c r="B51" s="4191"/>
      <c r="C51" s="4191"/>
      <c r="D51" s="4191"/>
      <c r="E51" s="5041" t="s">
        <v>2251</v>
      </c>
      <c r="F51" s="4171"/>
      <c r="G51" s="4129">
        <v>0</v>
      </c>
      <c r="H51" s="4129"/>
      <c r="I51" s="4178">
        <f t="shared" si="31"/>
        <v>0</v>
      </c>
      <c r="J51" s="4129">
        <v>1552</v>
      </c>
      <c r="K51" s="4129"/>
      <c r="L51" s="4129"/>
      <c r="M51" s="4178">
        <f t="shared" si="32"/>
        <v>1552</v>
      </c>
      <c r="N51" s="4177">
        <f t="shared" si="33"/>
        <v>1552</v>
      </c>
      <c r="O51" s="4125"/>
      <c r="P51" s="4125"/>
      <c r="Q51" s="4129"/>
      <c r="R51" s="4178"/>
      <c r="S51" s="4129"/>
      <c r="T51" s="4129"/>
      <c r="U51" s="4176"/>
      <c r="V51" s="4178"/>
      <c r="W51" s="4177"/>
      <c r="X51" s="4141">
        <f t="shared" si="34"/>
        <v>1552</v>
      </c>
      <c r="Y51" s="4140"/>
      <c r="Z51" s="4129">
        <v>302</v>
      </c>
      <c r="AA51" s="4129">
        <v>108</v>
      </c>
      <c r="AB51" s="4178">
        <f t="shared" si="0"/>
        <v>410</v>
      </c>
      <c r="AC51" s="4129"/>
      <c r="AD51" s="4129"/>
      <c r="AE51" s="4129"/>
      <c r="AF51" s="4139">
        <f t="shared" si="35"/>
        <v>0</v>
      </c>
      <c r="AG51" s="4177">
        <f t="shared" si="36"/>
        <v>410</v>
      </c>
      <c r="AH51" s="4125"/>
      <c r="AI51" s="4125"/>
      <c r="AJ51" s="4125"/>
      <c r="AK51" s="4178">
        <f t="shared" si="37"/>
        <v>0</v>
      </c>
      <c r="AL51" s="4129"/>
      <c r="AM51" s="4129"/>
      <c r="AN51" s="4176"/>
      <c r="AO51" s="4178">
        <f t="shared" si="38"/>
        <v>0</v>
      </c>
      <c r="AP51" s="4177">
        <f t="shared" si="39"/>
        <v>0</v>
      </c>
      <c r="AQ51" s="4138">
        <f t="shared" si="40"/>
        <v>410</v>
      </c>
      <c r="AR51" s="4128">
        <f t="shared" si="41"/>
        <v>1962</v>
      </c>
      <c r="AS51" s="4175"/>
      <c r="AT51" s="4131"/>
      <c r="AU51" s="4137">
        <f t="shared" si="42"/>
        <v>0</v>
      </c>
      <c r="AV51" s="5285"/>
      <c r="AW51" s="4135">
        <f t="shared" si="43"/>
        <v>302</v>
      </c>
      <c r="AX51" s="5428"/>
      <c r="AY51" s="4134">
        <f t="shared" si="44"/>
        <v>302</v>
      </c>
      <c r="AZ51" s="5428"/>
      <c r="BA51" s="4135">
        <f t="shared" si="7"/>
        <v>108</v>
      </c>
      <c r="BB51" s="5429"/>
      <c r="BC51" s="4133">
        <f t="shared" si="8"/>
        <v>410</v>
      </c>
      <c r="BD51" s="5428"/>
      <c r="BE51" s="4135">
        <f t="shared" si="9"/>
        <v>1552</v>
      </c>
      <c r="BF51" s="5430"/>
      <c r="BG51" s="4132">
        <f t="shared" si="10"/>
        <v>1962</v>
      </c>
      <c r="BH51" s="5428"/>
      <c r="BI51" s="4135">
        <f t="shared" si="11"/>
        <v>0</v>
      </c>
      <c r="BJ51" s="5430"/>
      <c r="BK51" s="4132">
        <f t="shared" si="12"/>
        <v>1962</v>
      </c>
      <c r="BL51" s="5428"/>
      <c r="BM51" s="4135">
        <f t="shared" si="13"/>
        <v>0</v>
      </c>
      <c r="BN51" s="5428"/>
      <c r="BO51" s="4133">
        <f t="shared" si="14"/>
        <v>1552</v>
      </c>
      <c r="BP51" s="5428"/>
      <c r="BQ51" s="4157">
        <f t="shared" si="15"/>
        <v>1962</v>
      </c>
      <c r="BR51" s="5428"/>
      <c r="BS51" s="5428"/>
      <c r="BT51" s="5428"/>
      <c r="BU51" s="5428"/>
      <c r="BV51" s="5428"/>
      <c r="BW51" s="5428"/>
      <c r="BX51" s="5428"/>
      <c r="BY51" s="5428"/>
      <c r="BZ51" s="5428"/>
      <c r="CA51" s="5428"/>
      <c r="CB51" s="5428"/>
      <c r="CC51" s="5429"/>
      <c r="CD51" s="5428"/>
      <c r="CE51" s="5428"/>
      <c r="CF51" s="5428"/>
      <c r="CG51" s="5428"/>
      <c r="CH51" s="5428"/>
      <c r="CI51" s="5428"/>
      <c r="CJ51" s="5428"/>
      <c r="CK51" s="5428"/>
      <c r="CL51" s="5428"/>
      <c r="CM51" s="5428"/>
      <c r="CN51" s="5428"/>
      <c r="CO51" s="5428"/>
      <c r="CP51" s="5428"/>
      <c r="CQ51" s="5429"/>
      <c r="CR51" s="5428"/>
      <c r="CS51" s="5431"/>
      <c r="CT51" s="5430"/>
      <c r="CU51" s="5432"/>
      <c r="CV51" s="4159"/>
      <c r="CW51" s="4168"/>
      <c r="CY51" s="639"/>
      <c r="CZ51" s="639"/>
      <c r="DA51" s="639"/>
    </row>
    <row r="52" spans="1:105" x14ac:dyDescent="0.25">
      <c r="A52" s="4191"/>
      <c r="B52" s="4191"/>
      <c r="C52" s="4191"/>
      <c r="D52" s="4191"/>
      <c r="E52" s="4179" t="s">
        <v>1428</v>
      </c>
      <c r="F52" s="4171">
        <v>0</v>
      </c>
      <c r="G52" s="4129">
        <v>0</v>
      </c>
      <c r="H52" s="4129"/>
      <c r="I52" s="4178">
        <f t="shared" si="31"/>
        <v>0</v>
      </c>
      <c r="J52" s="4129"/>
      <c r="K52" s="4129"/>
      <c r="L52" s="4129"/>
      <c r="M52" s="4178">
        <f t="shared" si="32"/>
        <v>0</v>
      </c>
      <c r="N52" s="4177">
        <f t="shared" si="33"/>
        <v>0</v>
      </c>
      <c r="O52" s="4125"/>
      <c r="P52" s="4125"/>
      <c r="Q52" s="4129"/>
      <c r="R52" s="4178"/>
      <c r="S52" s="4129"/>
      <c r="T52" s="4129"/>
      <c r="U52" s="4176"/>
      <c r="V52" s="4178"/>
      <c r="W52" s="4177"/>
      <c r="X52" s="4141">
        <f t="shared" si="34"/>
        <v>0</v>
      </c>
      <c r="Y52" s="4140">
        <v>1566</v>
      </c>
      <c r="Z52" s="4129">
        <v>736</v>
      </c>
      <c r="AA52" s="4129">
        <v>1450</v>
      </c>
      <c r="AB52" s="4178">
        <f t="shared" si="0"/>
        <v>3752</v>
      </c>
      <c r="AC52" s="4129">
        <v>1211</v>
      </c>
      <c r="AD52" s="4129">
        <v>4502.82</v>
      </c>
      <c r="AE52" s="4129">
        <v>1693</v>
      </c>
      <c r="AF52" s="4139">
        <f t="shared" ref="AF52:AF56" si="94">SUM(AC52:AE52)</f>
        <v>7406.82</v>
      </c>
      <c r="AG52" s="4177">
        <f t="shared" ref="AG52:AG56" si="95">+AB52+AF52</f>
        <v>11158.82</v>
      </c>
      <c r="AH52" s="4125"/>
      <c r="AI52" s="4125"/>
      <c r="AJ52" s="4125"/>
      <c r="AK52" s="4178">
        <f t="shared" si="3"/>
        <v>0</v>
      </c>
      <c r="AL52" s="4129"/>
      <c r="AM52" s="4129"/>
      <c r="AN52" s="4176"/>
      <c r="AO52" s="4178">
        <f t="shared" ref="AO52:AO56" si="96">+AL52+AM52+AN52</f>
        <v>0</v>
      </c>
      <c r="AP52" s="4177">
        <f t="shared" ref="AP52:AP56" si="97">+AK52+AO52</f>
        <v>0</v>
      </c>
      <c r="AQ52" s="4138">
        <f t="shared" ref="AQ52:AQ56" si="98">+AB52+AF52+AK52+AO52</f>
        <v>11158.82</v>
      </c>
      <c r="AR52" s="4128">
        <f t="shared" ref="AR52:AR56" si="99">+X52+AQ52</f>
        <v>11158.82</v>
      </c>
      <c r="AS52" s="4175"/>
      <c r="AT52" s="4131"/>
      <c r="AU52" s="4137">
        <f t="shared" si="42"/>
        <v>1566</v>
      </c>
      <c r="AV52" s="4136"/>
      <c r="AW52" s="4135">
        <f t="shared" si="43"/>
        <v>736</v>
      </c>
      <c r="AX52" s="4134"/>
      <c r="AY52" s="4134">
        <f t="shared" si="44"/>
        <v>2302</v>
      </c>
      <c r="AZ52" s="4134"/>
      <c r="BA52" s="4135">
        <f t="shared" si="7"/>
        <v>1450</v>
      </c>
      <c r="BB52" s="4133"/>
      <c r="BC52" s="4133">
        <f t="shared" si="8"/>
        <v>3752</v>
      </c>
      <c r="BD52" s="4134"/>
      <c r="BE52" s="4135">
        <f t="shared" si="9"/>
        <v>1211</v>
      </c>
      <c r="BF52" s="4132"/>
      <c r="BG52" s="4132">
        <f t="shared" si="10"/>
        <v>4963</v>
      </c>
      <c r="BH52" s="4134"/>
      <c r="BI52" s="4135">
        <f t="shared" si="11"/>
        <v>4502.82</v>
      </c>
      <c r="BJ52" s="4132"/>
      <c r="BK52" s="4132">
        <f t="shared" si="12"/>
        <v>9465.82</v>
      </c>
      <c r="BL52" s="4134"/>
      <c r="BM52" s="4135">
        <f t="shared" si="13"/>
        <v>1693</v>
      </c>
      <c r="BN52" s="4134"/>
      <c r="BO52" s="4133">
        <f t="shared" si="14"/>
        <v>7406.82</v>
      </c>
      <c r="BP52" s="4134"/>
      <c r="BQ52" s="4157">
        <f t="shared" si="15"/>
        <v>11158.82</v>
      </c>
      <c r="BR52" s="4134"/>
      <c r="BS52" s="4135">
        <f t="shared" si="16"/>
        <v>0</v>
      </c>
      <c r="BT52" s="4134"/>
      <c r="BU52" s="4134">
        <f t="shared" si="17"/>
        <v>11158.82</v>
      </c>
      <c r="BV52" s="4134"/>
      <c r="BW52" s="4135">
        <f t="shared" si="18"/>
        <v>0</v>
      </c>
      <c r="BX52" s="4134"/>
      <c r="BY52" s="4134">
        <f t="shared" si="19"/>
        <v>11158.82</v>
      </c>
      <c r="BZ52" s="4134"/>
      <c r="CA52" s="4135">
        <f t="shared" si="20"/>
        <v>0</v>
      </c>
      <c r="CB52" s="4134"/>
      <c r="CC52" s="4133">
        <f t="shared" si="21"/>
        <v>0</v>
      </c>
      <c r="CD52" s="4134"/>
      <c r="CE52" s="4134">
        <f t="shared" si="22"/>
        <v>11158.82</v>
      </c>
      <c r="CF52" s="4134"/>
      <c r="CG52" s="4135">
        <f t="shared" si="23"/>
        <v>0</v>
      </c>
      <c r="CH52" s="4134"/>
      <c r="CI52" s="4134">
        <f t="shared" si="24"/>
        <v>11158.82</v>
      </c>
      <c r="CJ52" s="4134"/>
      <c r="CK52" s="4135">
        <f t="shared" si="25"/>
        <v>0</v>
      </c>
      <c r="CL52" s="4134"/>
      <c r="CM52" s="4134">
        <f t="shared" si="26"/>
        <v>11158.82</v>
      </c>
      <c r="CN52" s="4134"/>
      <c r="CO52" s="4135">
        <f t="shared" si="27"/>
        <v>0</v>
      </c>
      <c r="CP52" s="4134"/>
      <c r="CQ52" s="4133">
        <f t="shared" si="28"/>
        <v>0</v>
      </c>
      <c r="CR52" s="4134"/>
      <c r="CS52" s="4157">
        <f t="shared" si="29"/>
        <v>0</v>
      </c>
      <c r="CT52" s="4132"/>
      <c r="CU52" s="4160">
        <f t="shared" si="30"/>
        <v>11158.82</v>
      </c>
      <c r="CV52" s="4159"/>
      <c r="CW52" s="4168"/>
      <c r="CY52" s="639"/>
      <c r="CZ52" s="639"/>
      <c r="DA52" s="639"/>
    </row>
    <row r="53" spans="1:105" x14ac:dyDescent="0.25">
      <c r="A53" s="4191"/>
      <c r="B53" s="4191"/>
      <c r="C53" s="4191"/>
      <c r="D53" s="4191"/>
      <c r="E53" s="5041" t="s">
        <v>2352</v>
      </c>
      <c r="F53" s="5059"/>
      <c r="G53" s="5060"/>
      <c r="H53" s="5060"/>
      <c r="I53" s="5060"/>
      <c r="J53" s="5060"/>
      <c r="K53" s="5060"/>
      <c r="L53" s="5060">
        <v>192</v>
      </c>
      <c r="M53" s="5060">
        <f t="shared" ref="M53" si="100">J53+K53+L53</f>
        <v>192</v>
      </c>
      <c r="N53" s="5060">
        <f t="shared" ref="N53" si="101">I53+M53</f>
        <v>192</v>
      </c>
      <c r="O53" s="5060"/>
      <c r="P53" s="5060"/>
      <c r="Q53" s="5060"/>
      <c r="R53" s="5060"/>
      <c r="S53" s="5060"/>
      <c r="T53" s="5060"/>
      <c r="U53" s="5061"/>
      <c r="V53" s="5060"/>
      <c r="W53" s="5060"/>
      <c r="X53" s="5062">
        <f t="shared" ref="X53" si="102">+I53+M53+R53+V53</f>
        <v>192</v>
      </c>
      <c r="Y53" s="5063"/>
      <c r="Z53" s="5060"/>
      <c r="AA53" s="5060"/>
      <c r="AB53" s="5060"/>
      <c r="AC53" s="5060"/>
      <c r="AD53" s="5060"/>
      <c r="AE53" s="5060">
        <v>182</v>
      </c>
      <c r="AF53" s="5063">
        <f t="shared" ref="AF53" si="103">SUM(AC53:AE53)</f>
        <v>182</v>
      </c>
      <c r="AG53" s="5060">
        <f t="shared" ref="AG53" si="104">+AB53+AF53</f>
        <v>182</v>
      </c>
      <c r="AH53" s="5060"/>
      <c r="AI53" s="5060"/>
      <c r="AJ53" s="5060"/>
      <c r="AK53" s="5060">
        <f t="shared" ref="AK53" si="105">SUM(AH53:AJ53)</f>
        <v>0</v>
      </c>
      <c r="AL53" s="5060"/>
      <c r="AM53" s="5060"/>
      <c r="AN53" s="5061"/>
      <c r="AO53" s="5060">
        <f t="shared" ref="AO53" si="106">+AL53+AM53+AN53</f>
        <v>0</v>
      </c>
      <c r="AP53" s="5060">
        <f t="shared" ref="AP53" si="107">+AK53+AO53</f>
        <v>0</v>
      </c>
      <c r="AQ53" s="5064">
        <f t="shared" ref="AQ53" si="108">+AB53+AF53+AK53+AO53</f>
        <v>182</v>
      </c>
      <c r="AR53" s="5065">
        <f t="shared" ref="AR53" si="109">+X53+AQ53</f>
        <v>374</v>
      </c>
      <c r="AS53" s="4175"/>
      <c r="AT53" s="5066"/>
      <c r="AU53" s="5067">
        <f t="shared" ref="AU53" si="110">+F53+Y53</f>
        <v>0</v>
      </c>
      <c r="AV53" s="5068"/>
      <c r="AW53" s="5069">
        <f t="shared" ref="AW53" si="111">+G53+Z53</f>
        <v>0</v>
      </c>
      <c r="AX53" s="5070"/>
      <c r="AY53" s="5070">
        <f t="shared" ref="AY53" si="112">AU53+AW53</f>
        <v>0</v>
      </c>
      <c r="AZ53" s="5070"/>
      <c r="BA53" s="5069">
        <f t="shared" ref="BA53" si="113">+H53+AA53</f>
        <v>0</v>
      </c>
      <c r="BB53" s="5070"/>
      <c r="BC53" s="5070">
        <f t="shared" ref="BC53" si="114">AU53+AW53+BA53</f>
        <v>0</v>
      </c>
      <c r="BD53" s="5070"/>
      <c r="BE53" s="5069">
        <f t="shared" ref="BE53" si="115">+J53+AC53</f>
        <v>0</v>
      </c>
      <c r="BF53" s="5070"/>
      <c r="BG53" s="5070">
        <f t="shared" ref="BG53" si="116">+BC53+BE53</f>
        <v>0</v>
      </c>
      <c r="BH53" s="5070"/>
      <c r="BI53" s="5069">
        <f t="shared" ref="BI53" si="117">K53+AD53</f>
        <v>0</v>
      </c>
      <c r="BJ53" s="5070"/>
      <c r="BK53" s="5070">
        <f t="shared" ref="BK53" si="118">+BG53+BI53</f>
        <v>0</v>
      </c>
      <c r="BL53" s="5070"/>
      <c r="BM53" s="5069">
        <f t="shared" ref="BM53" si="119">+L53+AE53</f>
        <v>374</v>
      </c>
      <c r="BN53" s="5070"/>
      <c r="BO53" s="5070">
        <f t="shared" ref="BO53" si="120">BE53+BI53+BM53</f>
        <v>374</v>
      </c>
      <c r="BP53" s="5070"/>
      <c r="BQ53" s="5070">
        <f t="shared" ref="BQ53" si="121">BC53+BO53</f>
        <v>374</v>
      </c>
      <c r="BR53" s="5070"/>
      <c r="BS53" s="5069">
        <f t="shared" ref="BS53" si="122">+O53+AH53</f>
        <v>0</v>
      </c>
      <c r="BT53" s="5070"/>
      <c r="BU53" s="5070">
        <f t="shared" ref="BU53" si="123">BQ53+BS53</f>
        <v>374</v>
      </c>
      <c r="BV53" s="5070"/>
      <c r="BW53" s="5069">
        <f t="shared" ref="BW53" si="124">+P53+AI53</f>
        <v>0</v>
      </c>
      <c r="BX53" s="5070"/>
      <c r="BY53" s="5070">
        <f t="shared" ref="BY53" si="125">BU53+BW53</f>
        <v>374</v>
      </c>
      <c r="BZ53" s="5070"/>
      <c r="CA53" s="5069">
        <f t="shared" ref="CA53" si="126">+Q53+AJ53</f>
        <v>0</v>
      </c>
      <c r="CB53" s="5070"/>
      <c r="CC53" s="5070">
        <f t="shared" ref="CC53" si="127">BS53+BW53+CA53</f>
        <v>0</v>
      </c>
      <c r="CD53" s="5070"/>
      <c r="CE53" s="5070">
        <f t="shared" ref="CE53" si="128">BY53+CA53</f>
        <v>374</v>
      </c>
      <c r="CF53" s="5070"/>
      <c r="CG53" s="5069">
        <f t="shared" ref="CG53" si="129">+S53+AL53</f>
        <v>0</v>
      </c>
      <c r="CH53" s="5070"/>
      <c r="CI53" s="5070">
        <f t="shared" ref="CI53" si="130">CG53+CE53</f>
        <v>374</v>
      </c>
      <c r="CJ53" s="5070"/>
      <c r="CK53" s="5069">
        <f t="shared" ref="CK53" si="131">+T53+AM53</f>
        <v>0</v>
      </c>
      <c r="CL53" s="5070"/>
      <c r="CM53" s="5070">
        <f t="shared" ref="CM53" si="132">CI53+CK53</f>
        <v>374</v>
      </c>
      <c r="CN53" s="5070"/>
      <c r="CO53" s="5069">
        <f t="shared" ref="CO53" si="133">+U53+AN53</f>
        <v>0</v>
      </c>
      <c r="CP53" s="5070"/>
      <c r="CQ53" s="5070">
        <f t="shared" ref="CQ53" si="134">CG53+CK53+CO53</f>
        <v>0</v>
      </c>
      <c r="CR53" s="5070"/>
      <c r="CS53" s="5070">
        <f t="shared" ref="CS53" si="135">CC53+CQ53</f>
        <v>0</v>
      </c>
      <c r="CT53" s="5070"/>
      <c r="CU53" s="5071">
        <f t="shared" ref="CU53" si="136">SUM(AU53,AW53,BA53,BE53,BI53,BM53,BS53,BW53,CA53,CG53,CK53,CO53)</f>
        <v>374</v>
      </c>
      <c r="CV53" s="4159"/>
      <c r="CW53" s="4168"/>
      <c r="CY53" s="639"/>
      <c r="CZ53" s="639"/>
      <c r="DA53" s="639"/>
    </row>
    <row r="54" spans="1:105" s="5072" customFormat="1" x14ac:dyDescent="0.25">
      <c r="A54" s="5058"/>
      <c r="B54" s="5058"/>
      <c r="C54" s="5058"/>
      <c r="D54" s="5058"/>
      <c r="E54" s="5041" t="s">
        <v>2148</v>
      </c>
      <c r="F54" s="5059">
        <v>1330</v>
      </c>
      <c r="G54" s="5060">
        <v>2888</v>
      </c>
      <c r="H54" s="5060">
        <v>2621</v>
      </c>
      <c r="I54" s="5060">
        <f t="shared" si="31"/>
        <v>6839</v>
      </c>
      <c r="J54" s="5060">
        <v>1987</v>
      </c>
      <c r="K54" s="5060">
        <v>2968.056</v>
      </c>
      <c r="L54" s="5060">
        <v>1158</v>
      </c>
      <c r="M54" s="5060">
        <f t="shared" ref="M54:M55" si="137">J54+K54+L54</f>
        <v>6113.0560000000005</v>
      </c>
      <c r="N54" s="5060">
        <f t="shared" ref="N54:N55" si="138">I54+M54</f>
        <v>12952.056</v>
      </c>
      <c r="O54" s="5060"/>
      <c r="P54" s="5060"/>
      <c r="Q54" s="5060"/>
      <c r="R54" s="5060"/>
      <c r="S54" s="5060"/>
      <c r="T54" s="5060"/>
      <c r="U54" s="5061"/>
      <c r="V54" s="5060"/>
      <c r="W54" s="5060"/>
      <c r="X54" s="5062">
        <f t="shared" si="34"/>
        <v>12952.056</v>
      </c>
      <c r="Y54" s="5063">
        <v>340</v>
      </c>
      <c r="Z54" s="5060">
        <v>526</v>
      </c>
      <c r="AA54" s="5060">
        <v>150</v>
      </c>
      <c r="AB54" s="5060">
        <f t="shared" si="0"/>
        <v>1016</v>
      </c>
      <c r="AC54" s="5060">
        <v>332</v>
      </c>
      <c r="AD54" s="5060">
        <v>610.94600000000003</v>
      </c>
      <c r="AE54" s="5060">
        <v>774</v>
      </c>
      <c r="AF54" s="5063">
        <f t="shared" si="94"/>
        <v>1716.9459999999999</v>
      </c>
      <c r="AG54" s="5060">
        <f t="shared" si="95"/>
        <v>2732.9459999999999</v>
      </c>
      <c r="AH54" s="5060"/>
      <c r="AI54" s="5060"/>
      <c r="AJ54" s="5060"/>
      <c r="AK54" s="5060">
        <f t="shared" si="3"/>
        <v>0</v>
      </c>
      <c r="AL54" s="5060"/>
      <c r="AM54" s="5060"/>
      <c r="AN54" s="5061"/>
      <c r="AO54" s="5060">
        <f t="shared" si="96"/>
        <v>0</v>
      </c>
      <c r="AP54" s="5060">
        <f t="shared" si="97"/>
        <v>0</v>
      </c>
      <c r="AQ54" s="5064">
        <f t="shared" si="98"/>
        <v>2732.9459999999999</v>
      </c>
      <c r="AR54" s="5065">
        <f t="shared" si="99"/>
        <v>15685.002</v>
      </c>
      <c r="AS54" s="4175"/>
      <c r="AT54" s="5066"/>
      <c r="AU54" s="5067">
        <f t="shared" si="42"/>
        <v>1670</v>
      </c>
      <c r="AV54" s="5068"/>
      <c r="AW54" s="5069">
        <f t="shared" si="43"/>
        <v>3414</v>
      </c>
      <c r="AX54" s="5070"/>
      <c r="AY54" s="5070">
        <f t="shared" si="44"/>
        <v>5084</v>
      </c>
      <c r="AZ54" s="5070"/>
      <c r="BA54" s="5069">
        <f t="shared" ref="BA54" si="139">+H54+AA54</f>
        <v>2771</v>
      </c>
      <c r="BB54" s="5070"/>
      <c r="BC54" s="5070">
        <f t="shared" ref="BC54" si="140">AU54+AW54+BA54</f>
        <v>7855</v>
      </c>
      <c r="BD54" s="5070"/>
      <c r="BE54" s="5069">
        <f t="shared" ref="BE54" si="141">+J54+AC54</f>
        <v>2319</v>
      </c>
      <c r="BF54" s="5070"/>
      <c r="BG54" s="5070">
        <f t="shared" ref="BG54" si="142">+BC54+BE54</f>
        <v>10174</v>
      </c>
      <c r="BH54" s="5070"/>
      <c r="BI54" s="5069">
        <f t="shared" ref="BI54" si="143">K54+AD54</f>
        <v>3579.002</v>
      </c>
      <c r="BJ54" s="5070"/>
      <c r="BK54" s="5070">
        <f t="shared" ref="BK54" si="144">+BG54+BI54</f>
        <v>13753.002</v>
      </c>
      <c r="BL54" s="5070"/>
      <c r="BM54" s="5069">
        <f t="shared" ref="BM54" si="145">+L54+AE54</f>
        <v>1932</v>
      </c>
      <c r="BN54" s="5070"/>
      <c r="BO54" s="5070">
        <f t="shared" ref="BO54" si="146">BE54+BI54+BM54</f>
        <v>7830.0020000000004</v>
      </c>
      <c r="BP54" s="5070"/>
      <c r="BQ54" s="5070">
        <f t="shared" ref="BQ54" si="147">BC54+BO54</f>
        <v>15685.002</v>
      </c>
      <c r="BR54" s="5070"/>
      <c r="BS54" s="5069">
        <f t="shared" ref="BS54" si="148">+O54+AH54</f>
        <v>0</v>
      </c>
      <c r="BT54" s="5070"/>
      <c r="BU54" s="5070">
        <f t="shared" ref="BU54" si="149">BQ54+BS54</f>
        <v>15685.002</v>
      </c>
      <c r="BV54" s="5070"/>
      <c r="BW54" s="5069">
        <f t="shared" ref="BW54" si="150">+P54+AI54</f>
        <v>0</v>
      </c>
      <c r="BX54" s="5070"/>
      <c r="BY54" s="5070">
        <f t="shared" ref="BY54" si="151">BU54+BW54</f>
        <v>15685.002</v>
      </c>
      <c r="BZ54" s="5070"/>
      <c r="CA54" s="5069">
        <f t="shared" ref="CA54" si="152">+Q54+AJ54</f>
        <v>0</v>
      </c>
      <c r="CB54" s="5070"/>
      <c r="CC54" s="5070">
        <f t="shared" ref="CC54" si="153">BS54+BW54+CA54</f>
        <v>0</v>
      </c>
      <c r="CD54" s="5070"/>
      <c r="CE54" s="5070">
        <f t="shared" ref="CE54" si="154">BY54+CA54</f>
        <v>15685.002</v>
      </c>
      <c r="CF54" s="5070"/>
      <c r="CG54" s="5069">
        <f t="shared" ref="CG54" si="155">+S54+AL54</f>
        <v>0</v>
      </c>
      <c r="CH54" s="5070"/>
      <c r="CI54" s="5070">
        <f t="shared" ref="CI54" si="156">CG54+CE54</f>
        <v>15685.002</v>
      </c>
      <c r="CJ54" s="5070"/>
      <c r="CK54" s="5069">
        <f t="shared" ref="CK54" si="157">+T54+AM54</f>
        <v>0</v>
      </c>
      <c r="CL54" s="5070"/>
      <c r="CM54" s="5070">
        <f t="shared" ref="CM54" si="158">CI54+CK54</f>
        <v>15685.002</v>
      </c>
      <c r="CN54" s="5070"/>
      <c r="CO54" s="5069">
        <f t="shared" ref="CO54" si="159">+U54+AN54</f>
        <v>0</v>
      </c>
      <c r="CP54" s="5070"/>
      <c r="CQ54" s="5070">
        <f t="shared" ref="CQ54" si="160">CG54+CK54+CO54</f>
        <v>0</v>
      </c>
      <c r="CR54" s="5070"/>
      <c r="CS54" s="5070">
        <f t="shared" ref="CS54" si="161">CC54+CQ54</f>
        <v>0</v>
      </c>
      <c r="CT54" s="5070"/>
      <c r="CU54" s="5071">
        <f t="shared" ref="CU54" si="162">SUM(AU54,AW54,BA54,BE54,BI54,BM54,BS54,BW54,CA54,CG54,CK54,CO54)</f>
        <v>15685.002</v>
      </c>
      <c r="CV54" s="4159"/>
      <c r="CW54" s="4168"/>
      <c r="CX54" s="639"/>
      <c r="CY54" s="1155"/>
      <c r="CZ54" s="1155"/>
      <c r="DA54" s="1155"/>
    </row>
    <row r="55" spans="1:105" s="5072" customFormat="1" ht="16.5" thickBot="1" x14ac:dyDescent="0.3">
      <c r="A55" s="5058"/>
      <c r="B55" s="5058"/>
      <c r="C55" s="5058"/>
      <c r="D55" s="5058"/>
      <c r="E55" s="5041" t="s">
        <v>1342</v>
      </c>
      <c r="F55" s="5059">
        <v>2038</v>
      </c>
      <c r="G55" s="5060">
        <v>2418</v>
      </c>
      <c r="H55" s="5060">
        <v>1657</v>
      </c>
      <c r="I55" s="5060">
        <f t="shared" si="31"/>
        <v>6113</v>
      </c>
      <c r="J55" s="5060">
        <v>1165</v>
      </c>
      <c r="K55" s="5060">
        <v>1380.442</v>
      </c>
      <c r="L55" s="5060">
        <v>1955</v>
      </c>
      <c r="M55" s="5060">
        <f t="shared" si="137"/>
        <v>4500.442</v>
      </c>
      <c r="N55" s="5060">
        <f t="shared" si="138"/>
        <v>10613.441999999999</v>
      </c>
      <c r="O55" s="5060"/>
      <c r="P55" s="5060"/>
      <c r="Q55" s="5060"/>
      <c r="R55" s="5060"/>
      <c r="S55" s="5060"/>
      <c r="T55" s="5060"/>
      <c r="U55" s="5061"/>
      <c r="V55" s="5060"/>
      <c r="W55" s="5060"/>
      <c r="X55" s="5062">
        <f t="shared" si="34"/>
        <v>10613.441999999999</v>
      </c>
      <c r="Y55" s="5063">
        <v>996</v>
      </c>
      <c r="Z55" s="5060">
        <v>930</v>
      </c>
      <c r="AA55" s="5060">
        <v>444</v>
      </c>
      <c r="AB55" s="5060">
        <f t="shared" si="0"/>
        <v>2370</v>
      </c>
      <c r="AC55" s="5060">
        <v>630</v>
      </c>
      <c r="AD55" s="5060">
        <v>507.36</v>
      </c>
      <c r="AE55" s="5060">
        <v>564</v>
      </c>
      <c r="AF55" s="5063">
        <f t="shared" si="94"/>
        <v>1701.3600000000001</v>
      </c>
      <c r="AG55" s="5060">
        <f t="shared" si="95"/>
        <v>4071.36</v>
      </c>
      <c r="AH55" s="5060"/>
      <c r="AI55" s="5060"/>
      <c r="AJ55" s="5060"/>
      <c r="AK55" s="5060">
        <f t="shared" si="3"/>
        <v>0</v>
      </c>
      <c r="AL55" s="5060"/>
      <c r="AM55" s="5060"/>
      <c r="AN55" s="5061"/>
      <c r="AO55" s="5060">
        <f t="shared" si="96"/>
        <v>0</v>
      </c>
      <c r="AP55" s="5060">
        <f t="shared" si="97"/>
        <v>0</v>
      </c>
      <c r="AQ55" s="5064">
        <f t="shared" si="98"/>
        <v>4071.36</v>
      </c>
      <c r="AR55" s="5065">
        <f t="shared" si="99"/>
        <v>14684.802</v>
      </c>
      <c r="AS55" s="4175"/>
      <c r="AT55" s="5066"/>
      <c r="AU55" s="5067">
        <f t="shared" si="42"/>
        <v>3034</v>
      </c>
      <c r="AV55" s="5068"/>
      <c r="AW55" s="5069">
        <f t="shared" si="43"/>
        <v>3348</v>
      </c>
      <c r="AX55" s="5070"/>
      <c r="AY55" s="5070">
        <f t="shared" si="44"/>
        <v>6382</v>
      </c>
      <c r="AZ55" s="5070"/>
      <c r="BA55" s="5069">
        <f>+H55+AA55</f>
        <v>2101</v>
      </c>
      <c r="BB55" s="5070"/>
      <c r="BC55" s="5070">
        <f>AU55+AW55+BA55</f>
        <v>8483</v>
      </c>
      <c r="BD55" s="5070"/>
      <c r="BE55" s="5069">
        <f>+J55+AC55</f>
        <v>1795</v>
      </c>
      <c r="BF55" s="5070"/>
      <c r="BG55" s="5070">
        <f>+BC55+BE55</f>
        <v>10278</v>
      </c>
      <c r="BH55" s="5070"/>
      <c r="BI55" s="5069">
        <f>K55+AD55</f>
        <v>1887.8020000000001</v>
      </c>
      <c r="BJ55" s="5070"/>
      <c r="BK55" s="5070">
        <f>+BG55+BI55</f>
        <v>12165.802</v>
      </c>
      <c r="BL55" s="5070"/>
      <c r="BM55" s="5069">
        <f>+L55+AE55</f>
        <v>2519</v>
      </c>
      <c r="BN55" s="5070"/>
      <c r="BO55" s="5070">
        <f>BE55+BI55+BM55</f>
        <v>6201.8019999999997</v>
      </c>
      <c r="BP55" s="5070"/>
      <c r="BQ55" s="5070">
        <f>BC55+BO55</f>
        <v>14684.802</v>
      </c>
      <c r="BR55" s="5070"/>
      <c r="BS55" s="5069">
        <f>+O55+AH55</f>
        <v>0</v>
      </c>
      <c r="BT55" s="5070"/>
      <c r="BU55" s="5070">
        <f>BQ55+BS55</f>
        <v>14684.802</v>
      </c>
      <c r="BV55" s="5070"/>
      <c r="BW55" s="5069">
        <f>+P55+AI55</f>
        <v>0</v>
      </c>
      <c r="BX55" s="5070"/>
      <c r="BY55" s="5070">
        <f>BU55+BW55</f>
        <v>14684.802</v>
      </c>
      <c r="BZ55" s="5070"/>
      <c r="CA55" s="5069">
        <f>+Q55+AJ55</f>
        <v>0</v>
      </c>
      <c r="CB55" s="5070"/>
      <c r="CC55" s="5070">
        <f>BS55+BW55+CA55</f>
        <v>0</v>
      </c>
      <c r="CD55" s="5070"/>
      <c r="CE55" s="5070">
        <f>BY55+CA55</f>
        <v>14684.802</v>
      </c>
      <c r="CF55" s="5070"/>
      <c r="CG55" s="5069">
        <f>+S55+AL55</f>
        <v>0</v>
      </c>
      <c r="CH55" s="5070"/>
      <c r="CI55" s="5070">
        <f>CG55+CE55</f>
        <v>14684.802</v>
      </c>
      <c r="CJ55" s="5070"/>
      <c r="CK55" s="5069">
        <f>+T55+AM55</f>
        <v>0</v>
      </c>
      <c r="CL55" s="5070"/>
      <c r="CM55" s="5070">
        <f>CI55+CK55</f>
        <v>14684.802</v>
      </c>
      <c r="CN55" s="5070"/>
      <c r="CO55" s="5069">
        <f>+U55+AN55</f>
        <v>0</v>
      </c>
      <c r="CP55" s="5070"/>
      <c r="CQ55" s="5070">
        <f>CG55+CK55+CO55</f>
        <v>0</v>
      </c>
      <c r="CR55" s="5070"/>
      <c r="CS55" s="5070">
        <f>CC55+CQ55</f>
        <v>0</v>
      </c>
      <c r="CT55" s="5070"/>
      <c r="CU55" s="5071">
        <f>SUM(AU55,AW55,BA55,BE55,BI55,BM55,BS55,BW55,CA55,CG55,CK55,CO55)</f>
        <v>14684.802</v>
      </c>
      <c r="CV55" s="4159"/>
      <c r="CW55" s="4168"/>
      <c r="CX55" s="639"/>
      <c r="CY55" s="1155"/>
      <c r="CZ55" s="1155"/>
      <c r="DA55" s="1155"/>
    </row>
    <row r="56" spans="1:105" ht="16.5" thickBot="1" x14ac:dyDescent="0.3">
      <c r="A56" s="4151"/>
      <c r="B56" s="4151"/>
      <c r="C56" s="4151"/>
      <c r="D56" s="4151"/>
      <c r="E56" s="4166" t="s">
        <v>2</v>
      </c>
      <c r="F56" s="4165">
        <f>SUM(F6:F55)</f>
        <v>62420</v>
      </c>
      <c r="G56" s="4165">
        <f>SUM(G6:G55)</f>
        <v>81608</v>
      </c>
      <c r="H56" s="4165">
        <f>SUM(H6:H55)</f>
        <v>84357</v>
      </c>
      <c r="I56" s="4178">
        <f t="shared" si="31"/>
        <v>228385</v>
      </c>
      <c r="J56" s="4165">
        <f t="shared" ref="J56:W56" si="163">SUM(J6:J55)</f>
        <v>92525</v>
      </c>
      <c r="K56" s="4165">
        <f t="shared" si="163"/>
        <v>80355.254000000001</v>
      </c>
      <c r="L56" s="4165">
        <f t="shared" si="163"/>
        <v>76306</v>
      </c>
      <c r="M56" s="4165">
        <f t="shared" si="163"/>
        <v>249186.25400000004</v>
      </c>
      <c r="N56" s="4165">
        <f t="shared" si="163"/>
        <v>477571.25399999996</v>
      </c>
      <c r="O56" s="4165">
        <f t="shared" si="163"/>
        <v>0</v>
      </c>
      <c r="P56" s="4165">
        <f t="shared" si="163"/>
        <v>0</v>
      </c>
      <c r="Q56" s="4165">
        <f t="shared" si="163"/>
        <v>0</v>
      </c>
      <c r="R56" s="4165">
        <f t="shared" si="163"/>
        <v>0</v>
      </c>
      <c r="S56" s="4165">
        <f t="shared" si="163"/>
        <v>0</v>
      </c>
      <c r="T56" s="4165">
        <f t="shared" si="163"/>
        <v>0</v>
      </c>
      <c r="U56" s="4165">
        <f t="shared" si="163"/>
        <v>0</v>
      </c>
      <c r="V56" s="4165">
        <f t="shared" si="163"/>
        <v>0</v>
      </c>
      <c r="W56" s="4165">
        <f t="shared" si="163"/>
        <v>0</v>
      </c>
      <c r="X56" s="4141">
        <f t="shared" si="34"/>
        <v>477571.25400000007</v>
      </c>
      <c r="Y56" s="4165">
        <f>SUM(Y6:Y55)</f>
        <v>86697</v>
      </c>
      <c r="Z56" s="4165">
        <f>SUM(Z6:Z55)</f>
        <v>93435</v>
      </c>
      <c r="AA56" s="4165">
        <f>SUM(AA6:AA55)</f>
        <v>98319</v>
      </c>
      <c r="AB56" s="4178">
        <f t="shared" si="0"/>
        <v>278451</v>
      </c>
      <c r="AC56" s="4165">
        <f>SUM(AC6:AC55)</f>
        <v>96524</v>
      </c>
      <c r="AD56" s="4165">
        <f>SUM(AD6:AD55)</f>
        <v>99121.232000000004</v>
      </c>
      <c r="AE56" s="4165">
        <f>SUM(AE6:AE55)</f>
        <v>95619</v>
      </c>
      <c r="AF56" s="4139">
        <f t="shared" si="94"/>
        <v>291264.23200000002</v>
      </c>
      <c r="AG56" s="4177">
        <f t="shared" si="95"/>
        <v>569715.23200000008</v>
      </c>
      <c r="AH56" s="4165">
        <f>SUM(AH6:AH55)</f>
        <v>0</v>
      </c>
      <c r="AI56" s="4165">
        <f>SUM(AI6:AI55)</f>
        <v>0</v>
      </c>
      <c r="AJ56" s="4165">
        <f>SUM(AJ6:AJ55)</f>
        <v>0</v>
      </c>
      <c r="AK56" s="4178">
        <f t="shared" si="3"/>
        <v>0</v>
      </c>
      <c r="AL56" s="4165">
        <f>SUM(AL6:AL55)</f>
        <v>0</v>
      </c>
      <c r="AM56" s="4165">
        <f>SUM(AM6:AM55)</f>
        <v>0</v>
      </c>
      <c r="AN56" s="4165">
        <f>SUM(AN6:AN55)</f>
        <v>0</v>
      </c>
      <c r="AO56" s="4178">
        <f t="shared" si="96"/>
        <v>0</v>
      </c>
      <c r="AP56" s="4177">
        <f t="shared" si="97"/>
        <v>0</v>
      </c>
      <c r="AQ56" s="4138">
        <f t="shared" si="98"/>
        <v>569715.23200000008</v>
      </c>
      <c r="AR56" s="4128">
        <f t="shared" si="99"/>
        <v>1047286.4860000001</v>
      </c>
      <c r="AS56" s="4175"/>
      <c r="AT56" s="4164"/>
      <c r="AU56" s="4137">
        <f t="shared" si="42"/>
        <v>149117</v>
      </c>
      <c r="AV56" s="4136"/>
      <c r="AW56" s="4135">
        <f t="shared" si="43"/>
        <v>175043</v>
      </c>
      <c r="AX56" s="4134"/>
      <c r="AY56" s="4134">
        <f t="shared" si="44"/>
        <v>324160</v>
      </c>
      <c r="AZ56" s="4127">
        <f t="shared" ref="AZ56:CU56" si="164">SUM(AZ6:AZ55)</f>
        <v>0</v>
      </c>
      <c r="BA56" s="4127">
        <f t="shared" si="164"/>
        <v>182676</v>
      </c>
      <c r="BB56" s="4161">
        <f t="shared" si="164"/>
        <v>0</v>
      </c>
      <c r="BC56" s="4161">
        <f t="shared" si="164"/>
        <v>506836</v>
      </c>
      <c r="BD56" s="4127">
        <f t="shared" si="164"/>
        <v>0</v>
      </c>
      <c r="BE56" s="4127">
        <f t="shared" si="164"/>
        <v>189049</v>
      </c>
      <c r="BF56" s="4160">
        <f t="shared" si="164"/>
        <v>0</v>
      </c>
      <c r="BG56" s="4160">
        <f t="shared" si="164"/>
        <v>695885</v>
      </c>
      <c r="BH56" s="4127">
        <f t="shared" si="164"/>
        <v>0</v>
      </c>
      <c r="BI56" s="4127">
        <f t="shared" si="164"/>
        <v>179476.48599999998</v>
      </c>
      <c r="BJ56" s="4160">
        <f t="shared" si="164"/>
        <v>0</v>
      </c>
      <c r="BK56" s="4160">
        <f t="shared" si="164"/>
        <v>875361.48599999992</v>
      </c>
      <c r="BL56" s="4127">
        <f t="shared" si="164"/>
        <v>0</v>
      </c>
      <c r="BM56" s="4127">
        <f t="shared" si="164"/>
        <v>171925</v>
      </c>
      <c r="BN56" s="4127">
        <f t="shared" si="164"/>
        <v>0</v>
      </c>
      <c r="BO56" s="4161">
        <f t="shared" si="164"/>
        <v>540450.48600000003</v>
      </c>
      <c r="BP56" s="4127">
        <f t="shared" si="164"/>
        <v>0</v>
      </c>
      <c r="BQ56" s="4174">
        <f t="shared" si="164"/>
        <v>1047286.4859999999</v>
      </c>
      <c r="BR56" s="4127">
        <f t="shared" si="164"/>
        <v>0</v>
      </c>
      <c r="BS56" s="4127">
        <f t="shared" si="164"/>
        <v>0</v>
      </c>
      <c r="BT56" s="4127">
        <f t="shared" si="164"/>
        <v>0</v>
      </c>
      <c r="BU56" s="4127">
        <f t="shared" si="164"/>
        <v>1001032.9459999999</v>
      </c>
      <c r="BV56" s="4127">
        <f t="shared" si="164"/>
        <v>0</v>
      </c>
      <c r="BW56" s="4127">
        <f t="shared" si="164"/>
        <v>0</v>
      </c>
      <c r="BX56" s="4127">
        <f t="shared" si="164"/>
        <v>0</v>
      </c>
      <c r="BY56" s="4127">
        <f t="shared" si="164"/>
        <v>1001032.9459999999</v>
      </c>
      <c r="BZ56" s="4127">
        <f t="shared" si="164"/>
        <v>0</v>
      </c>
      <c r="CA56" s="4127">
        <f t="shared" si="164"/>
        <v>0</v>
      </c>
      <c r="CB56" s="4127">
        <f t="shared" si="164"/>
        <v>0</v>
      </c>
      <c r="CC56" s="4161">
        <f t="shared" si="164"/>
        <v>0</v>
      </c>
      <c r="CD56" s="4127">
        <f t="shared" si="164"/>
        <v>0</v>
      </c>
      <c r="CE56" s="4127">
        <f t="shared" si="164"/>
        <v>1001032.9459999999</v>
      </c>
      <c r="CF56" s="4127">
        <f t="shared" si="164"/>
        <v>0</v>
      </c>
      <c r="CG56" s="4127">
        <f t="shared" si="164"/>
        <v>0</v>
      </c>
      <c r="CH56" s="4127">
        <f t="shared" si="164"/>
        <v>0</v>
      </c>
      <c r="CI56" s="4127">
        <f t="shared" si="164"/>
        <v>1001032.9459999999</v>
      </c>
      <c r="CJ56" s="4127">
        <f t="shared" si="164"/>
        <v>0</v>
      </c>
      <c r="CK56" s="4127">
        <f t="shared" si="164"/>
        <v>0</v>
      </c>
      <c r="CL56" s="4127">
        <f t="shared" si="164"/>
        <v>0</v>
      </c>
      <c r="CM56" s="4127">
        <f t="shared" si="164"/>
        <v>1001032.9459999999</v>
      </c>
      <c r="CN56" s="4127">
        <f t="shared" si="164"/>
        <v>0</v>
      </c>
      <c r="CO56" s="4127">
        <f t="shared" si="164"/>
        <v>0</v>
      </c>
      <c r="CP56" s="4127">
        <f t="shared" si="164"/>
        <v>0</v>
      </c>
      <c r="CQ56" s="4161">
        <f t="shared" si="164"/>
        <v>0</v>
      </c>
      <c r="CR56" s="4127">
        <f t="shared" si="164"/>
        <v>0</v>
      </c>
      <c r="CS56" s="4174">
        <f t="shared" si="164"/>
        <v>0</v>
      </c>
      <c r="CT56" s="4160">
        <f t="shared" si="164"/>
        <v>0</v>
      </c>
      <c r="CU56" s="4160">
        <f t="shared" si="164"/>
        <v>1001032.9459999999</v>
      </c>
      <c r="CV56" s="4159"/>
      <c r="CW56" s="4168"/>
      <c r="CX56" s="639"/>
    </row>
    <row r="57" spans="1:105" x14ac:dyDescent="0.25">
      <c r="A57" s="4151"/>
      <c r="B57" s="4151"/>
      <c r="C57" s="4151"/>
      <c r="D57" s="4151"/>
      <c r="E57" s="4150"/>
      <c r="F57" s="4151"/>
      <c r="G57" s="4151"/>
      <c r="H57" s="4151"/>
      <c r="I57" s="4151"/>
      <c r="J57" s="4151"/>
      <c r="K57" s="4151"/>
      <c r="L57" s="4151"/>
      <c r="M57" s="4151"/>
      <c r="N57" s="4151"/>
      <c r="O57" s="4151"/>
      <c r="P57" s="4151"/>
      <c r="Q57" s="4151"/>
      <c r="R57" s="4151"/>
      <c r="S57" s="4151"/>
      <c r="T57" s="4151"/>
      <c r="U57" s="4151"/>
      <c r="V57" s="4151"/>
      <c r="W57" s="4151"/>
      <c r="X57" s="4151"/>
      <c r="Y57" s="4151"/>
      <c r="Z57" s="4151"/>
      <c r="AA57" s="4151"/>
      <c r="AB57" s="4151"/>
      <c r="AC57" s="4151"/>
      <c r="AD57" s="4151"/>
      <c r="AE57" s="4151"/>
      <c r="AF57" s="4151"/>
      <c r="AG57" s="4151"/>
      <c r="AH57" s="4151"/>
      <c r="AI57" s="4151"/>
      <c r="AJ57" s="4151"/>
      <c r="AK57" s="4151"/>
      <c r="AL57" s="4151"/>
      <c r="AM57" s="4151"/>
      <c r="AN57" s="4151"/>
      <c r="AO57" s="4151"/>
      <c r="AP57" s="4151"/>
      <c r="AQ57" s="4151"/>
      <c r="AR57" s="4151"/>
      <c r="AS57" s="4151"/>
      <c r="AT57" s="4151"/>
      <c r="AU57" s="4151"/>
      <c r="AV57" s="4151"/>
      <c r="AW57" s="4151"/>
      <c r="AX57" s="4151"/>
      <c r="AY57" s="4151"/>
      <c r="AZ57" s="4151"/>
      <c r="BA57" s="4151"/>
      <c r="BB57" s="4151"/>
      <c r="BC57" s="4151"/>
      <c r="BD57" s="4151"/>
      <c r="BE57" s="4151"/>
      <c r="BF57" s="4151"/>
      <c r="BG57" s="4151"/>
      <c r="BH57" s="4151"/>
      <c r="BI57" s="4151"/>
      <c r="BJ57" s="4151"/>
      <c r="BK57" s="4151"/>
      <c r="BL57" s="4151"/>
      <c r="BM57" s="4151"/>
      <c r="BN57" s="4151"/>
      <c r="BO57" s="4151"/>
      <c r="BP57" s="4151"/>
      <c r="BQ57" s="4151"/>
      <c r="BR57" s="4151"/>
      <c r="BS57" s="4151"/>
      <c r="BT57" s="4151"/>
      <c r="BU57" s="4151"/>
      <c r="BV57" s="4151"/>
      <c r="BW57" s="4151"/>
      <c r="BX57" s="4151"/>
      <c r="BY57" s="4151"/>
      <c r="BZ57" s="4151"/>
      <c r="CA57" s="4151"/>
      <c r="CB57" s="4151"/>
      <c r="CC57" s="4151"/>
      <c r="CD57" s="4151"/>
      <c r="CE57" s="4151"/>
      <c r="CF57" s="4151"/>
      <c r="CG57" s="4151"/>
      <c r="CH57" s="4151"/>
      <c r="CI57" s="4151"/>
      <c r="CJ57" s="4151"/>
      <c r="CK57" s="4151"/>
      <c r="CL57" s="4151"/>
      <c r="CM57" s="4151"/>
      <c r="CN57" s="4151"/>
      <c r="CO57" s="4151"/>
      <c r="CP57" s="4151"/>
      <c r="CQ57" s="4151"/>
      <c r="CR57" s="4151"/>
      <c r="CS57" s="4151"/>
      <c r="CT57" s="4151"/>
      <c r="CU57" s="4149"/>
      <c r="CV57" s="639"/>
      <c r="CW57" s="639"/>
      <c r="CX57" s="639"/>
    </row>
    <row r="58" spans="1:105" x14ac:dyDescent="0.25">
      <c r="A58" s="4151"/>
      <c r="B58" s="4151"/>
      <c r="C58" s="4151"/>
      <c r="D58" s="4151"/>
      <c r="E58" s="4150" t="s">
        <v>1109</v>
      </c>
      <c r="F58" s="4158">
        <f>+F56-SMS!F29</f>
        <v>0</v>
      </c>
      <c r="G58" s="4158">
        <f>+G56-SMS!H29</f>
        <v>155.58000000000175</v>
      </c>
      <c r="H58" s="4158">
        <f>+H56-SMS!L29</f>
        <v>-2</v>
      </c>
      <c r="I58" s="4158">
        <f>+I56-SMS!N29</f>
        <v>153.5800000000163</v>
      </c>
      <c r="J58" s="4158">
        <f>+J56-SMS!P29</f>
        <v>158</v>
      </c>
      <c r="K58" s="4158">
        <f>+K56-SMS!T29</f>
        <v>154.25400000000081</v>
      </c>
      <c r="L58" s="4130"/>
      <c r="M58" s="4130"/>
      <c r="N58" s="4130"/>
      <c r="O58" s="4130"/>
      <c r="P58" s="4130"/>
      <c r="Q58" s="4130"/>
      <c r="R58" s="4130"/>
      <c r="S58" s="4130"/>
      <c r="T58" s="4130"/>
      <c r="U58" s="4130"/>
      <c r="V58" s="4130"/>
      <c r="W58" s="4130"/>
      <c r="X58" s="4158"/>
      <c r="Y58" s="4158">
        <f>Y56-SMS!F32</f>
        <v>0</v>
      </c>
      <c r="Z58" s="4158"/>
      <c r="AA58" s="4158"/>
      <c r="AB58" s="4158"/>
      <c r="AC58" s="4158"/>
      <c r="AD58" s="4158"/>
      <c r="AE58" s="4158"/>
      <c r="AF58" s="4158"/>
      <c r="AG58" s="4130"/>
      <c r="AH58" s="4130"/>
      <c r="AI58" s="4158"/>
      <c r="AJ58" s="4130"/>
      <c r="AK58" s="4130"/>
      <c r="AL58" s="4130"/>
      <c r="AM58" s="4130"/>
      <c r="AN58" s="4130"/>
      <c r="AO58" s="4130"/>
      <c r="AP58" s="4130"/>
      <c r="AQ58" s="4158"/>
      <c r="AR58" s="4158"/>
      <c r="AS58" s="4158"/>
      <c r="AT58" s="4151"/>
      <c r="AU58" s="4158">
        <f>+AU56-(SMS!F29+SMS!F32)</f>
        <v>0</v>
      </c>
      <c r="AV58" s="4158"/>
      <c r="AW58" s="4158">
        <f>+AW56-(SMS!H29+SMS!H32)</f>
        <v>-2.5399999999790452</v>
      </c>
      <c r="AX58" s="4158"/>
      <c r="AY58" s="4158"/>
      <c r="AZ58" s="4158"/>
      <c r="BA58" s="4158">
        <f>+BA56-(SMS!L29+SMS!L32)</f>
        <v>-3</v>
      </c>
      <c r="BB58" s="4158"/>
      <c r="BC58" s="4158"/>
      <c r="BD58" s="4158"/>
      <c r="BE58" s="4158">
        <f>+BE56-(SMS!P29+SMS!P32)</f>
        <v>-2</v>
      </c>
      <c r="BF58" s="4158"/>
      <c r="BG58" s="4158">
        <f>+BG56-(SMS!R29+SMS!R32)</f>
        <v>-7.5400000000372529</v>
      </c>
      <c r="BH58" s="4158"/>
      <c r="BI58" s="4158">
        <f>+BI56-(SMS!T29+SMS!T32)</f>
        <v>-0.51400000002468005</v>
      </c>
      <c r="BJ58" s="4158"/>
      <c r="BK58" s="4158">
        <f>+BK56-(SMS!V29+SMS!V32)</f>
        <v>-8.0540000001201406</v>
      </c>
      <c r="BL58" s="4158"/>
      <c r="BM58" s="4158">
        <f>+BM56-(SMS!X29+SMS!X32)</f>
        <v>-154.60000000000582</v>
      </c>
      <c r="BN58" s="4158">
        <f>+BN56-(SMS!Y29+SMS!Y32)</f>
        <v>-433247.99868447694</v>
      </c>
      <c r="BO58" s="4158">
        <f>+BO56-(SMS!Z29+SMS!Z32)</f>
        <v>-157.1140000000596</v>
      </c>
      <c r="BP58" s="4158">
        <f>+BP56-(SMS!AA29+SMS!AA32)</f>
        <v>-952133.73994982196</v>
      </c>
      <c r="BQ58" s="4158">
        <f>+BQ56-(SMS!AB29+SMS!AB32)</f>
        <v>-162.65399999998044</v>
      </c>
      <c r="BR58" s="4158"/>
      <c r="BS58" s="4158">
        <f>+BS56-(SMS!AD29+SMS!AD32)</f>
        <v>-167894</v>
      </c>
      <c r="BT58" s="4158">
        <f>+BT56-(SMS!AE29+SMS!AE32)</f>
        <v>-1129883.739949822</v>
      </c>
      <c r="BU58" s="4158">
        <f>+BU56-(SMS!AF29+SMS!AF32)</f>
        <v>-214310.19400000002</v>
      </c>
      <c r="BV58" s="4158">
        <f>+BV56-(SMS!AG29+SMS!AG32)</f>
        <v>-171825</v>
      </c>
      <c r="BW58" s="4158">
        <f>+BW56-(SMS!AH29+SMS!AH32)</f>
        <v>-7917</v>
      </c>
      <c r="BX58" s="4158">
        <f>+BX56-(SMS!AI29+SMS!AI32)</f>
        <v>-1301708.739949822</v>
      </c>
      <c r="BY58" s="4158">
        <f>+BY56-(SMS!AJ29+SMS!AJ32)</f>
        <v>-222227.19400000002</v>
      </c>
      <c r="BZ58" s="4158">
        <f>+BZ56-(SMS!AK29+SMS!AK32)</f>
        <v>-177840.45</v>
      </c>
      <c r="CA58" s="4158">
        <f>+CA56-(SMS!AL29+SMS!AL32)</f>
        <v>-175760.37</v>
      </c>
      <c r="CB58" s="4158">
        <f>+CB56-(SMS!AM29+SMS!AM32)</f>
        <v>-527415.44999999995</v>
      </c>
      <c r="CC58" s="4158">
        <f>+CC56-(SMS!AN29+SMS!AN32)</f>
        <v>-351571.37</v>
      </c>
      <c r="CD58" s="4158">
        <f>+CD56-(SMS!AO29+SMS!AO32)</f>
        <v>-1479549.1899498219</v>
      </c>
      <c r="CE58" s="4158">
        <f>+CE56-(SMS!AP29+SMS!AP32)</f>
        <v>-397987.5639999999</v>
      </c>
      <c r="CF58" s="4158">
        <f>+CF56-(SMS!AQ29+SMS!AQ32)</f>
        <v>-177750</v>
      </c>
      <c r="CG58" s="4158">
        <f>+CG56-(SMS!AR29+SMS!AR32)</f>
        <v>-183032</v>
      </c>
      <c r="CH58" s="4158">
        <f>+CH56-(SMS!AS29+SMS!AS32)</f>
        <v>-1657299.1899498219</v>
      </c>
      <c r="CI58" s="4158">
        <f>+CI56-(SMS!AT29+SMS!AT32)</f>
        <v>-581019.5639999999</v>
      </c>
      <c r="CJ58" s="4158">
        <f>+CJ56-(SMS!AU29+SMS!AU32)</f>
        <v>-159975</v>
      </c>
      <c r="CK58" s="4158">
        <f>+CK56-(SMS!AV29+SMS!AV32)</f>
        <v>-163770</v>
      </c>
      <c r="CL58" s="4158">
        <f>+CL56-(SMS!AW29+SMS!AW32)</f>
        <v>-1817274.1899498219</v>
      </c>
      <c r="CM58" s="4158">
        <f>+CM56-(SMS!AX29+SMS!AX32)</f>
        <v>-744789.5639999999</v>
      </c>
      <c r="CN58" s="4158">
        <f>+CN56-(SMS!AY29+SMS!AY32)</f>
        <v>-177750</v>
      </c>
      <c r="CO58" s="4158">
        <f>+CO56-(SMS!AZ29+SMS!AZ32)</f>
        <v>-171866</v>
      </c>
      <c r="CP58" s="4158">
        <f>+CP56-(SMS!BA29+SMS!BA32)</f>
        <v>-515475</v>
      </c>
      <c r="CQ58" s="4158">
        <f>+CQ56-(SMS!BB29+SMS!BB32)</f>
        <v>-518668</v>
      </c>
      <c r="CR58" s="4158">
        <f>+CR56-(SMS!BC29+SMS!BC32)</f>
        <v>-1042890.45</v>
      </c>
      <c r="CS58" s="4158">
        <f>+CS56-(SMS!BD29+SMS!BD32)</f>
        <v>-870239.37</v>
      </c>
      <c r="CT58" s="4158">
        <f>+CT56-(SMS!BE29+SMS!BE32)</f>
        <v>-1995024.1899498219</v>
      </c>
      <c r="CU58" s="4158">
        <f>+CU56-(SMS!BF29+SMS!BF32)</f>
        <v>-916655.5639999999</v>
      </c>
      <c r="CV58" s="639"/>
      <c r="CW58" s="639"/>
      <c r="CX58" s="639"/>
    </row>
    <row r="59" spans="1:105" x14ac:dyDescent="0.25">
      <c r="A59" s="4151"/>
      <c r="B59" s="4151"/>
      <c r="C59" s="4151"/>
      <c r="D59" s="4151"/>
      <c r="E59" s="4150"/>
      <c r="F59" s="4151"/>
      <c r="G59" s="4151"/>
      <c r="H59" s="4151"/>
      <c r="I59" s="4151"/>
      <c r="J59" s="4151"/>
      <c r="K59" s="4151"/>
      <c r="L59" s="4151"/>
      <c r="M59" s="4151"/>
      <c r="N59" s="4151"/>
      <c r="O59" s="4151"/>
      <c r="P59" s="4151"/>
      <c r="Q59" s="4151"/>
      <c r="R59" s="4151"/>
      <c r="S59" s="4151"/>
      <c r="T59" s="4151"/>
      <c r="U59" s="4151"/>
      <c r="V59" s="4151"/>
      <c r="W59" s="4151"/>
      <c r="X59" s="4151"/>
      <c r="Y59" s="4151"/>
      <c r="Z59" s="4151"/>
      <c r="AA59" s="4151"/>
      <c r="AB59" s="4151"/>
      <c r="AC59" s="4151"/>
      <c r="AD59" s="4151"/>
      <c r="AE59" s="4151"/>
      <c r="AF59" s="4151"/>
      <c r="AG59" s="4151"/>
      <c r="AH59" s="4151"/>
      <c r="AI59" s="4151"/>
      <c r="AJ59" s="4151"/>
      <c r="AK59" s="4151"/>
      <c r="AL59" s="4151"/>
      <c r="AM59" s="4151"/>
      <c r="AN59" s="4151"/>
      <c r="AO59" s="4151"/>
      <c r="AP59" s="4151"/>
      <c r="AQ59" s="4151"/>
      <c r="AR59" s="4151"/>
      <c r="AS59" s="4151"/>
      <c r="AT59" s="4151"/>
      <c r="AU59" s="4151"/>
      <c r="AV59" s="4151"/>
      <c r="AW59" s="4151"/>
      <c r="AX59" s="4151"/>
      <c r="AY59" s="4151"/>
      <c r="AZ59" s="4151"/>
      <c r="BA59" s="4151"/>
      <c r="BB59" s="4151"/>
      <c r="BC59" s="4151"/>
      <c r="BD59" s="4151"/>
      <c r="BE59" s="4151"/>
      <c r="BF59" s="4151"/>
      <c r="BG59" s="4151"/>
      <c r="BH59" s="4151"/>
      <c r="BI59" s="4151"/>
      <c r="BJ59" s="4151"/>
      <c r="BK59" s="4151"/>
      <c r="BL59" s="4151"/>
      <c r="BM59" s="4151"/>
      <c r="BN59" s="4151"/>
      <c r="BO59" s="4151"/>
      <c r="BP59" s="4151"/>
      <c r="BQ59" s="4151"/>
      <c r="BR59" s="4151"/>
      <c r="BS59" s="4151"/>
      <c r="BT59" s="4151"/>
      <c r="BU59" s="4151"/>
      <c r="BV59" s="4151"/>
      <c r="BW59" s="4151"/>
      <c r="BX59" s="4151"/>
      <c r="BY59" s="4151"/>
      <c r="BZ59" s="4151"/>
      <c r="CA59" s="4151"/>
      <c r="CB59" s="4151"/>
      <c r="CC59" s="4151"/>
      <c r="CD59" s="4151"/>
      <c r="CE59" s="4151"/>
      <c r="CF59" s="4151"/>
      <c r="CG59" s="4151"/>
      <c r="CH59" s="4151"/>
      <c r="CI59" s="4151"/>
      <c r="CJ59" s="4151"/>
      <c r="CK59" s="4151"/>
      <c r="CL59" s="4151"/>
      <c r="CM59" s="4151"/>
      <c r="CN59" s="4151"/>
      <c r="CO59" s="4151"/>
      <c r="CP59" s="4151"/>
      <c r="CQ59" s="4151"/>
      <c r="CR59" s="4151"/>
      <c r="CS59" s="4151"/>
      <c r="CT59" s="4151"/>
      <c r="CU59" s="4149"/>
      <c r="CV59" s="639"/>
      <c r="CW59" s="639"/>
      <c r="CX59" s="639"/>
    </row>
    <row r="60" spans="1:105" x14ac:dyDescent="0.25">
      <c r="AP60" s="4168"/>
      <c r="CV60" s="639"/>
      <c r="CW60" s="639"/>
      <c r="CX60" s="639"/>
      <c r="CY60" s="639"/>
      <c r="CZ60" s="639"/>
      <c r="DA60" s="639"/>
    </row>
    <row r="61" spans="1:105" x14ac:dyDescent="0.25">
      <c r="AU61" s="4168"/>
      <c r="AV61" s="4168"/>
      <c r="AW61" s="4168"/>
      <c r="AX61" s="4168"/>
      <c r="AY61" s="4168"/>
      <c r="AZ61" s="4168"/>
      <c r="BA61" s="4168"/>
      <c r="BB61" s="4168"/>
      <c r="BC61" s="4168"/>
      <c r="BD61" s="4168"/>
      <c r="BE61" s="4168"/>
      <c r="BF61" s="4168"/>
      <c r="BG61" s="4168"/>
      <c r="BH61" s="4168"/>
      <c r="BI61" s="4168"/>
      <c r="BJ61" s="4168"/>
      <c r="BK61" s="4168"/>
      <c r="BL61" s="4168"/>
      <c r="BM61" s="4168"/>
      <c r="BN61" s="4168"/>
      <c r="BO61" s="4168"/>
      <c r="BP61" s="4168"/>
      <c r="BQ61" s="4168"/>
      <c r="BR61" s="4168"/>
      <c r="BS61" s="4168"/>
      <c r="BT61" s="4168"/>
      <c r="BU61" s="4168"/>
      <c r="BV61" s="4168"/>
      <c r="CV61" s="639"/>
      <c r="CW61" s="639"/>
      <c r="CX61" s="639"/>
      <c r="CY61" s="639"/>
      <c r="CZ61" s="639"/>
      <c r="DA61" s="639"/>
    </row>
    <row r="62" spans="1:105" ht="21" x14ac:dyDescent="0.35">
      <c r="E62" s="5057" t="s">
        <v>2153</v>
      </c>
      <c r="F62" s="4168"/>
      <c r="O62" s="4168"/>
    </row>
    <row r="63" spans="1:105" x14ac:dyDescent="0.25">
      <c r="F63" s="4168"/>
      <c r="AH63" s="4168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</mergeCells>
  <printOptions horizontalCentered="1" verticalCentered="1"/>
  <pageMargins left="0" right="0" top="0" bottom="0" header="0" footer="0"/>
  <pageSetup paperSize="9" scale="3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F97575"/>
    <pageSetUpPr fitToPage="1"/>
  </sheetPr>
  <dimension ref="A1:BJ46"/>
  <sheetViews>
    <sheetView zoomScaleNormal="100" workbookViewId="0">
      <pane xSplit="1" topLeftCell="B1" activePane="topRight" state="frozen"/>
      <selection activeCell="BG86" sqref="BG86"/>
      <selection pane="topRight" activeCell="BG18" sqref="BG18"/>
    </sheetView>
  </sheetViews>
  <sheetFormatPr defaultColWidth="9.140625" defaultRowHeight="15.75" x14ac:dyDescent="0.25"/>
  <cols>
    <col min="1" max="1" width="55.85546875" style="152" customWidth="1"/>
    <col min="2" max="2" width="10.140625" style="152" hidden="1" customWidth="1"/>
    <col min="3" max="3" width="8.7109375" style="152" customWidth="1"/>
    <col min="4" max="4" width="10.28515625" style="152" hidden="1" customWidth="1"/>
    <col min="5" max="5" width="10.42578125" style="152" customWidth="1"/>
    <col min="6" max="6" width="10.42578125" style="152" hidden="1" customWidth="1"/>
    <col min="7" max="7" width="10.7109375" style="152" hidden="1" customWidth="1"/>
    <col min="8" max="8" width="9.140625" style="152" hidden="1" customWidth="1"/>
    <col min="9" max="9" width="9.5703125" style="152" customWidth="1"/>
    <col min="10" max="10" width="9.5703125" style="152" hidden="1" customWidth="1"/>
    <col min="11" max="11" width="10.7109375" style="152" customWidth="1"/>
    <col min="12" max="12" width="13" style="152" hidden="1" customWidth="1"/>
    <col min="13" max="13" width="12.5703125" style="152" customWidth="1"/>
    <col min="14" max="14" width="12.5703125" style="152" hidden="1" customWidth="1"/>
    <col min="15" max="15" width="16.85546875" style="152" hidden="1" customWidth="1"/>
    <col min="16" max="16" width="13" style="152" hidden="1" customWidth="1"/>
    <col min="17" max="17" width="12.5703125" style="152" customWidth="1"/>
    <col min="18" max="18" width="10.42578125" style="152" hidden="1" customWidth="1"/>
    <col min="19" max="19" width="10.7109375" style="152" hidden="1" customWidth="1"/>
    <col min="20" max="20" width="17" style="152" hidden="1" customWidth="1"/>
    <col min="21" max="21" width="11" style="152" customWidth="1"/>
    <col min="22" max="22" width="11" style="152" hidden="1" customWidth="1"/>
    <col min="23" max="23" width="10.7109375" style="152" customWidth="1"/>
    <col min="24" max="24" width="10.7109375" style="152" hidden="1" customWidth="1"/>
    <col min="25" max="25" width="10.7109375" style="152" customWidth="1"/>
    <col min="26" max="26" width="10.7109375" style="152" hidden="1" customWidth="1"/>
    <col min="27" max="28" width="9.140625" style="152" hidden="1" customWidth="1"/>
    <col min="29" max="30" width="10.7109375" style="152" hidden="1" customWidth="1"/>
    <col min="31" max="32" width="9.140625" style="152" hidden="1" customWidth="1"/>
    <col min="33" max="34" width="10.7109375" style="152" hidden="1" customWidth="1"/>
    <col min="35" max="36" width="9.140625" style="152" hidden="1" customWidth="1"/>
    <col min="37" max="38" width="10.7109375" style="152" hidden="1" customWidth="1"/>
    <col min="39" max="39" width="7.85546875" style="152" hidden="1" customWidth="1"/>
    <col min="40" max="40" width="33.7109375" style="152" hidden="1" customWidth="1"/>
    <col min="41" max="42" width="9.140625" style="152" hidden="1" customWidth="1"/>
    <col min="43" max="44" width="10.7109375" style="152" hidden="1" customWidth="1"/>
    <col min="45" max="46" width="9.140625" style="152" hidden="1" customWidth="1"/>
    <col min="47" max="48" width="10.7109375" style="152" hidden="1" customWidth="1"/>
    <col min="49" max="50" width="9.140625" style="152" hidden="1" customWidth="1"/>
    <col min="51" max="51" width="10.7109375" style="152" hidden="1" customWidth="1"/>
    <col min="52" max="52" width="9.140625" style="152" hidden="1" customWidth="1"/>
    <col min="53" max="55" width="10.7109375" style="152" hidden="1" customWidth="1"/>
    <col min="56" max="16384" width="9.140625" style="152"/>
  </cols>
  <sheetData>
    <row r="1" spans="1:57" ht="15.6" x14ac:dyDescent="0.3">
      <c r="A1" s="3142"/>
      <c r="B1" s="3142"/>
      <c r="C1" s="3126"/>
      <c r="D1" s="3126"/>
      <c r="E1" s="3126"/>
      <c r="F1" s="3126"/>
      <c r="G1" s="3126"/>
      <c r="H1" s="3126"/>
      <c r="I1" s="3126"/>
      <c r="J1" s="3126"/>
      <c r="K1" s="3126"/>
      <c r="L1" s="3126"/>
      <c r="M1" s="3126"/>
      <c r="N1" s="3126"/>
      <c r="O1" s="3126"/>
      <c r="P1" s="3126"/>
      <c r="Q1" s="3126"/>
      <c r="R1" s="3126"/>
      <c r="S1" s="3126"/>
      <c r="T1" s="3126"/>
      <c r="U1" s="3126"/>
      <c r="V1" s="3126"/>
      <c r="W1" s="3126"/>
      <c r="X1" s="3126"/>
      <c r="Y1" s="3126"/>
      <c r="Z1" s="3126"/>
    </row>
    <row r="2" spans="1:57" ht="17.45" x14ac:dyDescent="0.3">
      <c r="A2" s="6165" t="s">
        <v>2220</v>
      </c>
      <c r="B2" s="6165"/>
      <c r="C2" s="6165"/>
      <c r="D2" s="6165"/>
      <c r="E2" s="6165"/>
      <c r="F2" s="6165"/>
      <c r="G2" s="6165"/>
      <c r="H2" s="6165"/>
      <c r="I2" s="6165"/>
      <c r="J2" s="6165"/>
      <c r="K2" s="6165"/>
      <c r="L2" s="6165"/>
      <c r="M2" s="6165"/>
      <c r="N2" s="6165"/>
      <c r="O2" s="6165"/>
      <c r="P2" s="6165"/>
      <c r="Q2" s="6165"/>
      <c r="R2" s="6165"/>
      <c r="S2" s="6165"/>
      <c r="T2" s="6165"/>
      <c r="U2" s="6165"/>
      <c r="V2" s="6165"/>
      <c r="W2" s="6165"/>
      <c r="X2" s="6165"/>
      <c r="Y2" s="6165"/>
      <c r="Z2" s="6165"/>
      <c r="AA2" s="6165"/>
      <c r="AB2" s="6165"/>
      <c r="AC2" s="6165"/>
      <c r="AD2" s="6165"/>
      <c r="AE2" s="6165"/>
      <c r="AF2" s="6165"/>
      <c r="AG2" s="6165"/>
      <c r="AH2" s="6165"/>
      <c r="AI2" s="6165"/>
      <c r="AJ2" s="6165"/>
      <c r="AK2" s="6165"/>
      <c r="AL2" s="6165"/>
      <c r="AM2" s="6165"/>
      <c r="AN2" s="6165"/>
      <c r="AO2" s="6165"/>
      <c r="AP2" s="6165"/>
      <c r="AQ2" s="6165"/>
      <c r="AR2" s="6165"/>
      <c r="AS2" s="6165"/>
      <c r="AT2" s="6165"/>
      <c r="AU2" s="6165"/>
      <c r="AV2" s="6165"/>
      <c r="AW2" s="6165"/>
      <c r="AX2" s="6165"/>
      <c r="AY2" s="6165"/>
      <c r="AZ2" s="6165"/>
      <c r="BA2" s="6165"/>
      <c r="BB2" s="6165"/>
      <c r="BC2" s="6165"/>
    </row>
    <row r="3" spans="1:57" ht="16.149999999999999" thickBot="1" x14ac:dyDescent="0.35">
      <c r="A3" s="3142"/>
      <c r="B3" s="3142"/>
      <c r="C3" s="3126"/>
      <c r="D3" s="3126"/>
      <c r="E3" s="3126"/>
      <c r="F3" s="3126"/>
      <c r="G3" s="3126"/>
      <c r="H3" s="3126"/>
      <c r="I3" s="3126"/>
      <c r="J3" s="3126"/>
      <c r="K3" s="3126"/>
      <c r="L3" s="3126"/>
      <c r="M3" s="3126"/>
      <c r="N3" s="3126"/>
      <c r="O3" s="3126"/>
      <c r="P3" s="3126"/>
      <c r="Q3" s="3126"/>
      <c r="R3" s="3126"/>
      <c r="S3" s="3126"/>
      <c r="T3" s="3126"/>
      <c r="U3" s="3126"/>
      <c r="V3" s="3126"/>
      <c r="W3" s="3126"/>
      <c r="X3" s="3126"/>
      <c r="Y3" s="3126"/>
      <c r="Z3" s="3126"/>
    </row>
    <row r="4" spans="1:57" x14ac:dyDescent="0.25">
      <c r="A4" s="6168"/>
      <c r="B4" s="6161" t="s">
        <v>2190</v>
      </c>
      <c r="C4" s="6154"/>
      <c r="D4" s="6161" t="s">
        <v>2242</v>
      </c>
      <c r="E4" s="6154"/>
      <c r="F4" s="6155" t="s">
        <v>14</v>
      </c>
      <c r="G4" s="6156"/>
      <c r="H4" s="6157" t="s">
        <v>2273</v>
      </c>
      <c r="I4" s="6158"/>
      <c r="J4" s="6159" t="s">
        <v>637</v>
      </c>
      <c r="K4" s="6160"/>
      <c r="L4" s="6161" t="s">
        <v>2296</v>
      </c>
      <c r="M4" s="6154"/>
      <c r="N4" s="6155" t="s">
        <v>17</v>
      </c>
      <c r="O4" s="6156"/>
      <c r="P4" s="6166" t="s">
        <v>2299</v>
      </c>
      <c r="Q4" s="6167"/>
      <c r="R4" s="6155" t="s">
        <v>18</v>
      </c>
      <c r="S4" s="6156"/>
      <c r="T4" s="6153" t="s">
        <v>2344</v>
      </c>
      <c r="U4" s="6162"/>
      <c r="V4" s="6163" t="s">
        <v>839</v>
      </c>
      <c r="W4" s="6163"/>
      <c r="X4" s="6164" t="s">
        <v>657</v>
      </c>
      <c r="Y4" s="6164"/>
      <c r="Z4" s="6161" t="s">
        <v>1954</v>
      </c>
      <c r="AA4" s="6154"/>
      <c r="AB4" s="6155" t="s">
        <v>24</v>
      </c>
      <c r="AC4" s="6156"/>
      <c r="AD4" s="6161" t="s">
        <v>1970</v>
      </c>
      <c r="AE4" s="6154"/>
      <c r="AF4" s="6155" t="s">
        <v>27</v>
      </c>
      <c r="AG4" s="6156"/>
      <c r="AH4" s="6153" t="s">
        <v>1985</v>
      </c>
      <c r="AI4" s="6162"/>
      <c r="AJ4" s="6163" t="s">
        <v>1665</v>
      </c>
      <c r="AK4" s="6163"/>
      <c r="AL4" s="6155" t="s">
        <v>1666</v>
      </c>
      <c r="AM4" s="6156"/>
      <c r="AN4" s="6161" t="s">
        <v>2085</v>
      </c>
      <c r="AO4" s="6154"/>
      <c r="AP4" s="6155" t="s">
        <v>28</v>
      </c>
      <c r="AQ4" s="6156"/>
      <c r="AR4" s="6161" t="s">
        <v>2099</v>
      </c>
      <c r="AS4" s="6154"/>
      <c r="AT4" s="6155" t="s">
        <v>30</v>
      </c>
      <c r="AU4" s="6156"/>
      <c r="AV4" s="6161" t="s">
        <v>2111</v>
      </c>
      <c r="AW4" s="6154"/>
      <c r="AX4" s="6163" t="s">
        <v>1709</v>
      </c>
      <c r="AY4" s="6163"/>
      <c r="AZ4" s="6164" t="s">
        <v>671</v>
      </c>
      <c r="BA4" s="6164"/>
      <c r="BB4" s="6155" t="s">
        <v>1745</v>
      </c>
      <c r="BC4" s="6156"/>
    </row>
    <row r="5" spans="1:57" ht="16.5" thickBot="1" x14ac:dyDescent="0.3">
      <c r="A5" s="6169"/>
      <c r="B5" s="3136" t="s">
        <v>173</v>
      </c>
      <c r="C5" s="3129" t="s">
        <v>174</v>
      </c>
      <c r="D5" s="3136" t="s">
        <v>173</v>
      </c>
      <c r="E5" s="3129" t="s">
        <v>174</v>
      </c>
      <c r="F5" s="3130" t="s">
        <v>173</v>
      </c>
      <c r="G5" s="3131" t="s">
        <v>174</v>
      </c>
      <c r="H5" s="3132" t="s">
        <v>173</v>
      </c>
      <c r="I5" s="3133" t="s">
        <v>174</v>
      </c>
      <c r="J5" s="3134" t="s">
        <v>173</v>
      </c>
      <c r="K5" s="3135" t="s">
        <v>174</v>
      </c>
      <c r="L5" s="3132" t="s">
        <v>173</v>
      </c>
      <c r="M5" s="3129" t="s">
        <v>174</v>
      </c>
      <c r="N5" s="3130" t="s">
        <v>173</v>
      </c>
      <c r="O5" s="3131" t="s">
        <v>174</v>
      </c>
      <c r="P5" s="3132" t="s">
        <v>173</v>
      </c>
      <c r="Q5" s="3129" t="s">
        <v>174</v>
      </c>
      <c r="R5" s="3130" t="s">
        <v>173</v>
      </c>
      <c r="S5" s="3131" t="s">
        <v>174</v>
      </c>
      <c r="T5" s="3128" t="s">
        <v>173</v>
      </c>
      <c r="U5" s="3152" t="s">
        <v>174</v>
      </c>
      <c r="V5" s="3153" t="s">
        <v>173</v>
      </c>
      <c r="W5" s="3153" t="s">
        <v>174</v>
      </c>
      <c r="X5" s="3154" t="s">
        <v>173</v>
      </c>
      <c r="Y5" s="3154" t="s">
        <v>174</v>
      </c>
      <c r="Z5" s="3136" t="s">
        <v>173</v>
      </c>
      <c r="AA5" s="3129" t="s">
        <v>174</v>
      </c>
      <c r="AB5" s="3130" t="s">
        <v>173</v>
      </c>
      <c r="AC5" s="3131" t="s">
        <v>174</v>
      </c>
      <c r="AD5" s="3136" t="s">
        <v>173</v>
      </c>
      <c r="AE5" s="3129" t="s">
        <v>174</v>
      </c>
      <c r="AF5" s="3130" t="s">
        <v>173</v>
      </c>
      <c r="AG5" s="3131" t="s">
        <v>174</v>
      </c>
      <c r="AH5" s="3128" t="s">
        <v>173</v>
      </c>
      <c r="AI5" s="3152" t="s">
        <v>174</v>
      </c>
      <c r="AJ5" s="3153" t="s">
        <v>173</v>
      </c>
      <c r="AK5" s="3153" t="s">
        <v>174</v>
      </c>
      <c r="AL5" s="3130" t="s">
        <v>173</v>
      </c>
      <c r="AM5" s="3131" t="s">
        <v>174</v>
      </c>
      <c r="AN5" s="3136" t="s">
        <v>173</v>
      </c>
      <c r="AO5" s="3129" t="s">
        <v>174</v>
      </c>
      <c r="AP5" s="3130" t="s">
        <v>173</v>
      </c>
      <c r="AQ5" s="3131" t="s">
        <v>174</v>
      </c>
      <c r="AR5" s="3136" t="s">
        <v>173</v>
      </c>
      <c r="AS5" s="3129" t="s">
        <v>174</v>
      </c>
      <c r="AT5" s="3130" t="s">
        <v>173</v>
      </c>
      <c r="AU5" s="3131" t="s">
        <v>174</v>
      </c>
      <c r="AV5" s="3136" t="s">
        <v>173</v>
      </c>
      <c r="AW5" s="3129" t="s">
        <v>174</v>
      </c>
      <c r="AX5" s="3153" t="s">
        <v>173</v>
      </c>
      <c r="AY5" s="3153" t="s">
        <v>174</v>
      </c>
      <c r="AZ5" s="3154" t="s">
        <v>173</v>
      </c>
      <c r="BA5" s="3154" t="s">
        <v>174</v>
      </c>
      <c r="BB5" s="3130" t="s">
        <v>173</v>
      </c>
      <c r="BC5" s="3131" t="s">
        <v>174</v>
      </c>
    </row>
    <row r="6" spans="1:57" ht="15.6" x14ac:dyDescent="0.3">
      <c r="A6" s="3146" t="s">
        <v>644</v>
      </c>
      <c r="B6" s="3147"/>
      <c r="C6" s="3155"/>
      <c r="D6" s="3155"/>
      <c r="E6" s="3156"/>
      <c r="F6" s="3156"/>
      <c r="G6" s="3156"/>
      <c r="H6" s="3156"/>
      <c r="I6" s="3156"/>
      <c r="J6" s="3157"/>
      <c r="K6" s="3158"/>
      <c r="L6" s="3156"/>
      <c r="M6" s="3156"/>
      <c r="N6" s="3156"/>
      <c r="O6" s="3156"/>
      <c r="P6" s="3156"/>
      <c r="Q6" s="3156"/>
      <c r="R6" s="3156"/>
      <c r="S6" s="3156"/>
      <c r="T6" s="3160"/>
      <c r="U6" s="3160"/>
      <c r="V6" s="3160"/>
      <c r="W6" s="3158"/>
      <c r="X6" s="3159"/>
      <c r="Y6" s="3160"/>
      <c r="Z6" s="3160"/>
      <c r="AA6" s="3160"/>
      <c r="AB6" s="3160"/>
      <c r="AC6" s="3160"/>
      <c r="AD6" s="3160"/>
      <c r="AE6" s="3160"/>
      <c r="AF6" s="3160"/>
      <c r="AG6" s="3160"/>
      <c r="AH6" s="3160"/>
      <c r="AI6" s="3160"/>
      <c r="AJ6" s="3160"/>
      <c r="AK6" s="3158"/>
      <c r="AL6" s="3159"/>
      <c r="AM6" s="3160"/>
      <c r="AN6" s="3160"/>
      <c r="AO6" s="3160"/>
      <c r="AP6" s="3160"/>
      <c r="AQ6" s="3160"/>
      <c r="AR6" s="3160"/>
      <c r="AS6" s="3160"/>
      <c r="AT6" s="3160"/>
      <c r="AU6" s="3160"/>
      <c r="AV6" s="3160"/>
      <c r="AW6" s="3160"/>
      <c r="AX6" s="3160"/>
      <c r="AY6" s="3158"/>
      <c r="AZ6" s="3159"/>
      <c r="BA6" s="3160"/>
      <c r="BB6" s="3160"/>
      <c r="BC6" s="3161"/>
    </row>
    <row r="7" spans="1:57" ht="15.6" x14ac:dyDescent="0.3">
      <c r="A7" s="236" t="s">
        <v>2155</v>
      </c>
      <c r="B7" s="1524"/>
      <c r="C7" s="238"/>
      <c r="D7" s="238"/>
      <c r="E7" s="238"/>
      <c r="F7" s="1459"/>
      <c r="G7" s="1459">
        <f>+C7+E7</f>
        <v>0</v>
      </c>
      <c r="H7" s="1513"/>
      <c r="I7" s="238"/>
      <c r="J7" s="1532"/>
      <c r="K7" s="1217">
        <f>+C7+E7+I7</f>
        <v>0</v>
      </c>
      <c r="L7" s="1513"/>
      <c r="M7" s="238"/>
      <c r="N7" s="1529"/>
      <c r="O7" s="1550">
        <f>+C7+E7+I7+M7</f>
        <v>0</v>
      </c>
      <c r="P7" s="1513"/>
      <c r="Q7" s="238"/>
      <c r="R7" s="1459"/>
      <c r="S7" s="1459">
        <f>+O7+Q7</f>
        <v>0</v>
      </c>
      <c r="T7" s="2700"/>
      <c r="U7" s="238"/>
      <c r="V7" s="1529"/>
      <c r="W7" s="1217">
        <f t="shared" ref="W7:W44" si="0">+M7+Q7+U7</f>
        <v>0</v>
      </c>
      <c r="X7" s="2705"/>
      <c r="Y7" s="2707">
        <f t="shared" ref="Y7:Y44" si="1">+K7+W7</f>
        <v>0</v>
      </c>
      <c r="Z7" s="2708"/>
      <c r="AA7" s="238">
        <v>1571.31</v>
      </c>
      <c r="AB7" s="238"/>
      <c r="AC7" s="2701">
        <f>+Y7+AA7</f>
        <v>1571.31</v>
      </c>
      <c r="AD7" s="2700"/>
      <c r="AE7" s="238"/>
      <c r="AF7" s="238"/>
      <c r="AG7" s="2701">
        <f>+AC7+AE7</f>
        <v>1571.31</v>
      </c>
      <c r="AH7" s="2700"/>
      <c r="AI7" s="238">
        <v>1587</v>
      </c>
      <c r="AJ7" s="1529"/>
      <c r="AK7" s="1217">
        <f t="shared" ref="AK7:AK44" si="2">+AA7+AE7+AI7</f>
        <v>3158.31</v>
      </c>
      <c r="AL7" s="2705"/>
      <c r="AM7" s="2701">
        <f>+AG7+AI7</f>
        <v>3158.31</v>
      </c>
      <c r="AN7" s="2700"/>
      <c r="AO7" s="238">
        <v>254.59200000000001</v>
      </c>
      <c r="AP7" s="238"/>
      <c r="AQ7" s="2701">
        <f>AM7+AO7</f>
        <v>3412.902</v>
      </c>
      <c r="AR7" s="2700"/>
      <c r="AS7" s="238"/>
      <c r="AT7" s="238"/>
      <c r="AU7" s="2701">
        <f>AQ7+AS7</f>
        <v>3412.902</v>
      </c>
      <c r="AV7" s="2700"/>
      <c r="AW7" s="238"/>
      <c r="AX7" s="1529"/>
      <c r="AY7" s="1217">
        <f t="shared" ref="AY7:AY44" si="3">+AO7+AS7+AW7</f>
        <v>254.59200000000001</v>
      </c>
      <c r="AZ7" s="2705"/>
      <c r="BA7" s="2707">
        <f>+AK7+AY7</f>
        <v>3412.902</v>
      </c>
      <c r="BB7" s="2701"/>
      <c r="BC7" s="1550">
        <f t="shared" ref="BC7:BC44" si="4">AU7+AW7</f>
        <v>3412.902</v>
      </c>
      <c r="BD7" s="3141"/>
      <c r="BE7" s="3141"/>
    </row>
    <row r="8" spans="1:57" ht="15.6" x14ac:dyDescent="0.3">
      <c r="A8" s="236" t="s">
        <v>2156</v>
      </c>
      <c r="B8" s="1524"/>
      <c r="C8" s="238"/>
      <c r="D8" s="238"/>
      <c r="E8" s="238">
        <v>8</v>
      </c>
      <c r="F8" s="1459"/>
      <c r="G8" s="1459">
        <f t="shared" ref="G8:G44" si="5">+C8+E8</f>
        <v>8</v>
      </c>
      <c r="H8" s="1513"/>
      <c r="I8" s="238"/>
      <c r="J8" s="1532"/>
      <c r="K8" s="1217">
        <f t="shared" ref="K8:K44" si="6">+C8+E8+I8</f>
        <v>8</v>
      </c>
      <c r="L8" s="1513"/>
      <c r="M8" s="238"/>
      <c r="N8" s="1529"/>
      <c r="O8" s="1550">
        <f t="shared" ref="O8:O44" si="7">+C8+E8+I8+M8</f>
        <v>8</v>
      </c>
      <c r="P8" s="1513"/>
      <c r="Q8" s="238">
        <v>307.10399999999998</v>
      </c>
      <c r="R8" s="1459"/>
      <c r="S8" s="1459">
        <f t="shared" ref="S8:S44" si="8">+O8+Q8</f>
        <v>315.10399999999998</v>
      </c>
      <c r="T8" s="2700"/>
      <c r="U8" s="238"/>
      <c r="V8" s="1529"/>
      <c r="W8" s="1217">
        <f t="shared" si="0"/>
        <v>307.10399999999998</v>
      </c>
      <c r="X8" s="2705"/>
      <c r="Y8" s="2707">
        <f t="shared" si="1"/>
        <v>315.10399999999998</v>
      </c>
      <c r="Z8" s="2708"/>
      <c r="AA8" s="238">
        <v>43.758000000000003</v>
      </c>
      <c r="AB8" s="238"/>
      <c r="AC8" s="2701">
        <f t="shared" ref="AC8:AC44" si="9">+Y8+AA8</f>
        <v>358.86199999999997</v>
      </c>
      <c r="AD8" s="2700"/>
      <c r="AE8" s="238"/>
      <c r="AF8" s="238"/>
      <c r="AG8" s="2701">
        <f t="shared" ref="AG8:AG44" si="10">+AC8+AE8</f>
        <v>358.86199999999997</v>
      </c>
      <c r="AH8" s="2700"/>
      <c r="AI8" s="238">
        <v>477</v>
      </c>
      <c r="AJ8" s="1529"/>
      <c r="AK8" s="1217">
        <f t="shared" si="2"/>
        <v>520.75800000000004</v>
      </c>
      <c r="AL8" s="2705"/>
      <c r="AM8" s="2701">
        <f t="shared" ref="AM8:AM44" si="11">+AG8+AI8</f>
        <v>835.86199999999997</v>
      </c>
      <c r="AN8" s="2700"/>
      <c r="AO8" s="238">
        <v>298.35000000000002</v>
      </c>
      <c r="AP8" s="238"/>
      <c r="AQ8" s="2701">
        <f t="shared" ref="AQ8:AQ44" si="12">AM8+AO8</f>
        <v>1134.212</v>
      </c>
      <c r="AR8" s="2700"/>
      <c r="AS8" s="238"/>
      <c r="AT8" s="238"/>
      <c r="AU8" s="2701">
        <f t="shared" ref="AU8:AU44" si="13">AQ8+AS8</f>
        <v>1134.212</v>
      </c>
      <c r="AV8" s="2700"/>
      <c r="AW8" s="238"/>
      <c r="AX8" s="1529"/>
      <c r="AY8" s="1217">
        <f t="shared" si="3"/>
        <v>298.35000000000002</v>
      </c>
      <c r="AZ8" s="2705"/>
      <c r="BA8" s="2707">
        <f t="shared" ref="BA8:BA44" si="14">+AK8+AY8</f>
        <v>819.10800000000006</v>
      </c>
      <c r="BB8" s="2701"/>
      <c r="BC8" s="1550">
        <f t="shared" si="4"/>
        <v>1134.212</v>
      </c>
      <c r="BD8" s="3141"/>
      <c r="BE8" s="3141"/>
    </row>
    <row r="9" spans="1:57" ht="15.6" x14ac:dyDescent="0.3">
      <c r="A9" s="236" t="s">
        <v>1217</v>
      </c>
      <c r="B9" s="1524"/>
      <c r="C9" s="238"/>
      <c r="D9" s="238"/>
      <c r="E9" s="238">
        <v>2204</v>
      </c>
      <c r="F9" s="1459"/>
      <c r="G9" s="1459">
        <f t="shared" si="5"/>
        <v>2204</v>
      </c>
      <c r="H9" s="1513"/>
      <c r="I9" s="238"/>
      <c r="J9" s="1532"/>
      <c r="K9" s="1217">
        <f t="shared" si="6"/>
        <v>2204</v>
      </c>
      <c r="L9" s="1513"/>
      <c r="M9" s="238"/>
      <c r="N9" s="1529"/>
      <c r="O9" s="1550">
        <f t="shared" si="7"/>
        <v>2204</v>
      </c>
      <c r="P9" s="1513"/>
      <c r="Q9" s="238">
        <v>5899.3739999999998</v>
      </c>
      <c r="R9" s="1459"/>
      <c r="S9" s="1459">
        <f t="shared" si="8"/>
        <v>8103.3739999999998</v>
      </c>
      <c r="T9" s="2700"/>
      <c r="U9" s="238"/>
      <c r="V9" s="1529"/>
      <c r="W9" s="1217">
        <f t="shared" si="0"/>
        <v>5899.3739999999998</v>
      </c>
      <c r="X9" s="2705"/>
      <c r="Y9" s="2707">
        <f t="shared" si="1"/>
        <v>8103.3739999999998</v>
      </c>
      <c r="Z9" s="2708"/>
      <c r="AA9" s="238">
        <v>5183.3339999999998</v>
      </c>
      <c r="AB9" s="238"/>
      <c r="AC9" s="2701">
        <f t="shared" si="9"/>
        <v>13286.707999999999</v>
      </c>
      <c r="AD9" s="2700"/>
      <c r="AE9" s="238"/>
      <c r="AF9" s="238"/>
      <c r="AG9" s="2701">
        <f t="shared" si="10"/>
        <v>13286.707999999999</v>
      </c>
      <c r="AH9" s="2700"/>
      <c r="AI9" s="238">
        <v>10406</v>
      </c>
      <c r="AJ9" s="1529"/>
      <c r="AK9" s="1217">
        <f t="shared" si="2"/>
        <v>15589.333999999999</v>
      </c>
      <c r="AL9" s="2705"/>
      <c r="AM9" s="2701">
        <f t="shared" si="11"/>
        <v>23692.707999999999</v>
      </c>
      <c r="AN9" s="2700"/>
      <c r="AO9" s="238">
        <v>10251.306</v>
      </c>
      <c r="AP9" s="238"/>
      <c r="AQ9" s="2701">
        <f t="shared" si="12"/>
        <v>33944.013999999996</v>
      </c>
      <c r="AR9" s="2700"/>
      <c r="AS9" s="238"/>
      <c r="AT9" s="238"/>
      <c r="AU9" s="2701">
        <f t="shared" si="13"/>
        <v>33944.013999999996</v>
      </c>
      <c r="AV9" s="2700"/>
      <c r="AW9" s="238"/>
      <c r="AX9" s="1529"/>
      <c r="AY9" s="1217">
        <f t="shared" si="3"/>
        <v>10251.306</v>
      </c>
      <c r="AZ9" s="2705"/>
      <c r="BA9" s="2707">
        <f t="shared" si="14"/>
        <v>25840.639999999999</v>
      </c>
      <c r="BB9" s="2701"/>
      <c r="BC9" s="1550">
        <f t="shared" si="4"/>
        <v>33944.013999999996</v>
      </c>
      <c r="BD9" s="3141"/>
      <c r="BE9" s="3141"/>
    </row>
    <row r="10" spans="1:57" ht="15.6" x14ac:dyDescent="0.3">
      <c r="A10" s="236" t="s">
        <v>1259</v>
      </c>
      <c r="B10" s="1524"/>
      <c r="C10" s="238"/>
      <c r="D10" s="238"/>
      <c r="E10" s="2699"/>
      <c r="F10" s="2699"/>
      <c r="G10" s="1459">
        <f t="shared" si="5"/>
        <v>0</v>
      </c>
      <c r="H10" s="2699"/>
      <c r="I10" s="2699"/>
      <c r="J10" s="2697"/>
      <c r="K10" s="1217">
        <f t="shared" si="6"/>
        <v>0</v>
      </c>
      <c r="L10" s="2699"/>
      <c r="M10" s="2699"/>
      <c r="N10" s="2697"/>
      <c r="O10" s="1550">
        <f t="shared" si="7"/>
        <v>0</v>
      </c>
      <c r="P10" s="2699"/>
      <c r="Q10" s="2699"/>
      <c r="R10" s="2699"/>
      <c r="S10" s="1459">
        <f t="shared" si="8"/>
        <v>0</v>
      </c>
      <c r="T10" s="2701"/>
      <c r="U10" s="2699"/>
      <c r="V10" s="2697"/>
      <c r="W10" s="1217">
        <f t="shared" si="0"/>
        <v>0</v>
      </c>
      <c r="X10" s="2705"/>
      <c r="Y10" s="2707">
        <f t="shared" si="1"/>
        <v>0</v>
      </c>
      <c r="Z10" s="2707"/>
      <c r="AA10" s="2699"/>
      <c r="AB10" s="2699"/>
      <c r="AC10" s="2701">
        <f t="shared" si="9"/>
        <v>0</v>
      </c>
      <c r="AD10" s="2701"/>
      <c r="AE10" s="2699"/>
      <c r="AF10" s="2699"/>
      <c r="AG10" s="2701">
        <f t="shared" si="10"/>
        <v>0</v>
      </c>
      <c r="AH10" s="2701"/>
      <c r="AI10" s="2699"/>
      <c r="AJ10" s="2697"/>
      <c r="AK10" s="1217">
        <f t="shared" si="2"/>
        <v>0</v>
      </c>
      <c r="AL10" s="2705"/>
      <c r="AM10" s="2701">
        <f t="shared" si="11"/>
        <v>0</v>
      </c>
      <c r="AN10" s="2701"/>
      <c r="AO10" s="2699"/>
      <c r="AP10" s="2699"/>
      <c r="AQ10" s="2701">
        <f t="shared" si="12"/>
        <v>0</v>
      </c>
      <c r="AR10" s="2701"/>
      <c r="AS10" s="2699"/>
      <c r="AT10" s="2699"/>
      <c r="AU10" s="2701">
        <f t="shared" si="13"/>
        <v>0</v>
      </c>
      <c r="AV10" s="2701"/>
      <c r="AW10" s="2699"/>
      <c r="AX10" s="2697"/>
      <c r="AY10" s="1217">
        <f t="shared" si="3"/>
        <v>0</v>
      </c>
      <c r="AZ10" s="2705"/>
      <c r="BA10" s="2707">
        <f t="shared" si="14"/>
        <v>0</v>
      </c>
      <c r="BB10" s="2701"/>
      <c r="BC10" s="1550">
        <f t="shared" si="4"/>
        <v>0</v>
      </c>
      <c r="BD10" s="3141"/>
      <c r="BE10" s="3141"/>
    </row>
    <row r="11" spans="1:57" ht="15.75" customHeight="1" x14ac:dyDescent="0.3">
      <c r="A11" s="236" t="s">
        <v>1216</v>
      </c>
      <c r="B11" s="1524"/>
      <c r="C11" s="238"/>
      <c r="D11" s="238"/>
      <c r="E11" s="238"/>
      <c r="F11" s="238"/>
      <c r="G11" s="1459">
        <f t="shared" si="5"/>
        <v>0</v>
      </c>
      <c r="H11" s="238"/>
      <c r="I11" s="238"/>
      <c r="J11" s="1529"/>
      <c r="K11" s="1217">
        <f t="shared" si="6"/>
        <v>0</v>
      </c>
      <c r="L11" s="238"/>
      <c r="M11" s="238"/>
      <c r="N11" s="1529"/>
      <c r="O11" s="1550">
        <f t="shared" si="7"/>
        <v>0</v>
      </c>
      <c r="P11" s="238"/>
      <c r="Q11" s="238"/>
      <c r="R11" s="238"/>
      <c r="S11" s="1459">
        <f t="shared" si="8"/>
        <v>0</v>
      </c>
      <c r="T11" s="2700"/>
      <c r="U11" s="238"/>
      <c r="V11" s="1529"/>
      <c r="W11" s="1217">
        <f t="shared" si="0"/>
        <v>0</v>
      </c>
      <c r="X11" s="2705"/>
      <c r="Y11" s="2707">
        <f t="shared" si="1"/>
        <v>0</v>
      </c>
      <c r="Z11" s="2708"/>
      <c r="AA11" s="238"/>
      <c r="AB11" s="238"/>
      <c r="AC11" s="2701">
        <f t="shared" si="9"/>
        <v>0</v>
      </c>
      <c r="AD11" s="2700"/>
      <c r="AE11" s="238"/>
      <c r="AF11" s="238"/>
      <c r="AG11" s="2701">
        <f t="shared" si="10"/>
        <v>0</v>
      </c>
      <c r="AH11" s="2700"/>
      <c r="AI11" s="238"/>
      <c r="AJ11" s="1529"/>
      <c r="AK11" s="1217">
        <f t="shared" si="2"/>
        <v>0</v>
      </c>
      <c r="AL11" s="2705"/>
      <c r="AM11" s="2701">
        <f t="shared" si="11"/>
        <v>0</v>
      </c>
      <c r="AN11" s="2700"/>
      <c r="AO11" s="238"/>
      <c r="AP11" s="238"/>
      <c r="AQ11" s="2701">
        <f t="shared" si="12"/>
        <v>0</v>
      </c>
      <c r="AR11" s="2700"/>
      <c r="AS11" s="238"/>
      <c r="AT11" s="238"/>
      <c r="AU11" s="2701">
        <f t="shared" si="13"/>
        <v>0</v>
      </c>
      <c r="AV11" s="2700"/>
      <c r="AW11" s="238"/>
      <c r="AX11" s="1529"/>
      <c r="AY11" s="1217">
        <f t="shared" si="3"/>
        <v>0</v>
      </c>
      <c r="AZ11" s="2705"/>
      <c r="BA11" s="2707">
        <f t="shared" si="14"/>
        <v>0</v>
      </c>
      <c r="BB11" s="2701"/>
      <c r="BC11" s="1550">
        <f t="shared" si="4"/>
        <v>0</v>
      </c>
      <c r="BD11" s="3141"/>
      <c r="BE11" s="3141"/>
    </row>
    <row r="12" spans="1:57" ht="15.75" customHeight="1" x14ac:dyDescent="0.3">
      <c r="A12" s="236" t="s">
        <v>1305</v>
      </c>
      <c r="B12" s="1524"/>
      <c r="C12" s="238"/>
      <c r="D12" s="238"/>
      <c r="E12" s="238">
        <v>2438</v>
      </c>
      <c r="F12" s="238"/>
      <c r="G12" s="1459">
        <f t="shared" si="5"/>
        <v>2438</v>
      </c>
      <c r="H12" s="238"/>
      <c r="I12" s="238"/>
      <c r="J12" s="1529"/>
      <c r="K12" s="1217">
        <f t="shared" si="6"/>
        <v>2438</v>
      </c>
      <c r="L12" s="238"/>
      <c r="M12" s="238"/>
      <c r="N12" s="1529"/>
      <c r="O12" s="1550">
        <f t="shared" si="7"/>
        <v>2438</v>
      </c>
      <c r="P12" s="238"/>
      <c r="Q12" s="238">
        <v>3085.098</v>
      </c>
      <c r="R12" s="238"/>
      <c r="S12" s="1459">
        <f t="shared" si="8"/>
        <v>5523.098</v>
      </c>
      <c r="T12" s="2700"/>
      <c r="U12" s="238"/>
      <c r="V12" s="1529"/>
      <c r="W12" s="1217">
        <f t="shared" si="0"/>
        <v>3085.098</v>
      </c>
      <c r="X12" s="2705"/>
      <c r="Y12" s="2707">
        <f t="shared" si="1"/>
        <v>5523.098</v>
      </c>
      <c r="Z12" s="2708"/>
      <c r="AA12" s="238"/>
      <c r="AB12" s="238"/>
      <c r="AC12" s="2701">
        <f t="shared" si="9"/>
        <v>5523.098</v>
      </c>
      <c r="AD12" s="2700"/>
      <c r="AE12" s="238"/>
      <c r="AF12" s="238"/>
      <c r="AG12" s="2701">
        <f t="shared" si="10"/>
        <v>5523.098</v>
      </c>
      <c r="AH12" s="2700"/>
      <c r="AI12" s="238"/>
      <c r="AJ12" s="1529"/>
      <c r="AK12" s="1217">
        <f t="shared" si="2"/>
        <v>0</v>
      </c>
      <c r="AL12" s="2705"/>
      <c r="AM12" s="2701">
        <f t="shared" si="11"/>
        <v>5523.098</v>
      </c>
      <c r="AN12" s="2700"/>
      <c r="AO12" s="238"/>
      <c r="AP12" s="238"/>
      <c r="AQ12" s="2701">
        <f t="shared" si="12"/>
        <v>5523.098</v>
      </c>
      <c r="AR12" s="2700"/>
      <c r="AS12" s="238"/>
      <c r="AT12" s="238"/>
      <c r="AU12" s="2701">
        <f t="shared" si="13"/>
        <v>5523.098</v>
      </c>
      <c r="AV12" s="2700"/>
      <c r="AW12" s="238"/>
      <c r="AX12" s="1529"/>
      <c r="AY12" s="1217">
        <f t="shared" si="3"/>
        <v>0</v>
      </c>
      <c r="AZ12" s="2705"/>
      <c r="BA12" s="2707">
        <f t="shared" si="14"/>
        <v>0</v>
      </c>
      <c r="BB12" s="2701"/>
      <c r="BC12" s="1550">
        <f t="shared" si="4"/>
        <v>5523.098</v>
      </c>
      <c r="BD12" s="3141"/>
      <c r="BE12" s="3141"/>
    </row>
    <row r="13" spans="1:57" ht="15.75" customHeight="1" thickBot="1" x14ac:dyDescent="0.35">
      <c r="A13" s="1713" t="s">
        <v>1343</v>
      </c>
      <c r="B13" s="1714"/>
      <c r="C13" s="1692"/>
      <c r="D13" s="1692"/>
      <c r="E13" s="1692">
        <v>69</v>
      </c>
      <c r="F13" s="1692"/>
      <c r="G13" s="1459">
        <f t="shared" si="5"/>
        <v>69</v>
      </c>
      <c r="H13" s="1692"/>
      <c r="I13" s="1692"/>
      <c r="J13" s="1726"/>
      <c r="K13" s="1217">
        <f t="shared" si="6"/>
        <v>69</v>
      </c>
      <c r="L13" s="1692"/>
      <c r="M13" s="1692"/>
      <c r="N13" s="1726"/>
      <c r="O13" s="1550">
        <f t="shared" si="7"/>
        <v>69</v>
      </c>
      <c r="P13" s="1692"/>
      <c r="Q13" s="1692">
        <v>274.29000000000002</v>
      </c>
      <c r="R13" s="1692"/>
      <c r="S13" s="1459">
        <f t="shared" si="8"/>
        <v>343.29</v>
      </c>
      <c r="T13" s="2702"/>
      <c r="U13" s="1692"/>
      <c r="V13" s="1726"/>
      <c r="W13" s="1217">
        <f t="shared" si="0"/>
        <v>274.29000000000002</v>
      </c>
      <c r="X13" s="2706"/>
      <c r="Y13" s="2707">
        <f t="shared" si="1"/>
        <v>343.29</v>
      </c>
      <c r="Z13" s="2702"/>
      <c r="AA13" s="1692">
        <v>71.603999999999999</v>
      </c>
      <c r="AB13" s="1692"/>
      <c r="AC13" s="2701">
        <f t="shared" si="9"/>
        <v>414.89400000000001</v>
      </c>
      <c r="AD13" s="2702"/>
      <c r="AE13" s="1692"/>
      <c r="AF13" s="1692"/>
      <c r="AG13" s="2701">
        <f t="shared" si="10"/>
        <v>414.89400000000001</v>
      </c>
      <c r="AH13" s="2702"/>
      <c r="AI13" s="1692">
        <v>72</v>
      </c>
      <c r="AJ13" s="1726"/>
      <c r="AK13" s="1217">
        <f t="shared" si="2"/>
        <v>143.60399999999998</v>
      </c>
      <c r="AL13" s="2706"/>
      <c r="AM13" s="2701">
        <f t="shared" si="11"/>
        <v>486.89400000000001</v>
      </c>
      <c r="AN13" s="2702"/>
      <c r="AO13" s="1692">
        <v>103.428</v>
      </c>
      <c r="AP13" s="1692"/>
      <c r="AQ13" s="2701">
        <f t="shared" si="12"/>
        <v>590.322</v>
      </c>
      <c r="AR13" s="1692"/>
      <c r="AS13" s="1692"/>
      <c r="AT13" s="1692"/>
      <c r="AU13" s="2701">
        <f t="shared" si="13"/>
        <v>590.322</v>
      </c>
      <c r="AV13" s="1692"/>
      <c r="AW13" s="1692"/>
      <c r="AX13" s="1726"/>
      <c r="AY13" s="1217">
        <f t="shared" si="3"/>
        <v>103.428</v>
      </c>
      <c r="AZ13" s="2706"/>
      <c r="BA13" s="2707">
        <f t="shared" si="14"/>
        <v>247.03199999999998</v>
      </c>
      <c r="BB13" s="2698"/>
      <c r="BC13" s="1550">
        <f t="shared" si="4"/>
        <v>590.322</v>
      </c>
      <c r="BD13" s="3141"/>
      <c r="BE13" s="3141"/>
    </row>
    <row r="14" spans="1:57" ht="16.149999999999999" thickBot="1" x14ac:dyDescent="0.35">
      <c r="A14" s="3143" t="s">
        <v>653</v>
      </c>
      <c r="B14" s="3144"/>
      <c r="C14" s="3145">
        <f>SUM(C7:C13)</f>
        <v>0</v>
      </c>
      <c r="D14" s="3145"/>
      <c r="E14" s="3145">
        <f>SUM(E7:E13)</f>
        <v>4719</v>
      </c>
      <c r="F14" s="3145"/>
      <c r="G14" s="1459">
        <f t="shared" si="5"/>
        <v>4719</v>
      </c>
      <c r="H14" s="3145"/>
      <c r="I14" s="3145">
        <f>SUM(I7:I13)</f>
        <v>0</v>
      </c>
      <c r="J14" s="3145"/>
      <c r="K14" s="1217">
        <f t="shared" si="6"/>
        <v>4719</v>
      </c>
      <c r="L14" s="3145"/>
      <c r="M14" s="3145">
        <f>SUM(M7:M13)</f>
        <v>0</v>
      </c>
      <c r="N14" s="3145"/>
      <c r="O14" s="1550">
        <f t="shared" si="7"/>
        <v>4719</v>
      </c>
      <c r="P14" s="3145"/>
      <c r="Q14" s="3145">
        <f>SUM(Q7:Q13)</f>
        <v>9565.8660000000018</v>
      </c>
      <c r="R14" s="3145"/>
      <c r="S14" s="1459">
        <f t="shared" si="8"/>
        <v>14284.866000000002</v>
      </c>
      <c r="T14" s="3145"/>
      <c r="U14" s="3145">
        <f>SUM(U7:U13)</f>
        <v>0</v>
      </c>
      <c r="V14" s="3145"/>
      <c r="W14" s="1217">
        <f t="shared" si="0"/>
        <v>9565.8660000000018</v>
      </c>
      <c r="X14" s="3145"/>
      <c r="Y14" s="2707">
        <f t="shared" si="1"/>
        <v>14284.866000000002</v>
      </c>
      <c r="Z14" s="3145"/>
      <c r="AA14" s="3145">
        <f>SUM(AA7:AA13)</f>
        <v>6870.0060000000003</v>
      </c>
      <c r="AB14" s="3145"/>
      <c r="AC14" s="2701">
        <f t="shared" si="9"/>
        <v>21154.872000000003</v>
      </c>
      <c r="AD14" s="3145"/>
      <c r="AE14" s="3145">
        <f>SUM(AE7:AE13)</f>
        <v>0</v>
      </c>
      <c r="AF14" s="3145"/>
      <c r="AG14" s="2701">
        <f t="shared" si="10"/>
        <v>21154.872000000003</v>
      </c>
      <c r="AH14" s="3145"/>
      <c r="AI14" s="3145">
        <f>SUM(AI7:AI13)</f>
        <v>12542</v>
      </c>
      <c r="AJ14" s="3145"/>
      <c r="AK14" s="1217">
        <f t="shared" si="2"/>
        <v>19412.006000000001</v>
      </c>
      <c r="AL14" s="3145"/>
      <c r="AM14" s="2701">
        <f t="shared" si="11"/>
        <v>33696.872000000003</v>
      </c>
      <c r="AN14" s="3145"/>
      <c r="AO14" s="3145">
        <f>SUM(AO7:AO13)</f>
        <v>10907.675999999999</v>
      </c>
      <c r="AP14" s="3145"/>
      <c r="AQ14" s="2701">
        <f t="shared" si="12"/>
        <v>44604.548000000003</v>
      </c>
      <c r="AR14" s="3145"/>
      <c r="AS14" s="3145">
        <f>SUM(AS7:AS13)</f>
        <v>0</v>
      </c>
      <c r="AT14" s="3145"/>
      <c r="AU14" s="2701">
        <f t="shared" si="13"/>
        <v>44604.548000000003</v>
      </c>
      <c r="AV14" s="3145"/>
      <c r="AW14" s="3145">
        <f>SUM(AW7:AW13)</f>
        <v>0</v>
      </c>
      <c r="AX14" s="3145"/>
      <c r="AY14" s="1217">
        <f t="shared" si="3"/>
        <v>10907.675999999999</v>
      </c>
      <c r="AZ14" s="3145"/>
      <c r="BA14" s="2707">
        <f t="shared" si="14"/>
        <v>30319.682000000001</v>
      </c>
      <c r="BB14" s="3145"/>
      <c r="BC14" s="1550">
        <f t="shared" si="4"/>
        <v>44604.548000000003</v>
      </c>
      <c r="BD14" s="3141"/>
      <c r="BE14" s="3141"/>
    </row>
    <row r="15" spans="1:57" ht="16.149999999999999" thickBot="1" x14ac:dyDescent="0.35">
      <c r="A15" s="3125"/>
      <c r="B15" s="3125"/>
      <c r="C15" s="3140"/>
      <c r="D15" s="3140"/>
      <c r="E15" s="3140"/>
      <c r="F15" s="3140"/>
      <c r="G15" s="1459">
        <f t="shared" si="5"/>
        <v>0</v>
      </c>
      <c r="H15" s="3140"/>
      <c r="I15" s="3140"/>
      <c r="J15" s="3140"/>
      <c r="K15" s="1217">
        <f t="shared" si="6"/>
        <v>0</v>
      </c>
      <c r="L15" s="3125"/>
      <c r="M15" s="3140"/>
      <c r="N15" s="3140"/>
      <c r="O15" s="1550">
        <f t="shared" si="7"/>
        <v>0</v>
      </c>
      <c r="P15" s="3125"/>
      <c r="Q15" s="3140"/>
      <c r="R15" s="3140"/>
      <c r="S15" s="1459">
        <f t="shared" si="8"/>
        <v>0</v>
      </c>
      <c r="T15" s="3140"/>
      <c r="U15" s="3140"/>
      <c r="V15" s="3140"/>
      <c r="W15" s="1217">
        <f t="shared" si="0"/>
        <v>0</v>
      </c>
      <c r="X15" s="3140"/>
      <c r="Y15" s="2707">
        <f t="shared" si="1"/>
        <v>0</v>
      </c>
      <c r="Z15" s="3140"/>
      <c r="AA15" s="3140"/>
      <c r="AB15" s="3140"/>
      <c r="AC15" s="2701">
        <f t="shared" si="9"/>
        <v>0</v>
      </c>
      <c r="AD15" s="3140"/>
      <c r="AE15" s="3140"/>
      <c r="AF15" s="3140"/>
      <c r="AG15" s="2701">
        <f t="shared" si="10"/>
        <v>0</v>
      </c>
      <c r="AH15" s="3140"/>
      <c r="AI15" s="3140"/>
      <c r="AJ15" s="3140"/>
      <c r="AK15" s="1217">
        <f t="shared" si="2"/>
        <v>0</v>
      </c>
      <c r="AL15" s="3140"/>
      <c r="AM15" s="2701">
        <f t="shared" si="11"/>
        <v>0</v>
      </c>
      <c r="AN15" s="3140"/>
      <c r="AO15" s="3140"/>
      <c r="AP15" s="3140"/>
      <c r="AQ15" s="2701">
        <f t="shared" si="12"/>
        <v>0</v>
      </c>
      <c r="AR15" s="3140"/>
      <c r="AS15" s="3140"/>
      <c r="AT15" s="3140"/>
      <c r="AU15" s="2701">
        <f t="shared" si="13"/>
        <v>0</v>
      </c>
      <c r="AV15" s="3140"/>
      <c r="AW15" s="3140"/>
      <c r="AX15" s="3140"/>
      <c r="AY15" s="1217">
        <f t="shared" si="3"/>
        <v>0</v>
      </c>
      <c r="AZ15" s="3140"/>
      <c r="BA15" s="2707">
        <f t="shared" si="14"/>
        <v>0</v>
      </c>
      <c r="BB15" s="3140"/>
      <c r="BC15" s="1550">
        <f t="shared" si="4"/>
        <v>0</v>
      </c>
      <c r="BD15" s="3141"/>
      <c r="BE15" s="3141"/>
    </row>
    <row r="16" spans="1:57" ht="16.149999999999999" thickBot="1" x14ac:dyDescent="0.35">
      <c r="A16" s="5088" t="s">
        <v>1080</v>
      </c>
      <c r="B16" s="5089"/>
      <c r="C16" s="1231"/>
      <c r="D16" s="1231"/>
      <c r="E16" s="1231"/>
      <c r="F16" s="1231"/>
      <c r="G16" s="1459">
        <f t="shared" si="5"/>
        <v>0</v>
      </c>
      <c r="H16" s="1231"/>
      <c r="I16" s="1231"/>
      <c r="J16" s="1231"/>
      <c r="K16" s="1217">
        <f t="shared" si="6"/>
        <v>0</v>
      </c>
      <c r="L16" s="1231"/>
      <c r="M16" s="1231"/>
      <c r="N16" s="1231"/>
      <c r="O16" s="1550">
        <f t="shared" si="7"/>
        <v>0</v>
      </c>
      <c r="P16" s="1231"/>
      <c r="Q16" s="1231"/>
      <c r="R16" s="1231"/>
      <c r="S16" s="1459">
        <f t="shared" si="8"/>
        <v>0</v>
      </c>
      <c r="T16" s="1233"/>
      <c r="U16" s="1231"/>
      <c r="V16" s="1231"/>
      <c r="W16" s="1217">
        <f t="shared" si="0"/>
        <v>0</v>
      </c>
      <c r="X16" s="1233"/>
      <c r="Y16" s="2707">
        <f t="shared" si="1"/>
        <v>0</v>
      </c>
      <c r="Z16" s="1233"/>
      <c r="AA16" s="1231"/>
      <c r="AB16" s="1231"/>
      <c r="AC16" s="2701">
        <f t="shared" si="9"/>
        <v>0</v>
      </c>
      <c r="AD16" s="1233"/>
      <c r="AE16" s="1231"/>
      <c r="AF16" s="1231"/>
      <c r="AG16" s="2701">
        <f t="shared" si="10"/>
        <v>0</v>
      </c>
      <c r="AH16" s="1233"/>
      <c r="AI16" s="1231"/>
      <c r="AJ16" s="1231"/>
      <c r="AK16" s="1217">
        <f t="shared" si="2"/>
        <v>0</v>
      </c>
      <c r="AL16" s="1233"/>
      <c r="AM16" s="2701">
        <f t="shared" si="11"/>
        <v>0</v>
      </c>
      <c r="AN16" s="1233"/>
      <c r="AO16" s="1231"/>
      <c r="AP16" s="1231"/>
      <c r="AQ16" s="2701">
        <f t="shared" si="12"/>
        <v>0</v>
      </c>
      <c r="AR16" s="1233"/>
      <c r="AS16" s="1231"/>
      <c r="AT16" s="1231"/>
      <c r="AU16" s="2701">
        <f t="shared" si="13"/>
        <v>0</v>
      </c>
      <c r="AV16" s="1233"/>
      <c r="AW16" s="1231"/>
      <c r="AX16" s="1231"/>
      <c r="AY16" s="1217">
        <f t="shared" si="3"/>
        <v>0</v>
      </c>
      <c r="AZ16" s="1233"/>
      <c r="BA16" s="2707">
        <f t="shared" si="14"/>
        <v>0</v>
      </c>
      <c r="BB16" s="1233"/>
      <c r="BC16" s="1550">
        <f t="shared" si="4"/>
        <v>0</v>
      </c>
      <c r="BD16" s="3141"/>
      <c r="BE16" s="3141"/>
    </row>
    <row r="17" spans="1:57" ht="15.6" x14ac:dyDescent="0.3">
      <c r="A17" s="5083" t="s">
        <v>1618</v>
      </c>
      <c r="B17" s="5084"/>
      <c r="C17" s="257"/>
      <c r="D17" s="257"/>
      <c r="E17" s="257">
        <v>546</v>
      </c>
      <c r="F17" s="5085"/>
      <c r="G17" s="1459">
        <f t="shared" si="5"/>
        <v>546</v>
      </c>
      <c r="H17" s="5086"/>
      <c r="I17" s="257">
        <v>1357</v>
      </c>
      <c r="J17" s="5087"/>
      <c r="K17" s="1217">
        <f t="shared" si="6"/>
        <v>1903</v>
      </c>
      <c r="L17" s="5086"/>
      <c r="M17" s="1224">
        <v>578</v>
      </c>
      <c r="N17" s="258"/>
      <c r="O17" s="1550">
        <f t="shared" si="7"/>
        <v>2481</v>
      </c>
      <c r="P17" s="5086"/>
      <c r="Q17" s="1224"/>
      <c r="R17" s="5085"/>
      <c r="S17" s="1459">
        <f t="shared" si="8"/>
        <v>2481</v>
      </c>
      <c r="T17" s="2703"/>
      <c r="U17" s="1224">
        <v>296</v>
      </c>
      <c r="V17" s="258"/>
      <c r="W17" s="1217">
        <f t="shared" si="0"/>
        <v>874</v>
      </c>
      <c r="X17" s="2627"/>
      <c r="Y17" s="2707">
        <f t="shared" si="1"/>
        <v>2777</v>
      </c>
      <c r="Z17" s="2709"/>
      <c r="AA17" s="1224"/>
      <c r="AB17" s="1224"/>
      <c r="AC17" s="2701">
        <f t="shared" si="9"/>
        <v>2777</v>
      </c>
      <c r="AD17" s="2703"/>
      <c r="AE17" s="1224"/>
      <c r="AF17" s="1224"/>
      <c r="AG17" s="2701">
        <f t="shared" si="10"/>
        <v>2777</v>
      </c>
      <c r="AH17" s="2703"/>
      <c r="AI17" s="1224">
        <v>863</v>
      </c>
      <c r="AJ17" s="258"/>
      <c r="AK17" s="1217">
        <f t="shared" si="2"/>
        <v>863</v>
      </c>
      <c r="AL17" s="2627"/>
      <c r="AM17" s="2701">
        <f t="shared" si="11"/>
        <v>3640</v>
      </c>
      <c r="AN17" s="2703"/>
      <c r="AO17" s="1224"/>
      <c r="AP17" s="1224"/>
      <c r="AQ17" s="2701">
        <f t="shared" si="12"/>
        <v>3640</v>
      </c>
      <c r="AR17" s="2703"/>
      <c r="AS17" s="1224"/>
      <c r="AT17" s="1224"/>
      <c r="AU17" s="2701">
        <f t="shared" si="13"/>
        <v>3640</v>
      </c>
      <c r="AV17" s="2703"/>
      <c r="AW17" s="1224"/>
      <c r="AX17" s="258"/>
      <c r="AY17" s="1217">
        <f t="shared" si="3"/>
        <v>0</v>
      </c>
      <c r="AZ17" s="2627"/>
      <c r="BA17" s="2707">
        <f t="shared" si="14"/>
        <v>863</v>
      </c>
      <c r="BB17" s="259"/>
      <c r="BC17" s="1550">
        <f t="shared" si="4"/>
        <v>3640</v>
      </c>
      <c r="BD17" s="3141"/>
      <c r="BE17" s="3141"/>
    </row>
    <row r="18" spans="1:57" ht="15.6" x14ac:dyDescent="0.3">
      <c r="A18" s="3150" t="s">
        <v>1926</v>
      </c>
      <c r="B18" s="3151"/>
      <c r="C18" s="2699"/>
      <c r="D18" s="2699"/>
      <c r="E18" s="2699">
        <v>157</v>
      </c>
      <c r="F18" s="1459"/>
      <c r="G18" s="1459">
        <f t="shared" si="5"/>
        <v>157</v>
      </c>
      <c r="H18" s="1513"/>
      <c r="I18" s="2699"/>
      <c r="J18" s="1532"/>
      <c r="K18" s="1217">
        <f t="shared" si="6"/>
        <v>157</v>
      </c>
      <c r="L18" s="1513"/>
      <c r="M18" s="238"/>
      <c r="N18" s="1529"/>
      <c r="O18" s="1550">
        <f t="shared" si="7"/>
        <v>157</v>
      </c>
      <c r="P18" s="1513"/>
      <c r="Q18" s="238">
        <v>157.30000000000001</v>
      </c>
      <c r="R18" s="1459"/>
      <c r="S18" s="1459">
        <f t="shared" si="8"/>
        <v>314.3</v>
      </c>
      <c r="T18" s="2703"/>
      <c r="U18" s="238"/>
      <c r="V18" s="258"/>
      <c r="W18" s="1217">
        <f t="shared" si="0"/>
        <v>157.30000000000001</v>
      </c>
      <c r="X18" s="2627"/>
      <c r="Y18" s="2707">
        <f t="shared" si="1"/>
        <v>314.3</v>
      </c>
      <c r="Z18" s="2709"/>
      <c r="AA18" s="238"/>
      <c r="AB18" s="1224"/>
      <c r="AC18" s="2701">
        <f t="shared" si="9"/>
        <v>314.3</v>
      </c>
      <c r="AD18" s="2703"/>
      <c r="AE18" s="238"/>
      <c r="AF18" s="1224"/>
      <c r="AG18" s="2701">
        <f t="shared" si="10"/>
        <v>314.3</v>
      </c>
      <c r="AH18" s="2703"/>
      <c r="AI18" s="238"/>
      <c r="AJ18" s="258"/>
      <c r="AK18" s="1217">
        <f t="shared" si="2"/>
        <v>0</v>
      </c>
      <c r="AL18" s="2627"/>
      <c r="AM18" s="2701">
        <f t="shared" si="11"/>
        <v>314.3</v>
      </c>
      <c r="AN18" s="2703"/>
      <c r="AO18" s="238"/>
      <c r="AP18" s="238"/>
      <c r="AQ18" s="2701">
        <f t="shared" si="12"/>
        <v>314.3</v>
      </c>
      <c r="AR18" s="2700"/>
      <c r="AS18" s="238"/>
      <c r="AT18" s="238"/>
      <c r="AU18" s="2701">
        <f t="shared" si="13"/>
        <v>314.3</v>
      </c>
      <c r="AV18" s="2700"/>
      <c r="AW18" s="238"/>
      <c r="AX18" s="258"/>
      <c r="AY18" s="1217">
        <f t="shared" si="3"/>
        <v>0</v>
      </c>
      <c r="AZ18" s="2627"/>
      <c r="BA18" s="2707">
        <f t="shared" si="14"/>
        <v>0</v>
      </c>
      <c r="BB18" s="2701"/>
      <c r="BC18" s="1550">
        <f t="shared" si="4"/>
        <v>314.3</v>
      </c>
      <c r="BD18" s="3141"/>
      <c r="BE18" s="3141"/>
    </row>
    <row r="19" spans="1:57" ht="15.6" x14ac:dyDescent="0.3">
      <c r="A19" s="3150" t="s">
        <v>1079</v>
      </c>
      <c r="B19" s="1525"/>
      <c r="C19" s="352">
        <v>1569</v>
      </c>
      <c r="D19" s="352"/>
      <c r="E19" s="352">
        <v>3427</v>
      </c>
      <c r="F19" s="2156"/>
      <c r="G19" s="1459">
        <f t="shared" si="5"/>
        <v>4996</v>
      </c>
      <c r="H19" s="253"/>
      <c r="I19" s="352">
        <v>3986</v>
      </c>
      <c r="J19" s="2157"/>
      <c r="K19" s="1217">
        <f t="shared" si="6"/>
        <v>8982</v>
      </c>
      <c r="L19" s="253"/>
      <c r="M19" s="352">
        <v>5154</v>
      </c>
      <c r="N19" s="2625"/>
      <c r="O19" s="1550">
        <f t="shared" si="7"/>
        <v>14136</v>
      </c>
      <c r="P19" s="253"/>
      <c r="Q19" s="352">
        <v>4608.1750000000002</v>
      </c>
      <c r="R19" s="2156"/>
      <c r="S19" s="1459">
        <f t="shared" si="8"/>
        <v>18744.174999999999</v>
      </c>
      <c r="T19" s="2158"/>
      <c r="U19" s="352">
        <v>5938</v>
      </c>
      <c r="V19" s="2625"/>
      <c r="W19" s="1217">
        <f t="shared" si="0"/>
        <v>15700.174999999999</v>
      </c>
      <c r="X19" s="2627"/>
      <c r="Y19" s="2707">
        <f t="shared" si="1"/>
        <v>24682.174999999999</v>
      </c>
      <c r="Z19" s="2710"/>
      <c r="AA19" s="352">
        <v>1194.05</v>
      </c>
      <c r="AB19" s="352"/>
      <c r="AC19" s="2701">
        <f t="shared" si="9"/>
        <v>25876.224999999999</v>
      </c>
      <c r="AD19" s="2158"/>
      <c r="AE19" s="352"/>
      <c r="AF19" s="352"/>
      <c r="AG19" s="2701">
        <f t="shared" si="10"/>
        <v>25876.224999999999</v>
      </c>
      <c r="AH19" s="2158"/>
      <c r="AI19" s="352">
        <v>2496</v>
      </c>
      <c r="AJ19" s="2625"/>
      <c r="AK19" s="1217">
        <f t="shared" si="2"/>
        <v>3690.05</v>
      </c>
      <c r="AL19" s="2627"/>
      <c r="AM19" s="2701">
        <f t="shared" si="11"/>
        <v>28372.224999999999</v>
      </c>
      <c r="AN19" s="2158"/>
      <c r="AO19" s="352">
        <v>3482.05</v>
      </c>
      <c r="AP19" s="352"/>
      <c r="AQ19" s="2701">
        <f t="shared" si="12"/>
        <v>31854.274999999998</v>
      </c>
      <c r="AR19" s="2158"/>
      <c r="AS19" s="352">
        <v>2885.0250000000001</v>
      </c>
      <c r="AT19" s="352"/>
      <c r="AU19" s="2701">
        <f t="shared" si="13"/>
        <v>34739.299999999996</v>
      </c>
      <c r="AV19" s="2158"/>
      <c r="AW19" s="352">
        <f>4923+7.15</f>
        <v>4930.1499999999996</v>
      </c>
      <c r="AX19" s="2625"/>
      <c r="AY19" s="1217">
        <f t="shared" si="3"/>
        <v>11297.225</v>
      </c>
      <c r="AZ19" s="2627"/>
      <c r="BA19" s="2707">
        <f t="shared" si="14"/>
        <v>14987.275000000001</v>
      </c>
      <c r="BB19" s="2701"/>
      <c r="BC19" s="1550">
        <f t="shared" si="4"/>
        <v>39669.449999999997</v>
      </c>
      <c r="BD19" s="3141"/>
      <c r="BE19" s="3141"/>
    </row>
    <row r="20" spans="1:57" ht="16.149999999999999" thickBot="1" x14ac:dyDescent="0.35">
      <c r="A20" s="3150" t="s">
        <v>1306</v>
      </c>
      <c r="B20" s="1525"/>
      <c r="C20" s="352">
        <v>265</v>
      </c>
      <c r="D20" s="352"/>
      <c r="E20" s="352"/>
      <c r="F20" s="2156"/>
      <c r="G20" s="1459">
        <f t="shared" si="5"/>
        <v>265</v>
      </c>
      <c r="H20" s="253"/>
      <c r="I20" s="352"/>
      <c r="J20" s="2157"/>
      <c r="K20" s="1217">
        <f t="shared" si="6"/>
        <v>265</v>
      </c>
      <c r="L20" s="253"/>
      <c r="M20" s="352">
        <v>122</v>
      </c>
      <c r="N20" s="2625"/>
      <c r="O20" s="1550">
        <f t="shared" si="7"/>
        <v>387</v>
      </c>
      <c r="P20" s="253"/>
      <c r="Q20" s="352"/>
      <c r="R20" s="2156"/>
      <c r="S20" s="1459">
        <f t="shared" si="8"/>
        <v>387</v>
      </c>
      <c r="T20" s="2158"/>
      <c r="U20" s="352"/>
      <c r="V20" s="2625"/>
      <c r="W20" s="1217">
        <f t="shared" si="0"/>
        <v>122</v>
      </c>
      <c r="X20" s="2627"/>
      <c r="Y20" s="2707">
        <f t="shared" si="1"/>
        <v>387</v>
      </c>
      <c r="Z20" s="2710"/>
      <c r="AA20" s="352"/>
      <c r="AB20" s="352"/>
      <c r="AC20" s="2701">
        <f t="shared" si="9"/>
        <v>387</v>
      </c>
      <c r="AD20" s="2158"/>
      <c r="AE20" s="352"/>
      <c r="AF20" s="352"/>
      <c r="AG20" s="2701">
        <f t="shared" si="10"/>
        <v>387</v>
      </c>
      <c r="AH20" s="2158"/>
      <c r="AI20" s="352"/>
      <c r="AJ20" s="2625"/>
      <c r="AK20" s="1217">
        <f t="shared" si="2"/>
        <v>0</v>
      </c>
      <c r="AL20" s="2627"/>
      <c r="AM20" s="2701">
        <f t="shared" si="11"/>
        <v>387</v>
      </c>
      <c r="AN20" s="2158"/>
      <c r="AO20" s="352"/>
      <c r="AP20" s="352"/>
      <c r="AQ20" s="2701">
        <f t="shared" si="12"/>
        <v>387</v>
      </c>
      <c r="AR20" s="2158"/>
      <c r="AS20" s="352">
        <v>275.27499999999998</v>
      </c>
      <c r="AT20" s="352"/>
      <c r="AU20" s="2701">
        <f t="shared" si="13"/>
        <v>662.27499999999998</v>
      </c>
      <c r="AV20" s="2158"/>
      <c r="AW20" s="352"/>
      <c r="AX20" s="2625"/>
      <c r="AY20" s="1217">
        <f t="shared" si="3"/>
        <v>275.27499999999998</v>
      </c>
      <c r="AZ20" s="2627"/>
      <c r="BA20" s="2707">
        <f t="shared" si="14"/>
        <v>275.27499999999998</v>
      </c>
      <c r="BB20" s="2701"/>
      <c r="BC20" s="1550">
        <f t="shared" si="4"/>
        <v>662.27499999999998</v>
      </c>
      <c r="BD20" s="3141"/>
      <c r="BE20" s="3141"/>
    </row>
    <row r="21" spans="1:57" ht="16.149999999999999" thickBot="1" x14ac:dyDescent="0.35">
      <c r="A21" s="3143" t="s">
        <v>1081</v>
      </c>
      <c r="B21" s="3144"/>
      <c r="C21" s="3145">
        <f>SUM(C17:C20)</f>
        <v>1834</v>
      </c>
      <c r="D21" s="3145">
        <f t="shared" ref="D21:BC21" si="15">SUM(D17:D20)</f>
        <v>0</v>
      </c>
      <c r="E21" s="3145">
        <f t="shared" si="15"/>
        <v>4130</v>
      </c>
      <c r="F21" s="3145">
        <f t="shared" si="15"/>
        <v>0</v>
      </c>
      <c r="G21" s="3145">
        <f t="shared" si="15"/>
        <v>5964</v>
      </c>
      <c r="H21" s="3145">
        <f t="shared" si="15"/>
        <v>0</v>
      </c>
      <c r="I21" s="3145">
        <f t="shared" si="15"/>
        <v>5343</v>
      </c>
      <c r="J21" s="3145">
        <f t="shared" si="15"/>
        <v>0</v>
      </c>
      <c r="K21" s="3145">
        <f t="shared" si="15"/>
        <v>11307</v>
      </c>
      <c r="L21" s="3145">
        <f t="shared" si="15"/>
        <v>0</v>
      </c>
      <c r="M21" s="3145">
        <f t="shared" si="15"/>
        <v>5854</v>
      </c>
      <c r="N21" s="3145">
        <f t="shared" si="15"/>
        <v>0</v>
      </c>
      <c r="O21" s="3145">
        <f t="shared" si="15"/>
        <v>17161</v>
      </c>
      <c r="P21" s="3145">
        <f t="shared" si="15"/>
        <v>0</v>
      </c>
      <c r="Q21" s="3145">
        <f t="shared" si="15"/>
        <v>4765.4750000000004</v>
      </c>
      <c r="R21" s="3145">
        <f t="shared" si="15"/>
        <v>0</v>
      </c>
      <c r="S21" s="3145">
        <f t="shared" si="15"/>
        <v>21926.474999999999</v>
      </c>
      <c r="T21" s="3145">
        <f t="shared" si="15"/>
        <v>0</v>
      </c>
      <c r="U21" s="3145">
        <f t="shared" si="15"/>
        <v>6234</v>
      </c>
      <c r="V21" s="3145">
        <f t="shared" si="15"/>
        <v>0</v>
      </c>
      <c r="W21" s="3145">
        <f t="shared" si="15"/>
        <v>16853.474999999999</v>
      </c>
      <c r="X21" s="3145">
        <f t="shared" si="15"/>
        <v>0</v>
      </c>
      <c r="Y21" s="3145">
        <f t="shared" si="15"/>
        <v>28160.474999999999</v>
      </c>
      <c r="Z21" s="3145">
        <f t="shared" si="15"/>
        <v>0</v>
      </c>
      <c r="AA21" s="3145">
        <f t="shared" si="15"/>
        <v>1194.05</v>
      </c>
      <c r="AB21" s="3145">
        <f t="shared" si="15"/>
        <v>0</v>
      </c>
      <c r="AC21" s="3145">
        <f t="shared" si="15"/>
        <v>29354.524999999998</v>
      </c>
      <c r="AD21" s="3145">
        <f t="shared" si="15"/>
        <v>0</v>
      </c>
      <c r="AE21" s="3145">
        <f t="shared" si="15"/>
        <v>0</v>
      </c>
      <c r="AF21" s="3145">
        <f t="shared" si="15"/>
        <v>0</v>
      </c>
      <c r="AG21" s="3145">
        <f t="shared" si="15"/>
        <v>29354.524999999998</v>
      </c>
      <c r="AH21" s="3145">
        <f t="shared" si="15"/>
        <v>0</v>
      </c>
      <c r="AI21" s="3145">
        <f t="shared" si="15"/>
        <v>3359</v>
      </c>
      <c r="AJ21" s="3145">
        <f t="shared" si="15"/>
        <v>0</v>
      </c>
      <c r="AK21" s="3145">
        <f t="shared" si="15"/>
        <v>4553.05</v>
      </c>
      <c r="AL21" s="3145">
        <f t="shared" si="15"/>
        <v>0</v>
      </c>
      <c r="AM21" s="3145">
        <f t="shared" si="15"/>
        <v>32713.524999999998</v>
      </c>
      <c r="AN21" s="3145">
        <f t="shared" si="15"/>
        <v>0</v>
      </c>
      <c r="AO21" s="3145">
        <f t="shared" si="15"/>
        <v>3482.05</v>
      </c>
      <c r="AP21" s="3145">
        <f t="shared" si="15"/>
        <v>0</v>
      </c>
      <c r="AQ21" s="3145">
        <f t="shared" si="15"/>
        <v>36195.574999999997</v>
      </c>
      <c r="AR21" s="3145">
        <f t="shared" si="15"/>
        <v>0</v>
      </c>
      <c r="AS21" s="3145">
        <f t="shared" si="15"/>
        <v>3160.3</v>
      </c>
      <c r="AT21" s="3145">
        <f t="shared" si="15"/>
        <v>0</v>
      </c>
      <c r="AU21" s="3145">
        <f t="shared" si="15"/>
        <v>39355.875</v>
      </c>
      <c r="AV21" s="3145">
        <f t="shared" si="15"/>
        <v>0</v>
      </c>
      <c r="AW21" s="3145">
        <f t="shared" si="15"/>
        <v>4930.1499999999996</v>
      </c>
      <c r="AX21" s="3145">
        <f t="shared" si="15"/>
        <v>0</v>
      </c>
      <c r="AY21" s="3145">
        <f t="shared" si="15"/>
        <v>11572.5</v>
      </c>
      <c r="AZ21" s="3145">
        <f t="shared" si="15"/>
        <v>0</v>
      </c>
      <c r="BA21" s="3145">
        <f t="shared" si="15"/>
        <v>16125.550000000001</v>
      </c>
      <c r="BB21" s="3145">
        <f t="shared" si="15"/>
        <v>0</v>
      </c>
      <c r="BC21" s="3145">
        <f t="shared" si="15"/>
        <v>44286.025000000001</v>
      </c>
      <c r="BD21" s="3141"/>
      <c r="BE21" s="3141"/>
    </row>
    <row r="22" spans="1:57" ht="16.149999999999999" thickBot="1" x14ac:dyDescent="0.35">
      <c r="A22" s="245"/>
      <c r="B22" s="1525"/>
      <c r="C22" s="253"/>
      <c r="D22" s="253"/>
      <c r="E22" s="253"/>
      <c r="F22" s="253"/>
      <c r="G22" s="1459">
        <f t="shared" si="5"/>
        <v>0</v>
      </c>
      <c r="H22" s="253"/>
      <c r="I22" s="253"/>
      <c r="J22" s="1530"/>
      <c r="K22" s="1217">
        <f t="shared" si="6"/>
        <v>0</v>
      </c>
      <c r="L22" s="253"/>
      <c r="M22" s="253"/>
      <c r="N22" s="1530"/>
      <c r="O22" s="1550">
        <f t="shared" si="7"/>
        <v>0</v>
      </c>
      <c r="P22" s="253"/>
      <c r="Q22" s="253"/>
      <c r="R22" s="253"/>
      <c r="S22" s="1459">
        <f t="shared" si="8"/>
        <v>0</v>
      </c>
      <c r="T22" s="2696"/>
      <c r="U22" s="253"/>
      <c r="V22" s="1530"/>
      <c r="W22" s="1217">
        <f t="shared" si="0"/>
        <v>0</v>
      </c>
      <c r="X22" s="702"/>
      <c r="Y22" s="2707">
        <f t="shared" si="1"/>
        <v>0</v>
      </c>
      <c r="Z22" s="2696"/>
      <c r="AA22" s="253"/>
      <c r="AB22" s="1530"/>
      <c r="AC22" s="2701">
        <f t="shared" si="9"/>
        <v>0</v>
      </c>
      <c r="AD22" s="2696"/>
      <c r="AE22" s="253"/>
      <c r="AF22" s="1530"/>
      <c r="AG22" s="2701">
        <f t="shared" si="10"/>
        <v>0</v>
      </c>
      <c r="AH22" s="2696"/>
      <c r="AI22" s="253"/>
      <c r="AJ22" s="1530"/>
      <c r="AK22" s="1217">
        <f t="shared" si="2"/>
        <v>0</v>
      </c>
      <c r="AL22" s="702"/>
      <c r="AM22" s="2701">
        <f t="shared" si="11"/>
        <v>0</v>
      </c>
      <c r="AN22" s="2696"/>
      <c r="AO22" s="253"/>
      <c r="AP22" s="1530"/>
      <c r="AQ22" s="2701">
        <f t="shared" si="12"/>
        <v>0</v>
      </c>
      <c r="AR22" s="2696"/>
      <c r="AS22" s="253"/>
      <c r="AT22" s="1530"/>
      <c r="AU22" s="2701">
        <f t="shared" si="13"/>
        <v>0</v>
      </c>
      <c r="AV22" s="2696"/>
      <c r="AW22" s="253"/>
      <c r="AX22" s="1530"/>
      <c r="AY22" s="1217">
        <f t="shared" si="3"/>
        <v>0</v>
      </c>
      <c r="AZ22" s="702"/>
      <c r="BA22" s="2707">
        <f t="shared" si="14"/>
        <v>0</v>
      </c>
      <c r="BB22" s="702"/>
      <c r="BC22" s="1550">
        <f t="shared" si="4"/>
        <v>0</v>
      </c>
      <c r="BD22" s="3141"/>
      <c r="BE22" s="3141"/>
    </row>
    <row r="23" spans="1:57" ht="16.149999999999999" thickBot="1" x14ac:dyDescent="0.35">
      <c r="A23" s="3148" t="s">
        <v>1264</v>
      </c>
      <c r="B23" s="3149"/>
      <c r="C23" s="1229"/>
      <c r="D23" s="1229"/>
      <c r="E23" s="1231"/>
      <c r="F23" s="1231"/>
      <c r="G23" s="1459">
        <f t="shared" si="5"/>
        <v>0</v>
      </c>
      <c r="H23" s="1231"/>
      <c r="I23" s="1231"/>
      <c r="J23" s="1531"/>
      <c r="K23" s="1217">
        <f t="shared" si="6"/>
        <v>0</v>
      </c>
      <c r="L23" s="1231"/>
      <c r="M23" s="1231"/>
      <c r="N23" s="1531"/>
      <c r="O23" s="1550">
        <f t="shared" si="7"/>
        <v>0</v>
      </c>
      <c r="P23" s="1231"/>
      <c r="Q23" s="1231"/>
      <c r="R23" s="1231"/>
      <c r="S23" s="1459">
        <f t="shared" si="8"/>
        <v>0</v>
      </c>
      <c r="T23" s="1230"/>
      <c r="U23" s="1231"/>
      <c r="V23" s="1531"/>
      <c r="W23" s="1217">
        <f t="shared" si="0"/>
        <v>0</v>
      </c>
      <c r="X23" s="1232"/>
      <c r="Y23" s="2707">
        <f t="shared" si="1"/>
        <v>0</v>
      </c>
      <c r="Z23" s="1230"/>
      <c r="AA23" s="1231"/>
      <c r="AB23" s="1531"/>
      <c r="AC23" s="2701">
        <f t="shared" si="9"/>
        <v>0</v>
      </c>
      <c r="AD23" s="1230"/>
      <c r="AE23" s="1231"/>
      <c r="AF23" s="1531"/>
      <c r="AG23" s="2701">
        <f t="shared" si="10"/>
        <v>0</v>
      </c>
      <c r="AH23" s="1230"/>
      <c r="AI23" s="1231"/>
      <c r="AJ23" s="1531"/>
      <c r="AK23" s="1217">
        <f t="shared" si="2"/>
        <v>0</v>
      </c>
      <c r="AL23" s="1232"/>
      <c r="AM23" s="2701">
        <f t="shared" si="11"/>
        <v>0</v>
      </c>
      <c r="AN23" s="1230"/>
      <c r="AO23" s="1231"/>
      <c r="AP23" s="1531"/>
      <c r="AQ23" s="2701">
        <f t="shared" si="12"/>
        <v>0</v>
      </c>
      <c r="AR23" s="1230"/>
      <c r="AS23" s="1231"/>
      <c r="AT23" s="1531"/>
      <c r="AU23" s="2701">
        <f t="shared" si="13"/>
        <v>0</v>
      </c>
      <c r="AV23" s="1230"/>
      <c r="AW23" s="1231"/>
      <c r="AX23" s="1531"/>
      <c r="AY23" s="1217">
        <f t="shared" si="3"/>
        <v>0</v>
      </c>
      <c r="AZ23" s="1232"/>
      <c r="BA23" s="2707">
        <f t="shared" si="14"/>
        <v>0</v>
      </c>
      <c r="BB23" s="1232"/>
      <c r="BC23" s="1550">
        <f t="shared" si="4"/>
        <v>0</v>
      </c>
      <c r="BD23" s="3141"/>
      <c r="BE23" s="3141"/>
    </row>
    <row r="24" spans="1:57" ht="15.6" x14ac:dyDescent="0.3">
      <c r="A24" s="1452" t="s">
        <v>1220</v>
      </c>
      <c r="B24" s="1526"/>
      <c r="C24" s="238">
        <v>26349</v>
      </c>
      <c r="D24" s="238"/>
      <c r="E24" s="238">
        <v>31273</v>
      </c>
      <c r="F24" s="1459"/>
      <c r="G24" s="1459">
        <f t="shared" si="5"/>
        <v>57622</v>
      </c>
      <c r="H24" s="1513"/>
      <c r="I24" s="238">
        <v>29786</v>
      </c>
      <c r="J24" s="1532"/>
      <c r="K24" s="1217">
        <f t="shared" si="6"/>
        <v>87408</v>
      </c>
      <c r="L24" s="1513"/>
      <c r="M24" s="238">
        <v>32431</v>
      </c>
      <c r="N24" s="1529"/>
      <c r="O24" s="1550">
        <f t="shared" si="7"/>
        <v>119839</v>
      </c>
      <c r="P24" s="1513"/>
      <c r="Q24" s="238">
        <v>29596.999</v>
      </c>
      <c r="R24" s="1459"/>
      <c r="S24" s="1459">
        <f t="shared" si="8"/>
        <v>149435.99900000001</v>
      </c>
      <c r="T24" s="2704"/>
      <c r="U24" s="238">
        <v>24669</v>
      </c>
      <c r="V24" s="258"/>
      <c r="W24" s="1217">
        <f t="shared" si="0"/>
        <v>86696.998999999996</v>
      </c>
      <c r="X24" s="2627"/>
      <c r="Y24" s="2707">
        <f t="shared" si="1"/>
        <v>174104.99900000001</v>
      </c>
      <c r="Z24" s="2709"/>
      <c r="AA24" s="238">
        <v>419.03800000000001</v>
      </c>
      <c r="AB24" s="258"/>
      <c r="AC24" s="2701">
        <f t="shared" si="9"/>
        <v>174524.03700000001</v>
      </c>
      <c r="AD24" s="2704"/>
      <c r="AE24" s="238"/>
      <c r="AF24" s="258"/>
      <c r="AG24" s="2701">
        <f t="shared" si="10"/>
        <v>174524.03700000001</v>
      </c>
      <c r="AH24" s="2704"/>
      <c r="AI24" s="238"/>
      <c r="AJ24" s="258"/>
      <c r="AK24" s="1217">
        <f t="shared" si="2"/>
        <v>419.03800000000001</v>
      </c>
      <c r="AL24" s="1225"/>
      <c r="AM24" s="2701">
        <f t="shared" si="11"/>
        <v>174524.03700000001</v>
      </c>
      <c r="AN24" s="2704"/>
      <c r="AO24" s="238">
        <v>151.107</v>
      </c>
      <c r="AP24" s="238"/>
      <c r="AQ24" s="2701">
        <f t="shared" si="12"/>
        <v>174675.144</v>
      </c>
      <c r="AR24" s="2700"/>
      <c r="AS24" s="238">
        <v>588.07799999999997</v>
      </c>
      <c r="AT24" s="238"/>
      <c r="AU24" s="2701">
        <f t="shared" si="13"/>
        <v>175263.22200000001</v>
      </c>
      <c r="AV24" s="2700"/>
      <c r="AW24" s="238">
        <f>442+19.89</f>
        <v>461.89</v>
      </c>
      <c r="AX24" s="258"/>
      <c r="AY24" s="1217">
        <f t="shared" si="3"/>
        <v>1201.0749999999998</v>
      </c>
      <c r="AZ24" s="2627"/>
      <c r="BA24" s="2707">
        <f t="shared" si="14"/>
        <v>1620.1129999999998</v>
      </c>
      <c r="BB24" s="2701"/>
      <c r="BC24" s="1550">
        <f t="shared" si="4"/>
        <v>175725.11200000002</v>
      </c>
      <c r="BD24" s="3141"/>
      <c r="BE24" s="3141"/>
    </row>
    <row r="25" spans="1:57" ht="15.6" x14ac:dyDescent="0.3">
      <c r="A25" s="1452" t="s">
        <v>2286</v>
      </c>
      <c r="B25" s="1526"/>
      <c r="C25" s="5503"/>
      <c r="D25" s="5503"/>
      <c r="E25" s="5503"/>
      <c r="F25" s="5504"/>
      <c r="G25" s="5504"/>
      <c r="H25" s="5505"/>
      <c r="I25" s="5503">
        <v>6947</v>
      </c>
      <c r="J25" s="5506"/>
      <c r="K25" s="1217">
        <f t="shared" si="6"/>
        <v>6947</v>
      </c>
      <c r="L25" s="5505"/>
      <c r="M25" s="5503">
        <v>2608</v>
      </c>
      <c r="N25" s="5507"/>
      <c r="O25" s="1550">
        <f t="shared" si="7"/>
        <v>9555</v>
      </c>
      <c r="P25" s="5505"/>
      <c r="Q25" s="5503">
        <v>3665.6750000000002</v>
      </c>
      <c r="R25" s="5504"/>
      <c r="S25" s="1459">
        <f t="shared" si="8"/>
        <v>13220.674999999999</v>
      </c>
      <c r="T25" s="2704"/>
      <c r="U25" s="5503">
        <v>9928</v>
      </c>
      <c r="V25" s="258"/>
      <c r="W25" s="1217">
        <f t="shared" ref="W25:W31" si="16">+M25+Q25+U25</f>
        <v>16201.674999999999</v>
      </c>
      <c r="X25" s="2627"/>
      <c r="Y25" s="2707">
        <f t="shared" ref="Y25:Y31" si="17">+K25+W25</f>
        <v>23148.674999999999</v>
      </c>
      <c r="Z25" s="2709"/>
      <c r="AA25" s="5503"/>
      <c r="AB25" s="258"/>
      <c r="AC25" s="5509"/>
      <c r="AD25" s="2704"/>
      <c r="AE25" s="5503"/>
      <c r="AF25" s="258"/>
      <c r="AG25" s="5509"/>
      <c r="AH25" s="2704"/>
      <c r="AI25" s="5503"/>
      <c r="AJ25" s="258"/>
      <c r="AK25" s="5295"/>
      <c r="AL25" s="1225"/>
      <c r="AM25" s="5509"/>
      <c r="AN25" s="2704"/>
      <c r="AO25" s="5503"/>
      <c r="AP25" s="5503"/>
      <c r="AQ25" s="5509"/>
      <c r="AR25" s="5510"/>
      <c r="AS25" s="5503"/>
      <c r="AT25" s="5503"/>
      <c r="AU25" s="5509"/>
      <c r="AV25" s="5510"/>
      <c r="AW25" s="5503"/>
      <c r="AX25" s="258"/>
      <c r="AY25" s="5295"/>
      <c r="AZ25" s="2627"/>
      <c r="BA25" s="5508"/>
      <c r="BB25" s="5509"/>
      <c r="BC25" s="5297"/>
      <c r="BD25" s="3141"/>
      <c r="BE25" s="3141"/>
    </row>
    <row r="26" spans="1:57" ht="15.6" x14ac:dyDescent="0.3">
      <c r="A26" s="1452" t="s">
        <v>2252</v>
      </c>
      <c r="B26" s="1526"/>
      <c r="C26" s="5291"/>
      <c r="D26" s="5291"/>
      <c r="E26" s="5291">
        <v>248</v>
      </c>
      <c r="F26" s="5292"/>
      <c r="G26" s="1459">
        <f t="shared" si="5"/>
        <v>248</v>
      </c>
      <c r="H26" s="5293"/>
      <c r="I26" s="5291">
        <v>604</v>
      </c>
      <c r="J26" s="5294"/>
      <c r="K26" s="1217">
        <f t="shared" si="6"/>
        <v>852</v>
      </c>
      <c r="L26" s="5293"/>
      <c r="M26" s="5291">
        <v>486</v>
      </c>
      <c r="N26" s="5296"/>
      <c r="O26" s="1550">
        <f t="shared" si="7"/>
        <v>1338</v>
      </c>
      <c r="P26" s="5293"/>
      <c r="Q26" s="5291"/>
      <c r="R26" s="5292"/>
      <c r="S26" s="1459">
        <f t="shared" si="8"/>
        <v>1338</v>
      </c>
      <c r="T26" s="2704"/>
      <c r="U26" s="5291"/>
      <c r="V26" s="258"/>
      <c r="W26" s="1217">
        <f t="shared" si="16"/>
        <v>486</v>
      </c>
      <c r="X26" s="2627"/>
      <c r="Y26" s="2707">
        <f t="shared" si="17"/>
        <v>1338</v>
      </c>
      <c r="Z26" s="2709"/>
      <c r="AA26" s="5291"/>
      <c r="AB26" s="258"/>
      <c r="AC26" s="5398"/>
      <c r="AD26" s="2704"/>
      <c r="AE26" s="5291"/>
      <c r="AF26" s="258"/>
      <c r="AG26" s="5398"/>
      <c r="AH26" s="2704"/>
      <c r="AI26" s="5291"/>
      <c r="AJ26" s="258"/>
      <c r="AK26" s="5295"/>
      <c r="AL26" s="1225"/>
      <c r="AM26" s="5398"/>
      <c r="AN26" s="2704"/>
      <c r="AO26" s="5291"/>
      <c r="AP26" s="5291"/>
      <c r="AQ26" s="5398"/>
      <c r="AR26" s="5300"/>
      <c r="AS26" s="5291"/>
      <c r="AT26" s="5291"/>
      <c r="AU26" s="5398"/>
      <c r="AV26" s="5300"/>
      <c r="AW26" s="5291"/>
      <c r="AX26" s="258"/>
      <c r="AY26" s="5295"/>
      <c r="AZ26" s="2627"/>
      <c r="BA26" s="5397"/>
      <c r="BB26" s="5398"/>
      <c r="BC26" s="5297"/>
      <c r="BD26" s="3141"/>
      <c r="BE26" s="3141"/>
    </row>
    <row r="27" spans="1:57" ht="15.6" x14ac:dyDescent="0.3">
      <c r="A27" s="1452" t="s">
        <v>2330</v>
      </c>
      <c r="B27" s="1526"/>
      <c r="C27" s="5503"/>
      <c r="D27" s="5503"/>
      <c r="E27" s="5503"/>
      <c r="F27" s="5504"/>
      <c r="G27" s="5504"/>
      <c r="H27" s="5505"/>
      <c r="I27" s="5503"/>
      <c r="J27" s="5506"/>
      <c r="K27" s="1217">
        <f t="shared" si="6"/>
        <v>0</v>
      </c>
      <c r="L27" s="5505"/>
      <c r="M27" s="5503"/>
      <c r="N27" s="5507"/>
      <c r="O27" s="1550">
        <f t="shared" si="7"/>
        <v>0</v>
      </c>
      <c r="P27" s="5505"/>
      <c r="Q27" s="5503">
        <v>102.18</v>
      </c>
      <c r="R27" s="5504"/>
      <c r="S27" s="1459">
        <f t="shared" si="8"/>
        <v>102.18</v>
      </c>
      <c r="T27" s="2704"/>
      <c r="U27" s="5503"/>
      <c r="V27" s="258"/>
      <c r="W27" s="1217">
        <f t="shared" si="16"/>
        <v>102.18</v>
      </c>
      <c r="X27" s="2627"/>
      <c r="Y27" s="2707">
        <f t="shared" si="17"/>
        <v>102.18</v>
      </c>
      <c r="Z27" s="2709"/>
      <c r="AA27" s="5503"/>
      <c r="AB27" s="258"/>
      <c r="AC27" s="5509"/>
      <c r="AD27" s="2704"/>
      <c r="AE27" s="5503"/>
      <c r="AF27" s="258"/>
      <c r="AG27" s="5509"/>
      <c r="AH27" s="2704"/>
      <c r="AI27" s="5503"/>
      <c r="AJ27" s="258"/>
      <c r="AK27" s="5295"/>
      <c r="AL27" s="1225"/>
      <c r="AM27" s="5509"/>
      <c r="AN27" s="2704"/>
      <c r="AO27" s="5503"/>
      <c r="AP27" s="5503"/>
      <c r="AQ27" s="5509"/>
      <c r="AR27" s="5510"/>
      <c r="AS27" s="5503"/>
      <c r="AT27" s="5503"/>
      <c r="AU27" s="5509"/>
      <c r="AV27" s="5510"/>
      <c r="AW27" s="5503"/>
      <c r="AX27" s="258"/>
      <c r="AY27" s="5295"/>
      <c r="AZ27" s="2627"/>
      <c r="BA27" s="5508"/>
      <c r="BB27" s="5509"/>
      <c r="BC27" s="5297"/>
      <c r="BD27" s="3141"/>
      <c r="BE27" s="3141"/>
    </row>
    <row r="28" spans="1:57" ht="15.6" x14ac:dyDescent="0.3">
      <c r="A28" s="1452" t="s">
        <v>1281</v>
      </c>
      <c r="B28" s="1526"/>
      <c r="C28" s="5291">
        <v>379</v>
      </c>
      <c r="D28" s="5291"/>
      <c r="E28" s="5291"/>
      <c r="F28" s="5292"/>
      <c r="G28" s="1459">
        <f t="shared" si="5"/>
        <v>379</v>
      </c>
      <c r="H28" s="5293"/>
      <c r="I28" s="5291">
        <v>165</v>
      </c>
      <c r="J28" s="5294"/>
      <c r="K28" s="1217">
        <f t="shared" si="6"/>
        <v>544</v>
      </c>
      <c r="L28" s="5293"/>
      <c r="M28" s="5291">
        <v>99</v>
      </c>
      <c r="N28" s="5296"/>
      <c r="O28" s="1550">
        <f t="shared" si="7"/>
        <v>643</v>
      </c>
      <c r="P28" s="5293"/>
      <c r="Q28" s="5291"/>
      <c r="R28" s="5292"/>
      <c r="S28" s="1459">
        <f t="shared" si="8"/>
        <v>643</v>
      </c>
      <c r="T28" s="2704"/>
      <c r="U28" s="5291">
        <v>314</v>
      </c>
      <c r="V28" s="258"/>
      <c r="W28" s="1217">
        <f t="shared" si="16"/>
        <v>413</v>
      </c>
      <c r="X28" s="2627"/>
      <c r="Y28" s="2707">
        <f t="shared" si="17"/>
        <v>957</v>
      </c>
      <c r="Z28" s="2709"/>
      <c r="AA28" s="5291"/>
      <c r="AB28" s="258"/>
      <c r="AC28" s="5299"/>
      <c r="AD28" s="2704"/>
      <c r="AE28" s="5291"/>
      <c r="AF28" s="258"/>
      <c r="AG28" s="5299"/>
      <c r="AH28" s="2704"/>
      <c r="AI28" s="5291"/>
      <c r="AJ28" s="258"/>
      <c r="AK28" s="5295"/>
      <c r="AL28" s="1225"/>
      <c r="AM28" s="5299"/>
      <c r="AN28" s="2704"/>
      <c r="AO28" s="5291"/>
      <c r="AP28" s="5291"/>
      <c r="AQ28" s="5299"/>
      <c r="AR28" s="5300"/>
      <c r="AS28" s="5291"/>
      <c r="AT28" s="5291"/>
      <c r="AU28" s="5299"/>
      <c r="AV28" s="5300"/>
      <c r="AW28" s="5291"/>
      <c r="AX28" s="258"/>
      <c r="AY28" s="5295"/>
      <c r="AZ28" s="2627"/>
      <c r="BA28" s="5298"/>
      <c r="BB28" s="5299"/>
      <c r="BC28" s="5297"/>
      <c r="BD28" s="3141"/>
      <c r="BE28" s="3141"/>
    </row>
    <row r="29" spans="1:57" ht="15.6" x14ac:dyDescent="0.3">
      <c r="A29" s="1452" t="s">
        <v>2302</v>
      </c>
      <c r="B29" s="1526"/>
      <c r="C29" s="5503"/>
      <c r="D29" s="5503"/>
      <c r="E29" s="5503"/>
      <c r="F29" s="5504"/>
      <c r="G29" s="5504"/>
      <c r="H29" s="5505"/>
      <c r="I29" s="5503"/>
      <c r="J29" s="5506"/>
      <c r="K29" s="1217">
        <f t="shared" si="6"/>
        <v>0</v>
      </c>
      <c r="L29" s="5505"/>
      <c r="M29" s="5503">
        <v>286</v>
      </c>
      <c r="N29" s="5507"/>
      <c r="O29" s="1550">
        <f t="shared" si="7"/>
        <v>286</v>
      </c>
      <c r="P29" s="5505"/>
      <c r="Q29" s="5503">
        <v>282.27499999999998</v>
      </c>
      <c r="R29" s="5504"/>
      <c r="S29" s="1459">
        <f t="shared" si="8"/>
        <v>568.27499999999998</v>
      </c>
      <c r="T29" s="2704"/>
      <c r="U29" s="5503"/>
      <c r="V29" s="258"/>
      <c r="W29" s="1217">
        <f t="shared" si="16"/>
        <v>568.27499999999998</v>
      </c>
      <c r="X29" s="2627"/>
      <c r="Y29" s="2707">
        <f t="shared" si="17"/>
        <v>568.27499999999998</v>
      </c>
      <c r="Z29" s="2709"/>
      <c r="AA29" s="5503"/>
      <c r="AB29" s="258"/>
      <c r="AC29" s="5509"/>
      <c r="AD29" s="2704"/>
      <c r="AE29" s="5503"/>
      <c r="AF29" s="258"/>
      <c r="AG29" s="5509"/>
      <c r="AH29" s="2704"/>
      <c r="AI29" s="5503"/>
      <c r="AJ29" s="258"/>
      <c r="AK29" s="5295"/>
      <c r="AL29" s="1225"/>
      <c r="AM29" s="5509"/>
      <c r="AN29" s="2704"/>
      <c r="AO29" s="5503"/>
      <c r="AP29" s="5503"/>
      <c r="AQ29" s="5509"/>
      <c r="AR29" s="5510"/>
      <c r="AS29" s="5503"/>
      <c r="AT29" s="5503"/>
      <c r="AU29" s="5509"/>
      <c r="AV29" s="5510"/>
      <c r="AW29" s="5503"/>
      <c r="AX29" s="258"/>
      <c r="AY29" s="5295"/>
      <c r="AZ29" s="2627"/>
      <c r="BA29" s="5508"/>
      <c r="BB29" s="5509"/>
      <c r="BC29" s="5297"/>
      <c r="BD29" s="3141"/>
      <c r="BE29" s="3141"/>
    </row>
    <row r="30" spans="1:57" ht="15.6" x14ac:dyDescent="0.3">
      <c r="A30" s="1452" t="s">
        <v>2287</v>
      </c>
      <c r="B30" s="1526"/>
      <c r="C30" s="5503"/>
      <c r="D30" s="5503"/>
      <c r="E30" s="5503"/>
      <c r="F30" s="5504"/>
      <c r="G30" s="5504"/>
      <c r="H30" s="5505"/>
      <c r="I30" s="5503">
        <v>250</v>
      </c>
      <c r="J30" s="5506"/>
      <c r="K30" s="1217">
        <f t="shared" si="6"/>
        <v>250</v>
      </c>
      <c r="L30" s="5505"/>
      <c r="M30" s="5503"/>
      <c r="N30" s="5507"/>
      <c r="O30" s="1550">
        <f t="shared" si="7"/>
        <v>250</v>
      </c>
      <c r="P30" s="5505"/>
      <c r="Q30" s="5503"/>
      <c r="R30" s="5504"/>
      <c r="S30" s="1459">
        <f t="shared" si="8"/>
        <v>250</v>
      </c>
      <c r="T30" s="2704"/>
      <c r="U30" s="5503"/>
      <c r="V30" s="258"/>
      <c r="W30" s="1217">
        <f t="shared" si="16"/>
        <v>0</v>
      </c>
      <c r="X30" s="2627"/>
      <c r="Y30" s="2707">
        <f t="shared" si="17"/>
        <v>250</v>
      </c>
      <c r="Z30" s="2709"/>
      <c r="AA30" s="5503"/>
      <c r="AB30" s="258"/>
      <c r="AC30" s="5509"/>
      <c r="AD30" s="2704"/>
      <c r="AE30" s="5503"/>
      <c r="AF30" s="258"/>
      <c r="AG30" s="5509"/>
      <c r="AH30" s="2704"/>
      <c r="AI30" s="5503"/>
      <c r="AJ30" s="258"/>
      <c r="AK30" s="5295"/>
      <c r="AL30" s="1225"/>
      <c r="AM30" s="5509"/>
      <c r="AN30" s="2704"/>
      <c r="AO30" s="5503"/>
      <c r="AP30" s="5503"/>
      <c r="AQ30" s="5509"/>
      <c r="AR30" s="5510"/>
      <c r="AS30" s="5503"/>
      <c r="AT30" s="5503"/>
      <c r="AU30" s="5509"/>
      <c r="AV30" s="5510"/>
      <c r="AW30" s="5503"/>
      <c r="AX30" s="258"/>
      <c r="AY30" s="5295"/>
      <c r="AZ30" s="2627"/>
      <c r="BA30" s="5508"/>
      <c r="BB30" s="5509"/>
      <c r="BC30" s="5297"/>
      <c r="BD30" s="3141"/>
      <c r="BE30" s="3141"/>
    </row>
    <row r="31" spans="1:57" ht="15.6" x14ac:dyDescent="0.3">
      <c r="A31" s="1514" t="s">
        <v>2223</v>
      </c>
      <c r="B31" s="1527"/>
      <c r="C31" s="238">
        <v>130</v>
      </c>
      <c r="D31" s="238"/>
      <c r="E31" s="238"/>
      <c r="F31" s="1459"/>
      <c r="G31" s="1459">
        <f t="shared" si="5"/>
        <v>130</v>
      </c>
      <c r="H31" s="1513"/>
      <c r="I31" s="238"/>
      <c r="J31" s="1532"/>
      <c r="K31" s="1217">
        <f t="shared" si="6"/>
        <v>130</v>
      </c>
      <c r="L31" s="1513"/>
      <c r="M31" s="238"/>
      <c r="N31" s="1529"/>
      <c r="O31" s="1550">
        <f t="shared" si="7"/>
        <v>130</v>
      </c>
      <c r="P31" s="1513"/>
      <c r="Q31" s="238"/>
      <c r="R31" s="1459"/>
      <c r="S31" s="1459">
        <f t="shared" si="8"/>
        <v>130</v>
      </c>
      <c r="T31" s="2704"/>
      <c r="U31" s="238"/>
      <c r="V31" s="258"/>
      <c r="W31" s="1217">
        <f t="shared" si="16"/>
        <v>0</v>
      </c>
      <c r="X31" s="2627"/>
      <c r="Y31" s="2707">
        <f t="shared" si="17"/>
        <v>130</v>
      </c>
      <c r="Z31" s="2709"/>
      <c r="AA31" s="238">
        <v>30614.142</v>
      </c>
      <c r="AB31" s="258"/>
      <c r="AC31" s="2701">
        <f t="shared" si="9"/>
        <v>30744.142</v>
      </c>
      <c r="AD31" s="2704"/>
      <c r="AE31" s="238"/>
      <c r="AF31" s="258"/>
      <c r="AG31" s="2701">
        <f t="shared" si="10"/>
        <v>30744.142</v>
      </c>
      <c r="AH31" s="2704"/>
      <c r="AI31" s="238">
        <v>24506</v>
      </c>
      <c r="AJ31" s="258"/>
      <c r="AK31" s="1217">
        <f t="shared" si="2"/>
        <v>55120.142</v>
      </c>
      <c r="AL31" s="1225"/>
      <c r="AM31" s="2701">
        <f t="shared" si="11"/>
        <v>55250.142</v>
      </c>
      <c r="AN31" s="2704"/>
      <c r="AO31" s="238">
        <v>34007.839999999997</v>
      </c>
      <c r="AP31" s="238"/>
      <c r="AQ31" s="2701">
        <f t="shared" si="12"/>
        <v>89257.981999999989</v>
      </c>
      <c r="AR31" s="2700"/>
      <c r="AS31" s="238">
        <v>30807.614000000001</v>
      </c>
      <c r="AT31" s="238"/>
      <c r="AU31" s="2701">
        <f t="shared" si="13"/>
        <v>120065.59599999999</v>
      </c>
      <c r="AV31" s="2700"/>
      <c r="AW31" s="238">
        <f>40190+792.97</f>
        <v>40982.97</v>
      </c>
      <c r="AX31" s="258"/>
      <c r="AY31" s="1217">
        <f t="shared" si="3"/>
        <v>105798.424</v>
      </c>
      <c r="AZ31" s="2627"/>
      <c r="BA31" s="2707">
        <f t="shared" si="14"/>
        <v>160918.56599999999</v>
      </c>
      <c r="BB31" s="2701"/>
      <c r="BC31" s="1550">
        <f t="shared" si="4"/>
        <v>161048.56599999999</v>
      </c>
      <c r="BD31" s="3141"/>
      <c r="BE31" s="3141"/>
    </row>
    <row r="32" spans="1:57" ht="15.6" x14ac:dyDescent="0.3">
      <c r="A32" s="1514" t="s">
        <v>1219</v>
      </c>
      <c r="B32" s="1527"/>
      <c r="C32" s="238">
        <v>610</v>
      </c>
      <c r="D32" s="238"/>
      <c r="E32" s="238">
        <v>1767</v>
      </c>
      <c r="F32" s="1459"/>
      <c r="G32" s="1459">
        <f t="shared" si="5"/>
        <v>2377</v>
      </c>
      <c r="H32" s="1513"/>
      <c r="I32" s="238">
        <v>6593</v>
      </c>
      <c r="J32" s="1532"/>
      <c r="K32" s="1217">
        <f t="shared" si="6"/>
        <v>8970</v>
      </c>
      <c r="L32" s="1513"/>
      <c r="M32" s="238">
        <v>5558</v>
      </c>
      <c r="N32" s="1529"/>
      <c r="O32" s="1550">
        <f t="shared" si="7"/>
        <v>14528</v>
      </c>
      <c r="P32" s="1513"/>
      <c r="Q32" s="238">
        <v>3475.9969999999998</v>
      </c>
      <c r="R32" s="1459"/>
      <c r="S32" s="1459">
        <f t="shared" si="8"/>
        <v>18003.996999999999</v>
      </c>
      <c r="T32" s="2704"/>
      <c r="U32" s="238">
        <v>2816</v>
      </c>
      <c r="V32" s="258"/>
      <c r="W32" s="1217">
        <f t="shared" si="0"/>
        <v>11849.996999999999</v>
      </c>
      <c r="X32" s="2627"/>
      <c r="Y32" s="2707">
        <f t="shared" si="1"/>
        <v>20819.996999999999</v>
      </c>
      <c r="Z32" s="2709"/>
      <c r="AA32" s="238"/>
      <c r="AB32" s="258"/>
      <c r="AC32" s="2701">
        <f t="shared" si="9"/>
        <v>20819.996999999999</v>
      </c>
      <c r="AD32" s="2704"/>
      <c r="AE32" s="238"/>
      <c r="AF32" s="258"/>
      <c r="AG32" s="2701">
        <f t="shared" si="10"/>
        <v>20819.996999999999</v>
      </c>
      <c r="AH32" s="2704"/>
      <c r="AI32" s="238">
        <v>1675</v>
      </c>
      <c r="AJ32" s="258"/>
      <c r="AK32" s="1217">
        <f t="shared" si="2"/>
        <v>1675</v>
      </c>
      <c r="AL32" s="1225"/>
      <c r="AM32" s="2701">
        <f t="shared" si="11"/>
        <v>22494.996999999999</v>
      </c>
      <c r="AN32" s="2704"/>
      <c r="AO32" s="238">
        <v>1165.364</v>
      </c>
      <c r="AP32" s="238"/>
      <c r="AQ32" s="2701">
        <f t="shared" si="12"/>
        <v>23660.361000000001</v>
      </c>
      <c r="AR32" s="2700"/>
      <c r="AS32" s="238">
        <v>2437.56</v>
      </c>
      <c r="AT32" s="238"/>
      <c r="AU32" s="2701">
        <f t="shared" si="13"/>
        <v>26097.921000000002</v>
      </c>
      <c r="AV32" s="2700"/>
      <c r="AW32" s="238">
        <f>5535+19.89</f>
        <v>5554.89</v>
      </c>
      <c r="AX32" s="258"/>
      <c r="AY32" s="1217">
        <f t="shared" si="3"/>
        <v>9157.8140000000003</v>
      </c>
      <c r="AZ32" s="2627"/>
      <c r="BA32" s="2707">
        <f t="shared" si="14"/>
        <v>10832.814</v>
      </c>
      <c r="BB32" s="2701"/>
      <c r="BC32" s="1550">
        <f t="shared" si="4"/>
        <v>31652.811000000002</v>
      </c>
      <c r="BD32" s="3141"/>
      <c r="BE32" s="3141"/>
    </row>
    <row r="33" spans="1:62" ht="16.149999999999999" thickBot="1" x14ac:dyDescent="0.35">
      <c r="A33" s="1514" t="s">
        <v>1218</v>
      </c>
      <c r="B33" s="1527"/>
      <c r="C33" s="238">
        <v>11624</v>
      </c>
      <c r="D33" s="238"/>
      <c r="E33" s="238">
        <v>5670</v>
      </c>
      <c r="F33" s="1459"/>
      <c r="G33" s="1459">
        <f t="shared" si="5"/>
        <v>17294</v>
      </c>
      <c r="H33" s="1513"/>
      <c r="I33" s="238">
        <v>5032</v>
      </c>
      <c r="J33" s="1532"/>
      <c r="K33" s="1217">
        <f t="shared" si="6"/>
        <v>22326</v>
      </c>
      <c r="L33" s="1513"/>
      <c r="M33" s="238">
        <v>5978</v>
      </c>
      <c r="N33" s="1529"/>
      <c r="O33" s="1550">
        <f t="shared" si="7"/>
        <v>28304</v>
      </c>
      <c r="P33" s="1513"/>
      <c r="Q33" s="238"/>
      <c r="R33" s="1459"/>
      <c r="S33" s="1459">
        <f t="shared" si="8"/>
        <v>28304</v>
      </c>
      <c r="T33" s="2704"/>
      <c r="U33" s="238"/>
      <c r="V33" s="258"/>
      <c r="W33" s="1217">
        <f t="shared" si="0"/>
        <v>5978</v>
      </c>
      <c r="X33" s="2627"/>
      <c r="Y33" s="2707">
        <f t="shared" si="1"/>
        <v>28304</v>
      </c>
      <c r="Z33" s="2709"/>
      <c r="AA33" s="238">
        <v>7520.3270000000002</v>
      </c>
      <c r="AB33" s="258"/>
      <c r="AC33" s="2701">
        <f t="shared" si="9"/>
        <v>35824.326999999997</v>
      </c>
      <c r="AD33" s="2704"/>
      <c r="AE33" s="238"/>
      <c r="AF33" s="258"/>
      <c r="AG33" s="2701">
        <f t="shared" si="10"/>
        <v>35824.326999999997</v>
      </c>
      <c r="AH33" s="2704"/>
      <c r="AI33" s="238">
        <v>6320</v>
      </c>
      <c r="AJ33" s="258"/>
      <c r="AK33" s="1217">
        <f t="shared" si="2"/>
        <v>13840.327000000001</v>
      </c>
      <c r="AL33" s="1225"/>
      <c r="AM33" s="2701">
        <f t="shared" si="11"/>
        <v>42144.326999999997</v>
      </c>
      <c r="AN33" s="2704"/>
      <c r="AO33" s="238">
        <v>12204.722</v>
      </c>
      <c r="AP33" s="238"/>
      <c r="AQ33" s="2701">
        <f t="shared" si="12"/>
        <v>54349.048999999999</v>
      </c>
      <c r="AR33" s="2700"/>
      <c r="AS33" s="238">
        <v>12506.003000000001</v>
      </c>
      <c r="AT33" s="238"/>
      <c r="AU33" s="2701">
        <f t="shared" si="13"/>
        <v>66855.051999999996</v>
      </c>
      <c r="AV33" s="2700"/>
      <c r="AW33" s="238">
        <f>6990+111.549</f>
        <v>7101.549</v>
      </c>
      <c r="AX33" s="258"/>
      <c r="AY33" s="1217">
        <f t="shared" si="3"/>
        <v>31812.273999999998</v>
      </c>
      <c r="AZ33" s="2627"/>
      <c r="BA33" s="2707">
        <f t="shared" si="14"/>
        <v>45652.600999999995</v>
      </c>
      <c r="BB33" s="2701"/>
      <c r="BC33" s="1550">
        <f t="shared" si="4"/>
        <v>73956.600999999995</v>
      </c>
      <c r="BD33" s="3141"/>
      <c r="BE33" s="3141"/>
    </row>
    <row r="34" spans="1:62" ht="16.149999999999999" thickBot="1" x14ac:dyDescent="0.35">
      <c r="A34" s="3143" t="s">
        <v>654</v>
      </c>
      <c r="B34" s="3144"/>
      <c r="C34" s="3145">
        <f>SUM(C24:C33)</f>
        <v>39092</v>
      </c>
      <c r="D34" s="3145"/>
      <c r="E34" s="3145">
        <f>SUM(E24:E33)</f>
        <v>38958</v>
      </c>
      <c r="F34" s="3145"/>
      <c r="G34" s="1459">
        <f t="shared" si="5"/>
        <v>78050</v>
      </c>
      <c r="H34" s="3145"/>
      <c r="I34" s="3145">
        <f>SUM(I24:I33)</f>
        <v>49377</v>
      </c>
      <c r="J34" s="3145"/>
      <c r="K34" s="1217">
        <f t="shared" si="6"/>
        <v>127427</v>
      </c>
      <c r="L34" s="3145"/>
      <c r="M34" s="3145">
        <f>SUM(M24:M33)</f>
        <v>47446</v>
      </c>
      <c r="N34" s="3145"/>
      <c r="O34" s="1550">
        <f t="shared" si="7"/>
        <v>174873</v>
      </c>
      <c r="P34" s="3145"/>
      <c r="Q34" s="3145">
        <f>SUM(Q24:Q33)</f>
        <v>37123.126000000004</v>
      </c>
      <c r="R34" s="3145"/>
      <c r="S34" s="1459">
        <f t="shared" si="8"/>
        <v>211996.12599999999</v>
      </c>
      <c r="T34" s="3145"/>
      <c r="U34" s="3145">
        <f>SUM(U24:U33)</f>
        <v>37727</v>
      </c>
      <c r="V34" s="3145"/>
      <c r="W34" s="1217">
        <f t="shared" si="0"/>
        <v>122296.126</v>
      </c>
      <c r="X34" s="3145"/>
      <c r="Y34" s="2707">
        <f t="shared" si="1"/>
        <v>249723.12599999999</v>
      </c>
      <c r="Z34" s="3145"/>
      <c r="AA34" s="3145">
        <f>SUM(AA24:AA33)</f>
        <v>38553.506999999998</v>
      </c>
      <c r="AB34" s="3145"/>
      <c r="AC34" s="2701">
        <f t="shared" si="9"/>
        <v>288276.63299999997</v>
      </c>
      <c r="AD34" s="3145"/>
      <c r="AE34" s="3145">
        <f>SUM(AE24:AE33)</f>
        <v>0</v>
      </c>
      <c r="AF34" s="3145"/>
      <c r="AG34" s="2701">
        <f t="shared" si="10"/>
        <v>288276.63299999997</v>
      </c>
      <c r="AH34" s="3145"/>
      <c r="AI34" s="3145">
        <f>SUM(AI24:AI33)</f>
        <v>32501</v>
      </c>
      <c r="AJ34" s="3145"/>
      <c r="AK34" s="1217">
        <f t="shared" si="2"/>
        <v>71054.506999999998</v>
      </c>
      <c r="AL34" s="3145"/>
      <c r="AM34" s="2701">
        <f t="shared" si="11"/>
        <v>320777.63299999997</v>
      </c>
      <c r="AN34" s="3145"/>
      <c r="AO34" s="3145">
        <f>SUM(AO24:AO33)</f>
        <v>47529.033000000003</v>
      </c>
      <c r="AP34" s="3145"/>
      <c r="AQ34" s="2701">
        <f t="shared" si="12"/>
        <v>368306.66599999997</v>
      </c>
      <c r="AR34" s="3145"/>
      <c r="AS34" s="3145">
        <f>SUM(AS24:AS33)</f>
        <v>46339.255000000005</v>
      </c>
      <c r="AT34" s="3145"/>
      <c r="AU34" s="2701">
        <f t="shared" si="13"/>
        <v>414645.92099999997</v>
      </c>
      <c r="AV34" s="3145"/>
      <c r="AW34" s="3145">
        <f>SUM(AW24:AW33)</f>
        <v>54101.298999999999</v>
      </c>
      <c r="AX34" s="3145"/>
      <c r="AY34" s="1217">
        <f t="shared" si="3"/>
        <v>147969.587</v>
      </c>
      <c r="AZ34" s="3145"/>
      <c r="BA34" s="2707">
        <f t="shared" si="14"/>
        <v>219024.09399999998</v>
      </c>
      <c r="BB34" s="3145"/>
      <c r="BC34" s="1550">
        <f t="shared" si="4"/>
        <v>468747.22</v>
      </c>
      <c r="BD34" s="3141"/>
      <c r="BE34" s="3141"/>
    </row>
    <row r="35" spans="1:62" ht="9.75" customHeight="1" thickBot="1" x14ac:dyDescent="0.35">
      <c r="A35" s="1453"/>
      <c r="B35" s="1528"/>
      <c r="C35" s="1227"/>
      <c r="D35" s="1227"/>
      <c r="E35" s="246"/>
      <c r="F35" s="246"/>
      <c r="G35" s="1459">
        <f t="shared" si="5"/>
        <v>0</v>
      </c>
      <c r="H35" s="246"/>
      <c r="I35" s="246"/>
      <c r="J35" s="586"/>
      <c r="K35" s="1217">
        <f t="shared" si="6"/>
        <v>0</v>
      </c>
      <c r="L35" s="246"/>
      <c r="M35" s="246"/>
      <c r="N35" s="586"/>
      <c r="O35" s="1550">
        <f t="shared" si="7"/>
        <v>0</v>
      </c>
      <c r="P35" s="246"/>
      <c r="Q35" s="246"/>
      <c r="R35" s="246"/>
      <c r="S35" s="1459">
        <f t="shared" si="8"/>
        <v>0</v>
      </c>
      <c r="T35" s="1228"/>
      <c r="U35" s="246"/>
      <c r="V35" s="586"/>
      <c r="W35" s="1217">
        <f t="shared" si="0"/>
        <v>0</v>
      </c>
      <c r="X35" s="2628"/>
      <c r="Y35" s="2707">
        <f t="shared" si="1"/>
        <v>0</v>
      </c>
      <c r="Z35" s="1228"/>
      <c r="AA35" s="246"/>
      <c r="AB35" s="246"/>
      <c r="AC35" s="2701">
        <f t="shared" si="9"/>
        <v>0</v>
      </c>
      <c r="AD35" s="1228"/>
      <c r="AE35" s="246"/>
      <c r="AF35" s="246"/>
      <c r="AG35" s="2701">
        <f t="shared" si="10"/>
        <v>0</v>
      </c>
      <c r="AH35" s="1228"/>
      <c r="AI35" s="246"/>
      <c r="AJ35" s="586"/>
      <c r="AK35" s="1217">
        <f t="shared" si="2"/>
        <v>0</v>
      </c>
      <c r="AL35" s="2628"/>
      <c r="AM35" s="2701">
        <f t="shared" si="11"/>
        <v>0</v>
      </c>
      <c r="AN35" s="1228"/>
      <c r="AO35" s="246"/>
      <c r="AP35" s="246"/>
      <c r="AQ35" s="2701">
        <f t="shared" si="12"/>
        <v>0</v>
      </c>
      <c r="AR35" s="1228"/>
      <c r="AS35" s="246"/>
      <c r="AT35" s="246"/>
      <c r="AU35" s="2701">
        <f t="shared" si="13"/>
        <v>0</v>
      </c>
      <c r="AV35" s="1228"/>
      <c r="AW35" s="246"/>
      <c r="AX35" s="586"/>
      <c r="AY35" s="1217">
        <f t="shared" si="3"/>
        <v>0</v>
      </c>
      <c r="AZ35" s="2628"/>
      <c r="BA35" s="2707">
        <f t="shared" si="14"/>
        <v>0</v>
      </c>
      <c r="BB35" s="1228"/>
      <c r="BC35" s="1550">
        <f t="shared" si="4"/>
        <v>0</v>
      </c>
      <c r="BD35" s="3141"/>
      <c r="BE35" s="3141"/>
    </row>
    <row r="36" spans="1:62" ht="16.5" thickBot="1" x14ac:dyDescent="0.3">
      <c r="A36" s="3148" t="s">
        <v>645</v>
      </c>
      <c r="B36" s="3149"/>
      <c r="C36" s="1229"/>
      <c r="D36" s="1229"/>
      <c r="E36" s="1231"/>
      <c r="F36" s="1231"/>
      <c r="G36" s="1459">
        <f t="shared" si="5"/>
        <v>0</v>
      </c>
      <c r="H36" s="1231"/>
      <c r="I36" s="1231"/>
      <c r="J36" s="1531"/>
      <c r="K36" s="1217">
        <f t="shared" si="6"/>
        <v>0</v>
      </c>
      <c r="L36" s="1231"/>
      <c r="M36" s="1231"/>
      <c r="N36" s="1531"/>
      <c r="O36" s="1550">
        <f t="shared" si="7"/>
        <v>0</v>
      </c>
      <c r="P36" s="1231"/>
      <c r="Q36" s="1231"/>
      <c r="R36" s="1231"/>
      <c r="S36" s="1459">
        <f t="shared" si="8"/>
        <v>0</v>
      </c>
      <c r="T36" s="1233"/>
      <c r="U36" s="1231"/>
      <c r="V36" s="1531"/>
      <c r="W36" s="1217">
        <f t="shared" si="0"/>
        <v>0</v>
      </c>
      <c r="X36" s="1230"/>
      <c r="Y36" s="2707">
        <f t="shared" si="1"/>
        <v>0</v>
      </c>
      <c r="Z36" s="1233"/>
      <c r="AA36" s="1231"/>
      <c r="AB36" s="1231"/>
      <c r="AC36" s="2701">
        <f t="shared" si="9"/>
        <v>0</v>
      </c>
      <c r="AD36" s="1233"/>
      <c r="AE36" s="1231"/>
      <c r="AF36" s="1231"/>
      <c r="AG36" s="2701">
        <f t="shared" si="10"/>
        <v>0</v>
      </c>
      <c r="AH36" s="1233"/>
      <c r="AI36" s="1231"/>
      <c r="AJ36" s="1531"/>
      <c r="AK36" s="1217">
        <f t="shared" si="2"/>
        <v>0</v>
      </c>
      <c r="AL36" s="1230"/>
      <c r="AM36" s="2701">
        <f t="shared" si="11"/>
        <v>0</v>
      </c>
      <c r="AN36" s="1233"/>
      <c r="AO36" s="1231"/>
      <c r="AP36" s="1231"/>
      <c r="AQ36" s="2701">
        <f t="shared" si="12"/>
        <v>0</v>
      </c>
      <c r="AR36" s="1233"/>
      <c r="AS36" s="1231"/>
      <c r="AT36" s="1231"/>
      <c r="AU36" s="2701">
        <f t="shared" si="13"/>
        <v>0</v>
      </c>
      <c r="AV36" s="1233"/>
      <c r="AW36" s="1231"/>
      <c r="AX36" s="1531"/>
      <c r="AY36" s="1217">
        <f t="shared" si="3"/>
        <v>0</v>
      </c>
      <c r="AZ36" s="1230"/>
      <c r="BA36" s="2707">
        <f t="shared" si="14"/>
        <v>0</v>
      </c>
      <c r="BB36" s="1233"/>
      <c r="BC36" s="1550">
        <f t="shared" si="4"/>
        <v>0</v>
      </c>
      <c r="BD36" s="3141"/>
      <c r="BE36" s="3141"/>
    </row>
    <row r="37" spans="1:62" x14ac:dyDescent="0.25">
      <c r="A37" s="1452" t="s">
        <v>2154</v>
      </c>
      <c r="B37" s="1526"/>
      <c r="C37" s="1224"/>
      <c r="D37" s="1224"/>
      <c r="E37" s="1224">
        <v>132</v>
      </c>
      <c r="F37" s="1459"/>
      <c r="G37" s="1459">
        <f t="shared" si="5"/>
        <v>132</v>
      </c>
      <c r="H37" s="1513"/>
      <c r="I37" s="1224"/>
      <c r="J37" s="1532"/>
      <c r="K37" s="1217">
        <f t="shared" si="6"/>
        <v>132</v>
      </c>
      <c r="L37" s="1513"/>
      <c r="M37" s="238"/>
      <c r="N37" s="1529"/>
      <c r="O37" s="1550">
        <f t="shared" si="7"/>
        <v>132</v>
      </c>
      <c r="P37" s="1513"/>
      <c r="Q37" s="238"/>
      <c r="R37" s="1459"/>
      <c r="S37" s="1459">
        <f t="shared" si="8"/>
        <v>132</v>
      </c>
      <c r="T37" s="2703"/>
      <c r="U37" s="238">
        <v>161</v>
      </c>
      <c r="V37" s="258"/>
      <c r="W37" s="1217">
        <f t="shared" si="0"/>
        <v>161</v>
      </c>
      <c r="X37" s="2627"/>
      <c r="Y37" s="2707">
        <f t="shared" si="1"/>
        <v>293</v>
      </c>
      <c r="Z37" s="2709"/>
      <c r="AA37" s="238"/>
      <c r="AB37" s="1224"/>
      <c r="AC37" s="2701">
        <f t="shared" si="9"/>
        <v>293</v>
      </c>
      <c r="AD37" s="2703"/>
      <c r="AE37" s="238"/>
      <c r="AF37" s="1224"/>
      <c r="AG37" s="2701">
        <f t="shared" si="10"/>
        <v>293</v>
      </c>
      <c r="AH37" s="2703"/>
      <c r="AI37" s="238"/>
      <c r="AJ37" s="258"/>
      <c r="AK37" s="1217">
        <f t="shared" si="2"/>
        <v>0</v>
      </c>
      <c r="AL37" s="2627"/>
      <c r="AM37" s="2701">
        <f t="shared" si="11"/>
        <v>293</v>
      </c>
      <c r="AN37" s="2703"/>
      <c r="AO37" s="238"/>
      <c r="AP37" s="238"/>
      <c r="AQ37" s="2701">
        <f t="shared" si="12"/>
        <v>293</v>
      </c>
      <c r="AR37" s="2700"/>
      <c r="AS37" s="238">
        <v>467.245</v>
      </c>
      <c r="AT37" s="238"/>
      <c r="AU37" s="2701">
        <f t="shared" si="13"/>
        <v>760.245</v>
      </c>
      <c r="AV37" s="2700"/>
      <c r="AW37" s="238"/>
      <c r="AX37" s="258"/>
      <c r="AY37" s="1217">
        <f t="shared" si="3"/>
        <v>467.245</v>
      </c>
      <c r="AZ37" s="2627"/>
      <c r="BA37" s="2707">
        <f t="shared" si="14"/>
        <v>467.245</v>
      </c>
      <c r="BB37" s="2701"/>
      <c r="BC37" s="1550">
        <f t="shared" si="4"/>
        <v>760.245</v>
      </c>
      <c r="BD37" s="3141"/>
      <c r="BE37" s="3141"/>
    </row>
    <row r="38" spans="1:62" x14ac:dyDescent="0.25">
      <c r="A38" s="236" t="s">
        <v>1672</v>
      </c>
      <c r="B38" s="1524"/>
      <c r="C38" s="238">
        <v>9978</v>
      </c>
      <c r="D38" s="238"/>
      <c r="E38" s="237">
        <v>7527</v>
      </c>
      <c r="F38" s="237"/>
      <c r="G38" s="1459">
        <f t="shared" si="5"/>
        <v>17505</v>
      </c>
      <c r="H38" s="237"/>
      <c r="I38" s="237">
        <v>2734</v>
      </c>
      <c r="J38" s="701"/>
      <c r="K38" s="1217">
        <f t="shared" si="6"/>
        <v>20239</v>
      </c>
      <c r="L38" s="237"/>
      <c r="M38" s="237">
        <v>6138</v>
      </c>
      <c r="N38" s="2697"/>
      <c r="O38" s="1550">
        <f t="shared" si="7"/>
        <v>26377</v>
      </c>
      <c r="P38" s="237"/>
      <c r="Q38" s="237">
        <v>3807.866</v>
      </c>
      <c r="R38" s="237"/>
      <c r="S38" s="1459">
        <f t="shared" si="8"/>
        <v>30184.866000000002</v>
      </c>
      <c r="T38" s="259"/>
      <c r="U38" s="237">
        <v>7058</v>
      </c>
      <c r="V38" s="2626"/>
      <c r="W38" s="1217">
        <f t="shared" si="0"/>
        <v>17003.866000000002</v>
      </c>
      <c r="X38" s="2627"/>
      <c r="Y38" s="2707">
        <f t="shared" si="1"/>
        <v>37242.866000000002</v>
      </c>
      <c r="Z38" s="1226"/>
      <c r="AA38" s="237">
        <v>5879.5690000000004</v>
      </c>
      <c r="AB38" s="257"/>
      <c r="AC38" s="2701">
        <f t="shared" si="9"/>
        <v>43122.435000000005</v>
      </c>
      <c r="AD38" s="259"/>
      <c r="AE38" s="237"/>
      <c r="AF38" s="257"/>
      <c r="AG38" s="2701">
        <f t="shared" si="10"/>
        <v>43122.435000000005</v>
      </c>
      <c r="AH38" s="259"/>
      <c r="AI38" s="237">
        <v>6630</v>
      </c>
      <c r="AJ38" s="2626"/>
      <c r="AK38" s="1217">
        <f t="shared" si="2"/>
        <v>12509.569</v>
      </c>
      <c r="AL38" s="2627"/>
      <c r="AM38" s="2701">
        <f t="shared" si="11"/>
        <v>49752.435000000005</v>
      </c>
      <c r="AN38" s="259"/>
      <c r="AO38" s="237"/>
      <c r="AP38" s="2699"/>
      <c r="AQ38" s="2701">
        <f t="shared" si="12"/>
        <v>49752.435000000005</v>
      </c>
      <c r="AR38" s="2701"/>
      <c r="AS38" s="237">
        <v>5656.3670000000002</v>
      </c>
      <c r="AT38" s="2699"/>
      <c r="AU38" s="2701">
        <f t="shared" si="13"/>
        <v>55408.802000000003</v>
      </c>
      <c r="AV38" s="2701"/>
      <c r="AW38" s="237">
        <f>7753+161.23</f>
        <v>7914.23</v>
      </c>
      <c r="AX38" s="2626"/>
      <c r="AY38" s="1217">
        <f t="shared" si="3"/>
        <v>13570.597</v>
      </c>
      <c r="AZ38" s="2627"/>
      <c r="BA38" s="2707">
        <f t="shared" si="14"/>
        <v>26080.165999999997</v>
      </c>
      <c r="BB38" s="2701"/>
      <c r="BC38" s="1550">
        <f t="shared" si="4"/>
        <v>63323.032000000007</v>
      </c>
      <c r="BD38" s="3141"/>
      <c r="BE38" s="3141"/>
    </row>
    <row r="39" spans="1:62" x14ac:dyDescent="0.25">
      <c r="A39" s="5591" t="s">
        <v>2353</v>
      </c>
      <c r="B39" s="5592"/>
      <c r="C39" s="5593"/>
      <c r="D39" s="5593"/>
      <c r="E39" s="5594"/>
      <c r="F39" s="5593"/>
      <c r="G39" s="5595"/>
      <c r="H39" s="5593"/>
      <c r="I39" s="5594"/>
      <c r="J39" s="5507"/>
      <c r="K39" s="1217">
        <f t="shared" si="6"/>
        <v>0</v>
      </c>
      <c r="L39" s="5593"/>
      <c r="M39" s="5593"/>
      <c r="N39" s="5507"/>
      <c r="O39" s="5297"/>
      <c r="P39" s="5593"/>
      <c r="Q39" s="5593"/>
      <c r="R39" s="5593"/>
      <c r="S39" s="1459">
        <f t="shared" si="8"/>
        <v>0</v>
      </c>
      <c r="T39" s="2703"/>
      <c r="U39" s="5593">
        <v>2285</v>
      </c>
      <c r="V39" s="258"/>
      <c r="W39" s="1217">
        <f t="shared" ref="W39" si="18">+M39+Q39+U39</f>
        <v>2285</v>
      </c>
      <c r="X39" s="2627"/>
      <c r="Y39" s="2707">
        <f t="shared" ref="Y39" si="19">+K39+W39</f>
        <v>2285</v>
      </c>
      <c r="Z39" s="2709"/>
      <c r="AA39" s="5593"/>
      <c r="AB39" s="1224"/>
      <c r="AC39" s="5597"/>
      <c r="AD39" s="2703"/>
      <c r="AE39" s="5593"/>
      <c r="AF39" s="1224"/>
      <c r="AG39" s="5597"/>
      <c r="AH39" s="2703"/>
      <c r="AI39" s="5593"/>
      <c r="AJ39" s="258"/>
      <c r="AK39" s="5295"/>
      <c r="AL39" s="2627"/>
      <c r="AM39" s="5597"/>
      <c r="AN39" s="2703"/>
      <c r="AO39" s="5593"/>
      <c r="AP39" s="5593"/>
      <c r="AQ39" s="5597"/>
      <c r="AR39" s="5598"/>
      <c r="AS39" s="5593"/>
      <c r="AT39" s="5593"/>
      <c r="AU39" s="5597"/>
      <c r="AV39" s="5598"/>
      <c r="AW39" s="5593"/>
      <c r="AX39" s="258"/>
      <c r="AY39" s="5295"/>
      <c r="AZ39" s="2627"/>
      <c r="BA39" s="5596"/>
      <c r="BB39" s="5597"/>
      <c r="BC39" s="5297"/>
      <c r="BD39" s="3141"/>
      <c r="BE39" s="3141"/>
    </row>
    <row r="40" spans="1:62" x14ac:dyDescent="0.25">
      <c r="A40" s="1452" t="s">
        <v>1258</v>
      </c>
      <c r="B40" s="1526"/>
      <c r="C40" s="238">
        <v>5311</v>
      </c>
      <c r="D40" s="238"/>
      <c r="E40" s="237">
        <v>2880</v>
      </c>
      <c r="F40" s="1459"/>
      <c r="G40" s="1459">
        <f t="shared" si="5"/>
        <v>8191</v>
      </c>
      <c r="H40" s="1513"/>
      <c r="I40" s="237">
        <v>1791</v>
      </c>
      <c r="J40" s="1532"/>
      <c r="K40" s="1217">
        <f t="shared" si="6"/>
        <v>9982</v>
      </c>
      <c r="L40" s="1513"/>
      <c r="M40" s="238">
        <v>2551</v>
      </c>
      <c r="N40" s="1529"/>
      <c r="O40" s="1550">
        <f t="shared" si="7"/>
        <v>12533</v>
      </c>
      <c r="P40" s="1513"/>
      <c r="Q40" s="238">
        <v>622.54499999999996</v>
      </c>
      <c r="R40" s="1459"/>
      <c r="S40" s="1459">
        <f t="shared" si="8"/>
        <v>13155.545</v>
      </c>
      <c r="T40" s="2703"/>
      <c r="U40" s="238"/>
      <c r="V40" s="258"/>
      <c r="W40" s="1217">
        <f t="shared" si="0"/>
        <v>3173.5450000000001</v>
      </c>
      <c r="X40" s="2627"/>
      <c r="Y40" s="2707">
        <f t="shared" si="1"/>
        <v>13155.545</v>
      </c>
      <c r="Z40" s="2709"/>
      <c r="AA40" s="238">
        <v>995.76599999999996</v>
      </c>
      <c r="AB40" s="1224"/>
      <c r="AC40" s="2701">
        <f t="shared" si="9"/>
        <v>14151.311</v>
      </c>
      <c r="AD40" s="2703"/>
      <c r="AE40" s="238"/>
      <c r="AF40" s="1224"/>
      <c r="AG40" s="2701">
        <f t="shared" si="10"/>
        <v>14151.311</v>
      </c>
      <c r="AH40" s="2703"/>
      <c r="AI40" s="238">
        <v>3276</v>
      </c>
      <c r="AJ40" s="258"/>
      <c r="AK40" s="1217">
        <f t="shared" si="2"/>
        <v>4271.7659999999996</v>
      </c>
      <c r="AL40" s="2627"/>
      <c r="AM40" s="2701">
        <f t="shared" si="11"/>
        <v>17427.311000000002</v>
      </c>
      <c r="AN40" s="2703"/>
      <c r="AO40" s="238"/>
      <c r="AP40" s="238"/>
      <c r="AQ40" s="2701">
        <f t="shared" si="12"/>
        <v>17427.311000000002</v>
      </c>
      <c r="AR40" s="2700"/>
      <c r="AS40" s="238">
        <v>2713.011</v>
      </c>
      <c r="AT40" s="238"/>
      <c r="AU40" s="2701">
        <f t="shared" si="13"/>
        <v>20140.322</v>
      </c>
      <c r="AV40" s="2700"/>
      <c r="AW40" s="238">
        <f>3948+28.781</f>
        <v>3976.7809999999999</v>
      </c>
      <c r="AX40" s="258"/>
      <c r="AY40" s="1217">
        <f t="shared" si="3"/>
        <v>6689.7919999999995</v>
      </c>
      <c r="AZ40" s="2627"/>
      <c r="BA40" s="2707">
        <f t="shared" si="14"/>
        <v>10961.557999999999</v>
      </c>
      <c r="BB40" s="2701"/>
      <c r="BC40" s="1550">
        <f t="shared" si="4"/>
        <v>24117.102999999999</v>
      </c>
      <c r="BD40" s="3141"/>
      <c r="BE40" s="3141"/>
    </row>
    <row r="41" spans="1:62" ht="16.5" thickBot="1" x14ac:dyDescent="0.3">
      <c r="A41" s="236" t="s">
        <v>1268</v>
      </c>
      <c r="B41" s="1524"/>
      <c r="C41" s="238"/>
      <c r="D41" s="238"/>
      <c r="E41" s="238"/>
      <c r="F41" s="238"/>
      <c r="G41" s="1459">
        <f t="shared" si="5"/>
        <v>0</v>
      </c>
      <c r="H41" s="238"/>
      <c r="I41" s="238"/>
      <c r="J41" s="1529"/>
      <c r="K41" s="1217">
        <f t="shared" si="6"/>
        <v>0</v>
      </c>
      <c r="L41" s="238"/>
      <c r="M41" s="238">
        <v>643</v>
      </c>
      <c r="N41" s="1529"/>
      <c r="O41" s="1550">
        <f t="shared" si="7"/>
        <v>643</v>
      </c>
      <c r="P41" s="238"/>
      <c r="Q41" s="238">
        <v>673.99199999999996</v>
      </c>
      <c r="R41" s="238"/>
      <c r="S41" s="1459">
        <f t="shared" si="8"/>
        <v>1316.992</v>
      </c>
      <c r="T41" s="2703"/>
      <c r="U41" s="238"/>
      <c r="V41" s="258"/>
      <c r="W41" s="1217">
        <f t="shared" si="0"/>
        <v>1316.992</v>
      </c>
      <c r="X41" s="2627"/>
      <c r="Y41" s="2707">
        <f t="shared" si="1"/>
        <v>1316.992</v>
      </c>
      <c r="Z41" s="2709"/>
      <c r="AA41" s="238"/>
      <c r="AB41" s="1224"/>
      <c r="AC41" s="2701">
        <f t="shared" si="9"/>
        <v>1316.992</v>
      </c>
      <c r="AD41" s="2703"/>
      <c r="AE41" s="238"/>
      <c r="AF41" s="1224"/>
      <c r="AG41" s="2701">
        <f t="shared" si="10"/>
        <v>1316.992</v>
      </c>
      <c r="AH41" s="2703"/>
      <c r="AI41" s="238"/>
      <c r="AJ41" s="258"/>
      <c r="AK41" s="1217">
        <f t="shared" si="2"/>
        <v>0</v>
      </c>
      <c r="AL41" s="2627"/>
      <c r="AM41" s="2701">
        <f t="shared" si="11"/>
        <v>1316.992</v>
      </c>
      <c r="AN41" s="2703"/>
      <c r="AO41" s="238"/>
      <c r="AP41" s="238"/>
      <c r="AQ41" s="2701">
        <f t="shared" si="12"/>
        <v>1316.992</v>
      </c>
      <c r="AR41" s="2700"/>
      <c r="AS41" s="238"/>
      <c r="AT41" s="238"/>
      <c r="AU41" s="2701">
        <f t="shared" si="13"/>
        <v>1316.992</v>
      </c>
      <c r="AV41" s="2700"/>
      <c r="AW41" s="238"/>
      <c r="AX41" s="258"/>
      <c r="AY41" s="1217">
        <f t="shared" si="3"/>
        <v>0</v>
      </c>
      <c r="AZ41" s="2627"/>
      <c r="BA41" s="2707">
        <f t="shared" si="14"/>
        <v>0</v>
      </c>
      <c r="BB41" s="2701"/>
      <c r="BC41" s="1550">
        <f t="shared" si="4"/>
        <v>1316.992</v>
      </c>
      <c r="BD41" s="3141"/>
      <c r="BE41" s="3141"/>
    </row>
    <row r="42" spans="1:62" ht="16.5" thickBot="1" x14ac:dyDescent="0.3">
      <c r="A42" s="3143" t="s">
        <v>655</v>
      </c>
      <c r="B42" s="3144"/>
      <c r="C42" s="3145">
        <f>SUM(C37:C41)</f>
        <v>15289</v>
      </c>
      <c r="D42" s="3145"/>
      <c r="E42" s="3145">
        <f>SUM(E37:E41)</f>
        <v>10539</v>
      </c>
      <c r="F42" s="3145"/>
      <c r="G42" s="1459">
        <f t="shared" si="5"/>
        <v>25828</v>
      </c>
      <c r="H42" s="3145"/>
      <c r="I42" s="3145">
        <f>SUM(I37:I41)</f>
        <v>4525</v>
      </c>
      <c r="J42" s="3145"/>
      <c r="K42" s="1217">
        <f t="shared" si="6"/>
        <v>30353</v>
      </c>
      <c r="L42" s="3145"/>
      <c r="M42" s="3145">
        <f>SUM(M37:M41)</f>
        <v>9332</v>
      </c>
      <c r="N42" s="3145"/>
      <c r="O42" s="1550">
        <f t="shared" si="7"/>
        <v>39685</v>
      </c>
      <c r="P42" s="3145"/>
      <c r="Q42" s="3145">
        <f>SUM(Q37:Q41)</f>
        <v>5104.4030000000002</v>
      </c>
      <c r="R42" s="3145"/>
      <c r="S42" s="1459">
        <f t="shared" si="8"/>
        <v>44789.402999999998</v>
      </c>
      <c r="T42" s="3145"/>
      <c r="U42" s="3145">
        <f>SUM(U37:U41)</f>
        <v>9504</v>
      </c>
      <c r="V42" s="3145"/>
      <c r="W42" s="1217">
        <f t="shared" si="0"/>
        <v>23940.402999999998</v>
      </c>
      <c r="X42" s="3145"/>
      <c r="Y42" s="2707">
        <f t="shared" si="1"/>
        <v>54293.402999999998</v>
      </c>
      <c r="Z42" s="3145"/>
      <c r="AA42" s="3145">
        <f>SUM(AA37:AA41)</f>
        <v>6875.335</v>
      </c>
      <c r="AB42" s="3145"/>
      <c r="AC42" s="2701">
        <f t="shared" si="9"/>
        <v>61168.737999999998</v>
      </c>
      <c r="AD42" s="3145"/>
      <c r="AE42" s="3145">
        <f>SUM(AE37:AE41)</f>
        <v>0</v>
      </c>
      <c r="AF42" s="3145"/>
      <c r="AG42" s="2701">
        <f t="shared" si="10"/>
        <v>61168.737999999998</v>
      </c>
      <c r="AH42" s="3145"/>
      <c r="AI42" s="3145">
        <f>SUM(AI37:AI41)</f>
        <v>9906</v>
      </c>
      <c r="AJ42" s="3145"/>
      <c r="AK42" s="1217">
        <f t="shared" si="2"/>
        <v>16781.334999999999</v>
      </c>
      <c r="AL42" s="3145"/>
      <c r="AM42" s="2701">
        <f t="shared" si="11"/>
        <v>71074.737999999998</v>
      </c>
      <c r="AN42" s="3145"/>
      <c r="AO42" s="3145">
        <f>SUM(AO37:AO41)</f>
        <v>0</v>
      </c>
      <c r="AP42" s="3145"/>
      <c r="AQ42" s="2701">
        <f t="shared" si="12"/>
        <v>71074.737999999998</v>
      </c>
      <c r="AR42" s="3145"/>
      <c r="AS42" s="3145">
        <f>SUM(AS37:AS41)</f>
        <v>8836.6229999999996</v>
      </c>
      <c r="AT42" s="3145"/>
      <c r="AU42" s="2701">
        <f t="shared" si="13"/>
        <v>79911.361000000004</v>
      </c>
      <c r="AV42" s="3145"/>
      <c r="AW42" s="3145">
        <f>SUM(AW37:AW41)</f>
        <v>11891.010999999999</v>
      </c>
      <c r="AX42" s="3145"/>
      <c r="AY42" s="1217">
        <f t="shared" si="3"/>
        <v>20727.633999999998</v>
      </c>
      <c r="AZ42" s="3145"/>
      <c r="BA42" s="2707">
        <f t="shared" si="14"/>
        <v>37508.968999999997</v>
      </c>
      <c r="BB42" s="3145"/>
      <c r="BC42" s="1550">
        <f t="shared" si="4"/>
        <v>91802.372000000003</v>
      </c>
      <c r="BD42" s="3141"/>
      <c r="BE42" s="3141"/>
    </row>
    <row r="43" spans="1:62" ht="16.5" thickBot="1" x14ac:dyDescent="0.3">
      <c r="A43" s="5079" t="s">
        <v>1360</v>
      </c>
      <c r="B43" s="5073"/>
      <c r="C43" s="5074">
        <v>1436</v>
      </c>
      <c r="D43" s="5074"/>
      <c r="E43" s="5074">
        <v>3024</v>
      </c>
      <c r="F43" s="5074"/>
      <c r="G43" s="1459">
        <f t="shared" si="5"/>
        <v>4460</v>
      </c>
      <c r="H43" s="5074"/>
      <c r="I43" s="5074">
        <v>1437</v>
      </c>
      <c r="J43" s="5076"/>
      <c r="K43" s="1217">
        <f t="shared" si="6"/>
        <v>5897</v>
      </c>
      <c r="L43" s="5074"/>
      <c r="M43" s="5074">
        <v>1945</v>
      </c>
      <c r="N43" s="5076"/>
      <c r="O43" s="1550">
        <f t="shared" si="7"/>
        <v>7842</v>
      </c>
      <c r="P43" s="5074"/>
      <c r="Q43" s="5074">
        <v>1490.527</v>
      </c>
      <c r="R43" s="5074"/>
      <c r="S43" s="1459">
        <f t="shared" si="8"/>
        <v>9332.527</v>
      </c>
      <c r="T43" s="5075"/>
      <c r="U43" s="5074">
        <v>881</v>
      </c>
      <c r="V43" s="5076"/>
      <c r="W43" s="1217">
        <f t="shared" si="0"/>
        <v>4316.527</v>
      </c>
      <c r="X43" s="5077"/>
      <c r="Y43" s="2707">
        <f t="shared" si="1"/>
        <v>10213.527</v>
      </c>
      <c r="Z43" s="5075"/>
      <c r="AA43" s="5074">
        <v>418.88499999999999</v>
      </c>
      <c r="AB43" s="5074"/>
      <c r="AC43" s="2701">
        <f t="shared" si="9"/>
        <v>10632.412</v>
      </c>
      <c r="AD43" s="5075"/>
      <c r="AE43" s="5074"/>
      <c r="AF43" s="5074"/>
      <c r="AG43" s="2701">
        <f t="shared" si="10"/>
        <v>10632.412</v>
      </c>
      <c r="AH43" s="5075"/>
      <c r="AI43" s="5074">
        <v>220.298</v>
      </c>
      <c r="AJ43" s="5076"/>
      <c r="AK43" s="1217">
        <f t="shared" si="2"/>
        <v>639.18299999999999</v>
      </c>
      <c r="AL43" s="5077"/>
      <c r="AM43" s="2701">
        <f t="shared" si="11"/>
        <v>10852.710000000001</v>
      </c>
      <c r="AN43" s="5075"/>
      <c r="AO43" s="5074">
        <v>414.69099999999997</v>
      </c>
      <c r="AP43" s="5074"/>
      <c r="AQ43" s="2701">
        <f t="shared" si="12"/>
        <v>11267.401000000002</v>
      </c>
      <c r="AR43" s="5075"/>
      <c r="AS43" s="5074">
        <v>568.56100000000004</v>
      </c>
      <c r="AT43" s="5074"/>
      <c r="AU43" s="2701">
        <f t="shared" si="13"/>
        <v>11835.962000000001</v>
      </c>
      <c r="AV43" s="5075"/>
      <c r="AW43" s="5074">
        <v>762.64700000000084</v>
      </c>
      <c r="AX43" s="5076"/>
      <c r="AY43" s="1217">
        <f t="shared" si="3"/>
        <v>1745.8990000000008</v>
      </c>
      <c r="AZ43" s="5077"/>
      <c r="BA43" s="2707">
        <f t="shared" si="14"/>
        <v>2385.0820000000008</v>
      </c>
      <c r="BB43" s="5078"/>
      <c r="BC43" s="1550">
        <f t="shared" si="4"/>
        <v>12598.609000000002</v>
      </c>
      <c r="BD43" s="3141"/>
      <c r="BE43" s="3141"/>
      <c r="BJ43" s="3141"/>
    </row>
    <row r="44" spans="1:62" ht="16.5" thickBot="1" x14ac:dyDescent="0.3">
      <c r="A44" s="5080" t="s">
        <v>2</v>
      </c>
      <c r="B44" s="5081"/>
      <c r="C44" s="5082">
        <f>+C42+C34+C21+C14+C43</f>
        <v>57651</v>
      </c>
      <c r="D44" s="5082"/>
      <c r="E44" s="5082">
        <f>+E42+E34+E21+E14+E43</f>
        <v>61370</v>
      </c>
      <c r="F44" s="5082"/>
      <c r="G44" s="1459">
        <f t="shared" si="5"/>
        <v>119021</v>
      </c>
      <c r="H44" s="5082"/>
      <c r="I44" s="5082">
        <f>+I42+I34+I21+I14+I43</f>
        <v>60682</v>
      </c>
      <c r="J44" s="5082"/>
      <c r="K44" s="1217">
        <f t="shared" si="6"/>
        <v>179703</v>
      </c>
      <c r="L44" s="5082"/>
      <c r="M44" s="5082">
        <f>+M42+M34+M21+M14+M43</f>
        <v>64577</v>
      </c>
      <c r="N44" s="5082"/>
      <c r="O44" s="1550">
        <f t="shared" si="7"/>
        <v>244280</v>
      </c>
      <c r="P44" s="5082"/>
      <c r="Q44" s="5082">
        <f>+Q42+Q34+Q21+Q14+Q43</f>
        <v>58049.397000000004</v>
      </c>
      <c r="R44" s="5082"/>
      <c r="S44" s="1459">
        <f t="shared" si="8"/>
        <v>302329.397</v>
      </c>
      <c r="T44" s="5082"/>
      <c r="U44" s="5082">
        <f>+U42+U34+U21+U14+U43</f>
        <v>54346</v>
      </c>
      <c r="V44" s="5082"/>
      <c r="W44" s="1217">
        <f t="shared" si="0"/>
        <v>176972.397</v>
      </c>
      <c r="X44" s="5082"/>
      <c r="Y44" s="2707">
        <f t="shared" si="1"/>
        <v>356675.397</v>
      </c>
      <c r="Z44" s="5082"/>
      <c r="AA44" s="5082">
        <f>+AA42+AA34+AA21+AA14+AA43</f>
        <v>53911.783000000003</v>
      </c>
      <c r="AB44" s="5082"/>
      <c r="AC44" s="2701">
        <f t="shared" si="9"/>
        <v>410587.18</v>
      </c>
      <c r="AD44" s="5082"/>
      <c r="AE44" s="5082">
        <f>+AE42+AE34+AE21+AE14+AE43</f>
        <v>0</v>
      </c>
      <c r="AF44" s="5082"/>
      <c r="AG44" s="2701">
        <f t="shared" si="10"/>
        <v>410587.18</v>
      </c>
      <c r="AH44" s="5082"/>
      <c r="AI44" s="5082">
        <f>+AI42+AI34+AI21+AI14+AI43</f>
        <v>58528.298000000003</v>
      </c>
      <c r="AJ44" s="5082"/>
      <c r="AK44" s="1217">
        <f t="shared" si="2"/>
        <v>112440.08100000001</v>
      </c>
      <c r="AL44" s="5082"/>
      <c r="AM44" s="2701">
        <f t="shared" si="11"/>
        <v>469115.478</v>
      </c>
      <c r="AN44" s="5082"/>
      <c r="AO44" s="5082">
        <f>+AO42+AO34+AO21+AO14+AO43</f>
        <v>62333.450000000004</v>
      </c>
      <c r="AP44" s="5082">
        <f>+AP42+AP34+AP21+AP14+AP43</f>
        <v>0</v>
      </c>
      <c r="AQ44" s="2701">
        <f t="shared" si="12"/>
        <v>531448.92799999996</v>
      </c>
      <c r="AR44" s="5082">
        <f>+AR42+AR34+AR21+AR14+AR43</f>
        <v>0</v>
      </c>
      <c r="AS44" s="5082">
        <f>+AS42+AS34+AS21+AS14+AS43</f>
        <v>58904.739000000009</v>
      </c>
      <c r="AT44" s="5082">
        <f>+AT42+AT34+AT21+AT14+AT43</f>
        <v>0</v>
      </c>
      <c r="AU44" s="2701">
        <f t="shared" si="13"/>
        <v>590353.66700000002</v>
      </c>
      <c r="AV44" s="5082">
        <f>+AV42+AV34+AV21+AV14+AV43</f>
        <v>0</v>
      </c>
      <c r="AW44" s="5082">
        <f>+AW42+AW34+AW21+AW14+AW43</f>
        <v>71685.106999999989</v>
      </c>
      <c r="AX44" s="5082">
        <f>+AX42+AX34+AX21+AX14+AX43</f>
        <v>0</v>
      </c>
      <c r="AY44" s="1217">
        <f t="shared" si="3"/>
        <v>192923.296</v>
      </c>
      <c r="AZ44" s="5082">
        <f>+AZ42+AZ34+AZ21+AZ14+AZ43</f>
        <v>0</v>
      </c>
      <c r="BA44" s="2707">
        <f t="shared" si="14"/>
        <v>305363.37699999998</v>
      </c>
      <c r="BB44" s="5082">
        <f>+BB42+BB34+BB21+BB14+BB43</f>
        <v>0</v>
      </c>
      <c r="BC44" s="1550">
        <f t="shared" si="4"/>
        <v>662038.77399999998</v>
      </c>
      <c r="BD44" s="3141"/>
      <c r="BE44" s="3141"/>
    </row>
    <row r="46" spans="1:62" x14ac:dyDescent="0.25">
      <c r="C46" s="4086">
        <f>+C44-(SMS!F38+SMS!F39+SMS!F40+SMS!F41)</f>
        <v>-1.569999999999709</v>
      </c>
      <c r="E46" s="4086">
        <f>+E44-(SMS!H38+SMS!H39+SMS!H40+SMS!H41)</f>
        <v>-0.55999999999767169</v>
      </c>
      <c r="I46" s="4086">
        <f>+I44-(SMS!L38+SMS!L39+SMS!L40+SMS!L41)</f>
        <v>-2.3000000000029104</v>
      </c>
      <c r="M46" s="4086">
        <f>+M44-(SMS!P38+SMS!P39+SMS!P40+SMS!P41)</f>
        <v>-0.79000000000087311</v>
      </c>
      <c r="O46" s="4086">
        <f>+O44-(SMS!R38+SMS!R39+SMS!R40+SMS!R41)</f>
        <v>-5.2200000000011642</v>
      </c>
      <c r="Q46" s="4086">
        <f>+Q44-(SMS!T38+SMS!T39+SMS!T40+SMS!T41)</f>
        <v>-1.3929999999963911</v>
      </c>
      <c r="U46" s="4086">
        <f>+U44-(SMS!X38+SMS!X39+SMS!X40+SMS!X41)</f>
        <v>-1.000000000007276</v>
      </c>
      <c r="W46" s="4086">
        <f>+W44-(SMS!Z38+SMS!Z39+SMS!Z40+SMS!Z41)</f>
        <v>-3.1829999999899883</v>
      </c>
      <c r="Y46" s="4086">
        <f>+Y44-(SMS!AB38+SMS!AB39+SMS!AB40+SMS!AB41)</f>
        <v>-7.6130000000121072</v>
      </c>
      <c r="AA46" s="4086">
        <f>+AA44-(SMS!AD38+SMS!AD39+SMS!AD40+SMS!AD41)</f>
        <v>0.82300000000395812</v>
      </c>
      <c r="AC46" s="4086">
        <f>+AC44-(SMS!AF38+SMS!AF39+SMS!AF40+SMS!AF41)</f>
        <v>-6.7899999999790452</v>
      </c>
      <c r="AE46" s="4086">
        <f>+AE44-(SMS!AH38+SMS!AH39+SMS!AH40+SMS!AH41)</f>
        <v>0</v>
      </c>
      <c r="AF46" s="4086">
        <f>+AF44-(SMS!AI38+SMS!AI39+SMS!AI40+SMS!AI41)</f>
        <v>-486418.32901876851</v>
      </c>
      <c r="AG46" s="4086">
        <f>+AG44-(SMS!AJ38+SMS!AJ39+SMS!AJ40+SMS!AJ41)</f>
        <v>-6.7899999999790452</v>
      </c>
      <c r="AI46" s="4086">
        <f>+AI44-(SMS!AL38+SMS!AL39+SMS!AL40+SMS!AL41)</f>
        <v>-1.0619999999980791</v>
      </c>
      <c r="AK46" s="4086">
        <f>+AK44-(SMS!AN38+SMS!AN39+SMS!AN40+SMS!AN41)</f>
        <v>-0.23900000000139698</v>
      </c>
      <c r="AO46" s="4086">
        <f>+AO44-(SMS!AR38+SMS!AR39+SMS!AR40+SMS!AR41)</f>
        <v>-0.6599999999962165</v>
      </c>
      <c r="AS46" s="4086">
        <f>+AS44-(SMS!AV38+SMS!AV39+SMS!AV40+SMS!AV41)</f>
        <v>-1.0709999999889988</v>
      </c>
      <c r="AW46" s="4086">
        <f>+AW44-(SMS!AZ38+SMS!AZ39+SMS!AZ40+SMS!AZ41)</f>
        <v>-0.59300000002258457</v>
      </c>
      <c r="AY46" s="4086">
        <f>+AY44-(SMS!BB38+SMS!BB39+SMS!BB40+SMS!BB41)</f>
        <v>-2.3239999999932479</v>
      </c>
      <c r="BA46" s="4086">
        <f>+BA44-(SMS!BD38+SMS!BD39+SMS!BD40+SMS!BD41)</f>
        <v>-2.5630000000237487</v>
      </c>
      <c r="BC46" s="4086">
        <f>+BC44-(SMS!BF38+SMS!BF39+SMS!BF40+SMS!BF41)</f>
        <v>-10.176000000094064</v>
      </c>
    </row>
  </sheetData>
  <mergeCells count="29">
    <mergeCell ref="P4:Q4"/>
    <mergeCell ref="R4:S4"/>
    <mergeCell ref="A4:A5"/>
    <mergeCell ref="B4:C4"/>
    <mergeCell ref="D4:E4"/>
    <mergeCell ref="F4:G4"/>
    <mergeCell ref="H4:I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AP4:AQ4"/>
    <mergeCell ref="AR4:AS4"/>
    <mergeCell ref="AT4:AU4"/>
    <mergeCell ref="T4:U4"/>
    <mergeCell ref="V4:W4"/>
    <mergeCell ref="X4:Y4"/>
  </mergeCells>
  <pageMargins left="0.7" right="0.7" top="0.75" bottom="0.75" header="0.3" footer="0.3"/>
  <pageSetup paperSize="9" scale="71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G128"/>
  <sheetViews>
    <sheetView topLeftCell="C99" zoomScale="130" zoomScaleNormal="130" workbookViewId="0">
      <selection activeCell="W111" sqref="W111"/>
    </sheetView>
  </sheetViews>
  <sheetFormatPr defaultColWidth="9.140625" defaultRowHeight="15" x14ac:dyDescent="0.25"/>
  <cols>
    <col min="2" max="2" width="11.7109375" customWidth="1"/>
    <col min="3" max="3" width="42.7109375" customWidth="1"/>
    <col min="4" max="4" width="11" customWidth="1"/>
    <col min="5" max="5" width="10.5703125" bestFit="1" customWidth="1"/>
    <col min="6" max="6" width="10.5703125" hidden="1" customWidth="1"/>
    <col min="7" max="7" width="10.5703125" bestFit="1" customWidth="1"/>
    <col min="8" max="10" width="10.5703125" hidden="1" customWidth="1"/>
    <col min="11" max="11" width="10.5703125" customWidth="1"/>
    <col min="12" max="14" width="10.5703125" hidden="1" customWidth="1"/>
    <col min="15" max="15" width="10.5703125" customWidth="1"/>
    <col min="16" max="18" width="10.5703125" hidden="1" customWidth="1"/>
    <col min="19" max="19" width="10.5703125" customWidth="1"/>
    <col min="20" max="20" width="10.5703125" hidden="1" customWidth="1"/>
    <col min="21" max="21" width="10.5703125" customWidth="1"/>
    <col min="22" max="22" width="10.5703125" hidden="1" customWidth="1"/>
    <col min="23" max="23" width="10.5703125" customWidth="1"/>
    <col min="24" max="24" width="10.5703125" hidden="1" customWidth="1"/>
    <col min="25" max="25" width="10.5703125" customWidth="1"/>
    <col min="26" max="26" width="10.5703125" hidden="1" customWidth="1"/>
    <col min="27" max="27" width="10.5703125" customWidth="1"/>
    <col min="28" max="28" width="10.5703125" hidden="1" customWidth="1"/>
    <col min="29" max="29" width="10.5703125" style="233" hidden="1" customWidth="1"/>
    <col min="30" max="36" width="10.5703125" hidden="1" customWidth="1"/>
    <col min="37" max="37" width="10.5703125" style="233" hidden="1" customWidth="1"/>
    <col min="38" max="56" width="10.5703125" hidden="1" customWidth="1"/>
    <col min="57" max="57" width="11.5703125" hidden="1" customWidth="1"/>
    <col min="58" max="58" width="9.140625" hidden="1" customWidth="1"/>
    <col min="59" max="59" width="39.42578125" hidden="1" customWidth="1"/>
    <col min="60" max="60" width="9.140625" customWidth="1"/>
  </cols>
  <sheetData>
    <row r="2" spans="3:57" thickBot="1" x14ac:dyDescent="0.35"/>
    <row r="3" spans="3:57" s="33" customFormat="1" hidden="1" thickBot="1" x14ac:dyDescent="0.35">
      <c r="C3" s="2653"/>
      <c r="D3" s="2653"/>
      <c r="E3" s="2653" t="s">
        <v>1788</v>
      </c>
      <c r="F3" s="2653"/>
      <c r="G3" s="2653" t="s">
        <v>1405</v>
      </c>
      <c r="H3" s="2653"/>
      <c r="I3" s="2653"/>
      <c r="J3" s="2653"/>
      <c r="K3" s="2653" t="s">
        <v>1468</v>
      </c>
      <c r="L3" s="2653"/>
      <c r="M3" s="2653"/>
      <c r="N3" s="2653"/>
      <c r="O3" s="2653" t="s">
        <v>1523</v>
      </c>
      <c r="P3" s="2653"/>
      <c r="Q3" s="2653"/>
      <c r="R3" s="2653"/>
      <c r="S3" s="2653" t="s">
        <v>1557</v>
      </c>
      <c r="T3" s="2653"/>
      <c r="U3" s="2653"/>
      <c r="V3" s="2653"/>
      <c r="W3" s="2653" t="s">
        <v>1614</v>
      </c>
      <c r="X3" s="2653"/>
      <c r="Y3" s="2653"/>
      <c r="Z3" s="2653"/>
      <c r="AA3" s="2653"/>
      <c r="AB3" s="2653"/>
      <c r="AC3" s="4929" t="s">
        <v>1631</v>
      </c>
      <c r="AD3" s="2653"/>
      <c r="AE3" s="2653"/>
      <c r="AF3" s="2653"/>
      <c r="AG3" s="2653" t="s">
        <v>1651</v>
      </c>
      <c r="AH3" s="2653"/>
      <c r="AI3" s="2653"/>
      <c r="AJ3" s="2653"/>
      <c r="AK3" s="4929" t="s">
        <v>1669</v>
      </c>
      <c r="AL3" s="2653"/>
      <c r="AM3" s="2653"/>
      <c r="AN3" s="2653"/>
      <c r="AO3" s="2653"/>
      <c r="AP3" s="2653"/>
      <c r="AQ3" s="2653" t="s">
        <v>1689</v>
      </c>
      <c r="AR3" s="2653"/>
      <c r="AS3" s="2653"/>
      <c r="AT3" s="2653"/>
      <c r="AU3" s="2653"/>
      <c r="AV3" s="2653"/>
      <c r="AW3" s="2653"/>
      <c r="AX3" s="2653"/>
      <c r="AY3" s="2653"/>
      <c r="AZ3" s="2653"/>
      <c r="BA3" s="2653"/>
      <c r="BB3" s="2653" t="s">
        <v>1698</v>
      </c>
      <c r="BC3" s="2653"/>
      <c r="BD3" s="2653" t="s">
        <v>1713</v>
      </c>
      <c r="BE3" s="2653" t="s">
        <v>1399</v>
      </c>
    </row>
    <row r="4" spans="3:57" hidden="1" thickBot="1" x14ac:dyDescent="0.35">
      <c r="C4" s="2713" t="s">
        <v>1206</v>
      </c>
      <c r="D4" s="2713"/>
      <c r="E4" s="2840">
        <v>5753.3300000000008</v>
      </c>
      <c r="F4" s="2840"/>
      <c r="G4" s="2840">
        <v>7402.9009999999989</v>
      </c>
      <c r="H4" s="2840"/>
      <c r="I4" s="2840"/>
      <c r="J4" s="2840"/>
      <c r="K4" s="2840">
        <v>3517.8110000000006</v>
      </c>
      <c r="L4" s="2840"/>
      <c r="M4" s="2840"/>
      <c r="N4" s="2840"/>
      <c r="O4" s="2840">
        <v>4868.7290000000012</v>
      </c>
      <c r="P4" s="2840"/>
      <c r="Q4" s="2840"/>
      <c r="R4" s="2840"/>
      <c r="S4" s="2840">
        <v>5449.8919999999998</v>
      </c>
      <c r="T4" s="2840"/>
      <c r="U4" s="2840"/>
      <c r="V4" s="2840"/>
      <c r="W4" s="2840">
        <v>4386.5499999999993</v>
      </c>
      <c r="X4" s="2840"/>
      <c r="Y4" s="2840"/>
      <c r="Z4" s="2840"/>
      <c r="AA4" s="2840"/>
      <c r="AB4" s="2840"/>
      <c r="AC4" s="4930">
        <v>7058.6459999999988</v>
      </c>
      <c r="AD4" s="2840"/>
      <c r="AE4" s="2840"/>
      <c r="AF4" s="2840"/>
      <c r="AG4" s="2840">
        <v>5486</v>
      </c>
      <c r="AH4" s="2840"/>
      <c r="AI4" s="2840"/>
      <c r="AJ4" s="2840"/>
      <c r="AK4" s="4930">
        <v>8003</v>
      </c>
      <c r="AL4" s="2840"/>
      <c r="AM4" s="2840"/>
      <c r="AN4" s="2840"/>
      <c r="AO4" s="2840"/>
      <c r="AP4" s="2840"/>
      <c r="AQ4" s="2840">
        <v>5811</v>
      </c>
      <c r="AR4" s="2840"/>
      <c r="AS4" s="2840"/>
      <c r="AT4" s="2840"/>
      <c r="AU4" s="2840"/>
      <c r="AV4" s="2840"/>
      <c r="AW4" s="2840"/>
      <c r="AX4" s="2840"/>
      <c r="AY4" s="2840"/>
      <c r="AZ4" s="2840"/>
      <c r="BA4" s="2840"/>
      <c r="BB4" s="2840">
        <v>7902.131999999996</v>
      </c>
      <c r="BC4" s="2840"/>
      <c r="BD4" s="2840">
        <v>5583</v>
      </c>
      <c r="BE4" s="2840">
        <v>71222.990999999995</v>
      </c>
    </row>
    <row r="5" spans="3:57" hidden="1" thickBot="1" x14ac:dyDescent="0.35">
      <c r="C5" s="2713" t="s">
        <v>1410</v>
      </c>
      <c r="D5" s="2713"/>
      <c r="E5" s="2840">
        <v>5558.0140000000001</v>
      </c>
      <c r="F5" s="2840"/>
      <c r="G5" s="2840">
        <v>3052.8740000000007</v>
      </c>
      <c r="H5" s="2840"/>
      <c r="I5" s="2840"/>
      <c r="J5" s="2840"/>
      <c r="K5" s="2840">
        <v>6780.8620000000001</v>
      </c>
      <c r="L5" s="2840"/>
      <c r="M5" s="2840"/>
      <c r="N5" s="2840"/>
      <c r="O5" s="2840">
        <v>3450.0789999999997</v>
      </c>
      <c r="P5" s="2840"/>
      <c r="Q5" s="2840"/>
      <c r="R5" s="2840"/>
      <c r="S5" s="2840">
        <v>4758.6139999999996</v>
      </c>
      <c r="T5" s="2840"/>
      <c r="U5" s="2840"/>
      <c r="V5" s="2840"/>
      <c r="W5" s="2840">
        <v>6105.2320000000009</v>
      </c>
      <c r="X5" s="2840"/>
      <c r="Y5" s="2840"/>
      <c r="Z5" s="2840"/>
      <c r="AA5" s="2840"/>
      <c r="AB5" s="2840"/>
      <c r="AC5" s="4930">
        <v>3640.308</v>
      </c>
      <c r="AD5" s="2840"/>
      <c r="AE5" s="2840"/>
      <c r="AF5" s="2840"/>
      <c r="AG5" s="2840">
        <v>6947</v>
      </c>
      <c r="AH5" s="2840"/>
      <c r="AI5" s="2840"/>
      <c r="AJ5" s="2840"/>
      <c r="AK5" s="4930">
        <v>7777</v>
      </c>
      <c r="AL5" s="2840"/>
      <c r="AM5" s="2840"/>
      <c r="AN5" s="2840"/>
      <c r="AO5" s="2840"/>
      <c r="AP5" s="2840"/>
      <c r="AQ5" s="2840">
        <v>9148</v>
      </c>
      <c r="AR5" s="2840"/>
      <c r="AS5" s="2840"/>
      <c r="AT5" s="2840"/>
      <c r="AU5" s="2840"/>
      <c r="AV5" s="2840"/>
      <c r="AW5" s="2840"/>
      <c r="AX5" s="2840"/>
      <c r="AY5" s="2840"/>
      <c r="AZ5" s="2840"/>
      <c r="BA5" s="2840"/>
      <c r="BB5" s="2840">
        <v>3545.1780000000003</v>
      </c>
      <c r="BC5" s="2840"/>
      <c r="BD5" s="2840">
        <v>10058</v>
      </c>
      <c r="BE5" s="2840">
        <v>70821.160999999993</v>
      </c>
    </row>
    <row r="6" spans="3:57" hidden="1" thickBot="1" x14ac:dyDescent="0.35">
      <c r="C6" s="2713" t="s">
        <v>1411</v>
      </c>
      <c r="D6" s="2713"/>
      <c r="E6" s="2840">
        <v>4443.4390000000003</v>
      </c>
      <c r="F6" s="2840"/>
      <c r="G6" s="2840">
        <v>7288.2589999999982</v>
      </c>
      <c r="H6" s="2840"/>
      <c r="I6" s="2840"/>
      <c r="J6" s="2840"/>
      <c r="K6" s="2840">
        <v>1320.5059999999999</v>
      </c>
      <c r="L6" s="2840"/>
      <c r="M6" s="2840"/>
      <c r="N6" s="2840"/>
      <c r="O6" s="2840">
        <v>4462.0449999999992</v>
      </c>
      <c r="P6" s="2840"/>
      <c r="Q6" s="2840"/>
      <c r="R6" s="2840"/>
      <c r="S6" s="2840">
        <v>5506.9699999999984</v>
      </c>
      <c r="T6" s="2840"/>
      <c r="U6" s="2840"/>
      <c r="V6" s="2840"/>
      <c r="W6" s="2840">
        <v>4458.4260000000004</v>
      </c>
      <c r="X6" s="2840"/>
      <c r="Y6" s="2840"/>
      <c r="Z6" s="2840"/>
      <c r="AA6" s="2840"/>
      <c r="AB6" s="2840"/>
      <c r="AC6" s="4930">
        <v>3595.9140000000007</v>
      </c>
      <c r="AD6" s="2840"/>
      <c r="AE6" s="2840"/>
      <c r="AF6" s="2840"/>
      <c r="AG6" s="2840">
        <v>2604</v>
      </c>
      <c r="AH6" s="2840"/>
      <c r="AI6" s="2840"/>
      <c r="AJ6" s="2840"/>
      <c r="AK6" s="4930">
        <v>5331</v>
      </c>
      <c r="AL6" s="2840"/>
      <c r="AM6" s="2840"/>
      <c r="AN6" s="2840"/>
      <c r="AO6" s="2840"/>
      <c r="AP6" s="2840"/>
      <c r="AQ6" s="2840">
        <v>7591</v>
      </c>
      <c r="AR6" s="2840"/>
      <c r="AS6" s="2840"/>
      <c r="AT6" s="2840"/>
      <c r="AU6" s="2840"/>
      <c r="AV6" s="2840"/>
      <c r="AW6" s="2840"/>
      <c r="AX6" s="2840"/>
      <c r="AY6" s="2840"/>
      <c r="AZ6" s="2840"/>
      <c r="BA6" s="2840"/>
      <c r="BB6" s="2840">
        <v>4384.4360000000006</v>
      </c>
      <c r="BC6" s="2840"/>
      <c r="BD6" s="2840">
        <v>2070</v>
      </c>
      <c r="BE6" s="2840">
        <v>53055.994999999995</v>
      </c>
    </row>
    <row r="7" spans="3:57" hidden="1" thickBot="1" x14ac:dyDescent="0.35">
      <c r="C7" s="2713" t="s">
        <v>1471</v>
      </c>
      <c r="D7" s="2713"/>
      <c r="E7" s="2840">
        <v>0</v>
      </c>
      <c r="F7" s="2840"/>
      <c r="G7" s="2840">
        <v>0</v>
      </c>
      <c r="H7" s="2840"/>
      <c r="I7" s="2840"/>
      <c r="J7" s="2840"/>
      <c r="K7" s="2840">
        <v>89.165999999999997</v>
      </c>
      <c r="L7" s="2840"/>
      <c r="M7" s="2840"/>
      <c r="N7" s="2840"/>
      <c r="O7" s="2840">
        <v>0</v>
      </c>
      <c r="P7" s="2840"/>
      <c r="Q7" s="2840"/>
      <c r="R7" s="2840"/>
      <c r="S7" s="2840">
        <v>0</v>
      </c>
      <c r="T7" s="2840"/>
      <c r="U7" s="2840"/>
      <c r="V7" s="2840"/>
      <c r="W7" s="2840">
        <v>0</v>
      </c>
      <c r="X7" s="2840"/>
      <c r="Y7" s="2840"/>
      <c r="Z7" s="2840"/>
      <c r="AA7" s="2840"/>
      <c r="AB7" s="2840"/>
      <c r="AC7" s="4930">
        <v>0</v>
      </c>
      <c r="AD7" s="2840"/>
      <c r="AE7" s="2840"/>
      <c r="AF7" s="2840"/>
      <c r="AG7" s="2840">
        <v>0</v>
      </c>
      <c r="AH7" s="2840"/>
      <c r="AI7" s="2840"/>
      <c r="AJ7" s="2840"/>
      <c r="AK7" s="4930">
        <v>0</v>
      </c>
      <c r="AL7" s="2840"/>
      <c r="AM7" s="2840"/>
      <c r="AN7" s="2840"/>
      <c r="AO7" s="2840"/>
      <c r="AP7" s="2840"/>
      <c r="AQ7" s="2840">
        <v>0</v>
      </c>
      <c r="AR7" s="2840"/>
      <c r="AS7" s="2840"/>
      <c r="AT7" s="2840"/>
      <c r="AU7" s="2840"/>
      <c r="AV7" s="2840"/>
      <c r="AW7" s="2840"/>
      <c r="AX7" s="2840"/>
      <c r="AY7" s="2840"/>
      <c r="AZ7" s="2840"/>
      <c r="BA7" s="2840"/>
      <c r="BB7" s="2840">
        <v>0</v>
      </c>
      <c r="BC7" s="2840"/>
      <c r="BD7" s="2840">
        <v>0</v>
      </c>
      <c r="BE7" s="2840">
        <v>89.165999999999997</v>
      </c>
    </row>
    <row r="8" spans="3:57" hidden="1" thickBot="1" x14ac:dyDescent="0.35">
      <c r="C8" s="2713" t="s">
        <v>1671</v>
      </c>
      <c r="D8" s="2713"/>
      <c r="E8" s="2840">
        <v>0</v>
      </c>
      <c r="F8" s="2840"/>
      <c r="G8" s="2840">
        <v>0</v>
      </c>
      <c r="H8" s="2840"/>
      <c r="I8" s="2840"/>
      <c r="J8" s="2840"/>
      <c r="K8" s="2840">
        <v>0</v>
      </c>
      <c r="L8" s="2840"/>
      <c r="M8" s="2840"/>
      <c r="N8" s="2840"/>
      <c r="O8" s="2840">
        <v>0</v>
      </c>
      <c r="P8" s="2840"/>
      <c r="Q8" s="2840"/>
      <c r="R8" s="2840"/>
      <c r="S8" s="2840">
        <v>0</v>
      </c>
      <c r="T8" s="2840"/>
      <c r="U8" s="2840"/>
      <c r="V8" s="2840"/>
      <c r="W8" s="2840">
        <v>0</v>
      </c>
      <c r="X8" s="2840"/>
      <c r="Y8" s="2840"/>
      <c r="Z8" s="2840"/>
      <c r="AA8" s="2840"/>
      <c r="AB8" s="2840"/>
      <c r="AC8" s="4930">
        <v>0</v>
      </c>
      <c r="AD8" s="2840"/>
      <c r="AE8" s="2840"/>
      <c r="AF8" s="2840"/>
      <c r="AG8" s="2840">
        <v>0</v>
      </c>
      <c r="AH8" s="2840"/>
      <c r="AI8" s="2840"/>
      <c r="AJ8" s="2840"/>
      <c r="AK8" s="4930">
        <v>95</v>
      </c>
      <c r="AL8" s="2840"/>
      <c r="AM8" s="2840"/>
      <c r="AN8" s="2840"/>
      <c r="AO8" s="2840"/>
      <c r="AP8" s="2840"/>
      <c r="AQ8" s="2840">
        <v>0</v>
      </c>
      <c r="AR8" s="2840"/>
      <c r="AS8" s="2840"/>
      <c r="AT8" s="2840"/>
      <c r="AU8" s="2840"/>
      <c r="AV8" s="2840"/>
      <c r="AW8" s="2840"/>
      <c r="AX8" s="2840"/>
      <c r="AY8" s="2840"/>
      <c r="AZ8" s="2840"/>
      <c r="BA8" s="2840"/>
      <c r="BB8" s="2840">
        <v>0</v>
      </c>
      <c r="BC8" s="2840"/>
      <c r="BD8" s="2840">
        <v>0</v>
      </c>
      <c r="BE8" s="2840">
        <v>95</v>
      </c>
    </row>
    <row r="9" spans="3:57" hidden="1" thickBot="1" x14ac:dyDescent="0.35">
      <c r="C9" s="2713" t="s">
        <v>1412</v>
      </c>
      <c r="D9" s="2713"/>
      <c r="E9" s="2840">
        <v>367.279</v>
      </c>
      <c r="F9" s="2840"/>
      <c r="G9" s="2840">
        <v>420.35399999999998</v>
      </c>
      <c r="H9" s="2840"/>
      <c r="I9" s="2840"/>
      <c r="J9" s="2840"/>
      <c r="K9" s="2840">
        <v>709.08199999999988</v>
      </c>
      <c r="L9" s="2840"/>
      <c r="M9" s="2840"/>
      <c r="N9" s="2840"/>
      <c r="O9" s="2840">
        <v>0</v>
      </c>
      <c r="P9" s="2840"/>
      <c r="Q9" s="2840"/>
      <c r="R9" s="2840"/>
      <c r="S9" s="2840">
        <v>555.98199999999997</v>
      </c>
      <c r="T9" s="2840"/>
      <c r="U9" s="2840"/>
      <c r="V9" s="2840"/>
      <c r="W9" s="2840">
        <v>661.68200000000002</v>
      </c>
      <c r="X9" s="2840"/>
      <c r="Y9" s="2840"/>
      <c r="Z9" s="2840"/>
      <c r="AA9" s="2840"/>
      <c r="AB9" s="2840"/>
      <c r="AC9" s="4930">
        <v>112.042</v>
      </c>
      <c r="AD9" s="2840"/>
      <c r="AE9" s="2840"/>
      <c r="AF9" s="2840"/>
      <c r="AG9" s="2840">
        <v>702</v>
      </c>
      <c r="AH9" s="2840"/>
      <c r="AI9" s="2840"/>
      <c r="AJ9" s="2840"/>
      <c r="AK9" s="4930">
        <v>0</v>
      </c>
      <c r="AL9" s="2840"/>
      <c r="AM9" s="2840"/>
      <c r="AN9" s="2840"/>
      <c r="AO9" s="2840"/>
      <c r="AP9" s="2840"/>
      <c r="AQ9" s="2840">
        <v>715</v>
      </c>
      <c r="AR9" s="2840"/>
      <c r="AS9" s="2840"/>
      <c r="AT9" s="2840"/>
      <c r="AU9" s="2840"/>
      <c r="AV9" s="2840"/>
      <c r="AW9" s="2840"/>
      <c r="AX9" s="2840"/>
      <c r="AY9" s="2840"/>
      <c r="AZ9" s="2840"/>
      <c r="BA9" s="2840"/>
      <c r="BB9" s="2840">
        <v>0</v>
      </c>
      <c r="BC9" s="2840"/>
      <c r="BD9" s="2840">
        <v>564</v>
      </c>
      <c r="BE9" s="2840">
        <v>4807.4210000000003</v>
      </c>
    </row>
    <row r="10" spans="3:57" hidden="1" thickBot="1" x14ac:dyDescent="0.35">
      <c r="C10" s="2713" t="s">
        <v>1413</v>
      </c>
      <c r="D10" s="2713"/>
      <c r="E10" s="2840">
        <v>0</v>
      </c>
      <c r="F10" s="2840"/>
      <c r="G10" s="2840">
        <v>2891.5260000000003</v>
      </c>
      <c r="H10" s="2840"/>
      <c r="I10" s="2840"/>
      <c r="J10" s="2840"/>
      <c r="K10" s="2840">
        <v>2857.5580000000004</v>
      </c>
      <c r="L10" s="2840"/>
      <c r="M10" s="2840"/>
      <c r="N10" s="2840"/>
      <c r="O10" s="2840">
        <v>5052.4599999999991</v>
      </c>
      <c r="P10" s="2840"/>
      <c r="Q10" s="2840"/>
      <c r="R10" s="2840"/>
      <c r="S10" s="2840">
        <v>1002.0359999999999</v>
      </c>
      <c r="T10" s="2840"/>
      <c r="U10" s="2840"/>
      <c r="V10" s="2840"/>
      <c r="W10" s="2840">
        <v>5160.2740000000003</v>
      </c>
      <c r="X10" s="2840"/>
      <c r="Y10" s="2840"/>
      <c r="Z10" s="2840"/>
      <c r="AA10" s="2840"/>
      <c r="AB10" s="2840"/>
      <c r="AC10" s="4930">
        <v>6481.5239999999985</v>
      </c>
      <c r="AD10" s="2840"/>
      <c r="AE10" s="2840"/>
      <c r="AF10" s="2840"/>
      <c r="AG10" s="2840">
        <v>2530</v>
      </c>
      <c r="AH10" s="2840"/>
      <c r="AI10" s="2840"/>
      <c r="AJ10" s="2840"/>
      <c r="AK10" s="4930">
        <v>2927</v>
      </c>
      <c r="AL10" s="2840"/>
      <c r="AM10" s="2840"/>
      <c r="AN10" s="2840"/>
      <c r="AO10" s="2840"/>
      <c r="AP10" s="2840"/>
      <c r="AQ10" s="2840">
        <v>0</v>
      </c>
      <c r="AR10" s="2840"/>
      <c r="AS10" s="2840"/>
      <c r="AT10" s="2840"/>
      <c r="AU10" s="2840"/>
      <c r="AV10" s="2840"/>
      <c r="AW10" s="2840"/>
      <c r="AX10" s="2840"/>
      <c r="AY10" s="2840"/>
      <c r="AZ10" s="2840"/>
      <c r="BA10" s="2840"/>
      <c r="BB10" s="2840">
        <v>0</v>
      </c>
      <c r="BC10" s="2840"/>
      <c r="BD10" s="2840">
        <v>1454</v>
      </c>
      <c r="BE10" s="2840">
        <v>30356.377999999997</v>
      </c>
    </row>
    <row r="11" spans="3:57" hidden="1" thickBot="1" x14ac:dyDescent="0.35">
      <c r="C11" s="2713" t="s">
        <v>1207</v>
      </c>
      <c r="D11" s="2713"/>
      <c r="E11" s="2840">
        <v>2246.134</v>
      </c>
      <c r="F11" s="2840"/>
      <c r="G11" s="2840">
        <v>1167.6500000000001</v>
      </c>
      <c r="H11" s="2840"/>
      <c r="I11" s="2840"/>
      <c r="J11" s="2840"/>
      <c r="K11" s="2840">
        <v>2660.1189999999997</v>
      </c>
      <c r="L11" s="2840"/>
      <c r="M11" s="2840"/>
      <c r="N11" s="2840"/>
      <c r="O11" s="2840">
        <v>3776.8170000000005</v>
      </c>
      <c r="P11" s="2840"/>
      <c r="Q11" s="2840"/>
      <c r="R11" s="2840"/>
      <c r="S11" s="2840">
        <v>8745.6179999999986</v>
      </c>
      <c r="T11" s="2840"/>
      <c r="U11" s="2840"/>
      <c r="V11" s="2840"/>
      <c r="W11" s="2840">
        <v>3684.7019999999998</v>
      </c>
      <c r="X11" s="2840"/>
      <c r="Y11" s="2840"/>
      <c r="Z11" s="2840"/>
      <c r="AA11" s="2840"/>
      <c r="AB11" s="2840"/>
      <c r="AC11" s="4930">
        <v>3094.8960000000002</v>
      </c>
      <c r="AD11" s="2840"/>
      <c r="AE11" s="2840"/>
      <c r="AF11" s="2840"/>
      <c r="AG11" s="2840">
        <v>302</v>
      </c>
      <c r="AH11" s="2840"/>
      <c r="AI11" s="2840"/>
      <c r="AJ11" s="2840"/>
      <c r="AK11" s="4930">
        <v>1471</v>
      </c>
      <c r="AL11" s="2840"/>
      <c r="AM11" s="2840"/>
      <c r="AN11" s="2840"/>
      <c r="AO11" s="2840"/>
      <c r="AP11" s="2840"/>
      <c r="AQ11" s="2840">
        <v>4657</v>
      </c>
      <c r="AR11" s="2840"/>
      <c r="AS11" s="2840"/>
      <c r="AT11" s="2840"/>
      <c r="AU11" s="2840"/>
      <c r="AV11" s="2840"/>
      <c r="AW11" s="2840"/>
      <c r="AX11" s="2840"/>
      <c r="AY11" s="2840"/>
      <c r="AZ11" s="2840"/>
      <c r="BA11" s="2840"/>
      <c r="BB11" s="2840">
        <v>2534.6860000000001</v>
      </c>
      <c r="BC11" s="2840"/>
      <c r="BD11" s="2840">
        <v>1152</v>
      </c>
      <c r="BE11" s="2840">
        <v>35492.622000000003</v>
      </c>
    </row>
    <row r="12" spans="3:57" hidden="1" thickBot="1" x14ac:dyDescent="0.35">
      <c r="C12" s="2713" t="s">
        <v>1257</v>
      </c>
      <c r="D12" s="2713"/>
      <c r="E12" s="2840">
        <v>683.60599999999999</v>
      </c>
      <c r="F12" s="2840"/>
      <c r="G12" s="2840">
        <v>1946.7909999999997</v>
      </c>
      <c r="H12" s="2840"/>
      <c r="I12" s="2840"/>
      <c r="J12" s="2840"/>
      <c r="K12" s="2840">
        <v>3651.5600000000013</v>
      </c>
      <c r="L12" s="2840"/>
      <c r="M12" s="2840"/>
      <c r="N12" s="2840"/>
      <c r="O12" s="2840">
        <v>4077.0480000000011</v>
      </c>
      <c r="P12" s="2840"/>
      <c r="Q12" s="2840"/>
      <c r="R12" s="2840"/>
      <c r="S12" s="2840">
        <v>6033.3559999999979</v>
      </c>
      <c r="T12" s="2840"/>
      <c r="U12" s="2840"/>
      <c r="V12" s="2840"/>
      <c r="W12" s="2840">
        <v>2545.2559999999999</v>
      </c>
      <c r="X12" s="2840"/>
      <c r="Y12" s="2840"/>
      <c r="Z12" s="2840"/>
      <c r="AA12" s="2840"/>
      <c r="AB12" s="2840"/>
      <c r="AC12" s="4930">
        <v>2001.9580000000001</v>
      </c>
      <c r="AD12" s="2840"/>
      <c r="AE12" s="2840"/>
      <c r="AF12" s="2840"/>
      <c r="AG12" s="2840">
        <v>3205</v>
      </c>
      <c r="AH12" s="2840"/>
      <c r="AI12" s="2840"/>
      <c r="AJ12" s="2840"/>
      <c r="AK12" s="4930">
        <v>1311</v>
      </c>
      <c r="AL12" s="2840"/>
      <c r="AM12" s="2840"/>
      <c r="AN12" s="2840"/>
      <c r="AO12" s="2840"/>
      <c r="AP12" s="2840"/>
      <c r="AQ12" s="2840">
        <v>3619</v>
      </c>
      <c r="AR12" s="2840"/>
      <c r="AS12" s="2840"/>
      <c r="AT12" s="2840"/>
      <c r="AU12" s="2840"/>
      <c r="AV12" s="2840"/>
      <c r="AW12" s="2840"/>
      <c r="AX12" s="2840"/>
      <c r="AY12" s="2840"/>
      <c r="AZ12" s="2840"/>
      <c r="BA12" s="2840"/>
      <c r="BB12" s="2840">
        <v>2101.3160000000003</v>
      </c>
      <c r="BC12" s="2840"/>
      <c r="BD12" s="2840">
        <v>127</v>
      </c>
      <c r="BE12" s="2840">
        <v>31302.891</v>
      </c>
    </row>
    <row r="13" spans="3:57" hidden="1" thickBot="1" x14ac:dyDescent="0.35">
      <c r="C13" s="2713" t="s">
        <v>1208</v>
      </c>
      <c r="D13" s="2713"/>
      <c r="E13" s="2840">
        <v>4390.3640000000005</v>
      </c>
      <c r="F13" s="2840"/>
      <c r="G13" s="2840">
        <v>0</v>
      </c>
      <c r="H13" s="2840"/>
      <c r="I13" s="2840"/>
      <c r="J13" s="2840"/>
      <c r="K13" s="2840">
        <v>0</v>
      </c>
      <c r="L13" s="2840"/>
      <c r="M13" s="2840"/>
      <c r="N13" s="2840"/>
      <c r="O13" s="2840">
        <v>0</v>
      </c>
      <c r="P13" s="2840"/>
      <c r="Q13" s="2840"/>
      <c r="R13" s="2840"/>
      <c r="S13" s="2840">
        <v>0</v>
      </c>
      <c r="T13" s="2840"/>
      <c r="U13" s="2840"/>
      <c r="V13" s="2840"/>
      <c r="W13" s="2840">
        <v>0</v>
      </c>
      <c r="X13" s="2840"/>
      <c r="Y13" s="2840"/>
      <c r="Z13" s="2840"/>
      <c r="AA13" s="2840"/>
      <c r="AB13" s="2840"/>
      <c r="AC13" s="4930">
        <v>0</v>
      </c>
      <c r="AD13" s="2840"/>
      <c r="AE13" s="2840"/>
      <c r="AF13" s="2840"/>
      <c r="AG13" s="2840">
        <v>0</v>
      </c>
      <c r="AH13" s="2840"/>
      <c r="AI13" s="2840"/>
      <c r="AJ13" s="2840"/>
      <c r="AK13" s="4930">
        <v>0</v>
      </c>
      <c r="AL13" s="2840"/>
      <c r="AM13" s="2840"/>
      <c r="AN13" s="2840"/>
      <c r="AO13" s="2840"/>
      <c r="AP13" s="2840"/>
      <c r="AQ13" s="2840">
        <v>0</v>
      </c>
      <c r="AR13" s="2840"/>
      <c r="AS13" s="2840"/>
      <c r="AT13" s="2840"/>
      <c r="AU13" s="2840"/>
      <c r="AV13" s="2840"/>
      <c r="AW13" s="2840"/>
      <c r="AX13" s="2840"/>
      <c r="AY13" s="2840"/>
      <c r="AZ13" s="2840"/>
      <c r="BA13" s="2840"/>
      <c r="BB13" s="2840">
        <v>0</v>
      </c>
      <c r="BC13" s="2840"/>
      <c r="BD13" s="2840">
        <v>0</v>
      </c>
      <c r="BE13" s="2840">
        <v>4390.3640000000005</v>
      </c>
    </row>
    <row r="14" spans="3:57" hidden="1" thickBot="1" x14ac:dyDescent="0.35">
      <c r="C14" s="2713" t="s">
        <v>1382</v>
      </c>
      <c r="D14" s="2713"/>
      <c r="E14" s="2840">
        <v>118.88800000000001</v>
      </c>
      <c r="F14" s="2840"/>
      <c r="G14" s="2840">
        <v>0</v>
      </c>
      <c r="H14" s="2840"/>
      <c r="I14" s="2840"/>
      <c r="J14" s="2840"/>
      <c r="K14" s="2840">
        <v>0</v>
      </c>
      <c r="L14" s="2840"/>
      <c r="M14" s="2840"/>
      <c r="N14" s="2840"/>
      <c r="O14" s="2840">
        <v>0</v>
      </c>
      <c r="P14" s="2840"/>
      <c r="Q14" s="2840"/>
      <c r="R14" s="2840"/>
      <c r="S14" s="2840">
        <v>0</v>
      </c>
      <c r="T14" s="2840"/>
      <c r="U14" s="2840"/>
      <c r="V14" s="2840"/>
      <c r="W14" s="2840">
        <v>0</v>
      </c>
      <c r="X14" s="2840"/>
      <c r="Y14" s="2840"/>
      <c r="Z14" s="2840"/>
      <c r="AA14" s="2840"/>
      <c r="AB14" s="2840"/>
      <c r="AC14" s="4930">
        <v>0</v>
      </c>
      <c r="AD14" s="2840"/>
      <c r="AE14" s="2840"/>
      <c r="AF14" s="2840"/>
      <c r="AG14" s="2840">
        <v>0</v>
      </c>
      <c r="AH14" s="2840"/>
      <c r="AI14" s="2840"/>
      <c r="AJ14" s="2840"/>
      <c r="AK14" s="4930">
        <v>0</v>
      </c>
      <c r="AL14" s="2840"/>
      <c r="AM14" s="2840"/>
      <c r="AN14" s="2840"/>
      <c r="AO14" s="2840"/>
      <c r="AP14" s="2840"/>
      <c r="AQ14" s="2840">
        <v>0</v>
      </c>
      <c r="AR14" s="2840"/>
      <c r="AS14" s="2840"/>
      <c r="AT14" s="2840"/>
      <c r="AU14" s="2840"/>
      <c r="AV14" s="2840"/>
      <c r="AW14" s="2840"/>
      <c r="AX14" s="2840"/>
      <c r="AY14" s="2840"/>
      <c r="AZ14" s="2840"/>
      <c r="BA14" s="2840"/>
      <c r="BB14" s="2840">
        <v>0</v>
      </c>
      <c r="BC14" s="2840"/>
      <c r="BD14" s="2840">
        <v>0</v>
      </c>
      <c r="BE14" s="2840">
        <v>118.88800000000001</v>
      </c>
    </row>
    <row r="15" spans="3:57" hidden="1" thickBot="1" x14ac:dyDescent="0.35">
      <c r="C15" s="2713" t="s">
        <v>1209</v>
      </c>
      <c r="D15" s="2713"/>
      <c r="E15" s="2840">
        <v>0</v>
      </c>
      <c r="F15" s="2840"/>
      <c r="G15" s="2840">
        <v>0</v>
      </c>
      <c r="H15" s="2840"/>
      <c r="I15" s="2840"/>
      <c r="J15" s="2840"/>
      <c r="K15" s="2840">
        <v>1010.5480000000001</v>
      </c>
      <c r="L15" s="2840"/>
      <c r="M15" s="2840"/>
      <c r="N15" s="2840"/>
      <c r="O15" s="2840">
        <v>982.94899999999996</v>
      </c>
      <c r="P15" s="2840"/>
      <c r="Q15" s="2840"/>
      <c r="R15" s="2840"/>
      <c r="S15" s="2840">
        <v>0</v>
      </c>
      <c r="T15" s="2840"/>
      <c r="U15" s="2840"/>
      <c r="V15" s="2840"/>
      <c r="W15" s="2840">
        <v>1714.4540000000002</v>
      </c>
      <c r="X15" s="2840"/>
      <c r="Y15" s="2840"/>
      <c r="Z15" s="2840"/>
      <c r="AA15" s="2840"/>
      <c r="AB15" s="2840"/>
      <c r="AC15" s="4930">
        <v>0</v>
      </c>
      <c r="AD15" s="2840"/>
      <c r="AE15" s="2840"/>
      <c r="AF15" s="2840"/>
      <c r="AG15" s="2840">
        <v>0</v>
      </c>
      <c r="AH15" s="2840"/>
      <c r="AI15" s="2840"/>
      <c r="AJ15" s="2840"/>
      <c r="AK15" s="4930">
        <v>0</v>
      </c>
      <c r="AL15" s="2840"/>
      <c r="AM15" s="2840"/>
      <c r="AN15" s="2840"/>
      <c r="AO15" s="2840"/>
      <c r="AP15" s="2840"/>
      <c r="AQ15" s="2840">
        <v>0</v>
      </c>
      <c r="AR15" s="2840"/>
      <c r="AS15" s="2840"/>
      <c r="AT15" s="2840"/>
      <c r="AU15" s="2840"/>
      <c r="AV15" s="2840"/>
      <c r="AW15" s="2840"/>
      <c r="AX15" s="2840"/>
      <c r="AY15" s="2840"/>
      <c r="AZ15" s="2840"/>
      <c r="BA15" s="2840"/>
      <c r="BB15" s="2840">
        <v>1224.0060000000001</v>
      </c>
      <c r="BC15" s="2840"/>
      <c r="BD15" s="2840">
        <v>1123</v>
      </c>
      <c r="BE15" s="2840">
        <v>6054.9570000000003</v>
      </c>
    </row>
    <row r="16" spans="3:57" hidden="1" thickBot="1" x14ac:dyDescent="0.35">
      <c r="C16" s="2713" t="s">
        <v>1254</v>
      </c>
      <c r="D16" s="2713"/>
      <c r="E16" s="2840">
        <v>2210.0430000000001</v>
      </c>
      <c r="F16" s="2840"/>
      <c r="G16" s="2840">
        <v>420.35399999999998</v>
      </c>
      <c r="H16" s="2840"/>
      <c r="I16" s="2840"/>
      <c r="J16" s="2840"/>
      <c r="K16" s="2840">
        <v>0</v>
      </c>
      <c r="L16" s="2840"/>
      <c r="M16" s="2840"/>
      <c r="N16" s="2840"/>
      <c r="O16" s="2840">
        <v>3913.0140000000006</v>
      </c>
      <c r="P16" s="2840"/>
      <c r="Q16" s="2840"/>
      <c r="R16" s="2840"/>
      <c r="S16" s="2840">
        <v>0</v>
      </c>
      <c r="T16" s="2840"/>
      <c r="U16" s="2840"/>
      <c r="V16" s="2840"/>
      <c r="W16" s="2840">
        <v>868.85399999999993</v>
      </c>
      <c r="X16" s="2840"/>
      <c r="Y16" s="2840"/>
      <c r="Z16" s="2840"/>
      <c r="AA16" s="2840"/>
      <c r="AB16" s="2840"/>
      <c r="AC16" s="4930">
        <v>3061.0720000000001</v>
      </c>
      <c r="AD16" s="2840"/>
      <c r="AE16" s="2840"/>
      <c r="AF16" s="2840"/>
      <c r="AG16" s="2840">
        <v>1323</v>
      </c>
      <c r="AH16" s="2840"/>
      <c r="AI16" s="2840"/>
      <c r="AJ16" s="2840"/>
      <c r="AK16" s="4930">
        <v>3761</v>
      </c>
      <c r="AL16" s="2840"/>
      <c r="AM16" s="2840"/>
      <c r="AN16" s="2840"/>
      <c r="AO16" s="2840"/>
      <c r="AP16" s="2840"/>
      <c r="AQ16" s="2840">
        <v>493</v>
      </c>
      <c r="AR16" s="2840"/>
      <c r="AS16" s="2840"/>
      <c r="AT16" s="2840"/>
      <c r="AU16" s="2840"/>
      <c r="AV16" s="2840"/>
      <c r="AW16" s="2840"/>
      <c r="AX16" s="2840"/>
      <c r="AY16" s="2840"/>
      <c r="AZ16" s="2840"/>
      <c r="BA16" s="2840"/>
      <c r="BB16" s="2840">
        <v>1904.7140000000004</v>
      </c>
      <c r="BC16" s="2840"/>
      <c r="BD16" s="2840">
        <v>0</v>
      </c>
      <c r="BE16" s="2840">
        <v>17955.050999999999</v>
      </c>
    </row>
    <row r="17" spans="3:57" hidden="1" thickBot="1" x14ac:dyDescent="0.35">
      <c r="C17" s="2713" t="s">
        <v>1255</v>
      </c>
      <c r="D17" s="2713"/>
      <c r="E17" s="2840">
        <v>2320.4390000000003</v>
      </c>
      <c r="F17" s="2840"/>
      <c r="G17" s="2840">
        <v>0</v>
      </c>
      <c r="H17" s="2840"/>
      <c r="I17" s="2840"/>
      <c r="J17" s="2840"/>
      <c r="K17" s="2840">
        <v>1636.8330000000001</v>
      </c>
      <c r="L17" s="2840"/>
      <c r="M17" s="2840"/>
      <c r="N17" s="2840"/>
      <c r="O17" s="2840">
        <v>5010.1799999999994</v>
      </c>
      <c r="P17" s="2840"/>
      <c r="Q17" s="2840"/>
      <c r="R17" s="2840"/>
      <c r="S17" s="2840">
        <v>0</v>
      </c>
      <c r="T17" s="2840"/>
      <c r="U17" s="2840"/>
      <c r="V17" s="2840"/>
      <c r="W17" s="2840">
        <v>2875.04</v>
      </c>
      <c r="X17" s="2840"/>
      <c r="Y17" s="2840"/>
      <c r="Z17" s="2840"/>
      <c r="AA17" s="2840"/>
      <c r="AB17" s="2840"/>
      <c r="AC17" s="4930">
        <v>1329.7059999999999</v>
      </c>
      <c r="AD17" s="2840"/>
      <c r="AE17" s="2840"/>
      <c r="AF17" s="2840"/>
      <c r="AG17" s="2840">
        <v>2649</v>
      </c>
      <c r="AH17" s="2840"/>
      <c r="AI17" s="2840"/>
      <c r="AJ17" s="2840"/>
      <c r="AK17" s="4930">
        <v>3981</v>
      </c>
      <c r="AL17" s="2840"/>
      <c r="AM17" s="2840"/>
      <c r="AN17" s="2840"/>
      <c r="AO17" s="2840"/>
      <c r="AP17" s="2840"/>
      <c r="AQ17" s="2840">
        <v>2397</v>
      </c>
      <c r="AR17" s="2840"/>
      <c r="AS17" s="2840"/>
      <c r="AT17" s="2840"/>
      <c r="AU17" s="2840"/>
      <c r="AV17" s="2840"/>
      <c r="AW17" s="2840"/>
      <c r="AX17" s="2840"/>
      <c r="AY17" s="2840"/>
      <c r="AZ17" s="2840"/>
      <c r="BA17" s="2840"/>
      <c r="BB17" s="2840">
        <v>1560.1320000000001</v>
      </c>
      <c r="BC17" s="2840"/>
      <c r="BD17" s="2840">
        <v>2046</v>
      </c>
      <c r="BE17" s="2840">
        <v>25805.329999999998</v>
      </c>
    </row>
    <row r="18" spans="3:57" hidden="1" thickBot="1" x14ac:dyDescent="0.35">
      <c r="C18" s="2713" t="s">
        <v>1291</v>
      </c>
      <c r="D18" s="2713"/>
      <c r="E18" s="2840">
        <v>104.027</v>
      </c>
      <c r="F18" s="2840"/>
      <c r="G18" s="2840">
        <v>0</v>
      </c>
      <c r="H18" s="2840"/>
      <c r="I18" s="2840"/>
      <c r="J18" s="2840"/>
      <c r="K18" s="2840">
        <v>0</v>
      </c>
      <c r="L18" s="2840"/>
      <c r="M18" s="2840"/>
      <c r="N18" s="2840"/>
      <c r="O18" s="2840">
        <v>0</v>
      </c>
      <c r="P18" s="2840"/>
      <c r="Q18" s="2840"/>
      <c r="R18" s="2840"/>
      <c r="S18" s="2840">
        <v>0</v>
      </c>
      <c r="T18" s="2840"/>
      <c r="U18" s="2840"/>
      <c r="V18" s="2840"/>
      <c r="W18" s="2840">
        <v>0</v>
      </c>
      <c r="X18" s="2840"/>
      <c r="Y18" s="2840"/>
      <c r="Z18" s="2840"/>
      <c r="AA18" s="2840"/>
      <c r="AB18" s="2840"/>
      <c r="AC18" s="4930">
        <v>0</v>
      </c>
      <c r="AD18" s="2840"/>
      <c r="AE18" s="2840"/>
      <c r="AF18" s="2840"/>
      <c r="AG18" s="2840">
        <v>0</v>
      </c>
      <c r="AH18" s="2840"/>
      <c r="AI18" s="2840"/>
      <c r="AJ18" s="2840"/>
      <c r="AK18" s="4930">
        <v>0</v>
      </c>
      <c r="AL18" s="2840"/>
      <c r="AM18" s="2840"/>
      <c r="AN18" s="2840"/>
      <c r="AO18" s="2840"/>
      <c r="AP18" s="2840"/>
      <c r="AQ18" s="2840">
        <v>0</v>
      </c>
      <c r="AR18" s="2840"/>
      <c r="AS18" s="2840"/>
      <c r="AT18" s="2840"/>
      <c r="AU18" s="2840"/>
      <c r="AV18" s="2840"/>
      <c r="AW18" s="2840"/>
      <c r="AX18" s="2840"/>
      <c r="AY18" s="2840"/>
      <c r="AZ18" s="2840"/>
      <c r="BA18" s="2840"/>
      <c r="BB18" s="2840">
        <v>0</v>
      </c>
      <c r="BC18" s="2840"/>
      <c r="BD18" s="2840">
        <v>0</v>
      </c>
      <c r="BE18" s="2840">
        <v>104.027</v>
      </c>
    </row>
    <row r="19" spans="3:57" hidden="1" thickBot="1" x14ac:dyDescent="0.35">
      <c r="C19" s="2713" t="s">
        <v>1566</v>
      </c>
      <c r="D19" s="2713"/>
      <c r="E19" s="2840">
        <v>0</v>
      </c>
      <c r="F19" s="2840"/>
      <c r="G19" s="2840">
        <v>0</v>
      </c>
      <c r="H19" s="2840"/>
      <c r="I19" s="2840"/>
      <c r="J19" s="2840"/>
      <c r="K19" s="2840">
        <v>0</v>
      </c>
      <c r="L19" s="2840"/>
      <c r="M19" s="2840"/>
      <c r="N19" s="2840"/>
      <c r="O19" s="2840">
        <v>0</v>
      </c>
      <c r="P19" s="2840"/>
      <c r="Q19" s="2840"/>
      <c r="R19" s="2840"/>
      <c r="S19" s="2840">
        <v>849.8280000000002</v>
      </c>
      <c r="T19" s="2840"/>
      <c r="U19" s="2840"/>
      <c r="V19" s="2840"/>
      <c r="W19" s="2840">
        <v>769.49599999999998</v>
      </c>
      <c r="X19" s="2840"/>
      <c r="Y19" s="2840"/>
      <c r="Z19" s="2840"/>
      <c r="AA19" s="2840"/>
      <c r="AB19" s="2840"/>
      <c r="AC19" s="4930">
        <v>2272.5499999999997</v>
      </c>
      <c r="AD19" s="2840"/>
      <c r="AE19" s="2840"/>
      <c r="AF19" s="2840"/>
      <c r="AG19" s="2840">
        <v>1201</v>
      </c>
      <c r="AH19" s="2840"/>
      <c r="AI19" s="2840"/>
      <c r="AJ19" s="2840"/>
      <c r="AK19" s="4930">
        <v>865</v>
      </c>
      <c r="AL19" s="2840"/>
      <c r="AM19" s="2840"/>
      <c r="AN19" s="2840"/>
      <c r="AO19" s="2840"/>
      <c r="AP19" s="2840"/>
      <c r="AQ19" s="2840">
        <v>243</v>
      </c>
      <c r="AR19" s="2840"/>
      <c r="AS19" s="2840"/>
      <c r="AT19" s="2840"/>
      <c r="AU19" s="2840"/>
      <c r="AV19" s="2840"/>
      <c r="AW19" s="2840"/>
      <c r="AX19" s="2840"/>
      <c r="AY19" s="2840"/>
      <c r="AZ19" s="2840"/>
      <c r="BA19" s="2840"/>
      <c r="BB19" s="2840">
        <v>1325.4780000000001</v>
      </c>
      <c r="BC19" s="2840"/>
      <c r="BD19" s="2840">
        <v>839</v>
      </c>
      <c r="BE19" s="2840">
        <v>8365.351999999999</v>
      </c>
    </row>
    <row r="20" spans="3:57" hidden="1" thickBot="1" x14ac:dyDescent="0.35">
      <c r="C20" s="2713" t="s">
        <v>1357</v>
      </c>
      <c r="D20" s="2713"/>
      <c r="E20" s="2840">
        <v>0</v>
      </c>
      <c r="F20" s="2840"/>
      <c r="G20" s="2840">
        <v>0</v>
      </c>
      <c r="H20" s="2840"/>
      <c r="I20" s="2840"/>
      <c r="J20" s="2840"/>
      <c r="K20" s="2840">
        <v>0</v>
      </c>
      <c r="L20" s="2840"/>
      <c r="M20" s="2840"/>
      <c r="N20" s="2840"/>
      <c r="O20" s="2840">
        <v>0</v>
      </c>
      <c r="P20" s="2840"/>
      <c r="Q20" s="2840"/>
      <c r="R20" s="2840"/>
      <c r="S20" s="2840">
        <v>0</v>
      </c>
      <c r="T20" s="2840"/>
      <c r="U20" s="2840"/>
      <c r="V20" s="2840"/>
      <c r="W20" s="2840">
        <v>0</v>
      </c>
      <c r="X20" s="2840"/>
      <c r="Y20" s="2840"/>
      <c r="Z20" s="2840"/>
      <c r="AA20" s="2840"/>
      <c r="AB20" s="2840"/>
      <c r="AC20" s="4930">
        <v>0</v>
      </c>
      <c r="AD20" s="2840"/>
      <c r="AE20" s="2840"/>
      <c r="AF20" s="2840"/>
      <c r="AG20" s="2840">
        <v>0</v>
      </c>
      <c r="AH20" s="2840"/>
      <c r="AI20" s="2840"/>
      <c r="AJ20" s="2840"/>
      <c r="AK20" s="4930">
        <v>171</v>
      </c>
      <c r="AL20" s="2840"/>
      <c r="AM20" s="2840"/>
      <c r="AN20" s="2840"/>
      <c r="AO20" s="2840"/>
      <c r="AP20" s="2840"/>
      <c r="AQ20" s="2840">
        <v>0</v>
      </c>
      <c r="AR20" s="2840"/>
      <c r="AS20" s="2840"/>
      <c r="AT20" s="2840"/>
      <c r="AU20" s="2840"/>
      <c r="AV20" s="2840"/>
      <c r="AW20" s="2840"/>
      <c r="AX20" s="2840"/>
      <c r="AY20" s="2840"/>
      <c r="AZ20" s="2840"/>
      <c r="BA20" s="2840"/>
      <c r="BB20" s="2840">
        <v>207.172</v>
      </c>
      <c r="BC20" s="2840"/>
      <c r="BD20" s="2840">
        <v>228</v>
      </c>
      <c r="BE20" s="2840">
        <v>606.17200000000003</v>
      </c>
    </row>
    <row r="21" spans="3:57" hidden="1" thickBot="1" x14ac:dyDescent="0.35">
      <c r="C21" s="2713" t="s">
        <v>1414</v>
      </c>
      <c r="D21" s="2713"/>
      <c r="E21" s="2840">
        <v>2012.6040000000003</v>
      </c>
      <c r="F21" s="2840"/>
      <c r="G21" s="2840">
        <v>1305.6450000000002</v>
      </c>
      <c r="H21" s="2840"/>
      <c r="I21" s="2840"/>
      <c r="J21" s="2840"/>
      <c r="K21" s="2840">
        <v>2515.7550000000001</v>
      </c>
      <c r="L21" s="2840"/>
      <c r="M21" s="2840"/>
      <c r="N21" s="2840"/>
      <c r="O21" s="2840">
        <v>0</v>
      </c>
      <c r="P21" s="2840"/>
      <c r="Q21" s="2840"/>
      <c r="R21" s="2840"/>
      <c r="S21" s="2840">
        <v>1678.5159999999998</v>
      </c>
      <c r="T21" s="2840"/>
      <c r="U21" s="2840"/>
      <c r="V21" s="2840"/>
      <c r="W21" s="2840">
        <v>600.37599999999998</v>
      </c>
      <c r="X21" s="2840"/>
      <c r="Y21" s="2840"/>
      <c r="Z21" s="2840"/>
      <c r="AA21" s="2840"/>
      <c r="AB21" s="2840"/>
      <c r="AC21" s="4930">
        <v>1031.6319999999998</v>
      </c>
      <c r="AD21" s="2840"/>
      <c r="AE21" s="2840"/>
      <c r="AF21" s="2840"/>
      <c r="AG21" s="2840">
        <v>888</v>
      </c>
      <c r="AH21" s="2840"/>
      <c r="AI21" s="2840"/>
      <c r="AJ21" s="2840"/>
      <c r="AK21" s="4930">
        <v>1230</v>
      </c>
      <c r="AL21" s="2840"/>
      <c r="AM21" s="2840"/>
      <c r="AN21" s="2840"/>
      <c r="AO21" s="2840"/>
      <c r="AP21" s="2840"/>
      <c r="AQ21" s="2840">
        <v>2594</v>
      </c>
      <c r="AR21" s="2840"/>
      <c r="AS21" s="2840"/>
      <c r="AT21" s="2840"/>
      <c r="AU21" s="2840"/>
      <c r="AV21" s="2840"/>
      <c r="AW21" s="2840"/>
      <c r="AX21" s="2840"/>
      <c r="AY21" s="2840"/>
      <c r="AZ21" s="2840"/>
      <c r="BA21" s="2840"/>
      <c r="BB21" s="2840">
        <v>145.86600000000001</v>
      </c>
      <c r="BC21" s="2840"/>
      <c r="BD21" s="2840">
        <v>1055</v>
      </c>
      <c r="BE21" s="2840">
        <v>15057.394</v>
      </c>
    </row>
    <row r="22" spans="3:57" hidden="1" thickBot="1" x14ac:dyDescent="0.35">
      <c r="C22" s="2713" t="s">
        <v>1415</v>
      </c>
      <c r="D22" s="2713"/>
      <c r="E22" s="2840">
        <v>607.17800000000011</v>
      </c>
      <c r="F22" s="2840"/>
      <c r="G22" s="2840">
        <v>0</v>
      </c>
      <c r="H22" s="2840"/>
      <c r="I22" s="2840"/>
      <c r="J22" s="2840"/>
      <c r="K22" s="2840">
        <v>0</v>
      </c>
      <c r="L22" s="2840"/>
      <c r="M22" s="2840"/>
      <c r="N22" s="2840"/>
      <c r="O22" s="2840">
        <v>150.09399999999999</v>
      </c>
      <c r="P22" s="2840"/>
      <c r="Q22" s="2840"/>
      <c r="R22" s="2840"/>
      <c r="S22" s="2840">
        <v>0</v>
      </c>
      <c r="T22" s="2840"/>
      <c r="U22" s="2840"/>
      <c r="V22" s="2840"/>
      <c r="W22" s="2840">
        <v>0</v>
      </c>
      <c r="X22" s="2840"/>
      <c r="Y22" s="2840"/>
      <c r="Z22" s="2840"/>
      <c r="AA22" s="2840"/>
      <c r="AB22" s="2840"/>
      <c r="AC22" s="4930">
        <v>0</v>
      </c>
      <c r="AD22" s="2840"/>
      <c r="AE22" s="2840"/>
      <c r="AF22" s="2840"/>
      <c r="AG22" s="2840">
        <v>131</v>
      </c>
      <c r="AH22" s="2840"/>
      <c r="AI22" s="2840"/>
      <c r="AJ22" s="2840"/>
      <c r="AK22" s="4930">
        <v>0</v>
      </c>
      <c r="AL22" s="2840"/>
      <c r="AM22" s="2840"/>
      <c r="AN22" s="2840"/>
      <c r="AO22" s="2840"/>
      <c r="AP22" s="2840"/>
      <c r="AQ22" s="2840">
        <v>0</v>
      </c>
      <c r="AR22" s="2840"/>
      <c r="AS22" s="2840"/>
      <c r="AT22" s="2840"/>
      <c r="AU22" s="2840"/>
      <c r="AV22" s="2840"/>
      <c r="AW22" s="2840"/>
      <c r="AX22" s="2840"/>
      <c r="AY22" s="2840"/>
      <c r="AZ22" s="2840"/>
      <c r="BA22" s="2840"/>
      <c r="BB22" s="2840">
        <v>0</v>
      </c>
      <c r="BC22" s="2840"/>
      <c r="BD22" s="2840">
        <v>0</v>
      </c>
      <c r="BE22" s="2840">
        <v>888.27200000000016</v>
      </c>
    </row>
    <row r="23" spans="3:57" hidden="1" thickBot="1" x14ac:dyDescent="0.35">
      <c r="C23" s="2713" t="s">
        <v>1408</v>
      </c>
      <c r="D23" s="2713"/>
      <c r="E23" s="2840">
        <v>1740.86</v>
      </c>
      <c r="F23" s="2840"/>
      <c r="G23" s="2840">
        <v>1672.924</v>
      </c>
      <c r="H23" s="2840"/>
      <c r="I23" s="2840"/>
      <c r="J23" s="2840"/>
      <c r="K23" s="2840">
        <v>3299.1419999999998</v>
      </c>
      <c r="L23" s="2840"/>
      <c r="M23" s="2840"/>
      <c r="N23" s="2840"/>
      <c r="O23" s="2840">
        <v>3369.7160000000008</v>
      </c>
      <c r="P23" s="2840"/>
      <c r="Q23" s="2840"/>
      <c r="R23" s="2840"/>
      <c r="S23" s="2840">
        <v>3111.808</v>
      </c>
      <c r="T23" s="2840"/>
      <c r="U23" s="2840"/>
      <c r="V23" s="2840"/>
      <c r="W23" s="2840">
        <v>1035.8600000000001</v>
      </c>
      <c r="X23" s="2840"/>
      <c r="Y23" s="2840"/>
      <c r="Z23" s="2840"/>
      <c r="AA23" s="2840"/>
      <c r="AB23" s="2840"/>
      <c r="AC23" s="4930">
        <v>0</v>
      </c>
      <c r="AD23" s="2840"/>
      <c r="AE23" s="2840"/>
      <c r="AF23" s="2840"/>
      <c r="AG23" s="2840">
        <v>1541</v>
      </c>
      <c r="AH23" s="2840"/>
      <c r="AI23" s="2840"/>
      <c r="AJ23" s="2840"/>
      <c r="AK23" s="4930">
        <v>230</v>
      </c>
      <c r="AL23" s="2840"/>
      <c r="AM23" s="2840"/>
      <c r="AN23" s="2840"/>
      <c r="AO23" s="2840"/>
      <c r="AP23" s="2840"/>
      <c r="AQ23" s="2840">
        <v>1605</v>
      </c>
      <c r="AR23" s="2840"/>
      <c r="AS23" s="2840"/>
      <c r="AT23" s="2840"/>
      <c r="AU23" s="2840"/>
      <c r="AV23" s="2840"/>
      <c r="AW23" s="2840"/>
      <c r="AX23" s="2840"/>
      <c r="AY23" s="2840"/>
      <c r="AZ23" s="2840"/>
      <c r="BA23" s="2840"/>
      <c r="BB23" s="2840">
        <v>0</v>
      </c>
      <c r="BC23" s="2840"/>
      <c r="BD23" s="2840">
        <v>738</v>
      </c>
      <c r="BE23" s="2840">
        <v>18344.310000000001</v>
      </c>
    </row>
    <row r="24" spans="3:57" hidden="1" thickBot="1" x14ac:dyDescent="0.35">
      <c r="C24" s="2713" t="s">
        <v>1655</v>
      </c>
      <c r="D24" s="2713"/>
      <c r="E24" s="2840">
        <v>0</v>
      </c>
      <c r="F24" s="2840"/>
      <c r="G24" s="2840">
        <v>0</v>
      </c>
      <c r="H24" s="2840"/>
      <c r="I24" s="2840"/>
      <c r="J24" s="2840"/>
      <c r="K24" s="2840">
        <v>0</v>
      </c>
      <c r="L24" s="2840"/>
      <c r="M24" s="2840"/>
      <c r="N24" s="2840"/>
      <c r="O24" s="2840">
        <v>0</v>
      </c>
      <c r="P24" s="2840"/>
      <c r="Q24" s="2840"/>
      <c r="R24" s="2840"/>
      <c r="S24" s="2840">
        <v>0</v>
      </c>
      <c r="T24" s="2840"/>
      <c r="U24" s="2840"/>
      <c r="V24" s="2840"/>
      <c r="W24" s="2840">
        <v>0</v>
      </c>
      <c r="X24" s="2840"/>
      <c r="Y24" s="2840"/>
      <c r="Z24" s="2840"/>
      <c r="AA24" s="2840"/>
      <c r="AB24" s="2840"/>
      <c r="AC24" s="4930">
        <v>0</v>
      </c>
      <c r="AD24" s="2840"/>
      <c r="AE24" s="2840"/>
      <c r="AF24" s="2840"/>
      <c r="AG24" s="2840">
        <v>729</v>
      </c>
      <c r="AH24" s="2840"/>
      <c r="AI24" s="2840"/>
      <c r="AJ24" s="2840"/>
      <c r="AK24" s="4930">
        <v>0</v>
      </c>
      <c r="AL24" s="2840"/>
      <c r="AM24" s="2840"/>
      <c r="AN24" s="2840"/>
      <c r="AO24" s="2840"/>
      <c r="AP24" s="2840"/>
      <c r="AQ24" s="2840">
        <v>0</v>
      </c>
      <c r="AR24" s="2840"/>
      <c r="AS24" s="2840"/>
      <c r="AT24" s="2840"/>
      <c r="AU24" s="2840"/>
      <c r="AV24" s="2840"/>
      <c r="AW24" s="2840"/>
      <c r="AX24" s="2840"/>
      <c r="AY24" s="2840"/>
      <c r="AZ24" s="2840"/>
      <c r="BA24" s="2840"/>
      <c r="BB24" s="2840">
        <v>528.5</v>
      </c>
      <c r="BC24" s="2840"/>
      <c r="BD24" s="2840">
        <v>573</v>
      </c>
      <c r="BE24" s="2840">
        <v>1830.5</v>
      </c>
    </row>
    <row r="25" spans="3:57" hidden="1" thickBot="1" x14ac:dyDescent="0.35">
      <c r="C25" s="2713" t="s">
        <v>846</v>
      </c>
      <c r="D25" s="2713"/>
      <c r="E25" s="2840">
        <v>5572.875</v>
      </c>
      <c r="F25" s="2840"/>
      <c r="G25" s="2840">
        <v>4275.7219999999998</v>
      </c>
      <c r="H25" s="2840"/>
      <c r="I25" s="2840"/>
      <c r="J25" s="2840"/>
      <c r="K25" s="2840">
        <v>5165.259</v>
      </c>
      <c r="L25" s="2840"/>
      <c r="M25" s="2840"/>
      <c r="N25" s="2840"/>
      <c r="O25" s="2840">
        <v>4726.5600000000004</v>
      </c>
      <c r="P25" s="2840"/>
      <c r="Q25" s="2840"/>
      <c r="R25" s="2840"/>
      <c r="S25" s="2840">
        <v>8582.84</v>
      </c>
      <c r="T25" s="2840"/>
      <c r="U25" s="2840"/>
      <c r="V25" s="2840"/>
      <c r="W25" s="2840">
        <v>11607.973999999997</v>
      </c>
      <c r="X25" s="2840"/>
      <c r="Y25" s="2840"/>
      <c r="Z25" s="2840"/>
      <c r="AA25" s="2840"/>
      <c r="AB25" s="2840"/>
      <c r="AC25" s="4930">
        <v>13165.992</v>
      </c>
      <c r="AD25" s="2840"/>
      <c r="AE25" s="2840"/>
      <c r="AF25" s="2840"/>
      <c r="AG25" s="2840">
        <v>0</v>
      </c>
      <c r="AH25" s="2840"/>
      <c r="AI25" s="2840"/>
      <c r="AJ25" s="2840"/>
      <c r="AK25" s="4930">
        <v>0</v>
      </c>
      <c r="AL25" s="2840"/>
      <c r="AM25" s="2840"/>
      <c r="AN25" s="2840"/>
      <c r="AO25" s="2840"/>
      <c r="AP25" s="2840"/>
      <c r="AQ25" s="2840">
        <v>5112</v>
      </c>
      <c r="AR25" s="2840"/>
      <c r="AS25" s="2840"/>
      <c r="AT25" s="2840"/>
      <c r="AU25" s="2840"/>
      <c r="AV25" s="2840"/>
      <c r="AW25" s="2840"/>
      <c r="AX25" s="2840"/>
      <c r="AY25" s="2840"/>
      <c r="AZ25" s="2840"/>
      <c r="BA25" s="2840"/>
      <c r="BB25" s="2840">
        <v>6965.63</v>
      </c>
      <c r="BC25" s="2840"/>
      <c r="BD25" s="2840">
        <v>13859</v>
      </c>
      <c r="BE25" s="2840">
        <v>79033.851999999984</v>
      </c>
    </row>
    <row r="26" spans="3:57" hidden="1" thickBot="1" x14ac:dyDescent="0.35">
      <c r="C26" s="2713" t="s">
        <v>1700</v>
      </c>
      <c r="D26" s="2713"/>
      <c r="E26" s="2840">
        <v>0</v>
      </c>
      <c r="F26" s="2840"/>
      <c r="G26" s="2840">
        <v>0</v>
      </c>
      <c r="H26" s="2840"/>
      <c r="I26" s="2840"/>
      <c r="J26" s="2840"/>
      <c r="K26" s="2840">
        <v>0</v>
      </c>
      <c r="L26" s="2840"/>
      <c r="M26" s="2840"/>
      <c r="N26" s="2840"/>
      <c r="O26" s="2840">
        <v>0</v>
      </c>
      <c r="P26" s="2840"/>
      <c r="Q26" s="2840"/>
      <c r="R26" s="2840"/>
      <c r="S26" s="2840">
        <v>0</v>
      </c>
      <c r="T26" s="2840"/>
      <c r="U26" s="2840"/>
      <c r="V26" s="2840"/>
      <c r="W26" s="2840">
        <v>0</v>
      </c>
      <c r="X26" s="2840"/>
      <c r="Y26" s="2840"/>
      <c r="Z26" s="2840"/>
      <c r="AA26" s="2840"/>
      <c r="AB26" s="2840"/>
      <c r="AC26" s="4930">
        <v>0</v>
      </c>
      <c r="AD26" s="2840"/>
      <c r="AE26" s="2840"/>
      <c r="AF26" s="2840"/>
      <c r="AG26" s="2840">
        <v>0</v>
      </c>
      <c r="AH26" s="2840"/>
      <c r="AI26" s="2840"/>
      <c r="AJ26" s="2840"/>
      <c r="AK26" s="4930">
        <v>0</v>
      </c>
      <c r="AL26" s="2840"/>
      <c r="AM26" s="2840"/>
      <c r="AN26" s="2840"/>
      <c r="AO26" s="2840"/>
      <c r="AP26" s="2840"/>
      <c r="AQ26" s="2840">
        <v>0</v>
      </c>
      <c r="AR26" s="2840"/>
      <c r="AS26" s="2840"/>
      <c r="AT26" s="2840"/>
      <c r="AU26" s="2840"/>
      <c r="AV26" s="2840"/>
      <c r="AW26" s="2840"/>
      <c r="AX26" s="2840"/>
      <c r="AY26" s="2840"/>
      <c r="AZ26" s="2840"/>
      <c r="BA26" s="2840"/>
      <c r="BB26" s="2840">
        <v>1103.5080000000003</v>
      </c>
      <c r="BC26" s="2840"/>
      <c r="BD26" s="2840">
        <v>884</v>
      </c>
      <c r="BE26" s="2840">
        <v>1987.5080000000003</v>
      </c>
    </row>
    <row r="27" spans="3:57" hidden="1" thickBot="1" x14ac:dyDescent="0.35">
      <c r="C27" s="2713" t="s">
        <v>1701</v>
      </c>
      <c r="D27" s="2713"/>
      <c r="E27" s="2840">
        <v>0</v>
      </c>
      <c r="F27" s="2840"/>
      <c r="G27" s="2840">
        <v>0</v>
      </c>
      <c r="H27" s="2840"/>
      <c r="I27" s="2840"/>
      <c r="J27" s="2840"/>
      <c r="K27" s="2840">
        <v>0</v>
      </c>
      <c r="L27" s="2840"/>
      <c r="M27" s="2840"/>
      <c r="N27" s="2840"/>
      <c r="O27" s="2840">
        <v>0</v>
      </c>
      <c r="P27" s="2840"/>
      <c r="Q27" s="2840"/>
      <c r="R27" s="2840"/>
      <c r="S27" s="2840">
        <v>0</v>
      </c>
      <c r="T27" s="2840"/>
      <c r="U27" s="2840"/>
      <c r="V27" s="2840"/>
      <c r="W27" s="2840">
        <v>0</v>
      </c>
      <c r="X27" s="2840"/>
      <c r="Y27" s="2840"/>
      <c r="Z27" s="2840"/>
      <c r="AA27" s="2840"/>
      <c r="AB27" s="2840"/>
      <c r="AC27" s="4930">
        <v>0</v>
      </c>
      <c r="AD27" s="2840"/>
      <c r="AE27" s="2840"/>
      <c r="AF27" s="2840"/>
      <c r="AG27" s="2840">
        <v>0</v>
      </c>
      <c r="AH27" s="2840"/>
      <c r="AI27" s="2840"/>
      <c r="AJ27" s="2840"/>
      <c r="AK27" s="4930">
        <v>0</v>
      </c>
      <c r="AL27" s="2840"/>
      <c r="AM27" s="2840"/>
      <c r="AN27" s="2840"/>
      <c r="AO27" s="2840"/>
      <c r="AP27" s="2840"/>
      <c r="AQ27" s="2840">
        <v>0</v>
      </c>
      <c r="AR27" s="2840"/>
      <c r="AS27" s="2840"/>
      <c r="AT27" s="2840"/>
      <c r="AU27" s="2840"/>
      <c r="AV27" s="2840"/>
      <c r="AW27" s="2840"/>
      <c r="AX27" s="2840"/>
      <c r="AY27" s="2840"/>
      <c r="AZ27" s="2840"/>
      <c r="BA27" s="2840"/>
      <c r="BB27" s="2840">
        <v>613.06000000000006</v>
      </c>
      <c r="BC27" s="2840"/>
      <c r="BD27" s="2840">
        <v>0</v>
      </c>
      <c r="BE27" s="2840">
        <v>613.06000000000006</v>
      </c>
    </row>
    <row r="28" spans="3:57" hidden="1" thickBot="1" x14ac:dyDescent="0.35">
      <c r="C28" s="2713" t="s">
        <v>1416</v>
      </c>
      <c r="D28" s="2713"/>
      <c r="E28" s="2840">
        <v>137.995</v>
      </c>
      <c r="F28" s="2840"/>
      <c r="G28" s="2840">
        <v>365.15600000000001</v>
      </c>
      <c r="H28" s="2840"/>
      <c r="I28" s="2840"/>
      <c r="J28" s="2840"/>
      <c r="K28" s="2840">
        <v>0</v>
      </c>
      <c r="L28" s="2840"/>
      <c r="M28" s="2840"/>
      <c r="N28" s="2840"/>
      <c r="O28" s="2840">
        <v>271.74400000000003</v>
      </c>
      <c r="P28" s="2840"/>
      <c r="Q28" s="2840"/>
      <c r="R28" s="2840"/>
      <c r="S28" s="2840">
        <v>0</v>
      </c>
      <c r="T28" s="2840"/>
      <c r="U28" s="2840"/>
      <c r="V28" s="2840"/>
      <c r="W28" s="2840">
        <v>0</v>
      </c>
      <c r="X28" s="2840"/>
      <c r="Y28" s="2840"/>
      <c r="Z28" s="2840"/>
      <c r="AA28" s="2840"/>
      <c r="AB28" s="2840"/>
      <c r="AC28" s="4930">
        <v>0</v>
      </c>
      <c r="AD28" s="2840"/>
      <c r="AE28" s="2840"/>
      <c r="AF28" s="2840"/>
      <c r="AG28" s="2840">
        <v>0</v>
      </c>
      <c r="AH28" s="2840"/>
      <c r="AI28" s="2840"/>
      <c r="AJ28" s="2840"/>
      <c r="AK28" s="4930">
        <v>0</v>
      </c>
      <c r="AL28" s="2840"/>
      <c r="AM28" s="2840"/>
      <c r="AN28" s="2840"/>
      <c r="AO28" s="2840"/>
      <c r="AP28" s="2840"/>
      <c r="AQ28" s="2840">
        <v>0</v>
      </c>
      <c r="AR28" s="2840"/>
      <c r="AS28" s="2840"/>
      <c r="AT28" s="2840"/>
      <c r="AU28" s="2840"/>
      <c r="AV28" s="2840"/>
      <c r="AW28" s="2840"/>
      <c r="AX28" s="2840"/>
      <c r="AY28" s="2840"/>
      <c r="AZ28" s="2840"/>
      <c r="BA28" s="2840"/>
      <c r="BB28" s="2840">
        <v>112.042</v>
      </c>
      <c r="BC28" s="2840"/>
      <c r="BD28" s="2840">
        <v>146</v>
      </c>
      <c r="BE28" s="2840">
        <v>1032.9369999999999</v>
      </c>
    </row>
    <row r="29" spans="3:57" hidden="1" thickBot="1" x14ac:dyDescent="0.35">
      <c r="C29" s="2713" t="s">
        <v>1292</v>
      </c>
      <c r="D29" s="2713"/>
      <c r="E29" s="2840">
        <v>0</v>
      </c>
      <c r="F29" s="2840"/>
      <c r="G29" s="2840">
        <v>0</v>
      </c>
      <c r="H29" s="2840"/>
      <c r="I29" s="2840"/>
      <c r="J29" s="2840"/>
      <c r="K29" s="2840">
        <v>881.04499999999996</v>
      </c>
      <c r="L29" s="2840"/>
      <c r="M29" s="2840"/>
      <c r="N29" s="2840"/>
      <c r="O29" s="2840">
        <v>0</v>
      </c>
      <c r="P29" s="2840"/>
      <c r="Q29" s="2840"/>
      <c r="R29" s="2840"/>
      <c r="S29" s="2840">
        <v>0</v>
      </c>
      <c r="T29" s="2840"/>
      <c r="U29" s="2840"/>
      <c r="V29" s="2840"/>
      <c r="W29" s="2840">
        <v>0</v>
      </c>
      <c r="X29" s="2840"/>
      <c r="Y29" s="2840"/>
      <c r="Z29" s="2840"/>
      <c r="AA29" s="2840"/>
      <c r="AB29" s="2840"/>
      <c r="AC29" s="4930">
        <v>336.12599999999998</v>
      </c>
      <c r="AD29" s="2840"/>
      <c r="AE29" s="2840"/>
      <c r="AF29" s="2840"/>
      <c r="AG29" s="2840">
        <v>6202</v>
      </c>
      <c r="AH29" s="2840"/>
      <c r="AI29" s="2840"/>
      <c r="AJ29" s="2840"/>
      <c r="AK29" s="4930">
        <v>6896</v>
      </c>
      <c r="AL29" s="2840"/>
      <c r="AM29" s="2840"/>
      <c r="AN29" s="2840"/>
      <c r="AO29" s="2840"/>
      <c r="AP29" s="2840"/>
      <c r="AQ29" s="2840">
        <v>865</v>
      </c>
      <c r="AR29" s="2840"/>
      <c r="AS29" s="2840"/>
      <c r="AT29" s="2840"/>
      <c r="AU29" s="2840"/>
      <c r="AV29" s="2840"/>
      <c r="AW29" s="2840"/>
      <c r="AX29" s="2840"/>
      <c r="AY29" s="2840"/>
      <c r="AZ29" s="2840"/>
      <c r="BA29" s="2840"/>
      <c r="BB29" s="2840">
        <v>192.374</v>
      </c>
      <c r="BC29" s="2840"/>
      <c r="BD29" s="2840">
        <v>0</v>
      </c>
      <c r="BE29" s="2840">
        <v>15372.545</v>
      </c>
    </row>
    <row r="30" spans="3:57" hidden="1" thickBot="1" x14ac:dyDescent="0.35">
      <c r="C30" s="2713" t="s">
        <v>1417</v>
      </c>
      <c r="D30" s="2713"/>
      <c r="E30" s="2840">
        <v>1129.4360000000001</v>
      </c>
      <c r="F30" s="2840"/>
      <c r="G30" s="2840">
        <v>254.96</v>
      </c>
      <c r="H30" s="2840"/>
      <c r="I30" s="2840"/>
      <c r="J30" s="2840"/>
      <c r="K30" s="2840">
        <v>0</v>
      </c>
      <c r="L30" s="2840"/>
      <c r="M30" s="2840"/>
      <c r="N30" s="2840"/>
      <c r="O30" s="2840">
        <v>157.102</v>
      </c>
      <c r="P30" s="2840"/>
      <c r="Q30" s="2840"/>
      <c r="R30" s="2840"/>
      <c r="S30" s="2840">
        <v>350.92400000000004</v>
      </c>
      <c r="T30" s="2840"/>
      <c r="U30" s="2840"/>
      <c r="V30" s="2840"/>
      <c r="W30" s="2840">
        <v>454.51</v>
      </c>
      <c r="X30" s="2840"/>
      <c r="Y30" s="2840"/>
      <c r="Z30" s="2840"/>
      <c r="AA30" s="2840"/>
      <c r="AB30" s="2840"/>
      <c r="AC30" s="4930">
        <v>845.59999999999991</v>
      </c>
      <c r="AD30" s="2840"/>
      <c r="AE30" s="2840"/>
      <c r="AF30" s="2840"/>
      <c r="AG30" s="2840">
        <v>507</v>
      </c>
      <c r="AH30" s="2840"/>
      <c r="AI30" s="2840"/>
      <c r="AJ30" s="2840"/>
      <c r="AK30" s="4930">
        <v>875</v>
      </c>
      <c r="AL30" s="2840"/>
      <c r="AM30" s="2840"/>
      <c r="AN30" s="2840"/>
      <c r="AO30" s="2840"/>
      <c r="AP30" s="2840"/>
      <c r="AQ30" s="2840">
        <v>480</v>
      </c>
      <c r="AR30" s="2840"/>
      <c r="AS30" s="2840"/>
      <c r="AT30" s="2840"/>
      <c r="AU30" s="2840"/>
      <c r="AV30" s="2840"/>
      <c r="AW30" s="2840"/>
      <c r="AX30" s="2840"/>
      <c r="AY30" s="2840"/>
      <c r="AZ30" s="2840"/>
      <c r="BA30" s="2840"/>
      <c r="BB30" s="2840">
        <v>435.48399999999998</v>
      </c>
      <c r="BC30" s="2840"/>
      <c r="BD30" s="2840">
        <v>797</v>
      </c>
      <c r="BE30" s="2840">
        <v>6287.0160000000005</v>
      </c>
    </row>
    <row r="31" spans="3:57" hidden="1" thickBot="1" x14ac:dyDescent="0.35">
      <c r="C31" s="2713" t="s">
        <v>1418</v>
      </c>
      <c r="D31" s="2713"/>
      <c r="E31" s="2840">
        <v>0</v>
      </c>
      <c r="F31" s="2840"/>
      <c r="G31" s="2840">
        <v>0</v>
      </c>
      <c r="H31" s="2840"/>
      <c r="I31" s="2840"/>
      <c r="J31" s="2840"/>
      <c r="K31" s="2840">
        <v>99.781000000000006</v>
      </c>
      <c r="L31" s="2840"/>
      <c r="M31" s="2840"/>
      <c r="N31" s="2840"/>
      <c r="O31" s="2840">
        <v>0</v>
      </c>
      <c r="P31" s="2840"/>
      <c r="Q31" s="2840"/>
      <c r="R31" s="2840"/>
      <c r="S31" s="2840">
        <v>0</v>
      </c>
      <c r="T31" s="2840"/>
      <c r="U31" s="2840"/>
      <c r="V31" s="2840"/>
      <c r="W31" s="2840">
        <v>0</v>
      </c>
      <c r="X31" s="2840"/>
      <c r="Y31" s="2840"/>
      <c r="Z31" s="2840"/>
      <c r="AA31" s="2840"/>
      <c r="AB31" s="2840"/>
      <c r="AC31" s="4930">
        <v>0</v>
      </c>
      <c r="AD31" s="2840"/>
      <c r="AE31" s="2840"/>
      <c r="AF31" s="2840"/>
      <c r="AG31" s="2840">
        <v>0</v>
      </c>
      <c r="AH31" s="2840"/>
      <c r="AI31" s="2840"/>
      <c r="AJ31" s="2840"/>
      <c r="AK31" s="4930">
        <v>0</v>
      </c>
      <c r="AL31" s="2840"/>
      <c r="AM31" s="2840"/>
      <c r="AN31" s="2840"/>
      <c r="AO31" s="2840"/>
      <c r="AP31" s="2840"/>
      <c r="AQ31" s="2840">
        <v>0</v>
      </c>
      <c r="AR31" s="2840"/>
      <c r="AS31" s="2840"/>
      <c r="AT31" s="2840"/>
      <c r="AU31" s="2840"/>
      <c r="AV31" s="2840"/>
      <c r="AW31" s="2840"/>
      <c r="AX31" s="2840"/>
      <c r="AY31" s="2840"/>
      <c r="AZ31" s="2840"/>
      <c r="BA31" s="2840"/>
      <c r="BB31" s="2840">
        <v>0</v>
      </c>
      <c r="BC31" s="2840"/>
      <c r="BD31" s="2840">
        <v>0</v>
      </c>
      <c r="BE31" s="2840">
        <v>99.781000000000006</v>
      </c>
    </row>
    <row r="32" spans="3:57" hidden="1" thickBot="1" x14ac:dyDescent="0.35">
      <c r="C32" s="2713" t="s">
        <v>1419</v>
      </c>
      <c r="D32" s="2713"/>
      <c r="E32" s="2840">
        <v>1426.6559999999999</v>
      </c>
      <c r="F32" s="2840"/>
      <c r="G32" s="2840">
        <v>0</v>
      </c>
      <c r="H32" s="2840"/>
      <c r="I32" s="2840"/>
      <c r="J32" s="2840"/>
      <c r="K32" s="2840">
        <v>0</v>
      </c>
      <c r="L32" s="2840"/>
      <c r="M32" s="2840"/>
      <c r="N32" s="2840"/>
      <c r="O32" s="2840">
        <v>105.7</v>
      </c>
      <c r="P32" s="2840"/>
      <c r="Q32" s="2840"/>
      <c r="R32" s="2840"/>
      <c r="S32" s="2840">
        <v>0</v>
      </c>
      <c r="T32" s="2840"/>
      <c r="U32" s="2840"/>
      <c r="V32" s="2840"/>
      <c r="W32" s="2840">
        <v>103.586</v>
      </c>
      <c r="X32" s="2840"/>
      <c r="Y32" s="2840"/>
      <c r="Z32" s="2840"/>
      <c r="AA32" s="2840"/>
      <c r="AB32" s="2840"/>
      <c r="AC32" s="4930">
        <v>215.62799999999999</v>
      </c>
      <c r="AD32" s="2840"/>
      <c r="AE32" s="2840"/>
      <c r="AF32" s="2840"/>
      <c r="AG32" s="2840">
        <v>632</v>
      </c>
      <c r="AH32" s="2840"/>
      <c r="AI32" s="2840"/>
      <c r="AJ32" s="2840"/>
      <c r="AK32" s="4930">
        <v>696</v>
      </c>
      <c r="AL32" s="2840"/>
      <c r="AM32" s="2840"/>
      <c r="AN32" s="2840"/>
      <c r="AO32" s="2840"/>
      <c r="AP32" s="2840"/>
      <c r="AQ32" s="2840">
        <v>1723</v>
      </c>
      <c r="AR32" s="2840"/>
      <c r="AS32" s="2840"/>
      <c r="AT32" s="2840"/>
      <c r="AU32" s="2840"/>
      <c r="AV32" s="2840"/>
      <c r="AW32" s="2840"/>
      <c r="AX32" s="2840"/>
      <c r="AY32" s="2840"/>
      <c r="AZ32" s="2840"/>
      <c r="BA32" s="2840"/>
      <c r="BB32" s="2840">
        <v>450.28199999999998</v>
      </c>
      <c r="BC32" s="2840"/>
      <c r="BD32" s="2840">
        <v>708</v>
      </c>
      <c r="BE32" s="2840">
        <v>6060.8519999999999</v>
      </c>
    </row>
    <row r="33" spans="3:57" hidden="1" thickBot="1" x14ac:dyDescent="0.35">
      <c r="C33" s="2713" t="s">
        <v>1420</v>
      </c>
      <c r="D33" s="2713"/>
      <c r="E33" s="2840">
        <v>137.995</v>
      </c>
      <c r="F33" s="2840"/>
      <c r="G33" s="2840">
        <v>0</v>
      </c>
      <c r="H33" s="2840"/>
      <c r="I33" s="2840"/>
      <c r="J33" s="2840"/>
      <c r="K33" s="2840">
        <v>0</v>
      </c>
      <c r="L33" s="2840"/>
      <c r="M33" s="2840"/>
      <c r="N33" s="2840"/>
      <c r="O33" s="2840">
        <v>0</v>
      </c>
      <c r="P33" s="2840"/>
      <c r="Q33" s="2840"/>
      <c r="R33" s="2840"/>
      <c r="S33" s="2840">
        <v>0</v>
      </c>
      <c r="T33" s="2840"/>
      <c r="U33" s="2840"/>
      <c r="V33" s="2840"/>
      <c r="W33" s="2840">
        <v>0</v>
      </c>
      <c r="X33" s="2840"/>
      <c r="Y33" s="2840"/>
      <c r="Z33" s="2840"/>
      <c r="AA33" s="2840"/>
      <c r="AB33" s="2840"/>
      <c r="AC33" s="4930">
        <v>0</v>
      </c>
      <c r="AD33" s="2840"/>
      <c r="AE33" s="2840"/>
      <c r="AF33" s="2840"/>
      <c r="AG33" s="2840">
        <v>0</v>
      </c>
      <c r="AH33" s="2840"/>
      <c r="AI33" s="2840"/>
      <c r="AJ33" s="2840"/>
      <c r="AK33" s="4930">
        <v>0</v>
      </c>
      <c r="AL33" s="2840"/>
      <c r="AM33" s="2840"/>
      <c r="AN33" s="2840"/>
      <c r="AO33" s="2840"/>
      <c r="AP33" s="2840"/>
      <c r="AQ33" s="2840">
        <v>0</v>
      </c>
      <c r="AR33" s="2840"/>
      <c r="AS33" s="2840"/>
      <c r="AT33" s="2840"/>
      <c r="AU33" s="2840"/>
      <c r="AV33" s="2840"/>
      <c r="AW33" s="2840"/>
      <c r="AX33" s="2840"/>
      <c r="AY33" s="2840"/>
      <c r="AZ33" s="2840"/>
      <c r="BA33" s="2840"/>
      <c r="BB33" s="2840">
        <v>0</v>
      </c>
      <c r="BC33" s="2840"/>
      <c r="BD33" s="2840">
        <v>0</v>
      </c>
      <c r="BE33" s="2840">
        <v>137.995</v>
      </c>
    </row>
    <row r="34" spans="3:57" hidden="1" thickBot="1" x14ac:dyDescent="0.35">
      <c r="C34" s="2713" t="s">
        <v>1642</v>
      </c>
      <c r="D34" s="2713"/>
      <c r="E34" s="2840"/>
      <c r="F34" s="2840"/>
      <c r="G34" s="2840"/>
      <c r="H34" s="2840"/>
      <c r="I34" s="2840"/>
      <c r="J34" s="2840"/>
      <c r="K34" s="2840"/>
      <c r="L34" s="2840"/>
      <c r="M34" s="2840"/>
      <c r="N34" s="2840"/>
      <c r="O34" s="2840"/>
      <c r="P34" s="2840"/>
      <c r="Q34" s="2840"/>
      <c r="R34" s="2840"/>
      <c r="S34" s="2840"/>
      <c r="T34" s="2840"/>
      <c r="U34" s="2840"/>
      <c r="V34" s="2840"/>
      <c r="W34" s="2840"/>
      <c r="X34" s="2840"/>
      <c r="Y34" s="2840"/>
      <c r="Z34" s="2840"/>
      <c r="AA34" s="2840"/>
      <c r="AB34" s="2840"/>
      <c r="AC34" s="4930">
        <v>126.84</v>
      </c>
      <c r="AD34" s="2840"/>
      <c r="AE34" s="2840"/>
      <c r="AF34" s="2840"/>
      <c r="AG34" s="2840">
        <v>0</v>
      </c>
      <c r="AH34" s="2840"/>
      <c r="AI34" s="2840"/>
      <c r="AJ34" s="2840"/>
      <c r="AK34" s="4930">
        <v>0</v>
      </c>
      <c r="AL34" s="2840"/>
      <c r="AM34" s="2840"/>
      <c r="AN34" s="2840"/>
      <c r="AO34" s="2840"/>
      <c r="AP34" s="2840"/>
      <c r="AQ34" s="2840">
        <v>0</v>
      </c>
      <c r="AR34" s="2840"/>
      <c r="AS34" s="2840"/>
      <c r="AT34" s="2840"/>
      <c r="AU34" s="2840"/>
      <c r="AV34" s="2840"/>
      <c r="AW34" s="2840"/>
      <c r="AX34" s="2840"/>
      <c r="AY34" s="2840"/>
      <c r="AZ34" s="2840"/>
      <c r="BA34" s="2840"/>
      <c r="BB34" s="2840">
        <v>0</v>
      </c>
      <c r="BC34" s="2840"/>
      <c r="BD34" s="2840">
        <v>0</v>
      </c>
      <c r="BE34" s="2840">
        <v>126.84</v>
      </c>
    </row>
    <row r="35" spans="3:57" hidden="1" thickBot="1" x14ac:dyDescent="0.35">
      <c r="C35" s="2713" t="s">
        <v>1421</v>
      </c>
      <c r="D35" s="2713"/>
      <c r="E35" s="2840">
        <v>0</v>
      </c>
      <c r="F35" s="2840"/>
      <c r="G35" s="2840">
        <v>0</v>
      </c>
      <c r="H35" s="2840"/>
      <c r="I35" s="2840"/>
      <c r="J35" s="2840"/>
      <c r="K35" s="2840">
        <v>0</v>
      </c>
      <c r="L35" s="2840"/>
      <c r="M35" s="2840"/>
      <c r="N35" s="2840"/>
      <c r="O35" s="2840">
        <v>410.11599999999999</v>
      </c>
      <c r="P35" s="2840"/>
      <c r="Q35" s="2840"/>
      <c r="R35" s="2840"/>
      <c r="S35" s="2840">
        <v>0</v>
      </c>
      <c r="T35" s="2840"/>
      <c r="U35" s="2840"/>
      <c r="V35" s="2840"/>
      <c r="W35" s="2840">
        <v>0</v>
      </c>
      <c r="X35" s="2840"/>
      <c r="Y35" s="2840"/>
      <c r="Z35" s="2840"/>
      <c r="AA35" s="2840"/>
      <c r="AB35" s="2840"/>
      <c r="AC35" s="4930">
        <v>1018.9480000000001</v>
      </c>
      <c r="AD35" s="2840"/>
      <c r="AE35" s="2840"/>
      <c r="AF35" s="2840"/>
      <c r="AG35" s="2840">
        <v>112</v>
      </c>
      <c r="AH35" s="2840"/>
      <c r="AI35" s="2840"/>
      <c r="AJ35" s="2840"/>
      <c r="AK35" s="4930">
        <v>550</v>
      </c>
      <c r="AL35" s="2840"/>
      <c r="AM35" s="2840"/>
      <c r="AN35" s="2840"/>
      <c r="AO35" s="2840"/>
      <c r="AP35" s="2840"/>
      <c r="AQ35" s="2840">
        <v>683</v>
      </c>
      <c r="AR35" s="2840"/>
      <c r="AS35" s="2840"/>
      <c r="AT35" s="2840"/>
      <c r="AU35" s="2840"/>
      <c r="AV35" s="2840"/>
      <c r="AW35" s="2840"/>
      <c r="AX35" s="2840"/>
      <c r="AY35" s="2840"/>
      <c r="AZ35" s="2840"/>
      <c r="BA35" s="2840"/>
      <c r="BB35" s="2840">
        <v>272.70600000000002</v>
      </c>
      <c r="BC35" s="2840"/>
      <c r="BD35" s="2840">
        <v>575</v>
      </c>
      <c r="BE35" s="2840">
        <v>3621.7700000000004</v>
      </c>
    </row>
    <row r="36" spans="3:57" hidden="1" thickBot="1" x14ac:dyDescent="0.35">
      <c r="C36" s="2713" t="s">
        <v>1470</v>
      </c>
      <c r="D36" s="2713"/>
      <c r="E36" s="2840">
        <v>0</v>
      </c>
      <c r="F36" s="2840"/>
      <c r="G36" s="2840">
        <v>0</v>
      </c>
      <c r="H36" s="2840"/>
      <c r="I36" s="2840"/>
      <c r="J36" s="2840"/>
      <c r="K36" s="2840">
        <v>324.81900000000002</v>
      </c>
      <c r="L36" s="2840"/>
      <c r="M36" s="2840"/>
      <c r="N36" s="2840"/>
      <c r="O36" s="2840">
        <v>922.452</v>
      </c>
      <c r="P36" s="2840"/>
      <c r="Q36" s="2840"/>
      <c r="R36" s="2840"/>
      <c r="S36" s="2840">
        <v>1779.9879999999996</v>
      </c>
      <c r="T36" s="2840"/>
      <c r="U36" s="2840"/>
      <c r="V36" s="2840"/>
      <c r="W36" s="2840">
        <v>0</v>
      </c>
      <c r="X36" s="2840"/>
      <c r="Y36" s="2840"/>
      <c r="Z36" s="2840"/>
      <c r="AA36" s="2840"/>
      <c r="AB36" s="2840"/>
      <c r="AC36" s="4930">
        <v>317.09999999999997</v>
      </c>
      <c r="AD36" s="2840"/>
      <c r="AE36" s="2840"/>
      <c r="AF36" s="2840"/>
      <c r="AG36" s="2840">
        <v>2222</v>
      </c>
      <c r="AH36" s="2840"/>
      <c r="AI36" s="2840"/>
      <c r="AJ36" s="2840"/>
      <c r="AK36" s="4930">
        <v>0</v>
      </c>
      <c r="AL36" s="2840"/>
      <c r="AM36" s="2840"/>
      <c r="AN36" s="2840"/>
      <c r="AO36" s="2840"/>
      <c r="AP36" s="2840"/>
      <c r="AQ36" s="2840">
        <v>252</v>
      </c>
      <c r="AR36" s="2840"/>
      <c r="AS36" s="2840"/>
      <c r="AT36" s="2840"/>
      <c r="AU36" s="2840"/>
      <c r="AV36" s="2840"/>
      <c r="AW36" s="2840"/>
      <c r="AX36" s="2840"/>
      <c r="AY36" s="2840"/>
      <c r="AZ36" s="2840"/>
      <c r="BA36" s="2840"/>
      <c r="BB36" s="2840">
        <v>97.244</v>
      </c>
      <c r="BC36" s="2840"/>
      <c r="BD36" s="2840">
        <v>0</v>
      </c>
      <c r="BE36" s="2840">
        <v>5915.6029999999992</v>
      </c>
    </row>
    <row r="37" spans="3:57" hidden="1" thickBot="1" x14ac:dyDescent="0.35">
      <c r="C37" s="2713" t="s">
        <v>1422</v>
      </c>
      <c r="D37" s="2713"/>
      <c r="E37" s="2840">
        <v>592.31700000000001</v>
      </c>
      <c r="F37" s="2840"/>
      <c r="G37" s="2840">
        <v>0</v>
      </c>
      <c r="H37" s="2840"/>
      <c r="I37" s="2840"/>
      <c r="J37" s="2840"/>
      <c r="K37" s="2840">
        <v>0</v>
      </c>
      <c r="L37" s="2840"/>
      <c r="M37" s="2840"/>
      <c r="N37" s="2840"/>
      <c r="O37" s="2840">
        <v>0</v>
      </c>
      <c r="P37" s="2840"/>
      <c r="Q37" s="2840"/>
      <c r="R37" s="2840"/>
      <c r="S37" s="2840">
        <v>1306.4520000000002</v>
      </c>
      <c r="T37" s="2840"/>
      <c r="U37" s="2840"/>
      <c r="V37" s="2840"/>
      <c r="W37" s="2840">
        <v>0</v>
      </c>
      <c r="X37" s="2840"/>
      <c r="Y37" s="2840"/>
      <c r="Z37" s="2840"/>
      <c r="AA37" s="2840"/>
      <c r="AB37" s="2840"/>
      <c r="AC37" s="4930">
        <v>0</v>
      </c>
      <c r="AD37" s="2840"/>
      <c r="AE37" s="2840"/>
      <c r="AF37" s="2840"/>
      <c r="AG37" s="2840">
        <v>873</v>
      </c>
      <c r="AH37" s="2840"/>
      <c r="AI37" s="2840"/>
      <c r="AJ37" s="2840"/>
      <c r="AK37" s="4930">
        <v>0</v>
      </c>
      <c r="AL37" s="2840"/>
      <c r="AM37" s="2840"/>
      <c r="AN37" s="2840"/>
      <c r="AO37" s="2840"/>
      <c r="AP37" s="2840"/>
      <c r="AQ37" s="2840">
        <v>0</v>
      </c>
      <c r="AR37" s="2840"/>
      <c r="AS37" s="2840"/>
      <c r="AT37" s="2840"/>
      <c r="AU37" s="2840"/>
      <c r="AV37" s="2840"/>
      <c r="AW37" s="2840"/>
      <c r="AX37" s="2840"/>
      <c r="AY37" s="2840"/>
      <c r="AZ37" s="2840"/>
      <c r="BA37" s="2840"/>
      <c r="BB37" s="2840">
        <v>433.37</v>
      </c>
      <c r="BC37" s="2840"/>
      <c r="BD37" s="2840">
        <v>0</v>
      </c>
      <c r="BE37" s="2840">
        <v>3205.1390000000001</v>
      </c>
    </row>
    <row r="38" spans="3:57" hidden="1" thickBot="1" x14ac:dyDescent="0.35">
      <c r="C38" s="2713" t="s">
        <v>1423</v>
      </c>
      <c r="D38" s="2713"/>
      <c r="E38" s="2840">
        <v>420.35399999999998</v>
      </c>
      <c r="F38" s="2840"/>
      <c r="G38" s="2840">
        <v>0</v>
      </c>
      <c r="H38" s="2840"/>
      <c r="I38" s="2840"/>
      <c r="J38" s="2840"/>
      <c r="K38" s="2840">
        <v>0</v>
      </c>
      <c r="L38" s="2840"/>
      <c r="M38" s="2840"/>
      <c r="N38" s="2840"/>
      <c r="O38" s="2840">
        <v>0</v>
      </c>
      <c r="P38" s="2840"/>
      <c r="Q38" s="2840"/>
      <c r="R38" s="2840"/>
      <c r="S38" s="2840">
        <v>0</v>
      </c>
      <c r="T38" s="2840"/>
      <c r="U38" s="2840"/>
      <c r="V38" s="2840"/>
      <c r="W38" s="2840">
        <v>0</v>
      </c>
      <c r="X38" s="2840"/>
      <c r="Y38" s="2840"/>
      <c r="Z38" s="2840"/>
      <c r="AA38" s="2840"/>
      <c r="AB38" s="2840"/>
      <c r="AC38" s="4930">
        <v>0</v>
      </c>
      <c r="AD38" s="2840"/>
      <c r="AE38" s="2840"/>
      <c r="AF38" s="2840"/>
      <c r="AG38" s="2840">
        <v>0</v>
      </c>
      <c r="AH38" s="2840"/>
      <c r="AI38" s="2840"/>
      <c r="AJ38" s="2840"/>
      <c r="AK38" s="4930">
        <v>0</v>
      </c>
      <c r="AL38" s="2840"/>
      <c r="AM38" s="2840"/>
      <c r="AN38" s="2840"/>
      <c r="AO38" s="2840"/>
      <c r="AP38" s="2840"/>
      <c r="AQ38" s="2840">
        <v>0</v>
      </c>
      <c r="AR38" s="2840"/>
      <c r="AS38" s="2840"/>
      <c r="AT38" s="2840"/>
      <c r="AU38" s="2840"/>
      <c r="AV38" s="2840"/>
      <c r="AW38" s="2840"/>
      <c r="AX38" s="2840"/>
      <c r="AY38" s="2840"/>
      <c r="AZ38" s="2840"/>
      <c r="BA38" s="2840"/>
      <c r="BB38" s="2840">
        <v>363.608</v>
      </c>
      <c r="BC38" s="2840"/>
      <c r="BD38" s="2840">
        <v>0</v>
      </c>
      <c r="BE38" s="2840">
        <v>783.96199999999999</v>
      </c>
    </row>
    <row r="39" spans="3:57" hidden="1" thickBot="1" x14ac:dyDescent="0.35">
      <c r="C39" s="2713" t="s">
        <v>1714</v>
      </c>
      <c r="D39" s="2713"/>
      <c r="E39" s="2840">
        <v>0</v>
      </c>
      <c r="F39" s="2840"/>
      <c r="G39" s="2840">
        <v>0</v>
      </c>
      <c r="H39" s="2840"/>
      <c r="I39" s="2840"/>
      <c r="J39" s="2840"/>
      <c r="K39" s="2840">
        <v>0</v>
      </c>
      <c r="L39" s="2840"/>
      <c r="M39" s="2840"/>
      <c r="N39" s="2840"/>
      <c r="O39" s="2840">
        <v>0</v>
      </c>
      <c r="P39" s="2840"/>
      <c r="Q39" s="2840"/>
      <c r="R39" s="2840"/>
      <c r="S39" s="2840">
        <v>0</v>
      </c>
      <c r="T39" s="2840"/>
      <c r="U39" s="2840"/>
      <c r="V39" s="2840"/>
      <c r="W39" s="2840">
        <v>0</v>
      </c>
      <c r="X39" s="2840"/>
      <c r="Y39" s="2840"/>
      <c r="Z39" s="2840"/>
      <c r="AA39" s="2840"/>
      <c r="AB39" s="2840"/>
      <c r="AC39" s="4930">
        <v>0</v>
      </c>
      <c r="AD39" s="2840"/>
      <c r="AE39" s="2840"/>
      <c r="AF39" s="2840"/>
      <c r="AG39" s="2840">
        <v>0</v>
      </c>
      <c r="AH39" s="2840"/>
      <c r="AI39" s="2840"/>
      <c r="AJ39" s="2840"/>
      <c r="AK39" s="4930">
        <v>0</v>
      </c>
      <c r="AL39" s="2840"/>
      <c r="AM39" s="2840"/>
      <c r="AN39" s="2840"/>
      <c r="AO39" s="2840"/>
      <c r="AP39" s="2840"/>
      <c r="AQ39" s="2840">
        <v>0</v>
      </c>
      <c r="AR39" s="2840"/>
      <c r="AS39" s="2840"/>
      <c r="AT39" s="2840"/>
      <c r="AU39" s="2840"/>
      <c r="AV39" s="2840"/>
      <c r="AW39" s="2840"/>
      <c r="AX39" s="2840"/>
      <c r="AY39" s="2840"/>
      <c r="AZ39" s="2840"/>
      <c r="BA39" s="2840"/>
      <c r="BB39" s="2840">
        <v>0</v>
      </c>
      <c r="BC39" s="2840"/>
      <c r="BD39" s="2840">
        <v>541</v>
      </c>
      <c r="BE39" s="2840">
        <v>541</v>
      </c>
    </row>
    <row r="40" spans="3:57" hidden="1" thickBot="1" x14ac:dyDescent="0.35">
      <c r="C40" s="2713" t="s">
        <v>1715</v>
      </c>
      <c r="D40" s="2713"/>
      <c r="E40" s="2840">
        <v>0</v>
      </c>
      <c r="F40" s="2840"/>
      <c r="G40" s="2840">
        <v>0</v>
      </c>
      <c r="H40" s="2840"/>
      <c r="I40" s="2840"/>
      <c r="J40" s="2840"/>
      <c r="K40" s="2840">
        <v>0</v>
      </c>
      <c r="L40" s="2840"/>
      <c r="M40" s="2840"/>
      <c r="N40" s="2840"/>
      <c r="O40" s="2840">
        <v>0</v>
      </c>
      <c r="P40" s="2840"/>
      <c r="Q40" s="2840"/>
      <c r="R40" s="2840"/>
      <c r="S40" s="2840">
        <v>0</v>
      </c>
      <c r="T40" s="2840"/>
      <c r="U40" s="2840"/>
      <c r="V40" s="2840"/>
      <c r="W40" s="2840">
        <v>0</v>
      </c>
      <c r="X40" s="2840"/>
      <c r="Y40" s="2840"/>
      <c r="Z40" s="2840"/>
      <c r="AA40" s="2840"/>
      <c r="AB40" s="2840"/>
      <c r="AC40" s="4930">
        <v>0</v>
      </c>
      <c r="AD40" s="2840"/>
      <c r="AE40" s="2840"/>
      <c r="AF40" s="2840"/>
      <c r="AG40" s="2840">
        <v>0</v>
      </c>
      <c r="AH40" s="2840"/>
      <c r="AI40" s="2840"/>
      <c r="AJ40" s="2840"/>
      <c r="AK40" s="4930">
        <v>0</v>
      </c>
      <c r="AL40" s="2840"/>
      <c r="AM40" s="2840"/>
      <c r="AN40" s="2840"/>
      <c r="AO40" s="2840"/>
      <c r="AP40" s="2840"/>
      <c r="AQ40" s="2840">
        <v>0</v>
      </c>
      <c r="AR40" s="2840"/>
      <c r="AS40" s="2840"/>
      <c r="AT40" s="2840"/>
      <c r="AU40" s="2840"/>
      <c r="AV40" s="2840"/>
      <c r="AW40" s="2840"/>
      <c r="AX40" s="2840"/>
      <c r="AY40" s="2840"/>
      <c r="AZ40" s="2840"/>
      <c r="BA40" s="2840"/>
      <c r="BB40" s="2840">
        <v>0</v>
      </c>
      <c r="BC40" s="2840"/>
      <c r="BD40" s="2840">
        <v>264</v>
      </c>
      <c r="BE40" s="2840">
        <v>264</v>
      </c>
    </row>
    <row r="41" spans="3:57" hidden="1" thickBot="1" x14ac:dyDescent="0.35">
      <c r="C41" s="2713" t="s">
        <v>1654</v>
      </c>
      <c r="D41" s="2713"/>
      <c r="E41" s="2840">
        <v>0</v>
      </c>
      <c r="F41" s="2840"/>
      <c r="G41" s="2840">
        <v>0</v>
      </c>
      <c r="H41" s="2840"/>
      <c r="I41" s="2840"/>
      <c r="J41" s="2840"/>
      <c r="K41" s="2840">
        <v>0</v>
      </c>
      <c r="L41" s="2840"/>
      <c r="M41" s="2840"/>
      <c r="N41" s="2840"/>
      <c r="O41" s="2840">
        <v>0</v>
      </c>
      <c r="P41" s="2840"/>
      <c r="Q41" s="2840"/>
      <c r="R41" s="2840"/>
      <c r="S41" s="2840">
        <v>0</v>
      </c>
      <c r="T41" s="2840"/>
      <c r="U41" s="2840"/>
      <c r="V41" s="2840"/>
      <c r="W41" s="2840">
        <v>0</v>
      </c>
      <c r="X41" s="2840"/>
      <c r="Y41" s="2840"/>
      <c r="Z41" s="2840"/>
      <c r="AA41" s="2840"/>
      <c r="AB41" s="2840"/>
      <c r="AC41" s="4930">
        <v>0</v>
      </c>
      <c r="AD41" s="2840"/>
      <c r="AE41" s="2840"/>
      <c r="AF41" s="2840"/>
      <c r="AG41" s="2840">
        <v>1492</v>
      </c>
      <c r="AH41" s="2840"/>
      <c r="AI41" s="2840"/>
      <c r="AJ41" s="2840"/>
      <c r="AK41" s="4930">
        <v>0</v>
      </c>
      <c r="AL41" s="2840"/>
      <c r="AM41" s="2840"/>
      <c r="AN41" s="2840"/>
      <c r="AO41" s="2840"/>
      <c r="AP41" s="2840"/>
      <c r="AQ41" s="2840">
        <v>0</v>
      </c>
      <c r="AR41" s="2840"/>
      <c r="AS41" s="2840"/>
      <c r="AT41" s="2840"/>
      <c r="AU41" s="2840"/>
      <c r="AV41" s="2840"/>
      <c r="AW41" s="2840"/>
      <c r="AX41" s="2840"/>
      <c r="AY41" s="2840"/>
      <c r="AZ41" s="2840"/>
      <c r="BA41" s="2840"/>
      <c r="BB41" s="2840">
        <v>0</v>
      </c>
      <c r="BC41" s="2840"/>
      <c r="BD41" s="2840">
        <v>0</v>
      </c>
      <c r="BE41" s="2840">
        <v>1492</v>
      </c>
    </row>
    <row r="42" spans="3:57" hidden="1" thickBot="1" x14ac:dyDescent="0.35">
      <c r="C42" s="2713" t="s">
        <v>1424</v>
      </c>
      <c r="D42" s="2713"/>
      <c r="E42" s="2840">
        <v>1689.9079999999999</v>
      </c>
      <c r="F42" s="2840"/>
      <c r="G42" s="2840">
        <v>269.62099999999998</v>
      </c>
      <c r="H42" s="2840"/>
      <c r="I42" s="2840"/>
      <c r="J42" s="2840"/>
      <c r="K42" s="2840">
        <v>1195.249</v>
      </c>
      <c r="L42" s="2840"/>
      <c r="M42" s="2840"/>
      <c r="N42" s="2840"/>
      <c r="O42" s="2840">
        <v>3688.9300000000012</v>
      </c>
      <c r="P42" s="2840"/>
      <c r="Q42" s="2840"/>
      <c r="R42" s="2840"/>
      <c r="S42" s="2840">
        <v>1333.9340000000002</v>
      </c>
      <c r="T42" s="2840"/>
      <c r="U42" s="2840"/>
      <c r="V42" s="2840"/>
      <c r="W42" s="2840">
        <v>1067.5700000000002</v>
      </c>
      <c r="X42" s="2840"/>
      <c r="Y42" s="2840"/>
      <c r="Z42" s="2840"/>
      <c r="AA42" s="2840"/>
      <c r="AB42" s="2840"/>
      <c r="AC42" s="4930">
        <v>2101.3159999999998</v>
      </c>
      <c r="AD42" s="2840"/>
      <c r="AE42" s="2840"/>
      <c r="AF42" s="2840"/>
      <c r="AG42" s="2840">
        <v>0</v>
      </c>
      <c r="AH42" s="2840"/>
      <c r="AI42" s="2840"/>
      <c r="AJ42" s="2840"/>
      <c r="AK42" s="4930">
        <v>4697</v>
      </c>
      <c r="AL42" s="2840"/>
      <c r="AM42" s="2840"/>
      <c r="AN42" s="2840"/>
      <c r="AO42" s="2840"/>
      <c r="AP42" s="2840"/>
      <c r="AQ42" s="2840">
        <v>3232</v>
      </c>
      <c r="AR42" s="2840"/>
      <c r="AS42" s="2840"/>
      <c r="AT42" s="2840"/>
      <c r="AU42" s="2840"/>
      <c r="AV42" s="2840"/>
      <c r="AW42" s="2840"/>
      <c r="AX42" s="2840"/>
      <c r="AY42" s="2840"/>
      <c r="AZ42" s="2840"/>
      <c r="BA42" s="2840"/>
      <c r="BB42" s="2840">
        <v>4488.021999999999</v>
      </c>
      <c r="BC42" s="2840"/>
      <c r="BD42" s="2840">
        <v>2287</v>
      </c>
      <c r="BE42" s="2840">
        <v>26050.550000000003</v>
      </c>
    </row>
    <row r="43" spans="3:57" hidden="1" thickBot="1" x14ac:dyDescent="0.35">
      <c r="C43" s="2713" t="s">
        <v>1534</v>
      </c>
      <c r="D43" s="2713"/>
      <c r="E43" s="2840">
        <v>0</v>
      </c>
      <c r="F43" s="2840"/>
      <c r="G43" s="2840">
        <v>0</v>
      </c>
      <c r="H43" s="2840"/>
      <c r="I43" s="2840"/>
      <c r="J43" s="2840"/>
      <c r="K43" s="2840">
        <v>0</v>
      </c>
      <c r="L43" s="2840"/>
      <c r="M43" s="2840"/>
      <c r="N43" s="2840"/>
      <c r="O43" s="2840">
        <v>312.87199999999996</v>
      </c>
      <c r="P43" s="2840"/>
      <c r="Q43" s="2840"/>
      <c r="R43" s="2840"/>
      <c r="S43" s="2840">
        <v>0</v>
      </c>
      <c r="T43" s="2840"/>
      <c r="U43" s="2840"/>
      <c r="V43" s="2840"/>
      <c r="W43" s="2840">
        <v>131.06800000000001</v>
      </c>
      <c r="X43" s="2840"/>
      <c r="Y43" s="2840"/>
      <c r="Z43" s="2840"/>
      <c r="AA43" s="2840"/>
      <c r="AB43" s="2840"/>
      <c r="AC43" s="4930">
        <v>989.35199999999998</v>
      </c>
      <c r="AD43" s="2840"/>
      <c r="AE43" s="2840"/>
      <c r="AF43" s="2840"/>
      <c r="AG43" s="2840">
        <v>710</v>
      </c>
      <c r="AH43" s="2840"/>
      <c r="AI43" s="2840"/>
      <c r="AJ43" s="2840"/>
      <c r="AK43" s="4930">
        <v>0</v>
      </c>
      <c r="AL43" s="2840"/>
      <c r="AM43" s="2840"/>
      <c r="AN43" s="2840"/>
      <c r="AO43" s="2840"/>
      <c r="AP43" s="2840"/>
      <c r="AQ43" s="2840">
        <v>0</v>
      </c>
      <c r="AR43" s="2840"/>
      <c r="AS43" s="2840"/>
      <c r="AT43" s="2840"/>
      <c r="AU43" s="2840"/>
      <c r="AV43" s="2840"/>
      <c r="AW43" s="2840"/>
      <c r="AX43" s="2840"/>
      <c r="AY43" s="2840"/>
      <c r="AZ43" s="2840"/>
      <c r="BA43" s="2840"/>
      <c r="BB43" s="2840">
        <v>0</v>
      </c>
      <c r="BC43" s="2840"/>
      <c r="BD43" s="2840">
        <v>0</v>
      </c>
      <c r="BE43" s="2840">
        <v>2143.2919999999999</v>
      </c>
    </row>
    <row r="44" spans="3:57" hidden="1" thickBot="1" x14ac:dyDescent="0.35">
      <c r="C44" s="2713" t="s">
        <v>1256</v>
      </c>
      <c r="D44" s="2713"/>
      <c r="E44" s="2840">
        <v>0</v>
      </c>
      <c r="F44" s="2840"/>
      <c r="G44" s="2840">
        <v>0</v>
      </c>
      <c r="H44" s="2840"/>
      <c r="I44" s="2840"/>
      <c r="J44" s="2840"/>
      <c r="K44" s="2840">
        <v>0</v>
      </c>
      <c r="L44" s="2840"/>
      <c r="M44" s="2840"/>
      <c r="N44" s="2840"/>
      <c r="O44" s="2840">
        <v>0</v>
      </c>
      <c r="P44" s="2840"/>
      <c r="Q44" s="2840"/>
      <c r="R44" s="2840"/>
      <c r="S44" s="2840">
        <v>0</v>
      </c>
      <c r="T44" s="2840"/>
      <c r="U44" s="2840"/>
      <c r="V44" s="2840"/>
      <c r="W44" s="2840">
        <v>0</v>
      </c>
      <c r="X44" s="2840"/>
      <c r="Y44" s="2840"/>
      <c r="Z44" s="2840"/>
      <c r="AA44" s="2840"/>
      <c r="AB44" s="2840"/>
      <c r="AC44" s="4930">
        <v>1959.6780000000001</v>
      </c>
      <c r="AD44" s="2840"/>
      <c r="AE44" s="2840"/>
      <c r="AF44" s="2840"/>
      <c r="AG44" s="2840">
        <v>0</v>
      </c>
      <c r="AH44" s="2840"/>
      <c r="AI44" s="2840"/>
      <c r="AJ44" s="2840"/>
      <c r="AK44" s="4930">
        <v>397</v>
      </c>
      <c r="AL44" s="2840"/>
      <c r="AM44" s="2840"/>
      <c r="AN44" s="2840"/>
      <c r="AO44" s="2840"/>
      <c r="AP44" s="2840"/>
      <c r="AQ44" s="2840">
        <v>560</v>
      </c>
      <c r="AR44" s="2840"/>
      <c r="AS44" s="2840"/>
      <c r="AT44" s="2840"/>
      <c r="AU44" s="2840"/>
      <c r="AV44" s="2840"/>
      <c r="AW44" s="2840"/>
      <c r="AX44" s="2840"/>
      <c r="AY44" s="2840"/>
      <c r="AZ44" s="2840"/>
      <c r="BA44" s="2840"/>
      <c r="BB44" s="2840">
        <v>0</v>
      </c>
      <c r="BC44" s="2840"/>
      <c r="BD44" s="2840">
        <v>0</v>
      </c>
      <c r="BE44" s="2840">
        <v>2916.6779999999999</v>
      </c>
    </row>
    <row r="45" spans="3:57" hidden="1" thickBot="1" x14ac:dyDescent="0.35">
      <c r="C45" s="2713" t="s">
        <v>1290</v>
      </c>
      <c r="D45" s="2713"/>
      <c r="E45" s="2840">
        <v>2562.4609999999998</v>
      </c>
      <c r="F45" s="2840"/>
      <c r="G45" s="2840">
        <v>4063.422</v>
      </c>
      <c r="H45" s="2840"/>
      <c r="I45" s="2840"/>
      <c r="J45" s="2840"/>
      <c r="K45" s="2840">
        <v>8160.811999999999</v>
      </c>
      <c r="L45" s="2840"/>
      <c r="M45" s="2840"/>
      <c r="N45" s="2840"/>
      <c r="O45" s="2840">
        <v>5310.884</v>
      </c>
      <c r="P45" s="2840"/>
      <c r="Q45" s="2840"/>
      <c r="R45" s="2840"/>
      <c r="S45" s="2840">
        <v>6625.2760000000017</v>
      </c>
      <c r="T45" s="2840"/>
      <c r="U45" s="2840"/>
      <c r="V45" s="2840"/>
      <c r="W45" s="2840">
        <v>11633.342000000001</v>
      </c>
      <c r="X45" s="2840"/>
      <c r="Y45" s="2840"/>
      <c r="Z45" s="2840"/>
      <c r="AA45" s="2840"/>
      <c r="AB45" s="2840"/>
      <c r="AC45" s="4930">
        <v>5466.8040000000001</v>
      </c>
      <c r="AD45" s="2840"/>
      <c r="AE45" s="2840"/>
      <c r="AF45" s="2840"/>
      <c r="AG45" s="2840">
        <v>2664</v>
      </c>
      <c r="AH45" s="2840"/>
      <c r="AI45" s="2840"/>
      <c r="AJ45" s="2840"/>
      <c r="AK45" s="4930">
        <v>6374</v>
      </c>
      <c r="AL45" s="2840"/>
      <c r="AM45" s="2840"/>
      <c r="AN45" s="2840"/>
      <c r="AO45" s="2840"/>
      <c r="AP45" s="2840"/>
      <c r="AQ45" s="2840">
        <v>6621</v>
      </c>
      <c r="AR45" s="2840"/>
      <c r="AS45" s="2840"/>
      <c r="AT45" s="2840"/>
      <c r="AU45" s="2840"/>
      <c r="AV45" s="2840"/>
      <c r="AW45" s="2840"/>
      <c r="AX45" s="2840"/>
      <c r="AY45" s="2840"/>
      <c r="AZ45" s="2840"/>
      <c r="BA45" s="2840"/>
      <c r="BB45" s="2840">
        <v>2811.62</v>
      </c>
      <c r="BC45" s="2840"/>
      <c r="BD45" s="2840">
        <v>10003</v>
      </c>
      <c r="BE45" s="2840">
        <v>72296.621000000014</v>
      </c>
    </row>
    <row r="46" spans="3:57" hidden="1" thickBot="1" x14ac:dyDescent="0.35">
      <c r="C46" s="2713" t="s">
        <v>1210</v>
      </c>
      <c r="D46" s="2713"/>
      <c r="E46" s="2840">
        <v>9428.2430000000004</v>
      </c>
      <c r="F46" s="2840"/>
      <c r="G46" s="2840">
        <v>3657.9290000000001</v>
      </c>
      <c r="H46" s="2840"/>
      <c r="I46" s="2840"/>
      <c r="J46" s="2840"/>
      <c r="K46" s="2840">
        <v>5320.2379999999994</v>
      </c>
      <c r="L46" s="2840"/>
      <c r="M46" s="2840"/>
      <c r="N46" s="2840"/>
      <c r="O46" s="2840">
        <v>7259.8770000000004</v>
      </c>
      <c r="P46" s="2840"/>
      <c r="Q46" s="2840"/>
      <c r="R46" s="2840"/>
      <c r="S46" s="2840">
        <v>8713.9079999999976</v>
      </c>
      <c r="T46" s="2840"/>
      <c r="U46" s="2840"/>
      <c r="V46" s="2840"/>
      <c r="W46" s="2840">
        <v>4633.8880000000008</v>
      </c>
      <c r="X46" s="2840"/>
      <c r="Y46" s="2840"/>
      <c r="Z46" s="2840"/>
      <c r="AA46" s="2840"/>
      <c r="AB46" s="2840"/>
      <c r="AC46" s="4930">
        <v>9367.1339999999982</v>
      </c>
      <c r="AD46" s="2840"/>
      <c r="AE46" s="2840"/>
      <c r="AF46" s="2840"/>
      <c r="AG46" s="2840">
        <v>7078</v>
      </c>
      <c r="AH46" s="2840"/>
      <c r="AI46" s="2840"/>
      <c r="AJ46" s="2840"/>
      <c r="AK46" s="4930">
        <v>13468.4</v>
      </c>
      <c r="AL46" s="2840"/>
      <c r="AM46" s="2840"/>
      <c r="AN46" s="2840"/>
      <c r="AO46" s="2840"/>
      <c r="AP46" s="2840"/>
      <c r="AQ46" s="2840">
        <v>11435</v>
      </c>
      <c r="AR46" s="2840"/>
      <c r="AS46" s="2840"/>
      <c r="AT46" s="2840"/>
      <c r="AU46" s="2840"/>
      <c r="AV46" s="2840"/>
      <c r="AW46" s="2840"/>
      <c r="AX46" s="2840"/>
      <c r="AY46" s="2840"/>
      <c r="AZ46" s="2840"/>
      <c r="BA46" s="2840"/>
      <c r="BB46" s="2840">
        <v>11007.597999999994</v>
      </c>
      <c r="BC46" s="2840"/>
      <c r="BD46" s="2840">
        <v>12682</v>
      </c>
      <c r="BE46" s="2840">
        <v>104052.215</v>
      </c>
    </row>
    <row r="47" spans="3:57" hidden="1" thickBot="1" x14ac:dyDescent="0.35">
      <c r="C47" s="2713" t="s">
        <v>1267</v>
      </c>
      <c r="D47" s="2713"/>
      <c r="E47" s="2840">
        <v>0</v>
      </c>
      <c r="F47" s="2840"/>
      <c r="G47" s="2840">
        <v>0</v>
      </c>
      <c r="H47" s="2840"/>
      <c r="I47" s="2840"/>
      <c r="J47" s="2840"/>
      <c r="K47" s="2840">
        <v>713.32800000000009</v>
      </c>
      <c r="L47" s="2840"/>
      <c r="M47" s="2840"/>
      <c r="N47" s="2840"/>
      <c r="O47" s="2840">
        <v>0</v>
      </c>
      <c r="P47" s="2840"/>
      <c r="Q47" s="2840"/>
      <c r="R47" s="2840"/>
      <c r="S47" s="2840">
        <v>0</v>
      </c>
      <c r="T47" s="2840"/>
      <c r="U47" s="2840"/>
      <c r="V47" s="2840"/>
      <c r="W47" s="2840">
        <v>0</v>
      </c>
      <c r="X47" s="2840"/>
      <c r="Y47" s="2840"/>
      <c r="Z47" s="2840"/>
      <c r="AA47" s="2840"/>
      <c r="AB47" s="2840"/>
      <c r="AC47" s="4930">
        <v>0</v>
      </c>
      <c r="AD47" s="2840"/>
      <c r="AE47" s="2840"/>
      <c r="AF47" s="2840"/>
      <c r="AG47" s="2840">
        <v>0</v>
      </c>
      <c r="AH47" s="2840"/>
      <c r="AI47" s="2840"/>
      <c r="AJ47" s="2840"/>
      <c r="AK47" s="4930">
        <v>0</v>
      </c>
      <c r="AL47" s="2840"/>
      <c r="AM47" s="2840"/>
      <c r="AN47" s="2840"/>
      <c r="AO47" s="2840"/>
      <c r="AP47" s="2840"/>
      <c r="AQ47" s="2840">
        <v>0</v>
      </c>
      <c r="AR47" s="2840"/>
      <c r="AS47" s="2840"/>
      <c r="AT47" s="2840"/>
      <c r="AU47" s="2840"/>
      <c r="AV47" s="2840"/>
      <c r="AW47" s="2840"/>
      <c r="AX47" s="2840"/>
      <c r="AY47" s="2840"/>
      <c r="AZ47" s="2840"/>
      <c r="BA47" s="2840"/>
      <c r="BB47" s="2840">
        <v>0</v>
      </c>
      <c r="BC47" s="2840"/>
      <c r="BD47" s="2840">
        <v>0</v>
      </c>
      <c r="BE47" s="2840">
        <v>713.32800000000009</v>
      </c>
    </row>
    <row r="48" spans="3:57" hidden="1" thickBot="1" x14ac:dyDescent="0.35">
      <c r="C48" s="2713" t="s">
        <v>1211</v>
      </c>
      <c r="D48" s="2713"/>
      <c r="E48" s="2840">
        <v>600.80900000000008</v>
      </c>
      <c r="F48" s="2840"/>
      <c r="G48" s="2840">
        <v>101.904</v>
      </c>
      <c r="H48" s="2840"/>
      <c r="I48" s="2840"/>
      <c r="J48" s="2840"/>
      <c r="K48" s="2840">
        <v>0</v>
      </c>
      <c r="L48" s="2840"/>
      <c r="M48" s="2840"/>
      <c r="N48" s="2840"/>
      <c r="O48" s="2840">
        <v>0</v>
      </c>
      <c r="P48" s="2840"/>
      <c r="Q48" s="2840"/>
      <c r="R48" s="2840"/>
      <c r="S48" s="2840">
        <v>293.846</v>
      </c>
      <c r="T48" s="2840"/>
      <c r="U48" s="2840"/>
      <c r="V48" s="2840"/>
      <c r="W48" s="2840">
        <v>441.82599999999996</v>
      </c>
      <c r="X48" s="2840"/>
      <c r="Y48" s="2840"/>
      <c r="Z48" s="2840"/>
      <c r="AA48" s="2840"/>
      <c r="AB48" s="2840"/>
      <c r="AC48" s="4930">
        <v>217.74199999999999</v>
      </c>
      <c r="AD48" s="2840"/>
      <c r="AE48" s="2840"/>
      <c r="AF48" s="2840"/>
      <c r="AG48" s="2840">
        <v>2763</v>
      </c>
      <c r="AH48" s="2840"/>
      <c r="AI48" s="2840"/>
      <c r="AJ48" s="2840"/>
      <c r="AK48" s="4930">
        <v>0</v>
      </c>
      <c r="AL48" s="2840"/>
      <c r="AM48" s="2840"/>
      <c r="AN48" s="2840"/>
      <c r="AO48" s="2840"/>
      <c r="AP48" s="2840"/>
      <c r="AQ48" s="2840">
        <v>0</v>
      </c>
      <c r="AR48" s="2840"/>
      <c r="AS48" s="2840"/>
      <c r="AT48" s="2840"/>
      <c r="AU48" s="2840"/>
      <c r="AV48" s="2840"/>
      <c r="AW48" s="2840"/>
      <c r="AX48" s="2840"/>
      <c r="AY48" s="2840"/>
      <c r="AZ48" s="2840"/>
      <c r="BA48" s="2840"/>
      <c r="BB48" s="2840">
        <v>213.51400000000001</v>
      </c>
      <c r="BC48" s="2840"/>
      <c r="BD48" s="2840">
        <v>0</v>
      </c>
      <c r="BE48" s="2840">
        <v>4632.6410000000005</v>
      </c>
    </row>
    <row r="49" spans="3:57" hidden="1" thickBot="1" x14ac:dyDescent="0.35">
      <c r="C49" s="2713" t="s">
        <v>1425</v>
      </c>
      <c r="D49" s="2713"/>
      <c r="E49" s="2840">
        <v>721.81999999999994</v>
      </c>
      <c r="F49" s="2840"/>
      <c r="G49" s="2840">
        <v>588.07100000000003</v>
      </c>
      <c r="H49" s="2840"/>
      <c r="I49" s="2840"/>
      <c r="J49" s="2840"/>
      <c r="K49" s="2840">
        <v>1180.3880000000001</v>
      </c>
      <c r="L49" s="2840"/>
      <c r="M49" s="2840"/>
      <c r="N49" s="2840"/>
      <c r="O49" s="2840">
        <v>568.66599999999994</v>
      </c>
      <c r="P49" s="2840"/>
      <c r="Q49" s="2840"/>
      <c r="R49" s="2840"/>
      <c r="S49" s="2840">
        <v>0</v>
      </c>
      <c r="T49" s="2840"/>
      <c r="U49" s="2840"/>
      <c r="V49" s="2840"/>
      <c r="W49" s="2840">
        <v>0</v>
      </c>
      <c r="X49" s="2840"/>
      <c r="Y49" s="2840"/>
      <c r="Z49" s="2840"/>
      <c r="AA49" s="2840"/>
      <c r="AB49" s="2840"/>
      <c r="AC49" s="4930">
        <v>124.726</v>
      </c>
      <c r="AD49" s="2840"/>
      <c r="AE49" s="2840"/>
      <c r="AF49" s="2840"/>
      <c r="AG49" s="2840">
        <v>0</v>
      </c>
      <c r="AH49" s="2840"/>
      <c r="AI49" s="2840"/>
      <c r="AJ49" s="2840"/>
      <c r="AK49" s="4930">
        <v>0</v>
      </c>
      <c r="AL49" s="2840"/>
      <c r="AM49" s="2840"/>
      <c r="AN49" s="2840"/>
      <c r="AO49" s="2840"/>
      <c r="AP49" s="2840"/>
      <c r="AQ49" s="2840">
        <v>0</v>
      </c>
      <c r="AR49" s="2840"/>
      <c r="AS49" s="2840"/>
      <c r="AT49" s="2840"/>
      <c r="AU49" s="2840"/>
      <c r="AV49" s="2840"/>
      <c r="AW49" s="2840"/>
      <c r="AX49" s="2840"/>
      <c r="AY49" s="2840"/>
      <c r="AZ49" s="2840"/>
      <c r="BA49" s="2840"/>
      <c r="BB49" s="2840">
        <v>566.55200000000002</v>
      </c>
      <c r="BC49" s="2840"/>
      <c r="BD49" s="2840">
        <v>0</v>
      </c>
      <c r="BE49" s="2840">
        <v>3750.2230000000009</v>
      </c>
    </row>
    <row r="50" spans="3:57" hidden="1" thickBot="1" x14ac:dyDescent="0.35">
      <c r="C50" s="2713" t="s">
        <v>1426</v>
      </c>
      <c r="D50" s="2713"/>
      <c r="E50" s="2840">
        <v>0</v>
      </c>
      <c r="F50" s="2840"/>
      <c r="G50" s="2840">
        <v>0</v>
      </c>
      <c r="H50" s="2840"/>
      <c r="I50" s="2840"/>
      <c r="J50" s="2840"/>
      <c r="K50" s="2840">
        <v>0</v>
      </c>
      <c r="L50" s="2840"/>
      <c r="M50" s="2840"/>
      <c r="N50" s="2840"/>
      <c r="O50" s="2840">
        <v>0</v>
      </c>
      <c r="P50" s="2840"/>
      <c r="Q50" s="2840"/>
      <c r="R50" s="2840"/>
      <c r="S50" s="2840">
        <v>99.358000000000004</v>
      </c>
      <c r="T50" s="2840"/>
      <c r="U50" s="2840"/>
      <c r="V50" s="2840"/>
      <c r="W50" s="2840">
        <v>298.07399999999996</v>
      </c>
      <c r="X50" s="2840"/>
      <c r="Y50" s="2840"/>
      <c r="Z50" s="2840"/>
      <c r="AA50" s="2840"/>
      <c r="AB50" s="2840"/>
      <c r="AC50" s="4930">
        <v>0</v>
      </c>
      <c r="AD50" s="2840"/>
      <c r="AE50" s="2840"/>
      <c r="AF50" s="2840"/>
      <c r="AG50" s="2840">
        <v>0</v>
      </c>
      <c r="AH50" s="2840"/>
      <c r="AI50" s="2840"/>
      <c r="AJ50" s="2840"/>
      <c r="AK50" s="4930">
        <v>0</v>
      </c>
      <c r="AL50" s="2840"/>
      <c r="AM50" s="2840"/>
      <c r="AN50" s="2840"/>
      <c r="AO50" s="2840"/>
      <c r="AP50" s="2840"/>
      <c r="AQ50" s="2840">
        <v>0</v>
      </c>
      <c r="AR50" s="2840"/>
      <c r="AS50" s="2840"/>
      <c r="AT50" s="2840"/>
      <c r="AU50" s="2840"/>
      <c r="AV50" s="2840"/>
      <c r="AW50" s="2840"/>
      <c r="AX50" s="2840"/>
      <c r="AY50" s="2840"/>
      <c r="AZ50" s="2840"/>
      <c r="BA50" s="2840"/>
      <c r="BB50" s="2840">
        <v>120.498</v>
      </c>
      <c r="BC50" s="2840"/>
      <c r="BD50" s="2840">
        <v>0</v>
      </c>
      <c r="BE50" s="2840">
        <v>517.92999999999995</v>
      </c>
    </row>
    <row r="51" spans="3:57" hidden="1" thickBot="1" x14ac:dyDescent="0.35">
      <c r="C51" s="2713" t="s">
        <v>1427</v>
      </c>
      <c r="D51" s="2713"/>
      <c r="E51" s="2840">
        <v>630.53099999999995</v>
      </c>
      <c r="F51" s="2840"/>
      <c r="G51" s="2840">
        <v>0</v>
      </c>
      <c r="H51" s="2840"/>
      <c r="I51" s="2840"/>
      <c r="J51" s="2840"/>
      <c r="K51" s="2840">
        <v>0</v>
      </c>
      <c r="L51" s="2840"/>
      <c r="M51" s="2840"/>
      <c r="N51" s="2840"/>
      <c r="O51" s="2840">
        <v>913.24800000000005</v>
      </c>
      <c r="P51" s="2840"/>
      <c r="Q51" s="2840"/>
      <c r="R51" s="2840"/>
      <c r="S51" s="2840">
        <v>587.69200000000012</v>
      </c>
      <c r="T51" s="2840"/>
      <c r="U51" s="2840"/>
      <c r="V51" s="2840"/>
      <c r="W51" s="2840">
        <v>1143.674</v>
      </c>
      <c r="X51" s="2840"/>
      <c r="Y51" s="2840"/>
      <c r="Z51" s="2840"/>
      <c r="AA51" s="2840"/>
      <c r="AB51" s="2840"/>
      <c r="AC51" s="4930">
        <v>0</v>
      </c>
      <c r="AD51" s="2840"/>
      <c r="AE51" s="2840"/>
      <c r="AF51" s="2840"/>
      <c r="AG51" s="2840">
        <v>127</v>
      </c>
      <c r="AH51" s="2840"/>
      <c r="AI51" s="2840"/>
      <c r="AJ51" s="2840"/>
      <c r="AK51" s="4930">
        <v>0</v>
      </c>
      <c r="AL51" s="2840"/>
      <c r="AM51" s="2840"/>
      <c r="AN51" s="2840"/>
      <c r="AO51" s="2840"/>
      <c r="AP51" s="2840"/>
      <c r="AQ51" s="2840">
        <v>0</v>
      </c>
      <c r="AR51" s="2840"/>
      <c r="AS51" s="2840"/>
      <c r="AT51" s="2840"/>
      <c r="AU51" s="2840"/>
      <c r="AV51" s="2840"/>
      <c r="AW51" s="2840"/>
      <c r="AX51" s="2840"/>
      <c r="AY51" s="2840"/>
      <c r="AZ51" s="2840"/>
      <c r="BA51" s="2840"/>
      <c r="BB51" s="2840">
        <v>255.79400000000001</v>
      </c>
      <c r="BC51" s="2840"/>
      <c r="BD51" s="2840">
        <v>345</v>
      </c>
      <c r="BE51" s="2840">
        <v>4002.9389999999999</v>
      </c>
    </row>
    <row r="52" spans="3:57" hidden="1" thickBot="1" x14ac:dyDescent="0.35">
      <c r="C52" s="2713" t="s">
        <v>1428</v>
      </c>
      <c r="D52" s="2713"/>
      <c r="E52" s="2840">
        <v>2897.8950000000004</v>
      </c>
      <c r="F52" s="2840"/>
      <c r="G52" s="2840">
        <v>2766.2690000000007</v>
      </c>
      <c r="H52" s="2840"/>
      <c r="I52" s="2840"/>
      <c r="J52" s="2840"/>
      <c r="K52" s="2840">
        <v>3146.2860000000001</v>
      </c>
      <c r="L52" s="2840"/>
      <c r="M52" s="2840"/>
      <c r="N52" s="2840"/>
      <c r="O52" s="2840">
        <v>3143.5219999999999</v>
      </c>
      <c r="P52" s="2840"/>
      <c r="Q52" s="2840"/>
      <c r="R52" s="2840"/>
      <c r="S52" s="2840">
        <v>0</v>
      </c>
      <c r="T52" s="2840"/>
      <c r="U52" s="2840"/>
      <c r="V52" s="2840"/>
      <c r="W52" s="2840">
        <v>0</v>
      </c>
      <c r="X52" s="2840"/>
      <c r="Y52" s="2840"/>
      <c r="Z52" s="2840"/>
      <c r="AA52" s="2840"/>
      <c r="AB52" s="2840"/>
      <c r="AC52" s="4930">
        <v>1268.4000000000001</v>
      </c>
      <c r="AD52" s="2840"/>
      <c r="AE52" s="2840"/>
      <c r="AF52" s="2840"/>
      <c r="AG52" s="2840">
        <v>1222</v>
      </c>
      <c r="AH52" s="2840"/>
      <c r="AI52" s="2840"/>
      <c r="AJ52" s="2840"/>
      <c r="AK52" s="4930">
        <v>0</v>
      </c>
      <c r="AL52" s="2840"/>
      <c r="AM52" s="2840"/>
      <c r="AN52" s="2840"/>
      <c r="AO52" s="2840"/>
      <c r="AP52" s="2840"/>
      <c r="AQ52" s="2840">
        <v>871</v>
      </c>
      <c r="AR52" s="2840"/>
      <c r="AS52" s="2840"/>
      <c r="AT52" s="2840"/>
      <c r="AU52" s="2840"/>
      <c r="AV52" s="2840"/>
      <c r="AW52" s="2840"/>
      <c r="AX52" s="2840"/>
      <c r="AY52" s="2840"/>
      <c r="AZ52" s="2840"/>
      <c r="BA52" s="2840"/>
      <c r="BB52" s="2840">
        <v>536.95600000000002</v>
      </c>
      <c r="BC52" s="2840"/>
      <c r="BD52" s="2840">
        <v>0</v>
      </c>
      <c r="BE52" s="2840">
        <v>15852.328000000001</v>
      </c>
    </row>
    <row r="53" spans="3:57" hidden="1" thickBot="1" x14ac:dyDescent="0.35">
      <c r="C53" s="2713" t="s">
        <v>1429</v>
      </c>
      <c r="D53" s="2713"/>
      <c r="E53" s="2840">
        <v>3662.1749999999997</v>
      </c>
      <c r="F53" s="2840"/>
      <c r="G53" s="2840">
        <v>10029.052</v>
      </c>
      <c r="H53" s="2840"/>
      <c r="I53" s="2840"/>
      <c r="J53" s="2840"/>
      <c r="K53" s="2840">
        <v>3953.0259999999998</v>
      </c>
      <c r="L53" s="2840"/>
      <c r="M53" s="2840"/>
      <c r="N53" s="2840"/>
      <c r="O53" s="2840">
        <v>2753.7340000000008</v>
      </c>
      <c r="P53" s="2840"/>
      <c r="Q53" s="2840"/>
      <c r="R53" s="2840"/>
      <c r="S53" s="2840">
        <v>6862.0440000000008</v>
      </c>
      <c r="T53" s="2840"/>
      <c r="U53" s="2840"/>
      <c r="V53" s="2840"/>
      <c r="W53" s="2840">
        <v>2955.3719999999998</v>
      </c>
      <c r="X53" s="2840"/>
      <c r="Y53" s="2840"/>
      <c r="Z53" s="2840"/>
      <c r="AA53" s="2840"/>
      <c r="AB53" s="2840"/>
      <c r="AC53" s="4930">
        <v>2782.0240000000003</v>
      </c>
      <c r="AD53" s="2840"/>
      <c r="AE53" s="2840"/>
      <c r="AF53" s="2840"/>
      <c r="AG53" s="2840">
        <v>4401</v>
      </c>
      <c r="AH53" s="2840"/>
      <c r="AI53" s="2840"/>
      <c r="AJ53" s="2840"/>
      <c r="AK53" s="4930">
        <v>8596.4</v>
      </c>
      <c r="AL53" s="2840"/>
      <c r="AM53" s="2840"/>
      <c r="AN53" s="2840"/>
      <c r="AO53" s="2840"/>
      <c r="AP53" s="2840"/>
      <c r="AQ53" s="2840">
        <v>4232</v>
      </c>
      <c r="AR53" s="2840"/>
      <c r="AS53" s="2840"/>
      <c r="AT53" s="2840"/>
      <c r="AU53" s="2840"/>
      <c r="AV53" s="2840"/>
      <c r="AW53" s="2840"/>
      <c r="AX53" s="2840"/>
      <c r="AY53" s="2840"/>
      <c r="AZ53" s="2840"/>
      <c r="BA53" s="2840"/>
      <c r="BB53" s="2840">
        <v>2638.2720000000004</v>
      </c>
      <c r="BC53" s="2840"/>
      <c r="BD53" s="2840">
        <v>4040</v>
      </c>
      <c r="BE53" s="2840">
        <v>56905.098999999995</v>
      </c>
    </row>
    <row r="54" spans="3:57" hidden="1" thickBot="1" x14ac:dyDescent="0.35">
      <c r="C54" s="2713" t="s">
        <v>1430</v>
      </c>
      <c r="D54" s="2713"/>
      <c r="E54" s="2840">
        <v>1494.5920000000001</v>
      </c>
      <c r="F54" s="2840"/>
      <c r="G54" s="2840">
        <v>0</v>
      </c>
      <c r="H54" s="2840"/>
      <c r="I54" s="2840"/>
      <c r="J54" s="2840"/>
      <c r="K54" s="2840">
        <v>0</v>
      </c>
      <c r="L54" s="2840"/>
      <c r="M54" s="2840"/>
      <c r="N54" s="2840"/>
      <c r="O54" s="2840">
        <v>0</v>
      </c>
      <c r="P54" s="2840"/>
      <c r="Q54" s="2840"/>
      <c r="R54" s="2840"/>
      <c r="S54" s="2840">
        <v>0</v>
      </c>
      <c r="T54" s="2840"/>
      <c r="U54" s="2840"/>
      <c r="V54" s="2840"/>
      <c r="W54" s="2840">
        <v>0</v>
      </c>
      <c r="X54" s="2840"/>
      <c r="Y54" s="2840"/>
      <c r="Z54" s="2840"/>
      <c r="AA54" s="2840"/>
      <c r="AB54" s="2840"/>
      <c r="AC54" s="4930">
        <v>0</v>
      </c>
      <c r="AD54" s="2840"/>
      <c r="AE54" s="2840"/>
      <c r="AF54" s="2840"/>
      <c r="AG54" s="2840">
        <v>693</v>
      </c>
      <c r="AH54" s="2840"/>
      <c r="AI54" s="2840"/>
      <c r="AJ54" s="2840"/>
      <c r="AK54" s="4930">
        <v>3097</v>
      </c>
      <c r="AL54" s="2840"/>
      <c r="AM54" s="2840"/>
      <c r="AN54" s="2840"/>
      <c r="AO54" s="2840"/>
      <c r="AP54" s="2840"/>
      <c r="AQ54" s="2840">
        <v>581</v>
      </c>
      <c r="AR54" s="2840"/>
      <c r="AS54" s="2840"/>
      <c r="AT54" s="2840"/>
      <c r="AU54" s="2840"/>
      <c r="AV54" s="2840"/>
      <c r="AW54" s="2840"/>
      <c r="AX54" s="2840"/>
      <c r="AY54" s="2840"/>
      <c r="AZ54" s="2840"/>
      <c r="BA54" s="2840"/>
      <c r="BB54" s="2840">
        <v>731.44400000000007</v>
      </c>
      <c r="BC54" s="2840"/>
      <c r="BD54" s="2840">
        <v>0</v>
      </c>
      <c r="BE54" s="2840">
        <v>6597.036000000001</v>
      </c>
    </row>
    <row r="55" spans="3:57" hidden="1" thickBot="1" x14ac:dyDescent="0.35">
      <c r="C55" s="2713" t="s">
        <v>1409</v>
      </c>
      <c r="D55" s="2713"/>
      <c r="E55" s="2840">
        <v>13151.984999999999</v>
      </c>
      <c r="F55" s="2840"/>
      <c r="G55" s="2840">
        <v>15759.029</v>
      </c>
      <c r="H55" s="2840"/>
      <c r="I55" s="2840"/>
      <c r="J55" s="2840"/>
      <c r="K55" s="2840">
        <v>9969.608000000002</v>
      </c>
      <c r="L55" s="2840"/>
      <c r="M55" s="2840"/>
      <c r="N55" s="2840"/>
      <c r="O55" s="2840">
        <v>13321.243000000002</v>
      </c>
      <c r="P55" s="2840"/>
      <c r="Q55" s="2840"/>
      <c r="R55" s="2840"/>
      <c r="S55" s="2840">
        <v>6217.2740000000013</v>
      </c>
      <c r="T55" s="2840"/>
      <c r="U55" s="2840"/>
      <c r="V55" s="2840"/>
      <c r="W55" s="2840">
        <v>4249.1400000000003</v>
      </c>
      <c r="X55" s="2840"/>
      <c r="Y55" s="2840"/>
      <c r="Z55" s="2840"/>
      <c r="AA55" s="2840"/>
      <c r="AB55" s="2840"/>
      <c r="AC55" s="4930">
        <v>11221.111999999997</v>
      </c>
      <c r="AD55" s="2840"/>
      <c r="AE55" s="2840"/>
      <c r="AF55" s="2840"/>
      <c r="AG55" s="2840">
        <v>9972</v>
      </c>
      <c r="AH55" s="2840"/>
      <c r="AI55" s="2840"/>
      <c r="AJ55" s="2840"/>
      <c r="AK55" s="4930">
        <v>9069</v>
      </c>
      <c r="AL55" s="2840"/>
      <c r="AM55" s="2840"/>
      <c r="AN55" s="2840"/>
      <c r="AO55" s="2840"/>
      <c r="AP55" s="2840"/>
      <c r="AQ55" s="2840">
        <v>5758</v>
      </c>
      <c r="AR55" s="2840"/>
      <c r="AS55" s="2840"/>
      <c r="AT55" s="2840"/>
      <c r="AU55" s="2840"/>
      <c r="AV55" s="2840"/>
      <c r="AW55" s="2840"/>
      <c r="AX55" s="2840"/>
      <c r="AY55" s="2840"/>
      <c r="AZ55" s="2840"/>
      <c r="BA55" s="2840"/>
      <c r="BB55" s="2840">
        <v>8713.1600000000017</v>
      </c>
      <c r="BC55" s="2840"/>
      <c r="BD55" s="2840">
        <v>3457</v>
      </c>
      <c r="BE55" s="2840">
        <v>110858.55100000001</v>
      </c>
    </row>
    <row r="56" spans="3:57" hidden="1" thickBot="1" x14ac:dyDescent="0.35">
      <c r="C56" s="2713" t="s">
        <v>1212</v>
      </c>
      <c r="D56" s="2713"/>
      <c r="E56" s="2840">
        <v>4895.6380000000008</v>
      </c>
      <c r="F56" s="2840"/>
      <c r="G56" s="2840">
        <v>4526.2360000000008</v>
      </c>
      <c r="H56" s="2840"/>
      <c r="I56" s="2840"/>
      <c r="J56" s="2840"/>
      <c r="K56" s="2840">
        <v>9409.1360000000004</v>
      </c>
      <c r="L56" s="2840"/>
      <c r="M56" s="2840"/>
      <c r="N56" s="2840"/>
      <c r="O56" s="2840">
        <v>4096.9070000000011</v>
      </c>
      <c r="P56" s="2840"/>
      <c r="Q56" s="2840"/>
      <c r="R56" s="2840"/>
      <c r="S56" s="2840">
        <v>6938.1479999999992</v>
      </c>
      <c r="T56" s="2840"/>
      <c r="U56" s="2840"/>
      <c r="V56" s="2840"/>
      <c r="W56" s="2840">
        <v>9345.9940000000024</v>
      </c>
      <c r="X56" s="2840"/>
      <c r="Y56" s="2840"/>
      <c r="Z56" s="2840"/>
      <c r="AA56" s="2840"/>
      <c r="AB56" s="2840"/>
      <c r="AC56" s="4930">
        <v>11536.097999999998</v>
      </c>
      <c r="AD56" s="2840"/>
      <c r="AE56" s="2840"/>
      <c r="AF56" s="2840"/>
      <c r="AG56" s="2840">
        <v>4427</v>
      </c>
      <c r="AH56" s="2840"/>
      <c r="AI56" s="2840"/>
      <c r="AJ56" s="2840"/>
      <c r="AK56" s="4930">
        <v>2714</v>
      </c>
      <c r="AL56" s="2840"/>
      <c r="AM56" s="2840"/>
      <c r="AN56" s="2840"/>
      <c r="AO56" s="2840"/>
      <c r="AP56" s="2840"/>
      <c r="AQ56" s="2840">
        <v>2448</v>
      </c>
      <c r="AR56" s="2840"/>
      <c r="AS56" s="2840"/>
      <c r="AT56" s="2840"/>
      <c r="AU56" s="2840"/>
      <c r="AV56" s="2840"/>
      <c r="AW56" s="2840"/>
      <c r="AX56" s="2840"/>
      <c r="AY56" s="2840"/>
      <c r="AZ56" s="2840"/>
      <c r="BA56" s="2840"/>
      <c r="BB56" s="2840">
        <v>9931.5719999999965</v>
      </c>
      <c r="BC56" s="2840"/>
      <c r="BD56" s="2840">
        <v>6135</v>
      </c>
      <c r="BE56" s="2840">
        <v>76403.729000000007</v>
      </c>
    </row>
    <row r="57" spans="3:57" hidden="1" thickBot="1" x14ac:dyDescent="0.35">
      <c r="C57" s="2713" t="s">
        <v>1213</v>
      </c>
      <c r="D57" s="2713"/>
      <c r="E57" s="2840">
        <v>74606.466</v>
      </c>
      <c r="F57" s="2840"/>
      <c r="G57" s="2840">
        <v>62184.792999999976</v>
      </c>
      <c r="H57" s="2840"/>
      <c r="I57" s="2840"/>
      <c r="J57" s="2840"/>
      <c r="K57" s="2840">
        <v>57066.240000000085</v>
      </c>
      <c r="L57" s="2840"/>
      <c r="M57" s="2840"/>
      <c r="N57" s="2840"/>
      <c r="O57" s="2840">
        <v>81044.896000000022</v>
      </c>
      <c r="P57" s="2840"/>
      <c r="Q57" s="2840"/>
      <c r="R57" s="2840"/>
      <c r="S57" s="2840">
        <v>79862.691999999952</v>
      </c>
      <c r="T57" s="2840"/>
      <c r="U57" s="2840"/>
      <c r="V57" s="2840"/>
      <c r="W57" s="2840">
        <v>73550.288000000059</v>
      </c>
      <c r="X57" s="2840"/>
      <c r="Y57" s="2840"/>
      <c r="Z57" s="2840"/>
      <c r="AA57" s="2840"/>
      <c r="AB57" s="2840"/>
      <c r="AC57" s="4930">
        <v>66265.444000000032</v>
      </c>
      <c r="AD57" s="2840"/>
      <c r="AE57" s="2840"/>
      <c r="AF57" s="2840"/>
      <c r="AG57" s="2840">
        <v>60441</v>
      </c>
      <c r="AH57" s="2840"/>
      <c r="AI57" s="2840"/>
      <c r="AJ57" s="2840"/>
      <c r="AK57" s="4930">
        <v>65319.4</v>
      </c>
      <c r="AL57" s="2840"/>
      <c r="AM57" s="2840"/>
      <c r="AN57" s="2840"/>
      <c r="AO57" s="2840"/>
      <c r="AP57" s="2840"/>
      <c r="AQ57" s="2840">
        <v>73720</v>
      </c>
      <c r="AR57" s="2840"/>
      <c r="AS57" s="2840"/>
      <c r="AT57" s="2840"/>
      <c r="AU57" s="2840"/>
      <c r="AV57" s="2840"/>
      <c r="AW57" s="2840"/>
      <c r="AX57" s="2840"/>
      <c r="AY57" s="2840"/>
      <c r="AZ57" s="2840"/>
      <c r="BA57" s="2840"/>
      <c r="BB57" s="2840">
        <v>74292.301999999981</v>
      </c>
      <c r="BC57" s="2840"/>
      <c r="BD57" s="2840">
        <v>76611</v>
      </c>
      <c r="BE57" s="2840">
        <v>844964.52100000018</v>
      </c>
    </row>
    <row r="58" spans="3:57" hidden="1" thickBot="1" x14ac:dyDescent="0.35">
      <c r="C58" s="2713" t="s">
        <v>1565</v>
      </c>
      <c r="D58" s="2713"/>
      <c r="E58" s="2840">
        <v>0</v>
      </c>
      <c r="F58" s="2840"/>
      <c r="G58" s="2840">
        <v>0</v>
      </c>
      <c r="H58" s="2840"/>
      <c r="I58" s="2840"/>
      <c r="J58" s="2840"/>
      <c r="K58" s="2840">
        <v>0</v>
      </c>
      <c r="L58" s="2840"/>
      <c r="M58" s="2840"/>
      <c r="N58" s="2840"/>
      <c r="O58" s="2840">
        <v>0</v>
      </c>
      <c r="P58" s="2840"/>
      <c r="Q58" s="2840"/>
      <c r="R58" s="2840"/>
      <c r="S58" s="2840">
        <v>1519.9659999999999</v>
      </c>
      <c r="T58" s="2840"/>
      <c r="U58" s="2840"/>
      <c r="V58" s="2840"/>
      <c r="W58" s="2840">
        <v>1329.7059999999999</v>
      </c>
      <c r="X58" s="2840"/>
      <c r="Y58" s="2840"/>
      <c r="Z58" s="2840"/>
      <c r="AA58" s="2840"/>
      <c r="AB58" s="2840"/>
      <c r="AC58" s="4930">
        <v>0</v>
      </c>
      <c r="AD58" s="2840"/>
      <c r="AE58" s="2840"/>
      <c r="AF58" s="2840"/>
      <c r="AG58" s="2840"/>
      <c r="AH58" s="2840"/>
      <c r="AI58" s="2840"/>
      <c r="AJ58" s="2840"/>
      <c r="AK58" s="4930">
        <v>0</v>
      </c>
      <c r="AL58" s="2840"/>
      <c r="AM58" s="2840"/>
      <c r="AN58" s="2840"/>
      <c r="AO58" s="2840"/>
      <c r="AP58" s="2840"/>
      <c r="AQ58" s="2840">
        <v>0</v>
      </c>
      <c r="AR58" s="2840"/>
      <c r="AS58" s="2840"/>
      <c r="AT58" s="2840"/>
      <c r="AU58" s="2840"/>
      <c r="AV58" s="2840"/>
      <c r="AW58" s="2840"/>
      <c r="AX58" s="2840"/>
      <c r="AY58" s="2840"/>
      <c r="AZ58" s="2840"/>
      <c r="BA58" s="2840"/>
      <c r="BB58" s="2840">
        <v>0</v>
      </c>
      <c r="BC58" s="2840"/>
      <c r="BD58" s="2840">
        <v>0</v>
      </c>
      <c r="BE58" s="2840">
        <v>2849.6719999999996</v>
      </c>
    </row>
    <row r="59" spans="3:57" hidden="1" thickBot="1" x14ac:dyDescent="0.35">
      <c r="C59" s="2713" t="s">
        <v>1469</v>
      </c>
      <c r="D59" s="2713"/>
      <c r="E59" s="2840">
        <v>0</v>
      </c>
      <c r="F59" s="2840"/>
      <c r="G59" s="2840">
        <v>0</v>
      </c>
      <c r="H59" s="2840"/>
      <c r="I59" s="2840"/>
      <c r="J59" s="2840"/>
      <c r="K59" s="2840">
        <v>267.49799999999999</v>
      </c>
      <c r="L59" s="2840"/>
      <c r="M59" s="2840"/>
      <c r="N59" s="2840"/>
      <c r="O59" s="2840">
        <v>1533.847</v>
      </c>
      <c r="P59" s="2840"/>
      <c r="Q59" s="2840"/>
      <c r="R59" s="2840"/>
      <c r="S59" s="2840">
        <v>1179.6119999999999</v>
      </c>
      <c r="T59" s="2840"/>
      <c r="U59" s="2840"/>
      <c r="V59" s="2840"/>
      <c r="W59" s="2840">
        <v>1327.5919999999996</v>
      </c>
      <c r="X59" s="2840"/>
      <c r="Y59" s="2840"/>
      <c r="Z59" s="2840"/>
      <c r="AA59" s="2840"/>
      <c r="AB59" s="2840"/>
      <c r="AC59" s="4930">
        <v>1773.646</v>
      </c>
      <c r="AD59" s="2840"/>
      <c r="AE59" s="2840"/>
      <c r="AF59" s="2840"/>
      <c r="AG59" s="2840">
        <v>1753</v>
      </c>
      <c r="AH59" s="2840"/>
      <c r="AI59" s="2840"/>
      <c r="AJ59" s="2840"/>
      <c r="AK59" s="4930">
        <v>744.3</v>
      </c>
      <c r="AL59" s="2840"/>
      <c r="AM59" s="2840"/>
      <c r="AN59" s="2840"/>
      <c r="AO59" s="2840"/>
      <c r="AP59" s="2840"/>
      <c r="AQ59" s="2840">
        <v>879</v>
      </c>
      <c r="AR59" s="2840"/>
      <c r="AS59" s="2840"/>
      <c r="AT59" s="2840"/>
      <c r="AU59" s="2840"/>
      <c r="AV59" s="2840"/>
      <c r="AW59" s="2840"/>
      <c r="AX59" s="2840"/>
      <c r="AY59" s="2840"/>
      <c r="AZ59" s="2840"/>
      <c r="BA59" s="2840"/>
      <c r="BB59" s="2840">
        <v>1902.6000000000004</v>
      </c>
      <c r="BC59" s="2840"/>
      <c r="BD59" s="2840">
        <v>0</v>
      </c>
      <c r="BE59" s="2840">
        <v>11361.094999999999</v>
      </c>
    </row>
    <row r="60" spans="3:57" hidden="1" thickBot="1" x14ac:dyDescent="0.35">
      <c r="C60" s="2713" t="s">
        <v>1535</v>
      </c>
      <c r="D60" s="2713"/>
      <c r="E60" s="2840">
        <v>0</v>
      </c>
      <c r="F60" s="2840"/>
      <c r="G60" s="2840">
        <v>0</v>
      </c>
      <c r="H60" s="2840"/>
      <c r="I60" s="2840"/>
      <c r="J60" s="2840"/>
      <c r="K60" s="2840">
        <v>0</v>
      </c>
      <c r="L60" s="2840"/>
      <c r="M60" s="2840"/>
      <c r="N60" s="2840"/>
      <c r="O60" s="2840">
        <v>412.22999999999996</v>
      </c>
      <c r="P60" s="2840"/>
      <c r="Q60" s="2840"/>
      <c r="R60" s="2840"/>
      <c r="S60" s="2840">
        <v>0</v>
      </c>
      <c r="T60" s="2840"/>
      <c r="U60" s="2840"/>
      <c r="V60" s="2840"/>
      <c r="W60" s="2840">
        <v>0</v>
      </c>
      <c r="X60" s="2840"/>
      <c r="Y60" s="2840"/>
      <c r="Z60" s="2840"/>
      <c r="AA60" s="2840"/>
      <c r="AB60" s="2840"/>
      <c r="AC60" s="4930">
        <v>0</v>
      </c>
      <c r="AD60" s="2840"/>
      <c r="AE60" s="2840"/>
      <c r="AF60" s="2840"/>
      <c r="AG60" s="2840">
        <v>0</v>
      </c>
      <c r="AH60" s="2840"/>
      <c r="AI60" s="2840"/>
      <c r="AJ60" s="2840"/>
      <c r="AK60" s="4930">
        <v>0</v>
      </c>
      <c r="AL60" s="2840"/>
      <c r="AM60" s="2840"/>
      <c r="AN60" s="2840"/>
      <c r="AO60" s="2840"/>
      <c r="AP60" s="2840"/>
      <c r="AQ60" s="2840">
        <v>0</v>
      </c>
      <c r="AR60" s="2840"/>
      <c r="AS60" s="2840"/>
      <c r="AT60" s="2840"/>
      <c r="AU60" s="2840"/>
      <c r="AV60" s="2840"/>
      <c r="AW60" s="2840"/>
      <c r="AX60" s="2840"/>
      <c r="AY60" s="2840"/>
      <c r="AZ60" s="2840"/>
      <c r="BA60" s="2840"/>
      <c r="BB60" s="2840">
        <v>0</v>
      </c>
      <c r="BC60" s="2840"/>
      <c r="BD60" s="2840">
        <v>0</v>
      </c>
      <c r="BE60" s="2840">
        <v>412.22999999999996</v>
      </c>
    </row>
    <row r="61" spans="3:57" hidden="1" thickBot="1" x14ac:dyDescent="0.35">
      <c r="C61" s="2713" t="s">
        <v>1533</v>
      </c>
      <c r="D61" s="2713"/>
      <c r="E61" s="2840">
        <v>0</v>
      </c>
      <c r="F61" s="2840"/>
      <c r="G61" s="2840">
        <v>0</v>
      </c>
      <c r="H61" s="2840"/>
      <c r="I61" s="2840"/>
      <c r="J61" s="2840"/>
      <c r="K61" s="2840">
        <v>0</v>
      </c>
      <c r="L61" s="2840"/>
      <c r="M61" s="2840"/>
      <c r="N61" s="2840"/>
      <c r="O61" s="2840">
        <v>309.95799999999997</v>
      </c>
      <c r="P61" s="2840"/>
      <c r="Q61" s="2840"/>
      <c r="R61" s="2840"/>
      <c r="S61" s="2840">
        <v>302.30200000000002</v>
      </c>
      <c r="T61" s="2840"/>
      <c r="U61" s="2840"/>
      <c r="V61" s="2840"/>
      <c r="W61" s="2840">
        <v>0</v>
      </c>
      <c r="X61" s="2840"/>
      <c r="Y61" s="2840"/>
      <c r="Z61" s="2840"/>
      <c r="AA61" s="2840"/>
      <c r="AB61" s="2840"/>
      <c r="AC61" s="4930">
        <v>0</v>
      </c>
      <c r="AD61" s="2840"/>
      <c r="AE61" s="2840"/>
      <c r="AF61" s="2840"/>
      <c r="AG61" s="2840">
        <v>0</v>
      </c>
      <c r="AH61" s="2840"/>
      <c r="AI61" s="2840"/>
      <c r="AJ61" s="2840"/>
      <c r="AK61" s="4930">
        <v>0</v>
      </c>
      <c r="AL61" s="2840"/>
      <c r="AM61" s="2840"/>
      <c r="AN61" s="2840"/>
      <c r="AO61" s="2840"/>
      <c r="AP61" s="2840"/>
      <c r="AQ61" s="2840">
        <v>0</v>
      </c>
      <c r="AR61" s="2840"/>
      <c r="AS61" s="2840"/>
      <c r="AT61" s="2840"/>
      <c r="AU61" s="2840"/>
      <c r="AV61" s="2840"/>
      <c r="AW61" s="2840"/>
      <c r="AX61" s="2840"/>
      <c r="AY61" s="2840"/>
      <c r="AZ61" s="2840"/>
      <c r="BA61" s="2840"/>
      <c r="BB61" s="2840">
        <v>0</v>
      </c>
      <c r="BC61" s="2840"/>
      <c r="BD61" s="2840">
        <v>0</v>
      </c>
      <c r="BE61" s="2840">
        <v>612.26</v>
      </c>
    </row>
    <row r="62" spans="3:57" hidden="1" thickBot="1" x14ac:dyDescent="0.35">
      <c r="C62" s="2713" t="s">
        <v>1214</v>
      </c>
      <c r="D62" s="2713"/>
      <c r="E62" s="2840">
        <v>2511.5090000000014</v>
      </c>
      <c r="F62" s="2840"/>
      <c r="G62" s="2840">
        <v>978.90300000000002</v>
      </c>
      <c r="H62" s="2840"/>
      <c r="I62" s="2840"/>
      <c r="J62" s="2840"/>
      <c r="K62" s="2840">
        <v>2725.9320000000007</v>
      </c>
      <c r="L62" s="2840"/>
      <c r="M62" s="2840"/>
      <c r="N62" s="2840"/>
      <c r="O62" s="2840">
        <v>2674.2389999999996</v>
      </c>
      <c r="P62" s="2840"/>
      <c r="Q62" s="2840"/>
      <c r="R62" s="2840"/>
      <c r="S62" s="2840">
        <v>1684.8579999999997</v>
      </c>
      <c r="T62" s="2840"/>
      <c r="U62" s="2840"/>
      <c r="V62" s="2840"/>
      <c r="W62" s="2840">
        <v>1492.4840000000002</v>
      </c>
      <c r="X62" s="2840"/>
      <c r="Y62" s="2840"/>
      <c r="Z62" s="2840"/>
      <c r="AA62" s="2840"/>
      <c r="AB62" s="2840"/>
      <c r="AC62" s="4930">
        <v>1291.6540000000005</v>
      </c>
      <c r="AD62" s="2840"/>
      <c r="AE62" s="2840"/>
      <c r="AF62" s="2840"/>
      <c r="AG62" s="2840">
        <v>2182</v>
      </c>
      <c r="AH62" s="2840"/>
      <c r="AI62" s="2840"/>
      <c r="AJ62" s="2840"/>
      <c r="AK62" s="4930">
        <v>2429</v>
      </c>
      <c r="AL62" s="2840"/>
      <c r="AM62" s="2840"/>
      <c r="AN62" s="2840"/>
      <c r="AO62" s="2840"/>
      <c r="AP62" s="2840"/>
      <c r="AQ62" s="2840">
        <v>2216</v>
      </c>
      <c r="AR62" s="2840"/>
      <c r="AS62" s="2840"/>
      <c r="AT62" s="2840"/>
      <c r="AU62" s="2840"/>
      <c r="AV62" s="2840"/>
      <c r="AW62" s="2840"/>
      <c r="AX62" s="2840"/>
      <c r="AY62" s="2840"/>
      <c r="AZ62" s="2840"/>
      <c r="BA62" s="2840"/>
      <c r="BB62" s="2840">
        <v>2449.6199999999994</v>
      </c>
      <c r="BC62" s="2840"/>
      <c r="BD62" s="2840">
        <v>1717</v>
      </c>
      <c r="BE62" s="2840">
        <v>24353.199000000004</v>
      </c>
    </row>
    <row r="63" spans="3:57" hidden="1" thickBot="1" x14ac:dyDescent="0.35">
      <c r="C63" s="2713" t="s">
        <v>1215</v>
      </c>
      <c r="D63" s="2713"/>
      <c r="E63" s="2840">
        <v>1053.008</v>
      </c>
      <c r="F63" s="2840"/>
      <c r="G63" s="2840">
        <v>0</v>
      </c>
      <c r="H63" s="2840"/>
      <c r="I63" s="2840"/>
      <c r="J63" s="2840"/>
      <c r="K63" s="2840">
        <v>827.97</v>
      </c>
      <c r="L63" s="2840"/>
      <c r="M63" s="2840"/>
      <c r="N63" s="2840"/>
      <c r="O63" s="2840">
        <v>178.33199999999999</v>
      </c>
      <c r="P63" s="2840"/>
      <c r="Q63" s="2840"/>
      <c r="R63" s="2840"/>
      <c r="S63" s="2840">
        <v>0</v>
      </c>
      <c r="T63" s="2840"/>
      <c r="U63" s="2840"/>
      <c r="V63" s="2840"/>
      <c r="W63" s="2840">
        <v>181.804</v>
      </c>
      <c r="X63" s="2840"/>
      <c r="Y63" s="2840"/>
      <c r="Z63" s="2840"/>
      <c r="AA63" s="2840"/>
      <c r="AB63" s="2840"/>
      <c r="AC63" s="4930">
        <v>338.24</v>
      </c>
      <c r="AD63" s="2840"/>
      <c r="AE63" s="2840"/>
      <c r="AF63" s="2840"/>
      <c r="AG63" s="2840">
        <v>340</v>
      </c>
      <c r="AH63" s="2840"/>
      <c r="AI63" s="2840"/>
      <c r="AJ63" s="2840"/>
      <c r="AK63" s="4930">
        <v>0</v>
      </c>
      <c r="AL63" s="2840"/>
      <c r="AM63" s="2840"/>
      <c r="AN63" s="2840"/>
      <c r="AO63" s="2840"/>
      <c r="AP63" s="2840"/>
      <c r="AQ63" s="2840">
        <v>1214</v>
      </c>
      <c r="AR63" s="2840"/>
      <c r="AS63" s="2840"/>
      <c r="AT63" s="2840"/>
      <c r="AU63" s="2840"/>
      <c r="AV63" s="2840"/>
      <c r="AW63" s="2840"/>
      <c r="AX63" s="2840"/>
      <c r="AY63" s="2840"/>
      <c r="AZ63" s="2840"/>
      <c r="BA63" s="2840"/>
      <c r="BB63" s="2840">
        <v>661.6819999999999</v>
      </c>
      <c r="BC63" s="2840"/>
      <c r="BD63" s="2840">
        <v>178</v>
      </c>
      <c r="BE63" s="2840">
        <v>4973.0360000000001</v>
      </c>
    </row>
    <row r="64" spans="3:57" hidden="1" thickBot="1" x14ac:dyDescent="0.35">
      <c r="C64" s="2713" t="s">
        <v>1789</v>
      </c>
      <c r="D64" s="2713"/>
      <c r="E64" s="2840">
        <v>1659.586</v>
      </c>
      <c r="F64" s="2840"/>
      <c r="G64" s="2840">
        <v>694.22099999999978</v>
      </c>
      <c r="H64" s="2840"/>
      <c r="I64" s="2840"/>
      <c r="J64" s="2840"/>
      <c r="K64" s="2840">
        <v>1278.0460000000005</v>
      </c>
      <c r="L64" s="2840"/>
      <c r="M64" s="2840"/>
      <c r="N64" s="2840"/>
      <c r="O64" s="2840">
        <v>1695.4650000000004</v>
      </c>
      <c r="P64" s="2840"/>
      <c r="Q64" s="2840"/>
      <c r="R64" s="2840"/>
      <c r="S64" s="2840">
        <v>1471.3440000000005</v>
      </c>
      <c r="T64" s="2840"/>
      <c r="U64" s="2840"/>
      <c r="V64" s="2840"/>
      <c r="W64" s="2840">
        <v>1340.2760000000007</v>
      </c>
      <c r="X64" s="2840"/>
      <c r="Y64" s="2840"/>
      <c r="Z64" s="2840"/>
      <c r="AA64" s="2840"/>
      <c r="AB64" s="2840"/>
      <c r="AC64" s="4930">
        <v>1555.9040000000009</v>
      </c>
      <c r="AD64" s="2840"/>
      <c r="AE64" s="2840"/>
      <c r="AF64" s="2840"/>
      <c r="AG64" s="2840">
        <v>1742</v>
      </c>
      <c r="AH64" s="2840"/>
      <c r="AI64" s="2840"/>
      <c r="AJ64" s="2840"/>
      <c r="AK64" s="4930">
        <v>1268.6999999999998</v>
      </c>
      <c r="AL64" s="2840"/>
      <c r="AM64" s="2840"/>
      <c r="AN64" s="2840"/>
      <c r="AO64" s="2840"/>
      <c r="AP64" s="2840"/>
      <c r="AQ64" s="2840">
        <v>962</v>
      </c>
      <c r="AR64" s="2840"/>
      <c r="AS64" s="2840"/>
      <c r="AT64" s="2840"/>
      <c r="AU64" s="2840"/>
      <c r="AV64" s="2840"/>
      <c r="AW64" s="2840"/>
      <c r="AX64" s="2840"/>
      <c r="AY64" s="2840"/>
      <c r="AZ64" s="2840"/>
      <c r="BA64" s="2840"/>
      <c r="BB64" s="2840">
        <v>2474.9680000000017</v>
      </c>
      <c r="BC64" s="2840"/>
      <c r="BD64" s="2840">
        <v>1674</v>
      </c>
      <c r="BE64" s="2840">
        <v>17816.510000000002</v>
      </c>
    </row>
    <row r="65" spans="3:57" hidden="1" thickBot="1" x14ac:dyDescent="0.35">
      <c r="C65" s="2841" t="s">
        <v>2</v>
      </c>
      <c r="D65" s="2841"/>
      <c r="E65" s="2842">
        <v>163540.45900000003</v>
      </c>
      <c r="F65" s="2842"/>
      <c r="G65" s="2842">
        <v>138084.56599999996</v>
      </c>
      <c r="H65" s="2842"/>
      <c r="I65" s="2842"/>
      <c r="J65" s="2842"/>
      <c r="K65" s="2842">
        <v>141733.60300000009</v>
      </c>
      <c r="L65" s="2842"/>
      <c r="M65" s="2842"/>
      <c r="N65" s="2842"/>
      <c r="O65" s="2842">
        <v>174925.65500000006</v>
      </c>
      <c r="P65" s="2842"/>
      <c r="Q65" s="2842"/>
      <c r="R65" s="2842"/>
      <c r="S65" s="2842">
        <v>173405.07799999992</v>
      </c>
      <c r="T65" s="2842"/>
      <c r="U65" s="2842"/>
      <c r="V65" s="2842"/>
      <c r="W65" s="2842">
        <v>162154.37000000011</v>
      </c>
      <c r="X65" s="2842"/>
      <c r="Y65" s="2842"/>
      <c r="Z65" s="2842"/>
      <c r="AA65" s="2842"/>
      <c r="AB65" s="2842"/>
      <c r="AC65" s="4931">
        <v>167965.75599999999</v>
      </c>
      <c r="AD65" s="2842"/>
      <c r="AE65" s="2842"/>
      <c r="AF65" s="2842"/>
      <c r="AG65" s="2842">
        <v>142793</v>
      </c>
      <c r="AH65" s="2842"/>
      <c r="AI65" s="2842"/>
      <c r="AJ65" s="2842"/>
      <c r="AK65" s="4931">
        <v>164344.19999999998</v>
      </c>
      <c r="AL65" s="2842"/>
      <c r="AM65" s="2842"/>
      <c r="AN65" s="2842"/>
      <c r="AO65" s="2842"/>
      <c r="AP65" s="2842"/>
      <c r="AQ65" s="2842">
        <v>162717</v>
      </c>
      <c r="AR65" s="2842"/>
      <c r="AS65" s="2842"/>
      <c r="AT65" s="2842"/>
      <c r="AU65" s="2842"/>
      <c r="AV65" s="2842"/>
      <c r="AW65" s="2842"/>
      <c r="AX65" s="2842"/>
      <c r="AY65" s="2842"/>
      <c r="AZ65" s="2842"/>
      <c r="BA65" s="2842"/>
      <c r="BB65" s="2842">
        <v>162199.09799999997</v>
      </c>
      <c r="BC65" s="2842"/>
      <c r="BD65" s="2842">
        <v>164513</v>
      </c>
      <c r="BE65" s="2842">
        <v>1918375.7850000004</v>
      </c>
    </row>
    <row r="66" spans="3:57" ht="24" thickBot="1" x14ac:dyDescent="0.5">
      <c r="C66" s="6170" t="s">
        <v>1790</v>
      </c>
      <c r="D66" s="6171"/>
      <c r="E66" s="6171"/>
      <c r="F66" s="6171"/>
      <c r="G66" s="6171"/>
      <c r="H66" s="6171"/>
      <c r="I66" s="6171"/>
      <c r="J66" s="6171"/>
      <c r="K66" s="6171"/>
      <c r="L66" s="6171"/>
      <c r="M66" s="6171"/>
      <c r="N66" s="6171"/>
      <c r="O66" s="6171"/>
      <c r="P66" s="6171"/>
      <c r="Q66" s="6171"/>
      <c r="R66" s="6171"/>
      <c r="S66" s="6171"/>
      <c r="T66" s="6171"/>
      <c r="U66" s="6171"/>
      <c r="V66" s="6171"/>
      <c r="W66" s="6171"/>
      <c r="X66" s="6171"/>
      <c r="Y66" s="6171"/>
      <c r="Z66" s="6171"/>
      <c r="AA66" s="6171"/>
      <c r="AB66" s="6171"/>
      <c r="AC66" s="6171"/>
      <c r="AD66" s="6171"/>
      <c r="AE66" s="6171"/>
      <c r="AF66" s="6171"/>
      <c r="AG66" s="6171"/>
      <c r="AH66" s="6171"/>
      <c r="AI66" s="6171"/>
      <c r="AJ66" s="6171"/>
      <c r="AK66" s="6171"/>
      <c r="AL66" s="6171"/>
      <c r="AM66" s="6171"/>
      <c r="AN66" s="6171"/>
      <c r="AO66" s="6171"/>
      <c r="AP66" s="6171"/>
      <c r="AQ66" s="6171"/>
      <c r="AR66" s="6171"/>
      <c r="AS66" s="6171"/>
      <c r="AT66" s="6171"/>
      <c r="AU66" s="6171"/>
      <c r="AV66" s="6171"/>
      <c r="AW66" s="6171"/>
      <c r="AX66" s="6171"/>
      <c r="AY66" s="6171"/>
      <c r="AZ66" s="6171"/>
      <c r="BA66" s="6171"/>
      <c r="BB66" s="6171"/>
      <c r="BC66" s="6171"/>
      <c r="BD66" s="6171"/>
      <c r="BE66" s="6172"/>
    </row>
    <row r="67" spans="3:57" ht="15.6" x14ac:dyDescent="0.3">
      <c r="C67" s="2843"/>
      <c r="D67" s="2864"/>
      <c r="E67" s="2844" t="s">
        <v>2219</v>
      </c>
      <c r="F67" s="6173" t="s">
        <v>2250</v>
      </c>
      <c r="G67" s="6174"/>
      <c r="H67" s="6173" t="s">
        <v>658</v>
      </c>
      <c r="I67" s="6174"/>
      <c r="J67" s="6173" t="s">
        <v>2260</v>
      </c>
      <c r="K67" s="6174"/>
      <c r="L67" s="6173" t="s">
        <v>637</v>
      </c>
      <c r="M67" s="6174"/>
      <c r="N67" s="6173" t="s">
        <v>2261</v>
      </c>
      <c r="O67" s="6174"/>
      <c r="P67" s="6173" t="s">
        <v>651</v>
      </c>
      <c r="Q67" s="6174"/>
      <c r="R67" s="6173" t="s">
        <v>2262</v>
      </c>
      <c r="S67" s="6174"/>
      <c r="T67" s="6173" t="s">
        <v>836</v>
      </c>
      <c r="U67" s="6174"/>
      <c r="V67" s="6173" t="s">
        <v>2263</v>
      </c>
      <c r="W67" s="6174"/>
      <c r="X67" s="6173" t="s">
        <v>660</v>
      </c>
      <c r="Y67" s="6174"/>
      <c r="Z67" s="6173" t="s">
        <v>657</v>
      </c>
      <c r="AA67" s="6174"/>
      <c r="AB67" s="6173" t="s">
        <v>2264</v>
      </c>
      <c r="AC67" s="6174"/>
      <c r="AD67" s="6173" t="s">
        <v>1100</v>
      </c>
      <c r="AE67" s="6174"/>
      <c r="AF67" s="6173" t="s">
        <v>2265</v>
      </c>
      <c r="AG67" s="6174"/>
      <c r="AH67" s="6173" t="s">
        <v>1650</v>
      </c>
      <c r="AI67" s="6174"/>
      <c r="AJ67" s="6173" t="s">
        <v>2266</v>
      </c>
      <c r="AK67" s="6174"/>
      <c r="AL67" s="6173" t="s">
        <v>662</v>
      </c>
      <c r="AM67" s="6174"/>
      <c r="AN67" s="6173" t="s">
        <v>917</v>
      </c>
      <c r="AO67" s="6174"/>
      <c r="AP67" s="6173" t="s">
        <v>2267</v>
      </c>
      <c r="AQ67" s="6174"/>
      <c r="AR67" s="6173" t="s">
        <v>1688</v>
      </c>
      <c r="AS67" s="6174"/>
      <c r="AT67" s="6173" t="s">
        <v>2268</v>
      </c>
      <c r="AU67" s="6174"/>
      <c r="AV67" s="6173" t="s">
        <v>1697</v>
      </c>
      <c r="AW67" s="6174"/>
      <c r="AX67" s="6173" t="s">
        <v>2269</v>
      </c>
      <c r="AY67" s="6174"/>
      <c r="AZ67" s="6173" t="s">
        <v>663</v>
      </c>
      <c r="BA67" s="6174"/>
      <c r="BB67" s="6173" t="s">
        <v>671</v>
      </c>
      <c r="BC67" s="6175"/>
      <c r="BD67" s="6176" t="s">
        <v>1745</v>
      </c>
      <c r="BE67" s="6177"/>
    </row>
    <row r="68" spans="3:57" ht="14.45" x14ac:dyDescent="0.3">
      <c r="C68" s="2" t="s">
        <v>1715</v>
      </c>
      <c r="D68" s="304"/>
      <c r="E68" s="5427">
        <f>+'GRD SUMM RCL 150X150 '!AU9</f>
        <v>0</v>
      </c>
      <c r="F68" s="2840"/>
      <c r="G68" s="5427">
        <f>+'GRD SUMM RCL 150X150 '!AW9</f>
        <v>258</v>
      </c>
      <c r="H68" s="2840"/>
      <c r="I68" s="2840">
        <f>+E68+G68</f>
        <v>258</v>
      </c>
      <c r="J68" s="2840"/>
      <c r="K68" s="5427">
        <f>+'GRD SUMM RCL 150X150 '!BA9</f>
        <v>0</v>
      </c>
      <c r="L68" s="2840"/>
      <c r="M68" s="2840">
        <f>+E68+G68+K68</f>
        <v>258</v>
      </c>
      <c r="N68" s="2840"/>
      <c r="O68" s="5427">
        <f>+'GRD SUMM RCL 150X150 '!BE9</f>
        <v>560</v>
      </c>
      <c r="P68" s="2840"/>
      <c r="Q68" s="2840">
        <f>+O68+K68+G68+E68</f>
        <v>818</v>
      </c>
      <c r="R68" s="2840"/>
      <c r="S68" s="5427">
        <f>+'GRD SUMM RCL 150X150 '!BI9</f>
        <v>0</v>
      </c>
      <c r="T68" s="2840"/>
      <c r="U68" s="2840">
        <f>+S68+O68+K68+G68+E68</f>
        <v>818</v>
      </c>
      <c r="V68" s="2840"/>
      <c r="W68" s="5427">
        <f>+'GRD SUMM RCL 150X150 '!BM9</f>
        <v>0</v>
      </c>
      <c r="X68" s="2840"/>
      <c r="Y68" s="2840">
        <f>+W68+S68+O68</f>
        <v>560</v>
      </c>
      <c r="Z68" s="2840"/>
      <c r="AA68" s="2840">
        <f>+E68+G68+K68+O68+S68+W68</f>
        <v>818</v>
      </c>
      <c r="AB68" s="2840"/>
      <c r="AC68" s="4930" t="e">
        <f>+'GRD SUMM RCL 150X150 '!#REF!</f>
        <v>#REF!</v>
      </c>
      <c r="AD68" s="2840"/>
      <c r="AE68" s="2840" t="e">
        <f>+AC68+W68+S68+O68+K68+G68+E68</f>
        <v>#REF!</v>
      </c>
      <c r="AF68" s="2840"/>
      <c r="AG68" s="2840" t="e">
        <f>+'GRD SUMM RCL 150X150 '!#REF!</f>
        <v>#REF!</v>
      </c>
      <c r="AH68" s="2840"/>
      <c r="AI68" s="2840" t="e">
        <f>+AG68+AC68+W68+S68+O68+K68+G68+E68</f>
        <v>#REF!</v>
      </c>
      <c r="AJ68" s="2840"/>
      <c r="AK68" s="4930" t="e">
        <f>+'GRD SUMM RCL 150X150 '!#REF!</f>
        <v>#REF!</v>
      </c>
      <c r="AL68" s="2840"/>
      <c r="AM68" s="2840" t="e">
        <f>+AK68+AG68+AC68</f>
        <v>#REF!</v>
      </c>
      <c r="AN68" s="2840"/>
      <c r="AO68" s="2840" t="e">
        <f>+AK68+AG68+AC68+W68+S68+O68+K68+G68+E68</f>
        <v>#REF!</v>
      </c>
      <c r="AP68" s="2840"/>
      <c r="AQ68" s="2840" t="e">
        <f>+'GRD SUMM RCL 150X150 '!#REF!</f>
        <v>#REF!</v>
      </c>
      <c r="AR68" s="2840"/>
      <c r="AS68" s="2840" t="e">
        <f>+AO68+AQ68</f>
        <v>#REF!</v>
      </c>
      <c r="AT68" s="2840"/>
      <c r="AU68" s="2840" t="e">
        <f>+'GRD SUMM RCL 150X150 '!#REF!</f>
        <v>#REF!</v>
      </c>
      <c r="AV68" s="2840"/>
      <c r="AW68" s="2840" t="e">
        <f>+AS68+AU68</f>
        <v>#REF!</v>
      </c>
      <c r="AX68" s="2840"/>
      <c r="AY68" s="2840" t="e">
        <f>+'GRD SUMM RCL 150X150 '!#REF!</f>
        <v>#REF!</v>
      </c>
      <c r="AZ68" s="2840"/>
      <c r="BA68" s="2840" t="e">
        <f>+AY68+AU68+AQ68</f>
        <v>#REF!</v>
      </c>
      <c r="BB68" s="2840"/>
      <c r="BC68" s="2840" t="e">
        <f>+BA68+AM68</f>
        <v>#REF!</v>
      </c>
      <c r="BD68" s="2860"/>
      <c r="BE68" s="2860" t="e">
        <f>+BC68+AA68</f>
        <v>#REF!</v>
      </c>
    </row>
    <row r="69" spans="3:57" ht="14.45" x14ac:dyDescent="0.3">
      <c r="C69" s="2" t="s">
        <v>1966</v>
      </c>
      <c r="D69" s="304"/>
      <c r="E69" s="5427">
        <f>+'GRD SUMM RCL 150X150 '!AU19</f>
        <v>0</v>
      </c>
      <c r="F69" s="2840"/>
      <c r="G69" s="5427">
        <f>+'GRD SUMM RCL 150X150 '!AW19</f>
        <v>0</v>
      </c>
      <c r="H69" s="2840"/>
      <c r="I69" s="2840">
        <f t="shared" ref="I69:I99" si="0">+E69+G69</f>
        <v>0</v>
      </c>
      <c r="J69" s="2840"/>
      <c r="K69" s="5427">
        <f>+'GRD SUMM RCL 150X150 '!BA19</f>
        <v>0</v>
      </c>
      <c r="L69" s="2840"/>
      <c r="M69" s="2840">
        <f t="shared" ref="M69:M99" si="1">+E69+G69+K69</f>
        <v>0</v>
      </c>
      <c r="N69" s="2840"/>
      <c r="O69" s="5427">
        <f>+'GRD SUMM RCL 150X150 '!BE19</f>
        <v>264</v>
      </c>
      <c r="P69" s="2840"/>
      <c r="Q69" s="2840">
        <f t="shared" ref="Q69:Q99" si="2">+O69+K69+G69+E69</f>
        <v>264</v>
      </c>
      <c r="R69" s="2840"/>
      <c r="S69" s="5427">
        <f>+'GRD SUMM RCL 150X150 '!BI19</f>
        <v>0</v>
      </c>
      <c r="T69" s="2840"/>
      <c r="U69" s="2840">
        <f t="shared" ref="U69:U99" si="3">+S69+O69+K69+G69+E69</f>
        <v>264</v>
      </c>
      <c r="V69" s="2840"/>
      <c r="W69" s="5427">
        <f>+'GRD SUMM RCL 150X150 '!BM19</f>
        <v>0</v>
      </c>
      <c r="X69" s="2840"/>
      <c r="Y69" s="2840">
        <f t="shared" ref="Y69:Y99" si="4">+W69+S69+O69</f>
        <v>264</v>
      </c>
      <c r="Z69" s="2840"/>
      <c r="AA69" s="2840">
        <f t="shared" ref="AA69:AA99" si="5">+E69+G69+K69+O69+S69+W69</f>
        <v>264</v>
      </c>
      <c r="AB69" s="2840"/>
      <c r="AC69" s="4930" t="e">
        <f>+'GRD SUMM RCL 150X150 '!#REF!</f>
        <v>#REF!</v>
      </c>
      <c r="AD69" s="2840"/>
      <c r="AE69" s="2840" t="e">
        <f t="shared" ref="AE69:AE99" si="6">+AC69+W69+S69+O69+K69+G69+E69</f>
        <v>#REF!</v>
      </c>
      <c r="AF69" s="2840"/>
      <c r="AG69" s="2840" t="e">
        <f>+'GRD SUMM RCL 150X150 '!#REF!</f>
        <v>#REF!</v>
      </c>
      <c r="AH69" s="2840"/>
      <c r="AI69" s="2840" t="e">
        <f t="shared" ref="AI69:AI99" si="7">+AG69+AC69+W69+S69+O69+K69+G69+E69</f>
        <v>#REF!</v>
      </c>
      <c r="AJ69" s="2840"/>
      <c r="AK69" s="4930" t="e">
        <f>+'GRD SUMM RCL 150X150 '!#REF!</f>
        <v>#REF!</v>
      </c>
      <c r="AL69" s="2840"/>
      <c r="AM69" s="2840" t="e">
        <f t="shared" ref="AM69:AM99" si="8">+AK69+AG69+AC69</f>
        <v>#REF!</v>
      </c>
      <c r="AN69" s="2840"/>
      <c r="AO69" s="2840" t="e">
        <f t="shared" ref="AO69:AO99" si="9">+AK69+AG69+AC69+W69+S69+O69+K69+G69+E69</f>
        <v>#REF!</v>
      </c>
      <c r="AP69" s="2840"/>
      <c r="AQ69" s="2840" t="e">
        <f>+'GRD SUMM RCL 150X150 '!#REF!</f>
        <v>#REF!</v>
      </c>
      <c r="AR69" s="2840"/>
      <c r="AS69" s="2840" t="e">
        <f t="shared" ref="AS69:AS99" si="10">+AO69+AQ69</f>
        <v>#REF!</v>
      </c>
      <c r="AT69" s="2840"/>
      <c r="AU69" s="2840" t="e">
        <f>+'GRD SUMM RCL 150X150 '!#REF!</f>
        <v>#REF!</v>
      </c>
      <c r="AV69" s="2840"/>
      <c r="AW69" s="2840" t="e">
        <f t="shared" ref="AW69:AW99" si="11">+AS69+AU69</f>
        <v>#REF!</v>
      </c>
      <c r="AX69" s="2840"/>
      <c r="AY69" s="2840" t="e">
        <f>+'GRD SUMM RCL 150X150 '!#REF!</f>
        <v>#REF!</v>
      </c>
      <c r="AZ69" s="2840"/>
      <c r="BA69" s="2840" t="e">
        <f t="shared" ref="BA69:BA99" si="12">+AY69+AU69+AQ69</f>
        <v>#REF!</v>
      </c>
      <c r="BB69" s="2840"/>
      <c r="BC69" s="2840" t="e">
        <f t="shared" ref="BC69:BC99" si="13">+BA69+AM69</f>
        <v>#REF!</v>
      </c>
      <c r="BD69" s="2860"/>
      <c r="BE69" s="2860" t="e">
        <f t="shared" ref="BE69:BE99" si="14">+BC69+AA69</f>
        <v>#REF!</v>
      </c>
    </row>
    <row r="70" spans="3:57" ht="14.45" x14ac:dyDescent="0.3">
      <c r="C70" s="2" t="s">
        <v>2270</v>
      </c>
      <c r="D70" s="304"/>
      <c r="E70" s="5427">
        <f>+'GRD SUMM RCL 150X150 '!AU20</f>
        <v>685</v>
      </c>
      <c r="F70" s="2840"/>
      <c r="G70" s="5427">
        <f>+'GRD SUMM RCL 150X150 '!AW20</f>
        <v>480</v>
      </c>
      <c r="H70" s="2840"/>
      <c r="I70" s="2840">
        <f t="shared" si="0"/>
        <v>1165</v>
      </c>
      <c r="J70" s="2840"/>
      <c r="K70" s="5427">
        <f>+'GRD SUMM RCL 150X150 '!BA20</f>
        <v>613</v>
      </c>
      <c r="L70" s="2840"/>
      <c r="M70" s="2840">
        <f t="shared" si="1"/>
        <v>1778</v>
      </c>
      <c r="N70" s="2840"/>
      <c r="O70" s="5427">
        <f>+'GRD SUMM RCL 150X150 '!BE20</f>
        <v>0</v>
      </c>
      <c r="P70" s="2840"/>
      <c r="Q70" s="2840">
        <f t="shared" si="2"/>
        <v>1778</v>
      </c>
      <c r="R70" s="2840"/>
      <c r="S70" s="5427">
        <f>+'GRD SUMM RCL 150X150 '!BI20</f>
        <v>0</v>
      </c>
      <c r="T70" s="2840"/>
      <c r="U70" s="2840">
        <f t="shared" si="3"/>
        <v>1778</v>
      </c>
      <c r="V70" s="2840"/>
      <c r="W70" s="5427">
        <f>+'GRD SUMM RCL 150X150 '!BM20</f>
        <v>0</v>
      </c>
      <c r="X70" s="2840"/>
      <c r="Y70" s="2840">
        <f t="shared" si="4"/>
        <v>0</v>
      </c>
      <c r="Z70" s="2840"/>
      <c r="AA70" s="2840">
        <f t="shared" si="5"/>
        <v>1778</v>
      </c>
      <c r="AB70" s="2840"/>
      <c r="AC70" s="4930" t="e">
        <f>+'GRD SUMM RCL 150X150 '!#REF!</f>
        <v>#REF!</v>
      </c>
      <c r="AD70" s="2840"/>
      <c r="AE70" s="2840" t="e">
        <f t="shared" si="6"/>
        <v>#REF!</v>
      </c>
      <c r="AF70" s="2840"/>
      <c r="AG70" s="2840" t="e">
        <f>+'GRD SUMM RCL 150X150 '!#REF!</f>
        <v>#REF!</v>
      </c>
      <c r="AH70" s="2840"/>
      <c r="AI70" s="2840" t="e">
        <f t="shared" si="7"/>
        <v>#REF!</v>
      </c>
      <c r="AJ70" s="2840"/>
      <c r="AK70" s="4930" t="e">
        <f>+'GRD SUMM RCL 150X150 '!#REF!</f>
        <v>#REF!</v>
      </c>
      <c r="AL70" s="2840"/>
      <c r="AM70" s="2840" t="e">
        <f t="shared" si="8"/>
        <v>#REF!</v>
      </c>
      <c r="AN70" s="2840"/>
      <c r="AO70" s="2840" t="e">
        <f t="shared" si="9"/>
        <v>#REF!</v>
      </c>
      <c r="AP70" s="2840"/>
      <c r="AQ70" s="2840" t="e">
        <f>+'GRD SUMM RCL 150X150 '!#REF!</f>
        <v>#REF!</v>
      </c>
      <c r="AR70" s="2840"/>
      <c r="AS70" s="2840" t="e">
        <f t="shared" si="10"/>
        <v>#REF!</v>
      </c>
      <c r="AT70" s="2840"/>
      <c r="AU70" s="2840" t="e">
        <f>+'GRD SUMM RCL 150X150 '!#REF!</f>
        <v>#REF!</v>
      </c>
      <c r="AV70" s="2840"/>
      <c r="AW70" s="2840" t="e">
        <f t="shared" si="11"/>
        <v>#REF!</v>
      </c>
      <c r="AX70" s="2840"/>
      <c r="AY70" s="2840" t="e">
        <f>+'GRD SUMM RCL 150X150 '!#REF!</f>
        <v>#REF!</v>
      </c>
      <c r="AZ70" s="2840"/>
      <c r="BA70" s="2840" t="e">
        <f t="shared" si="12"/>
        <v>#REF!</v>
      </c>
      <c r="BB70" s="2840"/>
      <c r="BC70" s="2840" t="e">
        <f t="shared" si="13"/>
        <v>#REF!</v>
      </c>
      <c r="BD70" s="2860"/>
      <c r="BE70" s="2860" t="e">
        <f t="shared" si="14"/>
        <v>#REF!</v>
      </c>
    </row>
    <row r="71" spans="3:57" ht="14.45" x14ac:dyDescent="0.3">
      <c r="C71" s="2" t="s">
        <v>2221</v>
      </c>
      <c r="D71" s="304"/>
      <c r="E71" s="5427">
        <f>+'GRD SUMM RCL 150X150 '!AU21</f>
        <v>1636</v>
      </c>
      <c r="F71" s="2840"/>
      <c r="G71" s="5427">
        <f>+'GRD SUMM RCL 150X150 '!AW21</f>
        <v>0</v>
      </c>
      <c r="H71" s="2840"/>
      <c r="I71" s="2840">
        <f t="shared" si="0"/>
        <v>1636</v>
      </c>
      <c r="J71" s="2840"/>
      <c r="K71" s="5427">
        <f>+'GRD SUMM RCL 150X150 '!BA21</f>
        <v>0</v>
      </c>
      <c r="L71" s="2840"/>
      <c r="M71" s="2840">
        <f t="shared" si="1"/>
        <v>1636</v>
      </c>
      <c r="N71" s="2840"/>
      <c r="O71" s="5427">
        <f>+'GRD SUMM RCL 150X150 '!BE21</f>
        <v>0</v>
      </c>
      <c r="P71" s="2840"/>
      <c r="Q71" s="2840">
        <f t="shared" si="2"/>
        <v>1636</v>
      </c>
      <c r="R71" s="2840"/>
      <c r="S71" s="5427">
        <f>+'GRD SUMM RCL 150X150 '!BI21</f>
        <v>0</v>
      </c>
      <c r="T71" s="2840"/>
      <c r="U71" s="2840">
        <f t="shared" si="3"/>
        <v>1636</v>
      </c>
      <c r="V71" s="2840"/>
      <c r="W71" s="5427">
        <f>+'GRD SUMM RCL 150X150 '!BM21</f>
        <v>0</v>
      </c>
      <c r="X71" s="2840"/>
      <c r="Y71" s="2840">
        <f t="shared" si="4"/>
        <v>0</v>
      </c>
      <c r="Z71" s="2840"/>
      <c r="AA71" s="2840">
        <f t="shared" si="5"/>
        <v>1636</v>
      </c>
      <c r="AB71" s="2840"/>
      <c r="AC71" s="4930" t="e">
        <f>+'GRD SUMM RCL 150X150 '!#REF!</f>
        <v>#REF!</v>
      </c>
      <c r="AD71" s="2840"/>
      <c r="AE71" s="2840" t="e">
        <f t="shared" si="6"/>
        <v>#REF!</v>
      </c>
      <c r="AF71" s="2840"/>
      <c r="AG71" s="2840" t="e">
        <f>+'GRD SUMM RCL 150X150 '!#REF!</f>
        <v>#REF!</v>
      </c>
      <c r="AH71" s="2840"/>
      <c r="AI71" s="2840" t="e">
        <f t="shared" si="7"/>
        <v>#REF!</v>
      </c>
      <c r="AJ71" s="2840"/>
      <c r="AK71" s="4930" t="e">
        <f>+'GRD SUMM RCL 150X150 '!#REF!</f>
        <v>#REF!</v>
      </c>
      <c r="AL71" s="2840"/>
      <c r="AM71" s="2840" t="e">
        <f t="shared" si="8"/>
        <v>#REF!</v>
      </c>
      <c r="AN71" s="2840"/>
      <c r="AO71" s="2840" t="e">
        <f t="shared" si="9"/>
        <v>#REF!</v>
      </c>
      <c r="AP71" s="2840"/>
      <c r="AQ71" s="2840" t="e">
        <f>+'GRD SUMM RCL 150X150 '!#REF!</f>
        <v>#REF!</v>
      </c>
      <c r="AR71" s="2840"/>
      <c r="AS71" s="2840" t="e">
        <f t="shared" si="10"/>
        <v>#REF!</v>
      </c>
      <c r="AT71" s="2840"/>
      <c r="AU71" s="2840" t="e">
        <f>+'GRD SUMM RCL 150X150 '!#REF!</f>
        <v>#REF!</v>
      </c>
      <c r="AV71" s="2840"/>
      <c r="AW71" s="2840" t="e">
        <f t="shared" si="11"/>
        <v>#REF!</v>
      </c>
      <c r="AX71" s="2840"/>
      <c r="AY71" s="2840" t="e">
        <f>+'GRD SUMM RCL 150X150 '!#REF!</f>
        <v>#REF!</v>
      </c>
      <c r="AZ71" s="2840"/>
      <c r="BA71" s="2840" t="e">
        <f t="shared" si="12"/>
        <v>#REF!</v>
      </c>
      <c r="BB71" s="2840"/>
      <c r="BC71" s="2840" t="e">
        <f t="shared" si="13"/>
        <v>#REF!</v>
      </c>
      <c r="BD71" s="2860"/>
      <c r="BE71" s="2860" t="e">
        <f t="shared" si="14"/>
        <v>#REF!</v>
      </c>
    </row>
    <row r="72" spans="3:57" ht="14.45" x14ac:dyDescent="0.3">
      <c r="C72" s="2" t="s">
        <v>2143</v>
      </c>
      <c r="D72" s="304"/>
      <c r="E72" s="5427">
        <f>+'GRD SUMM RCL 150X150 '!AU22</f>
        <v>2361</v>
      </c>
      <c r="F72" s="2840"/>
      <c r="G72" s="5427">
        <f>+'GRD SUMM RCL 150X150 '!AW22</f>
        <v>4082</v>
      </c>
      <c r="H72" s="2840"/>
      <c r="I72" s="2840">
        <f t="shared" si="0"/>
        <v>6443</v>
      </c>
      <c r="J72" s="2840"/>
      <c r="K72" s="5427">
        <f>+'GRD SUMM RCL 150X150 '!BA22</f>
        <v>5864</v>
      </c>
      <c r="L72" s="2840"/>
      <c r="M72" s="2840">
        <f t="shared" si="1"/>
        <v>12307</v>
      </c>
      <c r="N72" s="2840"/>
      <c r="O72" s="5427">
        <f>+'GRD SUMM RCL 150X150 '!BE22</f>
        <v>8179</v>
      </c>
      <c r="P72" s="2840"/>
      <c r="Q72" s="2840">
        <f t="shared" si="2"/>
        <v>20486</v>
      </c>
      <c r="R72" s="2840"/>
      <c r="S72" s="5427">
        <f>+'GRD SUMM RCL 150X150 '!BI22</f>
        <v>6747.8880000000008</v>
      </c>
      <c r="T72" s="2840"/>
      <c r="U72" s="2840">
        <f t="shared" si="3"/>
        <v>27233.887999999999</v>
      </c>
      <c r="V72" s="2840"/>
      <c r="W72" s="5427">
        <f>+'GRD SUMM RCL 150X150 '!BM22</f>
        <v>6553</v>
      </c>
      <c r="X72" s="2840"/>
      <c r="Y72" s="2840">
        <f t="shared" si="4"/>
        <v>21479.887999999999</v>
      </c>
      <c r="Z72" s="2840"/>
      <c r="AA72" s="2840">
        <f t="shared" si="5"/>
        <v>33786.887999999999</v>
      </c>
      <c r="AB72" s="2840"/>
      <c r="AC72" s="4930" t="e">
        <f>+'GRD SUMM RCL 150X150 '!#REF!</f>
        <v>#REF!</v>
      </c>
      <c r="AD72" s="2840"/>
      <c r="AE72" s="2840" t="e">
        <f t="shared" si="6"/>
        <v>#REF!</v>
      </c>
      <c r="AF72" s="2840"/>
      <c r="AG72" s="2840" t="e">
        <f>+'GRD SUMM RCL 150X150 '!#REF!</f>
        <v>#REF!</v>
      </c>
      <c r="AH72" s="2840"/>
      <c r="AI72" s="2840" t="e">
        <f t="shared" si="7"/>
        <v>#REF!</v>
      </c>
      <c r="AJ72" s="2840"/>
      <c r="AK72" s="4930" t="e">
        <f>+'GRD SUMM RCL 150X150 '!#REF!</f>
        <v>#REF!</v>
      </c>
      <c r="AL72" s="2840"/>
      <c r="AM72" s="2840" t="e">
        <f t="shared" si="8"/>
        <v>#REF!</v>
      </c>
      <c r="AN72" s="2840"/>
      <c r="AO72" s="2840" t="e">
        <f t="shared" si="9"/>
        <v>#REF!</v>
      </c>
      <c r="AP72" s="2840"/>
      <c r="AQ72" s="2840" t="e">
        <f>+'GRD SUMM RCL 150X150 '!#REF!</f>
        <v>#REF!</v>
      </c>
      <c r="AR72" s="2840"/>
      <c r="AS72" s="2840" t="e">
        <f t="shared" si="10"/>
        <v>#REF!</v>
      </c>
      <c r="AT72" s="2840"/>
      <c r="AU72" s="2840" t="e">
        <f>+'GRD SUMM RCL 150X150 '!#REF!</f>
        <v>#REF!</v>
      </c>
      <c r="AV72" s="2840"/>
      <c r="AW72" s="2840" t="e">
        <f t="shared" si="11"/>
        <v>#REF!</v>
      </c>
      <c r="AX72" s="2840"/>
      <c r="AY72" s="2840" t="e">
        <f>+'GRD SUMM RCL 150X150 '!#REF!</f>
        <v>#REF!</v>
      </c>
      <c r="AZ72" s="2840"/>
      <c r="BA72" s="2840" t="e">
        <f t="shared" si="12"/>
        <v>#REF!</v>
      </c>
      <c r="BB72" s="2840"/>
      <c r="BC72" s="2840" t="e">
        <f t="shared" si="13"/>
        <v>#REF!</v>
      </c>
      <c r="BD72" s="2860"/>
      <c r="BE72" s="2860" t="e">
        <f t="shared" si="14"/>
        <v>#REF!</v>
      </c>
    </row>
    <row r="73" spans="3:57" ht="14.45" x14ac:dyDescent="0.3">
      <c r="C73" s="2" t="s">
        <v>2142</v>
      </c>
      <c r="D73" s="304"/>
      <c r="E73" s="5427">
        <f>+'GRD SUMM RCL 150X150 '!AU25</f>
        <v>442</v>
      </c>
      <c r="F73" s="2840"/>
      <c r="G73" s="5427">
        <f>+'GRD SUMM RCL 150X150 '!AW25</f>
        <v>104</v>
      </c>
      <c r="H73" s="2840"/>
      <c r="I73" s="2840">
        <f t="shared" si="0"/>
        <v>546</v>
      </c>
      <c r="J73" s="2840"/>
      <c r="K73" s="5427">
        <f>+'GRD SUMM RCL 150X150 '!BA25</f>
        <v>235</v>
      </c>
      <c r="L73" s="2840"/>
      <c r="M73" s="2840">
        <f t="shared" si="1"/>
        <v>781</v>
      </c>
      <c r="N73" s="2840"/>
      <c r="O73" s="5427">
        <f>+'GRD SUMM RCL 150X150 '!BE25</f>
        <v>116</v>
      </c>
      <c r="P73" s="2840"/>
      <c r="Q73" s="2840">
        <f t="shared" si="2"/>
        <v>897</v>
      </c>
      <c r="R73" s="2840"/>
      <c r="S73" s="5427">
        <f>+'GRD SUMM RCL 150X150 '!BI25</f>
        <v>0</v>
      </c>
      <c r="T73" s="2840"/>
      <c r="U73" s="2840">
        <f t="shared" si="3"/>
        <v>897</v>
      </c>
      <c r="V73" s="2840"/>
      <c r="W73" s="5427">
        <f>+'GRD SUMM RCL 150X150 '!BM25</f>
        <v>0</v>
      </c>
      <c r="X73" s="2840"/>
      <c r="Y73" s="2840">
        <f t="shared" si="4"/>
        <v>116</v>
      </c>
      <c r="Z73" s="2840"/>
      <c r="AA73" s="2840">
        <f t="shared" si="5"/>
        <v>897</v>
      </c>
      <c r="AB73" s="2840"/>
      <c r="AC73" s="4930" t="e">
        <f>+'GRD SUMM RCL 150X150 '!#REF!</f>
        <v>#REF!</v>
      </c>
      <c r="AD73" s="2840"/>
      <c r="AE73" s="2840" t="e">
        <f t="shared" si="6"/>
        <v>#REF!</v>
      </c>
      <c r="AF73" s="2840"/>
      <c r="AG73" s="2840" t="e">
        <f>+'GRD SUMM RCL 150X150 '!#REF!</f>
        <v>#REF!</v>
      </c>
      <c r="AH73" s="2840"/>
      <c r="AI73" s="2840" t="e">
        <f t="shared" si="7"/>
        <v>#REF!</v>
      </c>
      <c r="AJ73" s="2840"/>
      <c r="AK73" s="4930" t="e">
        <f>+'GRD SUMM RCL 150X150 '!#REF!</f>
        <v>#REF!</v>
      </c>
      <c r="AL73" s="2840"/>
      <c r="AM73" s="2840" t="e">
        <f t="shared" si="8"/>
        <v>#REF!</v>
      </c>
      <c r="AN73" s="2840"/>
      <c r="AO73" s="2840" t="e">
        <f t="shared" si="9"/>
        <v>#REF!</v>
      </c>
      <c r="AP73" s="2840"/>
      <c r="AQ73" s="2840" t="e">
        <f>+'GRD SUMM RCL 150X150 '!#REF!</f>
        <v>#REF!</v>
      </c>
      <c r="AR73" s="2840"/>
      <c r="AS73" s="2840" t="e">
        <f t="shared" si="10"/>
        <v>#REF!</v>
      </c>
      <c r="AT73" s="2840"/>
      <c r="AU73" s="2840" t="e">
        <f>+'GRD SUMM RCL 150X150 '!#REF!</f>
        <v>#REF!</v>
      </c>
      <c r="AV73" s="2840"/>
      <c r="AW73" s="2840" t="e">
        <f t="shared" si="11"/>
        <v>#REF!</v>
      </c>
      <c r="AX73" s="2840"/>
      <c r="AY73" s="2840" t="e">
        <f>+'GRD SUMM RCL 150X150 '!#REF!</f>
        <v>#REF!</v>
      </c>
      <c r="AZ73" s="2840"/>
      <c r="BA73" s="2840" t="e">
        <f t="shared" si="12"/>
        <v>#REF!</v>
      </c>
      <c r="BB73" s="2840"/>
      <c r="BC73" s="2840" t="e">
        <f t="shared" si="13"/>
        <v>#REF!</v>
      </c>
      <c r="BD73" s="2860"/>
      <c r="BE73" s="2860" t="e">
        <f t="shared" si="14"/>
        <v>#REF!</v>
      </c>
    </row>
    <row r="74" spans="3:57" ht="14.45" x14ac:dyDescent="0.3">
      <c r="C74" s="2" t="s">
        <v>1566</v>
      </c>
      <c r="D74" s="304"/>
      <c r="E74" s="5427">
        <f>+'GRD SUMM RCL 150X150 '!AU34</f>
        <v>723</v>
      </c>
      <c r="F74" s="2840"/>
      <c r="G74" s="5427">
        <f>+'GRD SUMM RCL 150X150 '!AW34</f>
        <v>590</v>
      </c>
      <c r="H74" s="2840"/>
      <c r="I74" s="2840">
        <f t="shared" si="0"/>
        <v>1313</v>
      </c>
      <c r="J74" s="2840"/>
      <c r="K74" s="5427">
        <f>+'GRD SUMM RCL 150X150 '!BA34</f>
        <v>619</v>
      </c>
      <c r="L74" s="2840"/>
      <c r="M74" s="2840">
        <f t="shared" si="1"/>
        <v>1932</v>
      </c>
      <c r="N74" s="2840"/>
      <c r="O74" s="5427">
        <f>+'GRD SUMM RCL 150X150 '!BE34</f>
        <v>583</v>
      </c>
      <c r="P74" s="2840"/>
      <c r="Q74" s="2840">
        <f t="shared" si="2"/>
        <v>2515</v>
      </c>
      <c r="R74" s="2840"/>
      <c r="S74" s="5427">
        <f>+'GRD SUMM RCL 150X150 '!BI34</f>
        <v>112.042</v>
      </c>
      <c r="T74" s="2840"/>
      <c r="U74" s="2840">
        <f t="shared" si="3"/>
        <v>2627.0419999999999</v>
      </c>
      <c r="V74" s="2840"/>
      <c r="W74" s="5427">
        <f>+'GRD SUMM RCL 150X150 '!BM34</f>
        <v>674</v>
      </c>
      <c r="X74" s="2840"/>
      <c r="Y74" s="2840">
        <f t="shared" si="4"/>
        <v>1369.0419999999999</v>
      </c>
      <c r="Z74" s="2840"/>
      <c r="AA74" s="2840">
        <f t="shared" si="5"/>
        <v>3301.0419999999999</v>
      </c>
      <c r="AB74" s="2840"/>
      <c r="AC74" s="4930" t="e">
        <f>+'GRD SUMM RCL 150X150 '!#REF!</f>
        <v>#REF!</v>
      </c>
      <c r="AD74" s="2840"/>
      <c r="AE74" s="2840" t="e">
        <f t="shared" si="6"/>
        <v>#REF!</v>
      </c>
      <c r="AF74" s="2840"/>
      <c r="AG74" s="2840" t="e">
        <f>+'GRD SUMM RCL 150X150 '!#REF!</f>
        <v>#REF!</v>
      </c>
      <c r="AH74" s="2840"/>
      <c r="AI74" s="2840" t="e">
        <f t="shared" si="7"/>
        <v>#REF!</v>
      </c>
      <c r="AJ74" s="2840"/>
      <c r="AK74" s="4930" t="e">
        <f>+'GRD SUMM RCL 150X150 '!#REF!</f>
        <v>#REF!</v>
      </c>
      <c r="AL74" s="2840"/>
      <c r="AM74" s="2840" t="e">
        <f t="shared" si="8"/>
        <v>#REF!</v>
      </c>
      <c r="AN74" s="2840"/>
      <c r="AO74" s="2840" t="e">
        <f t="shared" si="9"/>
        <v>#REF!</v>
      </c>
      <c r="AP74" s="2840"/>
      <c r="AQ74" s="2840" t="e">
        <f>+'GRD SUMM RCL 150X150 '!#REF!</f>
        <v>#REF!</v>
      </c>
      <c r="AR74" s="2840"/>
      <c r="AS74" s="2840" t="e">
        <f t="shared" si="10"/>
        <v>#REF!</v>
      </c>
      <c r="AT74" s="2840"/>
      <c r="AU74" s="2840" t="e">
        <f>+'GRD SUMM RCL 150X150 '!#REF!</f>
        <v>#REF!</v>
      </c>
      <c r="AV74" s="2840"/>
      <c r="AW74" s="2840" t="e">
        <f t="shared" si="11"/>
        <v>#REF!</v>
      </c>
      <c r="AX74" s="2840"/>
      <c r="AY74" s="2840" t="e">
        <f>+'GRD SUMM RCL 150X150 '!#REF!</f>
        <v>#REF!</v>
      </c>
      <c r="AZ74" s="2840"/>
      <c r="BA74" s="2840" t="e">
        <f t="shared" si="12"/>
        <v>#REF!</v>
      </c>
      <c r="BB74" s="2840"/>
      <c r="BC74" s="2840" t="e">
        <f t="shared" si="13"/>
        <v>#REF!</v>
      </c>
      <c r="BD74" s="2860"/>
      <c r="BE74" s="2860" t="e">
        <f t="shared" si="14"/>
        <v>#REF!</v>
      </c>
    </row>
    <row r="75" spans="3:57" ht="14.45" x14ac:dyDescent="0.3">
      <c r="C75" s="2" t="s">
        <v>1426</v>
      </c>
      <c r="D75" s="304"/>
      <c r="E75" s="5427">
        <f>+'GRD SUMM RCL 150X150 '!AU35</f>
        <v>0</v>
      </c>
      <c r="F75" s="2840"/>
      <c r="G75" s="5427">
        <f>+'GRD SUMM RCL 150X150 '!AW35</f>
        <v>0</v>
      </c>
      <c r="H75" s="2840"/>
      <c r="I75" s="2840">
        <f t="shared" si="0"/>
        <v>0</v>
      </c>
      <c r="J75" s="2840"/>
      <c r="K75" s="5427">
        <f>+'GRD SUMM RCL 150X150 '!BA35</f>
        <v>0</v>
      </c>
      <c r="L75" s="2840"/>
      <c r="M75" s="2840">
        <f t="shared" si="1"/>
        <v>0</v>
      </c>
      <c r="N75" s="2840"/>
      <c r="O75" s="5427">
        <f>+'GRD SUMM RCL 150X150 '!BE35</f>
        <v>0</v>
      </c>
      <c r="P75" s="2840"/>
      <c r="Q75" s="2840">
        <f t="shared" si="2"/>
        <v>0</v>
      </c>
      <c r="R75" s="2840"/>
      <c r="S75" s="5427">
        <f>+'GRD SUMM RCL 150X150 '!BI35</f>
        <v>0</v>
      </c>
      <c r="T75" s="2840"/>
      <c r="U75" s="2840">
        <f t="shared" si="3"/>
        <v>0</v>
      </c>
      <c r="V75" s="2840"/>
      <c r="W75" s="5427">
        <f>+'GRD SUMM RCL 150X150 '!BM35</f>
        <v>0</v>
      </c>
      <c r="X75" s="2840"/>
      <c r="Y75" s="2840">
        <f t="shared" si="4"/>
        <v>0</v>
      </c>
      <c r="Z75" s="2840"/>
      <c r="AA75" s="2840">
        <f t="shared" si="5"/>
        <v>0</v>
      </c>
      <c r="AB75" s="2840"/>
      <c r="AC75" s="4930" t="e">
        <f>+'GRD SUMM RCL 150X150 '!#REF!</f>
        <v>#REF!</v>
      </c>
      <c r="AD75" s="2840"/>
      <c r="AE75" s="2840" t="e">
        <f t="shared" si="6"/>
        <v>#REF!</v>
      </c>
      <c r="AF75" s="2840"/>
      <c r="AG75" s="2840" t="e">
        <f>+'GRD SUMM RCL 150X150 '!#REF!</f>
        <v>#REF!</v>
      </c>
      <c r="AH75" s="2840"/>
      <c r="AI75" s="2840" t="e">
        <f t="shared" si="7"/>
        <v>#REF!</v>
      </c>
      <c r="AJ75" s="2840"/>
      <c r="AK75" s="4930" t="e">
        <f>+'GRD SUMM RCL 150X150 '!#REF!</f>
        <v>#REF!</v>
      </c>
      <c r="AL75" s="2840"/>
      <c r="AM75" s="2840" t="e">
        <f t="shared" si="8"/>
        <v>#REF!</v>
      </c>
      <c r="AN75" s="2840"/>
      <c r="AO75" s="2840" t="e">
        <f t="shared" si="9"/>
        <v>#REF!</v>
      </c>
      <c r="AP75" s="2840"/>
      <c r="AQ75" s="2840" t="e">
        <f>+'GRD SUMM RCL 150X150 '!#REF!</f>
        <v>#REF!</v>
      </c>
      <c r="AR75" s="2840"/>
      <c r="AS75" s="2840" t="e">
        <f t="shared" si="10"/>
        <v>#REF!</v>
      </c>
      <c r="AT75" s="2840"/>
      <c r="AU75" s="2840" t="e">
        <f>+'GRD SUMM RCL 150X150 '!#REF!</f>
        <v>#REF!</v>
      </c>
      <c r="AV75" s="2840"/>
      <c r="AW75" s="2840" t="e">
        <f t="shared" si="11"/>
        <v>#REF!</v>
      </c>
      <c r="AX75" s="2840"/>
      <c r="AY75" s="2840" t="e">
        <f>+'GRD SUMM RCL 150X150 '!#REF!</f>
        <v>#REF!</v>
      </c>
      <c r="AZ75" s="2840"/>
      <c r="BA75" s="2840" t="e">
        <f t="shared" si="12"/>
        <v>#REF!</v>
      </c>
      <c r="BB75" s="2840"/>
      <c r="BC75" s="2840" t="e">
        <f t="shared" si="13"/>
        <v>#REF!</v>
      </c>
      <c r="BD75" s="2860"/>
      <c r="BE75" s="2860" t="e">
        <f t="shared" si="14"/>
        <v>#REF!</v>
      </c>
    </row>
    <row r="76" spans="3:57" ht="14.45" x14ac:dyDescent="0.3">
      <c r="C76" s="2" t="s">
        <v>2150</v>
      </c>
      <c r="D76" s="304"/>
      <c r="E76" s="5427">
        <f>+'GRD SUMM RCL 150X150 '!AU39</f>
        <v>442</v>
      </c>
      <c r="F76" s="2840"/>
      <c r="G76" s="5427">
        <f>+'GRD SUMM RCL 150X150 '!AW39</f>
        <v>1461</v>
      </c>
      <c r="H76" s="2840"/>
      <c r="I76" s="2840">
        <f t="shared" si="0"/>
        <v>1903</v>
      </c>
      <c r="J76" s="2840"/>
      <c r="K76" s="5427">
        <f>+'GRD SUMM RCL 150X150 '!BA39</f>
        <v>3839</v>
      </c>
      <c r="L76" s="2840"/>
      <c r="M76" s="2840">
        <f t="shared" si="1"/>
        <v>5742</v>
      </c>
      <c r="N76" s="2840"/>
      <c r="O76" s="5427">
        <f>+'GRD SUMM RCL 150X150 '!BE39</f>
        <v>3196</v>
      </c>
      <c r="P76" s="2840"/>
      <c r="Q76" s="2840">
        <f t="shared" si="2"/>
        <v>8938</v>
      </c>
      <c r="R76" s="2840"/>
      <c r="S76" s="5427">
        <f>+'GRD SUMM RCL 150X150 '!BI39</f>
        <v>0</v>
      </c>
      <c r="T76" s="2840"/>
      <c r="U76" s="2840">
        <f t="shared" si="3"/>
        <v>8938</v>
      </c>
      <c r="V76" s="2840"/>
      <c r="W76" s="5427">
        <f>+'GRD SUMM RCL 150X150 '!BM39</f>
        <v>0</v>
      </c>
      <c r="X76" s="2840"/>
      <c r="Y76" s="2840">
        <f t="shared" si="4"/>
        <v>3196</v>
      </c>
      <c r="Z76" s="2840"/>
      <c r="AA76" s="2840">
        <f t="shared" si="5"/>
        <v>8938</v>
      </c>
      <c r="AB76" s="2840"/>
      <c r="AC76" s="4930" t="e">
        <f>+'GRD SUMM RCL 150X150 '!#REF!</f>
        <v>#REF!</v>
      </c>
      <c r="AD76" s="2840"/>
      <c r="AE76" s="2840" t="e">
        <f t="shared" si="6"/>
        <v>#REF!</v>
      </c>
      <c r="AF76" s="2840"/>
      <c r="AG76" s="2840" t="e">
        <f>+'GRD SUMM RCL 150X150 '!#REF!</f>
        <v>#REF!</v>
      </c>
      <c r="AH76" s="2840"/>
      <c r="AI76" s="2840" t="e">
        <f t="shared" si="7"/>
        <v>#REF!</v>
      </c>
      <c r="AJ76" s="2840"/>
      <c r="AK76" s="4930" t="e">
        <f>+'GRD SUMM RCL 150X150 '!#REF!</f>
        <v>#REF!</v>
      </c>
      <c r="AL76" s="2840"/>
      <c r="AM76" s="2840" t="e">
        <f t="shared" si="8"/>
        <v>#REF!</v>
      </c>
      <c r="AN76" s="2840"/>
      <c r="AO76" s="2840" t="e">
        <f t="shared" si="9"/>
        <v>#REF!</v>
      </c>
      <c r="AP76" s="2840"/>
      <c r="AQ76" s="2840" t="e">
        <f>+'GRD SUMM RCL 150X150 '!#REF!</f>
        <v>#REF!</v>
      </c>
      <c r="AR76" s="2840"/>
      <c r="AS76" s="2840" t="e">
        <f t="shared" si="10"/>
        <v>#REF!</v>
      </c>
      <c r="AT76" s="2840"/>
      <c r="AU76" s="2840" t="e">
        <f>+'GRD SUMM RCL 150X150 '!#REF!</f>
        <v>#REF!</v>
      </c>
      <c r="AV76" s="2840"/>
      <c r="AW76" s="2840" t="e">
        <f t="shared" si="11"/>
        <v>#REF!</v>
      </c>
      <c r="AX76" s="2840"/>
      <c r="AY76" s="2840" t="e">
        <f>+'GRD SUMM RCL 150X150 '!#REF!</f>
        <v>#REF!</v>
      </c>
      <c r="AZ76" s="2840"/>
      <c r="BA76" s="2840" t="e">
        <f t="shared" si="12"/>
        <v>#REF!</v>
      </c>
      <c r="BB76" s="2840"/>
      <c r="BC76" s="2840" t="e">
        <f t="shared" si="13"/>
        <v>#REF!</v>
      </c>
      <c r="BD76" s="2860"/>
      <c r="BE76" s="2860" t="e">
        <f t="shared" si="14"/>
        <v>#REF!</v>
      </c>
    </row>
    <row r="77" spans="3:57" ht="14.45" x14ac:dyDescent="0.3">
      <c r="C77" s="2" t="s">
        <v>1211</v>
      </c>
      <c r="D77" s="304"/>
      <c r="E77" s="5427">
        <f>+'GRD SUMM RCL 150X150 '!AU40</f>
        <v>178</v>
      </c>
      <c r="F77" s="2840"/>
      <c r="G77" s="5427">
        <f>+'GRD SUMM RCL 150X150 '!AW40</f>
        <v>0</v>
      </c>
      <c r="H77" s="2840"/>
      <c r="I77" s="2840">
        <f t="shared" si="0"/>
        <v>178</v>
      </c>
      <c r="J77" s="2840"/>
      <c r="K77" s="5427">
        <f>+'GRD SUMM RCL 150X150 '!BA40</f>
        <v>0</v>
      </c>
      <c r="L77" s="2840"/>
      <c r="M77" s="2840">
        <f t="shared" si="1"/>
        <v>178</v>
      </c>
      <c r="N77" s="2840"/>
      <c r="O77" s="5427">
        <f>+'GRD SUMM RCL 150X150 '!BE40</f>
        <v>116</v>
      </c>
      <c r="P77" s="2840"/>
      <c r="Q77" s="2840">
        <f t="shared" si="2"/>
        <v>294</v>
      </c>
      <c r="R77" s="2840"/>
      <c r="S77" s="5427">
        <f>+'GRD SUMM RCL 150X150 '!BI40</f>
        <v>268.47800000000001</v>
      </c>
      <c r="T77" s="2840"/>
      <c r="U77" s="2840">
        <f t="shared" si="3"/>
        <v>562.47800000000007</v>
      </c>
      <c r="V77" s="2840"/>
      <c r="W77" s="5427">
        <f>+'GRD SUMM RCL 150X150 '!BM40</f>
        <v>0</v>
      </c>
      <c r="X77" s="2840"/>
      <c r="Y77" s="2840">
        <f t="shared" si="4"/>
        <v>384.47800000000001</v>
      </c>
      <c r="Z77" s="2840"/>
      <c r="AA77" s="2840">
        <f t="shared" si="5"/>
        <v>562.47800000000007</v>
      </c>
      <c r="AB77" s="2840"/>
      <c r="AC77" s="4930" t="e">
        <f>+'GRD SUMM RCL 150X150 '!#REF!</f>
        <v>#REF!</v>
      </c>
      <c r="AD77" s="2840"/>
      <c r="AE77" s="2840" t="e">
        <f t="shared" si="6"/>
        <v>#REF!</v>
      </c>
      <c r="AF77" s="2840"/>
      <c r="AG77" s="2840" t="e">
        <f>+'GRD SUMM RCL 150X150 '!#REF!</f>
        <v>#REF!</v>
      </c>
      <c r="AH77" s="2840"/>
      <c r="AI77" s="2840" t="e">
        <f t="shared" si="7"/>
        <v>#REF!</v>
      </c>
      <c r="AJ77" s="2840"/>
      <c r="AK77" s="4930" t="e">
        <f>+'GRD SUMM RCL 150X150 '!#REF!</f>
        <v>#REF!</v>
      </c>
      <c r="AL77" s="2840"/>
      <c r="AM77" s="2840" t="e">
        <f t="shared" si="8"/>
        <v>#REF!</v>
      </c>
      <c r="AN77" s="2840"/>
      <c r="AO77" s="2840" t="e">
        <f t="shared" si="9"/>
        <v>#REF!</v>
      </c>
      <c r="AP77" s="2840"/>
      <c r="AQ77" s="2840" t="e">
        <f>+'GRD SUMM RCL 150X150 '!#REF!</f>
        <v>#REF!</v>
      </c>
      <c r="AR77" s="2840"/>
      <c r="AS77" s="2840" t="e">
        <f t="shared" si="10"/>
        <v>#REF!</v>
      </c>
      <c r="AT77" s="2840"/>
      <c r="AU77" s="2840" t="e">
        <f>+'GRD SUMM RCL 150X150 '!#REF!</f>
        <v>#REF!</v>
      </c>
      <c r="AV77" s="2840"/>
      <c r="AW77" s="2840" t="e">
        <f t="shared" si="11"/>
        <v>#REF!</v>
      </c>
      <c r="AX77" s="2840"/>
      <c r="AY77" s="2840" t="e">
        <f>+'GRD SUMM RCL 150X150 '!#REF!</f>
        <v>#REF!</v>
      </c>
      <c r="AZ77" s="2840"/>
      <c r="BA77" s="2840" t="e">
        <f t="shared" si="12"/>
        <v>#REF!</v>
      </c>
      <c r="BB77" s="2840"/>
      <c r="BC77" s="2840" t="e">
        <f t="shared" si="13"/>
        <v>#REF!</v>
      </c>
      <c r="BD77" s="2860"/>
      <c r="BE77" s="2860" t="e">
        <f t="shared" si="14"/>
        <v>#REF!</v>
      </c>
    </row>
    <row r="78" spans="3:57" ht="14.45" x14ac:dyDescent="0.3">
      <c r="C78" s="2" t="s">
        <v>1210</v>
      </c>
      <c r="D78" s="304"/>
      <c r="E78" s="5427">
        <f>+'GRD SUMM RCL 150X150 '!AU41</f>
        <v>12536</v>
      </c>
      <c r="F78" s="2840"/>
      <c r="G78" s="5427">
        <f>+'GRD SUMM RCL 150X150 '!AW41</f>
        <v>0</v>
      </c>
      <c r="H78" s="2840"/>
      <c r="I78" s="2840">
        <f t="shared" si="0"/>
        <v>12536</v>
      </c>
      <c r="J78" s="2840"/>
      <c r="K78" s="5427">
        <f>+'GRD SUMM RCL 150X150 '!BA41</f>
        <v>11350</v>
      </c>
      <c r="L78" s="2840"/>
      <c r="M78" s="2840">
        <f t="shared" si="1"/>
        <v>23886</v>
      </c>
      <c r="N78" s="2840"/>
      <c r="O78" s="5427">
        <f>+'GRD SUMM RCL 150X150 '!BE41</f>
        <v>13705</v>
      </c>
      <c r="P78" s="2840"/>
      <c r="Q78" s="2840">
        <f t="shared" si="2"/>
        <v>37591</v>
      </c>
      <c r="R78" s="2840"/>
      <c r="S78" s="5427">
        <f>+'GRD SUMM RCL 150X150 '!BI41</f>
        <v>6337.7719999999999</v>
      </c>
      <c r="T78" s="2840"/>
      <c r="U78" s="2840">
        <f t="shared" si="3"/>
        <v>43928.771999999997</v>
      </c>
      <c r="V78" s="2840"/>
      <c r="W78" s="5427">
        <f>+'GRD SUMM RCL 150X150 '!BM41</f>
        <v>10684</v>
      </c>
      <c r="X78" s="2840"/>
      <c r="Y78" s="2840">
        <f t="shared" si="4"/>
        <v>30726.772000000001</v>
      </c>
      <c r="Z78" s="2840"/>
      <c r="AA78" s="2840">
        <f t="shared" si="5"/>
        <v>54612.771999999997</v>
      </c>
      <c r="AB78" s="2840"/>
      <c r="AC78" s="4930" t="e">
        <f>+'GRD SUMM RCL 150X150 '!#REF!</f>
        <v>#REF!</v>
      </c>
      <c r="AD78" s="2840"/>
      <c r="AE78" s="2840" t="e">
        <f t="shared" si="6"/>
        <v>#REF!</v>
      </c>
      <c r="AF78" s="2840"/>
      <c r="AG78" s="2840" t="e">
        <f>+'GRD SUMM RCL 150X150 '!#REF!</f>
        <v>#REF!</v>
      </c>
      <c r="AH78" s="2840"/>
      <c r="AI78" s="2840" t="e">
        <f t="shared" si="7"/>
        <v>#REF!</v>
      </c>
      <c r="AJ78" s="2840"/>
      <c r="AK78" s="4930" t="e">
        <f>+'GRD SUMM RCL 150X150 '!#REF!</f>
        <v>#REF!</v>
      </c>
      <c r="AL78" s="2840"/>
      <c r="AM78" s="2840" t="e">
        <f t="shared" si="8"/>
        <v>#REF!</v>
      </c>
      <c r="AN78" s="2840"/>
      <c r="AO78" s="2840" t="e">
        <f t="shared" si="9"/>
        <v>#REF!</v>
      </c>
      <c r="AP78" s="2840"/>
      <c r="AQ78" s="2840" t="e">
        <f>+'GRD SUMM RCL 150X150 '!#REF!</f>
        <v>#REF!</v>
      </c>
      <c r="AR78" s="2840"/>
      <c r="AS78" s="2840" t="e">
        <f t="shared" si="10"/>
        <v>#REF!</v>
      </c>
      <c r="AT78" s="2840"/>
      <c r="AU78" s="2840" t="e">
        <f>+'GRD SUMM RCL 150X150 '!#REF!</f>
        <v>#REF!</v>
      </c>
      <c r="AV78" s="2840"/>
      <c r="AW78" s="2840" t="e">
        <f t="shared" si="11"/>
        <v>#REF!</v>
      </c>
      <c r="AX78" s="2840"/>
      <c r="AY78" s="2840" t="e">
        <f>+'GRD SUMM RCL 150X150 '!#REF!</f>
        <v>#REF!</v>
      </c>
      <c r="AZ78" s="2840"/>
      <c r="BA78" s="2840" t="e">
        <f t="shared" si="12"/>
        <v>#REF!</v>
      </c>
      <c r="BB78" s="2840"/>
      <c r="BC78" s="2840" t="e">
        <f t="shared" si="13"/>
        <v>#REF!</v>
      </c>
      <c r="BD78" s="2860"/>
      <c r="BE78" s="2860" t="e">
        <f t="shared" si="14"/>
        <v>#REF!</v>
      </c>
    </row>
    <row r="79" spans="3:57" ht="14.45" x14ac:dyDescent="0.3">
      <c r="C79" s="2" t="s">
        <v>2141</v>
      </c>
      <c r="D79" s="304"/>
      <c r="E79" s="5427">
        <f>+'GRD SUMM RCL 150X150 '!AU43</f>
        <v>0</v>
      </c>
      <c r="F79" s="2840"/>
      <c r="G79" s="5427">
        <f>+'GRD SUMM RCL 150X150 '!AW43</f>
        <v>268</v>
      </c>
      <c r="H79" s="2840"/>
      <c r="I79" s="2840">
        <f t="shared" si="0"/>
        <v>268</v>
      </c>
      <c r="J79" s="2840"/>
      <c r="K79" s="5427">
        <f>+'GRD SUMM RCL 150X150 '!BA43</f>
        <v>0</v>
      </c>
      <c r="L79" s="2840"/>
      <c r="M79" s="2840">
        <f t="shared" si="1"/>
        <v>268</v>
      </c>
      <c r="N79" s="2840"/>
      <c r="O79" s="5427">
        <f>+'GRD SUMM RCL 150X150 '!BE43</f>
        <v>0</v>
      </c>
      <c r="P79" s="2840"/>
      <c r="Q79" s="2840">
        <f t="shared" si="2"/>
        <v>268</v>
      </c>
      <c r="R79" s="2840"/>
      <c r="S79" s="5427">
        <f>+'GRD SUMM RCL 150X150 '!BI43</f>
        <v>353.03800000000001</v>
      </c>
      <c r="T79" s="2840"/>
      <c r="U79" s="2840">
        <f t="shared" si="3"/>
        <v>621.03800000000001</v>
      </c>
      <c r="V79" s="2840"/>
      <c r="W79" s="5427">
        <f>+'GRD SUMM RCL 150X150 '!BM43</f>
        <v>114</v>
      </c>
      <c r="X79" s="2840"/>
      <c r="Y79" s="2840">
        <f t="shared" si="4"/>
        <v>467.03800000000001</v>
      </c>
      <c r="Z79" s="2840"/>
      <c r="AA79" s="2840">
        <f t="shared" si="5"/>
        <v>735.03800000000001</v>
      </c>
      <c r="AB79" s="2840"/>
      <c r="AC79" s="4930" t="e">
        <f>+'GRD SUMM RCL 150X150 '!#REF!</f>
        <v>#REF!</v>
      </c>
      <c r="AD79" s="2840"/>
      <c r="AE79" s="2840" t="e">
        <f t="shared" si="6"/>
        <v>#REF!</v>
      </c>
      <c r="AF79" s="2840"/>
      <c r="AG79" s="2840" t="e">
        <f>+'GRD SUMM RCL 150X150 '!#REF!</f>
        <v>#REF!</v>
      </c>
      <c r="AH79" s="2840"/>
      <c r="AI79" s="2840" t="e">
        <f t="shared" si="7"/>
        <v>#REF!</v>
      </c>
      <c r="AJ79" s="2840"/>
      <c r="AK79" s="4930" t="e">
        <f>+'GRD SUMM RCL 150X150 '!#REF!</f>
        <v>#REF!</v>
      </c>
      <c r="AL79" s="2840"/>
      <c r="AM79" s="2840" t="e">
        <f t="shared" si="8"/>
        <v>#REF!</v>
      </c>
      <c r="AN79" s="2840"/>
      <c r="AO79" s="2840" t="e">
        <f t="shared" si="9"/>
        <v>#REF!</v>
      </c>
      <c r="AP79" s="2840"/>
      <c r="AQ79" s="2840" t="e">
        <f>+'GRD SUMM RCL 150X150 '!#REF!</f>
        <v>#REF!</v>
      </c>
      <c r="AR79" s="2840"/>
      <c r="AS79" s="2840" t="e">
        <f t="shared" si="10"/>
        <v>#REF!</v>
      </c>
      <c r="AT79" s="2840"/>
      <c r="AU79" s="2840" t="e">
        <f>+'GRD SUMM RCL 150X150 '!#REF!</f>
        <v>#REF!</v>
      </c>
      <c r="AV79" s="2840"/>
      <c r="AW79" s="2840" t="e">
        <f t="shared" si="11"/>
        <v>#REF!</v>
      </c>
      <c r="AX79" s="2840"/>
      <c r="AY79" s="2840" t="e">
        <f>+'GRD SUMM RCL 150X150 '!#REF!</f>
        <v>#REF!</v>
      </c>
      <c r="AZ79" s="2840"/>
      <c r="BA79" s="2840" t="e">
        <f t="shared" si="12"/>
        <v>#REF!</v>
      </c>
      <c r="BB79" s="2840"/>
      <c r="BC79" s="2840" t="e">
        <f t="shared" si="13"/>
        <v>#REF!</v>
      </c>
      <c r="BD79" s="2860"/>
      <c r="BE79" s="2860" t="e">
        <f t="shared" si="14"/>
        <v>#REF!</v>
      </c>
    </row>
    <row r="80" spans="3:57" ht="14.45" x14ac:dyDescent="0.3">
      <c r="C80" s="2" t="s">
        <v>1210</v>
      </c>
      <c r="D80" s="304"/>
      <c r="E80" s="5427">
        <f>+'GRD SUMM RCL 150X150 '!AU44</f>
        <v>0</v>
      </c>
      <c r="F80" s="2840"/>
      <c r="G80" s="5427">
        <f>+'GRD SUMM RCL 150X150 '!AW44</f>
        <v>11786</v>
      </c>
      <c r="H80" s="2840"/>
      <c r="I80" s="2840">
        <f t="shared" si="0"/>
        <v>11786</v>
      </c>
      <c r="J80" s="2840"/>
      <c r="K80" s="5427">
        <f>+'GRD SUMM RCL 150X150 '!BA44</f>
        <v>0</v>
      </c>
      <c r="L80" s="2840"/>
      <c r="M80" s="2840">
        <f t="shared" si="1"/>
        <v>11786</v>
      </c>
      <c r="N80" s="2840"/>
      <c r="O80" s="5427">
        <f>+'GRD SUMM RCL 150X150 '!BE44</f>
        <v>0</v>
      </c>
      <c r="P80" s="2840"/>
      <c r="Q80" s="2840">
        <f t="shared" si="2"/>
        <v>11786</v>
      </c>
      <c r="R80" s="2840"/>
      <c r="S80" s="5427">
        <f>+'GRD SUMM RCL 150X150 '!BI44</f>
        <v>8141.0140000000001</v>
      </c>
      <c r="T80" s="2840"/>
      <c r="U80" s="2840">
        <f t="shared" si="3"/>
        <v>19927.013999999999</v>
      </c>
      <c r="V80" s="2840"/>
      <c r="W80" s="5427">
        <f>+'GRD SUMM RCL 150X150 '!BM44</f>
        <v>0</v>
      </c>
      <c r="X80" s="2840"/>
      <c r="Y80" s="2840">
        <f t="shared" si="4"/>
        <v>8141.0140000000001</v>
      </c>
      <c r="Z80" s="2840"/>
      <c r="AA80" s="2840">
        <f t="shared" si="5"/>
        <v>19927.013999999999</v>
      </c>
      <c r="AB80" s="2840"/>
      <c r="AC80" s="4930" t="e">
        <f>+'GRD SUMM RCL 150X150 '!#REF!</f>
        <v>#REF!</v>
      </c>
      <c r="AD80" s="2840"/>
      <c r="AE80" s="2840" t="e">
        <f t="shared" si="6"/>
        <v>#REF!</v>
      </c>
      <c r="AF80" s="2840"/>
      <c r="AG80" s="2840" t="e">
        <f>+'GRD SUMM RCL 150X150 '!#REF!</f>
        <v>#REF!</v>
      </c>
      <c r="AH80" s="2840"/>
      <c r="AI80" s="2840" t="e">
        <f t="shared" si="7"/>
        <v>#REF!</v>
      </c>
      <c r="AJ80" s="2840"/>
      <c r="AK80" s="4930" t="e">
        <f>+'GRD SUMM RCL 150X150 '!#REF!</f>
        <v>#REF!</v>
      </c>
      <c r="AL80" s="2840"/>
      <c r="AM80" s="2840" t="e">
        <f t="shared" si="8"/>
        <v>#REF!</v>
      </c>
      <c r="AN80" s="2840"/>
      <c r="AO80" s="2840" t="e">
        <f t="shared" si="9"/>
        <v>#REF!</v>
      </c>
      <c r="AP80" s="2840"/>
      <c r="AQ80" s="2840" t="e">
        <f>+'GRD SUMM RCL 150X150 '!#REF!</f>
        <v>#REF!</v>
      </c>
      <c r="AR80" s="2840"/>
      <c r="AS80" s="2840" t="e">
        <f t="shared" si="10"/>
        <v>#REF!</v>
      </c>
      <c r="AT80" s="2840"/>
      <c r="AU80" s="2840" t="e">
        <f>+'GRD SUMM RCL 150X150 '!#REF!</f>
        <v>#REF!</v>
      </c>
      <c r="AV80" s="2840"/>
      <c r="AW80" s="2840" t="e">
        <f t="shared" si="11"/>
        <v>#REF!</v>
      </c>
      <c r="AX80" s="2840"/>
      <c r="AY80" s="2840" t="e">
        <f>+'GRD SUMM RCL 150X150 '!#REF!</f>
        <v>#REF!</v>
      </c>
      <c r="AZ80" s="2840"/>
      <c r="BA80" s="2840" t="e">
        <f t="shared" si="12"/>
        <v>#REF!</v>
      </c>
      <c r="BB80" s="2840"/>
      <c r="BC80" s="2840" t="e">
        <f t="shared" si="13"/>
        <v>#REF!</v>
      </c>
      <c r="BD80" s="2860"/>
      <c r="BE80" s="2860" t="e">
        <f t="shared" si="14"/>
        <v>#REF!</v>
      </c>
    </row>
    <row r="81" spans="3:57" ht="14.45" x14ac:dyDescent="0.3">
      <c r="C81" s="2" t="s">
        <v>2149</v>
      </c>
      <c r="D81" s="304"/>
      <c r="E81" s="5427">
        <f>+'GRD SUMM RCL 150X150 '!AU45</f>
        <v>0</v>
      </c>
      <c r="F81" s="2840"/>
      <c r="G81" s="5427">
        <f>+'GRD SUMM RCL 150X150 '!AW45</f>
        <v>0</v>
      </c>
      <c r="H81" s="2840"/>
      <c r="I81" s="2840">
        <f t="shared" si="0"/>
        <v>0</v>
      </c>
      <c r="J81" s="2840"/>
      <c r="K81" s="5427">
        <f>+'GRD SUMM RCL 150X150 '!BA45</f>
        <v>3911</v>
      </c>
      <c r="L81" s="2840"/>
      <c r="M81" s="2840">
        <f t="shared" si="1"/>
        <v>3911</v>
      </c>
      <c r="N81" s="2840"/>
      <c r="O81" s="5427">
        <f>+'GRD SUMM RCL 150X150 '!BE45</f>
        <v>0</v>
      </c>
      <c r="P81" s="2840"/>
      <c r="Q81" s="2840">
        <f t="shared" si="2"/>
        <v>3911</v>
      </c>
      <c r="R81" s="2840"/>
      <c r="S81" s="5427">
        <f>+'GRD SUMM RCL 150X150 '!BI45</f>
        <v>0</v>
      </c>
      <c r="T81" s="2840"/>
      <c r="U81" s="2840">
        <f t="shared" si="3"/>
        <v>3911</v>
      </c>
      <c r="V81" s="2840"/>
      <c r="W81" s="5427">
        <f>+'GRD SUMM RCL 150X150 '!BM45</f>
        <v>1778</v>
      </c>
      <c r="X81" s="2840"/>
      <c r="Y81" s="2840">
        <f t="shared" si="4"/>
        <v>1778</v>
      </c>
      <c r="Z81" s="2840"/>
      <c r="AA81" s="2840">
        <f t="shared" si="5"/>
        <v>5689</v>
      </c>
      <c r="AB81" s="2840"/>
      <c r="AC81" s="4930" t="e">
        <f>+'GRD SUMM RCL 150X150 '!#REF!</f>
        <v>#REF!</v>
      </c>
      <c r="AD81" s="2840"/>
      <c r="AE81" s="2840" t="e">
        <f t="shared" si="6"/>
        <v>#REF!</v>
      </c>
      <c r="AF81" s="2840"/>
      <c r="AG81" s="2840" t="e">
        <f>+'GRD SUMM RCL 150X150 '!#REF!</f>
        <v>#REF!</v>
      </c>
      <c r="AH81" s="2840"/>
      <c r="AI81" s="2840" t="e">
        <f t="shared" si="7"/>
        <v>#REF!</v>
      </c>
      <c r="AJ81" s="2840"/>
      <c r="AK81" s="4930" t="e">
        <f>+'GRD SUMM RCL 150X150 '!#REF!</f>
        <v>#REF!</v>
      </c>
      <c r="AL81" s="2840"/>
      <c r="AM81" s="2840" t="e">
        <f t="shared" si="8"/>
        <v>#REF!</v>
      </c>
      <c r="AN81" s="2840"/>
      <c r="AO81" s="2840" t="e">
        <f t="shared" si="9"/>
        <v>#REF!</v>
      </c>
      <c r="AP81" s="2840"/>
      <c r="AQ81" s="2840" t="e">
        <f>+'GRD SUMM RCL 150X150 '!#REF!</f>
        <v>#REF!</v>
      </c>
      <c r="AR81" s="2840"/>
      <c r="AS81" s="2840" t="e">
        <f t="shared" si="10"/>
        <v>#REF!</v>
      </c>
      <c r="AT81" s="2840"/>
      <c r="AU81" s="2840" t="e">
        <f>+'GRD SUMM RCL 150X150 '!#REF!</f>
        <v>#REF!</v>
      </c>
      <c r="AV81" s="2840"/>
      <c r="AW81" s="2840" t="e">
        <f t="shared" si="11"/>
        <v>#REF!</v>
      </c>
      <c r="AX81" s="2840"/>
      <c r="AY81" s="2840" t="e">
        <f>+'GRD SUMM RCL 150X150 '!#REF!</f>
        <v>#REF!</v>
      </c>
      <c r="AZ81" s="2840"/>
      <c r="BA81" s="2840" t="e">
        <f t="shared" si="12"/>
        <v>#REF!</v>
      </c>
      <c r="BB81" s="2840"/>
      <c r="BC81" s="2840" t="e">
        <f t="shared" si="13"/>
        <v>#REF!</v>
      </c>
      <c r="BD81" s="2860"/>
      <c r="BE81" s="2860" t="e">
        <f t="shared" si="14"/>
        <v>#REF!</v>
      </c>
    </row>
    <row r="82" spans="3:57" ht="14.45" x14ac:dyDescent="0.3">
      <c r="C82" s="2" t="s">
        <v>1994</v>
      </c>
      <c r="D82" s="304"/>
      <c r="E82" s="5427">
        <f>+'GRD SUMM RCL 150X150 '!AU46</f>
        <v>256</v>
      </c>
      <c r="F82" s="2840"/>
      <c r="G82" s="5427">
        <f>+'GRD SUMM RCL 150X150 '!AW46</f>
        <v>750</v>
      </c>
      <c r="H82" s="2840"/>
      <c r="I82" s="2840">
        <f t="shared" si="0"/>
        <v>1006</v>
      </c>
      <c r="J82" s="2840"/>
      <c r="K82" s="5427">
        <f>+'GRD SUMM RCL 150X150 '!BA46</f>
        <v>131</v>
      </c>
      <c r="L82" s="2840"/>
      <c r="M82" s="2840">
        <f t="shared" si="1"/>
        <v>1137</v>
      </c>
      <c r="N82" s="2840"/>
      <c r="O82" s="5427">
        <f>+'GRD SUMM RCL 150X150 '!BE46</f>
        <v>685</v>
      </c>
      <c r="P82" s="2840"/>
      <c r="Q82" s="2840">
        <f t="shared" si="2"/>
        <v>1822</v>
      </c>
      <c r="R82" s="2840"/>
      <c r="S82" s="5427">
        <f>+'GRD SUMM RCL 150X150 '!BI46</f>
        <v>410.11599999999999</v>
      </c>
      <c r="T82" s="2840"/>
      <c r="U82" s="2840">
        <f t="shared" si="3"/>
        <v>2232.116</v>
      </c>
      <c r="V82" s="2840"/>
      <c r="W82" s="5427">
        <f>+'GRD SUMM RCL 150X150 '!BM46</f>
        <v>5355</v>
      </c>
      <c r="X82" s="2840"/>
      <c r="Y82" s="2840">
        <f t="shared" si="4"/>
        <v>6450.116</v>
      </c>
      <c r="Z82" s="2840"/>
      <c r="AA82" s="2840">
        <f t="shared" si="5"/>
        <v>7587.116</v>
      </c>
      <c r="AB82" s="2840"/>
      <c r="AC82" s="4930" t="e">
        <f>+'GRD SUMM RCL 150X150 '!#REF!</f>
        <v>#REF!</v>
      </c>
      <c r="AD82" s="2840"/>
      <c r="AE82" s="2840" t="e">
        <f t="shared" si="6"/>
        <v>#REF!</v>
      </c>
      <c r="AF82" s="2840"/>
      <c r="AG82" s="2840" t="e">
        <f>+'GRD SUMM RCL 150X150 '!#REF!</f>
        <v>#REF!</v>
      </c>
      <c r="AH82" s="2840"/>
      <c r="AI82" s="2840" t="e">
        <f t="shared" si="7"/>
        <v>#REF!</v>
      </c>
      <c r="AJ82" s="2840"/>
      <c r="AK82" s="4930" t="e">
        <f>+'GRD SUMM RCL 150X150 '!#REF!</f>
        <v>#REF!</v>
      </c>
      <c r="AL82" s="2840"/>
      <c r="AM82" s="2840" t="e">
        <f t="shared" si="8"/>
        <v>#REF!</v>
      </c>
      <c r="AN82" s="2840"/>
      <c r="AO82" s="2840" t="e">
        <f t="shared" si="9"/>
        <v>#REF!</v>
      </c>
      <c r="AP82" s="2840"/>
      <c r="AQ82" s="2840" t="e">
        <f>+'GRD SUMM RCL 150X150 '!#REF!</f>
        <v>#REF!</v>
      </c>
      <c r="AR82" s="2840"/>
      <c r="AS82" s="2840" t="e">
        <f t="shared" si="10"/>
        <v>#REF!</v>
      </c>
      <c r="AT82" s="2840"/>
      <c r="AU82" s="2840" t="e">
        <f>+'GRD SUMM RCL 150X150 '!#REF!</f>
        <v>#REF!</v>
      </c>
      <c r="AV82" s="2840"/>
      <c r="AW82" s="2840" t="e">
        <f t="shared" si="11"/>
        <v>#REF!</v>
      </c>
      <c r="AX82" s="2840"/>
      <c r="AY82" s="2840" t="e">
        <f>+'GRD SUMM RCL 150X150 '!#REF!</f>
        <v>#REF!</v>
      </c>
      <c r="AZ82" s="2840"/>
      <c r="BA82" s="2840" t="e">
        <f t="shared" si="12"/>
        <v>#REF!</v>
      </c>
      <c r="BB82" s="2840"/>
      <c r="BC82" s="2840" t="e">
        <f t="shared" si="13"/>
        <v>#REF!</v>
      </c>
      <c r="BD82" s="2860"/>
      <c r="BE82" s="2860" t="e">
        <f t="shared" si="14"/>
        <v>#REF!</v>
      </c>
    </row>
    <row r="83" spans="3:57" ht="14.45" x14ac:dyDescent="0.3">
      <c r="C83" s="2" t="s">
        <v>1212</v>
      </c>
      <c r="D83" s="304"/>
      <c r="E83" s="5427">
        <f>+'GRD SUMM RCL 150X150 '!AU47</f>
        <v>15200</v>
      </c>
      <c r="F83" s="2840"/>
      <c r="G83" s="5427">
        <f>+'GRD SUMM RCL 150X150 '!AW47</f>
        <v>17368</v>
      </c>
      <c r="H83" s="2840"/>
      <c r="I83" s="2840">
        <f t="shared" si="0"/>
        <v>32568</v>
      </c>
      <c r="J83" s="2840"/>
      <c r="K83" s="5427">
        <f>+'GRD SUMM RCL 150X150 '!BA47</f>
        <v>12849</v>
      </c>
      <c r="L83" s="2840"/>
      <c r="M83" s="2840">
        <f t="shared" si="1"/>
        <v>45417</v>
      </c>
      <c r="N83" s="2840"/>
      <c r="O83" s="5427">
        <f>+'GRD SUMM RCL 150X150 '!BE47</f>
        <v>18517</v>
      </c>
      <c r="P83" s="2840"/>
      <c r="Q83" s="2840">
        <f t="shared" si="2"/>
        <v>63934</v>
      </c>
      <c r="R83" s="2840"/>
      <c r="S83" s="5427">
        <f>+'GRD SUMM RCL 150X150 '!BI47</f>
        <v>14098.266</v>
      </c>
      <c r="T83" s="2840"/>
      <c r="U83" s="2840">
        <f t="shared" si="3"/>
        <v>78032.266000000003</v>
      </c>
      <c r="V83" s="2840"/>
      <c r="W83" s="5427">
        <f>+'GRD SUMM RCL 150X150 '!BM47</f>
        <v>17181</v>
      </c>
      <c r="X83" s="2840"/>
      <c r="Y83" s="2840">
        <f t="shared" si="4"/>
        <v>49796.266000000003</v>
      </c>
      <c r="Z83" s="2840"/>
      <c r="AA83" s="2840">
        <f t="shared" si="5"/>
        <v>95213.266000000003</v>
      </c>
      <c r="AB83" s="2840"/>
      <c r="AC83" s="4930" t="e">
        <f>+'GRD SUMM RCL 150X150 '!#REF!</f>
        <v>#REF!</v>
      </c>
      <c r="AD83" s="2840"/>
      <c r="AE83" s="2840" t="e">
        <f t="shared" si="6"/>
        <v>#REF!</v>
      </c>
      <c r="AF83" s="2840"/>
      <c r="AG83" s="2840" t="e">
        <f>+'GRD SUMM RCL 150X150 '!#REF!</f>
        <v>#REF!</v>
      </c>
      <c r="AH83" s="2840"/>
      <c r="AI83" s="2840" t="e">
        <f t="shared" si="7"/>
        <v>#REF!</v>
      </c>
      <c r="AJ83" s="2840"/>
      <c r="AK83" s="4930" t="e">
        <f>+'GRD SUMM RCL 150X150 '!#REF!</f>
        <v>#REF!</v>
      </c>
      <c r="AL83" s="2840"/>
      <c r="AM83" s="2840" t="e">
        <f t="shared" si="8"/>
        <v>#REF!</v>
      </c>
      <c r="AN83" s="2840"/>
      <c r="AO83" s="2840" t="e">
        <f t="shared" si="9"/>
        <v>#REF!</v>
      </c>
      <c r="AP83" s="2840"/>
      <c r="AQ83" s="2840" t="e">
        <f>+'GRD SUMM RCL 150X150 '!#REF!</f>
        <v>#REF!</v>
      </c>
      <c r="AR83" s="2840"/>
      <c r="AS83" s="2840" t="e">
        <f t="shared" si="10"/>
        <v>#REF!</v>
      </c>
      <c r="AT83" s="2840"/>
      <c r="AU83" s="2840" t="e">
        <f>+'GRD SUMM RCL 150X150 '!#REF!</f>
        <v>#REF!</v>
      </c>
      <c r="AV83" s="2840"/>
      <c r="AW83" s="2840" t="e">
        <f t="shared" si="11"/>
        <v>#REF!</v>
      </c>
      <c r="AX83" s="2840"/>
      <c r="AY83" s="2840" t="e">
        <f>+'GRD SUMM RCL 150X150 '!#REF!</f>
        <v>#REF!</v>
      </c>
      <c r="AZ83" s="2840"/>
      <c r="BA83" s="2840" t="e">
        <f t="shared" si="12"/>
        <v>#REF!</v>
      </c>
      <c r="BB83" s="2840"/>
      <c r="BC83" s="2840" t="e">
        <f t="shared" si="13"/>
        <v>#REF!</v>
      </c>
      <c r="BD83" s="2860"/>
      <c r="BE83" s="2860" t="e">
        <f t="shared" si="14"/>
        <v>#REF!</v>
      </c>
    </row>
    <row r="84" spans="3:57" ht="14.45" x14ac:dyDescent="0.3">
      <c r="C84" s="2" t="s">
        <v>2251</v>
      </c>
      <c r="D84" s="304"/>
      <c r="E84" s="5427">
        <f>+'GRD SUMM RCL 150X150 '!AU51</f>
        <v>0</v>
      </c>
      <c r="F84" s="2840"/>
      <c r="G84" s="5427">
        <f>+'GRD SUMM RCL 150X150 '!AW51</f>
        <v>302</v>
      </c>
      <c r="H84" s="2840"/>
      <c r="I84" s="2840">
        <f t="shared" si="0"/>
        <v>302</v>
      </c>
      <c r="J84" s="2840"/>
      <c r="K84" s="5427">
        <f>+'GRD SUMM RCL 150X150 '!BA51</f>
        <v>108</v>
      </c>
      <c r="L84" s="2840"/>
      <c r="M84" s="2840">
        <f t="shared" si="1"/>
        <v>410</v>
      </c>
      <c r="N84" s="2840"/>
      <c r="O84" s="5427">
        <f>+'GRD SUMM RCL 150X150 '!BE51</f>
        <v>1552</v>
      </c>
      <c r="P84" s="2840"/>
      <c r="Q84" s="2840">
        <f t="shared" si="2"/>
        <v>1962</v>
      </c>
      <c r="R84" s="2840"/>
      <c r="S84" s="5427">
        <f>+'GRD SUMM RCL 150X150 '!BI51</f>
        <v>0</v>
      </c>
      <c r="T84" s="2840"/>
      <c r="U84" s="2840">
        <f t="shared" si="3"/>
        <v>1962</v>
      </c>
      <c r="V84" s="2840"/>
      <c r="W84" s="5427">
        <f>+'GRD SUMM RCL 150X150 '!BM51</f>
        <v>0</v>
      </c>
      <c r="X84" s="2840"/>
      <c r="Y84" s="2840">
        <f t="shared" si="4"/>
        <v>1552</v>
      </c>
      <c r="Z84" s="2840"/>
      <c r="AA84" s="2840">
        <f t="shared" si="5"/>
        <v>1962</v>
      </c>
      <c r="AB84" s="2840"/>
      <c r="AC84" s="4930" t="e">
        <f>+'GRD SUMM RCL 150X150 '!#REF!</f>
        <v>#REF!</v>
      </c>
      <c r="AD84" s="2840"/>
      <c r="AE84" s="2840" t="e">
        <f t="shared" si="6"/>
        <v>#REF!</v>
      </c>
      <c r="AF84" s="2840"/>
      <c r="AG84" s="2840" t="e">
        <f>+'GRD SUMM RCL 150X150 '!#REF!</f>
        <v>#REF!</v>
      </c>
      <c r="AH84" s="2840"/>
      <c r="AI84" s="2840" t="e">
        <f t="shared" si="7"/>
        <v>#REF!</v>
      </c>
      <c r="AJ84" s="2840"/>
      <c r="AK84" s="4930" t="e">
        <f>+'GRD SUMM RCL 150X150 '!#REF!</f>
        <v>#REF!</v>
      </c>
      <c r="AL84" s="2840"/>
      <c r="AM84" s="2840" t="e">
        <f t="shared" si="8"/>
        <v>#REF!</v>
      </c>
      <c r="AN84" s="2840"/>
      <c r="AO84" s="2840" t="e">
        <f t="shared" si="9"/>
        <v>#REF!</v>
      </c>
      <c r="AP84" s="2840"/>
      <c r="AQ84" s="2840" t="e">
        <f>+'GRD SUMM RCL 150X150 '!#REF!</f>
        <v>#REF!</v>
      </c>
      <c r="AR84" s="2840"/>
      <c r="AS84" s="2840" t="e">
        <f t="shared" si="10"/>
        <v>#REF!</v>
      </c>
      <c r="AT84" s="2840"/>
      <c r="AU84" s="2840" t="e">
        <f>+'GRD SUMM RCL 150X150 '!#REF!</f>
        <v>#REF!</v>
      </c>
      <c r="AV84" s="2840"/>
      <c r="AW84" s="2840" t="e">
        <f t="shared" si="11"/>
        <v>#REF!</v>
      </c>
      <c r="AX84" s="2840"/>
      <c r="AY84" s="2840" t="e">
        <f>+'GRD SUMM RCL 150X150 '!#REF!</f>
        <v>#REF!</v>
      </c>
      <c r="AZ84" s="2840"/>
      <c r="BA84" s="2840" t="e">
        <f t="shared" si="12"/>
        <v>#REF!</v>
      </c>
      <c r="BB84" s="2840"/>
      <c r="BC84" s="2840" t="e">
        <f t="shared" si="13"/>
        <v>#REF!</v>
      </c>
      <c r="BD84" s="2860"/>
      <c r="BE84" s="2860" t="e">
        <f t="shared" si="14"/>
        <v>#REF!</v>
      </c>
    </row>
    <row r="85" spans="3:57" ht="14.45" x14ac:dyDescent="0.3">
      <c r="C85" s="5599" t="s">
        <v>2352</v>
      </c>
      <c r="D85" s="5600"/>
      <c r="E85" s="5601">
        <f>'GRD SUMM RCL 150X150 '!AU53</f>
        <v>0</v>
      </c>
      <c r="F85" s="5602"/>
      <c r="G85" s="5601">
        <f>'GRD SUMM RCL 150X150 '!AW53</f>
        <v>0</v>
      </c>
      <c r="H85" s="5602"/>
      <c r="I85" s="5602"/>
      <c r="J85" s="5602"/>
      <c r="K85" s="5601">
        <f>'GRD SUMM RCL 150X150 '!BA53</f>
        <v>0</v>
      </c>
      <c r="L85" s="5602"/>
      <c r="M85" s="5602"/>
      <c r="N85" s="5602"/>
      <c r="O85" s="5601">
        <f>'GRD SUMM RCL 150X150 '!BE53</f>
        <v>0</v>
      </c>
      <c r="P85" s="5602"/>
      <c r="Q85" s="5602"/>
      <c r="R85" s="5602"/>
      <c r="S85" s="5601">
        <f>'GRD SUMM RCL 150X150 '!BI53</f>
        <v>0</v>
      </c>
      <c r="T85" s="5602"/>
      <c r="U85" s="2840">
        <f t="shared" si="3"/>
        <v>0</v>
      </c>
      <c r="V85" s="5602"/>
      <c r="W85" s="5601">
        <f>'GRD SUMM RCL 150X150 '!BM53</f>
        <v>374</v>
      </c>
      <c r="X85" s="5602"/>
      <c r="Y85" s="2840">
        <f t="shared" si="4"/>
        <v>374</v>
      </c>
      <c r="Z85" s="5602"/>
      <c r="AA85" s="2840">
        <f t="shared" si="5"/>
        <v>374</v>
      </c>
      <c r="AB85" s="5602"/>
      <c r="AC85" s="5603"/>
      <c r="AD85" s="5602"/>
      <c r="AE85" s="5602"/>
      <c r="AF85" s="5602"/>
      <c r="AG85" s="5602"/>
      <c r="AH85" s="5602"/>
      <c r="AI85" s="5602"/>
      <c r="AJ85" s="5602"/>
      <c r="AK85" s="5603"/>
      <c r="AL85" s="5602"/>
      <c r="AM85" s="5602"/>
      <c r="AN85" s="5602"/>
      <c r="AO85" s="5602"/>
      <c r="AP85" s="5602"/>
      <c r="AQ85" s="5602"/>
      <c r="AR85" s="5602"/>
      <c r="AS85" s="5602"/>
      <c r="AT85" s="5602"/>
      <c r="AU85" s="5602"/>
      <c r="AV85" s="5602"/>
      <c r="AW85" s="5602"/>
      <c r="AX85" s="5602"/>
      <c r="AY85" s="5602"/>
      <c r="AZ85" s="5602"/>
      <c r="BA85" s="5602"/>
      <c r="BB85" s="5602"/>
      <c r="BC85" s="5602"/>
      <c r="BD85" s="5604"/>
      <c r="BE85" s="5604"/>
    </row>
    <row r="86" spans="3:57" ht="14.45" x14ac:dyDescent="0.3">
      <c r="C86" s="2" t="s">
        <v>2148</v>
      </c>
      <c r="D86" s="304"/>
      <c r="E86" s="5427">
        <f>+'GRD SUMM RCL 150X150 '!AU54</f>
        <v>1670</v>
      </c>
      <c r="F86" s="2840"/>
      <c r="G86" s="5427">
        <f>+'GRD SUMM RCL 150X150 '!AW54</f>
        <v>3414</v>
      </c>
      <c r="H86" s="2840"/>
      <c r="I86" s="2840">
        <f t="shared" si="0"/>
        <v>5084</v>
      </c>
      <c r="J86" s="2840"/>
      <c r="K86" s="5427">
        <f>+'GRD SUMM RCL 150X150 '!BA54</f>
        <v>2771</v>
      </c>
      <c r="L86" s="2840"/>
      <c r="M86" s="2840">
        <f t="shared" si="1"/>
        <v>7855</v>
      </c>
      <c r="N86" s="2840"/>
      <c r="O86" s="5427">
        <f>+'GRD SUMM RCL 150X150 '!BE54</f>
        <v>2319</v>
      </c>
      <c r="P86" s="2840"/>
      <c r="Q86" s="2840">
        <f t="shared" si="2"/>
        <v>10174</v>
      </c>
      <c r="R86" s="2840"/>
      <c r="S86" s="5427">
        <f>+'GRD SUMM RCL 150X150 '!BI54</f>
        <v>3579.002</v>
      </c>
      <c r="T86" s="2840"/>
      <c r="U86" s="2840">
        <f t="shared" si="3"/>
        <v>13753.002</v>
      </c>
      <c r="V86" s="2840"/>
      <c r="W86" s="5427">
        <f>+'GRD SUMM RCL 150X150 '!BM54</f>
        <v>1932</v>
      </c>
      <c r="X86" s="2840"/>
      <c r="Y86" s="2840">
        <f t="shared" si="4"/>
        <v>7830.0020000000004</v>
      </c>
      <c r="Z86" s="2840"/>
      <c r="AA86" s="2840">
        <f t="shared" si="5"/>
        <v>15685.002</v>
      </c>
      <c r="AB86" s="2840"/>
      <c r="AC86" s="4930" t="e">
        <f>+'GRD SUMM RCL 150X150 '!#REF!</f>
        <v>#REF!</v>
      </c>
      <c r="AD86" s="2840"/>
      <c r="AE86" s="2840" t="e">
        <f t="shared" si="6"/>
        <v>#REF!</v>
      </c>
      <c r="AF86" s="2840"/>
      <c r="AG86" s="2840" t="e">
        <f>+'GRD SUMM RCL 150X150 '!#REF!</f>
        <v>#REF!</v>
      </c>
      <c r="AH86" s="2840"/>
      <c r="AI86" s="2840" t="e">
        <f t="shared" si="7"/>
        <v>#REF!</v>
      </c>
      <c r="AJ86" s="2840"/>
      <c r="AK86" s="4930" t="e">
        <f>+'GRD SUMM RCL 150X150 '!#REF!</f>
        <v>#REF!</v>
      </c>
      <c r="AL86" s="2840"/>
      <c r="AM86" s="2840" t="e">
        <f t="shared" si="8"/>
        <v>#REF!</v>
      </c>
      <c r="AN86" s="2840"/>
      <c r="AO86" s="2840" t="e">
        <f t="shared" si="9"/>
        <v>#REF!</v>
      </c>
      <c r="AP86" s="2840"/>
      <c r="AQ86" s="2840" t="e">
        <f>+'GRD SUMM RCL 150X150 '!#REF!</f>
        <v>#REF!</v>
      </c>
      <c r="AR86" s="2840"/>
      <c r="AS86" s="2840" t="e">
        <f t="shared" si="10"/>
        <v>#REF!</v>
      </c>
      <c r="AT86" s="2840"/>
      <c r="AU86" s="2840" t="e">
        <f>+'GRD SUMM RCL 150X150 '!#REF!</f>
        <v>#REF!</v>
      </c>
      <c r="AV86" s="2840"/>
      <c r="AW86" s="2840" t="e">
        <f t="shared" si="11"/>
        <v>#REF!</v>
      </c>
      <c r="AX86" s="2840"/>
      <c r="AY86" s="2840" t="e">
        <f>+'GRD SUMM RCL 150X150 '!#REF!</f>
        <v>#REF!</v>
      </c>
      <c r="AZ86" s="2840"/>
      <c r="BA86" s="2840" t="e">
        <f t="shared" si="12"/>
        <v>#REF!</v>
      </c>
      <c r="BB86" s="2840"/>
      <c r="BC86" s="2840" t="e">
        <f t="shared" si="13"/>
        <v>#REF!</v>
      </c>
      <c r="BD86" s="2860"/>
      <c r="BE86" s="2860" t="e">
        <f t="shared" si="14"/>
        <v>#REF!</v>
      </c>
    </row>
    <row r="87" spans="3:57" ht="14.45" x14ac:dyDescent="0.3">
      <c r="C87" s="2" t="s">
        <v>1342</v>
      </c>
      <c r="D87" s="304"/>
      <c r="E87" s="5427">
        <f>+'GRD SUMM RCL 150X150 '!AU55</f>
        <v>3034</v>
      </c>
      <c r="F87" s="2840"/>
      <c r="G87" s="5427">
        <f>+'GRD SUMM RCL 150X150 '!AW55</f>
        <v>3348</v>
      </c>
      <c r="H87" s="2840"/>
      <c r="I87" s="2840">
        <f t="shared" si="0"/>
        <v>6382</v>
      </c>
      <c r="J87" s="2840"/>
      <c r="K87" s="5427">
        <f>+'GRD SUMM RCL 150X150 '!BA55</f>
        <v>2101</v>
      </c>
      <c r="L87" s="2840"/>
      <c r="M87" s="2840">
        <f t="shared" si="1"/>
        <v>8483</v>
      </c>
      <c r="N87" s="2840"/>
      <c r="O87" s="5427">
        <f>+'GRD SUMM RCL 150X150 '!BE55</f>
        <v>1795</v>
      </c>
      <c r="P87" s="2840"/>
      <c r="Q87" s="2840">
        <f t="shared" si="2"/>
        <v>10278</v>
      </c>
      <c r="R87" s="2840"/>
      <c r="S87" s="5427">
        <f>+'GRD SUMM RCL 150X150 '!BI55</f>
        <v>1887.8020000000001</v>
      </c>
      <c r="T87" s="2840"/>
      <c r="U87" s="2840">
        <f t="shared" si="3"/>
        <v>12165.802</v>
      </c>
      <c r="V87" s="2840"/>
      <c r="W87" s="5427">
        <f>+'GRD SUMM RCL 150X150 '!BM55</f>
        <v>2519</v>
      </c>
      <c r="X87" s="2840"/>
      <c r="Y87" s="2840">
        <f t="shared" si="4"/>
        <v>6201.8019999999997</v>
      </c>
      <c r="Z87" s="2840"/>
      <c r="AA87" s="2840">
        <f t="shared" si="5"/>
        <v>14684.802</v>
      </c>
      <c r="AB87" s="2840"/>
      <c r="AC87" s="4930" t="e">
        <f>+'GRD SUMM RCL 150X150 '!#REF!</f>
        <v>#REF!</v>
      </c>
      <c r="AD87" s="2840"/>
      <c r="AE87" s="2840" t="e">
        <f t="shared" si="6"/>
        <v>#REF!</v>
      </c>
      <c r="AF87" s="2840"/>
      <c r="AG87" s="2840" t="e">
        <f>+'GRD SUMM RCL 150X150 '!#REF!</f>
        <v>#REF!</v>
      </c>
      <c r="AH87" s="2840"/>
      <c r="AI87" s="2840" t="e">
        <f t="shared" si="7"/>
        <v>#REF!</v>
      </c>
      <c r="AJ87" s="2840"/>
      <c r="AK87" s="4930" t="e">
        <f>+'GRD SUMM RCL 150X150 '!#REF!</f>
        <v>#REF!</v>
      </c>
      <c r="AL87" s="2840"/>
      <c r="AM87" s="2840" t="e">
        <f t="shared" si="8"/>
        <v>#REF!</v>
      </c>
      <c r="AN87" s="2840"/>
      <c r="AO87" s="2840" t="e">
        <f t="shared" si="9"/>
        <v>#REF!</v>
      </c>
      <c r="AP87" s="2840"/>
      <c r="AQ87" s="2840" t="e">
        <f>+'GRD SUMM RCL 150X150 '!#REF!</f>
        <v>#REF!</v>
      </c>
      <c r="AR87" s="2840"/>
      <c r="AS87" s="2840" t="e">
        <f t="shared" si="10"/>
        <v>#REF!</v>
      </c>
      <c r="AT87" s="2840"/>
      <c r="AU87" s="2840" t="e">
        <f>+'GRD SUMM RCL 150X150 '!#REF!</f>
        <v>#REF!</v>
      </c>
      <c r="AV87" s="2840"/>
      <c r="AW87" s="2840" t="e">
        <f t="shared" si="11"/>
        <v>#REF!</v>
      </c>
      <c r="AX87" s="2840"/>
      <c r="AY87" s="2840" t="e">
        <f>+'GRD SUMM RCL 150X150 '!#REF!</f>
        <v>#REF!</v>
      </c>
      <c r="AZ87" s="2840"/>
      <c r="BA87" s="2840" t="e">
        <f t="shared" si="12"/>
        <v>#REF!</v>
      </c>
      <c r="BB87" s="2840"/>
      <c r="BC87" s="2840" t="e">
        <f t="shared" si="13"/>
        <v>#REF!</v>
      </c>
      <c r="BD87" s="2860"/>
      <c r="BE87" s="2860" t="e">
        <f t="shared" si="14"/>
        <v>#REF!</v>
      </c>
    </row>
    <row r="88" spans="3:57" ht="15.6" x14ac:dyDescent="0.3">
      <c r="C88" s="2845" t="s">
        <v>2</v>
      </c>
      <c r="D88" s="2865"/>
      <c r="E88" s="2846">
        <f>+SUM(E68:E87)</f>
        <v>39163</v>
      </c>
      <c r="F88" s="2846"/>
      <c r="G88" s="2846">
        <f>+SUM(G68:G87)</f>
        <v>44211</v>
      </c>
      <c r="H88" s="2846"/>
      <c r="I88" s="2846">
        <f t="shared" si="0"/>
        <v>83374</v>
      </c>
      <c r="J88" s="2846"/>
      <c r="K88" s="2846">
        <f>+SUM(K68:K87)</f>
        <v>44391</v>
      </c>
      <c r="L88" s="2846"/>
      <c r="M88" s="2846">
        <f t="shared" si="1"/>
        <v>127765</v>
      </c>
      <c r="N88" s="2846"/>
      <c r="O88" s="2846">
        <f>+SUM(O68:O87)</f>
        <v>51587</v>
      </c>
      <c r="P88" s="2846"/>
      <c r="Q88" s="2846">
        <f t="shared" si="2"/>
        <v>179352</v>
      </c>
      <c r="R88" s="2846"/>
      <c r="S88" s="2846">
        <f>+SUM(S68:S87)</f>
        <v>41935.418000000005</v>
      </c>
      <c r="T88" s="2846"/>
      <c r="U88" s="2846">
        <f t="shared" si="3"/>
        <v>221287.41800000001</v>
      </c>
      <c r="V88" s="2846"/>
      <c r="W88" s="2846">
        <f>+SUM(W68:W87)</f>
        <v>47164</v>
      </c>
      <c r="X88" s="2846"/>
      <c r="Y88" s="2846">
        <f t="shared" si="4"/>
        <v>140686.41800000001</v>
      </c>
      <c r="Z88" s="2846"/>
      <c r="AA88" s="2846">
        <f t="shared" si="5"/>
        <v>268451.41800000001</v>
      </c>
      <c r="AB88" s="2846"/>
      <c r="AC88" s="4932" t="e">
        <f>+SUM(AC68:AC87)</f>
        <v>#REF!</v>
      </c>
      <c r="AD88" s="2846"/>
      <c r="AE88" s="2846" t="e">
        <f t="shared" si="6"/>
        <v>#REF!</v>
      </c>
      <c r="AF88" s="2846"/>
      <c r="AG88" s="2846" t="e">
        <f>+SUM(AG68:AG87)</f>
        <v>#REF!</v>
      </c>
      <c r="AH88" s="2846"/>
      <c r="AI88" s="2846" t="e">
        <f t="shared" si="7"/>
        <v>#REF!</v>
      </c>
      <c r="AJ88" s="2846"/>
      <c r="AK88" s="4932" t="e">
        <f>+SUM(AK68:AK87)</f>
        <v>#REF!</v>
      </c>
      <c r="AL88" s="2846"/>
      <c r="AM88" s="2846" t="e">
        <f t="shared" si="8"/>
        <v>#REF!</v>
      </c>
      <c r="AN88" s="2846"/>
      <c r="AO88" s="2846" t="e">
        <f t="shared" si="9"/>
        <v>#REF!</v>
      </c>
      <c r="AP88" s="2846"/>
      <c r="AQ88" s="2846" t="e">
        <f>+SUM(AQ68:AQ87)</f>
        <v>#REF!</v>
      </c>
      <c r="AR88" s="2846"/>
      <c r="AS88" s="2846" t="e">
        <f t="shared" si="10"/>
        <v>#REF!</v>
      </c>
      <c r="AT88" s="2846"/>
      <c r="AU88" s="2846" t="e">
        <f>+SUM(AU68:AU87)</f>
        <v>#REF!</v>
      </c>
      <c r="AV88" s="2846"/>
      <c r="AW88" s="2846" t="e">
        <f t="shared" si="11"/>
        <v>#REF!</v>
      </c>
      <c r="AX88" s="2846"/>
      <c r="AY88" s="2846" t="e">
        <f>+SUM(AY68:AY87)</f>
        <v>#REF!</v>
      </c>
      <c r="AZ88" s="2846"/>
      <c r="BA88" s="2846" t="e">
        <f t="shared" si="12"/>
        <v>#REF!</v>
      </c>
      <c r="BB88" s="2846"/>
      <c r="BC88" s="2846" t="e">
        <f t="shared" si="13"/>
        <v>#REF!</v>
      </c>
      <c r="BD88" s="2846"/>
      <c r="BE88" s="2846" t="e">
        <f t="shared" si="14"/>
        <v>#REF!</v>
      </c>
    </row>
    <row r="89" spans="3:57" ht="14.45" x14ac:dyDescent="0.3">
      <c r="C89" s="2847" t="s">
        <v>1516</v>
      </c>
      <c r="D89" s="2866"/>
      <c r="E89" s="2654">
        <f>+SMS!F36</f>
        <v>144</v>
      </c>
      <c r="F89" s="2654"/>
      <c r="G89" s="2654">
        <f>+SMS!H36</f>
        <v>154</v>
      </c>
      <c r="H89" s="2654"/>
      <c r="I89" s="2654">
        <f t="shared" si="0"/>
        <v>298</v>
      </c>
      <c r="J89" s="2654"/>
      <c r="K89" s="2654">
        <f>+SMS!L36</f>
        <v>56</v>
      </c>
      <c r="L89" s="2654"/>
      <c r="M89" s="2654">
        <f t="shared" si="1"/>
        <v>354</v>
      </c>
      <c r="N89" s="2654"/>
      <c r="O89" s="2654">
        <f>+SMS!P36</f>
        <v>26</v>
      </c>
      <c r="P89" s="2654"/>
      <c r="Q89" s="2654">
        <f t="shared" si="2"/>
        <v>380</v>
      </c>
      <c r="R89" s="2654"/>
      <c r="S89" s="2654">
        <f>+SMS!T36</f>
        <v>66</v>
      </c>
      <c r="T89" s="2654"/>
      <c r="U89" s="2654">
        <f t="shared" si="3"/>
        <v>446</v>
      </c>
      <c r="V89" s="2654"/>
      <c r="W89" s="2654">
        <f>+SMS!X36</f>
        <v>260</v>
      </c>
      <c r="X89" s="2654"/>
      <c r="Y89" s="2654">
        <f t="shared" si="4"/>
        <v>352</v>
      </c>
      <c r="Z89" s="2654"/>
      <c r="AA89" s="2654">
        <f t="shared" si="5"/>
        <v>706</v>
      </c>
      <c r="AB89" s="2654"/>
      <c r="AC89" s="2654">
        <f>+SMS!AD36</f>
        <v>246</v>
      </c>
      <c r="AD89" s="2654"/>
      <c r="AE89" s="2654">
        <f t="shared" si="6"/>
        <v>952</v>
      </c>
      <c r="AF89" s="2654"/>
      <c r="AG89" s="2654">
        <f>+SMS!AH36</f>
        <v>18</v>
      </c>
      <c r="AH89" s="2654"/>
      <c r="AI89" s="2654">
        <f t="shared" si="7"/>
        <v>970</v>
      </c>
      <c r="AJ89" s="2654"/>
      <c r="AK89" s="2654">
        <f>+SMS!AL36</f>
        <v>455</v>
      </c>
      <c r="AL89" s="2654"/>
      <c r="AM89" s="2654">
        <f t="shared" si="8"/>
        <v>719</v>
      </c>
      <c r="AN89" s="2654"/>
      <c r="AO89" s="2654">
        <f t="shared" si="9"/>
        <v>1425</v>
      </c>
      <c r="AP89" s="2654"/>
      <c r="AQ89" s="2654">
        <f>+SMS!AR36</f>
        <v>494</v>
      </c>
      <c r="AR89" s="2654"/>
      <c r="AS89" s="2654">
        <f t="shared" si="10"/>
        <v>1919</v>
      </c>
      <c r="AT89" s="2654"/>
      <c r="AU89" s="2654">
        <f>+SMS!AV36</f>
        <v>154</v>
      </c>
      <c r="AV89" s="2654"/>
      <c r="AW89" s="2654">
        <f t="shared" si="11"/>
        <v>2073</v>
      </c>
      <c r="AX89" s="2654"/>
      <c r="AY89" s="2654">
        <f>+SMS!AZ36</f>
        <v>0</v>
      </c>
      <c r="AZ89" s="2654"/>
      <c r="BA89" s="2654">
        <f t="shared" si="12"/>
        <v>648</v>
      </c>
      <c r="BB89" s="2654"/>
      <c r="BC89" s="2654">
        <f t="shared" si="13"/>
        <v>1367</v>
      </c>
      <c r="BD89" s="4940"/>
      <c r="BE89" s="4940">
        <f t="shared" si="14"/>
        <v>2073</v>
      </c>
    </row>
    <row r="90" spans="3:57" ht="14.45" x14ac:dyDescent="0.3">
      <c r="C90" s="4938" t="s">
        <v>1791</v>
      </c>
      <c r="D90" s="4939"/>
      <c r="E90" s="4940">
        <f>+SUM(E91:E94)</f>
        <v>5926</v>
      </c>
      <c r="F90" s="4940"/>
      <c r="G90" s="4940">
        <f>+SUM(G91:G94)</f>
        <v>7640</v>
      </c>
      <c r="H90" s="4940"/>
      <c r="I90" s="4940">
        <f t="shared" si="0"/>
        <v>13566</v>
      </c>
      <c r="J90" s="4940"/>
      <c r="K90" s="4940">
        <f>+SUM(K91:K94)</f>
        <v>6752</v>
      </c>
      <c r="L90" s="4940"/>
      <c r="M90" s="4940">
        <f t="shared" si="1"/>
        <v>20318</v>
      </c>
      <c r="N90" s="4940"/>
      <c r="O90" s="4940">
        <f>+SUM(O91:O94)</f>
        <v>5864</v>
      </c>
      <c r="P90" s="4940"/>
      <c r="Q90" s="4940">
        <f t="shared" si="2"/>
        <v>26182</v>
      </c>
      <c r="R90" s="4940"/>
      <c r="S90" s="4940">
        <f>+SUM(S91:S94)</f>
        <v>6517.4620000000004</v>
      </c>
      <c r="T90" s="4940"/>
      <c r="U90" s="4940">
        <f t="shared" si="3"/>
        <v>32699.462</v>
      </c>
      <c r="V90" s="4940"/>
      <c r="W90" s="4940">
        <f>+SUM(W91:W94)</f>
        <v>8118</v>
      </c>
      <c r="X90" s="4940"/>
      <c r="Y90" s="4940">
        <f t="shared" si="4"/>
        <v>20499.462</v>
      </c>
      <c r="Z90" s="4940"/>
      <c r="AA90" s="4940">
        <f t="shared" si="5"/>
        <v>40817.462</v>
      </c>
      <c r="AB90" s="4940"/>
      <c r="AC90" s="4940">
        <f>+SUM(AC91:AC94)</f>
        <v>10906</v>
      </c>
      <c r="AD90" s="4940"/>
      <c r="AE90" s="4940">
        <f t="shared" si="6"/>
        <v>51723.462</v>
      </c>
      <c r="AF90" s="4940"/>
      <c r="AG90" s="4940">
        <f>+SUM(AG91:AG94)</f>
        <v>9318</v>
      </c>
      <c r="AH90" s="4940"/>
      <c r="AI90" s="4940">
        <f t="shared" si="7"/>
        <v>61041.462</v>
      </c>
      <c r="AJ90" s="4940"/>
      <c r="AK90" s="4940">
        <f>+SUM(AK91:AK94)</f>
        <v>7815</v>
      </c>
      <c r="AL90" s="4940"/>
      <c r="AM90" s="4940">
        <f t="shared" si="8"/>
        <v>28039</v>
      </c>
      <c r="AN90" s="4940"/>
      <c r="AO90" s="4940">
        <f t="shared" si="9"/>
        <v>68856.462</v>
      </c>
      <c r="AP90" s="4940"/>
      <c r="AQ90" s="4940">
        <f>+SUM(AQ91:AQ94)</f>
        <v>7770</v>
      </c>
      <c r="AR90" s="4940"/>
      <c r="AS90" s="4940">
        <f t="shared" si="10"/>
        <v>76626.462</v>
      </c>
      <c r="AT90" s="4940"/>
      <c r="AU90" s="4940">
        <f>+SUM(AU91:AU94)</f>
        <v>5873</v>
      </c>
      <c r="AV90" s="4940"/>
      <c r="AW90" s="4940">
        <f t="shared" si="11"/>
        <v>82499.462</v>
      </c>
      <c r="AX90" s="4940"/>
      <c r="AY90" s="4940">
        <f>+SUM(AY91:AY94)</f>
        <v>6811</v>
      </c>
      <c r="AZ90" s="4940"/>
      <c r="BA90" s="4940">
        <f t="shared" si="12"/>
        <v>20454</v>
      </c>
      <c r="BB90" s="4940"/>
      <c r="BC90" s="4940">
        <f t="shared" si="13"/>
        <v>48493</v>
      </c>
      <c r="BD90" s="4940"/>
      <c r="BE90" s="4940">
        <f t="shared" si="14"/>
        <v>89310.462</v>
      </c>
    </row>
    <row r="91" spans="3:57" ht="14.45" x14ac:dyDescent="0.3">
      <c r="C91" s="2848" t="s">
        <v>1792</v>
      </c>
      <c r="D91" s="2867"/>
      <c r="E91" s="2753">
        <v>11</v>
      </c>
      <c r="F91" s="2753"/>
      <c r="G91" s="2753">
        <v>2</v>
      </c>
      <c r="H91" s="2753"/>
      <c r="I91" s="2753">
        <f t="shared" si="0"/>
        <v>13</v>
      </c>
      <c r="J91" s="2753"/>
      <c r="K91" s="2753">
        <v>0</v>
      </c>
      <c r="L91" s="2753"/>
      <c r="M91" s="2753">
        <f t="shared" si="1"/>
        <v>13</v>
      </c>
      <c r="N91" s="2753"/>
      <c r="O91" s="2753">
        <v>2</v>
      </c>
      <c r="P91" s="2753"/>
      <c r="Q91" s="2753">
        <f t="shared" si="2"/>
        <v>15</v>
      </c>
      <c r="R91" s="2753"/>
      <c r="S91" s="2753">
        <v>0</v>
      </c>
      <c r="T91" s="2753"/>
      <c r="U91" s="2753">
        <f t="shared" si="3"/>
        <v>15</v>
      </c>
      <c r="V91" s="2753"/>
      <c r="W91" s="2753">
        <v>0</v>
      </c>
      <c r="X91" s="2753"/>
      <c r="Y91" s="2753">
        <f t="shared" si="4"/>
        <v>2</v>
      </c>
      <c r="Z91" s="2753"/>
      <c r="AA91" s="2753">
        <f t="shared" si="5"/>
        <v>15</v>
      </c>
      <c r="AB91" s="2753"/>
      <c r="AC91" s="2753">
        <v>2486</v>
      </c>
      <c r="AD91" s="2753"/>
      <c r="AE91" s="2753">
        <f t="shared" si="6"/>
        <v>2501</v>
      </c>
      <c r="AF91" s="2753"/>
      <c r="AG91" s="2753">
        <v>4655</v>
      </c>
      <c r="AH91" s="2753"/>
      <c r="AI91" s="2753">
        <f t="shared" si="7"/>
        <v>7156</v>
      </c>
      <c r="AJ91" s="2753"/>
      <c r="AK91" s="2753">
        <v>171</v>
      </c>
      <c r="AL91" s="2753"/>
      <c r="AM91" s="2753">
        <f t="shared" si="8"/>
        <v>7312</v>
      </c>
      <c r="AN91" s="2753"/>
      <c r="AO91" s="2753">
        <f t="shared" si="9"/>
        <v>7327</v>
      </c>
      <c r="AP91" s="2753"/>
      <c r="AQ91" s="2753">
        <v>89</v>
      </c>
      <c r="AR91" s="2753"/>
      <c r="AS91" s="2753">
        <f t="shared" si="10"/>
        <v>7416</v>
      </c>
      <c r="AT91" s="2753"/>
      <c r="AU91" s="2753">
        <v>76</v>
      </c>
      <c r="AV91" s="2753"/>
      <c r="AW91" s="2753">
        <f t="shared" si="11"/>
        <v>7492</v>
      </c>
      <c r="AX91" s="2753"/>
      <c r="AY91" s="2753">
        <v>27</v>
      </c>
      <c r="AZ91" s="2840"/>
      <c r="BA91" s="2840">
        <f t="shared" si="12"/>
        <v>192</v>
      </c>
      <c r="BB91" s="2840"/>
      <c r="BC91" s="2840">
        <f t="shared" si="13"/>
        <v>7504</v>
      </c>
      <c r="BD91" s="2860"/>
      <c r="BE91" s="2860">
        <f t="shared" si="14"/>
        <v>7519</v>
      </c>
    </row>
    <row r="92" spans="3:57" ht="14.45" x14ac:dyDescent="0.3">
      <c r="C92" s="2848" t="s">
        <v>1793</v>
      </c>
      <c r="D92" s="2867"/>
      <c r="E92" s="2753"/>
      <c r="F92" s="2753"/>
      <c r="G92" s="2753"/>
      <c r="H92" s="2753"/>
      <c r="I92" s="2753">
        <f t="shared" si="0"/>
        <v>0</v>
      </c>
      <c r="J92" s="2753"/>
      <c r="K92" s="2753"/>
      <c r="L92" s="2753"/>
      <c r="M92" s="2753">
        <f t="shared" si="1"/>
        <v>0</v>
      </c>
      <c r="N92" s="2753"/>
      <c r="O92" s="2753"/>
      <c r="P92" s="2753"/>
      <c r="Q92" s="2753">
        <f t="shared" si="2"/>
        <v>0</v>
      </c>
      <c r="R92" s="2753"/>
      <c r="S92" s="2753"/>
      <c r="T92" s="2753"/>
      <c r="U92" s="2753">
        <f t="shared" si="3"/>
        <v>0</v>
      </c>
      <c r="V92" s="2753"/>
      <c r="W92" s="2753"/>
      <c r="X92" s="2753"/>
      <c r="Y92" s="2753">
        <f t="shared" si="4"/>
        <v>0</v>
      </c>
      <c r="Z92" s="2753"/>
      <c r="AA92" s="2753">
        <f t="shared" si="5"/>
        <v>0</v>
      </c>
      <c r="AB92" s="2753"/>
      <c r="AC92" s="2753">
        <v>74</v>
      </c>
      <c r="AD92" s="2753"/>
      <c r="AE92" s="2753">
        <f t="shared" si="6"/>
        <v>74</v>
      </c>
      <c r="AF92" s="2753"/>
      <c r="AG92" s="2753">
        <v>0</v>
      </c>
      <c r="AH92" s="2753"/>
      <c r="AI92" s="2753">
        <f t="shared" si="7"/>
        <v>74</v>
      </c>
      <c r="AJ92" s="2753"/>
      <c r="AK92" s="2753">
        <v>438</v>
      </c>
      <c r="AL92" s="2753"/>
      <c r="AM92" s="2753">
        <f t="shared" si="8"/>
        <v>512</v>
      </c>
      <c r="AN92" s="2753"/>
      <c r="AO92" s="2753">
        <f t="shared" si="9"/>
        <v>512</v>
      </c>
      <c r="AP92" s="2753"/>
      <c r="AQ92" s="2753">
        <v>213</v>
      </c>
      <c r="AR92" s="2753"/>
      <c r="AS92" s="2753">
        <f t="shared" si="10"/>
        <v>725</v>
      </c>
      <c r="AT92" s="2753"/>
      <c r="AU92" s="2753">
        <v>66</v>
      </c>
      <c r="AV92" s="2753"/>
      <c r="AW92" s="2753">
        <f t="shared" si="11"/>
        <v>791</v>
      </c>
      <c r="AX92" s="2753"/>
      <c r="AY92" s="2753">
        <v>0</v>
      </c>
      <c r="AZ92" s="2840"/>
      <c r="BA92" s="2840">
        <f t="shared" si="12"/>
        <v>279</v>
      </c>
      <c r="BB92" s="2840"/>
      <c r="BC92" s="2840">
        <f t="shared" si="13"/>
        <v>791</v>
      </c>
      <c r="BD92" s="2860"/>
      <c r="BE92" s="2860">
        <f t="shared" si="14"/>
        <v>791</v>
      </c>
    </row>
    <row r="93" spans="3:57" ht="14.45" x14ac:dyDescent="0.3">
      <c r="C93" s="4926" t="s">
        <v>2133</v>
      </c>
      <c r="D93" s="4927"/>
      <c r="E93" s="4948">
        <v>5915</v>
      </c>
      <c r="F93" s="4948"/>
      <c r="G93" s="4948">
        <v>7638</v>
      </c>
      <c r="H93" s="4948"/>
      <c r="I93" s="2753">
        <f t="shared" si="0"/>
        <v>13553</v>
      </c>
      <c r="J93" s="4948"/>
      <c r="K93" s="4948">
        <v>6752</v>
      </c>
      <c r="L93" s="4948"/>
      <c r="M93" s="2753">
        <f t="shared" si="1"/>
        <v>20305</v>
      </c>
      <c r="N93" s="4948"/>
      <c r="O93" s="4948">
        <v>5862</v>
      </c>
      <c r="P93" s="4948"/>
      <c r="Q93" s="2753">
        <f t="shared" si="2"/>
        <v>26167</v>
      </c>
      <c r="R93" s="4948"/>
      <c r="S93" s="4948">
        <v>6517.4620000000004</v>
      </c>
      <c r="T93" s="4948"/>
      <c r="U93" s="2753">
        <f t="shared" si="3"/>
        <v>32684.462</v>
      </c>
      <c r="V93" s="4948"/>
      <c r="W93" s="4948">
        <v>7401</v>
      </c>
      <c r="X93" s="4948"/>
      <c r="Y93" s="2753">
        <f t="shared" si="4"/>
        <v>19780.462</v>
      </c>
      <c r="Z93" s="4948"/>
      <c r="AA93" s="2753">
        <f t="shared" si="5"/>
        <v>40085.462</v>
      </c>
      <c r="AB93" s="4948"/>
      <c r="AC93" s="4948">
        <v>8346</v>
      </c>
      <c r="AD93" s="4948"/>
      <c r="AE93" s="2753">
        <f t="shared" si="6"/>
        <v>48431.462</v>
      </c>
      <c r="AF93" s="4948"/>
      <c r="AG93" s="4948">
        <v>0</v>
      </c>
      <c r="AH93" s="4948"/>
      <c r="AI93" s="2753">
        <f t="shared" si="7"/>
        <v>48431.462</v>
      </c>
      <c r="AJ93" s="4948"/>
      <c r="AK93" s="4948">
        <v>6791</v>
      </c>
      <c r="AL93" s="4948"/>
      <c r="AM93" s="2753">
        <f t="shared" si="8"/>
        <v>15137</v>
      </c>
      <c r="AN93" s="4948"/>
      <c r="AO93" s="2753">
        <f t="shared" si="9"/>
        <v>55222.462</v>
      </c>
      <c r="AP93" s="4948"/>
      <c r="AQ93" s="4948">
        <v>6961</v>
      </c>
      <c r="AR93" s="4948"/>
      <c r="AS93" s="2753">
        <f t="shared" si="10"/>
        <v>62183.462</v>
      </c>
      <c r="AT93" s="4948"/>
      <c r="AU93" s="4948">
        <v>4769</v>
      </c>
      <c r="AV93" s="4948"/>
      <c r="AW93" s="2753">
        <f t="shared" si="11"/>
        <v>66952.462</v>
      </c>
      <c r="AX93" s="4948"/>
      <c r="AY93" s="4948">
        <v>5321</v>
      </c>
      <c r="AZ93" s="4928"/>
      <c r="BA93" s="2840">
        <f t="shared" si="12"/>
        <v>17051</v>
      </c>
      <c r="BB93" s="4928"/>
      <c r="BC93" s="2840">
        <f t="shared" si="13"/>
        <v>32188</v>
      </c>
      <c r="BD93" s="4941"/>
      <c r="BE93" s="2860">
        <f t="shared" si="14"/>
        <v>72273.462</v>
      </c>
    </row>
    <row r="94" spans="3:57" ht="14.45" x14ac:dyDescent="0.3">
      <c r="C94" s="2848" t="s">
        <v>1794</v>
      </c>
      <c r="D94" s="2867"/>
      <c r="E94" s="2753"/>
      <c r="F94" s="2753"/>
      <c r="G94" s="2753"/>
      <c r="H94" s="2753"/>
      <c r="I94" s="2753">
        <f t="shared" si="0"/>
        <v>0</v>
      </c>
      <c r="J94" s="2753"/>
      <c r="K94" s="2753"/>
      <c r="L94" s="2753"/>
      <c r="M94" s="2753">
        <f t="shared" si="1"/>
        <v>0</v>
      </c>
      <c r="N94" s="2753"/>
      <c r="O94" s="2753"/>
      <c r="P94" s="2753"/>
      <c r="Q94" s="2753">
        <f t="shared" si="2"/>
        <v>0</v>
      </c>
      <c r="R94" s="2753"/>
      <c r="S94" s="2753"/>
      <c r="T94" s="2753"/>
      <c r="U94" s="2753">
        <f t="shared" si="3"/>
        <v>0</v>
      </c>
      <c r="V94" s="2753"/>
      <c r="W94" s="2753">
        <v>717</v>
      </c>
      <c r="X94" s="2753"/>
      <c r="Y94" s="2753">
        <f t="shared" si="4"/>
        <v>717</v>
      </c>
      <c r="Z94" s="2753"/>
      <c r="AA94" s="2753">
        <f t="shared" si="5"/>
        <v>717</v>
      </c>
      <c r="AB94" s="2753"/>
      <c r="AC94" s="2753">
        <v>0</v>
      </c>
      <c r="AD94" s="2753"/>
      <c r="AE94" s="2753">
        <f t="shared" si="6"/>
        <v>717</v>
      </c>
      <c r="AF94" s="2753"/>
      <c r="AG94" s="2753">
        <v>4663</v>
      </c>
      <c r="AH94" s="2753"/>
      <c r="AI94" s="2753">
        <f t="shared" si="7"/>
        <v>5380</v>
      </c>
      <c r="AJ94" s="2753"/>
      <c r="AK94" s="2753">
        <v>415</v>
      </c>
      <c r="AL94" s="2753"/>
      <c r="AM94" s="2753">
        <f t="shared" si="8"/>
        <v>5078</v>
      </c>
      <c r="AN94" s="2753"/>
      <c r="AO94" s="2753">
        <f t="shared" si="9"/>
        <v>5795</v>
      </c>
      <c r="AP94" s="2753"/>
      <c r="AQ94" s="2753">
        <v>507</v>
      </c>
      <c r="AR94" s="2753"/>
      <c r="AS94" s="2753">
        <f t="shared" si="10"/>
        <v>6302</v>
      </c>
      <c r="AT94" s="2753"/>
      <c r="AU94" s="2753">
        <v>962</v>
      </c>
      <c r="AV94" s="2753"/>
      <c r="AW94" s="2753">
        <f t="shared" si="11"/>
        <v>7264</v>
      </c>
      <c r="AX94" s="2753"/>
      <c r="AY94" s="2753">
        <v>1463</v>
      </c>
      <c r="AZ94" s="2840"/>
      <c r="BA94" s="2840">
        <f t="shared" si="12"/>
        <v>2932</v>
      </c>
      <c r="BB94" s="2840"/>
      <c r="BC94" s="2840">
        <f t="shared" si="13"/>
        <v>8010</v>
      </c>
      <c r="BD94" s="2860"/>
      <c r="BE94" s="2860">
        <f t="shared" si="14"/>
        <v>8727</v>
      </c>
    </row>
    <row r="95" spans="3:57" ht="16.149999999999999" thickBot="1" x14ac:dyDescent="0.35">
      <c r="C95" s="2849" t="s">
        <v>1795</v>
      </c>
      <c r="D95" s="2868"/>
      <c r="E95" s="2850">
        <f>+E88+E89+E90</f>
        <v>45233</v>
      </c>
      <c r="F95" s="2850"/>
      <c r="G95" s="2850">
        <f>+G88+G89+G90</f>
        <v>52005</v>
      </c>
      <c r="H95" s="2850"/>
      <c r="I95" s="2850">
        <f t="shared" si="0"/>
        <v>97238</v>
      </c>
      <c r="J95" s="2850"/>
      <c r="K95" s="2850">
        <f>+K88+K89+K90</f>
        <v>51199</v>
      </c>
      <c r="L95" s="2850"/>
      <c r="M95" s="2850">
        <f t="shared" si="1"/>
        <v>148437</v>
      </c>
      <c r="N95" s="2850"/>
      <c r="O95" s="2850">
        <f>+O88+O89+O90</f>
        <v>57477</v>
      </c>
      <c r="P95" s="2850"/>
      <c r="Q95" s="2850">
        <f t="shared" si="2"/>
        <v>205914</v>
      </c>
      <c r="R95" s="2850"/>
      <c r="S95" s="2850">
        <f>+S88+S89+S90</f>
        <v>48518.880000000005</v>
      </c>
      <c r="T95" s="2850"/>
      <c r="U95" s="2850">
        <f t="shared" si="3"/>
        <v>254432.88</v>
      </c>
      <c r="V95" s="2850"/>
      <c r="W95" s="2850">
        <f>+W88+W89+W90</f>
        <v>55542</v>
      </c>
      <c r="X95" s="2850"/>
      <c r="Y95" s="2850">
        <f t="shared" si="4"/>
        <v>161537.88</v>
      </c>
      <c r="Z95" s="2850"/>
      <c r="AA95" s="2850">
        <f t="shared" si="5"/>
        <v>309974.88</v>
      </c>
      <c r="AB95" s="2850"/>
      <c r="AC95" s="2850" t="e">
        <f>+AC88+AC89+AC90</f>
        <v>#REF!</v>
      </c>
      <c r="AD95" s="2850"/>
      <c r="AE95" s="2850" t="e">
        <f t="shared" si="6"/>
        <v>#REF!</v>
      </c>
      <c r="AF95" s="2850"/>
      <c r="AG95" s="2850" t="e">
        <f>+AG88+AG89+AG90</f>
        <v>#REF!</v>
      </c>
      <c r="AH95" s="2850"/>
      <c r="AI95" s="2850" t="e">
        <f t="shared" si="7"/>
        <v>#REF!</v>
      </c>
      <c r="AJ95" s="2850"/>
      <c r="AK95" s="2850" t="e">
        <f>+AK88+AK89+AK90</f>
        <v>#REF!</v>
      </c>
      <c r="AL95" s="2850"/>
      <c r="AM95" s="2850" t="e">
        <f t="shared" si="8"/>
        <v>#REF!</v>
      </c>
      <c r="AN95" s="2850"/>
      <c r="AO95" s="2850" t="e">
        <f t="shared" si="9"/>
        <v>#REF!</v>
      </c>
      <c r="AP95" s="2850"/>
      <c r="AQ95" s="2850" t="e">
        <f>+AQ88+AQ89+AQ90</f>
        <v>#REF!</v>
      </c>
      <c r="AR95" s="2850"/>
      <c r="AS95" s="2850" t="e">
        <f t="shared" si="10"/>
        <v>#REF!</v>
      </c>
      <c r="AT95" s="2850"/>
      <c r="AU95" s="2850" t="e">
        <f>+AU88+AU89+AU90</f>
        <v>#REF!</v>
      </c>
      <c r="AV95" s="2850"/>
      <c r="AW95" s="2850" t="e">
        <f t="shared" si="11"/>
        <v>#REF!</v>
      </c>
      <c r="AX95" s="2850"/>
      <c r="AY95" s="2850" t="e">
        <f>+AY88+AY89+AY90</f>
        <v>#REF!</v>
      </c>
      <c r="AZ95" s="2850"/>
      <c r="BA95" s="2850" t="e">
        <f t="shared" si="12"/>
        <v>#REF!</v>
      </c>
      <c r="BB95" s="2850"/>
      <c r="BC95" s="2850" t="e">
        <f t="shared" si="13"/>
        <v>#REF!</v>
      </c>
      <c r="BD95" s="2850"/>
      <c r="BE95" s="2850" t="e">
        <f t="shared" si="14"/>
        <v>#REF!</v>
      </c>
    </row>
    <row r="96" spans="3:57" ht="14.45" x14ac:dyDescent="0.3">
      <c r="C96" s="2851"/>
      <c r="AC96"/>
      <c r="AK96"/>
      <c r="BD96" s="4089"/>
      <c r="BE96" s="4089"/>
    </row>
    <row r="97" spans="3:59" ht="15" hidden="1" customHeight="1" x14ac:dyDescent="0.3">
      <c r="C97" s="2852" t="s">
        <v>1429</v>
      </c>
      <c r="D97" s="2869"/>
      <c r="E97" s="2853">
        <v>3662.1749999999997</v>
      </c>
      <c r="F97" s="2853"/>
      <c r="G97" s="2853">
        <v>3662.1749999999997</v>
      </c>
      <c r="H97" s="2853"/>
      <c r="I97" s="2853">
        <f t="shared" si="0"/>
        <v>7324.3499999999995</v>
      </c>
      <c r="J97" s="2853"/>
      <c r="K97" s="2853">
        <v>3662.1749999999997</v>
      </c>
      <c r="L97" s="2853"/>
      <c r="M97" s="2853">
        <f t="shared" si="1"/>
        <v>10986.525</v>
      </c>
      <c r="N97" s="2853"/>
      <c r="O97" s="2853">
        <v>3662.1749999999997</v>
      </c>
      <c r="P97" s="2853"/>
      <c r="Q97" s="2853">
        <f t="shared" si="2"/>
        <v>14648.699999999999</v>
      </c>
      <c r="R97" s="2853"/>
      <c r="S97" s="2853">
        <v>3662.1749999999997</v>
      </c>
      <c r="T97" s="2853"/>
      <c r="U97" s="2853">
        <f t="shared" si="3"/>
        <v>18310.875</v>
      </c>
      <c r="V97" s="2853"/>
      <c r="W97" s="2853">
        <v>3662.1749999999997</v>
      </c>
      <c r="X97" s="2853"/>
      <c r="Y97" s="2853">
        <f t="shared" si="4"/>
        <v>10986.525</v>
      </c>
      <c r="Z97" s="2853"/>
      <c r="AA97" s="2853">
        <f t="shared" si="5"/>
        <v>21973.05</v>
      </c>
      <c r="AB97" s="2853"/>
      <c r="AC97" s="2853">
        <v>3662.1749999999997</v>
      </c>
      <c r="AD97" s="2853"/>
      <c r="AE97" s="2853">
        <f t="shared" si="6"/>
        <v>25635.224999999999</v>
      </c>
      <c r="AF97" s="2853"/>
      <c r="AG97" s="2853">
        <v>3662.1749999999997</v>
      </c>
      <c r="AH97" s="2853"/>
      <c r="AI97" s="2853">
        <f t="shared" si="7"/>
        <v>29297.399999999998</v>
      </c>
      <c r="AJ97" s="2853"/>
      <c r="AK97" s="2853">
        <v>3662.1749999999997</v>
      </c>
      <c r="AL97" s="2853"/>
      <c r="AM97" s="2853">
        <f t="shared" si="8"/>
        <v>10986.525</v>
      </c>
      <c r="AN97" s="2853"/>
      <c r="AO97" s="2853">
        <f t="shared" si="9"/>
        <v>32959.574999999997</v>
      </c>
      <c r="AP97" s="2853"/>
      <c r="AQ97" s="2853">
        <v>3662.1749999999997</v>
      </c>
      <c r="AR97" s="2853"/>
      <c r="AS97" s="2853">
        <f t="shared" si="10"/>
        <v>36621.75</v>
      </c>
      <c r="AT97" s="2853"/>
      <c r="AU97" s="2853">
        <v>3662.1749999999997</v>
      </c>
      <c r="AV97" s="2853"/>
      <c r="AW97" s="2853">
        <f t="shared" si="11"/>
        <v>40283.925000000003</v>
      </c>
      <c r="AX97" s="2853"/>
      <c r="AY97" s="2853">
        <v>3662.1749999999997</v>
      </c>
      <c r="AZ97" s="2853"/>
      <c r="BA97" s="2853">
        <f t="shared" si="12"/>
        <v>10986.525</v>
      </c>
      <c r="BB97" s="2853"/>
      <c r="BC97" s="2853">
        <f t="shared" si="13"/>
        <v>21973.05</v>
      </c>
      <c r="BD97" s="2860"/>
      <c r="BE97" s="2860">
        <f t="shared" si="14"/>
        <v>43946.1</v>
      </c>
    </row>
    <row r="98" spans="3:59" ht="15" hidden="1" customHeight="1" x14ac:dyDescent="0.3">
      <c r="C98" s="2852" t="s">
        <v>1213</v>
      </c>
      <c r="D98" s="2869"/>
      <c r="E98" s="2853">
        <v>74606.466</v>
      </c>
      <c r="F98" s="2853"/>
      <c r="G98" s="2853">
        <v>74606.466</v>
      </c>
      <c r="H98" s="2853"/>
      <c r="I98" s="2853">
        <f t="shared" si="0"/>
        <v>149212.932</v>
      </c>
      <c r="J98" s="2853"/>
      <c r="K98" s="2853">
        <v>74606.466</v>
      </c>
      <c r="L98" s="2853"/>
      <c r="M98" s="2853">
        <f t="shared" si="1"/>
        <v>223819.39799999999</v>
      </c>
      <c r="N98" s="2853"/>
      <c r="O98" s="2853">
        <v>74606.466</v>
      </c>
      <c r="P98" s="2853"/>
      <c r="Q98" s="2853">
        <f t="shared" si="2"/>
        <v>298425.864</v>
      </c>
      <c r="R98" s="2853"/>
      <c r="S98" s="2853">
        <v>74606.466</v>
      </c>
      <c r="T98" s="2853"/>
      <c r="U98" s="2853">
        <f t="shared" si="3"/>
        <v>373032.33</v>
      </c>
      <c r="V98" s="2853"/>
      <c r="W98" s="2853">
        <v>74606.466</v>
      </c>
      <c r="X98" s="2853"/>
      <c r="Y98" s="2853">
        <f t="shared" si="4"/>
        <v>223819.39799999999</v>
      </c>
      <c r="Z98" s="2853"/>
      <c r="AA98" s="2853">
        <f t="shared" si="5"/>
        <v>447638.79600000003</v>
      </c>
      <c r="AB98" s="2853"/>
      <c r="AC98" s="2853">
        <v>74606.466</v>
      </c>
      <c r="AD98" s="2853"/>
      <c r="AE98" s="2853">
        <f t="shared" si="6"/>
        <v>522245.26200000005</v>
      </c>
      <c r="AF98" s="2853"/>
      <c r="AG98" s="2853">
        <v>74606.466</v>
      </c>
      <c r="AH98" s="2853"/>
      <c r="AI98" s="2853">
        <f t="shared" si="7"/>
        <v>596851.728</v>
      </c>
      <c r="AJ98" s="2853"/>
      <c r="AK98" s="2853">
        <v>74606.466</v>
      </c>
      <c r="AL98" s="2853"/>
      <c r="AM98" s="2853">
        <f t="shared" si="8"/>
        <v>223819.39799999999</v>
      </c>
      <c r="AN98" s="2853"/>
      <c r="AO98" s="2853">
        <f t="shared" si="9"/>
        <v>671458.19400000002</v>
      </c>
      <c r="AP98" s="2853"/>
      <c r="AQ98" s="2853">
        <v>74606.466</v>
      </c>
      <c r="AR98" s="2853"/>
      <c r="AS98" s="2853">
        <f t="shared" si="10"/>
        <v>746064.66</v>
      </c>
      <c r="AT98" s="2853"/>
      <c r="AU98" s="2853">
        <v>74606.466</v>
      </c>
      <c r="AV98" s="2853"/>
      <c r="AW98" s="2853">
        <f t="shared" si="11"/>
        <v>820671.12600000005</v>
      </c>
      <c r="AX98" s="2853"/>
      <c r="AY98" s="2853">
        <v>74606.466</v>
      </c>
      <c r="AZ98" s="2853"/>
      <c r="BA98" s="2853">
        <f t="shared" si="12"/>
        <v>223819.39799999999</v>
      </c>
      <c r="BB98" s="2853"/>
      <c r="BC98" s="2853">
        <f t="shared" si="13"/>
        <v>447638.79599999997</v>
      </c>
      <c r="BD98" s="2860"/>
      <c r="BE98" s="2860">
        <f t="shared" si="14"/>
        <v>895277.59199999995</v>
      </c>
    </row>
    <row r="99" spans="3:59" ht="16.149999999999999" thickBot="1" x14ac:dyDescent="0.35">
      <c r="C99" s="2849" t="s">
        <v>1796</v>
      </c>
      <c r="D99" s="2868"/>
      <c r="E99" s="2850">
        <f>+'Maj Production Summ'!F34</f>
        <v>45616.58799999996</v>
      </c>
      <c r="F99" s="2850"/>
      <c r="G99" s="2850">
        <f>+'Maj Production Summ'!H34</f>
        <v>52556</v>
      </c>
      <c r="H99" s="2850"/>
      <c r="I99" s="2850">
        <f t="shared" si="0"/>
        <v>98172.58799999996</v>
      </c>
      <c r="J99" s="2850"/>
      <c r="K99" s="2850">
        <f>+'Maj Production Summ'!L34</f>
        <v>56218</v>
      </c>
      <c r="L99" s="2850"/>
      <c r="M99" s="2850">
        <f t="shared" si="1"/>
        <v>154390.58799999996</v>
      </c>
      <c r="N99" s="2850"/>
      <c r="O99" s="2850">
        <f>+'Maj Production Summ'!P34</f>
        <v>50303</v>
      </c>
      <c r="P99" s="2850"/>
      <c r="Q99" s="2850">
        <f t="shared" si="2"/>
        <v>204693.58799999996</v>
      </c>
      <c r="R99" s="2850"/>
      <c r="S99" s="2850">
        <f>+'Maj Production Summ'!T34</f>
        <v>51235.42</v>
      </c>
      <c r="T99" s="2850"/>
      <c r="U99" s="2850">
        <f t="shared" si="3"/>
        <v>255929.00799999994</v>
      </c>
      <c r="V99" s="2850"/>
      <c r="W99" s="2850">
        <f>+'Maj Production Summ'!X34</f>
        <v>54076</v>
      </c>
      <c r="X99" s="2850"/>
      <c r="Y99" s="2850">
        <f t="shared" si="4"/>
        <v>155614.41999999998</v>
      </c>
      <c r="Z99" s="2850"/>
      <c r="AA99" s="2850">
        <f t="shared" si="5"/>
        <v>310005.00799999997</v>
      </c>
      <c r="AB99" s="2850"/>
      <c r="AC99" s="2850">
        <f>+'Maj Production Summ'!AD34</f>
        <v>25418</v>
      </c>
      <c r="AD99" s="2850"/>
      <c r="AE99" s="2850">
        <f t="shared" si="6"/>
        <v>335423.00799999991</v>
      </c>
      <c r="AF99" s="2850"/>
      <c r="AG99" s="2850">
        <f>+'Maj Production Summ'!AH34</f>
        <v>7935</v>
      </c>
      <c r="AH99" s="2850"/>
      <c r="AI99" s="2850">
        <f t="shared" si="7"/>
        <v>343358.00799999991</v>
      </c>
      <c r="AJ99" s="2850"/>
      <c r="AK99" s="2850">
        <f>+'Maj Production Summ'!AL34</f>
        <v>64493</v>
      </c>
      <c r="AL99" s="2850"/>
      <c r="AM99" s="2850">
        <f t="shared" si="8"/>
        <v>97846</v>
      </c>
      <c r="AN99" s="2850"/>
      <c r="AO99" s="2850">
        <f t="shared" si="9"/>
        <v>407851.00799999991</v>
      </c>
      <c r="AP99" s="2850"/>
      <c r="AQ99" s="2850">
        <f>+'Maj Production Summ'!AR34</f>
        <v>63074.18</v>
      </c>
      <c r="AR99" s="2850"/>
      <c r="AS99" s="2850">
        <f t="shared" si="10"/>
        <v>470925.18799999991</v>
      </c>
      <c r="AT99" s="2850"/>
      <c r="AU99" s="2850">
        <f>+'Maj Production Summ'!AV34</f>
        <v>57481.269999999931</v>
      </c>
      <c r="AV99" s="2850"/>
      <c r="AW99" s="2850">
        <f t="shared" si="11"/>
        <v>528406.45799999987</v>
      </c>
      <c r="AX99" s="2850"/>
      <c r="AY99" s="2850">
        <f>+'Maj Production Summ'!AZ34</f>
        <v>57620</v>
      </c>
      <c r="AZ99" s="2850"/>
      <c r="BA99" s="2850">
        <f t="shared" si="12"/>
        <v>178175.44999999992</v>
      </c>
      <c r="BB99" s="2850"/>
      <c r="BC99" s="2850">
        <f t="shared" si="13"/>
        <v>276021.44999999995</v>
      </c>
      <c r="BD99" s="2850"/>
      <c r="BE99" s="2850">
        <f t="shared" si="14"/>
        <v>586026.45799999987</v>
      </c>
    </row>
    <row r="100" spans="3:59" ht="14.45" x14ac:dyDescent="0.3">
      <c r="BD100" s="4089"/>
      <c r="BE100" s="4089"/>
    </row>
    <row r="101" spans="3:59" ht="18" x14ac:dyDescent="0.3">
      <c r="C101" s="2854" t="s">
        <v>1797</v>
      </c>
      <c r="D101" s="2854"/>
      <c r="E101" s="2855">
        <f>+E99-E95</f>
        <v>383.58799999995972</v>
      </c>
      <c r="F101" s="2855">
        <f t="shared" ref="F101:BE101" si="15">+F99-F95</f>
        <v>0</v>
      </c>
      <c r="G101" s="2855">
        <f t="shared" si="15"/>
        <v>551</v>
      </c>
      <c r="H101" s="2855">
        <f t="shared" si="15"/>
        <v>0</v>
      </c>
      <c r="I101" s="2855">
        <f t="shared" si="15"/>
        <v>934.58799999995972</v>
      </c>
      <c r="J101" s="2855">
        <f t="shared" si="15"/>
        <v>0</v>
      </c>
      <c r="K101" s="2855">
        <f t="shared" si="15"/>
        <v>5019</v>
      </c>
      <c r="L101" s="2855">
        <f t="shared" si="15"/>
        <v>0</v>
      </c>
      <c r="M101" s="2855">
        <f t="shared" si="15"/>
        <v>5953.5879999999597</v>
      </c>
      <c r="N101" s="2855">
        <f t="shared" si="15"/>
        <v>0</v>
      </c>
      <c r="O101" s="2855">
        <f t="shared" si="15"/>
        <v>-7174</v>
      </c>
      <c r="P101" s="2855">
        <f t="shared" si="15"/>
        <v>0</v>
      </c>
      <c r="Q101" s="2855">
        <f t="shared" si="15"/>
        <v>-1220.4120000000403</v>
      </c>
      <c r="R101" s="2855">
        <f t="shared" si="15"/>
        <v>0</v>
      </c>
      <c r="S101" s="2855">
        <f t="shared" ref="S101" si="16">+S99-S95</f>
        <v>2716.5399999999936</v>
      </c>
      <c r="T101" s="2855">
        <f t="shared" si="15"/>
        <v>0</v>
      </c>
      <c r="U101" s="2855">
        <f t="shared" si="15"/>
        <v>1496.1279999999388</v>
      </c>
      <c r="V101" s="2855">
        <f t="shared" si="15"/>
        <v>0</v>
      </c>
      <c r="W101" s="2855">
        <f t="shared" si="15"/>
        <v>-1466</v>
      </c>
      <c r="X101" s="2855">
        <f t="shared" si="15"/>
        <v>0</v>
      </c>
      <c r="Y101" s="2855">
        <f t="shared" si="15"/>
        <v>-5923.460000000021</v>
      </c>
      <c r="Z101" s="2855">
        <f t="shared" si="15"/>
        <v>0</v>
      </c>
      <c r="AA101" s="2855">
        <f t="shared" si="15"/>
        <v>30.127999999967869</v>
      </c>
      <c r="AB101" s="2855">
        <f t="shared" si="15"/>
        <v>0</v>
      </c>
      <c r="AC101" s="2855" t="e">
        <f t="shared" si="15"/>
        <v>#REF!</v>
      </c>
      <c r="AD101" s="2855">
        <f t="shared" si="15"/>
        <v>0</v>
      </c>
      <c r="AE101" s="2855" t="e">
        <f t="shared" si="15"/>
        <v>#REF!</v>
      </c>
      <c r="AF101" s="2855">
        <f t="shared" si="15"/>
        <v>0</v>
      </c>
      <c r="AG101" s="2855" t="e">
        <f t="shared" si="15"/>
        <v>#REF!</v>
      </c>
      <c r="AH101" s="2855">
        <f t="shared" si="15"/>
        <v>0</v>
      </c>
      <c r="AI101" s="2855" t="e">
        <f t="shared" si="15"/>
        <v>#REF!</v>
      </c>
      <c r="AJ101" s="2855">
        <f t="shared" si="15"/>
        <v>0</v>
      </c>
      <c r="AK101" s="2855" t="e">
        <f t="shared" si="15"/>
        <v>#REF!</v>
      </c>
      <c r="AL101" s="2855">
        <f t="shared" si="15"/>
        <v>0</v>
      </c>
      <c r="AM101" s="2855" t="e">
        <f t="shared" si="15"/>
        <v>#REF!</v>
      </c>
      <c r="AN101" s="2855">
        <f t="shared" si="15"/>
        <v>0</v>
      </c>
      <c r="AO101" s="2855" t="e">
        <f t="shared" si="15"/>
        <v>#REF!</v>
      </c>
      <c r="AP101" s="2855">
        <f t="shared" si="15"/>
        <v>0</v>
      </c>
      <c r="AQ101" s="2855" t="e">
        <f t="shared" si="15"/>
        <v>#REF!</v>
      </c>
      <c r="AR101" s="2855">
        <f t="shared" si="15"/>
        <v>0</v>
      </c>
      <c r="AS101" s="2855" t="e">
        <f t="shared" si="15"/>
        <v>#REF!</v>
      </c>
      <c r="AT101" s="2855">
        <f t="shared" si="15"/>
        <v>0</v>
      </c>
      <c r="AU101" s="2855" t="e">
        <f t="shared" si="15"/>
        <v>#REF!</v>
      </c>
      <c r="AV101" s="2855">
        <f t="shared" si="15"/>
        <v>0</v>
      </c>
      <c r="AW101" s="2855" t="e">
        <f t="shared" si="15"/>
        <v>#REF!</v>
      </c>
      <c r="AX101" s="2855">
        <f t="shared" si="15"/>
        <v>0</v>
      </c>
      <c r="AY101" s="2855" t="e">
        <f t="shared" si="15"/>
        <v>#REF!</v>
      </c>
      <c r="AZ101" s="2855">
        <f t="shared" si="15"/>
        <v>0</v>
      </c>
      <c r="BA101" s="2855" t="e">
        <f t="shared" si="15"/>
        <v>#REF!</v>
      </c>
      <c r="BB101" s="2855">
        <f t="shared" si="15"/>
        <v>0</v>
      </c>
      <c r="BC101" s="2855" t="e">
        <f t="shared" si="15"/>
        <v>#REF!</v>
      </c>
      <c r="BD101" s="2855">
        <f t="shared" si="15"/>
        <v>0</v>
      </c>
      <c r="BE101" s="2855" t="e">
        <f t="shared" si="15"/>
        <v>#REF!</v>
      </c>
    </row>
    <row r="102" spans="3:59" ht="14.45" x14ac:dyDescent="0.3">
      <c r="BD102" s="4089"/>
      <c r="BE102" s="4089"/>
    </row>
    <row r="103" spans="3:59" thickBot="1" x14ac:dyDescent="0.35">
      <c r="BD103" s="4089"/>
      <c r="BE103" s="4089"/>
    </row>
    <row r="104" spans="3:59" ht="24" thickBot="1" x14ac:dyDescent="0.5">
      <c r="C104" s="4924" t="s">
        <v>1798</v>
      </c>
      <c r="D104" s="4925"/>
      <c r="E104" s="4925"/>
      <c r="F104" s="4925"/>
      <c r="G104" s="4925"/>
      <c r="H104" s="4925"/>
      <c r="I104" s="4925"/>
      <c r="J104" s="4925"/>
      <c r="K104" s="4925"/>
      <c r="L104" s="4925"/>
      <c r="M104" s="4925"/>
      <c r="N104" s="4925"/>
      <c r="O104" s="4925"/>
      <c r="P104" s="4925"/>
      <c r="Q104" s="4925"/>
      <c r="R104" s="4925"/>
      <c r="S104" s="4925"/>
      <c r="T104" s="4925"/>
      <c r="U104" s="4925"/>
      <c r="V104" s="4925"/>
      <c r="W104" s="4925"/>
      <c r="X104" s="4925"/>
      <c r="Y104" s="4925"/>
      <c r="Z104" s="4925"/>
      <c r="AA104" s="4925"/>
      <c r="AB104" s="4925"/>
      <c r="AC104" s="4935"/>
      <c r="AD104" s="4925"/>
      <c r="AE104" s="4925"/>
      <c r="AF104" s="4925"/>
      <c r="AG104" s="4925"/>
      <c r="AH104" s="4925"/>
      <c r="AI104" s="4925"/>
      <c r="AJ104" s="4925"/>
      <c r="AK104" s="4935"/>
      <c r="AL104" s="4925"/>
      <c r="AM104" s="4925"/>
      <c r="AN104" s="4925"/>
      <c r="AO104" s="4925"/>
      <c r="AP104" s="4925"/>
      <c r="AQ104" s="4925"/>
      <c r="AR104" s="4925"/>
      <c r="AS104" s="4925"/>
      <c r="AT104" s="4925"/>
      <c r="AU104" s="4925"/>
      <c r="AV104" s="4925"/>
      <c r="AW104" s="4925"/>
      <c r="AX104" s="4925"/>
      <c r="AY104" s="4925"/>
      <c r="AZ104" s="4925"/>
      <c r="BA104" s="4925"/>
      <c r="BB104" s="4925"/>
      <c r="BC104" s="4925"/>
      <c r="BD104" s="4942"/>
      <c r="BE104" s="4942"/>
    </row>
    <row r="105" spans="3:59" ht="15.6" x14ac:dyDescent="0.3">
      <c r="C105" s="2856"/>
      <c r="D105" s="2856"/>
      <c r="E105" s="2844" t="str">
        <f t="shared" ref="E105:AJ105" si="17">+E67</f>
        <v>APR'25</v>
      </c>
      <c r="F105" s="6173" t="str">
        <f t="shared" si="17"/>
        <v>MAY'25</v>
      </c>
      <c r="G105" s="6174">
        <f t="shared" si="17"/>
        <v>0</v>
      </c>
      <c r="H105" s="6173" t="str">
        <f t="shared" si="17"/>
        <v>2 M</v>
      </c>
      <c r="I105" s="6174">
        <f t="shared" si="17"/>
        <v>0</v>
      </c>
      <c r="J105" s="6173" t="str">
        <f t="shared" si="17"/>
        <v>JUN'25</v>
      </c>
      <c r="K105" s="6174">
        <f t="shared" si="17"/>
        <v>0</v>
      </c>
      <c r="L105" s="6173" t="str">
        <f t="shared" si="17"/>
        <v>QTR-1</v>
      </c>
      <c r="M105" s="6174">
        <f t="shared" si="17"/>
        <v>0</v>
      </c>
      <c r="N105" s="6173" t="str">
        <f t="shared" si="17"/>
        <v>JUL'25</v>
      </c>
      <c r="O105" s="6174">
        <f t="shared" si="17"/>
        <v>0</v>
      </c>
      <c r="P105" s="6173" t="str">
        <f t="shared" si="17"/>
        <v>4 M</v>
      </c>
      <c r="Q105" s="6174">
        <f t="shared" si="17"/>
        <v>0</v>
      </c>
      <c r="R105" s="6173" t="str">
        <f t="shared" si="17"/>
        <v>AUG'25</v>
      </c>
      <c r="S105" s="6174">
        <f t="shared" si="17"/>
        <v>0</v>
      </c>
      <c r="T105" s="6173" t="str">
        <f t="shared" si="17"/>
        <v>5 M</v>
      </c>
      <c r="U105" s="6174">
        <f t="shared" si="17"/>
        <v>0</v>
      </c>
      <c r="V105" s="6173" t="str">
        <f t="shared" si="17"/>
        <v>SEP'25</v>
      </c>
      <c r="W105" s="6174">
        <f t="shared" si="17"/>
        <v>0</v>
      </c>
      <c r="X105" s="6173" t="str">
        <f t="shared" si="17"/>
        <v>QTR-2</v>
      </c>
      <c r="Y105" s="6174">
        <f t="shared" si="17"/>
        <v>0</v>
      </c>
      <c r="Z105" s="6173" t="str">
        <f t="shared" si="17"/>
        <v>H1</v>
      </c>
      <c r="AA105" s="6174">
        <f t="shared" si="17"/>
        <v>0</v>
      </c>
      <c r="AB105" s="6173" t="str">
        <f t="shared" si="17"/>
        <v>OCT'25</v>
      </c>
      <c r="AC105" s="6174">
        <f t="shared" si="17"/>
        <v>0</v>
      </c>
      <c r="AD105" s="6173" t="str">
        <f t="shared" si="17"/>
        <v>7 M</v>
      </c>
      <c r="AE105" s="6174">
        <f t="shared" si="17"/>
        <v>0</v>
      </c>
      <c r="AF105" s="6173" t="str">
        <f t="shared" si="17"/>
        <v>NOV'25</v>
      </c>
      <c r="AG105" s="6174">
        <f t="shared" si="17"/>
        <v>0</v>
      </c>
      <c r="AH105" s="6173" t="str">
        <f t="shared" si="17"/>
        <v>8 M</v>
      </c>
      <c r="AI105" s="6174">
        <f t="shared" si="17"/>
        <v>0</v>
      </c>
      <c r="AJ105" s="6173" t="str">
        <f t="shared" si="17"/>
        <v>DEC'25</v>
      </c>
      <c r="AK105" s="6174">
        <f t="shared" ref="AK105:BE105" si="18">+AK67</f>
        <v>0</v>
      </c>
      <c r="AL105" s="6173" t="str">
        <f t="shared" si="18"/>
        <v>QTR-3</v>
      </c>
      <c r="AM105" s="6174">
        <f t="shared" si="18"/>
        <v>0</v>
      </c>
      <c r="AN105" s="6173" t="str">
        <f t="shared" si="18"/>
        <v>9 M</v>
      </c>
      <c r="AO105" s="6174">
        <f t="shared" si="18"/>
        <v>0</v>
      </c>
      <c r="AP105" s="6173" t="str">
        <f t="shared" si="18"/>
        <v>JAN'26</v>
      </c>
      <c r="AQ105" s="6174">
        <f t="shared" si="18"/>
        <v>0</v>
      </c>
      <c r="AR105" s="6173" t="str">
        <f t="shared" si="18"/>
        <v>10 M</v>
      </c>
      <c r="AS105" s="6174">
        <f t="shared" si="18"/>
        <v>0</v>
      </c>
      <c r="AT105" s="6173" t="str">
        <f t="shared" si="18"/>
        <v>FEB'26</v>
      </c>
      <c r="AU105" s="6174">
        <f t="shared" si="18"/>
        <v>0</v>
      </c>
      <c r="AV105" s="6173" t="str">
        <f t="shared" si="18"/>
        <v>11 M</v>
      </c>
      <c r="AW105" s="6174">
        <f t="shared" si="18"/>
        <v>0</v>
      </c>
      <c r="AX105" s="6173" t="str">
        <f t="shared" si="18"/>
        <v>MAR'26</v>
      </c>
      <c r="AY105" s="6174">
        <f t="shared" si="18"/>
        <v>0</v>
      </c>
      <c r="AZ105" s="6173" t="str">
        <f t="shared" si="18"/>
        <v>QTR-4</v>
      </c>
      <c r="BA105" s="6174">
        <f t="shared" si="18"/>
        <v>0</v>
      </c>
      <c r="BB105" s="6173" t="str">
        <f t="shared" si="18"/>
        <v>H2</v>
      </c>
      <c r="BC105" s="6175">
        <f t="shared" si="18"/>
        <v>0</v>
      </c>
      <c r="BD105" s="6176" t="str">
        <f t="shared" si="18"/>
        <v>2024-25</v>
      </c>
      <c r="BE105" s="6177">
        <f t="shared" si="18"/>
        <v>0</v>
      </c>
    </row>
    <row r="106" spans="3:59" ht="18" x14ac:dyDescent="0.3">
      <c r="C106" s="2858" t="s">
        <v>2155</v>
      </c>
      <c r="D106" s="2857"/>
      <c r="E106" s="2840">
        <f>+'GRD SUMM RCL CASTER 3'!C7</f>
        <v>0</v>
      </c>
      <c r="F106" s="2837"/>
      <c r="G106" s="2840">
        <f>+'GRD SUMM RCL CASTER 3'!E7</f>
        <v>0</v>
      </c>
      <c r="H106" s="2837"/>
      <c r="I106" s="2840">
        <f t="shared" ref="I106:I121" si="19">+E106+G106</f>
        <v>0</v>
      </c>
      <c r="J106" s="2837"/>
      <c r="K106" s="2840">
        <f>+'GRD SUMM RCL CASTER 3'!I7</f>
        <v>0</v>
      </c>
      <c r="L106" s="2837"/>
      <c r="M106" s="2840">
        <f t="shared" ref="M106:M126" si="20">+E106+G106+K106</f>
        <v>0</v>
      </c>
      <c r="N106" s="2837"/>
      <c r="O106" s="2840">
        <f>+'GRD SUMM RCL CASTER 3'!M7</f>
        <v>0</v>
      </c>
      <c r="P106" s="2837"/>
      <c r="Q106" s="2840">
        <f t="shared" ref="Q106:Q126" si="21">+O106+K106+G106+E106</f>
        <v>0</v>
      </c>
      <c r="R106" s="2837"/>
      <c r="S106" s="2840">
        <f>+'GRD SUMM RCL CASTER 3'!Q7</f>
        <v>0</v>
      </c>
      <c r="T106" s="2837"/>
      <c r="U106" s="2840">
        <f t="shared" ref="U106:U126" si="22">+S106+O106+K106+G106+E106</f>
        <v>0</v>
      </c>
      <c r="V106" s="2837"/>
      <c r="W106" s="2840">
        <f>+'GRD SUMM RCL CASTER 3'!U7</f>
        <v>0</v>
      </c>
      <c r="X106" s="2837"/>
      <c r="Y106" s="2840">
        <f t="shared" ref="Y106" si="23">+W106+S106+O106</f>
        <v>0</v>
      </c>
      <c r="Z106" s="2837"/>
      <c r="AA106" s="2840">
        <f t="shared" ref="AA106" si="24">+E106+G106+K106+O106+S106+W106</f>
        <v>0</v>
      </c>
      <c r="AB106" s="2837"/>
      <c r="AC106" s="4930">
        <f>+'GRD SUMM RCL CASTER 3'!AA7</f>
        <v>1571.31</v>
      </c>
      <c r="AD106" s="2837"/>
      <c r="AE106" s="2840">
        <f t="shared" ref="AE106:AE126" si="25">+AC106+W106+S106+O106+K106+G106+E106</f>
        <v>1571.31</v>
      </c>
      <c r="AF106" s="2837"/>
      <c r="AG106" s="2840">
        <f>+'GRD SUMM RCL CASTER 3'!AE7</f>
        <v>0</v>
      </c>
      <c r="AH106" s="2837"/>
      <c r="AI106" s="2840">
        <f t="shared" ref="AI106:AI126" si="26">+AG106+AC106+W106+S106+O106+K106+G106+E106</f>
        <v>1571.31</v>
      </c>
      <c r="AJ106" s="2837"/>
      <c r="AK106" s="4930">
        <f>+'GRD SUMM RCL CASTER 3'!AI7</f>
        <v>1587</v>
      </c>
      <c r="AL106" s="2837"/>
      <c r="AM106" s="2840">
        <f t="shared" ref="AM106:AM126" si="27">+AK106+AG106+AC106</f>
        <v>3158.31</v>
      </c>
      <c r="AN106" s="2837"/>
      <c r="AO106" s="2840">
        <f t="shared" ref="AO106:AO126" si="28">+AK106+AG106+AC106+W106+S106+O106+K106+G106+E106</f>
        <v>3158.31</v>
      </c>
      <c r="AP106" s="2837"/>
      <c r="AQ106" s="2840">
        <f>+'GRD SUMM RCL CASTER 3'!AO7</f>
        <v>254.59200000000001</v>
      </c>
      <c r="AR106" s="2837"/>
      <c r="AS106" s="2840">
        <f t="shared" ref="AS106:AS126" si="29">+AO106+AQ106</f>
        <v>3412.902</v>
      </c>
      <c r="AT106" s="2837"/>
      <c r="AU106" s="2840">
        <f>+'GRD SUMM RCL CASTER 3'!AS7</f>
        <v>0</v>
      </c>
      <c r="AV106" s="2837"/>
      <c r="AW106" s="2840">
        <f t="shared" ref="AW106:AW126" si="30">+AS106+AU106</f>
        <v>3412.902</v>
      </c>
      <c r="AX106" s="2837"/>
      <c r="AY106" s="2840">
        <f>+'GRD SUMM RCL CASTER 3'!AW7</f>
        <v>0</v>
      </c>
      <c r="AZ106" s="2837"/>
      <c r="BA106" s="2840">
        <f t="shared" ref="BA106:BA126" si="31">+AY106+AU106+AQ106</f>
        <v>254.59200000000001</v>
      </c>
      <c r="BB106" s="2837"/>
      <c r="BC106" s="2840">
        <f t="shared" ref="BC106:BC126" si="32">+BA106+AM106</f>
        <v>3412.902</v>
      </c>
      <c r="BD106" s="4943"/>
      <c r="BE106" s="2860">
        <f t="shared" ref="BE106:BE126" si="33">+BC106+AA106</f>
        <v>3412.902</v>
      </c>
      <c r="BG106" t="s">
        <v>2155</v>
      </c>
    </row>
    <row r="107" spans="3:59" ht="14.45" x14ac:dyDescent="0.3">
      <c r="C107" s="2858" t="s">
        <v>2156</v>
      </c>
      <c r="D107" s="2858"/>
      <c r="E107" s="2840">
        <f>+'GRD SUMM RCL CASTER 3'!C8</f>
        <v>0</v>
      </c>
      <c r="F107" s="2840"/>
      <c r="G107" s="2840">
        <f>+'GRD SUMM RCL CASTER 3'!E8</f>
        <v>8</v>
      </c>
      <c r="H107" s="2840"/>
      <c r="I107" s="2840">
        <f t="shared" si="19"/>
        <v>8</v>
      </c>
      <c r="J107" s="2840"/>
      <c r="K107" s="2840">
        <f>+'GRD SUMM RCL CASTER 3'!I8</f>
        <v>0</v>
      </c>
      <c r="L107" s="2840"/>
      <c r="M107" s="2840">
        <f t="shared" si="20"/>
        <v>8</v>
      </c>
      <c r="N107" s="2840"/>
      <c r="O107" s="2840">
        <f>+'GRD SUMM RCL CASTER 3'!M8</f>
        <v>0</v>
      </c>
      <c r="P107" s="2840"/>
      <c r="Q107" s="2840">
        <f t="shared" si="21"/>
        <v>8</v>
      </c>
      <c r="R107" s="2840"/>
      <c r="S107" s="2840">
        <f>+'GRD SUMM RCL CASTER 3'!Q8</f>
        <v>307.10399999999998</v>
      </c>
      <c r="T107" s="2840"/>
      <c r="U107" s="2840">
        <f t="shared" si="22"/>
        <v>315.10399999999998</v>
      </c>
      <c r="V107" s="2840"/>
      <c r="W107" s="2840">
        <f>+'GRD SUMM RCL CASTER 3'!U8</f>
        <v>0</v>
      </c>
      <c r="X107" s="2840"/>
      <c r="Y107" s="2840">
        <f t="shared" ref="Y107:Y126" si="34">+W107+S107+O107</f>
        <v>307.10399999999998</v>
      </c>
      <c r="Z107" s="2840"/>
      <c r="AA107" s="2840">
        <f t="shared" ref="AA107:AA126" si="35">+E107+G107+K107+O107+S107+W107</f>
        <v>315.10399999999998</v>
      </c>
      <c r="AB107" s="2840"/>
      <c r="AC107" s="4930">
        <f>+'GRD SUMM RCL CASTER 3'!AA8</f>
        <v>43.758000000000003</v>
      </c>
      <c r="AD107" s="2840"/>
      <c r="AE107" s="2840">
        <f t="shared" si="25"/>
        <v>358.86199999999997</v>
      </c>
      <c r="AF107" s="2840"/>
      <c r="AG107" s="2840">
        <f>+'GRD SUMM RCL CASTER 3'!AE8</f>
        <v>0</v>
      </c>
      <c r="AH107" s="2840"/>
      <c r="AI107" s="2840">
        <f t="shared" si="26"/>
        <v>358.86199999999997</v>
      </c>
      <c r="AJ107" s="2840"/>
      <c r="AK107" s="4930">
        <f>+'GRD SUMM RCL CASTER 3'!AI8</f>
        <v>477</v>
      </c>
      <c r="AL107" s="2840"/>
      <c r="AM107" s="2840">
        <f t="shared" si="27"/>
        <v>520.75800000000004</v>
      </c>
      <c r="AN107" s="2840"/>
      <c r="AO107" s="2840">
        <f t="shared" si="28"/>
        <v>835.86200000000008</v>
      </c>
      <c r="AP107" s="2840"/>
      <c r="AQ107" s="2840">
        <f>+'GRD SUMM RCL CASTER 3'!AO8</f>
        <v>298.35000000000002</v>
      </c>
      <c r="AR107" s="2840"/>
      <c r="AS107" s="2840">
        <f t="shared" si="29"/>
        <v>1134.212</v>
      </c>
      <c r="AT107" s="2840"/>
      <c r="AU107" s="2840">
        <f>+'GRD SUMM RCL CASTER 3'!AS8</f>
        <v>0</v>
      </c>
      <c r="AV107" s="2840"/>
      <c r="AW107" s="2840">
        <f t="shared" si="30"/>
        <v>1134.212</v>
      </c>
      <c r="AX107" s="2840"/>
      <c r="AY107" s="2840">
        <f>+'GRD SUMM RCL CASTER 3'!AW8</f>
        <v>0</v>
      </c>
      <c r="AZ107" s="2840"/>
      <c r="BA107" s="2840">
        <f t="shared" si="31"/>
        <v>298.35000000000002</v>
      </c>
      <c r="BB107" s="2840"/>
      <c r="BC107" s="2840">
        <f t="shared" si="32"/>
        <v>819.10800000000006</v>
      </c>
      <c r="BD107" s="2860"/>
      <c r="BE107" s="2860">
        <f t="shared" si="33"/>
        <v>1134.212</v>
      </c>
      <c r="BG107" t="s">
        <v>2156</v>
      </c>
    </row>
    <row r="108" spans="3:59" ht="14.45" x14ac:dyDescent="0.3">
      <c r="C108" s="2858" t="s">
        <v>1217</v>
      </c>
      <c r="D108" s="2858"/>
      <c r="E108" s="2840">
        <f>+'GRD SUMM RCL CASTER 3'!C9</f>
        <v>0</v>
      </c>
      <c r="F108" s="2840"/>
      <c r="G108" s="2840">
        <f>+'GRD SUMM RCL CASTER 3'!E9</f>
        <v>2204</v>
      </c>
      <c r="H108" s="2840"/>
      <c r="I108" s="2840">
        <f t="shared" si="19"/>
        <v>2204</v>
      </c>
      <c r="J108" s="2840"/>
      <c r="K108" s="2840">
        <f>+'GRD SUMM RCL CASTER 3'!I9</f>
        <v>0</v>
      </c>
      <c r="L108" s="2840"/>
      <c r="M108" s="2840">
        <f t="shared" si="20"/>
        <v>2204</v>
      </c>
      <c r="N108" s="2840"/>
      <c r="O108" s="2840">
        <f>+'GRD SUMM RCL CASTER 3'!M9</f>
        <v>0</v>
      </c>
      <c r="P108" s="2840"/>
      <c r="Q108" s="2840">
        <f t="shared" si="21"/>
        <v>2204</v>
      </c>
      <c r="R108" s="2840"/>
      <c r="S108" s="2840">
        <f>+'GRD SUMM RCL CASTER 3'!Q9</f>
        <v>5899.3739999999998</v>
      </c>
      <c r="T108" s="2840"/>
      <c r="U108" s="2840">
        <f t="shared" si="22"/>
        <v>8103.3739999999998</v>
      </c>
      <c r="V108" s="2840"/>
      <c r="W108" s="2840">
        <f>+'GRD SUMM RCL CASTER 3'!U9</f>
        <v>0</v>
      </c>
      <c r="X108" s="2840"/>
      <c r="Y108" s="2840">
        <f t="shared" si="34"/>
        <v>5899.3739999999998</v>
      </c>
      <c r="Z108" s="2840"/>
      <c r="AA108" s="2840">
        <f t="shared" si="35"/>
        <v>8103.3739999999998</v>
      </c>
      <c r="AB108" s="2840"/>
      <c r="AC108" s="4930" t="e">
        <f>+'GRD SUMM RCL CASTER 3'!#REF!</f>
        <v>#REF!</v>
      </c>
      <c r="AD108" s="2840"/>
      <c r="AE108" s="2840" t="e">
        <f t="shared" si="25"/>
        <v>#REF!</v>
      </c>
      <c r="AF108" s="2840"/>
      <c r="AG108" s="2840" t="e">
        <f>+'GRD SUMM RCL CASTER 3'!#REF!</f>
        <v>#REF!</v>
      </c>
      <c r="AH108" s="2840"/>
      <c r="AI108" s="2840" t="e">
        <f t="shared" si="26"/>
        <v>#REF!</v>
      </c>
      <c r="AJ108" s="2840"/>
      <c r="AK108" s="4930" t="e">
        <f>+'GRD SUMM RCL CASTER 3'!#REF!</f>
        <v>#REF!</v>
      </c>
      <c r="AL108" s="2840"/>
      <c r="AM108" s="2840" t="e">
        <f t="shared" si="27"/>
        <v>#REF!</v>
      </c>
      <c r="AN108" s="2840"/>
      <c r="AO108" s="2840" t="e">
        <f t="shared" si="28"/>
        <v>#REF!</v>
      </c>
      <c r="AP108" s="2840"/>
      <c r="AQ108" s="2840" t="e">
        <f>+'GRD SUMM RCL CASTER 3'!#REF!</f>
        <v>#REF!</v>
      </c>
      <c r="AR108" s="2840"/>
      <c r="AS108" s="2840" t="e">
        <f t="shared" si="29"/>
        <v>#REF!</v>
      </c>
      <c r="AT108" s="2840"/>
      <c r="AU108" s="2840" t="e">
        <f>+'GRD SUMM RCL CASTER 3'!#REF!</f>
        <v>#REF!</v>
      </c>
      <c r="AV108" s="2840"/>
      <c r="AW108" s="2840" t="e">
        <f t="shared" si="30"/>
        <v>#REF!</v>
      </c>
      <c r="AX108" s="2840"/>
      <c r="AY108" s="2840" t="e">
        <f>+'GRD SUMM RCL CASTER 3'!#REF!</f>
        <v>#REF!</v>
      </c>
      <c r="AZ108" s="2840"/>
      <c r="BA108" s="2840" t="e">
        <f t="shared" si="31"/>
        <v>#REF!</v>
      </c>
      <c r="BB108" s="2840"/>
      <c r="BC108" s="2840" t="e">
        <f t="shared" si="32"/>
        <v>#REF!</v>
      </c>
      <c r="BD108" s="2860"/>
      <c r="BE108" s="2860" t="e">
        <f t="shared" si="33"/>
        <v>#REF!</v>
      </c>
      <c r="BG108" t="s">
        <v>1217</v>
      </c>
    </row>
    <row r="109" spans="3:59" ht="14.45" x14ac:dyDescent="0.3">
      <c r="C109" s="2858" t="s">
        <v>1259</v>
      </c>
      <c r="D109" s="2858"/>
      <c r="E109" s="2840">
        <f>+'GRD SUMM RCL CASTER 3'!C10</f>
        <v>0</v>
      </c>
      <c r="F109" s="2840"/>
      <c r="G109" s="2840">
        <f>+'GRD SUMM RCL CASTER 3'!E10</f>
        <v>0</v>
      </c>
      <c r="H109" s="2840"/>
      <c r="I109" s="2840">
        <f t="shared" si="19"/>
        <v>0</v>
      </c>
      <c r="J109" s="2840"/>
      <c r="K109" s="2840">
        <f>+'GRD SUMM RCL CASTER 3'!I10</f>
        <v>0</v>
      </c>
      <c r="L109" s="2840"/>
      <c r="M109" s="2840">
        <f t="shared" si="20"/>
        <v>0</v>
      </c>
      <c r="N109" s="2840"/>
      <c r="O109" s="2840">
        <f>+'GRD SUMM RCL CASTER 3'!M10</f>
        <v>0</v>
      </c>
      <c r="P109" s="2840"/>
      <c r="Q109" s="2840">
        <f t="shared" si="21"/>
        <v>0</v>
      </c>
      <c r="R109" s="2840"/>
      <c r="S109" s="2840">
        <f>+'GRD SUMM RCL CASTER 3'!Q10</f>
        <v>0</v>
      </c>
      <c r="T109" s="2840"/>
      <c r="U109" s="2840">
        <f t="shared" si="22"/>
        <v>0</v>
      </c>
      <c r="V109" s="2840"/>
      <c r="W109" s="2840">
        <f>+'GRD SUMM RCL CASTER 3'!U10</f>
        <v>0</v>
      </c>
      <c r="X109" s="2840"/>
      <c r="Y109" s="2840">
        <f t="shared" si="34"/>
        <v>0</v>
      </c>
      <c r="Z109" s="2840"/>
      <c r="AA109" s="2840">
        <f t="shared" si="35"/>
        <v>0</v>
      </c>
      <c r="AB109" s="2840"/>
      <c r="AC109" s="4930" t="e">
        <f>+'GRD SUMM RCL CASTER 3'!#REF!</f>
        <v>#REF!</v>
      </c>
      <c r="AD109" s="2840"/>
      <c r="AE109" s="2840" t="e">
        <f t="shared" si="25"/>
        <v>#REF!</v>
      </c>
      <c r="AF109" s="2840"/>
      <c r="AG109" s="2840" t="e">
        <f>+'GRD SUMM RCL CASTER 3'!#REF!</f>
        <v>#REF!</v>
      </c>
      <c r="AH109" s="2840"/>
      <c r="AI109" s="2840" t="e">
        <f t="shared" si="26"/>
        <v>#REF!</v>
      </c>
      <c r="AJ109" s="2840"/>
      <c r="AK109" s="4930" t="e">
        <f>+'GRD SUMM RCL CASTER 3'!#REF!</f>
        <v>#REF!</v>
      </c>
      <c r="AL109" s="2840"/>
      <c r="AM109" s="2840" t="e">
        <f t="shared" si="27"/>
        <v>#REF!</v>
      </c>
      <c r="AN109" s="2840"/>
      <c r="AO109" s="2840" t="e">
        <f t="shared" si="28"/>
        <v>#REF!</v>
      </c>
      <c r="AP109" s="2840"/>
      <c r="AQ109" s="2840" t="e">
        <f>+'GRD SUMM RCL CASTER 3'!#REF!</f>
        <v>#REF!</v>
      </c>
      <c r="AR109" s="2840"/>
      <c r="AS109" s="2840" t="e">
        <f t="shared" si="29"/>
        <v>#REF!</v>
      </c>
      <c r="AT109" s="2840"/>
      <c r="AU109" s="2840" t="e">
        <f>+'GRD SUMM RCL CASTER 3'!#REF!</f>
        <v>#REF!</v>
      </c>
      <c r="AV109" s="2840"/>
      <c r="AW109" s="2840" t="e">
        <f t="shared" si="30"/>
        <v>#REF!</v>
      </c>
      <c r="AX109" s="2840"/>
      <c r="AY109" s="2840" t="e">
        <f>+'GRD SUMM RCL CASTER 3'!#REF!</f>
        <v>#REF!</v>
      </c>
      <c r="AZ109" s="2840"/>
      <c r="BA109" s="2840" t="e">
        <f t="shared" si="31"/>
        <v>#REF!</v>
      </c>
      <c r="BB109" s="2840"/>
      <c r="BC109" s="2840" t="e">
        <f t="shared" si="32"/>
        <v>#REF!</v>
      </c>
      <c r="BD109" s="2860"/>
      <c r="BE109" s="2860" t="e">
        <f t="shared" si="33"/>
        <v>#REF!</v>
      </c>
      <c r="BG109" t="s">
        <v>1259</v>
      </c>
    </row>
    <row r="110" spans="3:59" ht="14.45" x14ac:dyDescent="0.3">
      <c r="C110" s="2858" t="s">
        <v>1216</v>
      </c>
      <c r="D110" s="2858"/>
      <c r="E110" s="2840">
        <f>+'GRD SUMM RCL CASTER 3'!C11</f>
        <v>0</v>
      </c>
      <c r="F110" s="2840"/>
      <c r="G110" s="2840">
        <f>+'GRD SUMM RCL CASTER 3'!E11</f>
        <v>0</v>
      </c>
      <c r="H110" s="2840"/>
      <c r="I110" s="2840">
        <f t="shared" si="19"/>
        <v>0</v>
      </c>
      <c r="J110" s="2840"/>
      <c r="K110" s="2840">
        <f>+'GRD SUMM RCL CASTER 3'!I11</f>
        <v>0</v>
      </c>
      <c r="L110" s="2840"/>
      <c r="M110" s="2840">
        <f t="shared" si="20"/>
        <v>0</v>
      </c>
      <c r="N110" s="2840"/>
      <c r="O110" s="2840">
        <f>+'GRD SUMM RCL CASTER 3'!M11</f>
        <v>0</v>
      </c>
      <c r="P110" s="2840"/>
      <c r="Q110" s="2840">
        <f t="shared" si="21"/>
        <v>0</v>
      </c>
      <c r="R110" s="2840"/>
      <c r="S110" s="2840">
        <f>+'GRD SUMM RCL CASTER 3'!Q11</f>
        <v>0</v>
      </c>
      <c r="T110" s="2840"/>
      <c r="U110" s="2840">
        <f t="shared" si="22"/>
        <v>0</v>
      </c>
      <c r="V110" s="2840"/>
      <c r="W110" s="2840">
        <f>+'GRD SUMM RCL CASTER 3'!U11</f>
        <v>0</v>
      </c>
      <c r="X110" s="2840"/>
      <c r="Y110" s="2840">
        <f t="shared" si="34"/>
        <v>0</v>
      </c>
      <c r="Z110" s="2840"/>
      <c r="AA110" s="2840">
        <f t="shared" si="35"/>
        <v>0</v>
      </c>
      <c r="AB110" s="2840"/>
      <c r="AC110" s="4930">
        <f>+'GRD SUMM RCL CASTER 3'!AA9</f>
        <v>5183.3339999999998</v>
      </c>
      <c r="AD110" s="2840"/>
      <c r="AE110" s="2840">
        <f t="shared" si="25"/>
        <v>5183.3339999999998</v>
      </c>
      <c r="AF110" s="2840"/>
      <c r="AG110" s="2840">
        <f>+'GRD SUMM RCL CASTER 3'!AE9</f>
        <v>0</v>
      </c>
      <c r="AH110" s="2840"/>
      <c r="AI110" s="2840">
        <f t="shared" si="26"/>
        <v>5183.3339999999998</v>
      </c>
      <c r="AJ110" s="2840"/>
      <c r="AK110" s="4930">
        <f>+'GRD SUMM RCL CASTER 3'!AI9</f>
        <v>10406</v>
      </c>
      <c r="AL110" s="2840"/>
      <c r="AM110" s="2840">
        <f t="shared" si="27"/>
        <v>15589.333999999999</v>
      </c>
      <c r="AN110" s="2840"/>
      <c r="AO110" s="2840">
        <f t="shared" si="28"/>
        <v>15589.333999999999</v>
      </c>
      <c r="AP110" s="2840"/>
      <c r="AQ110" s="2840">
        <f>+'GRD SUMM RCL CASTER 3'!AO9</f>
        <v>10251.306</v>
      </c>
      <c r="AR110" s="2840"/>
      <c r="AS110" s="2840">
        <f t="shared" si="29"/>
        <v>25840.639999999999</v>
      </c>
      <c r="AT110" s="2840"/>
      <c r="AU110" s="2840">
        <f>+'GRD SUMM RCL CASTER 3'!AS9</f>
        <v>0</v>
      </c>
      <c r="AV110" s="2840"/>
      <c r="AW110" s="2840">
        <f t="shared" si="30"/>
        <v>25840.639999999999</v>
      </c>
      <c r="AX110" s="2840"/>
      <c r="AY110" s="2840">
        <f>+'GRD SUMM RCL CASTER 3'!AW9</f>
        <v>0</v>
      </c>
      <c r="AZ110" s="2840"/>
      <c r="BA110" s="2840">
        <f t="shared" si="31"/>
        <v>10251.306</v>
      </c>
      <c r="BB110" s="2840"/>
      <c r="BC110" s="2840">
        <f t="shared" si="32"/>
        <v>25840.639999999999</v>
      </c>
      <c r="BD110" s="2860"/>
      <c r="BE110" s="2860">
        <f t="shared" si="33"/>
        <v>25840.639999999999</v>
      </c>
      <c r="BG110" t="s">
        <v>1216</v>
      </c>
    </row>
    <row r="111" spans="3:59" ht="14.45" x14ac:dyDescent="0.3">
      <c r="C111" s="2858" t="s">
        <v>1343</v>
      </c>
      <c r="D111" s="2858"/>
      <c r="E111" s="2840">
        <f>+'GRD SUMM RCL CASTER 3'!C13</f>
        <v>0</v>
      </c>
      <c r="F111" s="2840"/>
      <c r="G111" s="2840">
        <f>+'GRD SUMM RCL CASTER 3'!E13</f>
        <v>69</v>
      </c>
      <c r="H111" s="2840"/>
      <c r="I111" s="2840">
        <f t="shared" si="19"/>
        <v>69</v>
      </c>
      <c r="J111" s="2840"/>
      <c r="K111" s="2840">
        <f>+'GRD SUMM RCL CASTER 3'!I13</f>
        <v>0</v>
      </c>
      <c r="L111" s="2840"/>
      <c r="M111" s="2840">
        <f t="shared" si="20"/>
        <v>69</v>
      </c>
      <c r="N111" s="2840"/>
      <c r="O111" s="2840">
        <f>+'GRD SUMM RCL CASTER 3'!M13</f>
        <v>0</v>
      </c>
      <c r="P111" s="2840"/>
      <c r="Q111" s="2840">
        <f t="shared" si="21"/>
        <v>69</v>
      </c>
      <c r="R111" s="2840"/>
      <c r="S111" s="2840">
        <f>+'GRD SUMM RCL CASTER 3'!Q13</f>
        <v>274.29000000000002</v>
      </c>
      <c r="T111" s="2840"/>
      <c r="U111" s="2840">
        <f t="shared" si="22"/>
        <v>343.29</v>
      </c>
      <c r="V111" s="2840"/>
      <c r="W111" s="2840">
        <f>+'GRD SUMM RCL CASTER 3'!U13</f>
        <v>0</v>
      </c>
      <c r="X111" s="2840"/>
      <c r="Y111" s="2840">
        <f t="shared" si="34"/>
        <v>274.29000000000002</v>
      </c>
      <c r="Z111" s="2840"/>
      <c r="AA111" s="2840">
        <f t="shared" si="35"/>
        <v>343.29</v>
      </c>
      <c r="AB111" s="2840"/>
      <c r="AC111" s="4930">
        <f>+'GRD SUMM RCL CASTER 3'!AA12</f>
        <v>0</v>
      </c>
      <c r="AD111" s="2840"/>
      <c r="AE111" s="2840">
        <f t="shared" si="25"/>
        <v>343.29</v>
      </c>
      <c r="AF111" s="2840"/>
      <c r="AG111" s="2840">
        <f>+'GRD SUMM RCL CASTER 3'!AE12</f>
        <v>0</v>
      </c>
      <c r="AH111" s="2840"/>
      <c r="AI111" s="2840">
        <f t="shared" si="26"/>
        <v>343.29</v>
      </c>
      <c r="AJ111" s="2840"/>
      <c r="AK111" s="4930">
        <f>+'GRD SUMM RCL CASTER 3'!AI12</f>
        <v>0</v>
      </c>
      <c r="AL111" s="2840"/>
      <c r="AM111" s="2840">
        <f t="shared" si="27"/>
        <v>0</v>
      </c>
      <c r="AN111" s="2840"/>
      <c r="AO111" s="2840">
        <f t="shared" si="28"/>
        <v>343.29</v>
      </c>
      <c r="AP111" s="2840"/>
      <c r="AQ111" s="2840">
        <f>+'GRD SUMM RCL CASTER 3'!AO12</f>
        <v>0</v>
      </c>
      <c r="AR111" s="2840"/>
      <c r="AS111" s="2840">
        <f t="shared" si="29"/>
        <v>343.29</v>
      </c>
      <c r="AT111" s="2840"/>
      <c r="AU111" s="2840">
        <f>+'GRD SUMM RCL CASTER 3'!AS12</f>
        <v>0</v>
      </c>
      <c r="AV111" s="2840"/>
      <c r="AW111" s="2840">
        <f t="shared" si="30"/>
        <v>343.29</v>
      </c>
      <c r="AX111" s="2840"/>
      <c r="AY111" s="2840">
        <f>+'GRD SUMM RCL CASTER 3'!AW12</f>
        <v>0</v>
      </c>
      <c r="AZ111" s="2840"/>
      <c r="BA111" s="2840">
        <f t="shared" si="31"/>
        <v>0</v>
      </c>
      <c r="BB111" s="2840"/>
      <c r="BC111" s="2840">
        <f t="shared" si="32"/>
        <v>0</v>
      </c>
      <c r="BD111" s="2860"/>
      <c r="BE111" s="2860">
        <f t="shared" si="33"/>
        <v>343.29</v>
      </c>
      <c r="BG111" t="s">
        <v>1343</v>
      </c>
    </row>
    <row r="112" spans="3:59" ht="14.45" x14ac:dyDescent="0.3">
      <c r="C112" s="2858"/>
      <c r="D112" s="2858"/>
      <c r="E112" s="2840"/>
      <c r="F112" s="2840"/>
      <c r="G112" s="2840"/>
      <c r="H112" s="2840"/>
      <c r="I112" s="2840">
        <f t="shared" si="19"/>
        <v>0</v>
      </c>
      <c r="J112" s="2840"/>
      <c r="K112" s="2840"/>
      <c r="L112" s="2840"/>
      <c r="M112" s="2840">
        <f t="shared" si="20"/>
        <v>0</v>
      </c>
      <c r="N112" s="2840"/>
      <c r="O112" s="2840"/>
      <c r="P112" s="2840"/>
      <c r="Q112" s="2840">
        <f t="shared" si="21"/>
        <v>0</v>
      </c>
      <c r="R112" s="2840"/>
      <c r="S112" s="2840"/>
      <c r="T112" s="2840"/>
      <c r="U112" s="2840">
        <f t="shared" si="22"/>
        <v>0</v>
      </c>
      <c r="V112" s="2840"/>
      <c r="W112" s="2840"/>
      <c r="X112" s="2840"/>
      <c r="Y112" s="2840">
        <f t="shared" si="34"/>
        <v>0</v>
      </c>
      <c r="Z112" s="2840"/>
      <c r="AA112" s="2840">
        <f t="shared" si="35"/>
        <v>0</v>
      </c>
      <c r="AB112" s="2840"/>
      <c r="AC112" s="4930">
        <f>+'GRD SUMM RCL CASTER 3'!AA13</f>
        <v>71.603999999999999</v>
      </c>
      <c r="AD112" s="2840"/>
      <c r="AE112" s="2840">
        <f t="shared" si="25"/>
        <v>71.603999999999999</v>
      </c>
      <c r="AF112" s="2840"/>
      <c r="AG112" s="2840">
        <f>+'GRD SUMM RCL CASTER 3'!AE13</f>
        <v>0</v>
      </c>
      <c r="AH112" s="2840"/>
      <c r="AI112" s="2840">
        <f t="shared" si="26"/>
        <v>71.603999999999999</v>
      </c>
      <c r="AJ112" s="2840"/>
      <c r="AK112" s="4930">
        <f>+'GRD SUMM RCL CASTER 3'!AI13</f>
        <v>72</v>
      </c>
      <c r="AL112" s="2840"/>
      <c r="AM112" s="2840">
        <f t="shared" si="27"/>
        <v>143.60399999999998</v>
      </c>
      <c r="AN112" s="2840"/>
      <c r="AO112" s="2840">
        <f t="shared" si="28"/>
        <v>143.60399999999998</v>
      </c>
      <c r="AP112" s="2840"/>
      <c r="AQ112" s="2840">
        <f>+'GRD SUMM RCL CASTER 3'!AO13</f>
        <v>103.428</v>
      </c>
      <c r="AR112" s="2840"/>
      <c r="AS112" s="2840">
        <f t="shared" si="29"/>
        <v>247.03199999999998</v>
      </c>
      <c r="AT112" s="2840"/>
      <c r="AU112" s="2840">
        <f>+'GRD SUMM RCL CASTER 3'!AS13</f>
        <v>0</v>
      </c>
      <c r="AV112" s="2840"/>
      <c r="AW112" s="2840">
        <f t="shared" si="30"/>
        <v>247.03199999999998</v>
      </c>
      <c r="AX112" s="2840"/>
      <c r="AY112" s="2840">
        <f>+'GRD SUMM RCL CASTER 3'!AW13</f>
        <v>0</v>
      </c>
      <c r="AZ112" s="2840"/>
      <c r="BA112" s="2840">
        <f t="shared" si="31"/>
        <v>103.428</v>
      </c>
      <c r="BB112" s="2840"/>
      <c r="BC112" s="2840">
        <f t="shared" si="32"/>
        <v>247.03199999999998</v>
      </c>
      <c r="BD112" s="2860"/>
      <c r="BE112" s="2860">
        <f t="shared" si="33"/>
        <v>247.03199999999998</v>
      </c>
    </row>
    <row r="113" spans="2:58" ht="14.45" x14ac:dyDescent="0.3">
      <c r="C113" s="2858"/>
      <c r="D113" s="2858"/>
      <c r="E113" s="2840"/>
      <c r="F113" s="2840"/>
      <c r="G113" s="2840"/>
      <c r="H113" s="2840"/>
      <c r="I113" s="2840">
        <f t="shared" si="19"/>
        <v>0</v>
      </c>
      <c r="J113" s="2840"/>
      <c r="K113" s="2840"/>
      <c r="L113" s="2840"/>
      <c r="M113" s="2840">
        <f t="shared" si="20"/>
        <v>0</v>
      </c>
      <c r="N113" s="2840"/>
      <c r="O113" s="2840"/>
      <c r="P113" s="2840"/>
      <c r="Q113" s="2840">
        <f t="shared" si="21"/>
        <v>0</v>
      </c>
      <c r="R113" s="2840"/>
      <c r="S113" s="2840"/>
      <c r="T113" s="2840"/>
      <c r="U113" s="2840">
        <f t="shared" si="22"/>
        <v>0</v>
      </c>
      <c r="V113" s="2840"/>
      <c r="W113" s="2840"/>
      <c r="X113" s="2840"/>
      <c r="Y113" s="2840">
        <f t="shared" si="34"/>
        <v>0</v>
      </c>
      <c r="Z113" s="2840"/>
      <c r="AA113" s="2840">
        <f t="shared" si="35"/>
        <v>0</v>
      </c>
      <c r="AB113" s="2840"/>
      <c r="AC113" s="4930" t="e">
        <f>+'GRD SUMM RCL CASTER 3'!#REF!</f>
        <v>#REF!</v>
      </c>
      <c r="AD113" s="2840"/>
      <c r="AE113" s="2840" t="e">
        <f t="shared" si="25"/>
        <v>#REF!</v>
      </c>
      <c r="AF113" s="2840"/>
      <c r="AG113" s="2840" t="e">
        <f>+'GRD SUMM RCL CASTER 3'!#REF!</f>
        <v>#REF!</v>
      </c>
      <c r="AH113" s="2840"/>
      <c r="AI113" s="2840" t="e">
        <f t="shared" si="26"/>
        <v>#REF!</v>
      </c>
      <c r="AJ113" s="2840"/>
      <c r="AK113" s="4930" t="e">
        <f>+'GRD SUMM RCL CASTER 3'!#REF!</f>
        <v>#REF!</v>
      </c>
      <c r="AL113" s="2840"/>
      <c r="AM113" s="2840" t="e">
        <f t="shared" si="27"/>
        <v>#REF!</v>
      </c>
      <c r="AN113" s="2840"/>
      <c r="AO113" s="2840" t="e">
        <f t="shared" si="28"/>
        <v>#REF!</v>
      </c>
      <c r="AP113" s="2840"/>
      <c r="AQ113" s="2840" t="e">
        <f>+'GRD SUMM RCL CASTER 3'!#REF!</f>
        <v>#REF!</v>
      </c>
      <c r="AR113" s="2840"/>
      <c r="AS113" s="2840" t="e">
        <f t="shared" si="29"/>
        <v>#REF!</v>
      </c>
      <c r="AT113" s="2840"/>
      <c r="AU113" s="2840" t="e">
        <f>+'GRD SUMM RCL CASTER 3'!#REF!</f>
        <v>#REF!</v>
      </c>
      <c r="AV113" s="2840"/>
      <c r="AW113" s="2840" t="e">
        <f t="shared" si="30"/>
        <v>#REF!</v>
      </c>
      <c r="AX113" s="2840"/>
      <c r="AY113" s="2840" t="e">
        <f>+'GRD SUMM RCL CASTER 3'!#REF!</f>
        <v>#REF!</v>
      </c>
      <c r="AZ113" s="2840"/>
      <c r="BA113" s="2840" t="e">
        <f t="shared" si="31"/>
        <v>#REF!</v>
      </c>
      <c r="BB113" s="2840"/>
      <c r="BC113" s="2840" t="e">
        <f t="shared" si="32"/>
        <v>#REF!</v>
      </c>
      <c r="BD113" s="2860"/>
      <c r="BE113" s="2860" t="e">
        <f t="shared" si="33"/>
        <v>#REF!</v>
      </c>
    </row>
    <row r="114" spans="2:58" ht="16.149999999999999" thickBot="1" x14ac:dyDescent="0.35">
      <c r="B114" s="279"/>
      <c r="C114" s="2849" t="s">
        <v>1799</v>
      </c>
      <c r="D114" s="2868"/>
      <c r="E114" s="2850">
        <f>SUM(E106:E113)</f>
        <v>0</v>
      </c>
      <c r="F114" s="2850"/>
      <c r="G114" s="2850">
        <f>SUM(G106:G113)</f>
        <v>2281</v>
      </c>
      <c r="H114" s="2850"/>
      <c r="I114" s="2850">
        <f t="shared" si="19"/>
        <v>2281</v>
      </c>
      <c r="J114" s="2850"/>
      <c r="K114" s="2850">
        <f>SUM(K106:K113)</f>
        <v>0</v>
      </c>
      <c r="L114" s="2850"/>
      <c r="M114" s="2850">
        <f t="shared" si="20"/>
        <v>2281</v>
      </c>
      <c r="N114" s="2850"/>
      <c r="O114" s="2850">
        <f>SUM(O106:O113)</f>
        <v>0</v>
      </c>
      <c r="P114" s="2850"/>
      <c r="Q114" s="2850">
        <f t="shared" si="21"/>
        <v>2281</v>
      </c>
      <c r="R114" s="2850"/>
      <c r="S114" s="2850">
        <f>SUM(S106:S113)</f>
        <v>6480.768</v>
      </c>
      <c r="T114" s="2850"/>
      <c r="U114" s="2850">
        <f t="shared" si="22"/>
        <v>8761.768</v>
      </c>
      <c r="V114" s="2850"/>
      <c r="W114" s="2850">
        <f>SUM(W106:W113)</f>
        <v>0</v>
      </c>
      <c r="X114" s="2850"/>
      <c r="Y114" s="2850">
        <f t="shared" si="34"/>
        <v>6480.768</v>
      </c>
      <c r="Z114" s="2850"/>
      <c r="AA114" s="2850">
        <f t="shared" si="35"/>
        <v>8761.768</v>
      </c>
      <c r="AB114" s="2850"/>
      <c r="AC114" s="4934" t="e">
        <f>SUM(AC106:AC113)</f>
        <v>#REF!</v>
      </c>
      <c r="AD114" s="2850"/>
      <c r="AE114" s="2850" t="e">
        <f t="shared" si="25"/>
        <v>#REF!</v>
      </c>
      <c r="AF114" s="2850"/>
      <c r="AG114" s="2850" t="e">
        <f>SUM(AG106:AG113)</f>
        <v>#REF!</v>
      </c>
      <c r="AH114" s="2850"/>
      <c r="AI114" s="2850" t="e">
        <f t="shared" si="26"/>
        <v>#REF!</v>
      </c>
      <c r="AJ114" s="2850"/>
      <c r="AK114" s="4934" t="e">
        <f>SUM(AK106:AK113)</f>
        <v>#REF!</v>
      </c>
      <c r="AL114" s="2850"/>
      <c r="AM114" s="2850" t="e">
        <f t="shared" si="27"/>
        <v>#REF!</v>
      </c>
      <c r="AN114" s="2850"/>
      <c r="AO114" s="2850" t="e">
        <f t="shared" si="28"/>
        <v>#REF!</v>
      </c>
      <c r="AP114" s="2850"/>
      <c r="AQ114" s="2850" t="e">
        <f>SUM(AQ106:AQ113)</f>
        <v>#REF!</v>
      </c>
      <c r="AR114" s="2850"/>
      <c r="AS114" s="2850" t="e">
        <f t="shared" si="29"/>
        <v>#REF!</v>
      </c>
      <c r="AT114" s="2850"/>
      <c r="AU114" s="2850" t="e">
        <f>SUM(AU106:AU113)</f>
        <v>#REF!</v>
      </c>
      <c r="AV114" s="2850"/>
      <c r="AW114" s="2850" t="e">
        <f t="shared" si="30"/>
        <v>#REF!</v>
      </c>
      <c r="AX114" s="2850"/>
      <c r="AY114" s="2850" t="e">
        <f>SUM(AY106:AY113)</f>
        <v>#REF!</v>
      </c>
      <c r="AZ114" s="2850"/>
      <c r="BA114" s="2850" t="e">
        <f t="shared" si="31"/>
        <v>#REF!</v>
      </c>
      <c r="BB114" s="2850"/>
      <c r="BC114" s="2850" t="e">
        <f t="shared" si="32"/>
        <v>#REF!</v>
      </c>
      <c r="BD114" s="2850"/>
      <c r="BE114" s="2850" t="e">
        <f t="shared" si="33"/>
        <v>#REF!</v>
      </c>
    </row>
    <row r="115" spans="2:58" ht="14.45" x14ac:dyDescent="0.3">
      <c r="B115" s="280"/>
      <c r="C115" s="261"/>
      <c r="D115" s="261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553"/>
      <c r="AD115" s="149"/>
      <c r="AE115" s="149"/>
      <c r="AF115" s="149"/>
      <c r="AG115" s="149"/>
      <c r="AH115" s="149"/>
      <c r="AI115" s="149"/>
      <c r="AJ115" s="149"/>
      <c r="AK115" s="1553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</row>
    <row r="116" spans="2:58" ht="14.45" x14ac:dyDescent="0.3">
      <c r="B116" s="280"/>
      <c r="C116" s="2859" t="s">
        <v>1800</v>
      </c>
      <c r="D116" s="2859"/>
      <c r="E116" s="2654">
        <f>+SMS!F42</f>
        <v>0</v>
      </c>
      <c r="F116" s="2654"/>
      <c r="G116" s="2654">
        <f>+SMS!H42</f>
        <v>0</v>
      </c>
      <c r="H116" s="2654"/>
      <c r="I116" s="2654">
        <f t="shared" si="19"/>
        <v>0</v>
      </c>
      <c r="J116" s="2654"/>
      <c r="K116" s="2654">
        <f>+SMS!L42</f>
        <v>0</v>
      </c>
      <c r="L116" s="2654"/>
      <c r="M116" s="2654">
        <f t="shared" si="20"/>
        <v>0</v>
      </c>
      <c r="N116" s="2654"/>
      <c r="O116" s="2654">
        <f>+SMS!P42</f>
        <v>0</v>
      </c>
      <c r="P116" s="2654"/>
      <c r="Q116" s="2654">
        <f t="shared" si="21"/>
        <v>0</v>
      </c>
      <c r="R116" s="2654"/>
      <c r="S116" s="2654">
        <f>+SMS!T42</f>
        <v>0</v>
      </c>
      <c r="T116" s="2654"/>
      <c r="U116" s="2654">
        <f t="shared" si="22"/>
        <v>0</v>
      </c>
      <c r="V116" s="2654"/>
      <c r="W116" s="2654">
        <f>+SMS!X42</f>
        <v>0</v>
      </c>
      <c r="X116" s="2654"/>
      <c r="Y116" s="2654">
        <f t="shared" si="34"/>
        <v>0</v>
      </c>
      <c r="Z116" s="2654"/>
      <c r="AA116" s="2654">
        <f t="shared" si="35"/>
        <v>0</v>
      </c>
      <c r="AB116" s="2654"/>
      <c r="AC116" s="4933">
        <f>+SMS!AD42</f>
        <v>13</v>
      </c>
      <c r="AD116" s="2654"/>
      <c r="AE116" s="2654">
        <f t="shared" si="25"/>
        <v>13</v>
      </c>
      <c r="AF116" s="2654"/>
      <c r="AG116" s="2654">
        <f>+SMS!AH42</f>
        <v>0</v>
      </c>
      <c r="AH116" s="2654"/>
      <c r="AI116" s="2654">
        <f t="shared" si="26"/>
        <v>13</v>
      </c>
      <c r="AJ116" s="2654"/>
      <c r="AK116" s="4933">
        <f>+SMS!AL42</f>
        <v>22</v>
      </c>
      <c r="AL116" s="2654"/>
      <c r="AM116" s="2654">
        <f t="shared" si="27"/>
        <v>35</v>
      </c>
      <c r="AN116" s="2654"/>
      <c r="AO116" s="2654">
        <f t="shared" si="28"/>
        <v>35</v>
      </c>
      <c r="AP116" s="2654"/>
      <c r="AQ116" s="2654">
        <f>+SMS!AR42</f>
        <v>12</v>
      </c>
      <c r="AR116" s="2654"/>
      <c r="AS116" s="2654">
        <f t="shared" si="29"/>
        <v>47</v>
      </c>
      <c r="AT116" s="2654"/>
      <c r="AU116" s="2654">
        <f>+SMS!AV42</f>
        <v>0</v>
      </c>
      <c r="AV116" s="2654"/>
      <c r="AW116" s="2654">
        <f t="shared" si="30"/>
        <v>47</v>
      </c>
      <c r="AX116" s="2654"/>
      <c r="AY116" s="2654">
        <f>+SMS!AZ42</f>
        <v>0</v>
      </c>
      <c r="AZ116" s="2654"/>
      <c r="BA116" s="2654">
        <f t="shared" si="31"/>
        <v>12</v>
      </c>
      <c r="BB116" s="2654"/>
      <c r="BC116" s="2654">
        <f t="shared" si="32"/>
        <v>47</v>
      </c>
      <c r="BD116" s="4940"/>
      <c r="BE116" s="4940">
        <f t="shared" si="33"/>
        <v>47</v>
      </c>
    </row>
    <row r="117" spans="2:58" ht="14.45" x14ac:dyDescent="0.3">
      <c r="B117" s="280"/>
      <c r="C117" s="2859" t="s">
        <v>1801</v>
      </c>
      <c r="D117" s="2859"/>
      <c r="E117" s="2654">
        <f>+'Direct sales IPT details'!E14</f>
        <v>0</v>
      </c>
      <c r="F117" s="2654"/>
      <c r="G117" s="2654">
        <f>+'Direct sales IPT details'!G14</f>
        <v>640.46</v>
      </c>
      <c r="H117" s="2654"/>
      <c r="I117" s="2654">
        <f t="shared" si="19"/>
        <v>640.46</v>
      </c>
      <c r="J117" s="2654"/>
      <c r="K117" s="2654">
        <f>+'Direct sales IPT details'!K14</f>
        <v>1065.5999999999999</v>
      </c>
      <c r="L117" s="2654"/>
      <c r="M117" s="2654">
        <f t="shared" si="20"/>
        <v>1706.06</v>
      </c>
      <c r="N117" s="2654"/>
      <c r="O117" s="2654">
        <f>+'Direct sales IPT details'!O14</f>
        <v>463.1</v>
      </c>
      <c r="P117" s="2654"/>
      <c r="Q117" s="2654">
        <f t="shared" si="21"/>
        <v>2169.16</v>
      </c>
      <c r="R117" s="2654"/>
      <c r="S117" s="2654">
        <f>+'Direct sales IPT details'!S14</f>
        <v>2248.92</v>
      </c>
      <c r="T117" s="2654"/>
      <c r="U117" s="2654">
        <f t="shared" si="22"/>
        <v>4418.08</v>
      </c>
      <c r="V117" s="2654"/>
      <c r="W117" s="2654">
        <f>+'Direct sales IPT details'!W14</f>
        <v>1413.7700000000002</v>
      </c>
      <c r="X117" s="2654"/>
      <c r="Y117" s="2654">
        <f t="shared" si="34"/>
        <v>4125.7900000000009</v>
      </c>
      <c r="Z117" s="2654"/>
      <c r="AA117" s="2654">
        <f t="shared" si="35"/>
        <v>5831.85</v>
      </c>
      <c r="AB117" s="2654"/>
      <c r="AC117" s="4933">
        <f>+'Direct sales IPT details'!AC14</f>
        <v>632.55999999999995</v>
      </c>
      <c r="AD117" s="2654"/>
      <c r="AE117" s="2654">
        <f t="shared" si="25"/>
        <v>6464.4100000000008</v>
      </c>
      <c r="AF117" s="2654"/>
      <c r="AG117" s="2654">
        <f>+'Direct sales IPT details'!AG14</f>
        <v>636.88</v>
      </c>
      <c r="AH117" s="2654"/>
      <c r="AI117" s="2654">
        <f t="shared" si="26"/>
        <v>7101.29</v>
      </c>
      <c r="AJ117" s="2654"/>
      <c r="AK117" s="4933">
        <f>+'Direct sales IPT details'!AK14</f>
        <v>367.46</v>
      </c>
      <c r="AL117" s="2654"/>
      <c r="AM117" s="2654">
        <f t="shared" si="27"/>
        <v>1636.8999999999999</v>
      </c>
      <c r="AN117" s="2654"/>
      <c r="AO117" s="2654">
        <f t="shared" si="28"/>
        <v>7468.7500000000009</v>
      </c>
      <c r="AP117" s="2654"/>
      <c r="AQ117" s="2654">
        <f>+'Direct sales IPT details'!AQ14</f>
        <v>0</v>
      </c>
      <c r="AR117" s="2654"/>
      <c r="AS117" s="2654">
        <f t="shared" si="29"/>
        <v>7468.7500000000009</v>
      </c>
      <c r="AT117" s="2654"/>
      <c r="AU117" s="2654">
        <f>+'Direct sales IPT details'!AU14</f>
        <v>0</v>
      </c>
      <c r="AV117" s="2654"/>
      <c r="AW117" s="2654">
        <f t="shared" si="30"/>
        <v>7468.7500000000009</v>
      </c>
      <c r="AX117" s="2654"/>
      <c r="AY117" s="2654">
        <f>+'Direct sales IPT details'!AY14</f>
        <v>0</v>
      </c>
      <c r="AZ117" s="2654"/>
      <c r="BA117" s="2654">
        <f t="shared" si="31"/>
        <v>0</v>
      </c>
      <c r="BB117" s="2654"/>
      <c r="BC117" s="2654">
        <f t="shared" si="32"/>
        <v>1636.8999999999999</v>
      </c>
      <c r="BD117" s="4940"/>
      <c r="BE117" s="4940">
        <f t="shared" si="33"/>
        <v>7468.75</v>
      </c>
    </row>
    <row r="118" spans="2:58" ht="14.45" x14ac:dyDescent="0.3">
      <c r="C118" s="2861"/>
      <c r="D118" s="2861"/>
      <c r="E118" s="2713"/>
      <c r="F118" s="2713"/>
      <c r="G118" s="2713"/>
      <c r="H118" s="2713"/>
      <c r="I118" s="2713"/>
      <c r="J118" s="2713"/>
      <c r="K118" s="2713"/>
      <c r="L118" s="2713"/>
      <c r="M118" s="2713"/>
      <c r="N118" s="2713"/>
      <c r="O118" s="2713"/>
      <c r="P118" s="2713"/>
      <c r="Q118" s="2713"/>
      <c r="R118" s="2713"/>
      <c r="S118" s="2713"/>
      <c r="T118" s="2713"/>
      <c r="U118" s="2713"/>
      <c r="V118" s="2713"/>
      <c r="W118" s="2713"/>
      <c r="X118" s="2713"/>
      <c r="Y118" s="2713"/>
      <c r="Z118" s="2713"/>
      <c r="AA118" s="2713"/>
      <c r="AB118" s="2713"/>
      <c r="AC118" s="4936"/>
      <c r="AD118" s="2713"/>
      <c r="AE118" s="2713"/>
      <c r="AF118" s="2713"/>
      <c r="AG118" s="2713"/>
      <c r="AH118" s="2713"/>
      <c r="AI118" s="2713"/>
      <c r="AJ118" s="2713"/>
      <c r="AK118" s="4936"/>
      <c r="AL118" s="2713"/>
      <c r="AM118" s="2713"/>
      <c r="AN118" s="2713"/>
      <c r="AO118" s="2713"/>
      <c r="AP118" s="2713"/>
      <c r="AQ118" s="2713"/>
      <c r="AR118" s="2713"/>
      <c r="AS118" s="2713"/>
      <c r="AT118" s="2713"/>
      <c r="AU118" s="2713"/>
      <c r="AV118" s="2713"/>
      <c r="AW118" s="2713"/>
      <c r="AX118" s="2713"/>
      <c r="AY118" s="2713"/>
      <c r="AZ118" s="2713"/>
      <c r="BA118" s="2713"/>
      <c r="BB118" s="2713"/>
      <c r="BC118" s="2713"/>
      <c r="BD118" s="4944"/>
      <c r="BE118" s="4944"/>
    </row>
    <row r="119" spans="2:58" ht="16.149999999999999" thickBot="1" x14ac:dyDescent="0.35">
      <c r="C119" s="2849" t="s">
        <v>1802</v>
      </c>
      <c r="D119" s="2868"/>
      <c r="E119" s="2850">
        <f>+E114+E116+E117</f>
        <v>0</v>
      </c>
      <c r="F119" s="2850"/>
      <c r="G119" s="2850">
        <f>+G114+G116+G117</f>
        <v>2921.46</v>
      </c>
      <c r="H119" s="2850"/>
      <c r="I119" s="2850">
        <f t="shared" si="19"/>
        <v>2921.46</v>
      </c>
      <c r="J119" s="2850"/>
      <c r="K119" s="2850">
        <f>+K114+K116+K117</f>
        <v>1065.5999999999999</v>
      </c>
      <c r="L119" s="2850"/>
      <c r="M119" s="2850">
        <f t="shared" si="20"/>
        <v>3987.06</v>
      </c>
      <c r="N119" s="2850"/>
      <c r="O119" s="2850">
        <f>+O114+O116+O117</f>
        <v>463.1</v>
      </c>
      <c r="P119" s="2850"/>
      <c r="Q119" s="2850">
        <f t="shared" si="21"/>
        <v>4450.16</v>
      </c>
      <c r="R119" s="2850"/>
      <c r="S119" s="2850">
        <f>+S114+S116+S117</f>
        <v>8729.6880000000001</v>
      </c>
      <c r="T119" s="2850"/>
      <c r="U119" s="2850">
        <f t="shared" si="22"/>
        <v>13179.848000000002</v>
      </c>
      <c r="V119" s="2850"/>
      <c r="W119" s="2850">
        <f>+W114+W116+W117</f>
        <v>1413.7700000000002</v>
      </c>
      <c r="X119" s="2850"/>
      <c r="Y119" s="2850">
        <f t="shared" si="34"/>
        <v>10606.558000000001</v>
      </c>
      <c r="Z119" s="2850"/>
      <c r="AA119" s="2850">
        <f t="shared" si="35"/>
        <v>14593.618</v>
      </c>
      <c r="AB119" s="2850"/>
      <c r="AC119" s="4934" t="e">
        <f>+AC114+AC116+AC117</f>
        <v>#REF!</v>
      </c>
      <c r="AD119" s="2850"/>
      <c r="AE119" s="2850" t="e">
        <f t="shared" si="25"/>
        <v>#REF!</v>
      </c>
      <c r="AF119" s="2850"/>
      <c r="AG119" s="2850" t="e">
        <f>+AG114+AG116+AG117</f>
        <v>#REF!</v>
      </c>
      <c r="AH119" s="2850"/>
      <c r="AI119" s="2850" t="e">
        <f t="shared" si="26"/>
        <v>#REF!</v>
      </c>
      <c r="AJ119" s="2850"/>
      <c r="AK119" s="4934" t="e">
        <f>+AK114+AK116+AK117</f>
        <v>#REF!</v>
      </c>
      <c r="AL119" s="2850"/>
      <c r="AM119" s="2850" t="e">
        <f t="shared" si="27"/>
        <v>#REF!</v>
      </c>
      <c r="AN119" s="2850"/>
      <c r="AO119" s="2850" t="e">
        <f t="shared" si="28"/>
        <v>#REF!</v>
      </c>
      <c r="AP119" s="2850"/>
      <c r="AQ119" s="2850" t="e">
        <f>+AQ114+AQ116+AQ117</f>
        <v>#REF!</v>
      </c>
      <c r="AR119" s="2850"/>
      <c r="AS119" s="2850" t="e">
        <f t="shared" si="29"/>
        <v>#REF!</v>
      </c>
      <c r="AT119" s="2850"/>
      <c r="AU119" s="2850" t="e">
        <f>+AU114+AU116+AU117</f>
        <v>#REF!</v>
      </c>
      <c r="AV119" s="2850"/>
      <c r="AW119" s="2850" t="e">
        <f t="shared" si="30"/>
        <v>#REF!</v>
      </c>
      <c r="AX119" s="2850"/>
      <c r="AY119" s="2850" t="e">
        <f>+AY114+AY116+AY117</f>
        <v>#REF!</v>
      </c>
      <c r="AZ119" s="2850"/>
      <c r="BA119" s="2850" t="e">
        <f t="shared" si="31"/>
        <v>#REF!</v>
      </c>
      <c r="BB119" s="2850"/>
      <c r="BC119" s="2850" t="e">
        <f t="shared" si="32"/>
        <v>#REF!</v>
      </c>
      <c r="BD119" s="2850"/>
      <c r="BE119" s="2850" t="e">
        <f t="shared" si="33"/>
        <v>#REF!</v>
      </c>
    </row>
    <row r="120" spans="2:58" ht="14.45" x14ac:dyDescent="0.3">
      <c r="C120" s="261"/>
      <c r="D120" s="261"/>
      <c r="BD120" s="4089"/>
      <c r="BE120" s="4089"/>
    </row>
    <row r="121" spans="2:58" ht="16.149999999999999" thickBot="1" x14ac:dyDescent="0.35">
      <c r="C121" s="2849" t="s">
        <v>1803</v>
      </c>
      <c r="D121" s="2868"/>
      <c r="E121" s="2850">
        <f>+'Maj Production Summ'!F35</f>
        <v>0</v>
      </c>
      <c r="F121" s="2850"/>
      <c r="G121" s="2850">
        <f>+'Maj Production Summ'!H35</f>
        <v>3000</v>
      </c>
      <c r="H121" s="2850"/>
      <c r="I121" s="2850">
        <f t="shared" si="19"/>
        <v>3000</v>
      </c>
      <c r="J121" s="2850"/>
      <c r="K121" s="2850">
        <f>+'Maj Production Summ'!L35</f>
        <v>1066</v>
      </c>
      <c r="L121" s="2850"/>
      <c r="M121" s="2850">
        <f t="shared" si="20"/>
        <v>4066</v>
      </c>
      <c r="N121" s="2850"/>
      <c r="O121" s="2850">
        <f>+'Maj Production Summ'!P35</f>
        <v>463</v>
      </c>
      <c r="P121" s="2850"/>
      <c r="Q121" s="2850">
        <f t="shared" si="21"/>
        <v>4529</v>
      </c>
      <c r="R121" s="2850"/>
      <c r="S121" s="2850">
        <f>+'Maj Production Summ'!T35</f>
        <v>8811.77</v>
      </c>
      <c r="T121" s="2850"/>
      <c r="U121" s="2850">
        <f t="shared" si="22"/>
        <v>13340.77</v>
      </c>
      <c r="V121" s="2850"/>
      <c r="W121" s="2850">
        <f>+'Maj Production Summ'!X35</f>
        <v>1414</v>
      </c>
      <c r="X121" s="2850"/>
      <c r="Y121" s="2850">
        <f t="shared" si="34"/>
        <v>10688.77</v>
      </c>
      <c r="Z121" s="2850"/>
      <c r="AA121" s="2850">
        <f t="shared" si="35"/>
        <v>14754.77</v>
      </c>
      <c r="AB121" s="2850"/>
      <c r="AC121" s="4934">
        <f>+'Maj Production Summ'!AD35</f>
        <v>7379.5262000000002</v>
      </c>
      <c r="AD121" s="2850"/>
      <c r="AE121" s="2850">
        <f t="shared" si="25"/>
        <v>22134.296200000001</v>
      </c>
      <c r="AF121" s="2850"/>
      <c r="AG121" s="2850">
        <f>+'Maj Production Summ'!AH35</f>
        <v>637</v>
      </c>
      <c r="AH121" s="2850"/>
      <c r="AI121" s="2850">
        <f t="shared" si="26"/>
        <v>22771.296200000001</v>
      </c>
      <c r="AJ121" s="2850"/>
      <c r="AK121" s="4934">
        <f>+'Maj Production Summ'!AL35</f>
        <v>12910</v>
      </c>
      <c r="AL121" s="2850"/>
      <c r="AM121" s="2850">
        <f t="shared" si="27"/>
        <v>20926.5262</v>
      </c>
      <c r="AN121" s="2850"/>
      <c r="AO121" s="2850">
        <f t="shared" si="28"/>
        <v>35681.296199999997</v>
      </c>
      <c r="AP121" s="2850"/>
      <c r="AQ121" s="2850">
        <f>+'Maj Production Summ'!AR35</f>
        <v>10907.843000000001</v>
      </c>
      <c r="AR121" s="2850"/>
      <c r="AS121" s="2850">
        <f t="shared" si="29"/>
        <v>46589.139199999998</v>
      </c>
      <c r="AT121" s="2850"/>
      <c r="AU121" s="2850">
        <f>+'Maj Production Summ'!AV35</f>
        <v>0</v>
      </c>
      <c r="AV121" s="2850"/>
      <c r="AW121" s="2850">
        <f t="shared" si="30"/>
        <v>46589.139199999998</v>
      </c>
      <c r="AX121" s="2850"/>
      <c r="AY121" s="2850">
        <f>+'Maj Production Summ'!AZ35</f>
        <v>0</v>
      </c>
      <c r="AZ121" s="2850"/>
      <c r="BA121" s="2850">
        <f t="shared" si="31"/>
        <v>10907.843000000001</v>
      </c>
      <c r="BB121" s="2850"/>
      <c r="BC121" s="2850">
        <f t="shared" si="32"/>
        <v>31834.369200000001</v>
      </c>
      <c r="BD121" s="2850"/>
      <c r="BE121" s="2850">
        <f t="shared" si="33"/>
        <v>46589.139200000005</v>
      </c>
    </row>
    <row r="122" spans="2:58" ht="14.45" x14ac:dyDescent="0.3">
      <c r="C122" s="261"/>
      <c r="D122" s="261"/>
      <c r="BD122" s="4089"/>
      <c r="BE122" s="4089"/>
    </row>
    <row r="123" spans="2:58" ht="18" x14ac:dyDescent="0.3">
      <c r="C123" s="2854" t="s">
        <v>1797</v>
      </c>
      <c r="D123" s="2854"/>
      <c r="E123" s="2855">
        <f>+E121-E119</f>
        <v>0</v>
      </c>
      <c r="F123" s="2855">
        <f t="shared" ref="F123:BE123" si="36">+F121-F119</f>
        <v>0</v>
      </c>
      <c r="G123" s="2855">
        <f t="shared" si="36"/>
        <v>78.539999999999964</v>
      </c>
      <c r="H123" s="2855">
        <f t="shared" si="36"/>
        <v>0</v>
      </c>
      <c r="I123" s="2855">
        <f t="shared" si="36"/>
        <v>78.539999999999964</v>
      </c>
      <c r="J123" s="2855">
        <f t="shared" si="36"/>
        <v>0</v>
      </c>
      <c r="K123" s="2855">
        <f t="shared" si="36"/>
        <v>0.40000000000009095</v>
      </c>
      <c r="L123" s="2855">
        <f t="shared" si="36"/>
        <v>0</v>
      </c>
      <c r="M123" s="2855">
        <f t="shared" si="36"/>
        <v>78.940000000000055</v>
      </c>
      <c r="N123" s="2855">
        <f t="shared" si="36"/>
        <v>0</v>
      </c>
      <c r="O123" s="2855">
        <f t="shared" si="36"/>
        <v>-0.10000000000002274</v>
      </c>
      <c r="P123" s="2855">
        <f t="shared" si="36"/>
        <v>0</v>
      </c>
      <c r="Q123" s="2855">
        <f t="shared" si="36"/>
        <v>78.840000000000146</v>
      </c>
      <c r="R123" s="2855">
        <f t="shared" si="36"/>
        <v>0</v>
      </c>
      <c r="S123" s="2855">
        <f t="shared" ref="S123" si="37">+S121-S119</f>
        <v>82.082000000000335</v>
      </c>
      <c r="T123" s="2855">
        <f t="shared" si="36"/>
        <v>0</v>
      </c>
      <c r="U123" s="2855">
        <f t="shared" si="36"/>
        <v>160.92199999999866</v>
      </c>
      <c r="V123" s="2855">
        <f t="shared" si="36"/>
        <v>0</v>
      </c>
      <c r="W123" s="2855">
        <f t="shared" si="36"/>
        <v>0.22999999999979082</v>
      </c>
      <c r="X123" s="2855">
        <f t="shared" si="36"/>
        <v>0</v>
      </c>
      <c r="Y123" s="2855">
        <f t="shared" si="36"/>
        <v>82.211999999999534</v>
      </c>
      <c r="Z123" s="2855">
        <f t="shared" si="36"/>
        <v>0</v>
      </c>
      <c r="AA123" s="2855">
        <f t="shared" si="36"/>
        <v>161.15200000000004</v>
      </c>
      <c r="AB123" s="2855">
        <f t="shared" si="36"/>
        <v>0</v>
      </c>
      <c r="AC123" s="2855" t="e">
        <f t="shared" si="36"/>
        <v>#REF!</v>
      </c>
      <c r="AD123" s="2855">
        <f t="shared" si="36"/>
        <v>0</v>
      </c>
      <c r="AE123" s="2855" t="e">
        <f t="shared" si="36"/>
        <v>#REF!</v>
      </c>
      <c r="AF123" s="2855">
        <f t="shared" si="36"/>
        <v>0</v>
      </c>
      <c r="AG123" s="2855" t="e">
        <f t="shared" si="36"/>
        <v>#REF!</v>
      </c>
      <c r="AH123" s="2855">
        <f t="shared" si="36"/>
        <v>0</v>
      </c>
      <c r="AI123" s="2855" t="e">
        <f t="shared" si="36"/>
        <v>#REF!</v>
      </c>
      <c r="AJ123" s="2855">
        <f t="shared" si="36"/>
        <v>0</v>
      </c>
      <c r="AK123" s="2855" t="e">
        <f t="shared" si="36"/>
        <v>#REF!</v>
      </c>
      <c r="AL123" s="2855">
        <f t="shared" si="36"/>
        <v>0</v>
      </c>
      <c r="AM123" s="2855" t="e">
        <f t="shared" si="36"/>
        <v>#REF!</v>
      </c>
      <c r="AN123" s="2855">
        <f t="shared" si="36"/>
        <v>0</v>
      </c>
      <c r="AO123" s="2855" t="e">
        <f t="shared" si="36"/>
        <v>#REF!</v>
      </c>
      <c r="AP123" s="2855">
        <f t="shared" si="36"/>
        <v>0</v>
      </c>
      <c r="AQ123" s="2855" t="e">
        <f t="shared" si="36"/>
        <v>#REF!</v>
      </c>
      <c r="AR123" s="2855">
        <f t="shared" si="36"/>
        <v>0</v>
      </c>
      <c r="AS123" s="2855" t="e">
        <f t="shared" si="36"/>
        <v>#REF!</v>
      </c>
      <c r="AT123" s="2855">
        <f t="shared" si="36"/>
        <v>0</v>
      </c>
      <c r="AU123" s="2855" t="e">
        <f t="shared" si="36"/>
        <v>#REF!</v>
      </c>
      <c r="AV123" s="2855">
        <f t="shared" si="36"/>
        <v>0</v>
      </c>
      <c r="AW123" s="2855" t="e">
        <f t="shared" si="36"/>
        <v>#REF!</v>
      </c>
      <c r="AX123" s="2855">
        <f t="shared" si="36"/>
        <v>0</v>
      </c>
      <c r="AY123" s="2855" t="e">
        <f t="shared" si="36"/>
        <v>#REF!</v>
      </c>
      <c r="AZ123" s="2855">
        <f t="shared" si="36"/>
        <v>0</v>
      </c>
      <c r="BA123" s="2855" t="e">
        <f t="shared" si="36"/>
        <v>#REF!</v>
      </c>
      <c r="BB123" s="2855">
        <f t="shared" si="36"/>
        <v>0</v>
      </c>
      <c r="BC123" s="2855" t="e">
        <f t="shared" si="36"/>
        <v>#REF!</v>
      </c>
      <c r="BD123" s="2855">
        <f t="shared" si="36"/>
        <v>0</v>
      </c>
      <c r="BE123" s="2855" t="e">
        <f t="shared" si="36"/>
        <v>#REF!</v>
      </c>
    </row>
    <row r="124" spans="2:58" ht="14.45" x14ac:dyDescent="0.3">
      <c r="BD124" s="4089"/>
      <c r="BE124" s="4089"/>
    </row>
    <row r="125" spans="2:58" ht="18" x14ac:dyDescent="0.3">
      <c r="C125" s="2862" t="s">
        <v>1804</v>
      </c>
      <c r="D125" s="2862"/>
      <c r="E125" s="4947">
        <f>+E95+E119</f>
        <v>45233</v>
      </c>
      <c r="F125" s="4947"/>
      <c r="G125" s="4947">
        <f>+G95+G119</f>
        <v>54926.46</v>
      </c>
      <c r="H125" s="4947"/>
      <c r="I125" s="4947">
        <f t="shared" ref="I125:I126" si="38">+E125+G125</f>
        <v>100159.45999999999</v>
      </c>
      <c r="J125" s="4947"/>
      <c r="K125" s="4947">
        <f>+K95+K119</f>
        <v>52264.6</v>
      </c>
      <c r="L125" s="2863"/>
      <c r="M125" s="2863">
        <f t="shared" si="20"/>
        <v>152424.06</v>
      </c>
      <c r="N125" s="2863"/>
      <c r="O125" s="4947">
        <f>+O95+O119</f>
        <v>57940.1</v>
      </c>
      <c r="P125" s="2863"/>
      <c r="Q125" s="2863">
        <f t="shared" si="21"/>
        <v>210364.16</v>
      </c>
      <c r="R125" s="2863"/>
      <c r="S125" s="4947">
        <f>+S95+S119</f>
        <v>57248.568000000007</v>
      </c>
      <c r="T125" s="2863"/>
      <c r="U125" s="2863">
        <f t="shared" si="22"/>
        <v>267612.728</v>
      </c>
      <c r="V125" s="2863"/>
      <c r="W125" s="4947">
        <f>+W95+W119</f>
        <v>56955.77</v>
      </c>
      <c r="X125" s="2863"/>
      <c r="Y125" s="2863">
        <f t="shared" si="34"/>
        <v>172144.43799999999</v>
      </c>
      <c r="Z125" s="2863"/>
      <c r="AA125" s="2863">
        <f t="shared" si="35"/>
        <v>324568.49800000002</v>
      </c>
      <c r="AB125" s="2863"/>
      <c r="AC125" s="4946" t="e">
        <f>+AC95+AC119</f>
        <v>#REF!</v>
      </c>
      <c r="AD125" s="2863"/>
      <c r="AE125" s="2863" t="e">
        <f t="shared" si="25"/>
        <v>#REF!</v>
      </c>
      <c r="AF125" s="2863"/>
      <c r="AG125" s="2863" t="e">
        <f>+AG95+AG119</f>
        <v>#REF!</v>
      </c>
      <c r="AH125" s="2863"/>
      <c r="AI125" s="2863" t="e">
        <f t="shared" si="26"/>
        <v>#REF!</v>
      </c>
      <c r="AJ125" s="2863"/>
      <c r="AK125" s="4937" t="e">
        <f>+AK95+AK119</f>
        <v>#REF!</v>
      </c>
      <c r="AL125" s="2863"/>
      <c r="AM125" s="2863" t="e">
        <f t="shared" si="27"/>
        <v>#REF!</v>
      </c>
      <c r="AN125" s="2863"/>
      <c r="AO125" s="2863" t="e">
        <f t="shared" si="28"/>
        <v>#REF!</v>
      </c>
      <c r="AP125" s="2863"/>
      <c r="AQ125" s="2863" t="e">
        <f>+AQ95+AQ119</f>
        <v>#REF!</v>
      </c>
      <c r="AR125" s="2863"/>
      <c r="AS125" s="2863" t="e">
        <f t="shared" si="29"/>
        <v>#REF!</v>
      </c>
      <c r="AT125" s="2863"/>
      <c r="AU125" s="2863" t="e">
        <f>+AU95+AU119</f>
        <v>#REF!</v>
      </c>
      <c r="AV125" s="2863"/>
      <c r="AW125" s="2863" t="e">
        <f t="shared" si="30"/>
        <v>#REF!</v>
      </c>
      <c r="AX125" s="2863"/>
      <c r="AY125" s="2863" t="e">
        <f>+AY95+AY119</f>
        <v>#REF!</v>
      </c>
      <c r="AZ125" s="2863"/>
      <c r="BA125" s="2863" t="e">
        <f t="shared" si="31"/>
        <v>#REF!</v>
      </c>
      <c r="BB125" s="2863"/>
      <c r="BC125" s="2863" t="e">
        <f t="shared" si="32"/>
        <v>#REF!</v>
      </c>
      <c r="BD125" s="4945"/>
      <c r="BE125" s="4945" t="e">
        <f t="shared" si="33"/>
        <v>#REF!</v>
      </c>
    </row>
    <row r="126" spans="2:58" ht="18.75" x14ac:dyDescent="0.25">
      <c r="C126" s="2862" t="s">
        <v>1805</v>
      </c>
      <c r="D126" s="2862"/>
      <c r="E126" s="4947">
        <f>+E99+E121</f>
        <v>45616.58799999996</v>
      </c>
      <c r="F126" s="2863"/>
      <c r="G126" s="2863">
        <f>+G99+G121</f>
        <v>55556</v>
      </c>
      <c r="H126" s="2863"/>
      <c r="I126" s="2863">
        <f t="shared" si="38"/>
        <v>101172.58799999996</v>
      </c>
      <c r="J126" s="2863"/>
      <c r="K126" s="2863">
        <f>+K99+K121</f>
        <v>57284</v>
      </c>
      <c r="L126" s="2863"/>
      <c r="M126" s="2863">
        <f t="shared" si="20"/>
        <v>158456.58799999996</v>
      </c>
      <c r="N126" s="2863"/>
      <c r="O126" s="2863">
        <f>+O99+O121</f>
        <v>50766</v>
      </c>
      <c r="P126" s="2863"/>
      <c r="Q126" s="2863">
        <f t="shared" si="21"/>
        <v>209222.58799999996</v>
      </c>
      <c r="R126" s="2863"/>
      <c r="S126" s="4947">
        <f>+S99+S121</f>
        <v>60047.19</v>
      </c>
      <c r="T126" s="2863"/>
      <c r="U126" s="2863">
        <f t="shared" si="22"/>
        <v>269269.77799999993</v>
      </c>
      <c r="V126" s="2863"/>
      <c r="W126" s="4947">
        <f>+W99+W121</f>
        <v>55490</v>
      </c>
      <c r="X126" s="2863"/>
      <c r="Y126" s="2863">
        <f t="shared" si="34"/>
        <v>166303.19</v>
      </c>
      <c r="Z126" s="2863"/>
      <c r="AA126" s="2863">
        <f t="shared" si="35"/>
        <v>324759.77799999993</v>
      </c>
      <c r="AB126" s="2863"/>
      <c r="AC126" s="4946">
        <f>+AC99+AC121</f>
        <v>32797.5262</v>
      </c>
      <c r="AD126" s="2863"/>
      <c r="AE126" s="2863">
        <f t="shared" si="25"/>
        <v>357557.30420000001</v>
      </c>
      <c r="AF126" s="2863"/>
      <c r="AG126" s="2863">
        <f>+AG99+AG121</f>
        <v>8572</v>
      </c>
      <c r="AH126" s="2863"/>
      <c r="AI126" s="2863">
        <f t="shared" si="26"/>
        <v>366129.30420000001</v>
      </c>
      <c r="AJ126" s="2863"/>
      <c r="AK126" s="4937">
        <f>+AK99+AK121</f>
        <v>77403</v>
      </c>
      <c r="AL126" s="2863"/>
      <c r="AM126" s="2863">
        <f t="shared" si="27"/>
        <v>118772.52619999999</v>
      </c>
      <c r="AN126" s="2863"/>
      <c r="AO126" s="2863">
        <f t="shared" si="28"/>
        <v>443532.30420000001</v>
      </c>
      <c r="AP126" s="2863"/>
      <c r="AQ126" s="2863">
        <f>+AQ99+AQ121</f>
        <v>73982.023000000001</v>
      </c>
      <c r="AR126" s="2863"/>
      <c r="AS126" s="2863">
        <f t="shared" si="29"/>
        <v>517514.3272</v>
      </c>
      <c r="AT126" s="2863"/>
      <c r="AU126" s="2863">
        <f>+AU99+AU121</f>
        <v>57481.269999999931</v>
      </c>
      <c r="AV126" s="2863"/>
      <c r="AW126" s="2863">
        <f t="shared" si="30"/>
        <v>574995.59719999996</v>
      </c>
      <c r="AX126" s="2863"/>
      <c r="AY126" s="2863">
        <f>+AY99+AY121</f>
        <v>57620</v>
      </c>
      <c r="AZ126" s="2863"/>
      <c r="BA126" s="2863">
        <f t="shared" si="31"/>
        <v>189083.29299999995</v>
      </c>
      <c r="BB126" s="2863"/>
      <c r="BC126" s="2863">
        <f t="shared" si="32"/>
        <v>307855.81919999991</v>
      </c>
      <c r="BD126" s="4945"/>
      <c r="BE126" s="4945">
        <f t="shared" si="33"/>
        <v>632615.59719999984</v>
      </c>
    </row>
    <row r="127" spans="2:58" x14ac:dyDescent="0.25">
      <c r="BD127" s="4089"/>
      <c r="BE127" s="4089"/>
    </row>
    <row r="128" spans="2:58" ht="18.75" x14ac:dyDescent="0.25">
      <c r="C128" s="2854" t="s">
        <v>1797</v>
      </c>
      <c r="D128" s="2854"/>
      <c r="E128" s="2855">
        <f>+E126-E125</f>
        <v>383.58799999995972</v>
      </c>
      <c r="F128" s="2855">
        <f t="shared" ref="F128:BE128" si="39">+F126-F125</f>
        <v>0</v>
      </c>
      <c r="G128" s="2855">
        <f t="shared" si="39"/>
        <v>629.54000000000087</v>
      </c>
      <c r="H128" s="2855">
        <f t="shared" si="39"/>
        <v>0</v>
      </c>
      <c r="I128" s="2855">
        <f t="shared" si="39"/>
        <v>1013.1279999999679</v>
      </c>
      <c r="J128" s="2855">
        <f t="shared" si="39"/>
        <v>0</v>
      </c>
      <c r="K128" s="2855">
        <f t="shared" si="39"/>
        <v>5019.4000000000015</v>
      </c>
      <c r="L128" s="2855">
        <f t="shared" si="39"/>
        <v>0</v>
      </c>
      <c r="M128" s="2855">
        <f t="shared" si="39"/>
        <v>6032.527999999962</v>
      </c>
      <c r="N128" s="2855">
        <f t="shared" si="39"/>
        <v>0</v>
      </c>
      <c r="O128" s="2855">
        <f t="shared" si="39"/>
        <v>-7174.0999999999985</v>
      </c>
      <c r="P128" s="2855">
        <f t="shared" si="39"/>
        <v>0</v>
      </c>
      <c r="Q128" s="2855">
        <f t="shared" si="39"/>
        <v>-1141.5720000000438</v>
      </c>
      <c r="R128" s="2855">
        <f t="shared" si="39"/>
        <v>0</v>
      </c>
      <c r="S128" s="2855">
        <f t="shared" ref="S128" si="40">+S126-S125</f>
        <v>2798.6219999999958</v>
      </c>
      <c r="T128" s="2855">
        <f t="shared" si="39"/>
        <v>0</v>
      </c>
      <c r="U128" s="2855">
        <f t="shared" si="39"/>
        <v>1657.0499999999302</v>
      </c>
      <c r="V128" s="2855">
        <f t="shared" si="39"/>
        <v>0</v>
      </c>
      <c r="W128" s="2855">
        <f t="shared" si="39"/>
        <v>-1465.7699999999968</v>
      </c>
      <c r="X128" s="2855">
        <f t="shared" si="39"/>
        <v>0</v>
      </c>
      <c r="Y128" s="2855">
        <f t="shared" si="39"/>
        <v>-5841.2479999999923</v>
      </c>
      <c r="Z128" s="2855">
        <f t="shared" si="39"/>
        <v>0</v>
      </c>
      <c r="AA128" s="2855">
        <f t="shared" si="39"/>
        <v>191.27999999991152</v>
      </c>
      <c r="AB128" s="2855">
        <f t="shared" si="39"/>
        <v>0</v>
      </c>
      <c r="AC128" s="2855" t="e">
        <f t="shared" si="39"/>
        <v>#REF!</v>
      </c>
      <c r="AD128" s="2855">
        <f t="shared" si="39"/>
        <v>0</v>
      </c>
      <c r="AE128" s="2855" t="e">
        <f t="shared" si="39"/>
        <v>#REF!</v>
      </c>
      <c r="AF128" s="2855">
        <f t="shared" si="39"/>
        <v>0</v>
      </c>
      <c r="AG128" s="2855" t="e">
        <f t="shared" si="39"/>
        <v>#REF!</v>
      </c>
      <c r="AH128" s="2855">
        <f t="shared" si="39"/>
        <v>0</v>
      </c>
      <c r="AI128" s="2855" t="e">
        <f t="shared" si="39"/>
        <v>#REF!</v>
      </c>
      <c r="AJ128" s="2855">
        <f t="shared" si="39"/>
        <v>0</v>
      </c>
      <c r="AK128" s="2855" t="e">
        <f t="shared" si="39"/>
        <v>#REF!</v>
      </c>
      <c r="AL128" s="2855">
        <f t="shared" si="39"/>
        <v>0</v>
      </c>
      <c r="AM128" s="2855" t="e">
        <f t="shared" si="39"/>
        <v>#REF!</v>
      </c>
      <c r="AN128" s="2855">
        <f t="shared" si="39"/>
        <v>0</v>
      </c>
      <c r="AO128" s="2855" t="e">
        <f t="shared" si="39"/>
        <v>#REF!</v>
      </c>
      <c r="AP128" s="2855">
        <f t="shared" si="39"/>
        <v>0</v>
      </c>
      <c r="AQ128" s="2855" t="e">
        <f t="shared" si="39"/>
        <v>#REF!</v>
      </c>
      <c r="AR128" s="2855">
        <f t="shared" si="39"/>
        <v>0</v>
      </c>
      <c r="AS128" s="2855" t="e">
        <f t="shared" si="39"/>
        <v>#REF!</v>
      </c>
      <c r="AT128" s="2855">
        <f t="shared" si="39"/>
        <v>0</v>
      </c>
      <c r="AU128" s="2855" t="e">
        <f t="shared" si="39"/>
        <v>#REF!</v>
      </c>
      <c r="AV128" s="2855">
        <f t="shared" si="39"/>
        <v>0</v>
      </c>
      <c r="AW128" s="2855" t="e">
        <f t="shared" si="39"/>
        <v>#REF!</v>
      </c>
      <c r="AX128" s="2855">
        <f t="shared" si="39"/>
        <v>0</v>
      </c>
      <c r="AY128" s="2855" t="e">
        <f t="shared" si="39"/>
        <v>#REF!</v>
      </c>
      <c r="AZ128" s="2855">
        <f t="shared" si="39"/>
        <v>0</v>
      </c>
      <c r="BA128" s="2855" t="e">
        <f t="shared" si="39"/>
        <v>#REF!</v>
      </c>
      <c r="BB128" s="2855">
        <f t="shared" si="39"/>
        <v>0</v>
      </c>
      <c r="BC128" s="2855" t="e">
        <f t="shared" si="39"/>
        <v>#REF!</v>
      </c>
      <c r="BD128" s="2855">
        <f t="shared" si="39"/>
        <v>0</v>
      </c>
      <c r="BE128" s="2855" t="e">
        <f t="shared" si="39"/>
        <v>#REF!</v>
      </c>
    </row>
  </sheetData>
  <mergeCells count="53">
    <mergeCell ref="AZ105:BA105"/>
    <mergeCell ref="BB105:BC105"/>
    <mergeCell ref="BD105:BE105"/>
    <mergeCell ref="AP105:AQ105"/>
    <mergeCell ref="AR105:AS105"/>
    <mergeCell ref="AT105:AU105"/>
    <mergeCell ref="AV105:AW105"/>
    <mergeCell ref="AX105:AY105"/>
    <mergeCell ref="AF105:AG105"/>
    <mergeCell ref="AH105:AI105"/>
    <mergeCell ref="AJ105:AK105"/>
    <mergeCell ref="AL105:AM105"/>
    <mergeCell ref="AN105:AO105"/>
    <mergeCell ref="BB67:BC67"/>
    <mergeCell ref="BD67:BE67"/>
    <mergeCell ref="F105:G105"/>
    <mergeCell ref="H105:I105"/>
    <mergeCell ref="J105:K105"/>
    <mergeCell ref="L105:M105"/>
    <mergeCell ref="N105:O105"/>
    <mergeCell ref="P105:Q105"/>
    <mergeCell ref="R105:S105"/>
    <mergeCell ref="T105:U105"/>
    <mergeCell ref="V105:W105"/>
    <mergeCell ref="X105:Y105"/>
    <mergeCell ref="Z105:AA105"/>
    <mergeCell ref="AB105:AC105"/>
    <mergeCell ref="AD105:AE105"/>
    <mergeCell ref="AR67:AS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</mergeCells>
  <printOptions horizontalCentered="1" verticalCentered="1"/>
  <pageMargins left="0" right="0" top="0" bottom="0" header="0" footer="0"/>
  <pageSetup scale="8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FFC000"/>
    <pageSetUpPr fitToPage="1"/>
  </sheetPr>
  <dimension ref="A1:BI183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AA113" sqref="AA113"/>
    </sheetView>
  </sheetViews>
  <sheetFormatPr defaultRowHeight="15" x14ac:dyDescent="0.25"/>
  <cols>
    <col min="1" max="1" width="3.5703125" customWidth="1"/>
    <col min="2" max="2" width="4.42578125" customWidth="1"/>
    <col min="3" max="3" width="16.5703125" bestFit="1" customWidth="1"/>
    <col min="4" max="4" width="67.85546875" bestFit="1" customWidth="1"/>
    <col min="5" max="5" width="7.5703125" style="279" customWidth="1"/>
    <col min="6" max="6" width="15.42578125" hidden="1" customWidth="1"/>
    <col min="7" max="7" width="10.5703125" customWidth="1"/>
    <col min="8" max="8" width="9.85546875" hidden="1" customWidth="1"/>
    <col min="9" max="9" width="10.42578125" customWidth="1"/>
    <col min="10" max="10" width="10.140625" hidden="1" customWidth="1"/>
    <col min="11" max="11" width="10.140625" style="628" hidden="1" customWidth="1"/>
    <col min="12" max="12" width="10.140625" hidden="1" customWidth="1"/>
    <col min="13" max="13" width="10.42578125" customWidth="1"/>
    <col min="14" max="14" width="10.140625" hidden="1" customWidth="1"/>
    <col min="15" max="15" width="13.28515625" style="4528" customWidth="1"/>
    <col min="16" max="16" width="10" hidden="1" customWidth="1"/>
    <col min="17" max="17" width="10.85546875" customWidth="1"/>
    <col min="18" max="18" width="7.85546875" hidden="1" customWidth="1"/>
    <col min="19" max="19" width="9" style="628" hidden="1" customWidth="1"/>
    <col min="20" max="20" width="10" hidden="1" customWidth="1"/>
    <col min="21" max="21" width="12" customWidth="1"/>
    <col min="22" max="22" width="14.85546875" hidden="1" customWidth="1"/>
    <col min="23" max="23" width="17.140625" style="628" hidden="1" customWidth="1"/>
    <col min="24" max="24" width="17.140625" style="149" hidden="1" customWidth="1"/>
    <col min="25" max="25" width="12.42578125" style="149" customWidth="1"/>
    <col min="26" max="26" width="10.140625" hidden="1" customWidth="1"/>
    <col min="27" max="27" width="9.85546875" style="4528" customWidth="1"/>
    <col min="28" max="28" width="9.85546875" style="453" hidden="1" customWidth="1"/>
    <col min="29" max="29" width="14.5703125" style="453" customWidth="1"/>
    <col min="30" max="31" width="11.28515625" hidden="1" customWidth="1"/>
    <col min="32" max="32" width="9.140625" hidden="1" customWidth="1"/>
    <col min="33" max="33" width="11.28515625" style="628" hidden="1" customWidth="1"/>
    <col min="34" max="34" width="11.28515625" hidden="1" customWidth="1"/>
    <col min="35" max="35" width="10.42578125" hidden="1" customWidth="1"/>
    <col min="36" max="36" width="9.140625" hidden="1" customWidth="1"/>
    <col min="37" max="37" width="10.28515625" style="628" hidden="1" customWidth="1"/>
    <col min="38" max="41" width="9.140625" hidden="1" customWidth="1"/>
    <col min="42" max="42" width="10.5703125" hidden="1" customWidth="1"/>
    <col min="43" max="43" width="10.28515625" hidden="1" customWidth="1"/>
    <col min="44" max="44" width="9.140625" hidden="1" customWidth="1"/>
    <col min="45" max="45" width="10.5703125" hidden="1" customWidth="1"/>
    <col min="46" max="46" width="9.140625" hidden="1" customWidth="1"/>
    <col min="47" max="47" width="10.5703125" hidden="1" customWidth="1"/>
    <col min="48" max="50" width="9.140625" hidden="1" customWidth="1"/>
    <col min="51" max="51" width="10.28515625" hidden="1" customWidth="1"/>
    <col min="52" max="56" width="9.140625" hidden="1" customWidth="1"/>
    <col min="57" max="57" width="10.28515625" hidden="1" customWidth="1"/>
    <col min="58" max="58" width="9.140625" hidden="1" customWidth="1"/>
    <col min="59" max="59" width="10.28515625" hidden="1" customWidth="1"/>
    <col min="60" max="60" width="9.140625" customWidth="1"/>
  </cols>
  <sheetData>
    <row r="1" spans="3:61" s="149" customFormat="1" ht="23.45" x14ac:dyDescent="0.45">
      <c r="C1" s="6194" t="s">
        <v>2127</v>
      </c>
      <c r="D1" s="6194"/>
      <c r="E1" s="6194"/>
      <c r="F1" s="6194"/>
      <c r="G1" s="6194"/>
      <c r="H1" s="6194"/>
      <c r="I1" s="6194"/>
      <c r="J1" s="6194"/>
      <c r="K1" s="6194"/>
      <c r="L1" s="6194"/>
      <c r="M1" s="6194"/>
      <c r="N1" s="6194"/>
      <c r="O1" s="6194"/>
      <c r="P1" s="6194"/>
      <c r="Q1" s="6194"/>
      <c r="R1" s="6194"/>
      <c r="S1" s="6194"/>
      <c r="T1" s="6194"/>
      <c r="U1" s="6194"/>
      <c r="V1" s="6194"/>
      <c r="W1" s="6194"/>
      <c r="X1" s="6194"/>
      <c r="Y1" s="6194"/>
      <c r="Z1" s="6194"/>
      <c r="AA1" s="6194"/>
      <c r="AB1" s="6194"/>
      <c r="AC1" s="6194"/>
      <c r="AD1" s="6194"/>
      <c r="AE1" s="6194"/>
      <c r="AF1" s="6194"/>
      <c r="AG1" s="6194"/>
      <c r="AH1" s="6194"/>
      <c r="AI1" s="6194"/>
      <c r="AJ1" s="6194"/>
      <c r="AK1" s="6194"/>
      <c r="AL1" s="6194"/>
      <c r="AM1" s="6194"/>
      <c r="AN1" s="6194"/>
      <c r="AO1" s="6194"/>
      <c r="AP1" s="6194"/>
      <c r="AQ1" s="6194"/>
    </row>
    <row r="2" spans="3:61" ht="14.45" x14ac:dyDescent="0.3">
      <c r="E2"/>
      <c r="K2"/>
      <c r="O2"/>
      <c r="S2"/>
      <c r="W2"/>
      <c r="X2"/>
      <c r="Y2"/>
      <c r="AA2"/>
      <c r="AB2"/>
      <c r="AC2"/>
      <c r="AG2"/>
      <c r="AK2"/>
    </row>
    <row r="3" spans="3:61" s="279" customFormat="1" ht="16.899999999999999" x14ac:dyDescent="0.3">
      <c r="C3" s="4529" t="s">
        <v>965</v>
      </c>
      <c r="D3" s="4529" t="s">
        <v>850</v>
      </c>
      <c r="E3" s="4529" t="s">
        <v>172</v>
      </c>
      <c r="F3" s="6190" t="s">
        <v>2226</v>
      </c>
      <c r="G3" s="6191"/>
      <c r="H3" s="6190" t="s">
        <v>2242</v>
      </c>
      <c r="I3" s="6191"/>
      <c r="J3" s="6201" t="s">
        <v>658</v>
      </c>
      <c r="K3" s="6202"/>
      <c r="L3" s="6190" t="s">
        <v>2273</v>
      </c>
      <c r="M3" s="6191"/>
      <c r="N3" s="6185" t="s">
        <v>637</v>
      </c>
      <c r="O3" s="6186"/>
      <c r="P3" s="6179" t="s">
        <v>2296</v>
      </c>
      <c r="Q3" s="6179"/>
      <c r="R3" s="6180" t="s">
        <v>651</v>
      </c>
      <c r="S3" s="6180"/>
      <c r="T3" s="6179" t="s">
        <v>2299</v>
      </c>
      <c r="U3" s="6179"/>
      <c r="V3" s="6180" t="s">
        <v>836</v>
      </c>
      <c r="W3" s="6180"/>
      <c r="X3" s="4597"/>
      <c r="Y3" s="4586" t="s">
        <v>2344</v>
      </c>
      <c r="Z3" s="6185" t="s">
        <v>660</v>
      </c>
      <c r="AA3" s="6186"/>
      <c r="AB3" s="4598"/>
      <c r="AC3" s="4530" t="s">
        <v>512</v>
      </c>
      <c r="AD3" s="6179" t="s">
        <v>1954</v>
      </c>
      <c r="AE3" s="6179"/>
      <c r="AF3" s="6180" t="s">
        <v>1100</v>
      </c>
      <c r="AG3" s="6180"/>
      <c r="AH3" s="6179" t="s">
        <v>1970</v>
      </c>
      <c r="AI3" s="6179"/>
      <c r="AJ3" s="6180" t="s">
        <v>1650</v>
      </c>
      <c r="AK3" s="6180"/>
      <c r="AL3" s="6179" t="s">
        <v>1985</v>
      </c>
      <c r="AM3" s="6179"/>
      <c r="AN3" s="6181" t="s">
        <v>1986</v>
      </c>
      <c r="AO3" s="6182"/>
      <c r="AP3" s="6180" t="s">
        <v>917</v>
      </c>
      <c r="AQ3" s="6180"/>
      <c r="AR3" s="6179" t="s">
        <v>2085</v>
      </c>
      <c r="AS3" s="6179"/>
      <c r="AT3" s="6180" t="s">
        <v>1688</v>
      </c>
      <c r="AU3" s="6180"/>
      <c r="AV3" s="6179" t="s">
        <v>2099</v>
      </c>
      <c r="AW3" s="6179"/>
      <c r="AX3" s="6180" t="s">
        <v>1697</v>
      </c>
      <c r="AY3" s="6180"/>
      <c r="AZ3" s="6178">
        <v>45717</v>
      </c>
      <c r="BA3" s="6179"/>
      <c r="BB3" s="6181" t="s">
        <v>2120</v>
      </c>
      <c r="BC3" s="6182"/>
      <c r="BD3" s="4598"/>
      <c r="BE3" s="4530" t="s">
        <v>550</v>
      </c>
      <c r="BF3" s="6180" t="s">
        <v>1745</v>
      </c>
      <c r="BG3" s="6180"/>
    </row>
    <row r="4" spans="3:61" ht="16.5" x14ac:dyDescent="0.25">
      <c r="C4" s="4531" t="s">
        <v>16</v>
      </c>
      <c r="D4" s="4532" t="s">
        <v>1376</v>
      </c>
      <c r="E4" s="6192"/>
      <c r="F4" s="4531"/>
      <c r="G4" s="4533">
        <f>+SUMIF(WRM!$C$7:$C$122,$D4,WRM!$F$7:$F$122)</f>
        <v>475.60000000000008</v>
      </c>
      <c r="H4" s="4533"/>
      <c r="I4" s="4533">
        <f>+SUMIF(WRM!$C$7:$C$122,$D4,WRM!$H$7:$H$122)</f>
        <v>1963.9</v>
      </c>
      <c r="J4" s="4534"/>
      <c r="K4" s="4534">
        <f>+G4+I4</f>
        <v>2439.5</v>
      </c>
      <c r="L4" s="4533"/>
      <c r="M4" s="4533">
        <f>+SUMIF(WRM!$C$7:$C$122,$D4,WRM!$L$7:$L$122)</f>
        <v>301.34999999999997</v>
      </c>
      <c r="N4" s="4535"/>
      <c r="O4" s="4535">
        <f>+G4+I4+M4</f>
        <v>2740.85</v>
      </c>
      <c r="P4" s="4533"/>
      <c r="Q4" s="4533">
        <f>+SUMIF(WRM!$C$7:$C$122,$D4,WRM!$P$7:$P$122)</f>
        <v>990.15000000000009</v>
      </c>
      <c r="R4" s="4536"/>
      <c r="S4" s="4534">
        <f>O4+Q4</f>
        <v>3731</v>
      </c>
      <c r="T4" s="4533"/>
      <c r="U4" s="4533">
        <f>+SUMIF(WRM!$C$7:$C$122,$D4,WRM!$T$7:$T$122)</f>
        <v>303.39999999999998</v>
      </c>
      <c r="V4" s="4536"/>
      <c r="W4" s="4534">
        <f>S4+U4</f>
        <v>4034.4</v>
      </c>
      <c r="X4" s="4537"/>
      <c r="Y4" s="4551">
        <f>+SUMIF(WRM!$C$7:$C$122,$D4,WRM!$X$7:$X$122)</f>
        <v>1195.1500000000001</v>
      </c>
      <c r="Z4" s="4535"/>
      <c r="AA4" s="4535">
        <f>Q4+U4+Y4</f>
        <v>2488.7000000000003</v>
      </c>
      <c r="AB4" s="4538"/>
      <c r="AC4" s="4539">
        <f>O4+AA4</f>
        <v>5229.55</v>
      </c>
      <c r="AD4" s="4533"/>
      <c r="AE4" s="4533">
        <f>+SUMIF(WRM!$C$7:$C$122,$D4,WRM!$AD$7:$AD$122)</f>
        <v>1795.8</v>
      </c>
      <c r="AF4" s="4536"/>
      <c r="AG4" s="4534">
        <f>+AC4+AE4</f>
        <v>7025.35</v>
      </c>
      <c r="AH4" s="4533"/>
      <c r="AI4" s="4533">
        <f>+SUMIF(WRM!$C$7:$C$122,$D4,WRM!$AH$7:$AH$122)</f>
        <v>569.90000000000009</v>
      </c>
      <c r="AJ4" s="4536"/>
      <c r="AK4" s="4534">
        <f>+AG4+AI4</f>
        <v>7595.25</v>
      </c>
      <c r="AL4" s="4533"/>
      <c r="AM4" s="4533">
        <f>+SUMIF(WRM!$C$7:$C$122,$D4,WRM!$AL$7:$AL$122)</f>
        <v>3212.3500000000004</v>
      </c>
      <c r="AN4" s="4671"/>
      <c r="AO4" s="4535">
        <f>AE4+AI4+AM4</f>
        <v>5578.05</v>
      </c>
      <c r="AP4" s="4536"/>
      <c r="AQ4" s="4534">
        <f t="shared" ref="AQ4:AQ31" si="0">+AK4+AM4</f>
        <v>10807.6</v>
      </c>
      <c r="AR4" s="4533"/>
      <c r="AS4" s="4533">
        <f>+SUMIF(WRM!$C$7:$C$122,$D4,WRM!$AR$7:$AR$122)</f>
        <v>1314.05</v>
      </c>
      <c r="AT4" s="4536"/>
      <c r="AU4" s="4534">
        <f>+AQ4+AS4</f>
        <v>12121.65</v>
      </c>
      <c r="AV4" s="4533"/>
      <c r="AW4" s="4533">
        <f>+SUMIF(WRM!$C$7:$C$122,$D4,WRM!$AV$7:$AV$122)</f>
        <v>1385.8000000000002</v>
      </c>
      <c r="AX4" s="4536"/>
      <c r="AY4" s="4534">
        <f>+AU4+AW4</f>
        <v>13507.45</v>
      </c>
      <c r="AZ4" s="4533"/>
      <c r="BA4" s="4533">
        <f>+SUMIF(WRM!$C$7:$C$122,$D4,WRM!$AZ$7:$AZ$122)</f>
        <v>1594.9</v>
      </c>
      <c r="BB4" s="4671"/>
      <c r="BC4" s="4535">
        <f>AS4+AW4+BA4</f>
        <v>4294.75</v>
      </c>
      <c r="BD4" s="4538"/>
      <c r="BE4" s="4539">
        <f>AO4+BC4</f>
        <v>9872.7999999999993</v>
      </c>
      <c r="BF4" s="4536"/>
      <c r="BG4" s="4534">
        <f>+AY4+BA4</f>
        <v>15102.35</v>
      </c>
      <c r="BH4" s="26"/>
      <c r="BI4" s="26"/>
    </row>
    <row r="5" spans="3:61" ht="16.5" x14ac:dyDescent="0.25">
      <c r="C5" s="4531" t="s">
        <v>16</v>
      </c>
      <c r="D5" s="4532" t="s">
        <v>1944</v>
      </c>
      <c r="E5" s="6192"/>
      <c r="F5" s="4531"/>
      <c r="G5" s="4533">
        <f>+SUMIF(WRM!$C$7:$C$122,$D5,WRM!$F$7:$F$122)</f>
        <v>1262.8000000000002</v>
      </c>
      <c r="H5" s="4533"/>
      <c r="I5" s="4533">
        <f>+SUMIF(WRM!$C$7:$C$122,$D5,WRM!$H$7:$H$122)</f>
        <v>0</v>
      </c>
      <c r="J5" s="4534"/>
      <c r="K5" s="4534">
        <f t="shared" ref="K5:K24" si="1">+G5+I5</f>
        <v>1262.8000000000002</v>
      </c>
      <c r="L5" s="4533"/>
      <c r="M5" s="4533">
        <f>+SUMIF(WRM!$C$7:$C$122,$D5,WRM!$L$7:$L$122)</f>
        <v>0</v>
      </c>
      <c r="N5" s="4535"/>
      <c r="O5" s="4535">
        <f t="shared" ref="O5:O75" si="2">+G5+I5+M5</f>
        <v>1262.8000000000002</v>
      </c>
      <c r="P5" s="4533"/>
      <c r="Q5" s="4533">
        <f>+SUMIF(WRM!$C$7:$C$122,$D5,WRM!$P$7:$P$122)</f>
        <v>0</v>
      </c>
      <c r="R5" s="4536"/>
      <c r="S5" s="4534">
        <f t="shared" ref="S5:S75" si="3">O5+Q5</f>
        <v>1262.8000000000002</v>
      </c>
      <c r="T5" s="4533"/>
      <c r="U5" s="4533">
        <f>+SUMIF(WRM!$C$7:$C$122,$D5,WRM!$T$7:$T$122)</f>
        <v>0</v>
      </c>
      <c r="V5" s="4536"/>
      <c r="W5" s="4534">
        <f t="shared" ref="W5:W75" si="4">S5+U5</f>
        <v>1262.8000000000002</v>
      </c>
      <c r="X5" s="4537"/>
      <c r="Y5" s="4551">
        <f>+SUMIF(WRM!$C$7:$C$122,$D5,WRM!$X$7:$X$122)</f>
        <v>0</v>
      </c>
      <c r="Z5" s="4535"/>
      <c r="AA5" s="4535">
        <f t="shared" ref="AA5:AA75" si="5">Q5+U5+Y5</f>
        <v>0</v>
      </c>
      <c r="AB5" s="4538"/>
      <c r="AC5" s="4539">
        <f t="shared" ref="AC5:AC75" si="6">O5+AA5</f>
        <v>1262.8000000000002</v>
      </c>
      <c r="AD5" s="4533"/>
      <c r="AE5" s="4551">
        <f>+SUMIF(WRM!$C$7:$C$122,$D5,WRM!$AD$7:$AD$122)</f>
        <v>0</v>
      </c>
      <c r="AF5" s="4536"/>
      <c r="AG5" s="4534">
        <f t="shared" ref="AG5:AG75" si="7">+AC5+AE5</f>
        <v>1262.8000000000002</v>
      </c>
      <c r="AH5" s="4533"/>
      <c r="AI5" s="4533">
        <f>+SUMIF(WRM!$C$7:$C$122,$D5,WRM!$AH$7:$AH$122)</f>
        <v>0</v>
      </c>
      <c r="AJ5" s="4536"/>
      <c r="AK5" s="4534">
        <f t="shared" ref="AK5:AK75" si="8">+AG5+AI5</f>
        <v>1262.8000000000002</v>
      </c>
      <c r="AL5" s="4533"/>
      <c r="AM5" s="4533">
        <f>+SUMIF(WRM!$C$7:$C$122,$D5,WRM!$AL$7:$AL$122)</f>
        <v>0</v>
      </c>
      <c r="AN5" s="4671"/>
      <c r="AO5" s="4535">
        <f t="shared" ref="AO5:AO75" si="9">AE5+AI5+AM5</f>
        <v>0</v>
      </c>
      <c r="AP5" s="4536"/>
      <c r="AQ5" s="4718">
        <f t="shared" si="0"/>
        <v>1262.8000000000002</v>
      </c>
      <c r="AR5" s="4533"/>
      <c r="AS5" s="4533">
        <f>+SUMIF(WRM!$C$7:$C$122,$D5,WRM!$AR$7:$AR$122)</f>
        <v>678.55000000000007</v>
      </c>
      <c r="AT5" s="4536"/>
      <c r="AU5" s="4534">
        <f t="shared" ref="AU5:AU31" si="10">+AQ5+AS5</f>
        <v>1941.3500000000004</v>
      </c>
      <c r="AV5" s="4533"/>
      <c r="AW5" s="4533">
        <f>+SUMIF(WRM!$C$7:$C$122,$D5,WRM!$AV$7:$AV$122)</f>
        <v>0</v>
      </c>
      <c r="AX5" s="4536"/>
      <c r="AY5" s="4534">
        <f t="shared" ref="AY5:AY38" si="11">+AU5+AW5</f>
        <v>1941.3500000000004</v>
      </c>
      <c r="AZ5" s="4533"/>
      <c r="BA5" s="4533">
        <f>+SUMIF(WRM!$C$7:$C$122,$D5,WRM!$AZ$7:$AZ$122)</f>
        <v>0</v>
      </c>
      <c r="BB5" s="4671"/>
      <c r="BC5" s="4535">
        <f t="shared" ref="BC5:BC38" si="12">AS5+AW5+BA5</f>
        <v>678.55000000000007</v>
      </c>
      <c r="BD5" s="4538"/>
      <c r="BE5" s="4539">
        <f t="shared" ref="BE5:BE71" si="13">AO5+BC5</f>
        <v>678.55000000000007</v>
      </c>
      <c r="BF5" s="4536"/>
      <c r="BG5" s="4534">
        <f t="shared" ref="BG5:BG38" si="14">+AY5+BA5</f>
        <v>1941.3500000000004</v>
      </c>
      <c r="BH5" s="26"/>
      <c r="BI5" s="26"/>
    </row>
    <row r="6" spans="3:61" ht="16.5" x14ac:dyDescent="0.25">
      <c r="C6" s="4531" t="s">
        <v>16</v>
      </c>
      <c r="D6" s="4532" t="s">
        <v>1326</v>
      </c>
      <c r="E6" s="6192"/>
      <c r="F6" s="4531"/>
      <c r="G6" s="4533">
        <f>+SUMIF(WRM!$C$7:$C$122,$D6,WRM!$F$7:$F$122)</f>
        <v>0</v>
      </c>
      <c r="H6" s="4533"/>
      <c r="I6" s="4533">
        <f>+SUMIF(WRM!$C$7:$C$122,$D6,WRM!$H$7:$H$122)</f>
        <v>0</v>
      </c>
      <c r="J6" s="4534"/>
      <c r="K6" s="4534">
        <f t="shared" si="1"/>
        <v>0</v>
      </c>
      <c r="L6" s="4533"/>
      <c r="M6" s="4533">
        <f>+SUMIF(WRM!$C$7:$C$122,$D6,WRM!$L$7:$L$122)</f>
        <v>161.95000000000002</v>
      </c>
      <c r="N6" s="4535"/>
      <c r="O6" s="4535">
        <f t="shared" si="2"/>
        <v>161.95000000000002</v>
      </c>
      <c r="P6" s="4533"/>
      <c r="Q6" s="4533">
        <f>+SUMIF(WRM!$C$7:$C$122,$D6,WRM!$P$7:$P$122)</f>
        <v>676.5</v>
      </c>
      <c r="R6" s="4536"/>
      <c r="S6" s="4534">
        <f t="shared" si="3"/>
        <v>838.45</v>
      </c>
      <c r="T6" s="4533"/>
      <c r="U6" s="4533">
        <f>+SUMIF(WRM!$C$7:$C$122,$D6,WRM!$T$7:$T$122)</f>
        <v>211.14999999999998</v>
      </c>
      <c r="V6" s="4536"/>
      <c r="W6" s="4534">
        <f t="shared" si="4"/>
        <v>1049.5999999999999</v>
      </c>
      <c r="X6" s="4537"/>
      <c r="Y6" s="4551">
        <f>+SUMIF(WRM!$C$7:$C$122,$D6,WRM!$X$7:$X$122)</f>
        <v>1326.3500000000001</v>
      </c>
      <c r="Z6" s="4535"/>
      <c r="AA6" s="4535">
        <f t="shared" si="5"/>
        <v>2214</v>
      </c>
      <c r="AB6" s="4538"/>
      <c r="AC6" s="4539">
        <f t="shared" si="6"/>
        <v>2375.9499999999998</v>
      </c>
      <c r="AD6" s="4533"/>
      <c r="AE6" s="4551">
        <f>+SUMIF(WRM!$C$7:$C$122,$D6,WRM!$AD$7:$AD$122)</f>
        <v>731.85000000000014</v>
      </c>
      <c r="AF6" s="4536"/>
      <c r="AG6" s="4534">
        <f t="shared" si="7"/>
        <v>3107.8</v>
      </c>
      <c r="AH6" s="4533"/>
      <c r="AI6" s="4533">
        <f>+SUMIF(WRM!$C$7:$C$122,$D6,WRM!$AH$7:$AH$122)</f>
        <v>147.6</v>
      </c>
      <c r="AJ6" s="4536"/>
      <c r="AK6" s="4534">
        <f t="shared" si="8"/>
        <v>3255.4</v>
      </c>
      <c r="AL6" s="4533"/>
      <c r="AM6" s="4533">
        <f>+SUMIF(WRM!$C$7:$C$122,$D6,WRM!$AL$7:$AL$122)</f>
        <v>573.99999999999989</v>
      </c>
      <c r="AN6" s="4671"/>
      <c r="AO6" s="4535">
        <f t="shared" si="9"/>
        <v>1453.45</v>
      </c>
      <c r="AP6" s="4536"/>
      <c r="AQ6" s="4534">
        <f t="shared" si="0"/>
        <v>3829.4</v>
      </c>
      <c r="AR6" s="4533"/>
      <c r="AS6" s="4533">
        <f>+SUMIF(WRM!$C$7:$C$122,$D6,WRM!$AR$7:$AR$122)</f>
        <v>196.79999999999998</v>
      </c>
      <c r="AT6" s="4536"/>
      <c r="AU6" s="4534">
        <f t="shared" si="10"/>
        <v>4026.2000000000003</v>
      </c>
      <c r="AV6" s="4533"/>
      <c r="AW6" s="4533">
        <f>+SUMIF(WRM!$C$7:$C$122,$D6,WRM!$AV$7:$AV$122)</f>
        <v>592.45000000000005</v>
      </c>
      <c r="AX6" s="4536"/>
      <c r="AY6" s="4534">
        <f t="shared" si="11"/>
        <v>4618.6500000000005</v>
      </c>
      <c r="AZ6" s="4533"/>
      <c r="BA6" s="4533">
        <f>+SUMIF(WRM!$C$7:$C$122,$D6,WRM!$AZ$7:$AZ$122)</f>
        <v>0</v>
      </c>
      <c r="BB6" s="4671"/>
      <c r="BC6" s="4535">
        <f t="shared" si="12"/>
        <v>789.25</v>
      </c>
      <c r="BD6" s="4538"/>
      <c r="BE6" s="4539">
        <f t="shared" si="13"/>
        <v>2242.6999999999998</v>
      </c>
      <c r="BF6" s="4536"/>
      <c r="BG6" s="4534">
        <f t="shared" si="14"/>
        <v>4618.6500000000005</v>
      </c>
      <c r="BH6" s="26"/>
      <c r="BI6" s="26"/>
    </row>
    <row r="7" spans="3:61" ht="16.5" x14ac:dyDescent="0.25">
      <c r="C7" s="4531" t="s">
        <v>16</v>
      </c>
      <c r="D7" s="4532" t="s">
        <v>950</v>
      </c>
      <c r="E7" s="6192"/>
      <c r="F7" s="4531"/>
      <c r="G7" s="4533">
        <f>+SUMIF(WRM!$C$7:$C$122,$D7,WRM!$F$7:$F$122)</f>
        <v>0</v>
      </c>
      <c r="H7" s="4533"/>
      <c r="I7" s="4533">
        <f>+SUMIF(WRM!$C$7:$C$122,$D7,WRM!$H$7:$H$122)</f>
        <v>104.55</v>
      </c>
      <c r="J7" s="4534"/>
      <c r="K7" s="4534">
        <f t="shared" si="1"/>
        <v>104.55</v>
      </c>
      <c r="L7" s="4533"/>
      <c r="M7" s="4533">
        <f>+SUMIF(WRM!$C$7:$C$122,$D7,WRM!$L$7:$L$122)</f>
        <v>0</v>
      </c>
      <c r="N7" s="4535"/>
      <c r="O7" s="4535">
        <f t="shared" si="2"/>
        <v>104.55</v>
      </c>
      <c r="P7" s="4533"/>
      <c r="Q7" s="4533">
        <f>+SUMIF(WRM!$C$7:$C$122,$D7,WRM!$P$7:$P$122)</f>
        <v>0</v>
      </c>
      <c r="R7" s="4536"/>
      <c r="S7" s="4534">
        <f t="shared" si="3"/>
        <v>104.55</v>
      </c>
      <c r="T7" s="4533"/>
      <c r="U7" s="4533">
        <f>+SUMIF(WRM!$C$7:$C$122,$D7,WRM!$T$7:$T$122)</f>
        <v>0</v>
      </c>
      <c r="V7" s="4536"/>
      <c r="W7" s="4534">
        <f t="shared" si="4"/>
        <v>104.55</v>
      </c>
      <c r="X7" s="4537"/>
      <c r="Y7" s="4551">
        <f>+SUMIF(WRM!$C$7:$C$122,$D7,WRM!$X$7:$X$122)</f>
        <v>0</v>
      </c>
      <c r="Z7" s="4535"/>
      <c r="AA7" s="4535">
        <f t="shared" si="5"/>
        <v>0</v>
      </c>
      <c r="AB7" s="4538"/>
      <c r="AC7" s="4539">
        <f t="shared" si="6"/>
        <v>104.55</v>
      </c>
      <c r="AD7" s="4533"/>
      <c r="AE7" s="4551">
        <f>+SUMIF(WRM!$C$7:$C$122,$D7,WRM!$AD$7:$AD$122)</f>
        <v>0</v>
      </c>
      <c r="AF7" s="4536"/>
      <c r="AG7" s="4534">
        <f t="shared" si="7"/>
        <v>104.55</v>
      </c>
      <c r="AH7" s="4533"/>
      <c r="AI7" s="4533">
        <f>+SUMIF(WRM!$C$7:$C$122,$D7,WRM!$AH$7:$AH$122)</f>
        <v>0</v>
      </c>
      <c r="AJ7" s="4536"/>
      <c r="AK7" s="4534">
        <f t="shared" si="8"/>
        <v>104.55</v>
      </c>
      <c r="AL7" s="4533"/>
      <c r="AM7" s="4533">
        <f>+SUMIF(WRM!$C$7:$C$122,$D7,WRM!$AL$7:$AL$122)</f>
        <v>0</v>
      </c>
      <c r="AN7" s="4671"/>
      <c r="AO7" s="4535">
        <f t="shared" si="9"/>
        <v>0</v>
      </c>
      <c r="AP7" s="4536"/>
      <c r="AQ7" s="4534">
        <f t="shared" si="0"/>
        <v>104.55</v>
      </c>
      <c r="AR7" s="4533"/>
      <c r="AS7" s="4533">
        <f>+SUMIF(WRM!$C$7:$C$122,$D7,WRM!$AR$7:$AR$122)</f>
        <v>0</v>
      </c>
      <c r="AT7" s="4536"/>
      <c r="AU7" s="4534">
        <f t="shared" si="10"/>
        <v>104.55</v>
      </c>
      <c r="AV7" s="4533"/>
      <c r="AW7" s="4533">
        <f>+SUMIF(WRM!$C$7:$C$122,$D7,WRM!$AV$7:$AV$122)</f>
        <v>0</v>
      </c>
      <c r="AX7" s="4536"/>
      <c r="AY7" s="4534">
        <f t="shared" si="11"/>
        <v>104.55</v>
      </c>
      <c r="AZ7" s="4533"/>
      <c r="BA7" s="4533">
        <f>+SUMIF(WRM!$C$7:$C$122,$D7,WRM!$AZ$7:$AZ$122)</f>
        <v>0</v>
      </c>
      <c r="BB7" s="4671"/>
      <c r="BC7" s="4535">
        <f t="shared" si="12"/>
        <v>0</v>
      </c>
      <c r="BD7" s="4538"/>
      <c r="BE7" s="4539">
        <f t="shared" si="13"/>
        <v>0</v>
      </c>
      <c r="BF7" s="4536"/>
      <c r="BG7" s="4534">
        <f t="shared" si="14"/>
        <v>104.55</v>
      </c>
      <c r="BH7" s="26"/>
      <c r="BI7" s="26"/>
    </row>
    <row r="8" spans="3:61" ht="16.5" x14ac:dyDescent="0.25">
      <c r="C8" s="4531" t="s">
        <v>16</v>
      </c>
      <c r="D8" s="4532" t="s">
        <v>1377</v>
      </c>
      <c r="E8" s="6192"/>
      <c r="F8" s="4531"/>
      <c r="G8" s="4533">
        <f>+SUMIF(WRM!$C$7:$C$122,$D8,WRM!$F$7:$F$122)</f>
        <v>0</v>
      </c>
      <c r="H8" s="4533"/>
      <c r="I8" s="4533">
        <f>+SUMIF(WRM!$C$7:$C$122,$D8,WRM!$H$7:$H$122)</f>
        <v>0</v>
      </c>
      <c r="J8" s="4534"/>
      <c r="K8" s="4534">
        <f t="shared" si="1"/>
        <v>0</v>
      </c>
      <c r="L8" s="4533"/>
      <c r="M8" s="4533">
        <f>+SUMIF(WRM!$C$7:$C$122,$D8,WRM!$L$7:$L$122)</f>
        <v>0</v>
      </c>
      <c r="N8" s="4535"/>
      <c r="O8" s="4535">
        <f t="shared" si="2"/>
        <v>0</v>
      </c>
      <c r="P8" s="4533"/>
      <c r="Q8" s="4533">
        <f>+SUMIF(WRM!$C$7:$C$122,$D8,WRM!$P$7:$P$122)</f>
        <v>0</v>
      </c>
      <c r="R8" s="4536"/>
      <c r="S8" s="4534">
        <f t="shared" si="3"/>
        <v>0</v>
      </c>
      <c r="T8" s="4533"/>
      <c r="U8" s="4533">
        <f>+SUMIF(WRM!$C$7:$C$122,$D8,WRM!$T$7:$T$122)</f>
        <v>0</v>
      </c>
      <c r="V8" s="4536"/>
      <c r="W8" s="4534">
        <f t="shared" si="4"/>
        <v>0</v>
      </c>
      <c r="X8" s="4537"/>
      <c r="Y8" s="4551">
        <f>+SUMIF(WRM!$C$7:$C$122,$D8,WRM!$X$7:$X$122)</f>
        <v>0</v>
      </c>
      <c r="Z8" s="4535"/>
      <c r="AA8" s="4535">
        <f t="shared" si="5"/>
        <v>0</v>
      </c>
      <c r="AB8" s="4538"/>
      <c r="AC8" s="4539">
        <f t="shared" si="6"/>
        <v>0</v>
      </c>
      <c r="AD8" s="4533"/>
      <c r="AE8" s="4551">
        <f>+SUMIF(WRM!$C$7:$C$122,$D8,WRM!$AD$7:$AD$122)</f>
        <v>0</v>
      </c>
      <c r="AF8" s="4536"/>
      <c r="AG8" s="4534">
        <f t="shared" si="7"/>
        <v>0</v>
      </c>
      <c r="AH8" s="4533"/>
      <c r="AI8" s="4533">
        <f>+SUMIF(WRM!$C$7:$C$122,$D8,WRM!$AH$7:$AH$122)</f>
        <v>0</v>
      </c>
      <c r="AJ8" s="4536"/>
      <c r="AK8" s="4534">
        <f t="shared" si="8"/>
        <v>0</v>
      </c>
      <c r="AL8" s="4533"/>
      <c r="AM8" s="4533">
        <f>+SUMIF(WRM!$C$7:$C$122,$D8,WRM!$AL$7:$AL$122)</f>
        <v>0</v>
      </c>
      <c r="AN8" s="4671"/>
      <c r="AO8" s="4535">
        <f t="shared" si="9"/>
        <v>0</v>
      </c>
      <c r="AP8" s="4536"/>
      <c r="AQ8" s="4534">
        <f t="shared" si="0"/>
        <v>0</v>
      </c>
      <c r="AR8" s="4533"/>
      <c r="AS8" s="4533">
        <f>+SUMIF(WRM!$C$7:$C$122,$D8,WRM!$AR$7:$AR$122)</f>
        <v>0</v>
      </c>
      <c r="AT8" s="4536"/>
      <c r="AU8" s="4534">
        <f t="shared" si="10"/>
        <v>0</v>
      </c>
      <c r="AV8" s="4533"/>
      <c r="AW8" s="4533">
        <f>+SUMIF(WRM!$C$7:$C$122,$D8,WRM!$AV$7:$AV$122)</f>
        <v>0</v>
      </c>
      <c r="AX8" s="4536"/>
      <c r="AY8" s="4534">
        <f t="shared" si="11"/>
        <v>0</v>
      </c>
      <c r="AZ8" s="4533"/>
      <c r="BA8" s="4533">
        <f>+SUMIF(WRM!$C$7:$C$122,$D8,WRM!$AZ$7:$AZ$122)</f>
        <v>0</v>
      </c>
      <c r="BB8" s="4671"/>
      <c r="BC8" s="4535">
        <f t="shared" si="12"/>
        <v>0</v>
      </c>
      <c r="BD8" s="4538"/>
      <c r="BE8" s="4539">
        <f t="shared" si="13"/>
        <v>0</v>
      </c>
      <c r="BF8" s="4536"/>
      <c r="BG8" s="4534">
        <f t="shared" si="14"/>
        <v>0</v>
      </c>
      <c r="BH8" s="26"/>
      <c r="BI8" s="26"/>
    </row>
    <row r="9" spans="3:61" ht="16.5" x14ac:dyDescent="0.25">
      <c r="C9" s="4531" t="s">
        <v>16</v>
      </c>
      <c r="D9" s="4532" t="s">
        <v>874</v>
      </c>
      <c r="E9" s="6192"/>
      <c r="F9" s="4531"/>
      <c r="G9" s="4533">
        <f>+SUMIF(WRM!$C$7:$C$122,$D9,WRM!$F$7:$F$122)</f>
        <v>4233.3500000000004</v>
      </c>
      <c r="H9" s="4533"/>
      <c r="I9" s="4533">
        <f>+SUMIF(WRM!$C$7:$C$122,$D9,WRM!$H$7:$H$122)</f>
        <v>9493.5499999999993</v>
      </c>
      <c r="J9" s="4534"/>
      <c r="K9" s="4534">
        <f t="shared" si="1"/>
        <v>13726.9</v>
      </c>
      <c r="L9" s="4533"/>
      <c r="M9" s="4533">
        <f>+SUMIF(WRM!$C$7:$C$122,$D9,WRM!$L$7:$L$122)</f>
        <v>4954.8500000000004</v>
      </c>
      <c r="N9" s="4535"/>
      <c r="O9" s="4535">
        <f t="shared" si="2"/>
        <v>18681.75</v>
      </c>
      <c r="P9" s="4533"/>
      <c r="Q9" s="4533">
        <f>+SUMIF(WRM!$C$7:$C$122,$D9,WRM!$P$7:$P$122)</f>
        <v>7790.0000000000009</v>
      </c>
      <c r="R9" s="4536"/>
      <c r="S9" s="4534">
        <f t="shared" si="3"/>
        <v>26471.75</v>
      </c>
      <c r="T9" s="4533"/>
      <c r="U9" s="4533">
        <f>+SUMIF(WRM!$C$7:$C$122,$D9,WRM!$T$7:$T$122)</f>
        <v>6562.05</v>
      </c>
      <c r="V9" s="4536"/>
      <c r="W9" s="4534">
        <f t="shared" si="4"/>
        <v>33033.800000000003</v>
      </c>
      <c r="X9" s="4537"/>
      <c r="Y9" s="4551">
        <f>+SUMIF(WRM!$C$7:$C$122,$D9,WRM!$X$7:$X$122)</f>
        <v>8247.15</v>
      </c>
      <c r="Z9" s="4535"/>
      <c r="AA9" s="4535">
        <f t="shared" si="5"/>
        <v>22599.200000000001</v>
      </c>
      <c r="AB9" s="4538"/>
      <c r="AC9" s="4539">
        <f t="shared" si="6"/>
        <v>41280.949999999997</v>
      </c>
      <c r="AD9" s="4533"/>
      <c r="AE9" s="4551">
        <f>+SUMIF(WRM!$C$7:$C$122,$D9,WRM!$AD$7:$AD$122)</f>
        <v>7002.8000000000075</v>
      </c>
      <c r="AF9" s="4536"/>
      <c r="AG9" s="4534">
        <f t="shared" si="7"/>
        <v>48283.750000000007</v>
      </c>
      <c r="AH9" s="4533"/>
      <c r="AI9" s="4533">
        <f>+SUMIF(WRM!$C$7:$C$122,$D9,WRM!$AH$7:$AH$122)</f>
        <v>3649</v>
      </c>
      <c r="AJ9" s="4536"/>
      <c r="AK9" s="4534">
        <f t="shared" si="8"/>
        <v>51932.750000000007</v>
      </c>
      <c r="AL9" s="4533"/>
      <c r="AM9" s="4533">
        <f>+SUMIF(WRM!$C$7:$C$122,$D9,WRM!$AL$7:$AL$122)</f>
        <v>6063.9</v>
      </c>
      <c r="AN9" s="4671"/>
      <c r="AO9" s="4535">
        <f t="shared" si="9"/>
        <v>16715.700000000004</v>
      </c>
      <c r="AP9" s="4536"/>
      <c r="AQ9" s="4534">
        <f t="shared" si="0"/>
        <v>57996.650000000009</v>
      </c>
      <c r="AR9" s="4533"/>
      <c r="AS9" s="4533">
        <f>+SUMIF(WRM!$C$7:$C$122,$D9,WRM!$AR$7:$AR$122)</f>
        <v>7312.35</v>
      </c>
      <c r="AT9" s="4536"/>
      <c r="AU9" s="4534">
        <f t="shared" si="10"/>
        <v>65309.000000000007</v>
      </c>
      <c r="AV9" s="4533"/>
      <c r="AW9" s="4533">
        <f>+SUMIF(WRM!$C$7:$C$122,$D9,WRM!$AV$7:$AV$122)</f>
        <v>7252.9</v>
      </c>
      <c r="AX9" s="4536"/>
      <c r="AY9" s="4534">
        <f t="shared" si="11"/>
        <v>72561.900000000009</v>
      </c>
      <c r="AZ9" s="4533"/>
      <c r="BA9" s="4533">
        <f>+SUMIF(WRM!$C$7:$C$122,$D9,WRM!$AZ$7:$AZ$122)</f>
        <v>4592.0000000000009</v>
      </c>
      <c r="BB9" s="4671"/>
      <c r="BC9" s="4535">
        <f t="shared" si="12"/>
        <v>19157.25</v>
      </c>
      <c r="BD9" s="4538"/>
      <c r="BE9" s="4539">
        <f t="shared" si="13"/>
        <v>35872.950000000004</v>
      </c>
      <c r="BF9" s="4536"/>
      <c r="BG9" s="4534">
        <f t="shared" si="14"/>
        <v>77153.900000000009</v>
      </c>
      <c r="BH9" s="26"/>
      <c r="BI9" s="26"/>
    </row>
    <row r="10" spans="3:61" ht="16.5" x14ac:dyDescent="0.25">
      <c r="C10" s="4531" t="s">
        <v>16</v>
      </c>
      <c r="D10" s="4532" t="s">
        <v>2275</v>
      </c>
      <c r="E10" s="6192"/>
      <c r="F10" s="4531"/>
      <c r="G10" s="4533">
        <f>+SUMIF(WRM!$C$7:$C$122,$D10,WRM!$F$7:$F$122)</f>
        <v>0</v>
      </c>
      <c r="H10" s="4533"/>
      <c r="I10" s="4533">
        <f>+SUMIF(WRM!$C$7:$C$122,$D10,WRM!$H$7:$H$122)</f>
        <v>0</v>
      </c>
      <c r="J10" s="4534"/>
      <c r="K10" s="4534">
        <f t="shared" si="1"/>
        <v>0</v>
      </c>
      <c r="L10" s="4533"/>
      <c r="M10" s="4533">
        <f>+SUMIF(WRM!$C$7:$C$122,$D10,WRM!$L$7:$L$122)</f>
        <v>3761.75</v>
      </c>
      <c r="N10" s="4535"/>
      <c r="O10" s="4535">
        <f t="shared" si="2"/>
        <v>3761.75</v>
      </c>
      <c r="P10" s="4533"/>
      <c r="Q10" s="4533">
        <f>+SUMIF(WRM!$C$7:$C$122,$D10,WRM!$P$7:$P$122)</f>
        <v>9542.7500000000018</v>
      </c>
      <c r="R10" s="4536"/>
      <c r="S10" s="4534">
        <f t="shared" si="3"/>
        <v>13304.500000000002</v>
      </c>
      <c r="T10" s="4533"/>
      <c r="U10" s="4533">
        <f>+SUMIF(WRM!$C$7:$C$122,$D10,WRM!$T$7:$T$122)</f>
        <v>0</v>
      </c>
      <c r="V10" s="4536"/>
      <c r="W10" s="4534">
        <f t="shared" si="4"/>
        <v>13304.500000000002</v>
      </c>
      <c r="X10" s="4537"/>
      <c r="Y10" s="4551">
        <f>+SUMIF(WRM!$C$7:$C$122,$D10,WRM!$X$7:$X$122)</f>
        <v>0</v>
      </c>
      <c r="Z10" s="4535"/>
      <c r="AA10" s="4535">
        <f t="shared" si="5"/>
        <v>9542.7500000000018</v>
      </c>
      <c r="AB10" s="4538"/>
      <c r="AC10" s="4539">
        <f t="shared" si="6"/>
        <v>13304.500000000002</v>
      </c>
      <c r="AD10" s="4533"/>
      <c r="AE10" s="4551">
        <f>+SUMIF(WRM!$C$7:$C$122,$D10,WRM!$AD$7:$AD$122)</f>
        <v>0</v>
      </c>
      <c r="AF10" s="4536"/>
      <c r="AG10" s="4534">
        <f t="shared" si="7"/>
        <v>13304.500000000002</v>
      </c>
      <c r="AH10" s="4533"/>
      <c r="AI10" s="4533">
        <f>+SUMIF(WRM!$C$7:$C$122,$D10,WRM!$AH$7:$AH$122)</f>
        <v>0</v>
      </c>
      <c r="AJ10" s="4536"/>
      <c r="AK10" s="4534">
        <f t="shared" si="8"/>
        <v>13304.500000000002</v>
      </c>
      <c r="AL10" s="4533"/>
      <c r="AM10" s="4533">
        <f>+SUMIF(WRM!$C$7:$C$122,$D10,WRM!$AL$7:$AL$122)</f>
        <v>0</v>
      </c>
      <c r="AN10" s="4671"/>
      <c r="AO10" s="4535">
        <f t="shared" si="9"/>
        <v>0</v>
      </c>
      <c r="AP10" s="4536"/>
      <c r="AQ10" s="4534">
        <f t="shared" si="0"/>
        <v>13304.500000000002</v>
      </c>
      <c r="AR10" s="4533"/>
      <c r="AS10" s="4533">
        <f>+SUMIF(WRM!$C$7:$C$122,$D10,WRM!$AR$7:$AR$122)</f>
        <v>0</v>
      </c>
      <c r="AT10" s="4536"/>
      <c r="AU10" s="4534">
        <f t="shared" si="10"/>
        <v>13304.500000000002</v>
      </c>
      <c r="AV10" s="4533"/>
      <c r="AW10" s="4533">
        <f>+SUMIF(WRM!$C$7:$C$122,$D10,WRM!$AV$7:$AV$122)</f>
        <v>0</v>
      </c>
      <c r="AX10" s="4536"/>
      <c r="AY10" s="4534">
        <f t="shared" si="11"/>
        <v>13304.500000000002</v>
      </c>
      <c r="AZ10" s="4533"/>
      <c r="BA10" s="4533">
        <f>+SUMIF(WRM!$C$7:$C$122,$D10,WRM!$AZ$7:$AZ$122)</f>
        <v>0</v>
      </c>
      <c r="BB10" s="4671"/>
      <c r="BC10" s="4535">
        <f t="shared" si="12"/>
        <v>0</v>
      </c>
      <c r="BD10" s="4538"/>
      <c r="BE10" s="4539">
        <f t="shared" si="13"/>
        <v>0</v>
      </c>
      <c r="BF10" s="4536"/>
      <c r="BG10" s="4534">
        <f t="shared" si="14"/>
        <v>13304.500000000002</v>
      </c>
      <c r="BH10" s="26"/>
      <c r="BI10" s="26"/>
    </row>
    <row r="11" spans="3:61" ht="16.5" x14ac:dyDescent="0.25">
      <c r="C11" s="4531" t="s">
        <v>16</v>
      </c>
      <c r="D11" s="4532" t="s">
        <v>1269</v>
      </c>
      <c r="E11" s="6192"/>
      <c r="F11" s="4531"/>
      <c r="G11" s="4533">
        <f>+SUMIF(WRM!$C$7:$C$122,$D11,WRM!$F$7:$F$122)</f>
        <v>0</v>
      </c>
      <c r="H11" s="4533"/>
      <c r="I11" s="4533">
        <f>+SUMIF(WRM!$C$7:$C$122,$D11,WRM!$H$7:$H$122)</f>
        <v>0</v>
      </c>
      <c r="J11" s="4534"/>
      <c r="K11" s="4534">
        <f t="shared" si="1"/>
        <v>0</v>
      </c>
      <c r="L11" s="4533"/>
      <c r="M11" s="4533">
        <f>+SUMIF(WRM!$C$7:$C$122,$D11,WRM!$L$7:$L$122)</f>
        <v>5602.0499999999993</v>
      </c>
      <c r="N11" s="4535"/>
      <c r="O11" s="4535">
        <f t="shared" si="2"/>
        <v>5602.0499999999993</v>
      </c>
      <c r="P11" s="4533"/>
      <c r="Q11" s="4533">
        <f>+SUMIF(WRM!$C$7:$C$122,$D11,WRM!$P$7:$P$122)</f>
        <v>1707.6499999999999</v>
      </c>
      <c r="R11" s="4536"/>
      <c r="S11" s="4534">
        <f t="shared" si="3"/>
        <v>7309.6999999999989</v>
      </c>
      <c r="T11" s="4533"/>
      <c r="U11" s="4533">
        <f>+SUMIF(WRM!$C$7:$C$122,$D11,WRM!$T$7:$T$122)</f>
        <v>0</v>
      </c>
      <c r="V11" s="4536"/>
      <c r="W11" s="4534">
        <f t="shared" si="4"/>
        <v>7309.6999999999989</v>
      </c>
      <c r="X11" s="4537"/>
      <c r="Y11" s="4551">
        <f>+SUMIF(WRM!$C$7:$C$122,$D11,WRM!$X$7:$X$122)</f>
        <v>0</v>
      </c>
      <c r="Z11" s="4535"/>
      <c r="AA11" s="4535">
        <f t="shared" si="5"/>
        <v>1707.6499999999999</v>
      </c>
      <c r="AB11" s="4538"/>
      <c r="AC11" s="4539">
        <f t="shared" si="6"/>
        <v>7309.6999999999989</v>
      </c>
      <c r="AD11" s="4533"/>
      <c r="AE11" s="4551">
        <f>+SUMIF(WRM!$C$7:$C$122,$D11,WRM!$AD$7:$AD$122)</f>
        <v>0</v>
      </c>
      <c r="AF11" s="4536"/>
      <c r="AG11" s="4534">
        <f t="shared" si="7"/>
        <v>7309.6999999999989</v>
      </c>
      <c r="AH11" s="4533"/>
      <c r="AI11" s="4533">
        <f>+SUMIF(WRM!$C$7:$C$122,$D11,WRM!$AH$7:$AH$122)</f>
        <v>0</v>
      </c>
      <c r="AJ11" s="4536"/>
      <c r="AK11" s="4534">
        <f t="shared" si="8"/>
        <v>7309.6999999999989</v>
      </c>
      <c r="AL11" s="4533"/>
      <c r="AM11" s="4533">
        <f>+SUMIF(WRM!$C$7:$C$122,$D11,WRM!$AL$7:$AL$122)</f>
        <v>0</v>
      </c>
      <c r="AN11" s="4671"/>
      <c r="AO11" s="4535">
        <f t="shared" si="9"/>
        <v>0</v>
      </c>
      <c r="AP11" s="4536"/>
      <c r="AQ11" s="4534">
        <f t="shared" si="0"/>
        <v>7309.6999999999989</v>
      </c>
      <c r="AR11" s="4533"/>
      <c r="AS11" s="4533">
        <f>+SUMIF(WRM!$C$7:$C$122,$D11,WRM!$AR$7:$AR$122)</f>
        <v>0</v>
      </c>
      <c r="AT11" s="4536"/>
      <c r="AU11" s="4534">
        <f t="shared" si="10"/>
        <v>7309.6999999999989</v>
      </c>
      <c r="AV11" s="4533"/>
      <c r="AW11" s="4533">
        <f>+SUMIF(WRM!$C$7:$C$122,$D11,WRM!$AV$7:$AV$122)</f>
        <v>0</v>
      </c>
      <c r="AX11" s="4536"/>
      <c r="AY11" s="4534">
        <f t="shared" si="11"/>
        <v>7309.6999999999989</v>
      </c>
      <c r="AZ11" s="4533"/>
      <c r="BA11" s="4533">
        <f>+SUMIF(WRM!$C$7:$C$122,$D11,WRM!$AZ$7:$AZ$122)</f>
        <v>0</v>
      </c>
      <c r="BB11" s="4671"/>
      <c r="BC11" s="4535">
        <f t="shared" si="12"/>
        <v>0</v>
      </c>
      <c r="BD11" s="4538"/>
      <c r="BE11" s="4539">
        <f t="shared" si="13"/>
        <v>0</v>
      </c>
      <c r="BF11" s="4536"/>
      <c r="BG11" s="4534">
        <f t="shared" si="14"/>
        <v>7309.6999999999989</v>
      </c>
      <c r="BH11" s="26"/>
      <c r="BI11" s="26"/>
    </row>
    <row r="12" spans="3:61" ht="16.5" x14ac:dyDescent="0.25">
      <c r="C12" s="4531" t="s">
        <v>16</v>
      </c>
      <c r="D12" s="4532" t="s">
        <v>971</v>
      </c>
      <c r="E12" s="6192"/>
      <c r="F12" s="4531"/>
      <c r="G12" s="4533">
        <f>+SUMIF(WRM!$C$7:$C$122,$D12,WRM!$F$7:$F$122)</f>
        <v>1096.75</v>
      </c>
      <c r="H12" s="4533"/>
      <c r="I12" s="4533">
        <f>+SUMIF(WRM!$C$7:$C$122,$D12,WRM!$H$7:$H$122)</f>
        <v>223.45000000000002</v>
      </c>
      <c r="J12" s="4534"/>
      <c r="K12" s="4534">
        <f t="shared" si="1"/>
        <v>1320.2</v>
      </c>
      <c r="L12" s="4533"/>
      <c r="M12" s="4533">
        <f>+SUMIF(WRM!$C$7:$C$122,$D12,WRM!$L$7:$L$122)</f>
        <v>701.1</v>
      </c>
      <c r="N12" s="4535"/>
      <c r="O12" s="4535">
        <f t="shared" si="2"/>
        <v>2021.3000000000002</v>
      </c>
      <c r="P12" s="4533"/>
      <c r="Q12" s="4533">
        <f>+SUMIF(WRM!$C$7:$C$122,$D12,WRM!$P$7:$P$122)</f>
        <v>455.09999999999997</v>
      </c>
      <c r="R12" s="4536"/>
      <c r="S12" s="4534">
        <f t="shared" si="3"/>
        <v>2476.4</v>
      </c>
      <c r="T12" s="4533"/>
      <c r="U12" s="4533">
        <f>+SUMIF(WRM!$C$7:$C$122,$D12,WRM!$T$7:$T$122)</f>
        <v>1242.3</v>
      </c>
      <c r="V12" s="4536"/>
      <c r="W12" s="4534">
        <f t="shared" si="4"/>
        <v>3718.7</v>
      </c>
      <c r="X12" s="4537"/>
      <c r="Y12" s="4551">
        <f>+SUMIF(WRM!$C$7:$C$122,$D12,WRM!$X$7:$X$122)</f>
        <v>742.1</v>
      </c>
      <c r="Z12" s="4535"/>
      <c r="AA12" s="4535">
        <f t="shared" si="5"/>
        <v>2439.5</v>
      </c>
      <c r="AB12" s="4538"/>
      <c r="AC12" s="4539">
        <f t="shared" si="6"/>
        <v>4460.8</v>
      </c>
      <c r="AD12" s="4533"/>
      <c r="AE12" s="4551">
        <f>+SUMIF(WRM!$C$7:$C$122,$D12,WRM!$AD$7:$AD$122)</f>
        <v>770.80000000000018</v>
      </c>
      <c r="AF12" s="4536"/>
      <c r="AG12" s="4534">
        <f t="shared" si="7"/>
        <v>5231.6000000000004</v>
      </c>
      <c r="AH12" s="4533"/>
      <c r="AI12" s="4533">
        <f>+SUMIF(WRM!$C$7:$C$122,$D12,WRM!$AH$7:$AH$122)</f>
        <v>0</v>
      </c>
      <c r="AJ12" s="4536"/>
      <c r="AK12" s="4534">
        <f t="shared" si="8"/>
        <v>5231.6000000000004</v>
      </c>
      <c r="AL12" s="4533"/>
      <c r="AM12" s="4533">
        <f>+SUMIF(WRM!$C$7:$C$122,$D12,WRM!$AL$7:$AL$122)</f>
        <v>1014.7500000000001</v>
      </c>
      <c r="AN12" s="4671"/>
      <c r="AO12" s="4535">
        <f t="shared" si="9"/>
        <v>1785.5500000000002</v>
      </c>
      <c r="AP12" s="4536"/>
      <c r="AQ12" s="4534">
        <f t="shared" si="0"/>
        <v>6246.35</v>
      </c>
      <c r="AR12" s="4533"/>
      <c r="AS12" s="4533">
        <f>+SUMIF(WRM!$C$7:$C$122,$D12,WRM!$AR$7:$AR$122)</f>
        <v>1070.1000000000004</v>
      </c>
      <c r="AT12" s="4536"/>
      <c r="AU12" s="4534">
        <f t="shared" si="10"/>
        <v>7316.4500000000007</v>
      </c>
      <c r="AV12" s="4533"/>
      <c r="AW12" s="4533">
        <f>+SUMIF(WRM!$C$7:$C$122,$D12,WRM!$AV$7:$AV$122)</f>
        <v>604.75</v>
      </c>
      <c r="AX12" s="4536"/>
      <c r="AY12" s="4534">
        <f t="shared" si="11"/>
        <v>7921.2000000000007</v>
      </c>
      <c r="AZ12" s="4533"/>
      <c r="BA12" s="4533">
        <f>+SUMIF(WRM!$C$7:$C$122,$D12,WRM!$AZ$7:$AZ$122)</f>
        <v>104.55</v>
      </c>
      <c r="BB12" s="4671"/>
      <c r="BC12" s="4535">
        <f t="shared" si="12"/>
        <v>1779.4000000000003</v>
      </c>
      <c r="BD12" s="4538"/>
      <c r="BE12" s="4539">
        <f t="shared" si="13"/>
        <v>3564.9500000000007</v>
      </c>
      <c r="BF12" s="4536"/>
      <c r="BG12" s="4534">
        <f t="shared" si="14"/>
        <v>8025.7500000000009</v>
      </c>
      <c r="BH12" s="26"/>
      <c r="BI12" s="26"/>
    </row>
    <row r="13" spans="3:61" ht="16.5" x14ac:dyDescent="0.25">
      <c r="C13" s="4531" t="s">
        <v>16</v>
      </c>
      <c r="D13" s="4532" t="s">
        <v>1632</v>
      </c>
      <c r="E13" s="6192"/>
      <c r="F13" s="4531"/>
      <c r="G13" s="4533">
        <f>+SUMIF(WRM!$C$7:$C$122,$D13,WRM!$F$7:$F$122)</f>
        <v>0</v>
      </c>
      <c r="H13" s="4533"/>
      <c r="I13" s="4533">
        <f>+SUMIF(WRM!$C$7:$C$122,$D13,WRM!$H$7:$H$122)</f>
        <v>0</v>
      </c>
      <c r="J13" s="4534"/>
      <c r="K13" s="4534">
        <f t="shared" si="1"/>
        <v>0</v>
      </c>
      <c r="L13" s="4533"/>
      <c r="M13" s="4533">
        <f>+SUMIF(WRM!$C$7:$C$122,$D13,WRM!$L$7:$L$122)</f>
        <v>0</v>
      </c>
      <c r="N13" s="4535"/>
      <c r="O13" s="4535">
        <f t="shared" si="2"/>
        <v>0</v>
      </c>
      <c r="P13" s="4533"/>
      <c r="Q13" s="4533">
        <f>+SUMIF(WRM!$C$7:$C$122,$D13,WRM!$P$7:$P$122)</f>
        <v>0</v>
      </c>
      <c r="R13" s="4536"/>
      <c r="S13" s="4534">
        <f t="shared" si="3"/>
        <v>0</v>
      </c>
      <c r="T13" s="4533"/>
      <c r="U13" s="4533">
        <f>+SUMIF(WRM!$C$7:$C$122,$D13,WRM!$T$7:$T$122)</f>
        <v>0</v>
      </c>
      <c r="V13" s="4536"/>
      <c r="W13" s="4534">
        <f t="shared" si="4"/>
        <v>0</v>
      </c>
      <c r="X13" s="4537"/>
      <c r="Y13" s="4551">
        <f>+SUMIF(WRM!$C$7:$C$122,$D13,WRM!$X$7:$X$122)</f>
        <v>0</v>
      </c>
      <c r="Z13" s="4535"/>
      <c r="AA13" s="4535">
        <f t="shared" si="5"/>
        <v>0</v>
      </c>
      <c r="AB13" s="4538"/>
      <c r="AC13" s="4539">
        <f t="shared" si="6"/>
        <v>0</v>
      </c>
      <c r="AD13" s="4533"/>
      <c r="AE13" s="4551">
        <f>+SUMIF(WRM!$C$7:$C$122,$D13,WRM!$AD$7:$AD$122)</f>
        <v>0</v>
      </c>
      <c r="AF13" s="4536"/>
      <c r="AG13" s="4534">
        <f t="shared" si="7"/>
        <v>0</v>
      </c>
      <c r="AH13" s="4533"/>
      <c r="AI13" s="4533">
        <f>+SUMIF(WRM!$C$7:$C$122,$D13,WRM!$AH$7:$AH$122)</f>
        <v>0</v>
      </c>
      <c r="AJ13" s="4536"/>
      <c r="AK13" s="4534">
        <f t="shared" si="8"/>
        <v>0</v>
      </c>
      <c r="AL13" s="4533"/>
      <c r="AM13" s="4533">
        <f>+SUMIF(WRM!$C$7:$C$122,$D13,WRM!$AL$7:$AL$122)</f>
        <v>0</v>
      </c>
      <c r="AN13" s="4671"/>
      <c r="AO13" s="4535">
        <f t="shared" si="9"/>
        <v>0</v>
      </c>
      <c r="AP13" s="4536"/>
      <c r="AQ13" s="4534">
        <f t="shared" si="0"/>
        <v>0</v>
      </c>
      <c r="AR13" s="4533"/>
      <c r="AS13" s="4533">
        <f>+SUMIF(WRM!$C$7:$C$122,$D13,WRM!$AR$7:$AR$122)</f>
        <v>0</v>
      </c>
      <c r="AT13" s="4536"/>
      <c r="AU13" s="4534">
        <f t="shared" si="10"/>
        <v>0</v>
      </c>
      <c r="AV13" s="4533"/>
      <c r="AW13" s="4533">
        <f>+SUMIF(WRM!$C$7:$C$122,$D13,WRM!$AV$7:$AV$122)</f>
        <v>0</v>
      </c>
      <c r="AX13" s="4536"/>
      <c r="AY13" s="4534">
        <f t="shared" si="11"/>
        <v>0</v>
      </c>
      <c r="AZ13" s="4533"/>
      <c r="BA13" s="4533">
        <f>+SUMIF(WRM!$C$7:$C$122,$D13,WRM!$AZ$7:$AZ$122)</f>
        <v>0</v>
      </c>
      <c r="BB13" s="4671"/>
      <c r="BC13" s="4535">
        <f t="shared" si="12"/>
        <v>0</v>
      </c>
      <c r="BD13" s="4538"/>
      <c r="BE13" s="4539">
        <f t="shared" si="13"/>
        <v>0</v>
      </c>
      <c r="BF13" s="4536"/>
      <c r="BG13" s="4534">
        <f t="shared" si="14"/>
        <v>0</v>
      </c>
      <c r="BH13" s="26"/>
      <c r="BI13" s="26"/>
    </row>
    <row r="14" spans="3:61" ht="16.5" x14ac:dyDescent="0.25">
      <c r="C14" s="4540" t="s">
        <v>16</v>
      </c>
      <c r="D14" s="4541" t="s">
        <v>974</v>
      </c>
      <c r="E14" s="6192"/>
      <c r="F14" s="4540"/>
      <c r="G14" s="4533">
        <f>+SUMIF(WRM!$C$7:$C$122,$D14,WRM!$F$7:$F$122)</f>
        <v>559.65</v>
      </c>
      <c r="H14" s="4542"/>
      <c r="I14" s="4533">
        <f>+SUMIF(WRM!$C$7:$C$122,$D14,WRM!$H$7:$H$122)</f>
        <v>565.79999999999995</v>
      </c>
      <c r="J14" s="4544"/>
      <c r="K14" s="4534">
        <f t="shared" si="1"/>
        <v>1125.4499999999998</v>
      </c>
      <c r="L14" s="4542"/>
      <c r="M14" s="4533">
        <f>+SUMIF(WRM!$C$7:$C$122,$D14,WRM!$L$7:$L$122)</f>
        <v>502.24999999999994</v>
      </c>
      <c r="N14" s="4543"/>
      <c r="O14" s="4535">
        <f t="shared" si="2"/>
        <v>1627.6999999999998</v>
      </c>
      <c r="P14" s="4542"/>
      <c r="Q14" s="4533">
        <f>+SUMIF(WRM!$C$7:$C$122,$D14,WRM!$P$7:$P$122)</f>
        <v>338.25</v>
      </c>
      <c r="R14" s="4536"/>
      <c r="S14" s="4534">
        <f t="shared" si="3"/>
        <v>1965.9499999999998</v>
      </c>
      <c r="T14" s="4542"/>
      <c r="U14" s="4533">
        <f>+SUMIF(WRM!$C$7:$C$122,$D14,WRM!$T$7:$T$122)</f>
        <v>340.3</v>
      </c>
      <c r="V14" s="4536"/>
      <c r="W14" s="4534">
        <f t="shared" si="4"/>
        <v>2306.25</v>
      </c>
      <c r="X14" s="4537"/>
      <c r="Y14" s="4551">
        <f>+SUMIF(WRM!$C$7:$C$122,$D14,WRM!$X$7:$X$122)</f>
        <v>319.8</v>
      </c>
      <c r="Z14" s="4543"/>
      <c r="AA14" s="4535">
        <f t="shared" si="5"/>
        <v>998.34999999999991</v>
      </c>
      <c r="AB14" s="4538"/>
      <c r="AC14" s="4539">
        <f t="shared" si="6"/>
        <v>2626.0499999999997</v>
      </c>
      <c r="AD14" s="4542"/>
      <c r="AE14" s="4551">
        <f>+SUMIF(WRM!$C$7:$C$122,$D14,WRM!$AD$7:$AD$122)</f>
        <v>287</v>
      </c>
      <c r="AF14" s="4536"/>
      <c r="AG14" s="4534">
        <f t="shared" si="7"/>
        <v>2913.0499999999997</v>
      </c>
      <c r="AH14" s="4542"/>
      <c r="AI14" s="4533">
        <f>+SUMIF(WRM!$C$7:$C$122,$D14,WRM!$AH$7:$AH$122)</f>
        <v>0</v>
      </c>
      <c r="AJ14" s="4536"/>
      <c r="AK14" s="4534">
        <f t="shared" si="8"/>
        <v>2913.0499999999997</v>
      </c>
      <c r="AL14" s="4542"/>
      <c r="AM14" s="4533">
        <f>+SUMIF(WRM!$C$7:$C$122,$D14,WRM!$AL$7:$AL$122)</f>
        <v>524.79999999999995</v>
      </c>
      <c r="AN14" s="4671"/>
      <c r="AO14" s="4535">
        <f t="shared" si="9"/>
        <v>811.8</v>
      </c>
      <c r="AP14" s="4536"/>
      <c r="AQ14" s="4534">
        <f t="shared" si="0"/>
        <v>3437.8499999999995</v>
      </c>
      <c r="AR14" s="4542"/>
      <c r="AS14" s="4533">
        <f>+SUMIF(WRM!$C$7:$C$122,$D14,WRM!$AR$7:$AR$122)</f>
        <v>694.95</v>
      </c>
      <c r="AT14" s="4536"/>
      <c r="AU14" s="4534">
        <f t="shared" si="10"/>
        <v>4132.7999999999993</v>
      </c>
      <c r="AV14" s="4542"/>
      <c r="AW14" s="4533">
        <f>+SUMIF(WRM!$C$7:$C$122,$D14,WRM!$AV$7:$AV$122)</f>
        <v>1381.6999999999998</v>
      </c>
      <c r="AX14" s="4536"/>
      <c r="AY14" s="4534">
        <f t="shared" si="11"/>
        <v>5514.4999999999991</v>
      </c>
      <c r="AZ14" s="4542"/>
      <c r="BA14" s="4533">
        <f>+SUMIF(WRM!$C$7:$C$122,$D14,WRM!$AZ$7:$AZ$122)</f>
        <v>442.7999999999999</v>
      </c>
      <c r="BB14" s="4671"/>
      <c r="BC14" s="4535">
        <f t="shared" si="12"/>
        <v>2519.4499999999994</v>
      </c>
      <c r="BD14" s="4538"/>
      <c r="BE14" s="4539">
        <f t="shared" si="13"/>
        <v>3331.2499999999991</v>
      </c>
      <c r="BF14" s="4536"/>
      <c r="BG14" s="4534">
        <f t="shared" si="14"/>
        <v>5957.2999999999993</v>
      </c>
      <c r="BH14" s="26"/>
      <c r="BI14" s="26"/>
    </row>
    <row r="15" spans="3:61" ht="16.5" x14ac:dyDescent="0.25">
      <c r="C15" s="4531" t="s">
        <v>16</v>
      </c>
      <c r="D15" s="4532" t="s">
        <v>973</v>
      </c>
      <c r="E15" s="6192"/>
      <c r="F15" s="4531"/>
      <c r="G15" s="4533">
        <f>+SUMIF(WRM!$C$7:$C$122,$D15,WRM!$F$7:$F$122)</f>
        <v>596.54999999999995</v>
      </c>
      <c r="H15" s="4533"/>
      <c r="I15" s="4533">
        <f>+SUMIF(WRM!$C$7:$C$122,$D15,WRM!$H$7:$H$122)</f>
        <v>906.1</v>
      </c>
      <c r="J15" s="4534"/>
      <c r="K15" s="4534">
        <f t="shared" si="1"/>
        <v>1502.65</v>
      </c>
      <c r="L15" s="4533"/>
      <c r="M15" s="4533">
        <f>+SUMIF(WRM!$C$7:$C$122,$D15,WRM!$L$7:$L$122)</f>
        <v>1012.7</v>
      </c>
      <c r="N15" s="4535"/>
      <c r="O15" s="4535">
        <f t="shared" si="2"/>
        <v>2515.3500000000004</v>
      </c>
      <c r="P15" s="4533"/>
      <c r="Q15" s="4533">
        <f>+SUMIF(WRM!$C$7:$C$122,$D15,WRM!$P$7:$P$122)</f>
        <v>1246.3999999999999</v>
      </c>
      <c r="R15" s="4536"/>
      <c r="S15" s="4534">
        <f t="shared" si="3"/>
        <v>3761.75</v>
      </c>
      <c r="T15" s="4533"/>
      <c r="U15" s="4533">
        <f>+SUMIF(WRM!$C$7:$C$122,$D15,WRM!$T$7:$T$122)</f>
        <v>1609.25</v>
      </c>
      <c r="V15" s="4536"/>
      <c r="W15" s="4534">
        <f t="shared" si="4"/>
        <v>5371</v>
      </c>
      <c r="X15" s="4537"/>
      <c r="Y15" s="4551">
        <f>+SUMIF(WRM!$C$7:$C$122,$D15,WRM!$X$7:$X$122)</f>
        <v>1783.5</v>
      </c>
      <c r="Z15" s="4535"/>
      <c r="AA15" s="4535">
        <f t="shared" si="5"/>
        <v>4639.1499999999996</v>
      </c>
      <c r="AB15" s="4538"/>
      <c r="AC15" s="4539">
        <f t="shared" si="6"/>
        <v>7154.5</v>
      </c>
      <c r="AD15" s="4533"/>
      <c r="AE15" s="4551">
        <f>+SUMIF(WRM!$C$7:$C$122,$D15,WRM!$AD$7:$AD$122)</f>
        <v>2459.9900000000007</v>
      </c>
      <c r="AF15" s="4536"/>
      <c r="AG15" s="4534">
        <f t="shared" si="7"/>
        <v>9614.4900000000016</v>
      </c>
      <c r="AH15" s="4533"/>
      <c r="AI15" s="4533">
        <f>+SUMIF(WRM!$C$7:$C$122,$D15,WRM!$AH$7:$AH$122)</f>
        <v>1221.8000000000002</v>
      </c>
      <c r="AJ15" s="4536"/>
      <c r="AK15" s="4534">
        <f t="shared" si="8"/>
        <v>10836.29</v>
      </c>
      <c r="AL15" s="4533"/>
      <c r="AM15" s="4533">
        <f>+SUMIF(WRM!$C$7:$C$122,$D15,WRM!$AL$7:$AL$122)</f>
        <v>2088.9499999999998</v>
      </c>
      <c r="AN15" s="4671"/>
      <c r="AO15" s="4535">
        <f t="shared" si="9"/>
        <v>5770.7400000000007</v>
      </c>
      <c r="AP15" s="4536"/>
      <c r="AQ15" s="4534">
        <f t="shared" si="0"/>
        <v>12925.240000000002</v>
      </c>
      <c r="AR15" s="4533"/>
      <c r="AS15" s="4533">
        <f>+SUMIF(WRM!$C$7:$C$122,$D15,WRM!$AR$7:$AR$122)</f>
        <v>1227.95</v>
      </c>
      <c r="AT15" s="4536"/>
      <c r="AU15" s="4534">
        <f t="shared" si="10"/>
        <v>14153.190000000002</v>
      </c>
      <c r="AV15" s="4533"/>
      <c r="AW15" s="4533">
        <f>+SUMIF(WRM!$C$7:$C$122,$D15,WRM!$AV$7:$AV$122)</f>
        <v>2193.5</v>
      </c>
      <c r="AX15" s="4536"/>
      <c r="AY15" s="4534">
        <f t="shared" si="11"/>
        <v>16346.690000000002</v>
      </c>
      <c r="AZ15" s="4533"/>
      <c r="BA15" s="4533">
        <f>+SUMIF(WRM!$C$7:$C$122,$D15,WRM!$AZ$7:$AZ$122)</f>
        <v>2525.6</v>
      </c>
      <c r="BB15" s="4671"/>
      <c r="BC15" s="4535">
        <f t="shared" si="12"/>
        <v>5947.0499999999993</v>
      </c>
      <c r="BD15" s="4538"/>
      <c r="BE15" s="4539">
        <f t="shared" si="13"/>
        <v>11717.79</v>
      </c>
      <c r="BF15" s="4536"/>
      <c r="BG15" s="4534">
        <f t="shared" si="14"/>
        <v>18872.29</v>
      </c>
      <c r="BH15" s="26"/>
      <c r="BI15" s="26"/>
    </row>
    <row r="16" spans="3:61" ht="16.5" x14ac:dyDescent="0.25">
      <c r="C16" s="4531" t="s">
        <v>16</v>
      </c>
      <c r="D16" s="4532" t="s">
        <v>1136</v>
      </c>
      <c r="E16" s="6192"/>
      <c r="F16" s="4531"/>
      <c r="G16" s="4533">
        <f>+SUMIF(WRM!$C$7:$C$122,$D16,WRM!$F$7:$F$122)</f>
        <v>252.14999999999998</v>
      </c>
      <c r="H16" s="4533"/>
      <c r="I16" s="4533">
        <f>+SUMIF(WRM!$C$7:$C$122,$D16,WRM!$H$7:$H$122)</f>
        <v>243.95000000000002</v>
      </c>
      <c r="J16" s="4534"/>
      <c r="K16" s="4534">
        <f t="shared" si="1"/>
        <v>496.1</v>
      </c>
      <c r="L16" s="4533"/>
      <c r="M16" s="4533">
        <f>+SUMIF(WRM!$C$7:$C$122,$D16,WRM!$L$7:$L$122)</f>
        <v>0</v>
      </c>
      <c r="N16" s="4535"/>
      <c r="O16" s="4535">
        <f t="shared" si="2"/>
        <v>496.1</v>
      </c>
      <c r="P16" s="4533"/>
      <c r="Q16" s="4533">
        <f>+SUMIF(WRM!$C$7:$C$122,$D16,WRM!$P$7:$P$122)</f>
        <v>202.95</v>
      </c>
      <c r="R16" s="4536"/>
      <c r="S16" s="4534">
        <f t="shared" si="3"/>
        <v>699.05</v>
      </c>
      <c r="T16" s="4533"/>
      <c r="U16" s="4533">
        <f>+SUMIF(WRM!$C$7:$C$122,$D16,WRM!$T$7:$T$122)</f>
        <v>399.74999999999994</v>
      </c>
      <c r="V16" s="4536"/>
      <c r="W16" s="4534">
        <f t="shared" si="4"/>
        <v>1098.8</v>
      </c>
      <c r="X16" s="4537"/>
      <c r="Y16" s="4551">
        <f>+SUMIF(WRM!$C$7:$C$122,$D16,WRM!$X$7:$X$122)</f>
        <v>0</v>
      </c>
      <c r="Z16" s="4535"/>
      <c r="AA16" s="4535">
        <f t="shared" si="5"/>
        <v>602.69999999999993</v>
      </c>
      <c r="AB16" s="4538"/>
      <c r="AC16" s="4539">
        <f t="shared" si="6"/>
        <v>1098.8</v>
      </c>
      <c r="AD16" s="4533"/>
      <c r="AE16" s="4551">
        <f>+SUMIF(WRM!$C$7:$C$122,$D16,WRM!$AD$7:$AD$122)</f>
        <v>0</v>
      </c>
      <c r="AF16" s="4536"/>
      <c r="AG16" s="4534">
        <f t="shared" si="7"/>
        <v>1098.8</v>
      </c>
      <c r="AH16" s="4533"/>
      <c r="AI16" s="4533">
        <f>+SUMIF(WRM!$C$7:$C$122,$D16,WRM!$AH$7:$AH$122)</f>
        <v>0</v>
      </c>
      <c r="AJ16" s="4536"/>
      <c r="AK16" s="4534">
        <f t="shared" si="8"/>
        <v>1098.8</v>
      </c>
      <c r="AL16" s="4533"/>
      <c r="AM16" s="4533">
        <f>+SUMIF(WRM!$C$7:$C$122,$D16,WRM!$AL$7:$AL$122)</f>
        <v>0</v>
      </c>
      <c r="AN16" s="4671"/>
      <c r="AO16" s="4535">
        <f t="shared" si="9"/>
        <v>0</v>
      </c>
      <c r="AP16" s="4536"/>
      <c r="AQ16" s="4534">
        <f t="shared" si="0"/>
        <v>1098.8</v>
      </c>
      <c r="AR16" s="4533"/>
      <c r="AS16" s="4533">
        <f>+SUMIF(WRM!$C$7:$C$122,$D16,WRM!$AR$7:$AR$122)</f>
        <v>221.40000000000003</v>
      </c>
      <c r="AT16" s="4536"/>
      <c r="AU16" s="4534">
        <f t="shared" si="10"/>
        <v>1320.2</v>
      </c>
      <c r="AV16" s="4533"/>
      <c r="AW16" s="4533">
        <f>+SUMIF(WRM!$C$7:$C$122,$D16,WRM!$AV$7:$AV$122)</f>
        <v>0</v>
      </c>
      <c r="AX16" s="4536"/>
      <c r="AY16" s="4534">
        <f t="shared" si="11"/>
        <v>1320.2</v>
      </c>
      <c r="AZ16" s="4533"/>
      <c r="BA16" s="4533">
        <f>+SUMIF(WRM!$C$7:$C$122,$D16,WRM!$AZ$7:$AZ$122)</f>
        <v>0</v>
      </c>
      <c r="BB16" s="4671"/>
      <c r="BC16" s="4535">
        <f t="shared" si="12"/>
        <v>221.40000000000003</v>
      </c>
      <c r="BD16" s="4538"/>
      <c r="BE16" s="4539">
        <f t="shared" si="13"/>
        <v>221.40000000000003</v>
      </c>
      <c r="BF16" s="4536"/>
      <c r="BG16" s="4534">
        <f t="shared" si="14"/>
        <v>1320.2</v>
      </c>
      <c r="BH16" s="26"/>
      <c r="BI16" s="26"/>
    </row>
    <row r="17" spans="3:61" ht="16.5" x14ac:dyDescent="0.25">
      <c r="C17" s="4531" t="s">
        <v>16</v>
      </c>
      <c r="D17" s="4532" t="s">
        <v>975</v>
      </c>
      <c r="E17" s="6192"/>
      <c r="F17" s="4531"/>
      <c r="G17" s="4533">
        <f>+SUMIF(WRM!$C$7:$C$122,$D17,WRM!$F$7:$F$122)</f>
        <v>1332.4999999999995</v>
      </c>
      <c r="H17" s="4533"/>
      <c r="I17" s="4533">
        <f>+SUMIF(WRM!$C$7:$C$122,$D17,WRM!$H$7:$H$122)</f>
        <v>2179.1499999999996</v>
      </c>
      <c r="J17" s="4534"/>
      <c r="K17" s="4534">
        <f t="shared" si="1"/>
        <v>3511.6499999999992</v>
      </c>
      <c r="L17" s="4533"/>
      <c r="M17" s="4533">
        <f>+SUMIF(WRM!$C$7:$C$122,$D17,WRM!$L$7:$L$122)</f>
        <v>1922.8999999999994</v>
      </c>
      <c r="N17" s="4535"/>
      <c r="O17" s="4535">
        <f t="shared" si="2"/>
        <v>5434.5499999999984</v>
      </c>
      <c r="P17" s="4533"/>
      <c r="Q17" s="4533">
        <f>+SUMIF(WRM!$C$7:$C$122,$D17,WRM!$P$7:$P$122)</f>
        <v>1215.6499999999999</v>
      </c>
      <c r="R17" s="4536"/>
      <c r="S17" s="4534">
        <f t="shared" si="3"/>
        <v>6650.199999999998</v>
      </c>
      <c r="T17" s="4533"/>
      <c r="U17" s="4533">
        <f>+SUMIF(WRM!$C$7:$C$122,$D17,WRM!$T$7:$T$122)</f>
        <v>2289.85</v>
      </c>
      <c r="V17" s="4536"/>
      <c r="W17" s="4534">
        <f t="shared" si="4"/>
        <v>8940.0499999999975</v>
      </c>
      <c r="X17" s="4537"/>
      <c r="Y17" s="4551">
        <f>+SUMIF(WRM!$C$7:$C$122,$D17,WRM!$X$7:$X$122)</f>
        <v>1029.0999999999999</v>
      </c>
      <c r="Z17" s="4535"/>
      <c r="AA17" s="4535">
        <f t="shared" si="5"/>
        <v>4534.6000000000004</v>
      </c>
      <c r="AB17" s="4538"/>
      <c r="AC17" s="4539">
        <f t="shared" si="6"/>
        <v>9969.1499999999978</v>
      </c>
      <c r="AD17" s="4533"/>
      <c r="AE17" s="4551">
        <f>+SUMIF(WRM!$C$7:$C$122,$D17,WRM!$AD$7:$AD$122)</f>
        <v>1045.5</v>
      </c>
      <c r="AF17" s="4536"/>
      <c r="AG17" s="4534">
        <f t="shared" si="7"/>
        <v>11014.649999999998</v>
      </c>
      <c r="AH17" s="4533"/>
      <c r="AI17" s="4533">
        <f>+SUMIF(WRM!$C$7:$C$122,$D17,WRM!$AH$7:$AH$122)</f>
        <v>0</v>
      </c>
      <c r="AJ17" s="4536"/>
      <c r="AK17" s="4534">
        <f t="shared" si="8"/>
        <v>11014.649999999998</v>
      </c>
      <c r="AL17" s="4533"/>
      <c r="AM17" s="4533">
        <f>+SUMIF(WRM!$C$7:$C$122,$D17,WRM!$AL$7:$AL$122)</f>
        <v>2144.2999999999997</v>
      </c>
      <c r="AN17" s="4671"/>
      <c r="AO17" s="4535">
        <f t="shared" si="9"/>
        <v>3189.7999999999997</v>
      </c>
      <c r="AP17" s="4536"/>
      <c r="AQ17" s="4534">
        <f t="shared" si="0"/>
        <v>13158.949999999997</v>
      </c>
      <c r="AR17" s="4533"/>
      <c r="AS17" s="4533">
        <f>+SUMIF(WRM!$C$7:$C$122,$D17,WRM!$AR$7:$AR$122)</f>
        <v>1896.2500000000002</v>
      </c>
      <c r="AT17" s="4536"/>
      <c r="AU17" s="4534">
        <f t="shared" si="10"/>
        <v>15055.199999999997</v>
      </c>
      <c r="AV17" s="4533"/>
      <c r="AW17" s="4533">
        <f>+SUMIF(WRM!$C$7:$C$122,$D17,WRM!$AV$7:$AV$122)</f>
        <v>2480.5</v>
      </c>
      <c r="AX17" s="4536"/>
      <c r="AY17" s="4534">
        <f t="shared" si="11"/>
        <v>17535.699999999997</v>
      </c>
      <c r="AZ17" s="4533"/>
      <c r="BA17" s="4533">
        <f>+SUMIF(WRM!$C$7:$C$122,$D17,WRM!$AZ$7:$AZ$122)</f>
        <v>971.7</v>
      </c>
      <c r="BB17" s="4671"/>
      <c r="BC17" s="4535">
        <f t="shared" si="12"/>
        <v>5348.45</v>
      </c>
      <c r="BD17" s="4538"/>
      <c r="BE17" s="4539">
        <f t="shared" si="13"/>
        <v>8538.25</v>
      </c>
      <c r="BF17" s="4536"/>
      <c r="BG17" s="4534">
        <f t="shared" si="14"/>
        <v>18507.399999999998</v>
      </c>
      <c r="BH17" s="26"/>
      <c r="BI17" s="26"/>
    </row>
    <row r="18" spans="3:61" ht="16.5" x14ac:dyDescent="0.25">
      <c r="C18" s="4531" t="s">
        <v>16</v>
      </c>
      <c r="D18" s="4532" t="s">
        <v>1140</v>
      </c>
      <c r="E18" s="6192"/>
      <c r="F18" s="4531"/>
      <c r="G18" s="4533">
        <f>+SUMIF(WRM!$C$7:$C$122,$D18,WRM!$F$7:$F$122)</f>
        <v>18.45</v>
      </c>
      <c r="H18" s="4533"/>
      <c r="I18" s="4533">
        <f>+SUMIF(WRM!$C$7:$C$122,$D18,WRM!$H$7:$H$122)</f>
        <v>4.0999999999999996</v>
      </c>
      <c r="J18" s="4534"/>
      <c r="K18" s="4534">
        <f t="shared" si="1"/>
        <v>22.549999999999997</v>
      </c>
      <c r="L18" s="4533"/>
      <c r="M18" s="4533">
        <f>+SUMIF(WRM!$C$7:$C$122,$D18,WRM!$L$7:$L$122)</f>
        <v>98.4</v>
      </c>
      <c r="N18" s="4535"/>
      <c r="O18" s="4535">
        <f t="shared" si="2"/>
        <v>120.95</v>
      </c>
      <c r="P18" s="4533"/>
      <c r="Q18" s="4533">
        <f>+SUMIF(WRM!$C$7:$C$122,$D18,WRM!$P$7:$P$122)</f>
        <v>6.1499999999999995</v>
      </c>
      <c r="R18" s="4536"/>
      <c r="S18" s="4534">
        <f t="shared" si="3"/>
        <v>127.10000000000001</v>
      </c>
      <c r="T18" s="4533"/>
      <c r="U18" s="4533">
        <f>+SUMIF(WRM!$C$7:$C$122,$D18,WRM!$T$7:$T$122)</f>
        <v>6.15</v>
      </c>
      <c r="V18" s="4536"/>
      <c r="W18" s="4534">
        <f t="shared" si="4"/>
        <v>133.25</v>
      </c>
      <c r="X18" s="4537"/>
      <c r="Y18" s="4551">
        <f>+SUMIF(WRM!$C$7:$C$122,$D18,WRM!$X$7:$X$122)</f>
        <v>0</v>
      </c>
      <c r="Z18" s="4535"/>
      <c r="AA18" s="4535">
        <f t="shared" si="5"/>
        <v>12.3</v>
      </c>
      <c r="AB18" s="4538"/>
      <c r="AC18" s="4539">
        <f t="shared" si="6"/>
        <v>133.25</v>
      </c>
      <c r="AD18" s="4533"/>
      <c r="AE18" s="4551">
        <f>+SUMIF(WRM!$C$7:$C$122,$D18,WRM!$AD$7:$AD$122)</f>
        <v>0</v>
      </c>
      <c r="AF18" s="4536"/>
      <c r="AG18" s="4534">
        <f t="shared" si="7"/>
        <v>133.25</v>
      </c>
      <c r="AH18" s="4533"/>
      <c r="AI18" s="4533">
        <f>+SUMIF(WRM!$C$7:$C$122,$D18,WRM!$AH$7:$AH$122)</f>
        <v>0</v>
      </c>
      <c r="AJ18" s="4536"/>
      <c r="AK18" s="4534">
        <f t="shared" si="8"/>
        <v>133.25</v>
      </c>
      <c r="AL18" s="4533"/>
      <c r="AM18" s="4533">
        <f>+SUMIF(WRM!$C$7:$C$122,$D18,WRM!$AL$7:$AL$122)</f>
        <v>4.0999999999999996</v>
      </c>
      <c r="AN18" s="4671"/>
      <c r="AO18" s="4535">
        <f t="shared" si="9"/>
        <v>4.0999999999999996</v>
      </c>
      <c r="AP18" s="4536"/>
      <c r="AQ18" s="4534">
        <f t="shared" si="0"/>
        <v>137.35</v>
      </c>
      <c r="AR18" s="4533"/>
      <c r="AS18" s="4533">
        <f>+SUMIF(WRM!$C$7:$C$122,$D18,WRM!$AR$7:$AR$122)</f>
        <v>174.25</v>
      </c>
      <c r="AT18" s="4536"/>
      <c r="AU18" s="4534">
        <f t="shared" si="10"/>
        <v>311.60000000000002</v>
      </c>
      <c r="AV18" s="4533"/>
      <c r="AW18" s="4533">
        <f>+SUMIF(WRM!$C$7:$C$122,$D18,WRM!$AV$7:$AV$122)</f>
        <v>77.900000000000006</v>
      </c>
      <c r="AX18" s="4536"/>
      <c r="AY18" s="4534">
        <f t="shared" si="11"/>
        <v>389.5</v>
      </c>
      <c r="AZ18" s="4533"/>
      <c r="BA18" s="4533">
        <f>+SUMIF(WRM!$C$7:$C$122,$D18,WRM!$AZ$7:$AZ$122)</f>
        <v>0</v>
      </c>
      <c r="BB18" s="4671"/>
      <c r="BC18" s="4535">
        <f t="shared" si="12"/>
        <v>252.15</v>
      </c>
      <c r="BD18" s="4538"/>
      <c r="BE18" s="4539">
        <f t="shared" si="13"/>
        <v>256.25</v>
      </c>
      <c r="BF18" s="4536"/>
      <c r="BG18" s="4534">
        <f t="shared" si="14"/>
        <v>389.5</v>
      </c>
      <c r="BH18" s="26"/>
      <c r="BI18" s="26"/>
    </row>
    <row r="19" spans="3:61" ht="16.5" x14ac:dyDescent="0.25">
      <c r="C19" s="4531" t="s">
        <v>16</v>
      </c>
      <c r="D19" s="4532" t="s">
        <v>976</v>
      </c>
      <c r="E19" s="6192"/>
      <c r="F19" s="4531"/>
      <c r="G19" s="4533">
        <f>+SUMIF(WRM!$C$7:$C$122,$D19,WRM!$F$7:$F$122)</f>
        <v>108.65</v>
      </c>
      <c r="H19" s="4533"/>
      <c r="I19" s="4533">
        <f>+SUMIF(WRM!$C$7:$C$122,$D19,WRM!$H$7:$H$122)</f>
        <v>0</v>
      </c>
      <c r="J19" s="4534"/>
      <c r="K19" s="4534">
        <f t="shared" si="1"/>
        <v>108.65</v>
      </c>
      <c r="L19" s="4533"/>
      <c r="M19" s="4533">
        <f>+SUMIF(WRM!$C$7:$C$122,$D19,WRM!$L$7:$L$122)</f>
        <v>0</v>
      </c>
      <c r="N19" s="4535"/>
      <c r="O19" s="4535">
        <f t="shared" si="2"/>
        <v>108.65</v>
      </c>
      <c r="P19" s="4533"/>
      <c r="Q19" s="4533">
        <f>+SUMIF(WRM!$C$7:$C$122,$D19,WRM!$P$7:$P$122)</f>
        <v>0</v>
      </c>
      <c r="R19" s="4536"/>
      <c r="S19" s="4534">
        <f t="shared" si="3"/>
        <v>108.65</v>
      </c>
      <c r="T19" s="4533"/>
      <c r="U19" s="4533">
        <f>+SUMIF(WRM!$C$7:$C$122,$D19,WRM!$T$7:$T$122)</f>
        <v>0</v>
      </c>
      <c r="V19" s="4536"/>
      <c r="W19" s="4534">
        <f t="shared" si="4"/>
        <v>108.65</v>
      </c>
      <c r="X19" s="4537"/>
      <c r="Y19" s="4551">
        <f>+SUMIF(WRM!$C$7:$C$122,$D19,WRM!$X$7:$X$122)</f>
        <v>0</v>
      </c>
      <c r="Z19" s="4535"/>
      <c r="AA19" s="4535">
        <f t="shared" si="5"/>
        <v>0</v>
      </c>
      <c r="AB19" s="4538"/>
      <c r="AC19" s="4539">
        <f t="shared" si="6"/>
        <v>108.65</v>
      </c>
      <c r="AD19" s="4533"/>
      <c r="AE19" s="4551">
        <f>+SUMIF(WRM!$C$7:$C$122,$D19,WRM!$AD$7:$AD$122)</f>
        <v>0</v>
      </c>
      <c r="AF19" s="4536"/>
      <c r="AG19" s="4534">
        <f t="shared" si="7"/>
        <v>108.65</v>
      </c>
      <c r="AH19" s="4533"/>
      <c r="AI19" s="4533">
        <f>+SUMIF(WRM!$C$7:$C$122,$D19,WRM!$AH$7:$AH$122)</f>
        <v>0</v>
      </c>
      <c r="AJ19" s="4536"/>
      <c r="AK19" s="4534">
        <f t="shared" si="8"/>
        <v>108.65</v>
      </c>
      <c r="AL19" s="4533"/>
      <c r="AM19" s="4533">
        <f>+SUMIF(WRM!$C$7:$C$122,$D19,WRM!$AL$7:$AL$122)</f>
        <v>104.55000000000001</v>
      </c>
      <c r="AN19" s="4671"/>
      <c r="AO19" s="4535">
        <f t="shared" si="9"/>
        <v>104.55000000000001</v>
      </c>
      <c r="AP19" s="4536"/>
      <c r="AQ19" s="4534">
        <f t="shared" si="0"/>
        <v>213.20000000000002</v>
      </c>
      <c r="AR19" s="4533"/>
      <c r="AS19" s="4533">
        <f>+SUMIF(WRM!$C$7:$C$122,$D19,WRM!$AR$7:$AR$122)</f>
        <v>0</v>
      </c>
      <c r="AT19" s="4536"/>
      <c r="AU19" s="4534">
        <f t="shared" si="10"/>
        <v>213.20000000000002</v>
      </c>
      <c r="AV19" s="4533"/>
      <c r="AW19" s="4533">
        <f>+SUMIF(WRM!$C$7:$C$122,$D19,WRM!$AV$7:$AV$122)</f>
        <v>0</v>
      </c>
      <c r="AX19" s="4536"/>
      <c r="AY19" s="4534">
        <f t="shared" si="11"/>
        <v>213.20000000000002</v>
      </c>
      <c r="AZ19" s="4533"/>
      <c r="BA19" s="4533">
        <f>+SUMIF(WRM!$C$7:$C$122,$D19,WRM!$AZ$7:$AZ$122)</f>
        <v>0</v>
      </c>
      <c r="BB19" s="4671"/>
      <c r="BC19" s="4535">
        <f t="shared" si="12"/>
        <v>0</v>
      </c>
      <c r="BD19" s="4538"/>
      <c r="BE19" s="4539">
        <f t="shared" si="13"/>
        <v>104.55000000000001</v>
      </c>
      <c r="BF19" s="4536"/>
      <c r="BG19" s="4534">
        <f t="shared" si="14"/>
        <v>213.20000000000002</v>
      </c>
      <c r="BH19" s="26"/>
      <c r="BI19" s="26"/>
    </row>
    <row r="20" spans="3:61" ht="16.5" x14ac:dyDescent="0.25">
      <c r="C20" s="4531" t="s">
        <v>16</v>
      </c>
      <c r="D20" s="4632" t="s">
        <v>1962</v>
      </c>
      <c r="E20" s="6192"/>
      <c r="F20" s="4620"/>
      <c r="G20" s="4533">
        <f>+SUMIF(WRM!$C$7:$C$122,$D20,WRM!$F$7:$F$122)</f>
        <v>0</v>
      </c>
      <c r="H20" s="4654"/>
      <c r="I20" s="4533">
        <f>+SUMIF(WRM!$C$7:$C$122,$D20,WRM!$H$7:$H$122)</f>
        <v>0</v>
      </c>
      <c r="J20" s="4622"/>
      <c r="K20" s="4534">
        <f t="shared" si="1"/>
        <v>0</v>
      </c>
      <c r="L20" s="4654"/>
      <c r="M20" s="4533">
        <f>+SUMIF(WRM!$C$7:$C$122,$D20,WRM!$L$7:$L$122)</f>
        <v>79.95</v>
      </c>
      <c r="N20" s="4623"/>
      <c r="O20" s="4535">
        <f t="shared" si="2"/>
        <v>79.95</v>
      </c>
      <c r="P20" s="4654"/>
      <c r="Q20" s="4533">
        <f>+SUMIF(WRM!$C$7:$C$122,$D20,WRM!$P$7:$P$122)</f>
        <v>0</v>
      </c>
      <c r="R20" s="4536"/>
      <c r="S20" s="4534">
        <f t="shared" si="3"/>
        <v>79.95</v>
      </c>
      <c r="T20" s="4654"/>
      <c r="U20" s="4533">
        <f>+SUMIF(WRM!$C$7:$C$122,$D20,WRM!$T$7:$T$122)</f>
        <v>0</v>
      </c>
      <c r="V20" s="4536"/>
      <c r="W20" s="4534">
        <f t="shared" si="4"/>
        <v>79.95</v>
      </c>
      <c r="X20" s="4655"/>
      <c r="Y20" s="4551">
        <f>+SUMIF(WRM!$C$7:$C$122,$D20,WRM!$X$7:$X$122)</f>
        <v>0</v>
      </c>
      <c r="Z20" s="4623"/>
      <c r="AA20" s="4535">
        <f t="shared" si="5"/>
        <v>0</v>
      </c>
      <c r="AB20" s="4624"/>
      <c r="AC20" s="4539">
        <f t="shared" si="6"/>
        <v>79.95</v>
      </c>
      <c r="AD20" s="4654"/>
      <c r="AE20" s="4551">
        <f>+SUMIF(WRM!$C$7:$C$122,$D20,WRM!$AD$7:$AD$122)</f>
        <v>131.19999999999999</v>
      </c>
      <c r="AF20" s="4536"/>
      <c r="AG20" s="4534">
        <f t="shared" si="7"/>
        <v>211.14999999999998</v>
      </c>
      <c r="AH20" s="4654"/>
      <c r="AI20" s="4533">
        <f>+SUMIF(WRM!$C$7:$C$122,$D20,WRM!$AH$7:$AH$122)</f>
        <v>0</v>
      </c>
      <c r="AJ20" s="4536"/>
      <c r="AK20" s="4534">
        <f t="shared" si="8"/>
        <v>211.14999999999998</v>
      </c>
      <c r="AL20" s="4654"/>
      <c r="AM20" s="4533">
        <f>+SUMIF(WRM!$C$7:$C$122,$D20,WRM!$AL$7:$AL$122)</f>
        <v>0</v>
      </c>
      <c r="AN20" s="4671"/>
      <c r="AO20" s="4535">
        <f t="shared" si="9"/>
        <v>131.19999999999999</v>
      </c>
      <c r="AP20" s="4536"/>
      <c r="AQ20" s="4718">
        <f t="shared" si="0"/>
        <v>211.14999999999998</v>
      </c>
      <c r="AR20" s="4654"/>
      <c r="AS20" s="4533">
        <f>+SUMIF(WRM!$C$7:$C$122,$D20,WRM!$AR$7:$AR$122)</f>
        <v>403.85</v>
      </c>
      <c r="AT20" s="4536"/>
      <c r="AU20" s="4534">
        <f t="shared" si="10"/>
        <v>615</v>
      </c>
      <c r="AV20" s="4654"/>
      <c r="AW20" s="4533">
        <f>+SUMIF(WRM!$C$7:$C$122,$D20,WRM!$AV$7:$AV$122)</f>
        <v>0</v>
      </c>
      <c r="AX20" s="4536"/>
      <c r="AY20" s="4534">
        <f t="shared" si="11"/>
        <v>615</v>
      </c>
      <c r="AZ20" s="4654"/>
      <c r="BA20" s="4533">
        <f>+SUMIF(WRM!$C$7:$C$122,$D20,WRM!$AZ$7:$AZ$122)</f>
        <v>0</v>
      </c>
      <c r="BB20" s="4671"/>
      <c r="BC20" s="4535">
        <f t="shared" si="12"/>
        <v>403.85</v>
      </c>
      <c r="BD20" s="4624"/>
      <c r="BE20" s="4539">
        <f t="shared" si="13"/>
        <v>535.04999999999995</v>
      </c>
      <c r="BF20" s="4536"/>
      <c r="BG20" s="4534">
        <f t="shared" si="14"/>
        <v>615</v>
      </c>
      <c r="BH20" s="26"/>
      <c r="BI20" s="26"/>
    </row>
    <row r="21" spans="3:61" ht="16.5" x14ac:dyDescent="0.25">
      <c r="C21" s="4531" t="s">
        <v>16</v>
      </c>
      <c r="D21" s="4632" t="s">
        <v>1963</v>
      </c>
      <c r="E21" s="6192"/>
      <c r="F21" s="4656"/>
      <c r="G21" s="4533">
        <f>+SUMIF(WRM!$C$7:$C$122,$D21,WRM!$F$7:$F$122)</f>
        <v>498.15000000000003</v>
      </c>
      <c r="H21" s="4657"/>
      <c r="I21" s="4533">
        <f>+SUMIF(WRM!$C$7:$C$122,$D21,WRM!$H$7:$H$122)</f>
        <v>590.4</v>
      </c>
      <c r="J21" s="4658"/>
      <c r="K21" s="4534">
        <f t="shared" si="1"/>
        <v>1088.55</v>
      </c>
      <c r="L21" s="4657"/>
      <c r="M21" s="4533">
        <f>+SUMIF(WRM!$C$7:$C$122,$D21,WRM!$L$7:$L$122)</f>
        <v>434.6</v>
      </c>
      <c r="N21" s="4659"/>
      <c r="O21" s="4535">
        <f t="shared" si="2"/>
        <v>1523.15</v>
      </c>
      <c r="P21" s="4657"/>
      <c r="Q21" s="4533">
        <f>+SUMIF(WRM!$C$7:$C$122,$D21,WRM!$P$7:$P$122)</f>
        <v>0</v>
      </c>
      <c r="R21" s="4536"/>
      <c r="S21" s="4534">
        <f t="shared" si="3"/>
        <v>1523.15</v>
      </c>
      <c r="T21" s="4657"/>
      <c r="U21" s="4533">
        <f>+SUMIF(WRM!$C$7:$C$122,$D21,WRM!$T$7:$T$122)</f>
        <v>0</v>
      </c>
      <c r="V21" s="4536"/>
      <c r="W21" s="4534">
        <f t="shared" si="4"/>
        <v>1523.15</v>
      </c>
      <c r="X21" s="4660"/>
      <c r="Y21" s="4551">
        <f>+SUMIF(WRM!$C$7:$C$122,$D21,WRM!$X$7:$X$122)</f>
        <v>0</v>
      </c>
      <c r="Z21" s="4659"/>
      <c r="AA21" s="4535">
        <f t="shared" si="5"/>
        <v>0</v>
      </c>
      <c r="AB21" s="4661"/>
      <c r="AC21" s="4539">
        <f t="shared" si="6"/>
        <v>1523.15</v>
      </c>
      <c r="AD21" s="4657"/>
      <c r="AE21" s="4551">
        <f>+SUMIF(WRM!$C$7:$C$122,$D21,WRM!$AD$7:$AD$122)</f>
        <v>67.650000000000006</v>
      </c>
      <c r="AF21" s="4536"/>
      <c r="AG21" s="4534">
        <f t="shared" si="7"/>
        <v>1590.8000000000002</v>
      </c>
      <c r="AH21" s="4657"/>
      <c r="AI21" s="4533">
        <f>+SUMIF(WRM!$C$7:$C$122,$D21,WRM!$AH$7:$AH$122)</f>
        <v>0</v>
      </c>
      <c r="AJ21" s="4536"/>
      <c r="AK21" s="4534">
        <f t="shared" si="8"/>
        <v>1590.8000000000002</v>
      </c>
      <c r="AL21" s="4657"/>
      <c r="AM21" s="4533">
        <f>+SUMIF(WRM!$C$7:$C$122,$D21,WRM!$AL$7:$AL$122)</f>
        <v>0</v>
      </c>
      <c r="AN21" s="4671"/>
      <c r="AO21" s="4535">
        <f t="shared" si="9"/>
        <v>67.650000000000006</v>
      </c>
      <c r="AP21" s="4536"/>
      <c r="AQ21" s="4718">
        <f t="shared" si="0"/>
        <v>1590.8000000000002</v>
      </c>
      <c r="AR21" s="4657"/>
      <c r="AS21" s="4533">
        <f>+SUMIF(WRM!$C$7:$C$122,$D21,WRM!$AR$7:$AR$122)</f>
        <v>0</v>
      </c>
      <c r="AT21" s="4536"/>
      <c r="AU21" s="4534">
        <f t="shared" si="10"/>
        <v>1590.8000000000002</v>
      </c>
      <c r="AV21" s="4657"/>
      <c r="AW21" s="4533">
        <f>+SUMIF(WRM!$C$7:$C$122,$D21,WRM!$AV$7:$AV$122)</f>
        <v>0</v>
      </c>
      <c r="AX21" s="4536"/>
      <c r="AY21" s="4534">
        <f t="shared" si="11"/>
        <v>1590.8000000000002</v>
      </c>
      <c r="AZ21" s="4657"/>
      <c r="BA21" s="4533">
        <f>+SUMIF(WRM!$C$7:$C$122,$D21,WRM!$AZ$7:$AZ$122)</f>
        <v>446.89999999999992</v>
      </c>
      <c r="BB21" s="4671"/>
      <c r="BC21" s="4535">
        <f t="shared" si="12"/>
        <v>446.89999999999992</v>
      </c>
      <c r="BD21" s="4661"/>
      <c r="BE21" s="4539">
        <f t="shared" si="13"/>
        <v>514.54999999999995</v>
      </c>
      <c r="BF21" s="4536"/>
      <c r="BG21" s="4534">
        <f t="shared" si="14"/>
        <v>2037.7</v>
      </c>
      <c r="BH21" s="26"/>
      <c r="BI21" s="26"/>
    </row>
    <row r="22" spans="3:61" ht="16.5" x14ac:dyDescent="0.25">
      <c r="C22" s="4531" t="s">
        <v>16</v>
      </c>
      <c r="D22" s="4632" t="s">
        <v>1908</v>
      </c>
      <c r="E22" s="6192"/>
      <c r="F22" s="4620"/>
      <c r="G22" s="4533">
        <f>+SUMIF(WRM!$C$7:$C$122,$D22,WRM!$F$7:$F$122)</f>
        <v>0</v>
      </c>
      <c r="H22" s="4654"/>
      <c r="I22" s="4533">
        <f>+SUMIF(WRM!$C$7:$C$122,$D22,WRM!$H$7:$H$122)</f>
        <v>0</v>
      </c>
      <c r="J22" s="4622"/>
      <c r="K22" s="4534">
        <f t="shared" si="1"/>
        <v>0</v>
      </c>
      <c r="L22" s="4654"/>
      <c r="M22" s="4533">
        <f>+SUMIF(WRM!$C$7:$C$122,$D22,WRM!$L$7:$L$122)</f>
        <v>0</v>
      </c>
      <c r="N22" s="4623"/>
      <c r="O22" s="4535">
        <f t="shared" si="2"/>
        <v>0</v>
      </c>
      <c r="P22" s="4654"/>
      <c r="Q22" s="4533">
        <f>+SUMIF(WRM!$C$7:$C$122,$D22,WRM!$P$7:$P$122)</f>
        <v>0</v>
      </c>
      <c r="R22" s="4536"/>
      <c r="S22" s="4534">
        <f t="shared" si="3"/>
        <v>0</v>
      </c>
      <c r="T22" s="4654"/>
      <c r="U22" s="4533">
        <f>+SUMIF(WRM!$C$7:$C$122,$D22,WRM!$T$7:$T$122)</f>
        <v>0</v>
      </c>
      <c r="V22" s="4536"/>
      <c r="W22" s="4534">
        <f t="shared" si="4"/>
        <v>0</v>
      </c>
      <c r="X22" s="4655"/>
      <c r="Y22" s="4551">
        <f>+SUMIF(WRM!$C$7:$C$122,$D22,WRM!$X$7:$X$122)</f>
        <v>0</v>
      </c>
      <c r="Z22" s="4623"/>
      <c r="AA22" s="4535">
        <f t="shared" si="5"/>
        <v>0</v>
      </c>
      <c r="AB22" s="4624"/>
      <c r="AC22" s="4539">
        <f t="shared" si="6"/>
        <v>0</v>
      </c>
      <c r="AD22" s="4654"/>
      <c r="AE22" s="4551">
        <f>+SUMIF(WRM!$C$7:$C$122,$D22,WRM!$AD$7:$AD$122)</f>
        <v>0</v>
      </c>
      <c r="AF22" s="4536"/>
      <c r="AG22" s="4534">
        <f t="shared" si="7"/>
        <v>0</v>
      </c>
      <c r="AH22" s="4654"/>
      <c r="AI22" s="4533">
        <f>+SUMIF(WRM!$C$7:$C$122,$D22,WRM!$AH$7:$AH$122)</f>
        <v>0</v>
      </c>
      <c r="AJ22" s="4536"/>
      <c r="AK22" s="4534">
        <f t="shared" si="8"/>
        <v>0</v>
      </c>
      <c r="AL22" s="4654"/>
      <c r="AM22" s="4533">
        <f>+SUMIF(WRM!$C$7:$C$122,$D22,WRM!$AL$7:$AL$122)</f>
        <v>0</v>
      </c>
      <c r="AN22" s="4671"/>
      <c r="AO22" s="4535">
        <f t="shared" si="9"/>
        <v>0</v>
      </c>
      <c r="AP22" s="4536"/>
      <c r="AQ22" s="4718">
        <f t="shared" si="0"/>
        <v>0</v>
      </c>
      <c r="AR22" s="4654"/>
      <c r="AS22" s="4533">
        <f>+SUMIF(WRM!$C$7:$C$122,$D22,WRM!$AR$7:$AR$122)</f>
        <v>0</v>
      </c>
      <c r="AT22" s="4536"/>
      <c r="AU22" s="4534">
        <f t="shared" si="10"/>
        <v>0</v>
      </c>
      <c r="AV22" s="4654"/>
      <c r="AW22" s="4533">
        <f>+SUMIF(WRM!$C$7:$C$122,$D22,WRM!$AV$7:$AV$122)</f>
        <v>0</v>
      </c>
      <c r="AX22" s="4536"/>
      <c r="AY22" s="4534">
        <f t="shared" si="11"/>
        <v>0</v>
      </c>
      <c r="AZ22" s="4654"/>
      <c r="BA22" s="4533">
        <f>+SUMIF(WRM!$C$7:$C$122,$D22,WRM!$AZ$7:$AZ$122)</f>
        <v>0</v>
      </c>
      <c r="BB22" s="4671"/>
      <c r="BC22" s="4535">
        <f t="shared" si="12"/>
        <v>0</v>
      </c>
      <c r="BD22" s="4624"/>
      <c r="BE22" s="4539">
        <f t="shared" si="13"/>
        <v>0</v>
      </c>
      <c r="BF22" s="4536"/>
      <c r="BG22" s="4534">
        <f t="shared" si="14"/>
        <v>0</v>
      </c>
      <c r="BH22" s="26"/>
      <c r="BI22" s="26"/>
    </row>
    <row r="23" spans="3:61" ht="16.5" x14ac:dyDescent="0.25">
      <c r="C23" s="4531" t="s">
        <v>16</v>
      </c>
      <c r="D23" s="4532" t="s">
        <v>1612</v>
      </c>
      <c r="E23" s="6192"/>
      <c r="F23" s="4531"/>
      <c r="G23" s="4533">
        <f>+SUMIF(WRM!$C$7:$C$122,$D23,WRM!$F$7:$F$122)</f>
        <v>627.29999999999995</v>
      </c>
      <c r="H23" s="4533"/>
      <c r="I23" s="4533">
        <f>+SUMIF(WRM!$C$7:$C$122,$D23,WRM!$H$7:$H$122)</f>
        <v>0</v>
      </c>
      <c r="J23" s="4534"/>
      <c r="K23" s="4534">
        <f t="shared" si="1"/>
        <v>627.29999999999995</v>
      </c>
      <c r="L23" s="4533"/>
      <c r="M23" s="4533">
        <f>+SUMIF(WRM!$C$7:$C$122,$D23,WRM!$L$7:$L$122)</f>
        <v>0</v>
      </c>
      <c r="N23" s="4535"/>
      <c r="O23" s="4535">
        <f t="shared" si="2"/>
        <v>627.29999999999995</v>
      </c>
      <c r="P23" s="4533"/>
      <c r="Q23" s="4533">
        <f>+SUMIF(WRM!$C$7:$C$122,$D23,WRM!$P$7:$P$122)</f>
        <v>0</v>
      </c>
      <c r="R23" s="4536"/>
      <c r="S23" s="4534">
        <f t="shared" si="3"/>
        <v>627.29999999999995</v>
      </c>
      <c r="T23" s="4533"/>
      <c r="U23" s="4533">
        <f>+SUMIF(WRM!$C$7:$C$122,$D23,WRM!$T$7:$T$122)</f>
        <v>0</v>
      </c>
      <c r="V23" s="4536"/>
      <c r="W23" s="4534">
        <f t="shared" si="4"/>
        <v>627.29999999999995</v>
      </c>
      <c r="X23" s="4537"/>
      <c r="Y23" s="4551">
        <f>+SUMIF(WRM!$C$7:$C$122,$D23,WRM!$X$7:$X$122)</f>
        <v>0</v>
      </c>
      <c r="Z23" s="4535"/>
      <c r="AA23" s="4535">
        <f t="shared" si="5"/>
        <v>0</v>
      </c>
      <c r="AB23" s="4538"/>
      <c r="AC23" s="4539">
        <f t="shared" si="6"/>
        <v>627.29999999999995</v>
      </c>
      <c r="AD23" s="4533"/>
      <c r="AE23" s="4551">
        <f>+SUMIF(WRM!$C$7:$C$122,$D23,WRM!$AD$7:$AD$122)</f>
        <v>0</v>
      </c>
      <c r="AF23" s="4536"/>
      <c r="AG23" s="4534">
        <f t="shared" si="7"/>
        <v>627.29999999999995</v>
      </c>
      <c r="AH23" s="4533"/>
      <c r="AI23" s="4533">
        <f>+SUMIF(WRM!$C$7:$C$122,$D23,WRM!$AH$7:$AH$122)</f>
        <v>0</v>
      </c>
      <c r="AJ23" s="4536"/>
      <c r="AK23" s="4534">
        <f t="shared" si="8"/>
        <v>627.29999999999995</v>
      </c>
      <c r="AL23" s="4533"/>
      <c r="AM23" s="4533">
        <f>+SUMIF(WRM!$C$7:$C$122,$D23,WRM!$AL$7:$AL$122)</f>
        <v>0</v>
      </c>
      <c r="AN23" s="4671"/>
      <c r="AO23" s="4535">
        <f t="shared" si="9"/>
        <v>0</v>
      </c>
      <c r="AP23" s="4536"/>
      <c r="AQ23" s="4534">
        <f t="shared" si="0"/>
        <v>627.29999999999995</v>
      </c>
      <c r="AR23" s="4533"/>
      <c r="AS23" s="4533">
        <f>+SUMIF(WRM!$C$7:$C$122,$D23,WRM!$AR$7:$AR$122)</f>
        <v>55.35</v>
      </c>
      <c r="AT23" s="4536"/>
      <c r="AU23" s="4534">
        <f t="shared" si="10"/>
        <v>682.65</v>
      </c>
      <c r="AV23" s="4533"/>
      <c r="AW23" s="4533">
        <f>+SUMIF(WRM!$C$7:$C$122,$D23,WRM!$AV$7:$AV$122)</f>
        <v>0</v>
      </c>
      <c r="AX23" s="4536"/>
      <c r="AY23" s="4534">
        <f t="shared" si="11"/>
        <v>682.65</v>
      </c>
      <c r="AZ23" s="4533"/>
      <c r="BA23" s="4533">
        <f>+SUMIF(WRM!$C$7:$C$122,$D23,WRM!$AZ$7:$AZ$122)</f>
        <v>0</v>
      </c>
      <c r="BB23" s="4671"/>
      <c r="BC23" s="4535">
        <f t="shared" si="12"/>
        <v>55.35</v>
      </c>
      <c r="BD23" s="4538"/>
      <c r="BE23" s="4539">
        <f t="shared" si="13"/>
        <v>55.35</v>
      </c>
      <c r="BF23" s="4536"/>
      <c r="BG23" s="4534">
        <f t="shared" si="14"/>
        <v>682.65</v>
      </c>
      <c r="BH23" s="26"/>
      <c r="BI23" s="26"/>
    </row>
    <row r="24" spans="3:61" ht="16.5" x14ac:dyDescent="0.25">
      <c r="C24" s="4531" t="s">
        <v>16</v>
      </c>
      <c r="D24" s="4532" t="s">
        <v>1141</v>
      </c>
      <c r="E24" s="6192"/>
      <c r="F24" s="4531"/>
      <c r="G24" s="4533">
        <f>+SUMIF(WRM!$C$7:$C$122,$D24,WRM!$F$7:$F$122)</f>
        <v>6223.8</v>
      </c>
      <c r="H24" s="4533"/>
      <c r="I24" s="4533">
        <f>+SUMIF(WRM!$C$7:$C$122,$D24,WRM!$H$7:$H$122)</f>
        <v>3849.9</v>
      </c>
      <c r="J24" s="4534"/>
      <c r="K24" s="4534">
        <f t="shared" si="1"/>
        <v>10073.700000000001</v>
      </c>
      <c r="L24" s="4533"/>
      <c r="M24" s="4533">
        <f>+SUMIF(WRM!$C$7:$C$122,$D24,WRM!$L$7:$L$122)</f>
        <v>6943.3499999999995</v>
      </c>
      <c r="N24" s="4535"/>
      <c r="O24" s="4535">
        <f t="shared" si="2"/>
        <v>17017.05</v>
      </c>
      <c r="P24" s="4533"/>
      <c r="Q24" s="4533">
        <f>+SUMIF(WRM!$C$7:$C$122,$D24,WRM!$P$7:$P$122)</f>
        <v>6264.8</v>
      </c>
      <c r="R24" s="4536"/>
      <c r="S24" s="4534">
        <f t="shared" si="3"/>
        <v>23281.85</v>
      </c>
      <c r="T24" s="4533"/>
      <c r="U24" s="4533">
        <f>+SUMIF(WRM!$C$7:$C$122,$D24,WRM!$T$7:$T$122)</f>
        <v>4844.1500000000005</v>
      </c>
      <c r="V24" s="4536"/>
      <c r="W24" s="4534">
        <f t="shared" si="4"/>
        <v>28126</v>
      </c>
      <c r="X24" s="4537"/>
      <c r="Y24" s="4551">
        <f>+SUMIF(WRM!$C$7:$C$122,$D24,WRM!$X$7:$X$122)</f>
        <v>6642</v>
      </c>
      <c r="Z24" s="4535"/>
      <c r="AA24" s="4535">
        <f t="shared" si="5"/>
        <v>17750.95</v>
      </c>
      <c r="AB24" s="4538"/>
      <c r="AC24" s="4539">
        <f t="shared" si="6"/>
        <v>34768</v>
      </c>
      <c r="AD24" s="4533"/>
      <c r="AE24" s="4551">
        <f>+SUMIF(WRM!$C$7:$C$122,$D24,WRM!$AD$7:$AD$122)</f>
        <v>13357.8</v>
      </c>
      <c r="AF24" s="4536"/>
      <c r="AG24" s="4534">
        <f t="shared" si="7"/>
        <v>48125.8</v>
      </c>
      <c r="AH24" s="4533"/>
      <c r="AI24" s="4533">
        <f>+SUMIF(WRM!$C$7:$C$122,$D24,WRM!$AH$7:$AH$122)</f>
        <v>7810.5000000000036</v>
      </c>
      <c r="AJ24" s="4536"/>
      <c r="AK24" s="4534">
        <f t="shared" si="8"/>
        <v>55936.3</v>
      </c>
      <c r="AL24" s="4533"/>
      <c r="AM24" s="4533">
        <f>+SUMIF(WRM!$C$7:$C$122,$D24,WRM!$AL$7:$AL$122)</f>
        <v>8860.1000000000095</v>
      </c>
      <c r="AN24" s="4671"/>
      <c r="AO24" s="4535">
        <f t="shared" si="9"/>
        <v>30028.400000000012</v>
      </c>
      <c r="AP24" s="4536"/>
      <c r="AQ24" s="4534">
        <f t="shared" si="0"/>
        <v>64796.400000000009</v>
      </c>
      <c r="AR24" s="4533"/>
      <c r="AS24" s="4533">
        <f>+SUMIF(WRM!$C$7:$C$122,$D24,WRM!$AR$7:$AR$122)</f>
        <v>12025.300000000001</v>
      </c>
      <c r="AT24" s="4536"/>
      <c r="AU24" s="4534">
        <f t="shared" si="10"/>
        <v>76821.700000000012</v>
      </c>
      <c r="AV24" s="4533"/>
      <c r="AW24" s="4533">
        <f>+SUMIF(WRM!$C$7:$C$122,$D24,WRM!$AV$7:$AV$122)</f>
        <v>6549.7500000000009</v>
      </c>
      <c r="AX24" s="4536"/>
      <c r="AY24" s="4534">
        <f t="shared" si="11"/>
        <v>83371.450000000012</v>
      </c>
      <c r="AZ24" s="4533"/>
      <c r="BA24" s="4533">
        <f>+SUMIF(WRM!$C$7:$C$122,$D24,WRM!$AZ$7:$AZ$122)</f>
        <v>6424.7000000000044</v>
      </c>
      <c r="BB24" s="4671"/>
      <c r="BC24" s="4535">
        <f t="shared" si="12"/>
        <v>24999.750000000007</v>
      </c>
      <c r="BD24" s="4538"/>
      <c r="BE24" s="4539">
        <f t="shared" si="13"/>
        <v>55028.150000000023</v>
      </c>
      <c r="BF24" s="4536"/>
      <c r="BG24" s="4534">
        <f t="shared" si="14"/>
        <v>89796.150000000023</v>
      </c>
      <c r="BH24" s="26"/>
      <c r="BI24" s="26"/>
    </row>
    <row r="25" spans="3:61" ht="16.5" x14ac:dyDescent="0.25">
      <c r="C25" s="4531" t="s">
        <v>16</v>
      </c>
      <c r="D25" s="4532" t="s">
        <v>875</v>
      </c>
      <c r="E25" s="6192"/>
      <c r="F25" s="4531"/>
      <c r="G25" s="4533">
        <f>+SUMIF(WRM!$C$7:$C$122,$D25,WRM!$F$7:$F$122)</f>
        <v>522.75</v>
      </c>
      <c r="H25" s="4533"/>
      <c r="I25" s="4533">
        <f>+SUMIF(WRM!$C$7:$C$122,$D25,WRM!$H$7:$H$122)</f>
        <v>485.84999999999997</v>
      </c>
      <c r="J25" s="4534"/>
      <c r="K25" s="4534">
        <f t="shared" ref="K25:K75" si="15">+G25+I25</f>
        <v>1008.5999999999999</v>
      </c>
      <c r="L25" s="4533"/>
      <c r="M25" s="4533">
        <f>+SUMIF(WRM!$C$7:$C$122,$D25,WRM!$L$7:$L$122)</f>
        <v>508.40000000000003</v>
      </c>
      <c r="N25" s="4535"/>
      <c r="O25" s="4535">
        <f t="shared" si="2"/>
        <v>1517</v>
      </c>
      <c r="P25" s="4533"/>
      <c r="Q25" s="4533">
        <f>+SUMIF(WRM!$C$7:$C$122,$D25,WRM!$P$7:$P$122)</f>
        <v>0</v>
      </c>
      <c r="R25" s="4536"/>
      <c r="S25" s="4534">
        <f t="shared" si="3"/>
        <v>1517</v>
      </c>
      <c r="T25" s="4533"/>
      <c r="U25" s="4533">
        <f>+SUMIF(WRM!$C$7:$C$122,$D25,WRM!$T$7:$T$122)</f>
        <v>0</v>
      </c>
      <c r="V25" s="4536"/>
      <c r="W25" s="4534">
        <f t="shared" si="4"/>
        <v>1517</v>
      </c>
      <c r="X25" s="4537"/>
      <c r="Y25" s="4551">
        <f>+SUMIF(WRM!$C$7:$C$122,$D25,WRM!$X$7:$X$122)</f>
        <v>0</v>
      </c>
      <c r="Z25" s="4535"/>
      <c r="AA25" s="4535">
        <f t="shared" si="5"/>
        <v>0</v>
      </c>
      <c r="AB25" s="4538"/>
      <c r="AC25" s="4539">
        <f t="shared" si="6"/>
        <v>1517</v>
      </c>
      <c r="AD25" s="4533"/>
      <c r="AE25" s="4551">
        <f>+SUMIF(WRM!$C$7:$C$122,$D25,WRM!$AD$7:$AD$122)</f>
        <v>1414.5000000000002</v>
      </c>
      <c r="AF25" s="4536"/>
      <c r="AG25" s="4534">
        <f t="shared" si="7"/>
        <v>2931.5</v>
      </c>
      <c r="AH25" s="4533"/>
      <c r="AI25" s="4533">
        <f>+SUMIF(WRM!$C$7:$C$122,$D25,WRM!$AH$7:$AH$122)</f>
        <v>764.65</v>
      </c>
      <c r="AJ25" s="4536"/>
      <c r="AK25" s="4534">
        <f t="shared" si="8"/>
        <v>3696.15</v>
      </c>
      <c r="AL25" s="4533"/>
      <c r="AM25" s="4533">
        <f>+SUMIF(WRM!$C$7:$C$122,$D25,WRM!$AL$7:$AL$122)</f>
        <v>772.85</v>
      </c>
      <c r="AN25" s="4671"/>
      <c r="AO25" s="4535">
        <f t="shared" si="9"/>
        <v>2952</v>
      </c>
      <c r="AP25" s="4536"/>
      <c r="AQ25" s="4534">
        <f t="shared" si="0"/>
        <v>4469</v>
      </c>
      <c r="AR25" s="4533"/>
      <c r="AS25" s="4533">
        <f>+SUMIF(WRM!$C$7:$C$122,$D25,WRM!$AR$7:$AR$122)</f>
        <v>133.25</v>
      </c>
      <c r="AT25" s="4536"/>
      <c r="AU25" s="4534">
        <f t="shared" si="10"/>
        <v>4602.25</v>
      </c>
      <c r="AV25" s="4533"/>
      <c r="AW25" s="4533">
        <f>+SUMIF(WRM!$C$7:$C$122,$D25,WRM!$AV$7:$AV$122)</f>
        <v>205</v>
      </c>
      <c r="AX25" s="4536"/>
      <c r="AY25" s="4534">
        <f t="shared" si="11"/>
        <v>4807.25</v>
      </c>
      <c r="AZ25" s="4533"/>
      <c r="BA25" s="4533">
        <f>+SUMIF(WRM!$C$7:$C$122,$D25,WRM!$AZ$7:$AZ$122)</f>
        <v>0</v>
      </c>
      <c r="BB25" s="4671"/>
      <c r="BC25" s="4535">
        <f t="shared" si="12"/>
        <v>338.25</v>
      </c>
      <c r="BD25" s="4538"/>
      <c r="BE25" s="4539">
        <f t="shared" si="13"/>
        <v>3290.25</v>
      </c>
      <c r="BF25" s="4536"/>
      <c r="BG25" s="4534">
        <f t="shared" si="14"/>
        <v>4807.25</v>
      </c>
      <c r="BH25" s="26"/>
      <c r="BI25" s="26"/>
    </row>
    <row r="26" spans="3:61" ht="16.5" x14ac:dyDescent="0.25">
      <c r="C26" s="4531" t="s">
        <v>16</v>
      </c>
      <c r="D26" s="4662" t="s">
        <v>1960</v>
      </c>
      <c r="E26" s="6192"/>
      <c r="F26" s="4656"/>
      <c r="G26" s="4533">
        <f>+SUMIF(WRM!$C$7:$C$122,$D26,WRM!$F$7:$F$122)</f>
        <v>116.85000000000001</v>
      </c>
      <c r="H26" s="4657"/>
      <c r="I26" s="4533">
        <f>+SUMIF(WRM!$C$7:$C$122,$D26,WRM!$H$7:$H$122)</f>
        <v>0</v>
      </c>
      <c r="J26" s="4658"/>
      <c r="K26" s="4534">
        <f t="shared" si="15"/>
        <v>116.85000000000001</v>
      </c>
      <c r="L26" s="4657"/>
      <c r="M26" s="4533">
        <f>+SUMIF(WRM!$C$7:$C$122,$D26,WRM!$L$7:$L$122)</f>
        <v>0</v>
      </c>
      <c r="N26" s="4659"/>
      <c r="O26" s="4535">
        <f t="shared" si="2"/>
        <v>116.85000000000001</v>
      </c>
      <c r="P26" s="4657"/>
      <c r="Q26" s="4533">
        <f>+SUMIF(WRM!$C$7:$C$122,$D26,WRM!$P$7:$P$122)</f>
        <v>0</v>
      </c>
      <c r="R26" s="4536"/>
      <c r="S26" s="4534">
        <f t="shared" si="3"/>
        <v>116.85000000000001</v>
      </c>
      <c r="T26" s="4657"/>
      <c r="U26" s="4533">
        <f>+SUMIF(WRM!$C$7:$C$122,$D26,WRM!$T$7:$T$122)</f>
        <v>0</v>
      </c>
      <c r="V26" s="4536"/>
      <c r="W26" s="4534">
        <f t="shared" si="4"/>
        <v>116.85000000000001</v>
      </c>
      <c r="X26" s="4660"/>
      <c r="Y26" s="4551">
        <f>+SUMIF(WRM!$C$7:$C$122,$D26,WRM!$X$7:$X$122)</f>
        <v>0</v>
      </c>
      <c r="Z26" s="4659"/>
      <c r="AA26" s="4535">
        <f t="shared" si="5"/>
        <v>0</v>
      </c>
      <c r="AB26" s="4661"/>
      <c r="AC26" s="4539">
        <f t="shared" si="6"/>
        <v>116.85000000000001</v>
      </c>
      <c r="AD26" s="4657"/>
      <c r="AE26" s="4551">
        <f>+SUMIF(WRM!$C$7:$C$122,$D26,WRM!$AD$7:$AD$122)</f>
        <v>205</v>
      </c>
      <c r="AF26" s="4536"/>
      <c r="AG26" s="4534">
        <f t="shared" si="7"/>
        <v>321.85000000000002</v>
      </c>
      <c r="AH26" s="4657"/>
      <c r="AI26" s="4533">
        <f>+SUMIF(WRM!$C$7:$C$122,$D26,WRM!$AH$7:$AH$122)</f>
        <v>0</v>
      </c>
      <c r="AJ26" s="4536"/>
      <c r="AK26" s="4534">
        <f t="shared" si="8"/>
        <v>321.85000000000002</v>
      </c>
      <c r="AL26" s="4657"/>
      <c r="AM26" s="4533">
        <f>+SUMIF(WRM!$C$7:$C$122,$D26,WRM!$AL$7:$AL$122)</f>
        <v>0</v>
      </c>
      <c r="AN26" s="4671"/>
      <c r="AO26" s="4535">
        <f t="shared" si="9"/>
        <v>205</v>
      </c>
      <c r="AP26" s="4536"/>
      <c r="AQ26" s="4534">
        <f t="shared" si="0"/>
        <v>321.85000000000002</v>
      </c>
      <c r="AR26" s="4657"/>
      <c r="AS26" s="4533">
        <f>+SUMIF(WRM!$C$7:$C$122,$D26,WRM!$AR$7:$AR$122)</f>
        <v>0</v>
      </c>
      <c r="AT26" s="4536"/>
      <c r="AU26" s="4534">
        <f t="shared" si="10"/>
        <v>321.85000000000002</v>
      </c>
      <c r="AV26" s="4657"/>
      <c r="AW26" s="4533">
        <f>+SUMIF(WRM!$C$7:$C$122,$D26,WRM!$AV$7:$AV$122)</f>
        <v>0</v>
      </c>
      <c r="AX26" s="4536"/>
      <c r="AY26" s="4534">
        <f t="shared" si="11"/>
        <v>321.85000000000002</v>
      </c>
      <c r="AZ26" s="4657"/>
      <c r="BA26" s="4533">
        <f>+SUMIF(WRM!$C$7:$C$122,$D26,WRM!$AZ$7:$AZ$122)</f>
        <v>0</v>
      </c>
      <c r="BB26" s="4671"/>
      <c r="BC26" s="4535">
        <f t="shared" si="12"/>
        <v>0</v>
      </c>
      <c r="BD26" s="4661"/>
      <c r="BE26" s="4539">
        <f t="shared" si="13"/>
        <v>205</v>
      </c>
      <c r="BF26" s="4536"/>
      <c r="BG26" s="4534">
        <f t="shared" si="14"/>
        <v>321.85000000000002</v>
      </c>
      <c r="BH26" s="26"/>
      <c r="BI26" s="26"/>
    </row>
    <row r="27" spans="3:61" ht="16.5" x14ac:dyDescent="0.25">
      <c r="C27" s="4531" t="s">
        <v>16</v>
      </c>
      <c r="D27" s="4532" t="s">
        <v>970</v>
      </c>
      <c r="E27" s="6192"/>
      <c r="F27" s="4531"/>
      <c r="G27" s="4533">
        <f>+SUMIF(WRM!$C$7:$C$122,$D27,WRM!$F$7:$F$122)</f>
        <v>4930.2300000000005</v>
      </c>
      <c r="H27" s="4533"/>
      <c r="I27" s="4533">
        <f>+SUMIF(WRM!$C$7:$C$122,$D27,WRM!$H$7:$H$122)</f>
        <v>5530.9</v>
      </c>
      <c r="J27" s="4534"/>
      <c r="K27" s="4534">
        <f t="shared" si="15"/>
        <v>10461.130000000001</v>
      </c>
      <c r="L27" s="4533"/>
      <c r="M27" s="4533">
        <f>+SUMIF(WRM!$C$7:$C$122,$D27,WRM!$L$7:$L$122)</f>
        <v>4952.8</v>
      </c>
      <c r="N27" s="4535"/>
      <c r="O27" s="4535">
        <f t="shared" si="2"/>
        <v>15413.93</v>
      </c>
      <c r="P27" s="4533"/>
      <c r="Q27" s="4533">
        <f>+SUMIF(WRM!$C$7:$C$122,$D27,WRM!$P$7:$P$122)</f>
        <v>9462.7999999999993</v>
      </c>
      <c r="R27" s="4536"/>
      <c r="S27" s="4534">
        <f t="shared" si="3"/>
        <v>24876.73</v>
      </c>
      <c r="T27" s="4533"/>
      <c r="U27" s="4533">
        <f>+SUMIF(WRM!$C$7:$C$122,$D27,WRM!$T$7:$T$122)</f>
        <v>10547.25</v>
      </c>
      <c r="V27" s="4536"/>
      <c r="W27" s="4534">
        <f t="shared" si="4"/>
        <v>35423.979999999996</v>
      </c>
      <c r="X27" s="4537"/>
      <c r="Y27" s="4551">
        <f>+SUMIF(WRM!$C$7:$C$122,$D27,WRM!$X$7:$X$122)</f>
        <v>10947</v>
      </c>
      <c r="Z27" s="4535"/>
      <c r="AA27" s="4535">
        <f t="shared" si="5"/>
        <v>30957.05</v>
      </c>
      <c r="AB27" s="4538"/>
      <c r="AC27" s="4539">
        <f t="shared" si="6"/>
        <v>46370.979999999996</v>
      </c>
      <c r="AD27" s="4533"/>
      <c r="AE27" s="4551">
        <f>+SUMIF(WRM!$C$7:$C$122,$D27,WRM!$AD$7:$AD$122)</f>
        <v>3950.35</v>
      </c>
      <c r="AF27" s="4536"/>
      <c r="AG27" s="4534">
        <f t="shared" si="7"/>
        <v>50321.329999999994</v>
      </c>
      <c r="AH27" s="4533"/>
      <c r="AI27" s="4533">
        <f>+SUMIF(WRM!$C$7:$C$122,$D27,WRM!$AH$7:$AH$122)</f>
        <v>1066</v>
      </c>
      <c r="AJ27" s="4536"/>
      <c r="AK27" s="4534">
        <f t="shared" si="8"/>
        <v>51387.329999999994</v>
      </c>
      <c r="AL27" s="4533"/>
      <c r="AM27" s="4533">
        <f>+SUMIF(WRM!$C$7:$C$122,$D27,WRM!$AL$7:$AL$122)</f>
        <v>2179.15</v>
      </c>
      <c r="AN27" s="4671"/>
      <c r="AO27" s="4535">
        <f t="shared" si="9"/>
        <v>7195.5</v>
      </c>
      <c r="AP27" s="4536"/>
      <c r="AQ27" s="4534">
        <f t="shared" si="0"/>
        <v>53566.479999999996</v>
      </c>
      <c r="AR27" s="4533"/>
      <c r="AS27" s="4533">
        <f>+SUMIF(WRM!$C$7:$C$122,$D27,WRM!$AR$7:$AR$122)</f>
        <v>4042.6</v>
      </c>
      <c r="AT27" s="4536"/>
      <c r="AU27" s="4534">
        <f t="shared" si="10"/>
        <v>57609.079999999994</v>
      </c>
      <c r="AV27" s="4533"/>
      <c r="AW27" s="4533">
        <f>+SUMIF(WRM!$C$7:$C$122,$D27,WRM!$AV$7:$AV$122)</f>
        <v>6957.6</v>
      </c>
      <c r="AX27" s="4536"/>
      <c r="AY27" s="4534">
        <f t="shared" si="11"/>
        <v>64566.679999999993</v>
      </c>
      <c r="AZ27" s="4533"/>
      <c r="BA27" s="4533">
        <f>+SUMIF(WRM!$C$7:$C$122,$D27,WRM!$AZ$7:$AZ$122)</f>
        <v>8398.8500000000022</v>
      </c>
      <c r="BB27" s="4671"/>
      <c r="BC27" s="4535">
        <f t="shared" si="12"/>
        <v>19399.050000000003</v>
      </c>
      <c r="BD27" s="4538"/>
      <c r="BE27" s="4539">
        <f t="shared" si="13"/>
        <v>26594.550000000003</v>
      </c>
      <c r="BF27" s="4536"/>
      <c r="BG27" s="4534">
        <f t="shared" si="14"/>
        <v>72965.53</v>
      </c>
      <c r="BH27" s="26"/>
      <c r="BI27" s="26"/>
    </row>
    <row r="28" spans="3:61" ht="16.5" x14ac:dyDescent="0.25">
      <c r="C28" s="5583" t="s">
        <v>16</v>
      </c>
      <c r="D28" s="5584" t="s">
        <v>2349</v>
      </c>
      <c r="E28" s="6192"/>
      <c r="F28" s="5583"/>
      <c r="G28" s="4533">
        <f>+SUMIF(WRM!$C$7:$C$122,$D28,WRM!$F$7:$F$122)</f>
        <v>0</v>
      </c>
      <c r="H28" s="4533"/>
      <c r="I28" s="4533">
        <f>+SUMIF(WRM!$C$7:$C$122,$D28,WRM!$H$7:$H$122)</f>
        <v>0</v>
      </c>
      <c r="J28" s="4534"/>
      <c r="K28" s="4534">
        <f t="shared" ref="K28" si="16">+G28+I28</f>
        <v>0</v>
      </c>
      <c r="L28" s="4533"/>
      <c r="M28" s="4533">
        <f>+SUMIF(WRM!$C$7:$C$122,$D28,WRM!$L$7:$L$122)</f>
        <v>0</v>
      </c>
      <c r="N28" s="4535"/>
      <c r="O28" s="4535">
        <f t="shared" ref="O28" si="17">+G28+I28+M28</f>
        <v>0</v>
      </c>
      <c r="P28" s="4533"/>
      <c r="Q28" s="4533">
        <f>+SUMIF(WRM!$C$7:$C$122,$D28,WRM!$P$7:$P$122)</f>
        <v>0</v>
      </c>
      <c r="R28" s="4536"/>
      <c r="S28" s="4534">
        <f t="shared" ref="S28" si="18">O28+Q28</f>
        <v>0</v>
      </c>
      <c r="T28" s="4533"/>
      <c r="U28" s="4533">
        <f>+SUMIF(WRM!$C$7:$C$122,$D28,WRM!$T$7:$T$122)</f>
        <v>0</v>
      </c>
      <c r="V28" s="4536"/>
      <c r="W28" s="4534">
        <f t="shared" ref="W28" si="19">S28+U28</f>
        <v>0</v>
      </c>
      <c r="X28" s="4537"/>
      <c r="Y28" s="4551">
        <f>+SUMIF(WRM!$C$7:$C$122,$D28,WRM!$X$7:$X$122)</f>
        <v>94.3</v>
      </c>
      <c r="Z28" s="4535"/>
      <c r="AA28" s="4535">
        <f t="shared" ref="AA28" si="20">Q28+U28+Y28</f>
        <v>94.3</v>
      </c>
      <c r="AB28" s="4538"/>
      <c r="AC28" s="4539">
        <f t="shared" ref="AC28" si="21">O28+AA28</f>
        <v>94.3</v>
      </c>
      <c r="AD28" s="4533"/>
      <c r="AE28" s="4551">
        <f>+SUMIF(WRM!$C$7:$C$122,$D28,WRM!$AD$7:$AD$122)</f>
        <v>0</v>
      </c>
      <c r="AF28" s="4536"/>
      <c r="AG28" s="4534">
        <f t="shared" ref="AG28" si="22">+AC28+AE28</f>
        <v>94.3</v>
      </c>
      <c r="AH28" s="4533"/>
      <c r="AI28" s="4533">
        <f>+SUMIF(WRM!$C$7:$C$122,$D28,WRM!$AH$7:$AH$122)</f>
        <v>0</v>
      </c>
      <c r="AJ28" s="4536"/>
      <c r="AK28" s="4534">
        <f t="shared" ref="AK28" si="23">+AG28+AI28</f>
        <v>94.3</v>
      </c>
      <c r="AL28" s="4533"/>
      <c r="AM28" s="4533">
        <f>+SUMIF(WRM!$C$7:$C$122,$D28,WRM!$AL$7:$AL$122)</f>
        <v>0</v>
      </c>
      <c r="AN28" s="4671"/>
      <c r="AO28" s="4535">
        <f t="shared" ref="AO28" si="24">AE28+AI28+AM28</f>
        <v>0</v>
      </c>
      <c r="AP28" s="4536"/>
      <c r="AQ28" s="4534">
        <f t="shared" ref="AQ28" si="25">+AK28+AM28</f>
        <v>94.3</v>
      </c>
      <c r="AR28" s="4533"/>
      <c r="AS28" s="4533">
        <f>+SUMIF(WRM!$C$7:$C$122,$D28,WRM!$AR$7:$AR$122)</f>
        <v>0</v>
      </c>
      <c r="AT28" s="4536"/>
      <c r="AU28" s="4534">
        <f t="shared" ref="AU28" si="26">+AQ28+AS28</f>
        <v>94.3</v>
      </c>
      <c r="AV28" s="4533"/>
      <c r="AW28" s="4533">
        <f>+SUMIF(WRM!$C$7:$C$122,$D28,WRM!$AV$7:$AV$122)</f>
        <v>0</v>
      </c>
      <c r="AX28" s="4536"/>
      <c r="AY28" s="4534">
        <f t="shared" ref="AY28" si="27">+AU28+AW28</f>
        <v>94.3</v>
      </c>
      <c r="AZ28" s="4533"/>
      <c r="BA28" s="4533">
        <f>+SUMIF(WRM!$C$7:$C$122,$D28,WRM!$AZ$7:$AZ$122)</f>
        <v>0</v>
      </c>
      <c r="BB28" s="4671"/>
      <c r="BC28" s="4535">
        <f t="shared" ref="BC28" si="28">AS28+AW28+BA28</f>
        <v>0</v>
      </c>
      <c r="BD28" s="4538"/>
      <c r="BE28" s="4539">
        <f t="shared" ref="BE28" si="29">AO28+BC28</f>
        <v>0</v>
      </c>
      <c r="BF28" s="4536"/>
      <c r="BG28" s="4534">
        <f t="shared" ref="BG28" si="30">+AY28+BA28</f>
        <v>94.3</v>
      </c>
      <c r="BH28" s="26"/>
      <c r="BI28" s="26"/>
    </row>
    <row r="29" spans="3:61" ht="16.5" x14ac:dyDescent="0.25">
      <c r="C29" s="4531" t="s">
        <v>16</v>
      </c>
      <c r="D29" s="4532" t="s">
        <v>972</v>
      </c>
      <c r="E29" s="6192"/>
      <c r="F29" s="4531"/>
      <c r="G29" s="4533">
        <f>+SUMIF(WRM!$C$7:$C$122,$D29,WRM!$F$7:$F$122)</f>
        <v>2039.65</v>
      </c>
      <c r="H29" s="4533"/>
      <c r="I29" s="4533">
        <f>+SUMIF(WRM!$C$7:$C$122,$D29,WRM!$H$7:$H$122)</f>
        <v>2564.5499999999997</v>
      </c>
      <c r="J29" s="4534"/>
      <c r="K29" s="4534">
        <f t="shared" si="15"/>
        <v>4604.2</v>
      </c>
      <c r="L29" s="4533"/>
      <c r="M29" s="4533">
        <f>+SUMIF(WRM!$C$7:$C$122,$D29,WRM!$L$7:$L$122)</f>
        <v>1920.8500000000001</v>
      </c>
      <c r="N29" s="4535"/>
      <c r="O29" s="4535">
        <f t="shared" si="2"/>
        <v>6525.05</v>
      </c>
      <c r="P29" s="4533"/>
      <c r="Q29" s="4533">
        <f>+SUMIF(WRM!$C$7:$C$122,$D29,WRM!$P$7:$P$122)</f>
        <v>2345.1999999999985</v>
      </c>
      <c r="R29" s="4536"/>
      <c r="S29" s="4534">
        <f t="shared" si="3"/>
        <v>8870.2499999999982</v>
      </c>
      <c r="T29" s="4533"/>
      <c r="U29" s="4533">
        <f>+SUMIF(WRM!$C$7:$C$122,$D29,WRM!$T$7:$T$122)</f>
        <v>1430.9</v>
      </c>
      <c r="V29" s="4536"/>
      <c r="W29" s="4534">
        <f t="shared" si="4"/>
        <v>10301.149999999998</v>
      </c>
      <c r="X29" s="4537"/>
      <c r="Y29" s="4551">
        <f>+SUMIF(WRM!$C$7:$C$122,$D29,WRM!$X$7:$X$122)</f>
        <v>1492.4</v>
      </c>
      <c r="Z29" s="4535"/>
      <c r="AA29" s="4535">
        <f t="shared" si="5"/>
        <v>5268.4999999999982</v>
      </c>
      <c r="AB29" s="4538"/>
      <c r="AC29" s="4539">
        <f t="shared" si="6"/>
        <v>11793.55</v>
      </c>
      <c r="AD29" s="4533"/>
      <c r="AE29" s="4551">
        <f>+SUMIF(WRM!$C$7:$C$122,$D29,WRM!$AD$7:$AD$122)</f>
        <v>867.15</v>
      </c>
      <c r="AF29" s="4536"/>
      <c r="AG29" s="4534">
        <f t="shared" si="7"/>
        <v>12660.699999999999</v>
      </c>
      <c r="AH29" s="4533"/>
      <c r="AI29" s="4533">
        <f>+SUMIF(WRM!$C$7:$C$122,$D29,WRM!$AH$7:$AH$122)</f>
        <v>1605.15</v>
      </c>
      <c r="AJ29" s="4536"/>
      <c r="AK29" s="4534">
        <f t="shared" si="8"/>
        <v>14265.849999999999</v>
      </c>
      <c r="AL29" s="4533"/>
      <c r="AM29" s="4533">
        <f>+SUMIF(WRM!$C$7:$C$122,$D29,WRM!$AL$7:$AL$122)</f>
        <v>2175.0499999999988</v>
      </c>
      <c r="AN29" s="4671"/>
      <c r="AO29" s="4535">
        <f t="shared" si="9"/>
        <v>4647.3499999999985</v>
      </c>
      <c r="AP29" s="4536"/>
      <c r="AQ29" s="4534">
        <f t="shared" si="0"/>
        <v>16440.899999999998</v>
      </c>
      <c r="AR29" s="4533"/>
      <c r="AS29" s="4533">
        <f>+SUMIF(WRM!$C$7:$C$122,$D29,WRM!$AR$7:$AR$122)</f>
        <v>1785.5500000000002</v>
      </c>
      <c r="AT29" s="4536"/>
      <c r="AU29" s="4534">
        <f t="shared" si="10"/>
        <v>18226.449999999997</v>
      </c>
      <c r="AV29" s="4533"/>
      <c r="AW29" s="4533">
        <f>+SUMIF(WRM!$C$7:$C$122,$D29,WRM!$AV$7:$AV$122)</f>
        <v>2632.2</v>
      </c>
      <c r="AX29" s="4536"/>
      <c r="AY29" s="4534">
        <f t="shared" si="11"/>
        <v>20858.649999999998</v>
      </c>
      <c r="AZ29" s="4533"/>
      <c r="BA29" s="4533">
        <f>+SUMIF(WRM!$C$7:$C$122,$D29,WRM!$AZ$7:$AZ$122)</f>
        <v>9173.7500000000036</v>
      </c>
      <c r="BB29" s="4671"/>
      <c r="BC29" s="4535">
        <f t="shared" si="12"/>
        <v>13591.500000000004</v>
      </c>
      <c r="BD29" s="4538"/>
      <c r="BE29" s="4539">
        <f t="shared" si="13"/>
        <v>18238.850000000002</v>
      </c>
      <c r="BF29" s="4536"/>
      <c r="BG29" s="4534">
        <f t="shared" si="14"/>
        <v>30032.400000000001</v>
      </c>
      <c r="BH29" s="26"/>
      <c r="BI29" s="26"/>
    </row>
    <row r="30" spans="3:61" ht="16.5" x14ac:dyDescent="0.25">
      <c r="C30" s="4531" t="s">
        <v>16</v>
      </c>
      <c r="D30" s="4532" t="s">
        <v>1122</v>
      </c>
      <c r="E30" s="6192"/>
      <c r="F30" s="4531"/>
      <c r="G30" s="4533">
        <f>+SUMIF(WRM!$C$7:$C$122,$D30,WRM!$F$7:$F$122)</f>
        <v>1906.5</v>
      </c>
      <c r="H30" s="4533"/>
      <c r="I30" s="4533">
        <f>+SUMIF(WRM!$C$7:$C$122,$D30,WRM!$H$7:$H$122)</f>
        <v>2402.5999999999995</v>
      </c>
      <c r="J30" s="4534"/>
      <c r="K30" s="4534">
        <f t="shared" si="15"/>
        <v>4309.0999999999995</v>
      </c>
      <c r="L30" s="4533"/>
      <c r="M30" s="4533">
        <f>+SUMIF(WRM!$C$7:$C$122,$D30,WRM!$L$7:$L$122)</f>
        <v>0</v>
      </c>
      <c r="N30" s="4535"/>
      <c r="O30" s="4535">
        <f t="shared" si="2"/>
        <v>4309.0999999999995</v>
      </c>
      <c r="P30" s="4533"/>
      <c r="Q30" s="4533">
        <f>+SUMIF(WRM!$C$7:$C$122,$D30,WRM!$P$7:$P$122)</f>
        <v>0</v>
      </c>
      <c r="R30" s="4536"/>
      <c r="S30" s="4534">
        <f t="shared" si="3"/>
        <v>4309.0999999999995</v>
      </c>
      <c r="T30" s="4533"/>
      <c r="U30" s="4533">
        <f>+SUMIF(WRM!$C$7:$C$122,$D30,WRM!$T$7:$T$122)</f>
        <v>940.95000000000016</v>
      </c>
      <c r="V30" s="4536"/>
      <c r="W30" s="4534">
        <f t="shared" si="4"/>
        <v>5250.0499999999993</v>
      </c>
      <c r="X30" s="4537"/>
      <c r="Y30" s="4551">
        <f>+SUMIF(WRM!$C$7:$C$122,$D30,WRM!$X$7:$X$122)</f>
        <v>1281.25</v>
      </c>
      <c r="Z30" s="4535"/>
      <c r="AA30" s="4535">
        <f t="shared" si="5"/>
        <v>2222.2000000000003</v>
      </c>
      <c r="AB30" s="4538"/>
      <c r="AC30" s="4539">
        <f t="shared" si="6"/>
        <v>6531.2999999999993</v>
      </c>
      <c r="AD30" s="4533"/>
      <c r="AE30" s="4551">
        <f>+SUMIF(WRM!$C$7:$C$122,$D30,WRM!$AD$7:$AD$122)</f>
        <v>4007.75</v>
      </c>
      <c r="AF30" s="4536"/>
      <c r="AG30" s="4534">
        <f t="shared" si="7"/>
        <v>10539.05</v>
      </c>
      <c r="AH30" s="4533"/>
      <c r="AI30" s="4533">
        <f>+SUMIF(WRM!$C$7:$C$122,$D30,WRM!$AH$7:$AH$122)</f>
        <v>1394</v>
      </c>
      <c r="AJ30" s="4536"/>
      <c r="AK30" s="4534">
        <f t="shared" si="8"/>
        <v>11933.05</v>
      </c>
      <c r="AL30" s="4533"/>
      <c r="AM30" s="4533">
        <f>+SUMIF(WRM!$C$7:$C$122,$D30,WRM!$AL$7:$AL$122)</f>
        <v>1818.3500000000006</v>
      </c>
      <c r="AN30" s="4671"/>
      <c r="AO30" s="4535">
        <f t="shared" si="9"/>
        <v>7220.1</v>
      </c>
      <c r="AP30" s="4536"/>
      <c r="AQ30" s="4534">
        <f t="shared" si="0"/>
        <v>13751.4</v>
      </c>
      <c r="AR30" s="4533"/>
      <c r="AS30" s="4533">
        <f>+SUMIF(WRM!$C$7:$C$122,$D30,WRM!$AR$7:$AR$122)</f>
        <v>0</v>
      </c>
      <c r="AT30" s="4536"/>
      <c r="AU30" s="4534">
        <f t="shared" si="10"/>
        <v>13751.4</v>
      </c>
      <c r="AV30" s="4533"/>
      <c r="AW30" s="4533">
        <f>+SUMIF(WRM!$C$7:$C$122,$D30,WRM!$AV$7:$AV$122)</f>
        <v>1025</v>
      </c>
      <c r="AX30" s="4536"/>
      <c r="AY30" s="4534">
        <f t="shared" si="11"/>
        <v>14776.4</v>
      </c>
      <c r="AZ30" s="4533"/>
      <c r="BA30" s="4533">
        <f>+SUMIF(WRM!$C$7:$C$122,$D30,WRM!$AZ$7:$AZ$122)</f>
        <v>1512.9</v>
      </c>
      <c r="BB30" s="4671"/>
      <c r="BC30" s="4535">
        <f t="shared" si="12"/>
        <v>2537.9</v>
      </c>
      <c r="BD30" s="4538"/>
      <c r="BE30" s="4539">
        <f t="shared" si="13"/>
        <v>9758</v>
      </c>
      <c r="BF30" s="4536"/>
      <c r="BG30" s="4534">
        <f t="shared" si="14"/>
        <v>16289.3</v>
      </c>
      <c r="BH30" s="26"/>
      <c r="BI30" s="26"/>
    </row>
    <row r="31" spans="3:61" ht="16.5" x14ac:dyDescent="0.25">
      <c r="C31" s="4531" t="s">
        <v>16</v>
      </c>
      <c r="D31" s="4532" t="s">
        <v>1613</v>
      </c>
      <c r="E31" s="6192"/>
      <c r="F31" s="4531"/>
      <c r="G31" s="4533">
        <f>+SUMIF(WRM!$C$7:$C$122,$D31,WRM!$F$7:$F$122)</f>
        <v>0</v>
      </c>
      <c r="H31" s="4533"/>
      <c r="I31" s="4533">
        <f>+SUMIF(WRM!$C$7:$C$122,$D31,WRM!$H$7:$H$122)</f>
        <v>0</v>
      </c>
      <c r="J31" s="4534"/>
      <c r="K31" s="4534">
        <f t="shared" si="15"/>
        <v>0</v>
      </c>
      <c r="L31" s="4533"/>
      <c r="M31" s="4533">
        <f>+SUMIF(WRM!$C$7:$C$122,$D31,WRM!$L$7:$L$122)</f>
        <v>0</v>
      </c>
      <c r="N31" s="4535"/>
      <c r="O31" s="4535">
        <f t="shared" si="2"/>
        <v>0</v>
      </c>
      <c r="P31" s="4533"/>
      <c r="Q31" s="4533">
        <f>+SUMIF(WRM!$C$7:$C$122,$D31,WRM!$P$7:$P$122)</f>
        <v>0</v>
      </c>
      <c r="R31" s="4536"/>
      <c r="S31" s="4534">
        <f t="shared" si="3"/>
        <v>0</v>
      </c>
      <c r="T31" s="4533"/>
      <c r="U31" s="4533">
        <f>+SUMIF(WRM!$C$7:$C$122,$D31,WRM!$T$7:$T$122)</f>
        <v>0</v>
      </c>
      <c r="V31" s="4536"/>
      <c r="W31" s="4534">
        <f t="shared" si="4"/>
        <v>0</v>
      </c>
      <c r="X31" s="4537"/>
      <c r="Y31" s="4551">
        <f>+SUMIF(WRM!$C$7:$C$122,$D31,WRM!$X$7:$X$122)</f>
        <v>0</v>
      </c>
      <c r="Z31" s="4535"/>
      <c r="AA31" s="4535">
        <f t="shared" si="5"/>
        <v>0</v>
      </c>
      <c r="AB31" s="4538"/>
      <c r="AC31" s="4539">
        <f t="shared" si="6"/>
        <v>0</v>
      </c>
      <c r="AD31" s="4533"/>
      <c r="AE31" s="4551">
        <f>+SUMIF(WRM!$C$7:$C$122,$D31,WRM!$AD$7:$AD$122)</f>
        <v>0</v>
      </c>
      <c r="AF31" s="4536"/>
      <c r="AG31" s="4534">
        <f t="shared" si="7"/>
        <v>0</v>
      </c>
      <c r="AH31" s="4533"/>
      <c r="AI31" s="4533">
        <f>+SUMIF(WRM!$C$7:$C$122,$D31,WRM!$AH$7:$AH$122)</f>
        <v>0</v>
      </c>
      <c r="AJ31" s="4536"/>
      <c r="AK31" s="4534">
        <f t="shared" si="8"/>
        <v>0</v>
      </c>
      <c r="AL31" s="4533"/>
      <c r="AM31" s="4533">
        <f>+SUMIF(WRM!$C$7:$C$122,$D31,WRM!$AL$7:$AL$122)</f>
        <v>0</v>
      </c>
      <c r="AN31" s="4671"/>
      <c r="AO31" s="4535">
        <f t="shared" si="9"/>
        <v>0</v>
      </c>
      <c r="AP31" s="4536"/>
      <c r="AQ31" s="4534">
        <f t="shared" si="0"/>
        <v>0</v>
      </c>
      <c r="AR31" s="4533"/>
      <c r="AS31" s="4533">
        <f>+SUMIF(WRM!$C$7:$C$122,$D31,WRM!$AR$7:$AR$122)</f>
        <v>0</v>
      </c>
      <c r="AT31" s="4536"/>
      <c r="AU31" s="4534">
        <f t="shared" si="10"/>
        <v>0</v>
      </c>
      <c r="AV31" s="4533"/>
      <c r="AW31" s="4533">
        <f>+SUMIF(WRM!$C$7:$C$122,$D31,WRM!$AV$7:$AV$122)</f>
        <v>0</v>
      </c>
      <c r="AX31" s="4536"/>
      <c r="AY31" s="4534">
        <f t="shared" si="11"/>
        <v>0</v>
      </c>
      <c r="AZ31" s="4533"/>
      <c r="BA31" s="4533">
        <f>+SUMIF(WRM!$C$7:$C$122,$D31,WRM!$AZ$7:$AZ$122)</f>
        <v>0</v>
      </c>
      <c r="BB31" s="4671"/>
      <c r="BC31" s="4535">
        <f t="shared" si="12"/>
        <v>0</v>
      </c>
      <c r="BD31" s="4538"/>
      <c r="BE31" s="4539">
        <f t="shared" si="13"/>
        <v>0</v>
      </c>
      <c r="BF31" s="4536"/>
      <c r="BG31" s="4534">
        <f t="shared" si="14"/>
        <v>0</v>
      </c>
      <c r="BH31" s="26"/>
      <c r="BI31" s="26"/>
    </row>
    <row r="32" spans="3:61" ht="16.5" x14ac:dyDescent="0.25">
      <c r="C32" s="4759" t="s">
        <v>16</v>
      </c>
      <c r="D32" s="4760" t="s">
        <v>2101</v>
      </c>
      <c r="E32" s="6192"/>
      <c r="F32" s="4531"/>
      <c r="G32" s="4533">
        <f>+SUMIF(WRM!$C$7:$C$122,$D32,WRM!$F$7:$F$122)</f>
        <v>0</v>
      </c>
      <c r="H32" s="4533"/>
      <c r="I32" s="4533">
        <f>+SUMIF(WRM!$C$7:$C$122,$D32,WRM!$H$7:$H$122)</f>
        <v>225.5</v>
      </c>
      <c r="J32" s="4534"/>
      <c r="K32" s="4534">
        <f t="shared" ref="K32" si="31">+G32+I32</f>
        <v>225.5</v>
      </c>
      <c r="L32" s="4533"/>
      <c r="M32" s="4533">
        <f>+SUMIF(WRM!$C$7:$C$122,$D32,WRM!$L$7:$L$122)</f>
        <v>209.1</v>
      </c>
      <c r="N32" s="4535"/>
      <c r="O32" s="4535">
        <f t="shared" ref="O32" si="32">+G32+I32+M32</f>
        <v>434.6</v>
      </c>
      <c r="P32" s="4533"/>
      <c r="Q32" s="4533">
        <f>+SUMIF(WRM!$C$7:$C$122,$D32,WRM!$P$7:$P$122)</f>
        <v>0</v>
      </c>
      <c r="R32" s="4536"/>
      <c r="S32" s="4534">
        <f t="shared" ref="S32" si="33">O32+Q32</f>
        <v>434.6</v>
      </c>
      <c r="T32" s="4533"/>
      <c r="U32" s="4533">
        <f>+SUMIF(WRM!$C$7:$C$122,$D32,WRM!$T$7:$T$122)</f>
        <v>217.3</v>
      </c>
      <c r="V32" s="4536"/>
      <c r="W32" s="4534">
        <f t="shared" si="4"/>
        <v>651.90000000000009</v>
      </c>
      <c r="X32" s="4537"/>
      <c r="Y32" s="4551">
        <f>+SUMIF(WRM!$C$7:$C$122,$D32,WRM!$X$7:$X$122)</f>
        <v>608.85</v>
      </c>
      <c r="Z32" s="4535"/>
      <c r="AA32" s="4535">
        <f t="shared" ref="AA32" si="34">Q32+U32+Y32</f>
        <v>826.15000000000009</v>
      </c>
      <c r="AB32" s="4538"/>
      <c r="AC32" s="4539">
        <f t="shared" ref="AC32" si="35">O32+AA32</f>
        <v>1260.75</v>
      </c>
      <c r="AD32" s="4533"/>
      <c r="AE32" s="4551">
        <f>+SUMIF(WRM!$C$7:$C$122,$D32,WRM!$AD$7:$AD$122)</f>
        <v>0</v>
      </c>
      <c r="AF32" s="4536"/>
      <c r="AG32" s="4534">
        <f t="shared" ref="AG32" si="36">+AC32+AE32</f>
        <v>1260.75</v>
      </c>
      <c r="AH32" s="4533"/>
      <c r="AI32" s="4533">
        <f>+SUMIF(WRM!$C$7:$C$122,$D32,WRM!$AH$7:$AH$122)</f>
        <v>0</v>
      </c>
      <c r="AJ32" s="4536"/>
      <c r="AK32" s="4534">
        <f t="shared" ref="AK32" si="37">+AG32+AI32</f>
        <v>1260.75</v>
      </c>
      <c r="AL32" s="4533"/>
      <c r="AM32" s="4533">
        <f>+SUMIF(WRM!$C$7:$C$122,$D32,WRM!$AL$7:$AL$122)</f>
        <v>0</v>
      </c>
      <c r="AN32" s="4671"/>
      <c r="AO32" s="4535">
        <f t="shared" ref="AO32" si="38">AE32+AI32+AM32</f>
        <v>0</v>
      </c>
      <c r="AP32" s="4536"/>
      <c r="AQ32" s="4534">
        <f t="shared" ref="AQ32" si="39">+AK32+AM32</f>
        <v>1260.75</v>
      </c>
      <c r="AR32" s="4533"/>
      <c r="AS32" s="4533">
        <f>+SUMIF(WRM!$C$7:$C$122,$D32,WRM!$AR$7:$AR$122)</f>
        <v>0</v>
      </c>
      <c r="AT32" s="4536"/>
      <c r="AU32" s="4534">
        <f t="shared" ref="AU32" si="40">+AQ32+AS32</f>
        <v>1260.75</v>
      </c>
      <c r="AV32" s="4533"/>
      <c r="AW32" s="4533">
        <f>+SUMIF(WRM!$C$7:$C$122,$D32,WRM!$AV$7:$AV$122)</f>
        <v>104.55</v>
      </c>
      <c r="AX32" s="4536"/>
      <c r="AY32" s="4534">
        <f t="shared" si="11"/>
        <v>1365.3</v>
      </c>
      <c r="AZ32" s="4533"/>
      <c r="BA32" s="4533">
        <f>+SUMIF(WRM!$C$7:$C$122,$D32,WRM!$AZ$7:$AZ$122)</f>
        <v>145.55000000000001</v>
      </c>
      <c r="BB32" s="4671"/>
      <c r="BC32" s="4535">
        <f t="shared" si="12"/>
        <v>250.10000000000002</v>
      </c>
      <c r="BD32" s="4538"/>
      <c r="BE32" s="4539">
        <f t="shared" si="13"/>
        <v>250.10000000000002</v>
      </c>
      <c r="BF32" s="4536"/>
      <c r="BG32" s="4534">
        <f t="shared" si="14"/>
        <v>1510.85</v>
      </c>
      <c r="BH32" s="26"/>
      <c r="BI32" s="26"/>
    </row>
    <row r="33" spans="3:61" ht="16.5" x14ac:dyDescent="0.25">
      <c r="C33" s="4531" t="s">
        <v>16</v>
      </c>
      <c r="D33" s="4532" t="s">
        <v>1037</v>
      </c>
      <c r="E33" s="6192"/>
      <c r="F33" s="4531"/>
      <c r="G33" s="4533">
        <f>+SUMIF(WRM!$C$7:$C$122,$D33,WRM!$F$7:$F$122)</f>
        <v>3593.6499999999996</v>
      </c>
      <c r="H33" s="4533"/>
      <c r="I33" s="4533">
        <f>+SUMIF(WRM!$C$7:$C$122,$D33,WRM!$H$7:$H$122)</f>
        <v>2585.0500000000002</v>
      </c>
      <c r="J33" s="4534"/>
      <c r="K33" s="4534">
        <f t="shared" ref="K33:K38" si="41">+G33+I33</f>
        <v>6178.7</v>
      </c>
      <c r="L33" s="4533"/>
      <c r="M33" s="4533">
        <f>+SUMIF(WRM!$C$7:$C$122,$D33,WRM!$L$7:$L$122)</f>
        <v>1785.55</v>
      </c>
      <c r="N33" s="4535"/>
      <c r="O33" s="4535">
        <f t="shared" ref="O33:O38" si="42">+G33+I33+M33</f>
        <v>7964.25</v>
      </c>
      <c r="P33" s="4533"/>
      <c r="Q33" s="4533">
        <f>+SUMIF(WRM!$C$7:$C$122,$D33,WRM!$P$7:$P$122)</f>
        <v>820</v>
      </c>
      <c r="R33" s="4536"/>
      <c r="S33" s="4534">
        <f t="shared" ref="S33:S38" si="43">O33+Q33</f>
        <v>8784.25</v>
      </c>
      <c r="T33" s="4533"/>
      <c r="U33" s="4533">
        <f>+SUMIF(WRM!$C$7:$C$122,$D33,WRM!$T$7:$T$122)</f>
        <v>578.1</v>
      </c>
      <c r="V33" s="4536"/>
      <c r="W33" s="4534">
        <f t="shared" si="4"/>
        <v>9362.35</v>
      </c>
      <c r="X33" s="4537"/>
      <c r="Y33" s="4551">
        <f>+SUMIF(WRM!$C$7:$C$122,$D33,WRM!$X$7:$X$122)</f>
        <v>0</v>
      </c>
      <c r="Z33" s="4535"/>
      <c r="AA33" s="4535">
        <f t="shared" ref="AA33:AA38" si="44">Q33+U33+Y33</f>
        <v>1398.1</v>
      </c>
      <c r="AB33" s="4538"/>
      <c r="AC33" s="4539">
        <f t="shared" ref="AC33:AC38" si="45">O33+AA33</f>
        <v>9362.35</v>
      </c>
      <c r="AD33" s="4533"/>
      <c r="AE33" s="4551">
        <f>+SUMIF(WRM!$C$7:$C$122,$D33,WRM!$AD$7:$AD$122)</f>
        <v>67.650000000000006</v>
      </c>
      <c r="AF33" s="4536"/>
      <c r="AG33" s="4534">
        <f t="shared" ref="AG33:AG38" si="46">+AC33+AE33</f>
        <v>9430</v>
      </c>
      <c r="AH33" s="4533"/>
      <c r="AI33" s="4533">
        <f>+SUMIF(WRM!$C$7:$C$122,$D33,WRM!$AH$7:$AH$122)</f>
        <v>910.2</v>
      </c>
      <c r="AJ33" s="4536"/>
      <c r="AK33" s="4534">
        <f t="shared" ref="AK33:AK38" si="47">+AG33+AI33</f>
        <v>10340.200000000001</v>
      </c>
      <c r="AL33" s="4533"/>
      <c r="AM33" s="4533">
        <f>+SUMIF(WRM!$C$7:$C$122,$D33,WRM!$AL$7:$AL$122)</f>
        <v>2747</v>
      </c>
      <c r="AN33" s="4671"/>
      <c r="AO33" s="4535">
        <f t="shared" ref="AO33:AO38" si="48">AE33+AI33+AM33</f>
        <v>3724.85</v>
      </c>
      <c r="AP33" s="4536"/>
      <c r="AQ33" s="4534">
        <f t="shared" ref="AQ33:AQ38" si="49">+AK33+AM33</f>
        <v>13087.2</v>
      </c>
      <c r="AR33" s="4533"/>
      <c r="AS33" s="4533">
        <f>+SUMIF(WRM!$C$7:$C$122,$D33,WRM!$AR$7:$AR$122)</f>
        <v>922.50000000000011</v>
      </c>
      <c r="AT33" s="4536"/>
      <c r="AU33" s="4534">
        <f t="shared" ref="AU33:AU38" si="50">+AQ33+AS33</f>
        <v>14009.7</v>
      </c>
      <c r="AV33" s="4533"/>
      <c r="AW33" s="4533">
        <f>+SUMIF(WRM!$C$7:$C$122,$D33,WRM!$AV$7:$AV$122)</f>
        <v>0</v>
      </c>
      <c r="AX33" s="4536"/>
      <c r="AY33" s="4534">
        <f t="shared" si="11"/>
        <v>14009.7</v>
      </c>
      <c r="AZ33" s="4533"/>
      <c r="BA33" s="4533">
        <f>+SUMIF(WRM!$C$7:$C$122,$D33,WRM!$AZ$7:$AZ$122)</f>
        <v>2240.6499999999996</v>
      </c>
      <c r="BB33" s="4671"/>
      <c r="BC33" s="4535">
        <f t="shared" si="12"/>
        <v>3163.1499999999996</v>
      </c>
      <c r="BD33" s="4538"/>
      <c r="BE33" s="4539">
        <f t="shared" si="13"/>
        <v>6888</v>
      </c>
      <c r="BF33" s="4536"/>
      <c r="BG33" s="4534">
        <f t="shared" si="14"/>
        <v>16250.35</v>
      </c>
      <c r="BH33" s="26"/>
      <c r="BI33" s="26"/>
    </row>
    <row r="34" spans="3:61" ht="16.5" x14ac:dyDescent="0.25">
      <c r="C34" s="4531" t="s">
        <v>16</v>
      </c>
      <c r="D34" s="4532" t="s">
        <v>1038</v>
      </c>
      <c r="E34" s="6192"/>
      <c r="F34" s="4531"/>
      <c r="G34" s="4533">
        <f>+SUMIF(WRM!$C$7:$C$122,$D34,WRM!$F$7:$F$122)</f>
        <v>4366.5</v>
      </c>
      <c r="H34" s="4533"/>
      <c r="I34" s="4533">
        <f>+SUMIF(WRM!$C$7:$C$122,$D34,WRM!$H$7:$H$122)</f>
        <v>2429.25</v>
      </c>
      <c r="J34" s="4534"/>
      <c r="K34" s="4534">
        <f t="shared" si="41"/>
        <v>6795.75</v>
      </c>
      <c r="L34" s="4533"/>
      <c r="M34" s="4533">
        <f>+SUMIF(WRM!$C$7:$C$122,$D34,WRM!$L$7:$L$122)</f>
        <v>1814.25</v>
      </c>
      <c r="N34" s="4535"/>
      <c r="O34" s="4535">
        <f t="shared" si="42"/>
        <v>8610</v>
      </c>
      <c r="P34" s="4533"/>
      <c r="Q34" s="4533">
        <f>+SUMIF(WRM!$C$7:$C$122,$D34,WRM!$P$7:$P$122)</f>
        <v>1137.75</v>
      </c>
      <c r="R34" s="4536"/>
      <c r="S34" s="4534">
        <f t="shared" si="43"/>
        <v>9747.75</v>
      </c>
      <c r="T34" s="4533"/>
      <c r="U34" s="4533">
        <f>+SUMIF(WRM!$C$7:$C$122,$D34,WRM!$T$7:$T$122)</f>
        <v>2359.5500000000002</v>
      </c>
      <c r="V34" s="4536"/>
      <c r="W34" s="4534">
        <f t="shared" ref="W34:W38" si="51">S34+U34</f>
        <v>12107.3</v>
      </c>
      <c r="X34" s="4537"/>
      <c r="Y34" s="4551">
        <f>+SUMIF(WRM!$C$7:$C$122,$D34,WRM!$X$7:$X$122)</f>
        <v>2312.3999999999996</v>
      </c>
      <c r="Z34" s="4535"/>
      <c r="AA34" s="4535">
        <f t="shared" si="44"/>
        <v>5809.7</v>
      </c>
      <c r="AB34" s="4538"/>
      <c r="AC34" s="4539">
        <f t="shared" si="45"/>
        <v>14419.7</v>
      </c>
      <c r="AD34" s="4533"/>
      <c r="AE34" s="4551">
        <f>+SUMIF(WRM!$C$7:$C$122,$D34,WRM!$AD$7:$AD$122)</f>
        <v>2119.6999999999998</v>
      </c>
      <c r="AF34" s="4536"/>
      <c r="AG34" s="4534">
        <f t="shared" si="46"/>
        <v>16539.400000000001</v>
      </c>
      <c r="AH34" s="4533"/>
      <c r="AI34" s="4533">
        <f>+SUMIF(WRM!$C$7:$C$122,$D34,WRM!$AH$7:$AH$122)</f>
        <v>627.30000000000007</v>
      </c>
      <c r="AJ34" s="4536"/>
      <c r="AK34" s="4534">
        <f t="shared" si="47"/>
        <v>17166.7</v>
      </c>
      <c r="AL34" s="4533"/>
      <c r="AM34" s="4533">
        <f>+SUMIF(WRM!$C$7:$C$122,$D34,WRM!$AL$7:$AL$122)</f>
        <v>4175.8500000000004</v>
      </c>
      <c r="AN34" s="4671"/>
      <c r="AO34" s="4535">
        <f t="shared" si="48"/>
        <v>6922.85</v>
      </c>
      <c r="AP34" s="4536"/>
      <c r="AQ34" s="4534">
        <f t="shared" si="49"/>
        <v>21342.550000000003</v>
      </c>
      <c r="AR34" s="4533"/>
      <c r="AS34" s="4533">
        <f>+SUMIF(WRM!$C$7:$C$122,$D34,WRM!$AR$7:$AR$122)</f>
        <v>2429.25</v>
      </c>
      <c r="AT34" s="4536"/>
      <c r="AU34" s="4534">
        <f t="shared" si="50"/>
        <v>23771.800000000003</v>
      </c>
      <c r="AV34" s="4533"/>
      <c r="AW34" s="4533">
        <f>+SUMIF(WRM!$C$7:$C$122,$D34,WRM!$AV$7:$AV$122)</f>
        <v>0</v>
      </c>
      <c r="AX34" s="4536"/>
      <c r="AY34" s="4534">
        <f t="shared" si="11"/>
        <v>23771.800000000003</v>
      </c>
      <c r="AZ34" s="4533"/>
      <c r="BA34" s="4533">
        <f>+SUMIF(WRM!$C$7:$C$122,$D34,WRM!$AZ$7:$AZ$122)</f>
        <v>2291.9</v>
      </c>
      <c r="BB34" s="4671"/>
      <c r="BC34" s="4535">
        <f t="shared" si="12"/>
        <v>4721.1499999999996</v>
      </c>
      <c r="BD34" s="4538"/>
      <c r="BE34" s="4539">
        <f t="shared" si="13"/>
        <v>11644</v>
      </c>
      <c r="BF34" s="4536"/>
      <c r="BG34" s="4534">
        <f t="shared" si="14"/>
        <v>26063.700000000004</v>
      </c>
      <c r="BH34" s="26"/>
      <c r="BI34" s="26"/>
    </row>
    <row r="35" spans="3:61" ht="16.5" x14ac:dyDescent="0.25">
      <c r="C35" s="4531" t="s">
        <v>16</v>
      </c>
      <c r="D35" s="4532" t="s">
        <v>1407</v>
      </c>
      <c r="E35" s="6192"/>
      <c r="F35" s="4531"/>
      <c r="G35" s="4533">
        <f>+SUMIF(WRM!$C$7:$C$122,$D35,WRM!$F$7:$F$122)</f>
        <v>0</v>
      </c>
      <c r="H35" s="4533"/>
      <c r="I35" s="4533">
        <f>+SUMIF(WRM!$C$7:$C$122,$D35,WRM!$H$7:$H$122)</f>
        <v>0</v>
      </c>
      <c r="J35" s="4534"/>
      <c r="K35" s="4534">
        <f t="shared" si="41"/>
        <v>0</v>
      </c>
      <c r="L35" s="4533"/>
      <c r="M35" s="4533">
        <f>+SUMIF(WRM!$C$7:$C$122,$D35,WRM!$L$7:$L$122)</f>
        <v>0</v>
      </c>
      <c r="N35" s="4535"/>
      <c r="O35" s="4535">
        <f t="shared" si="42"/>
        <v>0</v>
      </c>
      <c r="P35" s="4533"/>
      <c r="Q35" s="4533">
        <f>+SUMIF(WRM!$C$7:$C$122,$D35,WRM!$P$7:$P$122)</f>
        <v>0</v>
      </c>
      <c r="R35" s="4536"/>
      <c r="S35" s="4534">
        <f t="shared" si="43"/>
        <v>0</v>
      </c>
      <c r="T35" s="4533"/>
      <c r="U35" s="4533">
        <f>+SUMIF(WRM!$C$7:$C$122,$D35,WRM!$T$7:$T$122)</f>
        <v>0</v>
      </c>
      <c r="V35" s="4536"/>
      <c r="W35" s="4534">
        <f t="shared" si="51"/>
        <v>0</v>
      </c>
      <c r="X35" s="4537"/>
      <c r="Y35" s="4551">
        <f>+SUMIF(WRM!$C$7:$C$122,$D35,WRM!$X$7:$X$122)</f>
        <v>0</v>
      </c>
      <c r="Z35" s="4535"/>
      <c r="AA35" s="4535">
        <f t="shared" si="44"/>
        <v>0</v>
      </c>
      <c r="AB35" s="4538"/>
      <c r="AC35" s="4539">
        <f t="shared" si="45"/>
        <v>0</v>
      </c>
      <c r="AD35" s="4533"/>
      <c r="AE35" s="4551">
        <f>+SUMIF(WRM!$C$7:$C$122,$D35,WRM!$AD$7:$AD$122)</f>
        <v>0</v>
      </c>
      <c r="AF35" s="4536"/>
      <c r="AG35" s="4534">
        <f t="shared" si="46"/>
        <v>0</v>
      </c>
      <c r="AH35" s="4533"/>
      <c r="AI35" s="4533">
        <f>+SUMIF(WRM!$C$7:$C$122,$D35,WRM!$AH$7:$AH$122)</f>
        <v>0</v>
      </c>
      <c r="AJ35" s="4536"/>
      <c r="AK35" s="4534">
        <f t="shared" si="47"/>
        <v>0</v>
      </c>
      <c r="AL35" s="4533"/>
      <c r="AM35" s="4533">
        <f>+SUMIF(WRM!$C$7:$C$122,$D35,WRM!$AL$7:$AL$122)</f>
        <v>0</v>
      </c>
      <c r="AN35" s="4671"/>
      <c r="AO35" s="4535">
        <f t="shared" si="48"/>
        <v>0</v>
      </c>
      <c r="AP35" s="4536"/>
      <c r="AQ35" s="4534">
        <f t="shared" si="49"/>
        <v>0</v>
      </c>
      <c r="AR35" s="4533"/>
      <c r="AS35" s="4533">
        <f>+SUMIF(WRM!$C$7:$C$122,$D35,WRM!$AR$7:$AR$122)</f>
        <v>0</v>
      </c>
      <c r="AT35" s="4536"/>
      <c r="AU35" s="4534">
        <f t="shared" si="50"/>
        <v>0</v>
      </c>
      <c r="AV35" s="4533"/>
      <c r="AW35" s="4533">
        <f>+SUMIF(WRM!$C$7:$C$122,$D35,WRM!$AV$7:$AV$122)</f>
        <v>0</v>
      </c>
      <c r="AX35" s="4536"/>
      <c r="AY35" s="4534">
        <f t="shared" si="11"/>
        <v>0</v>
      </c>
      <c r="AZ35" s="4533"/>
      <c r="BA35" s="4533">
        <f>+SUMIF(WRM!$C$7:$C$122,$D35,WRM!$AZ$7:$AZ$122)</f>
        <v>0</v>
      </c>
      <c r="BB35" s="4671"/>
      <c r="BC35" s="4535">
        <f t="shared" si="12"/>
        <v>0</v>
      </c>
      <c r="BD35" s="4538"/>
      <c r="BE35" s="4539">
        <f t="shared" si="13"/>
        <v>0</v>
      </c>
      <c r="BF35" s="4536"/>
      <c r="BG35" s="4534">
        <f t="shared" si="14"/>
        <v>0</v>
      </c>
      <c r="BH35" s="26"/>
      <c r="BI35" s="26"/>
    </row>
    <row r="36" spans="3:61" ht="16.5" x14ac:dyDescent="0.25">
      <c r="C36" s="4531" t="s">
        <v>16</v>
      </c>
      <c r="D36" s="4532" t="s">
        <v>1464</v>
      </c>
      <c r="E36" s="6192"/>
      <c r="F36" s="4531"/>
      <c r="G36" s="4533">
        <f>+SUMIF(WRM!$C$7:$C$122,$D36,WRM!$F$7:$F$122)</f>
        <v>229.6</v>
      </c>
      <c r="H36" s="4533"/>
      <c r="I36" s="4533">
        <f>+SUMIF(WRM!$C$7:$C$122,$D36,WRM!$H$7:$H$122)</f>
        <v>0</v>
      </c>
      <c r="J36" s="4534"/>
      <c r="K36" s="4534">
        <f t="shared" si="41"/>
        <v>229.6</v>
      </c>
      <c r="L36" s="4533"/>
      <c r="M36" s="4533">
        <f>+SUMIF(WRM!$C$7:$C$122,$D36,WRM!$L$7:$L$122)</f>
        <v>0</v>
      </c>
      <c r="N36" s="4535"/>
      <c r="O36" s="4535">
        <f t="shared" si="42"/>
        <v>229.6</v>
      </c>
      <c r="P36" s="4533"/>
      <c r="Q36" s="4533">
        <f>+SUMIF(WRM!$C$7:$C$122,$D36,WRM!$P$7:$P$122)</f>
        <v>0</v>
      </c>
      <c r="R36" s="4536"/>
      <c r="S36" s="4534">
        <f t="shared" si="43"/>
        <v>229.6</v>
      </c>
      <c r="T36" s="4533"/>
      <c r="U36" s="4533">
        <f>+SUMIF(WRM!$C$7:$C$122,$D36,WRM!$T$7:$T$122)</f>
        <v>0</v>
      </c>
      <c r="V36" s="4536"/>
      <c r="W36" s="4534">
        <f t="shared" si="51"/>
        <v>229.6</v>
      </c>
      <c r="X36" s="4537"/>
      <c r="Y36" s="4551">
        <f>+SUMIF(WRM!$C$7:$C$122,$D36,WRM!$X$7:$X$122)</f>
        <v>0</v>
      </c>
      <c r="Z36" s="4535"/>
      <c r="AA36" s="4535">
        <f t="shared" si="44"/>
        <v>0</v>
      </c>
      <c r="AB36" s="4538"/>
      <c r="AC36" s="4539">
        <f t="shared" si="45"/>
        <v>229.6</v>
      </c>
      <c r="AD36" s="4533"/>
      <c r="AE36" s="4551">
        <f>+SUMIF(WRM!$C$7:$C$122,$D36,WRM!$AD$7:$AD$122)</f>
        <v>0</v>
      </c>
      <c r="AF36" s="4536"/>
      <c r="AG36" s="4534">
        <f t="shared" si="46"/>
        <v>229.6</v>
      </c>
      <c r="AH36" s="4533"/>
      <c r="AI36" s="4533">
        <f>+SUMIF(WRM!$C$7:$C$122,$D36,WRM!$AH$7:$AH$122)</f>
        <v>0</v>
      </c>
      <c r="AJ36" s="4536"/>
      <c r="AK36" s="4534">
        <f t="shared" si="47"/>
        <v>229.6</v>
      </c>
      <c r="AL36" s="4533"/>
      <c r="AM36" s="4533">
        <f>+SUMIF(WRM!$C$7:$C$122,$D36,WRM!$AL$7:$AL$122)</f>
        <v>202.95</v>
      </c>
      <c r="AN36" s="4671"/>
      <c r="AO36" s="4535">
        <f t="shared" si="48"/>
        <v>202.95</v>
      </c>
      <c r="AP36" s="4536"/>
      <c r="AQ36" s="4534">
        <f t="shared" si="49"/>
        <v>432.54999999999995</v>
      </c>
      <c r="AR36" s="4533"/>
      <c r="AS36" s="4533">
        <f>+SUMIF(WRM!$C$7:$C$122,$D36,WRM!$AR$7:$AR$122)</f>
        <v>885.59999999999991</v>
      </c>
      <c r="AT36" s="4536"/>
      <c r="AU36" s="4534">
        <f t="shared" si="50"/>
        <v>1318.1499999999999</v>
      </c>
      <c r="AV36" s="4533"/>
      <c r="AW36" s="4533">
        <f>+SUMIF(WRM!$C$7:$C$122,$D36,WRM!$AV$7:$AV$122)</f>
        <v>0</v>
      </c>
      <c r="AX36" s="4536"/>
      <c r="AY36" s="4534">
        <f t="shared" si="11"/>
        <v>1318.1499999999999</v>
      </c>
      <c r="AZ36" s="4533"/>
      <c r="BA36" s="4533">
        <f>+SUMIF(WRM!$C$7:$C$122,$D36,WRM!$AZ$7:$AZ$122)</f>
        <v>381.3</v>
      </c>
      <c r="BB36" s="4671"/>
      <c r="BC36" s="4535">
        <f t="shared" si="12"/>
        <v>1266.8999999999999</v>
      </c>
      <c r="BD36" s="4538"/>
      <c r="BE36" s="4539">
        <f t="shared" si="13"/>
        <v>1469.85</v>
      </c>
      <c r="BF36" s="4536"/>
      <c r="BG36" s="4534">
        <f t="shared" si="14"/>
        <v>1699.4499999999998</v>
      </c>
      <c r="BH36" s="26"/>
      <c r="BI36" s="26"/>
    </row>
    <row r="37" spans="3:61" ht="16.5" x14ac:dyDescent="0.25">
      <c r="C37" s="4531" t="s">
        <v>16</v>
      </c>
      <c r="D37" s="4532" t="s">
        <v>1524</v>
      </c>
      <c r="E37" s="6192"/>
      <c r="F37" s="4531"/>
      <c r="G37" s="4533">
        <f>+SUMIF(WRM!$C$7:$C$122,$D37,WRM!$F$7:$F$122)</f>
        <v>0</v>
      </c>
      <c r="H37" s="4533"/>
      <c r="I37" s="4533">
        <f>+SUMIF(WRM!$C$7:$C$122,$D37,WRM!$H$7:$H$122)</f>
        <v>0</v>
      </c>
      <c r="J37" s="4534"/>
      <c r="K37" s="4534">
        <f t="shared" si="41"/>
        <v>0</v>
      </c>
      <c r="L37" s="4533"/>
      <c r="M37" s="4533">
        <f>+SUMIF(WRM!$C$7:$C$122,$D37,WRM!$L$7:$L$122)</f>
        <v>0</v>
      </c>
      <c r="N37" s="4535"/>
      <c r="O37" s="4535">
        <f t="shared" si="42"/>
        <v>0</v>
      </c>
      <c r="P37" s="4533"/>
      <c r="Q37" s="4533">
        <f>+SUMIF(WRM!$C$7:$C$122,$D37,WRM!$P$7:$P$122)</f>
        <v>0</v>
      </c>
      <c r="R37" s="4536"/>
      <c r="S37" s="4534">
        <f t="shared" si="43"/>
        <v>0</v>
      </c>
      <c r="T37" s="4533"/>
      <c r="U37" s="4533">
        <f>+SUMIF(WRM!$C$7:$C$122,$D37,WRM!$T$7:$T$122)</f>
        <v>0</v>
      </c>
      <c r="V37" s="4536"/>
      <c r="W37" s="4534">
        <f t="shared" si="51"/>
        <v>0</v>
      </c>
      <c r="X37" s="4537"/>
      <c r="Y37" s="4551">
        <f>+SUMIF(WRM!$C$7:$C$122,$D37,WRM!$X$7:$X$122)</f>
        <v>0</v>
      </c>
      <c r="Z37" s="4535"/>
      <c r="AA37" s="4535">
        <f t="shared" si="44"/>
        <v>0</v>
      </c>
      <c r="AB37" s="4538"/>
      <c r="AC37" s="4539">
        <f t="shared" si="45"/>
        <v>0</v>
      </c>
      <c r="AD37" s="4533"/>
      <c r="AE37" s="4551">
        <f>+SUMIF(WRM!$C$7:$C$122,$D37,WRM!$AD$7:$AD$122)</f>
        <v>0</v>
      </c>
      <c r="AF37" s="4536"/>
      <c r="AG37" s="4534">
        <f t="shared" si="46"/>
        <v>0</v>
      </c>
      <c r="AH37" s="4533"/>
      <c r="AI37" s="4533">
        <f>+SUMIF(WRM!$C$7:$C$122,$D37,WRM!$AH$7:$AH$122)</f>
        <v>0</v>
      </c>
      <c r="AJ37" s="4536"/>
      <c r="AK37" s="4534">
        <f t="shared" si="47"/>
        <v>0</v>
      </c>
      <c r="AL37" s="4533"/>
      <c r="AM37" s="4533">
        <f>+SUMIF(WRM!$C$7:$C$122,$D37,WRM!$AL$7:$AL$122)</f>
        <v>0</v>
      </c>
      <c r="AN37" s="4671"/>
      <c r="AO37" s="4535">
        <f t="shared" si="48"/>
        <v>0</v>
      </c>
      <c r="AP37" s="4536"/>
      <c r="AQ37" s="4534">
        <f t="shared" si="49"/>
        <v>0</v>
      </c>
      <c r="AR37" s="4533"/>
      <c r="AS37" s="4533">
        <f>+SUMIF(WRM!$C$7:$C$122,$D37,WRM!$AR$7:$AR$122)</f>
        <v>0</v>
      </c>
      <c r="AT37" s="4536"/>
      <c r="AU37" s="4534">
        <f t="shared" si="50"/>
        <v>0</v>
      </c>
      <c r="AV37" s="4533"/>
      <c r="AW37" s="4533">
        <f>+SUMIF(WRM!$C$7:$C$122,$D37,WRM!$AV$7:$AV$122)</f>
        <v>0</v>
      </c>
      <c r="AX37" s="4536"/>
      <c r="AY37" s="4534">
        <f t="shared" si="11"/>
        <v>0</v>
      </c>
      <c r="AZ37" s="4533"/>
      <c r="BA37" s="4533">
        <f>+SUMIF(WRM!$C$7:$C$122,$D37,WRM!$AZ$7:$AZ$122)</f>
        <v>0</v>
      </c>
      <c r="BB37" s="4671"/>
      <c r="BC37" s="4535">
        <f t="shared" si="12"/>
        <v>0</v>
      </c>
      <c r="BD37" s="4538"/>
      <c r="BE37" s="4539">
        <f t="shared" si="13"/>
        <v>0</v>
      </c>
      <c r="BF37" s="4536"/>
      <c r="BG37" s="4534">
        <f t="shared" si="14"/>
        <v>0</v>
      </c>
      <c r="BH37" s="26"/>
      <c r="BI37" s="26"/>
    </row>
    <row r="38" spans="3:61" ht="16.5" x14ac:dyDescent="0.25">
      <c r="C38" s="4531" t="s">
        <v>16</v>
      </c>
      <c r="D38" s="4532" t="s">
        <v>1466</v>
      </c>
      <c r="E38" s="6192"/>
      <c r="F38" s="4531"/>
      <c r="G38" s="4533">
        <f>+SUMIF(WRM!$C$7:$C$122,$D38,WRM!$F$7:$F$122)</f>
        <v>412.05</v>
      </c>
      <c r="H38" s="4533"/>
      <c r="I38" s="4533">
        <f>+SUMIF(WRM!$C$7:$C$122,$D38,WRM!$H$7:$H$122)</f>
        <v>200.89999999999998</v>
      </c>
      <c r="J38" s="4534"/>
      <c r="K38" s="4534">
        <f t="shared" si="41"/>
        <v>612.95000000000005</v>
      </c>
      <c r="L38" s="4533"/>
      <c r="M38" s="4533">
        <f>+SUMIF(WRM!$C$7:$C$122,$D38,WRM!$L$7:$L$122)</f>
        <v>0</v>
      </c>
      <c r="N38" s="4535"/>
      <c r="O38" s="4535">
        <f t="shared" si="42"/>
        <v>612.95000000000005</v>
      </c>
      <c r="P38" s="4533"/>
      <c r="Q38" s="4533">
        <f>+SUMIF(WRM!$C$7:$C$122,$D38,WRM!$P$7:$P$122)</f>
        <v>0</v>
      </c>
      <c r="R38" s="4536"/>
      <c r="S38" s="4534">
        <f t="shared" si="43"/>
        <v>612.95000000000005</v>
      </c>
      <c r="T38" s="4533"/>
      <c r="U38" s="4533">
        <f>+SUMIF(WRM!$C$7:$C$122,$D38,WRM!$T$7:$T$122)</f>
        <v>0</v>
      </c>
      <c r="V38" s="4536"/>
      <c r="W38" s="4534">
        <f t="shared" si="51"/>
        <v>612.95000000000005</v>
      </c>
      <c r="X38" s="4537"/>
      <c r="Y38" s="4551">
        <f>+SUMIF(WRM!$C$7:$C$122,$D38,WRM!$X$7:$X$122)</f>
        <v>0</v>
      </c>
      <c r="Z38" s="4535"/>
      <c r="AA38" s="4535">
        <f t="shared" si="44"/>
        <v>0</v>
      </c>
      <c r="AB38" s="4538"/>
      <c r="AC38" s="4539">
        <f t="shared" si="45"/>
        <v>612.95000000000005</v>
      </c>
      <c r="AD38" s="4533"/>
      <c r="AE38" s="4551">
        <f>+SUMIF(WRM!$C$7:$C$122,$D38,WRM!$AD$7:$AD$122)</f>
        <v>414.1</v>
      </c>
      <c r="AF38" s="4536"/>
      <c r="AG38" s="4534">
        <f t="shared" si="46"/>
        <v>1027.0500000000002</v>
      </c>
      <c r="AH38" s="4533"/>
      <c r="AI38" s="4533">
        <f>+SUMIF(WRM!$C$7:$C$122,$D38,WRM!$AH$7:$AH$122)</f>
        <v>184.5</v>
      </c>
      <c r="AJ38" s="4536"/>
      <c r="AK38" s="4534">
        <f t="shared" si="47"/>
        <v>1211.5500000000002</v>
      </c>
      <c r="AL38" s="4533"/>
      <c r="AM38" s="4533">
        <f>+SUMIF(WRM!$C$7:$C$122,$D38,WRM!$AL$7:$AL$122)</f>
        <v>280.85000000000002</v>
      </c>
      <c r="AN38" s="4671"/>
      <c r="AO38" s="4535">
        <f t="shared" si="48"/>
        <v>879.45</v>
      </c>
      <c r="AP38" s="4536"/>
      <c r="AQ38" s="4534">
        <f t="shared" si="49"/>
        <v>1492.4</v>
      </c>
      <c r="AR38" s="4533"/>
      <c r="AS38" s="4533">
        <f>+SUMIF(WRM!$C$7:$C$122,$D38,WRM!$AR$7:$AR$122)</f>
        <v>756.45</v>
      </c>
      <c r="AT38" s="4536"/>
      <c r="AU38" s="4534">
        <f t="shared" si="50"/>
        <v>2248.8500000000004</v>
      </c>
      <c r="AV38" s="4533"/>
      <c r="AW38" s="4533">
        <f>+SUMIF(WRM!$C$7:$C$122,$D38,WRM!$AV$7:$AV$122)</f>
        <v>0</v>
      </c>
      <c r="AX38" s="4536"/>
      <c r="AY38" s="4534">
        <f t="shared" si="11"/>
        <v>2248.8500000000004</v>
      </c>
      <c r="AZ38" s="4533"/>
      <c r="BA38" s="4533">
        <f>+SUMIF(WRM!$C$7:$C$122,$D38,WRM!$AZ$7:$AZ$122)</f>
        <v>397.7</v>
      </c>
      <c r="BB38" s="4671"/>
      <c r="BC38" s="4535">
        <f t="shared" si="12"/>
        <v>1154.1500000000001</v>
      </c>
      <c r="BD38" s="4538"/>
      <c r="BE38" s="4539">
        <f t="shared" si="13"/>
        <v>2033.6000000000001</v>
      </c>
      <c r="BF38" s="4536"/>
      <c r="BG38" s="4534">
        <f t="shared" si="14"/>
        <v>2646.55</v>
      </c>
      <c r="BH38" s="26"/>
      <c r="BI38" s="26"/>
    </row>
    <row r="39" spans="3:61" ht="16.5" x14ac:dyDescent="0.25">
      <c r="C39" s="6188" t="s">
        <v>967</v>
      </c>
      <c r="D39" s="6188"/>
      <c r="E39" s="6192"/>
      <c r="F39" s="4546"/>
      <c r="G39" s="4547">
        <f t="shared" ref="G39:AM39" si="52">SUM(G4:G38)</f>
        <v>35403.480000000003</v>
      </c>
      <c r="H39" s="4547">
        <f t="shared" si="52"/>
        <v>0</v>
      </c>
      <c r="I39" s="4547">
        <f t="shared" si="52"/>
        <v>36549.449999999997</v>
      </c>
      <c r="J39" s="4547">
        <f t="shared" si="52"/>
        <v>0</v>
      </c>
      <c r="K39" s="4548">
        <f t="shared" si="52"/>
        <v>71952.930000000008</v>
      </c>
      <c r="L39" s="4547">
        <f t="shared" si="52"/>
        <v>0</v>
      </c>
      <c r="M39" s="4547">
        <f t="shared" si="52"/>
        <v>37668.15</v>
      </c>
      <c r="N39" s="4547">
        <f t="shared" si="52"/>
        <v>0</v>
      </c>
      <c r="O39" s="4549">
        <f t="shared" si="52"/>
        <v>109621.08</v>
      </c>
      <c r="P39" s="4547">
        <f t="shared" si="52"/>
        <v>0</v>
      </c>
      <c r="Q39" s="4547">
        <f t="shared" si="52"/>
        <v>44202.100000000006</v>
      </c>
      <c r="R39" s="4547">
        <f t="shared" si="52"/>
        <v>0</v>
      </c>
      <c r="S39" s="4548">
        <f t="shared" si="52"/>
        <v>153823.18000000002</v>
      </c>
      <c r="T39" s="4547">
        <f t="shared" si="52"/>
        <v>0</v>
      </c>
      <c r="U39" s="4547">
        <f t="shared" si="52"/>
        <v>33882.400000000001</v>
      </c>
      <c r="V39" s="4547">
        <f t="shared" si="52"/>
        <v>0</v>
      </c>
      <c r="W39" s="4548">
        <f t="shared" si="52"/>
        <v>187705.57999999996</v>
      </c>
      <c r="X39" s="4547">
        <f t="shared" si="52"/>
        <v>0</v>
      </c>
      <c r="Y39" s="4547">
        <f t="shared" si="52"/>
        <v>38021.35</v>
      </c>
      <c r="Z39" s="4547">
        <f t="shared" si="52"/>
        <v>0</v>
      </c>
      <c r="AA39" s="4549">
        <f t="shared" si="52"/>
        <v>116105.85</v>
      </c>
      <c r="AB39" s="4547">
        <f t="shared" si="52"/>
        <v>0</v>
      </c>
      <c r="AC39" s="4550">
        <f t="shared" si="52"/>
        <v>225726.93</v>
      </c>
      <c r="AD39" s="4547">
        <f t="shared" si="52"/>
        <v>0</v>
      </c>
      <c r="AE39" s="4547">
        <f t="shared" si="52"/>
        <v>40696.590000000004</v>
      </c>
      <c r="AF39" s="4547">
        <f t="shared" si="52"/>
        <v>0</v>
      </c>
      <c r="AG39" s="4548">
        <f t="shared" si="52"/>
        <v>266423.51999999996</v>
      </c>
      <c r="AH39" s="4547">
        <f t="shared" si="52"/>
        <v>0</v>
      </c>
      <c r="AI39" s="4547">
        <f t="shared" si="52"/>
        <v>19950.600000000002</v>
      </c>
      <c r="AJ39" s="4547">
        <f t="shared" si="52"/>
        <v>0</v>
      </c>
      <c r="AK39" s="4548">
        <f t="shared" si="52"/>
        <v>286374.11999999994</v>
      </c>
      <c r="AL39" s="4547">
        <f t="shared" si="52"/>
        <v>0</v>
      </c>
      <c r="AM39" s="4547">
        <f t="shared" si="52"/>
        <v>38943.850000000006</v>
      </c>
      <c r="AN39" s="4672"/>
      <c r="AO39" s="4549">
        <f t="shared" ref="AO39:BA39" si="53">SUM(AO4:AO38)</f>
        <v>99591.040000000037</v>
      </c>
      <c r="AP39" s="4547">
        <f t="shared" si="53"/>
        <v>0</v>
      </c>
      <c r="AQ39" s="4548">
        <f t="shared" si="53"/>
        <v>325317.97000000009</v>
      </c>
      <c r="AR39" s="4547">
        <f t="shared" si="53"/>
        <v>0</v>
      </c>
      <c r="AS39" s="4547">
        <f t="shared" si="53"/>
        <v>38226.35</v>
      </c>
      <c r="AT39" s="4547">
        <f t="shared" si="53"/>
        <v>0</v>
      </c>
      <c r="AU39" s="4548">
        <f t="shared" si="53"/>
        <v>363544.32000000001</v>
      </c>
      <c r="AV39" s="4547">
        <f t="shared" si="53"/>
        <v>0</v>
      </c>
      <c r="AW39" s="4547">
        <f t="shared" si="53"/>
        <v>33443.600000000006</v>
      </c>
      <c r="AX39" s="4547">
        <f t="shared" si="53"/>
        <v>0</v>
      </c>
      <c r="AY39" s="4548">
        <f t="shared" si="53"/>
        <v>396987.92000000004</v>
      </c>
      <c r="AZ39" s="4547">
        <f t="shared" si="53"/>
        <v>0</v>
      </c>
      <c r="BA39" s="4547">
        <f t="shared" si="53"/>
        <v>41645.750000000022</v>
      </c>
      <c r="BB39" s="4672"/>
      <c r="BC39" s="4549">
        <f>SUM(BC4:BC38)</f>
        <v>113315.69999999998</v>
      </c>
      <c r="BD39" s="4547">
        <f>SUM(BD4:BD38)</f>
        <v>0</v>
      </c>
      <c r="BE39" s="4550">
        <f>SUM(BE4:BE38)</f>
        <v>212906.74000000005</v>
      </c>
      <c r="BF39" s="4547">
        <f>SUM(BF4:BF38)</f>
        <v>0</v>
      </c>
      <c r="BG39" s="4548">
        <f>SUM(BG4:BG38)</f>
        <v>438633.67</v>
      </c>
      <c r="BH39" s="26"/>
      <c r="BI39" s="26"/>
    </row>
    <row r="40" spans="3:61" ht="16.5" x14ac:dyDescent="0.25">
      <c r="C40" s="4531" t="s">
        <v>91</v>
      </c>
      <c r="D40" s="4531" t="s">
        <v>1042</v>
      </c>
      <c r="E40" s="6192"/>
      <c r="F40" s="4531"/>
      <c r="G40" s="4533">
        <f>+SUMIF(BM!$C$7:$C$42,$D40,BM!$F$7:$F$42)</f>
        <v>8938.2249999999985</v>
      </c>
      <c r="H40" s="4533"/>
      <c r="I40" s="4533">
        <f>+SUMIF(BM!$C$7:$C$42,$D40,BM!$H$7:$H$42)</f>
        <v>19895.290000000015</v>
      </c>
      <c r="J40" s="4534"/>
      <c r="K40" s="4534">
        <f t="shared" si="15"/>
        <v>28833.515000000014</v>
      </c>
      <c r="L40" s="4533"/>
      <c r="M40" s="4533">
        <f>+SUMIF(BM!$C$7:$C$42,$D40,BM!$L$7:$L$42)</f>
        <v>13893.16</v>
      </c>
      <c r="N40" s="4535"/>
      <c r="O40" s="4535">
        <f t="shared" si="2"/>
        <v>42726.675000000017</v>
      </c>
      <c r="P40" s="4533"/>
      <c r="Q40" s="4533">
        <f>+SUMIF(BM!$C$7:$C$42,$D40,BM!$P$7:$P$42)</f>
        <v>22964.860000000015</v>
      </c>
      <c r="R40" s="4536"/>
      <c r="S40" s="4534">
        <f t="shared" si="3"/>
        <v>65691.535000000033</v>
      </c>
      <c r="T40" s="4533"/>
      <c r="U40" s="4533">
        <f>+SUMIF(BM!$C$7:$C$42,$D40,BM!$T$7:$T$42)</f>
        <v>5623.75</v>
      </c>
      <c r="V40" s="4536"/>
      <c r="W40" s="4534">
        <f t="shared" si="4"/>
        <v>71315.285000000033</v>
      </c>
      <c r="X40" s="4537"/>
      <c r="Y40" s="4533">
        <f>+SUMIF(BM!$C$7:$C$42,$D40,BM!$X$7:$X$42)</f>
        <v>7496.6249999999991</v>
      </c>
      <c r="Z40" s="4535"/>
      <c r="AA40" s="4535">
        <f t="shared" si="5"/>
        <v>36085.235000000015</v>
      </c>
      <c r="AB40" s="4538"/>
      <c r="AC40" s="4539">
        <f t="shared" si="6"/>
        <v>78811.910000000033</v>
      </c>
      <c r="AD40" s="4533"/>
      <c r="AE40" s="4533">
        <f>+SUMIF(BM!$C$7:$C$42,$D40,BM!$AD$7:$AD$42)</f>
        <v>18856.439999999999</v>
      </c>
      <c r="AF40" s="4536"/>
      <c r="AG40" s="4534">
        <f t="shared" si="7"/>
        <v>97668.350000000035</v>
      </c>
      <c r="AH40" s="4533"/>
      <c r="AI40" s="4533">
        <f>+SUMIF(BM!$C$7:$C$42,$D40,BM!$AH$7:$AH$42)</f>
        <v>1674.8249999999998</v>
      </c>
      <c r="AJ40" s="4536"/>
      <c r="AK40" s="4534">
        <f t="shared" si="8"/>
        <v>99343.175000000032</v>
      </c>
      <c r="AL40" s="4533"/>
      <c r="AM40" s="4533">
        <f>+SUMIF(BM!$C$7:$C$42,$D40,BM!$AL$7:$AL$42)</f>
        <v>16538.060000000005</v>
      </c>
      <c r="AN40" s="4671"/>
      <c r="AO40" s="4535">
        <f t="shared" si="9"/>
        <v>37069.325000000004</v>
      </c>
      <c r="AP40" s="4536"/>
      <c r="AQ40" s="4534">
        <f t="shared" ref="AQ40:AQ46" si="54">+AK40+AM40</f>
        <v>115881.23500000004</v>
      </c>
      <c r="AR40" s="4533"/>
      <c r="AS40" s="4533">
        <f>+SUMIF(BM!$C$7:$C$42,$D40,BM!$AR$7:$AR$42)</f>
        <v>12937.125000000004</v>
      </c>
      <c r="AT40" s="4536"/>
      <c r="AU40" s="4534">
        <f t="shared" ref="AU40:AU46" si="55">+AQ40+AS40</f>
        <v>128818.36000000004</v>
      </c>
      <c r="AV40" s="4533"/>
      <c r="AW40" s="4533">
        <f>+SUMIF(BM!$C$7:$C$42,$D40,BM!$AV$7:$AV$42)</f>
        <v>18126.165000000008</v>
      </c>
      <c r="AX40" s="4536"/>
      <c r="AY40" s="4534">
        <f t="shared" ref="AY40:AY46" si="56">+AU40+AW40</f>
        <v>146944.52500000005</v>
      </c>
      <c r="AZ40" s="4533"/>
      <c r="BA40" s="4533">
        <f>+SUMIF(BM!$C$7:$C$42,$D40,BM!$AZ$7:$AZ$42)</f>
        <v>16234.730000000005</v>
      </c>
      <c r="BB40" s="4671"/>
      <c r="BC40" s="4535">
        <f t="shared" ref="BC40:BC46" si="57">AS40+AW40+BA40</f>
        <v>47298.020000000019</v>
      </c>
      <c r="BD40" s="4538"/>
      <c r="BE40" s="4539">
        <f t="shared" si="13"/>
        <v>84367.34500000003</v>
      </c>
      <c r="BF40" s="4536"/>
      <c r="BG40" s="4534">
        <f t="shared" ref="BG40:BG46" si="58">+AY40+BA40</f>
        <v>163179.25500000006</v>
      </c>
      <c r="BH40" s="26"/>
      <c r="BI40" s="26"/>
    </row>
    <row r="41" spans="3:61" ht="16.5" x14ac:dyDescent="0.25">
      <c r="C41" s="4531" t="s">
        <v>91</v>
      </c>
      <c r="D41" s="4531" t="s">
        <v>1043</v>
      </c>
      <c r="E41" s="6192"/>
      <c r="F41" s="4531"/>
      <c r="G41" s="4533">
        <f>+SUMIF(BM!$C$7:$C$42,$D41,BM!$F$7:$F$42)</f>
        <v>23478.605000000014</v>
      </c>
      <c r="H41" s="4533"/>
      <c r="I41" s="4533">
        <f>+SUMIF(BM!$C$7:$C$42,$D41,BM!$H$7:$H$42)</f>
        <v>26257.105000000018</v>
      </c>
      <c r="J41" s="4534"/>
      <c r="K41" s="4534">
        <f t="shared" si="15"/>
        <v>49735.710000000036</v>
      </c>
      <c r="L41" s="4533"/>
      <c r="M41" s="4533">
        <f>+SUMIF(BM!$C$7:$C$42,$D41,BM!$L$7:$L$42)</f>
        <v>24809.215000000015</v>
      </c>
      <c r="N41" s="4535"/>
      <c r="O41" s="4535">
        <f t="shared" si="2"/>
        <v>74544.925000000047</v>
      </c>
      <c r="P41" s="4533"/>
      <c r="Q41" s="4533">
        <f>+SUMIF(BM!$C$7:$C$42,$D41,BM!$P$7:$P$42)</f>
        <v>46228.605000000076</v>
      </c>
      <c r="R41" s="4536"/>
      <c r="S41" s="4534">
        <f t="shared" si="3"/>
        <v>120773.53000000012</v>
      </c>
      <c r="T41" s="4533"/>
      <c r="U41" s="4533">
        <f>+SUMIF(BM!$C$7:$C$42,$D41,BM!$T$7:$T$42)</f>
        <v>36993.745000000017</v>
      </c>
      <c r="V41" s="4536"/>
      <c r="W41" s="4534">
        <f t="shared" si="4"/>
        <v>157767.27500000014</v>
      </c>
      <c r="X41" s="4537"/>
      <c r="Y41" s="4533">
        <f>+SUMIF(BM!$C$7:$C$42,$D41,BM!$X$7:$X$42)</f>
        <v>36854.330000000053</v>
      </c>
      <c r="Z41" s="4535"/>
      <c r="AA41" s="4535">
        <f t="shared" si="5"/>
        <v>120076.68000000014</v>
      </c>
      <c r="AB41" s="4538"/>
      <c r="AC41" s="4539">
        <f t="shared" si="6"/>
        <v>194621.60500000019</v>
      </c>
      <c r="AD41" s="4533"/>
      <c r="AE41" s="4533">
        <f>+SUMIF(BM!$C$7:$C$42,$D41,BM!$AD$7:$AD$42)</f>
        <v>11991.88</v>
      </c>
      <c r="AF41" s="4536"/>
      <c r="AG41" s="4534">
        <f t="shared" si="7"/>
        <v>206613.48500000019</v>
      </c>
      <c r="AH41" s="4533"/>
      <c r="AI41" s="4533">
        <f>+SUMIF(BM!$C$7:$C$42,$D41,BM!$AH$7:$AH$42)</f>
        <v>0</v>
      </c>
      <c r="AJ41" s="4536"/>
      <c r="AK41" s="4534">
        <f t="shared" si="8"/>
        <v>206613.48500000019</v>
      </c>
      <c r="AL41" s="4533"/>
      <c r="AM41" s="4533">
        <f>+SUMIF(BM!$C$7:$C$42,$D41,BM!$AL$7:$AL$42)</f>
        <v>19161.365000000013</v>
      </c>
      <c r="AN41" s="4671"/>
      <c r="AO41" s="4535">
        <f t="shared" si="9"/>
        <v>31153.24500000001</v>
      </c>
      <c r="AP41" s="4536"/>
      <c r="AQ41" s="4534">
        <f t="shared" si="54"/>
        <v>225774.85000000021</v>
      </c>
      <c r="AR41" s="4533"/>
      <c r="AS41" s="4533">
        <f>+SUMIF(BM!$C$7:$C$42,$D41,BM!$AR$7:$AR$42)</f>
        <v>19081.88</v>
      </c>
      <c r="AT41" s="4536"/>
      <c r="AU41" s="4534">
        <f t="shared" si="55"/>
        <v>244856.73000000021</v>
      </c>
      <c r="AV41" s="4533"/>
      <c r="AW41" s="4533">
        <f>+SUMIF(BM!$C$7:$C$42,$D41,BM!$AV$7:$AV$42)</f>
        <v>15918.410000000007</v>
      </c>
      <c r="AX41" s="4536"/>
      <c r="AY41" s="4534">
        <f t="shared" si="56"/>
        <v>260775.14000000022</v>
      </c>
      <c r="AZ41" s="4533"/>
      <c r="BA41" s="4533">
        <f>+SUMIF(BM!$C$7:$C$42,$D41,BM!$AZ$7:$AZ$42)</f>
        <v>26490.700000000019</v>
      </c>
      <c r="BB41" s="4671"/>
      <c r="BC41" s="4535">
        <f t="shared" si="57"/>
        <v>61490.990000000027</v>
      </c>
      <c r="BD41" s="4538"/>
      <c r="BE41" s="4539">
        <f t="shared" si="13"/>
        <v>92644.235000000044</v>
      </c>
      <c r="BF41" s="4536"/>
      <c r="BG41" s="4534">
        <f t="shared" si="58"/>
        <v>287265.84000000026</v>
      </c>
      <c r="BH41" s="26"/>
      <c r="BI41" s="26"/>
    </row>
    <row r="42" spans="3:61" ht="16.5" x14ac:dyDescent="0.25">
      <c r="C42" s="4531" t="s">
        <v>91</v>
      </c>
      <c r="D42" s="4531" t="s">
        <v>1147</v>
      </c>
      <c r="E42" s="6192"/>
      <c r="F42" s="4531"/>
      <c r="G42" s="4533">
        <f>+SUMIF(BM!$C$7:$C$42,$D42,BM!$F$7:$F$42)</f>
        <v>31546.220000000012</v>
      </c>
      <c r="H42" s="4533"/>
      <c r="I42" s="4533">
        <f>+SUMIF(BM!$C$7:$C$42,$D42,BM!$H$7:$H$42)</f>
        <v>29282.950000000026</v>
      </c>
      <c r="J42" s="4534"/>
      <c r="K42" s="4534">
        <f t="shared" si="15"/>
        <v>60829.170000000042</v>
      </c>
      <c r="L42" s="4533"/>
      <c r="M42" s="4533">
        <f>+SUMIF(BM!$C$7:$C$42,$D42,BM!$L$7:$L$42)</f>
        <v>32011.095000000038</v>
      </c>
      <c r="N42" s="4535"/>
      <c r="O42" s="4535">
        <f t="shared" si="2"/>
        <v>92840.265000000072</v>
      </c>
      <c r="P42" s="4533"/>
      <c r="Q42" s="4533">
        <f>+SUMIF(BM!$C$7:$C$42,$D42,BM!$P$7:$P$42)</f>
        <v>18863.025000000012</v>
      </c>
      <c r="R42" s="4536"/>
      <c r="S42" s="4534">
        <f t="shared" si="3"/>
        <v>111703.29000000008</v>
      </c>
      <c r="T42" s="4533"/>
      <c r="U42" s="4533">
        <f>+SUMIF(BM!$C$7:$C$42,$D42,BM!$T$7:$T$42)</f>
        <v>28986.125000000029</v>
      </c>
      <c r="V42" s="4536"/>
      <c r="W42" s="4534">
        <f t="shared" si="4"/>
        <v>140689.4150000001</v>
      </c>
      <c r="X42" s="4537"/>
      <c r="Y42" s="4533">
        <f>+SUMIF(BM!$C$7:$C$42,$D42,BM!$X$7:$X$42)</f>
        <v>29188.925000000021</v>
      </c>
      <c r="Z42" s="4535"/>
      <c r="AA42" s="4535">
        <f t="shared" si="5"/>
        <v>77038.075000000055</v>
      </c>
      <c r="AB42" s="4538"/>
      <c r="AC42" s="4539">
        <f t="shared" si="6"/>
        <v>169878.34000000014</v>
      </c>
      <c r="AD42" s="4533"/>
      <c r="AE42" s="4533">
        <f>+SUMIF(BM!$C$7:$C$42,$D42,BM!$AD$7:$AD$42)</f>
        <v>34364.19</v>
      </c>
      <c r="AF42" s="4536"/>
      <c r="AG42" s="4534">
        <f t="shared" si="7"/>
        <v>204242.53000000014</v>
      </c>
      <c r="AH42" s="4533"/>
      <c r="AI42" s="4533">
        <f>+SUMIF(BM!$C$7:$C$42,$D42,BM!$AH$7:$AH$42)</f>
        <v>1494.8950000000002</v>
      </c>
      <c r="AJ42" s="4536"/>
      <c r="AK42" s="4534">
        <f t="shared" si="8"/>
        <v>205737.42500000013</v>
      </c>
      <c r="AL42" s="4533"/>
      <c r="AM42" s="4533">
        <f>+SUMIF(BM!$C$7:$C$42,$D42,BM!$AL$7:$AL$42)</f>
        <v>33898.930000000044</v>
      </c>
      <c r="AN42" s="4671"/>
      <c r="AO42" s="4535">
        <f t="shared" si="9"/>
        <v>69758.015000000043</v>
      </c>
      <c r="AP42" s="4536"/>
      <c r="AQ42" s="4534">
        <f t="shared" si="54"/>
        <v>239636.35500000019</v>
      </c>
      <c r="AR42" s="4533"/>
      <c r="AS42" s="4533">
        <f>+SUMIF(BM!$C$7:$C$42,$D42,BM!$AR$7:$AR$42)</f>
        <v>35524.17500000009</v>
      </c>
      <c r="AT42" s="4536"/>
      <c r="AU42" s="4534">
        <f t="shared" si="55"/>
        <v>275160.53000000026</v>
      </c>
      <c r="AV42" s="4533"/>
      <c r="AW42" s="4533">
        <f>+SUMIF(BM!$C$7:$C$42,$D42,BM!$AV$7:$AV$42)</f>
        <v>28920.870000000039</v>
      </c>
      <c r="AX42" s="4536"/>
      <c r="AY42" s="4534">
        <f t="shared" si="56"/>
        <v>304081.40000000031</v>
      </c>
      <c r="AZ42" s="4533"/>
      <c r="BA42" s="4533">
        <f>+SUMIF(BM!$C$7:$C$42,$D42,BM!$AZ$7:$AZ$42)</f>
        <v>35285.180000000037</v>
      </c>
      <c r="BB42" s="4671"/>
      <c r="BC42" s="4535">
        <f t="shared" si="57"/>
        <v>99730.225000000166</v>
      </c>
      <c r="BD42" s="4538"/>
      <c r="BE42" s="4539">
        <f t="shared" si="13"/>
        <v>169488.24000000022</v>
      </c>
      <c r="BF42" s="4536"/>
      <c r="BG42" s="4534">
        <f t="shared" si="58"/>
        <v>339366.58000000037</v>
      </c>
      <c r="BH42" s="26"/>
      <c r="BI42" s="26"/>
    </row>
    <row r="43" spans="3:61" ht="16.5" x14ac:dyDescent="0.25">
      <c r="C43" s="4531" t="s">
        <v>91</v>
      </c>
      <c r="D43" s="4531" t="s">
        <v>1525</v>
      </c>
      <c r="E43" s="6192"/>
      <c r="F43" s="4531"/>
      <c r="G43" s="4533">
        <f>+SUMIF(BM!$C$7:$C$42,$D43,BM!$F$7:$F$42)</f>
        <v>0</v>
      </c>
      <c r="H43" s="4533"/>
      <c r="I43" s="4533">
        <f>+SUMIF(BM!$C$7:$C$42,$D43,BM!$H$7:$H$42)</f>
        <v>0</v>
      </c>
      <c r="J43" s="4534"/>
      <c r="K43" s="4534">
        <f t="shared" si="15"/>
        <v>0</v>
      </c>
      <c r="L43" s="4533"/>
      <c r="M43" s="4533">
        <f>+SUMIF(BM!$C$7:$C$42,$D43,BM!$L$7:$L$42)</f>
        <v>0</v>
      </c>
      <c r="N43" s="4535"/>
      <c r="O43" s="4535">
        <f t="shared" si="2"/>
        <v>0</v>
      </c>
      <c r="P43" s="4533"/>
      <c r="Q43" s="4533">
        <f>+SUMIF(BM!$C$7:$C$42,$D43,BM!$P$7:$P$42)</f>
        <v>0</v>
      </c>
      <c r="R43" s="4536"/>
      <c r="S43" s="4534">
        <f t="shared" si="3"/>
        <v>0</v>
      </c>
      <c r="T43" s="4533"/>
      <c r="U43" s="4533">
        <f>+SUMIF(BM!$C$7:$C$42,$D43,BM!$T$7:$T$42)</f>
        <v>0</v>
      </c>
      <c r="V43" s="4536"/>
      <c r="W43" s="4534">
        <f t="shared" si="4"/>
        <v>0</v>
      </c>
      <c r="X43" s="4537"/>
      <c r="Y43" s="4533">
        <f>+SUMIF(BM!$C$7:$C$42,$D43,BM!$X$7:$X$42)</f>
        <v>0</v>
      </c>
      <c r="Z43" s="4535"/>
      <c r="AA43" s="4535">
        <f t="shared" si="5"/>
        <v>0</v>
      </c>
      <c r="AB43" s="4538"/>
      <c r="AC43" s="4539">
        <f t="shared" si="6"/>
        <v>0</v>
      </c>
      <c r="AD43" s="4533"/>
      <c r="AE43" s="4533">
        <f>+SUMIF(BM!$C$7:$C$42,$D43,BM!$AD$7:$AD$42)</f>
        <v>0</v>
      </c>
      <c r="AF43" s="4536"/>
      <c r="AG43" s="4534">
        <f t="shared" si="7"/>
        <v>0</v>
      </c>
      <c r="AH43" s="4533"/>
      <c r="AI43" s="4533">
        <f>+SUMIF(BM!$C$7:$C$42,$D43,BM!$AH$7:$AH$42)</f>
        <v>0</v>
      </c>
      <c r="AJ43" s="4536"/>
      <c r="AK43" s="4534">
        <f t="shared" si="8"/>
        <v>0</v>
      </c>
      <c r="AL43" s="4533"/>
      <c r="AM43" s="4533">
        <f>+SUMIF(BM!$C$7:$C$42,$D43,BM!$AL$7:$AL$42)</f>
        <v>0</v>
      </c>
      <c r="AN43" s="4671"/>
      <c r="AO43" s="4535">
        <f t="shared" si="9"/>
        <v>0</v>
      </c>
      <c r="AP43" s="4536"/>
      <c r="AQ43" s="4534">
        <f t="shared" si="54"/>
        <v>0</v>
      </c>
      <c r="AR43" s="4533"/>
      <c r="AS43" s="4533">
        <f>+SUMIF(BM!$C$7:$C$42,$D43,BM!$AR$7:$AR$42)</f>
        <v>0</v>
      </c>
      <c r="AT43" s="4536"/>
      <c r="AU43" s="4534">
        <f t="shared" si="55"/>
        <v>0</v>
      </c>
      <c r="AV43" s="4533"/>
      <c r="AW43" s="4533">
        <f>+SUMIF(BM!$C$7:$C$42,$D43,BM!$AV$7:$AV$42)</f>
        <v>0</v>
      </c>
      <c r="AX43" s="4536"/>
      <c r="AY43" s="4534">
        <f t="shared" si="56"/>
        <v>0</v>
      </c>
      <c r="AZ43" s="4533"/>
      <c r="BA43" s="4533">
        <f>+SUMIF(BM!$C$7:$C$42,$D43,BM!$AZ$7:$AZ$42)</f>
        <v>0</v>
      </c>
      <c r="BB43" s="4671"/>
      <c r="BC43" s="4535">
        <f t="shared" si="57"/>
        <v>0</v>
      </c>
      <c r="BD43" s="4538"/>
      <c r="BE43" s="4539">
        <f t="shared" si="13"/>
        <v>0</v>
      </c>
      <c r="BF43" s="4536"/>
      <c r="BG43" s="4534">
        <f t="shared" si="58"/>
        <v>0</v>
      </c>
      <c r="BH43" s="26"/>
      <c r="BI43" s="26"/>
    </row>
    <row r="44" spans="3:61" ht="16.5" x14ac:dyDescent="0.25">
      <c r="C44" s="4531" t="s">
        <v>91</v>
      </c>
      <c r="D44" s="4531" t="s">
        <v>1125</v>
      </c>
      <c r="E44" s="6192"/>
      <c r="F44" s="4531"/>
      <c r="G44" s="4533">
        <f>+SUMIF(BM!$C$7:$C$42,$D44,BM!$F$7:$F$42)</f>
        <v>0</v>
      </c>
      <c r="H44" s="4533"/>
      <c r="I44" s="4533">
        <f>+SUMIF(BM!$C$7:$C$42,$D44,BM!$H$7:$H$42)</f>
        <v>137.01500000000001</v>
      </c>
      <c r="J44" s="4534"/>
      <c r="K44" s="4534">
        <f t="shared" si="15"/>
        <v>137.01500000000001</v>
      </c>
      <c r="L44" s="4533"/>
      <c r="M44" s="4533">
        <f>+SUMIF(BM!$C$7:$C$42,$D44,BM!$L$7:$L$42)</f>
        <v>1015.7500000000002</v>
      </c>
      <c r="N44" s="4535"/>
      <c r="O44" s="4535">
        <f t="shared" si="2"/>
        <v>1152.7650000000003</v>
      </c>
      <c r="P44" s="4533"/>
      <c r="Q44" s="4533">
        <f>+SUMIF(BM!$C$7:$C$42,$D44,BM!$P$7:$P$42)</f>
        <v>0</v>
      </c>
      <c r="R44" s="4536"/>
      <c r="S44" s="4534">
        <f t="shared" si="3"/>
        <v>1152.7650000000003</v>
      </c>
      <c r="T44" s="4533"/>
      <c r="U44" s="4533">
        <f>+SUMIF(BM!$C$7:$C$42,$D44,BM!$T$7:$T$42)</f>
        <v>0</v>
      </c>
      <c r="V44" s="4536"/>
      <c r="W44" s="4534">
        <f t="shared" si="4"/>
        <v>1152.7650000000003</v>
      </c>
      <c r="X44" s="4537"/>
      <c r="Y44" s="4533">
        <f>+SUMIF(BM!$C$7:$C$42,$D44,BM!$X$7:$X$42)</f>
        <v>0</v>
      </c>
      <c r="Z44" s="4535"/>
      <c r="AA44" s="4535">
        <f t="shared" si="5"/>
        <v>0</v>
      </c>
      <c r="AB44" s="4538"/>
      <c r="AC44" s="4539">
        <f t="shared" si="6"/>
        <v>1152.7650000000003</v>
      </c>
      <c r="AD44" s="4533"/>
      <c r="AE44" s="4533">
        <f>+SUMIF(BM!$C$7:$C$42,$D44,BM!$AD$7:$AD$42)</f>
        <v>0</v>
      </c>
      <c r="AF44" s="4536"/>
      <c r="AG44" s="4534">
        <f t="shared" si="7"/>
        <v>1152.7650000000003</v>
      </c>
      <c r="AH44" s="4533"/>
      <c r="AI44" s="4533">
        <f>+SUMIF(BM!$C$7:$C$42,$D44,BM!$AH$7:$AH$42)</f>
        <v>0</v>
      </c>
      <c r="AJ44" s="4536"/>
      <c r="AK44" s="4534">
        <f t="shared" si="8"/>
        <v>1152.7650000000003</v>
      </c>
      <c r="AL44" s="4533"/>
      <c r="AM44" s="4533">
        <f>+SUMIF(BM!$C$7:$C$42,$D44,BM!$AL$7:$AL$42)</f>
        <v>0</v>
      </c>
      <c r="AN44" s="4671"/>
      <c r="AO44" s="4535">
        <f t="shared" si="9"/>
        <v>0</v>
      </c>
      <c r="AP44" s="4536"/>
      <c r="AQ44" s="4534">
        <f t="shared" si="54"/>
        <v>1152.7650000000003</v>
      </c>
      <c r="AR44" s="4533"/>
      <c r="AS44" s="4533">
        <f>+SUMIF(BM!$C$7:$C$42,$D44,BM!$AR$7:$AR$42)</f>
        <v>0</v>
      </c>
      <c r="AT44" s="4536"/>
      <c r="AU44" s="4534">
        <f t="shared" si="55"/>
        <v>1152.7650000000003</v>
      </c>
      <c r="AV44" s="4533"/>
      <c r="AW44" s="4533">
        <f>+SUMIF(BM!$C$7:$C$42,$D44,BM!$AV$7:$AV$42)</f>
        <v>0</v>
      </c>
      <c r="AX44" s="4536"/>
      <c r="AY44" s="4534">
        <f t="shared" si="56"/>
        <v>1152.7650000000003</v>
      </c>
      <c r="AZ44" s="4533"/>
      <c r="BA44" s="4533">
        <f>+SUMIF(BM!$C$7:$C$42,$D44,BM!$AZ$7:$AZ$42)</f>
        <v>0</v>
      </c>
      <c r="BB44" s="4671"/>
      <c r="BC44" s="4535">
        <f t="shared" si="57"/>
        <v>0</v>
      </c>
      <c r="BD44" s="4538"/>
      <c r="BE44" s="4539">
        <f t="shared" si="13"/>
        <v>0</v>
      </c>
      <c r="BF44" s="4536"/>
      <c r="BG44" s="4534">
        <f t="shared" si="58"/>
        <v>1152.7650000000003</v>
      </c>
      <c r="BH44" s="26"/>
      <c r="BI44" s="26"/>
    </row>
    <row r="45" spans="3:61" ht="16.5" x14ac:dyDescent="0.25">
      <c r="C45" s="4531" t="s">
        <v>91</v>
      </c>
      <c r="D45" s="4531" t="s">
        <v>1044</v>
      </c>
      <c r="E45" s="6192"/>
      <c r="F45" s="4531"/>
      <c r="G45" s="4533">
        <f>+SUMIF(BM!$C$7:$C$42,$D45,BM!$F$7:$F$42)</f>
        <v>2932.4049999999997</v>
      </c>
      <c r="H45" s="4533"/>
      <c r="I45" s="4533">
        <f>+SUMIF(BM!$C$7:$C$42,$D45,BM!$H$7:$H$42)</f>
        <v>603.27499999999998</v>
      </c>
      <c r="J45" s="4534"/>
      <c r="K45" s="4534">
        <f t="shared" si="15"/>
        <v>3535.68</v>
      </c>
      <c r="L45" s="4533"/>
      <c r="M45" s="4533">
        <f>+SUMIF(BM!$C$7:$C$42,$D45,BM!$L$7:$L$42)</f>
        <v>1914.7949999999998</v>
      </c>
      <c r="N45" s="4535"/>
      <c r="O45" s="4535">
        <f t="shared" si="2"/>
        <v>5450.4749999999995</v>
      </c>
      <c r="P45" s="4533"/>
      <c r="Q45" s="4533">
        <f>+SUMIF(BM!$C$7:$C$42,$D45,BM!$P$7:$P$42)</f>
        <v>0</v>
      </c>
      <c r="R45" s="4536"/>
      <c r="S45" s="4534">
        <f t="shared" si="3"/>
        <v>5450.4749999999995</v>
      </c>
      <c r="T45" s="4533"/>
      <c r="U45" s="4533">
        <f>+SUMIF(BM!$C$7:$C$42,$D45,BM!$T$7:$T$42)</f>
        <v>4250.0749999999998</v>
      </c>
      <c r="V45" s="4536"/>
      <c r="W45" s="4534">
        <f t="shared" si="4"/>
        <v>9700.5499999999993</v>
      </c>
      <c r="X45" s="4537"/>
      <c r="Y45" s="4533">
        <f>+SUMIF(BM!$C$7:$C$42,$D45,BM!$X$7:$X$42)</f>
        <v>2779.1549999999997</v>
      </c>
      <c r="Z45" s="4535"/>
      <c r="AA45" s="4535">
        <f t="shared" si="5"/>
        <v>7029.23</v>
      </c>
      <c r="AB45" s="4538"/>
      <c r="AC45" s="4539">
        <f t="shared" si="6"/>
        <v>12479.704999999998</v>
      </c>
      <c r="AD45" s="4533"/>
      <c r="AE45" s="4533">
        <f>+SUMIF(BM!$C$7:$C$42,$D45,BM!$AD$7:$AD$42)</f>
        <v>0</v>
      </c>
      <c r="AF45" s="4536"/>
      <c r="AG45" s="4534">
        <f t="shared" si="7"/>
        <v>12479.704999999998</v>
      </c>
      <c r="AH45" s="4533"/>
      <c r="AI45" s="4533">
        <f>+SUMIF(BM!$C$7:$C$42,$D45,BM!$AH$7:$AH$42)</f>
        <v>0</v>
      </c>
      <c r="AJ45" s="4536"/>
      <c r="AK45" s="4534">
        <f t="shared" si="8"/>
        <v>12479.704999999998</v>
      </c>
      <c r="AL45" s="4533"/>
      <c r="AM45" s="4533">
        <f>+SUMIF(BM!$C$7:$C$42,$D45,BM!$AL$7:$AL$42)</f>
        <v>1032.2749999999999</v>
      </c>
      <c r="AN45" s="4671"/>
      <c r="AO45" s="4535">
        <f t="shared" si="9"/>
        <v>1032.2749999999999</v>
      </c>
      <c r="AP45" s="4536"/>
      <c r="AQ45" s="4534">
        <f t="shared" si="54"/>
        <v>13511.979999999998</v>
      </c>
      <c r="AR45" s="4533"/>
      <c r="AS45" s="4533">
        <f>+SUMIF(BM!$C$7:$C$42,$D45,BM!$AR$7:$AR$42)</f>
        <v>1811.87</v>
      </c>
      <c r="AT45" s="4536"/>
      <c r="AU45" s="4534">
        <f t="shared" si="55"/>
        <v>15323.849999999999</v>
      </c>
      <c r="AV45" s="4533"/>
      <c r="AW45" s="4533">
        <f>+SUMIF(BM!$C$7:$C$42,$D45,BM!$AV$7:$AV$42)</f>
        <v>1799.5999999999995</v>
      </c>
      <c r="AX45" s="4536"/>
      <c r="AY45" s="4534">
        <f t="shared" si="56"/>
        <v>17123.449999999997</v>
      </c>
      <c r="AZ45" s="4533"/>
      <c r="BA45" s="4533">
        <f>+SUMIF(BM!$C$7:$C$42,$D45,BM!$AZ$7:$AZ$42)</f>
        <v>0</v>
      </c>
      <c r="BB45" s="4671"/>
      <c r="BC45" s="4535">
        <f t="shared" si="57"/>
        <v>3611.4699999999993</v>
      </c>
      <c r="BD45" s="4538"/>
      <c r="BE45" s="4539">
        <f t="shared" si="13"/>
        <v>4643.744999999999</v>
      </c>
      <c r="BF45" s="4536"/>
      <c r="BG45" s="4534">
        <f t="shared" si="58"/>
        <v>17123.449999999997</v>
      </c>
      <c r="BH45" s="26"/>
      <c r="BI45" s="26"/>
    </row>
    <row r="46" spans="3:61" ht="16.5" x14ac:dyDescent="0.25">
      <c r="C46" s="4531" t="s">
        <v>91</v>
      </c>
      <c r="D46" s="4531" t="s">
        <v>1012</v>
      </c>
      <c r="E46" s="6192"/>
      <c r="F46" s="4531"/>
      <c r="G46" s="4533">
        <f>+SUMIF(BM!$C$7:$C$42,$D46,BM!$F$7:$F$42)</f>
        <v>0</v>
      </c>
      <c r="H46" s="4533"/>
      <c r="I46" s="4533">
        <f>+SUMIF(BM!$C$7:$C$42,$D46,BM!$H$7:$H$42)</f>
        <v>0</v>
      </c>
      <c r="J46" s="4534"/>
      <c r="K46" s="4534">
        <f t="shared" si="15"/>
        <v>0</v>
      </c>
      <c r="L46" s="4533"/>
      <c r="M46" s="4533">
        <f>+SUMIF(BM!$C$7:$C$42,$D46,BM!$L$7:$L$42)</f>
        <v>0</v>
      </c>
      <c r="N46" s="4535"/>
      <c r="O46" s="4535">
        <f t="shared" si="2"/>
        <v>0</v>
      </c>
      <c r="P46" s="4533"/>
      <c r="Q46" s="4533">
        <f>+SUMIF(BM!$C$7:$C$42,$D46,BM!$P$7:$P$42)</f>
        <v>0</v>
      </c>
      <c r="R46" s="4536"/>
      <c r="S46" s="4534">
        <f t="shared" si="3"/>
        <v>0</v>
      </c>
      <c r="T46" s="4533"/>
      <c r="U46" s="4533">
        <f>+SUMIF(BM!$C$7:$C$42,$D46,BM!$T$7:$T$42)</f>
        <v>0</v>
      </c>
      <c r="V46" s="4536"/>
      <c r="W46" s="4534">
        <f t="shared" si="4"/>
        <v>0</v>
      </c>
      <c r="X46" s="4537"/>
      <c r="Y46" s="4533">
        <f>+SUMIF(BM!$C$7:$C$42,$D46,BM!$X$7:$X$42)</f>
        <v>0</v>
      </c>
      <c r="Z46" s="4535"/>
      <c r="AA46" s="4535">
        <f t="shared" si="5"/>
        <v>0</v>
      </c>
      <c r="AB46" s="4538"/>
      <c r="AC46" s="4539">
        <f t="shared" si="6"/>
        <v>0</v>
      </c>
      <c r="AD46" s="4533"/>
      <c r="AE46" s="4533">
        <f>+SUMIF(BM!$C$7:$C$42,$D46,BM!$AD$7:$AD$42)</f>
        <v>1535.2900000000002</v>
      </c>
      <c r="AF46" s="4536"/>
      <c r="AG46" s="4534">
        <f t="shared" si="7"/>
        <v>1535.2900000000002</v>
      </c>
      <c r="AH46" s="4533"/>
      <c r="AI46" s="4533">
        <f>+SUMIF(BM!$C$7:$C$42,$D46,BM!$AH$7:$AH$42)</f>
        <v>0</v>
      </c>
      <c r="AJ46" s="4536"/>
      <c r="AK46" s="4534">
        <f t="shared" si="8"/>
        <v>1535.2900000000002</v>
      </c>
      <c r="AL46" s="4533"/>
      <c r="AM46" s="4533">
        <f>+SUMIF(BM!$C$7:$C$42,$D46,BM!$AL$7:$AL$42)</f>
        <v>0</v>
      </c>
      <c r="AN46" s="4671"/>
      <c r="AO46" s="4535">
        <f t="shared" si="9"/>
        <v>1535.2900000000002</v>
      </c>
      <c r="AP46" s="4536"/>
      <c r="AQ46" s="4534">
        <f t="shared" si="54"/>
        <v>1535.2900000000002</v>
      </c>
      <c r="AR46" s="4533"/>
      <c r="AS46" s="4533">
        <f>+SUMIF(BM!$C$7:$C$42,$D46,BM!$AR$7:$AR$42)</f>
        <v>730.06499999999994</v>
      </c>
      <c r="AT46" s="4536"/>
      <c r="AU46" s="4534">
        <f t="shared" si="55"/>
        <v>2265.355</v>
      </c>
      <c r="AV46" s="4533"/>
      <c r="AW46" s="4533">
        <f>+SUMIF(BM!$C$7:$C$42,$D46,BM!$AV$7:$AV$42)</f>
        <v>1224.9549999999997</v>
      </c>
      <c r="AX46" s="4536"/>
      <c r="AY46" s="4534">
        <f t="shared" si="56"/>
        <v>3490.3099999999995</v>
      </c>
      <c r="AZ46" s="4533"/>
      <c r="BA46" s="4533">
        <f>+SUMIF(BM!$C$7:$C$42,$D46,BM!$AZ$7:$AZ$42)</f>
        <v>0</v>
      </c>
      <c r="BB46" s="4671"/>
      <c r="BC46" s="4535">
        <f t="shared" si="57"/>
        <v>1955.0199999999995</v>
      </c>
      <c r="BD46" s="4538"/>
      <c r="BE46" s="4539">
        <f t="shared" si="13"/>
        <v>3490.3099999999995</v>
      </c>
      <c r="BF46" s="4536"/>
      <c r="BG46" s="4534">
        <f t="shared" si="58"/>
        <v>3490.3099999999995</v>
      </c>
      <c r="BH46" s="26"/>
      <c r="BI46" s="26"/>
    </row>
    <row r="47" spans="3:61" ht="16.5" x14ac:dyDescent="0.25">
      <c r="C47" s="6188" t="s">
        <v>968</v>
      </c>
      <c r="D47" s="6188"/>
      <c r="E47" s="6192"/>
      <c r="F47" s="4546"/>
      <c r="G47" s="4547">
        <f>SUM(G40:G46)</f>
        <v>66895.455000000031</v>
      </c>
      <c r="H47" s="4547">
        <f t="shared" ref="H47:AK47" si="59">SUM(H40:H46)</f>
        <v>0</v>
      </c>
      <c r="I47" s="4547">
        <f t="shared" si="59"/>
        <v>76175.635000000053</v>
      </c>
      <c r="J47" s="4547">
        <f t="shared" si="59"/>
        <v>0</v>
      </c>
      <c r="K47" s="4548">
        <f t="shared" si="59"/>
        <v>143071.09000000008</v>
      </c>
      <c r="L47" s="4547">
        <f t="shared" si="59"/>
        <v>0</v>
      </c>
      <c r="M47" s="4547">
        <f t="shared" si="59"/>
        <v>73644.015000000058</v>
      </c>
      <c r="N47" s="4547">
        <f t="shared" si="59"/>
        <v>0</v>
      </c>
      <c r="O47" s="4549">
        <f t="shared" si="59"/>
        <v>216715.10500000016</v>
      </c>
      <c r="P47" s="4547">
        <f t="shared" si="59"/>
        <v>0</v>
      </c>
      <c r="Q47" s="4547">
        <f t="shared" si="59"/>
        <v>88056.490000000093</v>
      </c>
      <c r="R47" s="4547">
        <f t="shared" si="59"/>
        <v>0</v>
      </c>
      <c r="S47" s="4548">
        <f t="shared" si="59"/>
        <v>304771.5950000002</v>
      </c>
      <c r="T47" s="4547">
        <f t="shared" si="59"/>
        <v>0</v>
      </c>
      <c r="U47" s="4547">
        <f t="shared" si="59"/>
        <v>75853.695000000051</v>
      </c>
      <c r="V47" s="4547">
        <f t="shared" si="59"/>
        <v>0</v>
      </c>
      <c r="W47" s="4548">
        <f t="shared" si="59"/>
        <v>380625.29000000027</v>
      </c>
      <c r="X47" s="4547">
        <f t="shared" si="59"/>
        <v>0</v>
      </c>
      <c r="Y47" s="4547">
        <f t="shared" si="59"/>
        <v>76319.035000000076</v>
      </c>
      <c r="Z47" s="4547">
        <f t="shared" si="59"/>
        <v>0</v>
      </c>
      <c r="AA47" s="4549">
        <f t="shared" si="59"/>
        <v>240229.22000000023</v>
      </c>
      <c r="AB47" s="4547">
        <f t="shared" si="59"/>
        <v>0</v>
      </c>
      <c r="AC47" s="4550">
        <f t="shared" si="59"/>
        <v>456944.32500000042</v>
      </c>
      <c r="AD47" s="4547">
        <f t="shared" si="59"/>
        <v>0</v>
      </c>
      <c r="AE47" s="4547">
        <f t="shared" si="59"/>
        <v>66747.8</v>
      </c>
      <c r="AF47" s="4547">
        <f t="shared" si="59"/>
        <v>0</v>
      </c>
      <c r="AG47" s="4548">
        <f t="shared" si="59"/>
        <v>523692.12500000035</v>
      </c>
      <c r="AH47" s="4547">
        <f t="shared" si="59"/>
        <v>0</v>
      </c>
      <c r="AI47" s="4547">
        <f t="shared" si="59"/>
        <v>3169.7200000000003</v>
      </c>
      <c r="AJ47" s="4547">
        <f t="shared" si="59"/>
        <v>0</v>
      </c>
      <c r="AK47" s="4548">
        <f t="shared" si="59"/>
        <v>526861.84500000032</v>
      </c>
      <c r="AL47" s="4547">
        <f t="shared" ref="AL47:AQ47" si="60">SUM(AL40:AL46)</f>
        <v>0</v>
      </c>
      <c r="AM47" s="4547">
        <f t="shared" si="60"/>
        <v>70630.630000000063</v>
      </c>
      <c r="AN47" s="4672"/>
      <c r="AO47" s="4549">
        <f t="shared" ref="AO47" si="61">SUM(AO40:AO46)</f>
        <v>140548.15000000005</v>
      </c>
      <c r="AP47" s="4547">
        <f t="shared" si="60"/>
        <v>0</v>
      </c>
      <c r="AQ47" s="4548">
        <f t="shared" si="60"/>
        <v>597492.47500000044</v>
      </c>
      <c r="AR47" s="4547">
        <f t="shared" ref="AR47:AU47" si="62">SUM(AR40:AR46)</f>
        <v>0</v>
      </c>
      <c r="AS47" s="4547">
        <f t="shared" si="62"/>
        <v>70085.115000000093</v>
      </c>
      <c r="AT47" s="4547">
        <f t="shared" si="62"/>
        <v>0</v>
      </c>
      <c r="AU47" s="4548">
        <f t="shared" si="62"/>
        <v>667577.59000000055</v>
      </c>
      <c r="AV47" s="4547">
        <f t="shared" ref="AV47:AY47" si="63">SUM(AV40:AV46)</f>
        <v>0</v>
      </c>
      <c r="AW47" s="4547">
        <f t="shared" si="63"/>
        <v>65990.000000000044</v>
      </c>
      <c r="AX47" s="4547">
        <f t="shared" si="63"/>
        <v>0</v>
      </c>
      <c r="AY47" s="4548">
        <f t="shared" si="63"/>
        <v>733567.59000000067</v>
      </c>
      <c r="AZ47" s="4547">
        <f t="shared" ref="AZ47:BG47" si="64">SUM(AZ40:AZ46)</f>
        <v>0</v>
      </c>
      <c r="BA47" s="4547">
        <f t="shared" si="64"/>
        <v>78010.610000000059</v>
      </c>
      <c r="BB47" s="4672"/>
      <c r="BC47" s="4549">
        <f t="shared" ref="BC47:BE47" si="65">SUM(BC40:BC46)</f>
        <v>214085.72500000021</v>
      </c>
      <c r="BD47" s="4547">
        <f t="shared" si="65"/>
        <v>0</v>
      </c>
      <c r="BE47" s="4550">
        <f t="shared" si="65"/>
        <v>354633.87500000029</v>
      </c>
      <c r="BF47" s="4547">
        <f t="shared" si="64"/>
        <v>0</v>
      </c>
      <c r="BG47" s="4548">
        <f t="shared" si="64"/>
        <v>811578.20000000077</v>
      </c>
      <c r="BH47" s="26"/>
      <c r="BI47" s="26"/>
    </row>
    <row r="48" spans="3:61" ht="16.5" x14ac:dyDescent="0.25">
      <c r="C48" s="4531" t="s">
        <v>109</v>
      </c>
      <c r="D48" s="4531" t="s">
        <v>1013</v>
      </c>
      <c r="E48" s="6192"/>
      <c r="F48" s="4531"/>
      <c r="G48" s="4533">
        <f>SUMIF(USM!$C$8:$C$91,$D48,USM!G$8:G$91)</f>
        <v>33310.241000000009</v>
      </c>
      <c r="H48" s="4533"/>
      <c r="I48" s="4533">
        <f>SUMIF(USM!$C$8:$C$91,$D48,USM!I$8:I$91)</f>
        <v>41379.888999999996</v>
      </c>
      <c r="J48" s="4534"/>
      <c r="K48" s="4534">
        <f t="shared" si="15"/>
        <v>74690.13</v>
      </c>
      <c r="L48" s="4533"/>
      <c r="M48" s="4533">
        <f>SUMIF(USM!$C$8:$C$91,$D48,USM!M$8:M$91)</f>
        <v>37591.116999999998</v>
      </c>
      <c r="N48" s="4535"/>
      <c r="O48" s="4535">
        <f t="shared" si="2"/>
        <v>112281.247</v>
      </c>
      <c r="P48" s="4533"/>
      <c r="Q48" s="4533">
        <f>SUMIF(USM!$C$8:$C$91,$D48,USM!Q$8:Q$91)</f>
        <v>37515.043000000005</v>
      </c>
      <c r="R48" s="4536"/>
      <c r="S48" s="4534">
        <f t="shared" si="3"/>
        <v>149796.29</v>
      </c>
      <c r="T48" s="4533"/>
      <c r="U48" s="4533">
        <f>SUMIF(USM!$C$8:$C$91,$D48,USM!U$8:U$91)</f>
        <v>36064.487999999998</v>
      </c>
      <c r="V48" s="4536"/>
      <c r="W48" s="4534">
        <f t="shared" si="4"/>
        <v>185860.77799999999</v>
      </c>
      <c r="X48" s="4537"/>
      <c r="Y48" s="4533">
        <f>SUMIF(USM!$C$8:$C$91,$D48,USM!Y$8:Y$91)</f>
        <v>36027.360000000001</v>
      </c>
      <c r="Z48" s="4535"/>
      <c r="AA48" s="4535">
        <f t="shared" si="5"/>
        <v>109606.891</v>
      </c>
      <c r="AB48" s="4538"/>
      <c r="AC48" s="4539">
        <f t="shared" si="6"/>
        <v>221888.13800000001</v>
      </c>
      <c r="AD48" s="4533"/>
      <c r="AE48" s="4533">
        <f>SUMIF(USM!$C$8:$C$91,$D48,USM!AE$8:AE$91)</f>
        <v>36897.876000000004</v>
      </c>
      <c r="AF48" s="4536"/>
      <c r="AG48" s="4534">
        <f t="shared" si="7"/>
        <v>258786.01400000002</v>
      </c>
      <c r="AH48" s="4533"/>
      <c r="AI48" s="4533">
        <f>SUMIF(USM!$C$8:$C$91,$D48,USM!AI$8:AI$91)</f>
        <v>8436.8180000000011</v>
      </c>
      <c r="AJ48" s="4536"/>
      <c r="AK48" s="4534">
        <f t="shared" si="8"/>
        <v>267222.83200000005</v>
      </c>
      <c r="AL48" s="4533"/>
      <c r="AM48" s="4533">
        <f>SUMIF(USM!$C$8:$C$91,$D48,USM!AM$8:AM$91)</f>
        <v>27091.125</v>
      </c>
      <c r="AN48" s="4671"/>
      <c r="AO48" s="4535">
        <f t="shared" si="9"/>
        <v>72425.819000000003</v>
      </c>
      <c r="AP48" s="4536"/>
      <c r="AQ48" s="4534">
        <f t="shared" ref="AQ48:AQ54" si="66">+AK48+AM48</f>
        <v>294313.95700000005</v>
      </c>
      <c r="AR48" s="4533"/>
      <c r="AS48" s="4533">
        <f>SUMIF(USM!$C$8:$C$91,$D48,USM!AS$8:AS$91)</f>
        <v>38064.049999999996</v>
      </c>
      <c r="AT48" s="4536"/>
      <c r="AU48" s="4534">
        <f t="shared" ref="AU48:AU54" si="67">+AQ48+AS48</f>
        <v>332378.00700000004</v>
      </c>
      <c r="AV48" s="4533"/>
      <c r="AW48" s="4533">
        <f>SUMIF(USM!$C$8:$C$91,$D48,USM!AW$8:AW$91)</f>
        <v>30173.117000000002</v>
      </c>
      <c r="AX48" s="4536"/>
      <c r="AY48" s="4534">
        <f t="shared" ref="AY48:AY54" si="68">+AU48+AW48</f>
        <v>362551.12400000007</v>
      </c>
      <c r="AZ48" s="4533"/>
      <c r="BA48" s="4533">
        <f>SUMIF(USM!$C$8:$C$91,$D48,USM!BA$8:BA$91)</f>
        <v>44357.076000000001</v>
      </c>
      <c r="BB48" s="4671"/>
      <c r="BC48" s="4535">
        <f t="shared" ref="BC48:BC54" si="69">AS48+AW48+BA48</f>
        <v>112594.243</v>
      </c>
      <c r="BD48" s="4538"/>
      <c r="BE48" s="4539">
        <f t="shared" si="13"/>
        <v>185020.06200000001</v>
      </c>
      <c r="BF48" s="4536"/>
      <c r="BG48" s="4534">
        <f t="shared" ref="BG48:BG54" si="70">+AY48+BA48</f>
        <v>406908.20000000007</v>
      </c>
      <c r="BH48" s="26"/>
      <c r="BI48" s="26"/>
    </row>
    <row r="49" spans="3:61" ht="16.5" x14ac:dyDescent="0.25">
      <c r="C49" s="4531" t="s">
        <v>109</v>
      </c>
      <c r="D49" s="4531" t="s">
        <v>1356</v>
      </c>
      <c r="E49" s="6192"/>
      <c r="F49" s="4531"/>
      <c r="G49" s="4533">
        <f>SUMIF(USM!$C$8:$C$91,$D49,USM!G$8:G$91)</f>
        <v>2807.8309999999992</v>
      </c>
      <c r="H49" s="4533"/>
      <c r="I49" s="4533">
        <f>SUMIF(USM!$C$8:$C$91,$D49,USM!I$8:I$91)</f>
        <v>3069.2429999999995</v>
      </c>
      <c r="J49" s="4534"/>
      <c r="K49" s="4534">
        <f t="shared" si="15"/>
        <v>5877.0739999999987</v>
      </c>
      <c r="L49" s="4533"/>
      <c r="M49" s="4533">
        <f>SUMIF(USM!$C$8:$C$91,$D49,USM!M$8:M$91)</f>
        <v>2518.1869999999999</v>
      </c>
      <c r="N49" s="4535"/>
      <c r="O49" s="4535">
        <f t="shared" si="2"/>
        <v>8395.2609999999986</v>
      </c>
      <c r="P49" s="4533"/>
      <c r="Q49" s="4533">
        <f>SUMIF(USM!$C$8:$C$91,$D49,USM!Q$8:Q$91)</f>
        <v>2855.9759999999992</v>
      </c>
      <c r="R49" s="4536"/>
      <c r="S49" s="4534">
        <f t="shared" si="3"/>
        <v>11251.236999999997</v>
      </c>
      <c r="T49" s="4533"/>
      <c r="U49" s="4533">
        <f>SUMIF(USM!$C$8:$C$91,$D49,USM!U$8:U$91)</f>
        <v>1438.2529999999997</v>
      </c>
      <c r="V49" s="4536"/>
      <c r="W49" s="4534">
        <f t="shared" si="4"/>
        <v>12689.489999999998</v>
      </c>
      <c r="X49" s="4537"/>
      <c r="Y49" s="4533">
        <f>SUMIF(USM!$C$8:$C$91,$D49,USM!Y$8:Y$91)</f>
        <v>57.984000000000009</v>
      </c>
      <c r="Z49" s="4535"/>
      <c r="AA49" s="4535">
        <f t="shared" si="5"/>
        <v>4352.2129999999997</v>
      </c>
      <c r="AB49" s="4538"/>
      <c r="AC49" s="4539">
        <f t="shared" si="6"/>
        <v>12747.473999999998</v>
      </c>
      <c r="AD49" s="4533"/>
      <c r="AE49" s="4533">
        <f>SUMIF(USM!$C$8:$C$91,$D49,USM!AE$8:AE$91)</f>
        <v>71.840999999999994</v>
      </c>
      <c r="AF49" s="4536"/>
      <c r="AG49" s="4534">
        <f t="shared" si="7"/>
        <v>12819.314999999999</v>
      </c>
      <c r="AH49" s="4533"/>
      <c r="AI49" s="4533">
        <f>SUMIF(USM!$C$8:$C$91,$D49,USM!AI$8:AI$91)</f>
        <v>0</v>
      </c>
      <c r="AJ49" s="4536"/>
      <c r="AK49" s="4534">
        <f t="shared" si="8"/>
        <v>12819.314999999999</v>
      </c>
      <c r="AL49" s="4533"/>
      <c r="AM49" s="4533">
        <f>SUMIF(USM!$C$8:$C$91,$D49,USM!AM$8:AM$91)</f>
        <v>3830.9300000000003</v>
      </c>
      <c r="AN49" s="4671"/>
      <c r="AO49" s="4535">
        <f t="shared" si="9"/>
        <v>3902.7710000000002</v>
      </c>
      <c r="AP49" s="4536"/>
      <c r="AQ49" s="4534">
        <f t="shared" si="66"/>
        <v>16650.244999999999</v>
      </c>
      <c r="AR49" s="4533"/>
      <c r="AS49" s="4533">
        <f>SUMIF(USM!$C$8:$C$91,$D49,USM!AS$8:AS$91)</f>
        <v>0</v>
      </c>
      <c r="AT49" s="4536"/>
      <c r="AU49" s="4534">
        <f t="shared" si="67"/>
        <v>16650.244999999999</v>
      </c>
      <c r="AV49" s="4533"/>
      <c r="AW49" s="4533">
        <f>SUMIF(USM!$C$8:$C$91,$D49,USM!AW$8:AW$91)</f>
        <v>4167.0959999999995</v>
      </c>
      <c r="AX49" s="4536"/>
      <c r="AY49" s="4534">
        <f t="shared" si="68"/>
        <v>20817.341</v>
      </c>
      <c r="AZ49" s="4533"/>
      <c r="BA49" s="4533">
        <f>SUMIF(USM!$C$8:$C$91,$D49,USM!BA$8:BA$91)</f>
        <v>2843.715999999999</v>
      </c>
      <c r="BB49" s="4671"/>
      <c r="BC49" s="4535">
        <f t="shared" si="69"/>
        <v>7010.8119999999981</v>
      </c>
      <c r="BD49" s="4538"/>
      <c r="BE49" s="4539">
        <f t="shared" si="13"/>
        <v>10913.582999999999</v>
      </c>
      <c r="BF49" s="4536"/>
      <c r="BG49" s="4534">
        <f t="shared" si="70"/>
        <v>23661.057000000001</v>
      </c>
      <c r="BH49" s="26"/>
      <c r="BI49" s="26"/>
    </row>
    <row r="50" spans="3:61" ht="16.5" x14ac:dyDescent="0.25">
      <c r="C50" s="4531" t="s">
        <v>109</v>
      </c>
      <c r="D50" s="4531" t="s">
        <v>1617</v>
      </c>
      <c r="E50" s="6192"/>
      <c r="F50" s="4531"/>
      <c r="G50" s="4533">
        <f>SUMIF(USM!$C$8:$C$91,$D50,USM!G$8:G$91)</f>
        <v>0</v>
      </c>
      <c r="H50" s="4533"/>
      <c r="I50" s="4533">
        <f>SUMIF(USM!$C$8:$C$91,$D50,USM!I$8:I$91)</f>
        <v>332.20299999999997</v>
      </c>
      <c r="J50" s="4534"/>
      <c r="K50" s="4534">
        <f t="shared" si="15"/>
        <v>332.20299999999997</v>
      </c>
      <c r="L50" s="4533"/>
      <c r="M50" s="4533">
        <f>SUMIF(USM!$C$8:$C$91,$D50,USM!M$8:M$91)</f>
        <v>700.48399999999992</v>
      </c>
      <c r="N50" s="4535"/>
      <c r="O50" s="4535">
        <f t="shared" si="2"/>
        <v>1032.6869999999999</v>
      </c>
      <c r="P50" s="4533"/>
      <c r="Q50" s="4533">
        <f>SUMIF(USM!$C$8:$C$91,$D50,USM!Q$8:Q$91)</f>
        <v>934.69800000000009</v>
      </c>
      <c r="R50" s="4536"/>
      <c r="S50" s="4534">
        <f t="shared" si="3"/>
        <v>1967.385</v>
      </c>
      <c r="T50" s="4533"/>
      <c r="U50" s="4533">
        <f>SUMIF(USM!$C$8:$C$91,$D50,USM!U$8:U$91)</f>
        <v>84.19</v>
      </c>
      <c r="V50" s="4536"/>
      <c r="W50" s="4534">
        <f t="shared" si="4"/>
        <v>2051.5749999999998</v>
      </c>
      <c r="X50" s="4537"/>
      <c r="Y50" s="4533">
        <f>SUMIF(USM!$C$8:$C$91,$D50,USM!Y$8:Y$91)</f>
        <v>471.18099999999998</v>
      </c>
      <c r="Z50" s="4535"/>
      <c r="AA50" s="4535">
        <f t="shared" si="5"/>
        <v>1490.0690000000002</v>
      </c>
      <c r="AB50" s="4538"/>
      <c r="AC50" s="4539">
        <f t="shared" si="6"/>
        <v>2522.7560000000003</v>
      </c>
      <c r="AD50" s="4533"/>
      <c r="AE50" s="4533">
        <f>SUMIF(USM!$C$8:$C$91,$D50,USM!AE$8:AE$91)</f>
        <v>0</v>
      </c>
      <c r="AF50" s="4536"/>
      <c r="AG50" s="4534">
        <f t="shared" si="7"/>
        <v>2522.7560000000003</v>
      </c>
      <c r="AH50" s="4533"/>
      <c r="AI50" s="4533">
        <f>SUMIF(USM!$C$8:$C$91,$D50,USM!AI$8:AI$91)</f>
        <v>0</v>
      </c>
      <c r="AJ50" s="4536"/>
      <c r="AK50" s="4534">
        <f t="shared" si="8"/>
        <v>2522.7560000000003</v>
      </c>
      <c r="AL50" s="4533"/>
      <c r="AM50" s="4533">
        <f>SUMIF(USM!$C$8:$C$91,$D50,USM!AM$8:AM$91)</f>
        <v>0</v>
      </c>
      <c r="AN50" s="4671"/>
      <c r="AO50" s="4535">
        <f t="shared" si="9"/>
        <v>0</v>
      </c>
      <c r="AP50" s="4536"/>
      <c r="AQ50" s="4534">
        <f t="shared" si="66"/>
        <v>2522.7560000000003</v>
      </c>
      <c r="AR50" s="4533"/>
      <c r="AS50" s="4533">
        <f>SUMIF(USM!$C$8:$C$91,$D50,USM!AS$8:AS$91)</f>
        <v>558.58299999999997</v>
      </c>
      <c r="AT50" s="4536"/>
      <c r="AU50" s="4534">
        <f t="shared" si="67"/>
        <v>3081.3390000000004</v>
      </c>
      <c r="AV50" s="4533"/>
      <c r="AW50" s="4533">
        <f>SUMIF(USM!$C$8:$C$91,$D50,USM!AW$8:AW$91)</f>
        <v>0</v>
      </c>
      <c r="AX50" s="4536"/>
      <c r="AY50" s="4534">
        <f t="shared" si="68"/>
        <v>3081.3390000000004</v>
      </c>
      <c r="AZ50" s="4533"/>
      <c r="BA50" s="4533">
        <f>SUMIF(USM!$C$8:$C$91,$D50,USM!BA$8:BA$91)</f>
        <v>0</v>
      </c>
      <c r="BB50" s="4671"/>
      <c r="BC50" s="4535">
        <f t="shared" si="69"/>
        <v>558.58299999999997</v>
      </c>
      <c r="BD50" s="4538"/>
      <c r="BE50" s="4539">
        <f t="shared" si="13"/>
        <v>558.58299999999997</v>
      </c>
      <c r="BF50" s="4536"/>
      <c r="BG50" s="4534">
        <f t="shared" si="70"/>
        <v>3081.3390000000004</v>
      </c>
      <c r="BH50" s="26"/>
      <c r="BI50" s="26"/>
    </row>
    <row r="51" spans="3:61" ht="16.5" x14ac:dyDescent="0.25">
      <c r="C51" s="4531" t="s">
        <v>109</v>
      </c>
      <c r="D51" s="4531" t="s">
        <v>947</v>
      </c>
      <c r="E51" s="6192"/>
      <c r="F51" s="4531"/>
      <c r="G51" s="4533">
        <f>SUMIF(USM!$C$8:$C$91,$D51,USM!G$8:G$91)</f>
        <v>13213.612999999999</v>
      </c>
      <c r="H51" s="4533"/>
      <c r="I51" s="4533">
        <f>SUMIF(USM!$C$8:$C$91,$D51,USM!I$8:I$91)</f>
        <v>12437.809000000001</v>
      </c>
      <c r="J51" s="4534"/>
      <c r="K51" s="4534">
        <f t="shared" si="15"/>
        <v>25651.421999999999</v>
      </c>
      <c r="L51" s="4533"/>
      <c r="M51" s="4533">
        <f>SUMIF(USM!$C$8:$C$91,$D51,USM!M$8:M$91)</f>
        <v>15766.755000000001</v>
      </c>
      <c r="N51" s="4535"/>
      <c r="O51" s="4535">
        <f t="shared" si="2"/>
        <v>41418.176999999996</v>
      </c>
      <c r="P51" s="4533"/>
      <c r="Q51" s="4533">
        <f>SUMIF(USM!$C$8:$C$91,$D51,USM!Q$8:Q$91)</f>
        <v>11945.610999999999</v>
      </c>
      <c r="R51" s="4536"/>
      <c r="S51" s="4534">
        <f t="shared" si="3"/>
        <v>53363.787999999993</v>
      </c>
      <c r="T51" s="4533"/>
      <c r="U51" s="4533">
        <f>SUMIF(USM!$C$8:$C$91,$D51,USM!U$8:U$91)</f>
        <v>5801.0050000000001</v>
      </c>
      <c r="V51" s="4536"/>
      <c r="W51" s="4534">
        <f t="shared" si="4"/>
        <v>59164.792999999991</v>
      </c>
      <c r="X51" s="4537"/>
      <c r="Y51" s="4533">
        <f>SUMIF(USM!$C$8:$C$91,$D51,USM!Y$8:Y$91)</f>
        <v>11490.274000000001</v>
      </c>
      <c r="Z51" s="4535"/>
      <c r="AA51" s="4535">
        <f t="shared" si="5"/>
        <v>29236.89</v>
      </c>
      <c r="AB51" s="4538"/>
      <c r="AC51" s="4539">
        <f t="shared" si="6"/>
        <v>70655.066999999995</v>
      </c>
      <c r="AD51" s="4533"/>
      <c r="AE51" s="4533">
        <f>SUMIF(USM!$C$8:$C$91,$D51,USM!AE$8:AE$91)</f>
        <v>7930.5840000000007</v>
      </c>
      <c r="AF51" s="4536"/>
      <c r="AG51" s="4534">
        <f t="shared" si="7"/>
        <v>78585.650999999998</v>
      </c>
      <c r="AH51" s="4533"/>
      <c r="AI51" s="4533">
        <f>SUMIF(USM!$C$8:$C$91,$D51,USM!AI$8:AI$91)</f>
        <v>148.166</v>
      </c>
      <c r="AJ51" s="4536"/>
      <c r="AK51" s="4534">
        <f t="shared" si="8"/>
        <v>78733.816999999995</v>
      </c>
      <c r="AL51" s="4533"/>
      <c r="AM51" s="4533">
        <f>SUMIF(USM!$C$8:$C$91,$D51,USM!AM$8:AM$91)</f>
        <v>9144.7129999999997</v>
      </c>
      <c r="AN51" s="4671"/>
      <c r="AO51" s="4535">
        <f t="shared" si="9"/>
        <v>17223.463</v>
      </c>
      <c r="AP51" s="4536"/>
      <c r="AQ51" s="4534">
        <f t="shared" si="66"/>
        <v>87878.53</v>
      </c>
      <c r="AR51" s="4533"/>
      <c r="AS51" s="4533">
        <f>SUMIF(USM!$C$8:$C$91,$D51,USM!AS$8:AS$91)</f>
        <v>12416.546000000002</v>
      </c>
      <c r="AT51" s="4536"/>
      <c r="AU51" s="4534">
        <f t="shared" si="67"/>
        <v>100295.076</v>
      </c>
      <c r="AV51" s="4533"/>
      <c r="AW51" s="4533">
        <f>SUMIF(USM!$C$8:$C$91,$D51,USM!AW$8:AW$91)</f>
        <v>16092.387999999999</v>
      </c>
      <c r="AX51" s="4536"/>
      <c r="AY51" s="4534">
        <f t="shared" si="68"/>
        <v>116387.46400000001</v>
      </c>
      <c r="AZ51" s="4533"/>
      <c r="BA51" s="4533">
        <f>SUMIF(USM!$C$8:$C$91,$D51,USM!BA$8:BA$91)</f>
        <v>14494.944999999998</v>
      </c>
      <c r="BB51" s="4671"/>
      <c r="BC51" s="4535">
        <f t="shared" si="69"/>
        <v>43003.879000000001</v>
      </c>
      <c r="BD51" s="4538"/>
      <c r="BE51" s="4539">
        <f t="shared" si="13"/>
        <v>60227.342000000004</v>
      </c>
      <c r="BF51" s="4536"/>
      <c r="BG51" s="4534">
        <f t="shared" si="70"/>
        <v>130882.409</v>
      </c>
      <c r="BH51" s="26"/>
      <c r="BI51" s="26"/>
    </row>
    <row r="52" spans="3:61" ht="16.5" x14ac:dyDescent="0.25">
      <c r="C52" s="4531" t="s">
        <v>109</v>
      </c>
      <c r="D52" s="4531" t="s">
        <v>1633</v>
      </c>
      <c r="E52" s="6192"/>
      <c r="F52" s="4531"/>
      <c r="G52" s="4533">
        <f>SUMIF(USM!$C$8:$C$91,$D52,USM!G$8:G$91)</f>
        <v>212.09199999999998</v>
      </c>
      <c r="H52" s="4533"/>
      <c r="I52" s="4533">
        <f>SUMIF(USM!$C$8:$C$91,$D52,USM!I$8:I$91)</f>
        <v>0</v>
      </c>
      <c r="J52" s="4534"/>
      <c r="K52" s="4534">
        <f t="shared" si="15"/>
        <v>212.09199999999998</v>
      </c>
      <c r="L52" s="4533"/>
      <c r="M52" s="4533">
        <f>SUMIF(USM!$C$8:$C$91,$D52,USM!M$8:M$91)</f>
        <v>1868.2280000000001</v>
      </c>
      <c r="N52" s="4535"/>
      <c r="O52" s="4535">
        <f t="shared" si="2"/>
        <v>2080.3200000000002</v>
      </c>
      <c r="P52" s="4533"/>
      <c r="Q52" s="4533">
        <f>SUMIF(USM!$C$8:$C$91,$D52,USM!Q$8:Q$91)</f>
        <v>3775.3629999999994</v>
      </c>
      <c r="R52" s="4536"/>
      <c r="S52" s="4534">
        <f t="shared" si="3"/>
        <v>5855.6829999999991</v>
      </c>
      <c r="T52" s="4533"/>
      <c r="U52" s="4533">
        <f>SUMIF(USM!$C$8:$C$91,$D52,USM!U$8:U$91)</f>
        <v>225.51100000000002</v>
      </c>
      <c r="V52" s="4536"/>
      <c r="W52" s="4534">
        <f t="shared" si="4"/>
        <v>6081.1939999999995</v>
      </c>
      <c r="X52" s="4537"/>
      <c r="Y52" s="4533">
        <f>SUMIF(USM!$C$8:$C$91,$D52,USM!Y$8:Y$91)</f>
        <v>1963.587</v>
      </c>
      <c r="Z52" s="4535"/>
      <c r="AA52" s="4535">
        <f t="shared" si="5"/>
        <v>5964.4609999999993</v>
      </c>
      <c r="AB52" s="4538"/>
      <c r="AC52" s="4539">
        <f t="shared" si="6"/>
        <v>8044.780999999999</v>
      </c>
      <c r="AD52" s="4533"/>
      <c r="AE52" s="4533">
        <f>SUMIF(USM!$C$8:$C$91,$D52,USM!AE$8:AE$91)</f>
        <v>0</v>
      </c>
      <c r="AF52" s="4536"/>
      <c r="AG52" s="4534">
        <f t="shared" si="7"/>
        <v>8044.780999999999</v>
      </c>
      <c r="AH52" s="4533"/>
      <c r="AI52" s="4533">
        <f>SUMIF(USM!$C$8:$C$91,$D52,USM!AI$8:AI$91)</f>
        <v>0</v>
      </c>
      <c r="AJ52" s="4536"/>
      <c r="AK52" s="4534">
        <f t="shared" si="8"/>
        <v>8044.780999999999</v>
      </c>
      <c r="AL52" s="4533"/>
      <c r="AM52" s="4533">
        <f>SUMIF(USM!$C$8:$C$91,$D52,USM!AM$8:AM$91)</f>
        <v>0</v>
      </c>
      <c r="AN52" s="4671"/>
      <c r="AO52" s="4535">
        <f t="shared" si="9"/>
        <v>0</v>
      </c>
      <c r="AP52" s="4536"/>
      <c r="AQ52" s="4534">
        <f t="shared" si="66"/>
        <v>8044.780999999999</v>
      </c>
      <c r="AR52" s="4533"/>
      <c r="AS52" s="4533">
        <f>SUMIF(USM!$C$8:$C$91,$D52,USM!AS$8:AS$91)</f>
        <v>0</v>
      </c>
      <c r="AT52" s="4536"/>
      <c r="AU52" s="4534">
        <f t="shared" si="67"/>
        <v>8044.780999999999</v>
      </c>
      <c r="AV52" s="4533"/>
      <c r="AW52" s="4533">
        <f>SUMIF(USM!$C$8:$C$91,$D52,USM!AW$8:AW$91)</f>
        <v>576.87900000000002</v>
      </c>
      <c r="AX52" s="4536"/>
      <c r="AY52" s="4534">
        <f t="shared" si="68"/>
        <v>8621.66</v>
      </c>
      <c r="AZ52" s="4533"/>
      <c r="BA52" s="4533">
        <f>SUMIF(USM!$C$8:$C$91,$D52,USM!BA$8:BA$91)</f>
        <v>376.15300000000002</v>
      </c>
      <c r="BB52" s="4671"/>
      <c r="BC52" s="4535">
        <f t="shared" si="69"/>
        <v>953.03200000000004</v>
      </c>
      <c r="BD52" s="4538"/>
      <c r="BE52" s="4539">
        <f t="shared" si="13"/>
        <v>953.03200000000004</v>
      </c>
      <c r="BF52" s="4536"/>
      <c r="BG52" s="4534">
        <f t="shared" si="70"/>
        <v>8997.8130000000001</v>
      </c>
      <c r="BH52" s="26"/>
      <c r="BI52" s="26"/>
    </row>
    <row r="53" spans="3:61" ht="16.5" x14ac:dyDescent="0.25">
      <c r="C53" s="5459" t="s">
        <v>109</v>
      </c>
      <c r="D53" s="5459" t="s">
        <v>2278</v>
      </c>
      <c r="E53" s="6192"/>
      <c r="F53" s="5459"/>
      <c r="G53" s="4533">
        <f>SUMIF(USM!$C$8:$C$91,$D53,USM!G$8:G$91)</f>
        <v>0</v>
      </c>
      <c r="H53" s="4533"/>
      <c r="I53" s="4533">
        <f>SUMIF(USM!$C$8:$C$91,$D53,USM!I$8:I$91)</f>
        <v>0</v>
      </c>
      <c r="J53" s="4534"/>
      <c r="K53" s="4534">
        <f t="shared" ref="K53" si="71">+G53+I53</f>
        <v>0</v>
      </c>
      <c r="L53" s="4533"/>
      <c r="M53" s="4533">
        <f>SUMIF(USM!$C$8:$C$91,$D53,USM!M$8:M$91)</f>
        <v>229.86200000000002</v>
      </c>
      <c r="N53" s="4535"/>
      <c r="O53" s="4535">
        <f t="shared" ref="O53" si="72">+G53+I53+M53</f>
        <v>229.86200000000002</v>
      </c>
      <c r="P53" s="4533"/>
      <c r="Q53" s="4533">
        <f>SUMIF(USM!$C$8:$C$91,$D53,USM!Q$8:Q$91)</f>
        <v>0</v>
      </c>
      <c r="R53" s="4536"/>
      <c r="S53" s="4534">
        <f t="shared" ref="S53" si="73">O53+Q53</f>
        <v>229.86200000000002</v>
      </c>
      <c r="T53" s="4533"/>
      <c r="U53" s="4533">
        <f>SUMIF(USM!$C$8:$C$91,$D53,USM!U$8:U$91)</f>
        <v>0</v>
      </c>
      <c r="V53" s="4536"/>
      <c r="W53" s="4534">
        <f t="shared" ref="W53" si="74">S53+U53</f>
        <v>229.86200000000002</v>
      </c>
      <c r="X53" s="4537"/>
      <c r="Y53" s="4533">
        <f>SUMIF(USM!$C$8:$C$91,$D53,USM!Y$8:Y$91)</f>
        <v>0</v>
      </c>
      <c r="Z53" s="4535"/>
      <c r="AA53" s="4535">
        <f t="shared" ref="AA53" si="75">Q53+U53+Y53</f>
        <v>0</v>
      </c>
      <c r="AB53" s="4538"/>
      <c r="AC53" s="4539">
        <f t="shared" ref="AC53" si="76">O53+AA53</f>
        <v>229.86200000000002</v>
      </c>
      <c r="AD53" s="4533"/>
      <c r="AE53" s="4533">
        <f>SUMIF(USM!$C$8:$C$91,$D53,USM!AE$8:AE$91)</f>
        <v>0</v>
      </c>
      <c r="AF53" s="4536"/>
      <c r="AG53" s="4534">
        <f t="shared" ref="AG53" si="77">+AC53+AE53</f>
        <v>229.86200000000002</v>
      </c>
      <c r="AH53" s="4533"/>
      <c r="AI53" s="4533">
        <f>SUMIF(USM!$C$8:$C$91,$D53,USM!AI$8:AI$91)</f>
        <v>0</v>
      </c>
      <c r="AJ53" s="4536"/>
      <c r="AK53" s="4534">
        <f t="shared" ref="AK53" si="78">+AG53+AI53</f>
        <v>229.86200000000002</v>
      </c>
      <c r="AL53" s="4533"/>
      <c r="AM53" s="4533">
        <f>SUMIF(USM!$C$8:$C$91,$D53,USM!AM$8:AM$91)</f>
        <v>0</v>
      </c>
      <c r="AN53" s="4671"/>
      <c r="AO53" s="4535">
        <f t="shared" ref="AO53" si="79">AE53+AI53+AM53</f>
        <v>0</v>
      </c>
      <c r="AP53" s="4536"/>
      <c r="AQ53" s="4534">
        <f t="shared" ref="AQ53" si="80">+AK53+AM53</f>
        <v>229.86200000000002</v>
      </c>
      <c r="AR53" s="4533"/>
      <c r="AS53" s="4533">
        <f>SUMIF(USM!$C$8:$C$91,$D53,USM!AS$8:AS$91)</f>
        <v>0</v>
      </c>
      <c r="AT53" s="4536"/>
      <c r="AU53" s="4534">
        <f t="shared" ref="AU53" si="81">+AQ53+AS53</f>
        <v>229.86200000000002</v>
      </c>
      <c r="AV53" s="4533"/>
      <c r="AW53" s="4533">
        <f>SUMIF(USM!$C$8:$C$91,$D53,USM!AW$8:AW$91)</f>
        <v>0</v>
      </c>
      <c r="AX53" s="4536"/>
      <c r="AY53" s="4534">
        <f t="shared" ref="AY53" si="82">+AU53+AW53</f>
        <v>229.86200000000002</v>
      </c>
      <c r="AZ53" s="4533"/>
      <c r="BA53" s="4533">
        <f>SUMIF(USM!$C$8:$C$91,$D53,USM!BA$8:BA$91)</f>
        <v>0</v>
      </c>
      <c r="BB53" s="4671"/>
      <c r="BC53" s="4535">
        <f t="shared" ref="BC53" si="83">AS53+AW53+BA53</f>
        <v>0</v>
      </c>
      <c r="BD53" s="4538"/>
      <c r="BE53" s="4539">
        <f t="shared" ref="BE53" si="84">AO53+BC53</f>
        <v>0</v>
      </c>
      <c r="BF53" s="4536"/>
      <c r="BG53" s="4534">
        <f t="shared" ref="BG53" si="85">+AY53+BA53</f>
        <v>229.86200000000002</v>
      </c>
      <c r="BH53" s="26"/>
      <c r="BI53" s="26"/>
    </row>
    <row r="54" spans="3:61" ht="16.5" x14ac:dyDescent="0.25">
      <c r="C54" s="4531" t="s">
        <v>109</v>
      </c>
      <c r="D54" s="4531" t="s">
        <v>1634</v>
      </c>
      <c r="E54" s="6192"/>
      <c r="F54" s="4531"/>
      <c r="G54" s="4533">
        <f>SUMIF(USM!$C$8:$C$91,$D54,USM!G$8:G$91)</f>
        <v>0</v>
      </c>
      <c r="H54" s="4533"/>
      <c r="I54" s="4533">
        <f>SUMIF(USM!$C$8:$C$91,$D54,USM!I$8:I$91)</f>
        <v>0</v>
      </c>
      <c r="J54" s="4534"/>
      <c r="K54" s="4534">
        <f t="shared" si="15"/>
        <v>0</v>
      </c>
      <c r="L54" s="4533"/>
      <c r="M54" s="4533">
        <f>SUMIF(USM!$C$8:$C$91,$D54,USM!M$8:M$91)</f>
        <v>0</v>
      </c>
      <c r="N54" s="4535"/>
      <c r="O54" s="4535">
        <f t="shared" si="2"/>
        <v>0</v>
      </c>
      <c r="P54" s="4533"/>
      <c r="Q54" s="4533">
        <f>SUMIF(USM!$C$8:$C$91,$D54,USM!Q$8:Q$91)</f>
        <v>300.69599999999997</v>
      </c>
      <c r="R54" s="4536"/>
      <c r="S54" s="4534">
        <f t="shared" si="3"/>
        <v>300.69599999999997</v>
      </c>
      <c r="T54" s="4533"/>
      <c r="U54" s="4533">
        <f>SUMIF(USM!$C$8:$C$91,$D54,USM!U$8:U$91)</f>
        <v>792.84600000000012</v>
      </c>
      <c r="V54" s="4536"/>
      <c r="W54" s="4534">
        <f t="shared" si="4"/>
        <v>1093.5420000000001</v>
      </c>
      <c r="X54" s="4537"/>
      <c r="Y54" s="4533">
        <f>SUMIF(USM!$C$8:$C$91,$D54,USM!Y$8:Y$91)</f>
        <v>0</v>
      </c>
      <c r="Z54" s="4535"/>
      <c r="AA54" s="4535">
        <f t="shared" si="5"/>
        <v>1093.5420000000001</v>
      </c>
      <c r="AB54" s="4538"/>
      <c r="AC54" s="4539">
        <f t="shared" si="6"/>
        <v>1093.5420000000001</v>
      </c>
      <c r="AD54" s="4533"/>
      <c r="AE54" s="4533">
        <f>SUMIF(USM!$C$8:$C$91,$D54,USM!AE$8:AE$91)</f>
        <v>0</v>
      </c>
      <c r="AF54" s="4536"/>
      <c r="AG54" s="4534">
        <f t="shared" si="7"/>
        <v>1093.5420000000001</v>
      </c>
      <c r="AH54" s="4533"/>
      <c r="AI54" s="4533">
        <f>SUMIF(USM!$C$8:$C$91,$D54,USM!AI$8:AI$91)</f>
        <v>0</v>
      </c>
      <c r="AJ54" s="4536"/>
      <c r="AK54" s="4534">
        <f t="shared" si="8"/>
        <v>1093.5420000000001</v>
      </c>
      <c r="AL54" s="4533"/>
      <c r="AM54" s="4533">
        <f>SUMIF(USM!$C$8:$C$91,$D54,USM!AM$8:AM$91)</f>
        <v>0</v>
      </c>
      <c r="AN54" s="4671"/>
      <c r="AO54" s="4535">
        <f t="shared" si="9"/>
        <v>0</v>
      </c>
      <c r="AP54" s="4536"/>
      <c r="AQ54" s="4534">
        <f t="shared" si="66"/>
        <v>1093.5420000000001</v>
      </c>
      <c r="AR54" s="4533"/>
      <c r="AS54" s="4533">
        <f>SUMIF(USM!$C$8:$C$91,$D54,USM!AS$8:AS$91)</f>
        <v>0</v>
      </c>
      <c r="AT54" s="4536"/>
      <c r="AU54" s="4534">
        <f t="shared" si="67"/>
        <v>1093.5420000000001</v>
      </c>
      <c r="AV54" s="4533"/>
      <c r="AW54" s="4533">
        <f>SUMIF(USM!$C$8:$C$91,$D54,USM!AW$8:AW$91)</f>
        <v>0</v>
      </c>
      <c r="AX54" s="4536"/>
      <c r="AY54" s="4534">
        <f t="shared" si="68"/>
        <v>1093.5420000000001</v>
      </c>
      <c r="AZ54" s="4533"/>
      <c r="BA54" s="4533">
        <f>SUMIF(USM!$C$8:$C$91,$D54,USM!BA$8:BA$91)</f>
        <v>0</v>
      </c>
      <c r="BB54" s="4671"/>
      <c r="BC54" s="4535">
        <f t="shared" si="69"/>
        <v>0</v>
      </c>
      <c r="BD54" s="4538"/>
      <c r="BE54" s="4539">
        <f t="shared" si="13"/>
        <v>0</v>
      </c>
      <c r="BF54" s="4536"/>
      <c r="BG54" s="4534">
        <f t="shared" si="70"/>
        <v>1093.5420000000001</v>
      </c>
      <c r="BH54" s="26"/>
      <c r="BI54" s="26"/>
    </row>
    <row r="55" spans="3:61" ht="16.5" x14ac:dyDescent="0.25">
      <c r="C55" s="6188" t="s">
        <v>969</v>
      </c>
      <c r="D55" s="6188"/>
      <c r="E55" s="6192"/>
      <c r="F55" s="4546"/>
      <c r="G55" s="4547">
        <f t="shared" ref="G55:AM55" si="86">SUM(G48:G54)</f>
        <v>49543.777000000002</v>
      </c>
      <c r="H55" s="4547">
        <f t="shared" si="86"/>
        <v>0</v>
      </c>
      <c r="I55" s="4547">
        <f t="shared" si="86"/>
        <v>57219.144</v>
      </c>
      <c r="J55" s="4547">
        <f t="shared" si="86"/>
        <v>0</v>
      </c>
      <c r="K55" s="4548">
        <f t="shared" si="86"/>
        <v>106762.921</v>
      </c>
      <c r="L55" s="4547">
        <f t="shared" si="86"/>
        <v>0</v>
      </c>
      <c r="M55" s="4547">
        <f t="shared" si="86"/>
        <v>58674.632999999994</v>
      </c>
      <c r="N55" s="4547">
        <f t="shared" si="86"/>
        <v>0</v>
      </c>
      <c r="O55" s="4549">
        <f t="shared" si="86"/>
        <v>165437.554</v>
      </c>
      <c r="P55" s="4547">
        <f t="shared" si="86"/>
        <v>0</v>
      </c>
      <c r="Q55" s="4547">
        <f t="shared" si="86"/>
        <v>57327.387000000002</v>
      </c>
      <c r="R55" s="4547">
        <f t="shared" si="86"/>
        <v>0</v>
      </c>
      <c r="S55" s="4548">
        <f t="shared" si="86"/>
        <v>222764.94099999999</v>
      </c>
      <c r="T55" s="4547">
        <f t="shared" si="86"/>
        <v>0</v>
      </c>
      <c r="U55" s="4547">
        <f t="shared" si="86"/>
        <v>44406.292999999991</v>
      </c>
      <c r="V55" s="4547">
        <f t="shared" si="86"/>
        <v>0</v>
      </c>
      <c r="W55" s="4548">
        <f t="shared" si="86"/>
        <v>267171.23400000005</v>
      </c>
      <c r="X55" s="4547">
        <f t="shared" si="86"/>
        <v>0</v>
      </c>
      <c r="Y55" s="4547">
        <f t="shared" si="86"/>
        <v>50010.385999999999</v>
      </c>
      <c r="Z55" s="4547">
        <f t="shared" si="86"/>
        <v>0</v>
      </c>
      <c r="AA55" s="4549">
        <f t="shared" si="86"/>
        <v>151744.06600000002</v>
      </c>
      <c r="AB55" s="4547">
        <f t="shared" si="86"/>
        <v>0</v>
      </c>
      <c r="AC55" s="4550">
        <f t="shared" si="86"/>
        <v>317181.62000000005</v>
      </c>
      <c r="AD55" s="4547">
        <f t="shared" si="86"/>
        <v>0</v>
      </c>
      <c r="AE55" s="4547">
        <f t="shared" si="86"/>
        <v>44900.301000000007</v>
      </c>
      <c r="AF55" s="4547">
        <f t="shared" si="86"/>
        <v>0</v>
      </c>
      <c r="AG55" s="4548">
        <f t="shared" si="86"/>
        <v>362081.92100000009</v>
      </c>
      <c r="AH55" s="4547">
        <f t="shared" si="86"/>
        <v>0</v>
      </c>
      <c r="AI55" s="4547">
        <f t="shared" si="86"/>
        <v>8584.9840000000004</v>
      </c>
      <c r="AJ55" s="4547">
        <f t="shared" si="86"/>
        <v>0</v>
      </c>
      <c r="AK55" s="4548">
        <f t="shared" si="86"/>
        <v>370666.90500000009</v>
      </c>
      <c r="AL55" s="4547">
        <f t="shared" si="86"/>
        <v>0</v>
      </c>
      <c r="AM55" s="4547">
        <f t="shared" si="86"/>
        <v>40066.767999999996</v>
      </c>
      <c r="AN55" s="4672"/>
      <c r="AO55" s="4549">
        <f t="shared" ref="AO55:BA55" si="87">SUM(AO48:AO54)</f>
        <v>93552.053</v>
      </c>
      <c r="AP55" s="4547">
        <f t="shared" si="87"/>
        <v>0</v>
      </c>
      <c r="AQ55" s="4548">
        <f t="shared" si="87"/>
        <v>410733.67300000007</v>
      </c>
      <c r="AR55" s="4547">
        <f t="shared" si="87"/>
        <v>0</v>
      </c>
      <c r="AS55" s="4547">
        <f t="shared" si="87"/>
        <v>51039.178999999996</v>
      </c>
      <c r="AT55" s="4547">
        <f t="shared" si="87"/>
        <v>0</v>
      </c>
      <c r="AU55" s="4548">
        <f t="shared" si="87"/>
        <v>461772.85200000007</v>
      </c>
      <c r="AV55" s="4547">
        <f t="shared" si="87"/>
        <v>0</v>
      </c>
      <c r="AW55" s="4547">
        <f t="shared" si="87"/>
        <v>51009.48</v>
      </c>
      <c r="AX55" s="4547">
        <f t="shared" si="87"/>
        <v>0</v>
      </c>
      <c r="AY55" s="4548">
        <f t="shared" si="87"/>
        <v>512782.33200000005</v>
      </c>
      <c r="AZ55" s="4547">
        <f t="shared" si="87"/>
        <v>0</v>
      </c>
      <c r="BA55" s="4547">
        <f t="shared" si="87"/>
        <v>62071.89</v>
      </c>
      <c r="BB55" s="4672"/>
      <c r="BC55" s="4549">
        <f>SUM(BC48:BC54)</f>
        <v>164120.549</v>
      </c>
      <c r="BD55" s="4547">
        <f>SUM(BD48:BD54)</f>
        <v>0</v>
      </c>
      <c r="BE55" s="4550">
        <f>SUM(BE48:BE54)</f>
        <v>257672.60200000004</v>
      </c>
      <c r="BF55" s="4547">
        <f>SUM(BF48:BF54)</f>
        <v>0</v>
      </c>
      <c r="BG55" s="4548">
        <f>SUM(BG48:BG54)</f>
        <v>574854.22200000007</v>
      </c>
      <c r="BH55" s="26"/>
      <c r="BI55" s="26"/>
    </row>
    <row r="56" spans="3:61" ht="16.5" x14ac:dyDescent="0.25">
      <c r="C56" s="4531" t="s">
        <v>978</v>
      </c>
      <c r="D56" s="4531" t="s">
        <v>642</v>
      </c>
      <c r="E56" s="6192"/>
      <c r="F56" s="4531"/>
      <c r="G56" s="4551">
        <f>6895.58799999996-1636</f>
        <v>5259.5879999999597</v>
      </c>
      <c r="H56" s="4551"/>
      <c r="I56" s="4551">
        <v>9133</v>
      </c>
      <c r="J56" s="4534"/>
      <c r="K56" s="4534">
        <f t="shared" si="15"/>
        <v>14392.58799999996</v>
      </c>
      <c r="L56" s="4551"/>
      <c r="M56" s="4551">
        <v>12010</v>
      </c>
      <c r="N56" s="4535"/>
      <c r="O56" s="4535">
        <f t="shared" si="2"/>
        <v>26402.58799999996</v>
      </c>
      <c r="P56" s="4551"/>
      <c r="Q56" s="4551">
        <v>927</v>
      </c>
      <c r="R56" s="4536"/>
      <c r="S56" s="4534">
        <f t="shared" si="3"/>
        <v>27329.58799999996</v>
      </c>
      <c r="T56" s="4551"/>
      <c r="U56" s="4551">
        <v>9644.1179999999986</v>
      </c>
      <c r="V56" s="4536"/>
      <c r="W56" s="4534">
        <f t="shared" si="4"/>
        <v>36973.705999999962</v>
      </c>
      <c r="X56" s="4537"/>
      <c r="Y56" s="4551">
        <v>12381</v>
      </c>
      <c r="Z56" s="4535"/>
      <c r="AA56" s="4535">
        <f t="shared" si="5"/>
        <v>22952.117999999999</v>
      </c>
      <c r="AB56" s="4538"/>
      <c r="AC56" s="4539">
        <f t="shared" si="6"/>
        <v>49354.705999999962</v>
      </c>
      <c r="AD56" s="4551"/>
      <c r="AE56" s="4551">
        <v>15363.04</v>
      </c>
      <c r="AF56" s="4536"/>
      <c r="AG56" s="4534">
        <f t="shared" si="7"/>
        <v>64717.745999999963</v>
      </c>
      <c r="AH56" s="4551"/>
      <c r="AI56" s="4551">
        <v>7756</v>
      </c>
      <c r="AJ56" s="4536"/>
      <c r="AK56" s="4534">
        <f t="shared" si="8"/>
        <v>72473.745999999956</v>
      </c>
      <c r="AL56" s="4551"/>
      <c r="AM56" s="4551">
        <v>9901.14</v>
      </c>
      <c r="AN56" s="4673"/>
      <c r="AO56" s="4535">
        <f t="shared" si="9"/>
        <v>33020.18</v>
      </c>
      <c r="AP56" s="4536"/>
      <c r="AQ56" s="4534">
        <f t="shared" ref="AQ56:AQ78" si="88">+AK56+AM56</f>
        <v>82374.885999999955</v>
      </c>
      <c r="AR56" s="4551"/>
      <c r="AS56" s="4551">
        <v>5783.4060000000009</v>
      </c>
      <c r="AT56" s="4536"/>
      <c r="AU56" s="4534">
        <f t="shared" ref="AU56:AU78" si="89">+AQ56+AS56</f>
        <v>88158.291999999958</v>
      </c>
      <c r="AV56" s="4551"/>
      <c r="AW56" s="4551">
        <v>8844.7939999999289</v>
      </c>
      <c r="AX56" s="4536"/>
      <c r="AY56" s="4534">
        <f t="shared" ref="AY56:AY78" si="90">+AU56+AW56</f>
        <v>97003.085999999894</v>
      </c>
      <c r="AZ56" s="4551"/>
      <c r="BA56" s="4551">
        <v>8755</v>
      </c>
      <c r="BB56" s="4673"/>
      <c r="BC56" s="4535">
        <f t="shared" ref="BC56:BC78" si="91">AS56+AW56+BA56</f>
        <v>23383.199999999932</v>
      </c>
      <c r="BD56" s="4538"/>
      <c r="BE56" s="4539">
        <f t="shared" si="13"/>
        <v>56403.379999999932</v>
      </c>
      <c r="BF56" s="4536"/>
      <c r="BG56" s="4534">
        <f t="shared" ref="BG56:BG78" si="92">+AY56+BA56</f>
        <v>105758.08599999989</v>
      </c>
      <c r="BH56" s="26"/>
      <c r="BI56" s="26"/>
    </row>
    <row r="57" spans="3:61" ht="16.5" x14ac:dyDescent="0.25">
      <c r="C57" s="4531" t="s">
        <v>978</v>
      </c>
      <c r="D57" s="4540" t="s">
        <v>1925</v>
      </c>
      <c r="E57" s="6192"/>
      <c r="F57" s="4540"/>
      <c r="G57" s="4537"/>
      <c r="H57" s="4537"/>
      <c r="I57" s="4537"/>
      <c r="J57" s="4544"/>
      <c r="K57" s="4534">
        <f t="shared" si="15"/>
        <v>0</v>
      </c>
      <c r="L57" s="4537"/>
      <c r="M57" s="4537"/>
      <c r="N57" s="4543"/>
      <c r="O57" s="4535">
        <f t="shared" si="2"/>
        <v>0</v>
      </c>
      <c r="P57" s="4537"/>
      <c r="Q57" s="4537"/>
      <c r="R57" s="4536"/>
      <c r="S57" s="4534">
        <f t="shared" si="3"/>
        <v>0</v>
      </c>
      <c r="T57" s="4537"/>
      <c r="U57" s="4537"/>
      <c r="V57" s="4536"/>
      <c r="W57" s="4534">
        <f t="shared" si="4"/>
        <v>0</v>
      </c>
      <c r="X57" s="4537"/>
      <c r="Y57" s="4537"/>
      <c r="Z57" s="4543"/>
      <c r="AA57" s="4535">
        <f t="shared" si="5"/>
        <v>0</v>
      </c>
      <c r="AB57" s="4538"/>
      <c r="AC57" s="4539">
        <f t="shared" si="6"/>
        <v>0</v>
      </c>
      <c r="AD57" s="4537"/>
      <c r="AE57" s="4537"/>
      <c r="AF57" s="4536"/>
      <c r="AG57" s="4534">
        <f t="shared" si="7"/>
        <v>0</v>
      </c>
      <c r="AH57" s="4537"/>
      <c r="AI57" s="4537"/>
      <c r="AJ57" s="4536"/>
      <c r="AK57" s="4534">
        <f t="shared" si="8"/>
        <v>0</v>
      </c>
      <c r="AL57" s="4537"/>
      <c r="AM57" s="4537">
        <v>109.928</v>
      </c>
      <c r="AN57" s="4673"/>
      <c r="AO57" s="4535">
        <f t="shared" si="9"/>
        <v>109.928</v>
      </c>
      <c r="AP57" s="4536"/>
      <c r="AQ57" s="4534">
        <f t="shared" si="88"/>
        <v>109.928</v>
      </c>
      <c r="AR57" s="4537"/>
      <c r="AS57" s="4537"/>
      <c r="AT57" s="4536"/>
      <c r="AU57" s="4534">
        <f t="shared" si="89"/>
        <v>109.928</v>
      </c>
      <c r="AV57" s="4537"/>
      <c r="AW57" s="4537"/>
      <c r="AX57" s="4536"/>
      <c r="AY57" s="4534">
        <f t="shared" si="90"/>
        <v>109.928</v>
      </c>
      <c r="AZ57" s="4537"/>
      <c r="BA57" s="4537"/>
      <c r="BB57" s="4673"/>
      <c r="BC57" s="4535">
        <f t="shared" si="91"/>
        <v>0</v>
      </c>
      <c r="BD57" s="4538"/>
      <c r="BE57" s="4539">
        <f t="shared" si="13"/>
        <v>109.928</v>
      </c>
      <c r="BF57" s="4536"/>
      <c r="BG57" s="4534">
        <f t="shared" si="92"/>
        <v>109.928</v>
      </c>
      <c r="BH57" s="26"/>
      <c r="BI57" s="26"/>
    </row>
    <row r="58" spans="3:61" ht="16.5" x14ac:dyDescent="0.25">
      <c r="C58" s="4531" t="s">
        <v>978</v>
      </c>
      <c r="D58" s="4531" t="s">
        <v>2110</v>
      </c>
      <c r="E58" s="6192"/>
      <c r="F58" s="4531"/>
      <c r="G58" s="4551"/>
      <c r="H58" s="4551"/>
      <c r="I58" s="4551"/>
      <c r="J58" s="4534"/>
      <c r="K58" s="4534">
        <f t="shared" si="15"/>
        <v>0</v>
      </c>
      <c r="L58" s="4551"/>
      <c r="M58" s="4551"/>
      <c r="N58" s="4535"/>
      <c r="O58" s="4535">
        <f t="shared" si="2"/>
        <v>0</v>
      </c>
      <c r="P58" s="4551"/>
      <c r="Q58" s="4551"/>
      <c r="R58" s="4536"/>
      <c r="S58" s="4534">
        <f t="shared" si="3"/>
        <v>0</v>
      </c>
      <c r="T58" s="4551"/>
      <c r="U58" s="4551"/>
      <c r="V58" s="4536"/>
      <c r="W58" s="4534">
        <f t="shared" si="4"/>
        <v>0</v>
      </c>
      <c r="X58" s="4537"/>
      <c r="Y58" s="4551"/>
      <c r="Z58" s="4535"/>
      <c r="AA58" s="4535">
        <f t="shared" si="5"/>
        <v>0</v>
      </c>
      <c r="AB58" s="4538"/>
      <c r="AC58" s="4539">
        <f t="shared" si="6"/>
        <v>0</v>
      </c>
      <c r="AD58" s="4551"/>
      <c r="AE58" s="4551"/>
      <c r="AF58" s="4536"/>
      <c r="AG58" s="4534">
        <f t="shared" si="7"/>
        <v>0</v>
      </c>
      <c r="AH58" s="4551"/>
      <c r="AI58" s="4551"/>
      <c r="AJ58" s="4536"/>
      <c r="AK58" s="4534">
        <f t="shared" si="8"/>
        <v>0</v>
      </c>
      <c r="AL58" s="4551"/>
      <c r="AM58" s="4551"/>
      <c r="AN58" s="4673"/>
      <c r="AO58" s="4535">
        <f t="shared" si="9"/>
        <v>0</v>
      </c>
      <c r="AP58" s="4536"/>
      <c r="AQ58" s="4534">
        <f t="shared" si="88"/>
        <v>0</v>
      </c>
      <c r="AR58" s="4551"/>
      <c r="AS58" s="4551"/>
      <c r="AT58" s="4536"/>
      <c r="AU58" s="4534">
        <f t="shared" si="89"/>
        <v>0</v>
      </c>
      <c r="AV58" s="4551"/>
      <c r="AW58" s="4551">
        <v>1828.61</v>
      </c>
      <c r="AX58" s="4536"/>
      <c r="AY58" s="4534">
        <f t="shared" si="90"/>
        <v>1828.61</v>
      </c>
      <c r="AZ58" s="4551"/>
      <c r="BA58" s="4551">
        <v>577</v>
      </c>
      <c r="BB58" s="4673"/>
      <c r="BC58" s="4535">
        <f t="shared" si="91"/>
        <v>2405.6099999999997</v>
      </c>
      <c r="BD58" s="4538"/>
      <c r="BE58" s="4539">
        <f t="shared" si="13"/>
        <v>2405.6099999999997</v>
      </c>
      <c r="BF58" s="4536"/>
      <c r="BG58" s="4534">
        <f t="shared" si="92"/>
        <v>2405.6099999999997</v>
      </c>
      <c r="BH58" s="26"/>
      <c r="BI58" s="26"/>
    </row>
    <row r="59" spans="3:61" ht="16.5" x14ac:dyDescent="0.25">
      <c r="C59" s="4531" t="s">
        <v>978</v>
      </c>
      <c r="D59" s="4531" t="s">
        <v>1296</v>
      </c>
      <c r="E59" s="6192"/>
      <c r="F59" s="4531"/>
      <c r="G59" s="4551">
        <v>2361</v>
      </c>
      <c r="H59" s="4551"/>
      <c r="I59" s="4551">
        <v>4082</v>
      </c>
      <c r="J59" s="4534"/>
      <c r="K59" s="4534">
        <f t="shared" si="15"/>
        <v>6443</v>
      </c>
      <c r="L59" s="4551"/>
      <c r="M59" s="4551">
        <v>5864</v>
      </c>
      <c r="N59" s="4535"/>
      <c r="O59" s="4535">
        <f t="shared" si="2"/>
        <v>12307</v>
      </c>
      <c r="P59" s="4551"/>
      <c r="Q59" s="4551">
        <v>8179</v>
      </c>
      <c r="R59" s="4536"/>
      <c r="S59" s="4534">
        <f t="shared" si="3"/>
        <v>20486</v>
      </c>
      <c r="T59" s="4551"/>
      <c r="U59" s="4551">
        <v>6747.8880000000008</v>
      </c>
      <c r="V59" s="4536"/>
      <c r="W59" s="4534">
        <f t="shared" si="4"/>
        <v>27233.887999999999</v>
      </c>
      <c r="X59" s="4537"/>
      <c r="Y59" s="4551">
        <v>6553</v>
      </c>
      <c r="Z59" s="4535"/>
      <c r="AA59" s="4535">
        <f t="shared" si="5"/>
        <v>21479.887999999999</v>
      </c>
      <c r="AB59" s="4538"/>
      <c r="AC59" s="4539">
        <f t="shared" si="6"/>
        <v>33786.887999999999</v>
      </c>
      <c r="AD59" s="4551"/>
      <c r="AE59" s="4551"/>
      <c r="AF59" s="4536"/>
      <c r="AG59" s="4534">
        <f t="shared" si="7"/>
        <v>33786.887999999999</v>
      </c>
      <c r="AH59" s="4551"/>
      <c r="AI59" s="4551"/>
      <c r="AJ59" s="4536"/>
      <c r="AK59" s="4534">
        <f t="shared" si="8"/>
        <v>33786.887999999999</v>
      </c>
      <c r="AL59" s="4551"/>
      <c r="AM59" s="4551">
        <v>9555.2800000000007</v>
      </c>
      <c r="AN59" s="4673"/>
      <c r="AO59" s="4535">
        <f t="shared" si="9"/>
        <v>9555.2800000000007</v>
      </c>
      <c r="AP59" s="4536"/>
      <c r="AQ59" s="4534">
        <f t="shared" si="88"/>
        <v>43342.167999999998</v>
      </c>
      <c r="AR59" s="4551"/>
      <c r="AS59" s="4551">
        <v>8094.5059999999994</v>
      </c>
      <c r="AT59" s="4536"/>
      <c r="AU59" s="4534">
        <f t="shared" si="89"/>
        <v>51436.673999999999</v>
      </c>
      <c r="AV59" s="4551"/>
      <c r="AW59" s="4551">
        <v>2771.4540000000002</v>
      </c>
      <c r="AX59" s="4536"/>
      <c r="AY59" s="4534">
        <f t="shared" si="90"/>
        <v>54208.127999999997</v>
      </c>
      <c r="AZ59" s="4551"/>
      <c r="BA59" s="4551">
        <v>4636</v>
      </c>
      <c r="BB59" s="4673"/>
      <c r="BC59" s="4535">
        <f t="shared" si="91"/>
        <v>15501.96</v>
      </c>
      <c r="BD59" s="4538"/>
      <c r="BE59" s="4539">
        <f t="shared" si="13"/>
        <v>25057.239999999998</v>
      </c>
      <c r="BF59" s="4536"/>
      <c r="BG59" s="4534">
        <f t="shared" si="92"/>
        <v>58844.127999999997</v>
      </c>
      <c r="BH59" s="26"/>
      <c r="BI59" s="26"/>
    </row>
    <row r="60" spans="3:61" ht="16.5" x14ac:dyDescent="0.25">
      <c r="C60" s="4531" t="s">
        <v>978</v>
      </c>
      <c r="D60" s="4531" t="s">
        <v>1275</v>
      </c>
      <c r="E60" s="6192"/>
      <c r="F60" s="4531"/>
      <c r="G60" s="4551"/>
      <c r="H60" s="4551"/>
      <c r="I60" s="4551"/>
      <c r="J60" s="4534"/>
      <c r="K60" s="4534">
        <f t="shared" si="15"/>
        <v>0</v>
      </c>
      <c r="L60" s="4551"/>
      <c r="M60" s="4551"/>
      <c r="N60" s="4535"/>
      <c r="O60" s="4535">
        <f t="shared" si="2"/>
        <v>0</v>
      </c>
      <c r="P60" s="4551"/>
      <c r="Q60" s="4551"/>
      <c r="R60" s="4536"/>
      <c r="S60" s="4534">
        <f t="shared" si="3"/>
        <v>0</v>
      </c>
      <c r="T60" s="4551"/>
      <c r="U60" s="4551"/>
      <c r="V60" s="4536"/>
      <c r="W60" s="4534">
        <f t="shared" si="4"/>
        <v>0</v>
      </c>
      <c r="X60" s="4537"/>
      <c r="Y60" s="4551"/>
      <c r="Z60" s="4535"/>
      <c r="AA60" s="4535">
        <f t="shared" si="5"/>
        <v>0</v>
      </c>
      <c r="AB60" s="4538"/>
      <c r="AC60" s="4539">
        <f t="shared" si="6"/>
        <v>0</v>
      </c>
      <c r="AD60" s="4551"/>
      <c r="AE60" s="4551"/>
      <c r="AF60" s="4536"/>
      <c r="AG60" s="4534">
        <f t="shared" si="7"/>
        <v>0</v>
      </c>
      <c r="AH60" s="4551"/>
      <c r="AI60" s="4551"/>
      <c r="AJ60" s="4536"/>
      <c r="AK60" s="4534">
        <f t="shared" si="8"/>
        <v>0</v>
      </c>
      <c r="AL60" s="4551"/>
      <c r="AM60" s="4551"/>
      <c r="AN60" s="4673"/>
      <c r="AO60" s="4535">
        <f t="shared" si="9"/>
        <v>0</v>
      </c>
      <c r="AP60" s="4536"/>
      <c r="AQ60" s="4534">
        <f t="shared" si="88"/>
        <v>0</v>
      </c>
      <c r="AR60" s="4551"/>
      <c r="AS60" s="4551"/>
      <c r="AT60" s="4536"/>
      <c r="AU60" s="4534">
        <f t="shared" si="89"/>
        <v>0</v>
      </c>
      <c r="AV60" s="4551"/>
      <c r="AW60" s="4551"/>
      <c r="AX60" s="4536"/>
      <c r="AY60" s="4534">
        <f t="shared" si="90"/>
        <v>0</v>
      </c>
      <c r="AZ60" s="4551"/>
      <c r="BA60" s="4551"/>
      <c r="BB60" s="4673"/>
      <c r="BC60" s="4535">
        <f t="shared" si="91"/>
        <v>0</v>
      </c>
      <c r="BD60" s="4538"/>
      <c r="BE60" s="4539">
        <f t="shared" si="13"/>
        <v>0</v>
      </c>
      <c r="BF60" s="4536"/>
      <c r="BG60" s="4534">
        <f t="shared" si="92"/>
        <v>0</v>
      </c>
      <c r="BH60" s="26"/>
      <c r="BI60" s="26"/>
    </row>
    <row r="61" spans="3:61" ht="16.5" x14ac:dyDescent="0.25">
      <c r="C61" s="4531" t="s">
        <v>978</v>
      </c>
      <c r="D61" s="4531" t="s">
        <v>1108</v>
      </c>
      <c r="E61" s="6192"/>
      <c r="F61" s="4531"/>
      <c r="G61" s="4551">
        <v>685</v>
      </c>
      <c r="H61" s="4551"/>
      <c r="I61" s="4551">
        <v>480</v>
      </c>
      <c r="J61" s="4534"/>
      <c r="K61" s="4534">
        <f t="shared" si="15"/>
        <v>1165</v>
      </c>
      <c r="L61" s="4551"/>
      <c r="M61" s="4551">
        <v>613</v>
      </c>
      <c r="N61" s="4535"/>
      <c r="O61" s="4535">
        <f t="shared" si="2"/>
        <v>1778</v>
      </c>
      <c r="P61" s="4551"/>
      <c r="Q61" s="4551"/>
      <c r="R61" s="4536"/>
      <c r="S61" s="4534">
        <f t="shared" si="3"/>
        <v>1778</v>
      </c>
      <c r="T61" s="4551"/>
      <c r="U61" s="4551"/>
      <c r="V61" s="4536"/>
      <c r="W61" s="4534">
        <f t="shared" si="4"/>
        <v>1778</v>
      </c>
      <c r="X61" s="4537"/>
      <c r="Y61" s="4551"/>
      <c r="Z61" s="4535"/>
      <c r="AA61" s="4535">
        <f t="shared" si="5"/>
        <v>0</v>
      </c>
      <c r="AB61" s="4538"/>
      <c r="AC61" s="4539">
        <f t="shared" si="6"/>
        <v>1778</v>
      </c>
      <c r="AD61" s="4551"/>
      <c r="AE61" s="4551"/>
      <c r="AF61" s="4536"/>
      <c r="AG61" s="4534">
        <f t="shared" si="7"/>
        <v>1778</v>
      </c>
      <c r="AH61" s="4551"/>
      <c r="AI61" s="4551"/>
      <c r="AJ61" s="4536"/>
      <c r="AK61" s="4534">
        <f t="shared" si="8"/>
        <v>1778</v>
      </c>
      <c r="AL61" s="4551"/>
      <c r="AM61" s="4551"/>
      <c r="AN61" s="4673"/>
      <c r="AO61" s="4535">
        <f t="shared" si="9"/>
        <v>0</v>
      </c>
      <c r="AP61" s="4536"/>
      <c r="AQ61" s="4534">
        <f t="shared" si="88"/>
        <v>1778</v>
      </c>
      <c r="AR61" s="4551"/>
      <c r="AS61" s="4551"/>
      <c r="AT61" s="4536"/>
      <c r="AU61" s="4534">
        <f t="shared" si="89"/>
        <v>1778</v>
      </c>
      <c r="AV61" s="4551"/>
      <c r="AW61" s="4551"/>
      <c r="AX61" s="4536"/>
      <c r="AY61" s="4534">
        <f t="shared" si="90"/>
        <v>1778</v>
      </c>
      <c r="AZ61" s="4551"/>
      <c r="BA61" s="4551"/>
      <c r="BB61" s="4673"/>
      <c r="BC61" s="4535">
        <f t="shared" si="91"/>
        <v>0</v>
      </c>
      <c r="BD61" s="4538"/>
      <c r="BE61" s="4539">
        <f t="shared" si="13"/>
        <v>0</v>
      </c>
      <c r="BF61" s="4536"/>
      <c r="BG61" s="4534">
        <f t="shared" si="92"/>
        <v>1778</v>
      </c>
      <c r="BH61" s="26"/>
      <c r="BI61" s="26"/>
    </row>
    <row r="62" spans="3:61" ht="16.5" x14ac:dyDescent="0.25">
      <c r="C62" s="4531" t="s">
        <v>978</v>
      </c>
      <c r="D62" s="5378" t="s">
        <v>2221</v>
      </c>
      <c r="E62" s="6192"/>
      <c r="F62" s="5378"/>
      <c r="G62" s="5379">
        <v>1636</v>
      </c>
      <c r="H62" s="5379"/>
      <c r="I62" s="5379"/>
      <c r="J62" s="5380"/>
      <c r="K62" s="4534">
        <f t="shared" si="15"/>
        <v>1636</v>
      </c>
      <c r="L62" s="5379"/>
      <c r="M62" s="5379"/>
      <c r="N62" s="5381"/>
      <c r="O62" s="4535">
        <f t="shared" si="2"/>
        <v>1636</v>
      </c>
      <c r="P62" s="5379"/>
      <c r="Q62" s="5379"/>
      <c r="R62" s="4536"/>
      <c r="S62" s="5380"/>
      <c r="T62" s="5379"/>
      <c r="U62" s="5379"/>
      <c r="V62" s="4536"/>
      <c r="W62" s="5380"/>
      <c r="X62" s="5379"/>
      <c r="Y62" s="5379"/>
      <c r="Z62" s="5381"/>
      <c r="AA62" s="5381"/>
      <c r="AB62" s="5382"/>
      <c r="AC62" s="5382"/>
      <c r="AD62" s="5379"/>
      <c r="AE62" s="5379"/>
      <c r="AF62" s="4536"/>
      <c r="AG62" s="5380"/>
      <c r="AH62" s="5379"/>
      <c r="AI62" s="5379"/>
      <c r="AJ62" s="4536"/>
      <c r="AK62" s="5380"/>
      <c r="AL62" s="5379"/>
      <c r="AM62" s="5379"/>
      <c r="AN62" s="4673"/>
      <c r="AO62" s="5381"/>
      <c r="AP62" s="4536"/>
      <c r="AQ62" s="5380"/>
      <c r="AR62" s="5379"/>
      <c r="AS62" s="5379"/>
      <c r="AT62" s="4536"/>
      <c r="AU62" s="5380"/>
      <c r="AV62" s="5379"/>
      <c r="AW62" s="5379"/>
      <c r="AX62" s="4536"/>
      <c r="AY62" s="5380"/>
      <c r="AZ62" s="5379"/>
      <c r="BA62" s="5379"/>
      <c r="BB62" s="4673"/>
      <c r="BC62" s="5381"/>
      <c r="BD62" s="5382"/>
      <c r="BE62" s="5382"/>
      <c r="BF62" s="4536"/>
      <c r="BG62" s="5380"/>
      <c r="BH62" s="26"/>
      <c r="BI62" s="26"/>
    </row>
    <row r="63" spans="3:61" ht="16.5" x14ac:dyDescent="0.25">
      <c r="C63" s="4540" t="s">
        <v>978</v>
      </c>
      <c r="D63" s="4540" t="s">
        <v>1945</v>
      </c>
      <c r="E63" s="6192"/>
      <c r="F63" s="4540"/>
      <c r="G63" s="4537">
        <v>1306</v>
      </c>
      <c r="H63" s="4537"/>
      <c r="I63" s="4537">
        <v>110</v>
      </c>
      <c r="J63" s="4544"/>
      <c r="K63" s="4534">
        <f t="shared" si="15"/>
        <v>1416</v>
      </c>
      <c r="L63" s="4537"/>
      <c r="M63" s="4537"/>
      <c r="N63" s="4543"/>
      <c r="O63" s="4535">
        <f t="shared" si="2"/>
        <v>1416</v>
      </c>
      <c r="P63" s="4537"/>
      <c r="Q63" s="4537"/>
      <c r="R63" s="4536"/>
      <c r="S63" s="4534">
        <f t="shared" si="3"/>
        <v>1416</v>
      </c>
      <c r="T63" s="4537"/>
      <c r="U63" s="4537"/>
      <c r="V63" s="4536"/>
      <c r="W63" s="4534">
        <f t="shared" si="4"/>
        <v>1416</v>
      </c>
      <c r="X63" s="4537"/>
      <c r="Y63" s="4537"/>
      <c r="Z63" s="4543"/>
      <c r="AA63" s="4535">
        <f t="shared" si="5"/>
        <v>0</v>
      </c>
      <c r="AB63" s="4538"/>
      <c r="AC63" s="4539">
        <f t="shared" si="6"/>
        <v>1416</v>
      </c>
      <c r="AD63" s="4537"/>
      <c r="AE63" s="4537"/>
      <c r="AF63" s="4536"/>
      <c r="AG63" s="4534">
        <f t="shared" si="7"/>
        <v>1416</v>
      </c>
      <c r="AH63" s="4537"/>
      <c r="AI63" s="4537"/>
      <c r="AJ63" s="4536"/>
      <c r="AK63" s="4534">
        <f t="shared" si="8"/>
        <v>1416</v>
      </c>
      <c r="AL63" s="4537"/>
      <c r="AM63" s="4537"/>
      <c r="AN63" s="4673"/>
      <c r="AO63" s="4535">
        <f t="shared" si="9"/>
        <v>0</v>
      </c>
      <c r="AP63" s="4536"/>
      <c r="AQ63" s="4534">
        <f t="shared" si="88"/>
        <v>1416</v>
      </c>
      <c r="AR63" s="4537"/>
      <c r="AS63" s="4537">
        <v>708.19</v>
      </c>
      <c r="AT63" s="4536"/>
      <c r="AU63" s="4534">
        <f t="shared" si="89"/>
        <v>2124.19</v>
      </c>
      <c r="AV63" s="4537"/>
      <c r="AW63" s="4537"/>
      <c r="AX63" s="4536"/>
      <c r="AY63" s="4534">
        <f t="shared" si="90"/>
        <v>2124.19</v>
      </c>
      <c r="AZ63" s="4537"/>
      <c r="BA63" s="4537"/>
      <c r="BB63" s="4673"/>
      <c r="BC63" s="4535">
        <f t="shared" si="91"/>
        <v>708.19</v>
      </c>
      <c r="BD63" s="4538"/>
      <c r="BE63" s="4539">
        <f t="shared" si="13"/>
        <v>708.19</v>
      </c>
      <c r="BF63" s="4536"/>
      <c r="BG63" s="4534">
        <f t="shared" si="92"/>
        <v>2124.19</v>
      </c>
      <c r="BH63" s="26"/>
      <c r="BI63" s="26"/>
    </row>
    <row r="64" spans="3:61" ht="16.5" x14ac:dyDescent="0.25">
      <c r="C64" s="4531" t="s">
        <v>978</v>
      </c>
      <c r="D64" s="4531" t="s">
        <v>1103</v>
      </c>
      <c r="E64" s="6192"/>
      <c r="F64" s="4531"/>
      <c r="G64" s="4551"/>
      <c r="H64" s="4551"/>
      <c r="I64" s="4551"/>
      <c r="J64" s="4534"/>
      <c r="K64" s="4534">
        <f t="shared" si="15"/>
        <v>0</v>
      </c>
      <c r="L64" s="4551"/>
      <c r="M64" s="4551"/>
      <c r="N64" s="4535"/>
      <c r="O64" s="4535">
        <f t="shared" si="2"/>
        <v>0</v>
      </c>
      <c r="P64" s="4551"/>
      <c r="Q64" s="4551"/>
      <c r="R64" s="4536"/>
      <c r="S64" s="4534">
        <f t="shared" si="3"/>
        <v>0</v>
      </c>
      <c r="T64" s="4551"/>
      <c r="U64" s="4551"/>
      <c r="V64" s="4536"/>
      <c r="W64" s="4534">
        <f t="shared" si="4"/>
        <v>0</v>
      </c>
      <c r="X64" s="4537"/>
      <c r="Y64" s="4551"/>
      <c r="Z64" s="4535"/>
      <c r="AA64" s="4535">
        <f t="shared" si="5"/>
        <v>0</v>
      </c>
      <c r="AB64" s="4538"/>
      <c r="AC64" s="4539">
        <f t="shared" si="6"/>
        <v>0</v>
      </c>
      <c r="AD64" s="4551"/>
      <c r="AE64" s="4551"/>
      <c r="AF64" s="4536"/>
      <c r="AG64" s="4534">
        <f t="shared" si="7"/>
        <v>0</v>
      </c>
      <c r="AH64" s="4551"/>
      <c r="AI64" s="4551"/>
      <c r="AJ64" s="4536"/>
      <c r="AK64" s="4534">
        <f t="shared" si="8"/>
        <v>0</v>
      </c>
      <c r="AL64" s="4551"/>
      <c r="AM64" s="4551"/>
      <c r="AN64" s="4673"/>
      <c r="AO64" s="4535">
        <f t="shared" si="9"/>
        <v>0</v>
      </c>
      <c r="AP64" s="4536"/>
      <c r="AQ64" s="4534">
        <f t="shared" si="88"/>
        <v>0</v>
      </c>
      <c r="AR64" s="4551"/>
      <c r="AS64" s="4551"/>
      <c r="AT64" s="4536"/>
      <c r="AU64" s="4534">
        <f t="shared" si="89"/>
        <v>0</v>
      </c>
      <c r="AV64" s="4551"/>
      <c r="AW64" s="4551"/>
      <c r="AX64" s="4536"/>
      <c r="AY64" s="4534">
        <f t="shared" si="90"/>
        <v>0</v>
      </c>
      <c r="AZ64" s="4551"/>
      <c r="BA64" s="4551"/>
      <c r="BB64" s="4673"/>
      <c r="BC64" s="4535">
        <f t="shared" si="91"/>
        <v>0</v>
      </c>
      <c r="BD64" s="4538"/>
      <c r="BE64" s="4539">
        <f t="shared" si="13"/>
        <v>0</v>
      </c>
      <c r="BF64" s="4536"/>
      <c r="BG64" s="4534">
        <f t="shared" si="92"/>
        <v>0</v>
      </c>
      <c r="BH64" s="26"/>
      <c r="BI64" s="26"/>
    </row>
    <row r="65" spans="1:61" ht="16.5" x14ac:dyDescent="0.25">
      <c r="C65" s="4531" t="s">
        <v>978</v>
      </c>
      <c r="D65" s="4531" t="s">
        <v>1075</v>
      </c>
      <c r="E65" s="6192"/>
      <c r="F65" s="4531"/>
      <c r="G65" s="4551"/>
      <c r="H65" s="4551"/>
      <c r="I65" s="4551"/>
      <c r="J65" s="4534"/>
      <c r="K65" s="4534">
        <f t="shared" si="15"/>
        <v>0</v>
      </c>
      <c r="L65" s="4551"/>
      <c r="M65" s="4551">
        <v>3911</v>
      </c>
      <c r="N65" s="4535"/>
      <c r="O65" s="4535">
        <f t="shared" si="2"/>
        <v>3911</v>
      </c>
      <c r="P65" s="4551"/>
      <c r="Q65" s="4551"/>
      <c r="R65" s="4536"/>
      <c r="S65" s="4534">
        <f t="shared" si="3"/>
        <v>3911</v>
      </c>
      <c r="T65" s="4551"/>
      <c r="U65" s="4551"/>
      <c r="V65" s="4536"/>
      <c r="W65" s="4534">
        <f t="shared" si="4"/>
        <v>3911</v>
      </c>
      <c r="X65" s="4537"/>
      <c r="Y65" s="4551">
        <v>1778</v>
      </c>
      <c r="Z65" s="4535"/>
      <c r="AA65" s="4535">
        <f t="shared" si="5"/>
        <v>1778</v>
      </c>
      <c r="AB65" s="4538"/>
      <c r="AC65" s="4539">
        <f t="shared" si="6"/>
        <v>5689</v>
      </c>
      <c r="AD65" s="4551"/>
      <c r="AE65" s="4551"/>
      <c r="AF65" s="4536"/>
      <c r="AG65" s="4534">
        <f t="shared" si="7"/>
        <v>5689</v>
      </c>
      <c r="AH65" s="4551"/>
      <c r="AI65" s="4551"/>
      <c r="AJ65" s="4536"/>
      <c r="AK65" s="4534">
        <f t="shared" si="8"/>
        <v>5689</v>
      </c>
      <c r="AL65" s="4551"/>
      <c r="AM65" s="4551">
        <v>7426.482</v>
      </c>
      <c r="AN65" s="4673"/>
      <c r="AO65" s="4535">
        <f t="shared" si="9"/>
        <v>7426.482</v>
      </c>
      <c r="AP65" s="4536"/>
      <c r="AQ65" s="4534">
        <f t="shared" si="88"/>
        <v>13115.482</v>
      </c>
      <c r="AR65" s="4551"/>
      <c r="AS65" s="4551">
        <v>5065.1440000000002</v>
      </c>
      <c r="AT65" s="4536"/>
      <c r="AU65" s="4534">
        <f t="shared" si="89"/>
        <v>18180.626</v>
      </c>
      <c r="AV65" s="4551"/>
      <c r="AW65" s="4551">
        <v>3792.5160000000001</v>
      </c>
      <c r="AX65" s="4536"/>
      <c r="AY65" s="4534">
        <f t="shared" si="90"/>
        <v>21973.142</v>
      </c>
      <c r="AZ65" s="4551"/>
      <c r="BA65" s="4551">
        <v>1951</v>
      </c>
      <c r="BB65" s="4673"/>
      <c r="BC65" s="4535">
        <f t="shared" si="91"/>
        <v>10808.66</v>
      </c>
      <c r="BD65" s="4538"/>
      <c r="BE65" s="4539">
        <f t="shared" si="13"/>
        <v>18235.142</v>
      </c>
      <c r="BF65" s="4536"/>
      <c r="BG65" s="4534">
        <f t="shared" si="92"/>
        <v>23924.142</v>
      </c>
      <c r="BH65" s="26"/>
      <c r="BI65" s="26"/>
    </row>
    <row r="66" spans="1:61" ht="16.5" x14ac:dyDescent="0.25">
      <c r="C66" s="4531" t="s">
        <v>978</v>
      </c>
      <c r="D66" s="4531" t="s">
        <v>1534</v>
      </c>
      <c r="E66" s="6192"/>
      <c r="F66" s="4531"/>
      <c r="G66" s="4551"/>
      <c r="H66" s="4551"/>
      <c r="I66" s="4551"/>
      <c r="J66" s="4534"/>
      <c r="K66" s="4534">
        <f t="shared" si="15"/>
        <v>0</v>
      </c>
      <c r="L66" s="4551"/>
      <c r="M66" s="4551"/>
      <c r="N66" s="4535"/>
      <c r="O66" s="4535">
        <f t="shared" si="2"/>
        <v>0</v>
      </c>
      <c r="P66" s="4551"/>
      <c r="Q66" s="4551"/>
      <c r="R66" s="4536"/>
      <c r="S66" s="4534">
        <f t="shared" si="3"/>
        <v>0</v>
      </c>
      <c r="T66" s="4551"/>
      <c r="U66" s="4551"/>
      <c r="V66" s="4536"/>
      <c r="W66" s="4534">
        <f t="shared" si="4"/>
        <v>0</v>
      </c>
      <c r="X66" s="4537"/>
      <c r="Y66" s="4551"/>
      <c r="Z66" s="4535"/>
      <c r="AA66" s="4535">
        <f t="shared" si="5"/>
        <v>0</v>
      </c>
      <c r="AB66" s="4538"/>
      <c r="AC66" s="4539">
        <f t="shared" si="6"/>
        <v>0</v>
      </c>
      <c r="AD66" s="4551"/>
      <c r="AE66" s="4551"/>
      <c r="AF66" s="4536"/>
      <c r="AG66" s="4534">
        <f t="shared" si="7"/>
        <v>0</v>
      </c>
      <c r="AH66" s="4551"/>
      <c r="AI66" s="4551"/>
      <c r="AJ66" s="4536"/>
      <c r="AK66" s="4534">
        <f t="shared" si="8"/>
        <v>0</v>
      </c>
      <c r="AL66" s="4551"/>
      <c r="AM66" s="4551"/>
      <c r="AN66" s="4673"/>
      <c r="AO66" s="4535">
        <f t="shared" si="9"/>
        <v>0</v>
      </c>
      <c r="AP66" s="4536"/>
      <c r="AQ66" s="4534">
        <f t="shared" si="88"/>
        <v>0</v>
      </c>
      <c r="AR66" s="4551"/>
      <c r="AS66" s="4551"/>
      <c r="AT66" s="4536"/>
      <c r="AU66" s="4534">
        <f t="shared" si="89"/>
        <v>0</v>
      </c>
      <c r="AV66" s="4551"/>
      <c r="AW66" s="4551"/>
      <c r="AX66" s="4536"/>
      <c r="AY66" s="4534">
        <f t="shared" si="90"/>
        <v>0</v>
      </c>
      <c r="AZ66" s="4551"/>
      <c r="BA66" s="4551"/>
      <c r="BB66" s="4673"/>
      <c r="BC66" s="4535">
        <f t="shared" si="91"/>
        <v>0</v>
      </c>
      <c r="BD66" s="4538"/>
      <c r="BE66" s="4539">
        <f t="shared" si="13"/>
        <v>0</v>
      </c>
      <c r="BF66" s="4536"/>
      <c r="BG66" s="4534">
        <f t="shared" si="92"/>
        <v>0</v>
      </c>
      <c r="BH66" s="26"/>
      <c r="BI66" s="26"/>
    </row>
    <row r="67" spans="1:61" ht="16.5" x14ac:dyDescent="0.25">
      <c r="C67" s="4531" t="s">
        <v>978</v>
      </c>
      <c r="D67" s="4531" t="s">
        <v>1076</v>
      </c>
      <c r="E67" s="6192"/>
      <c r="F67" s="4531"/>
      <c r="G67" s="4551"/>
      <c r="H67" s="4551"/>
      <c r="I67" s="4551"/>
      <c r="J67" s="4534"/>
      <c r="K67" s="4534">
        <f t="shared" si="15"/>
        <v>0</v>
      </c>
      <c r="L67" s="4551"/>
      <c r="M67" s="4551"/>
      <c r="N67" s="4535"/>
      <c r="O67" s="4535">
        <f t="shared" si="2"/>
        <v>0</v>
      </c>
      <c r="P67" s="4551"/>
      <c r="Q67" s="4551"/>
      <c r="R67" s="4536"/>
      <c r="S67" s="4534">
        <f t="shared" si="3"/>
        <v>0</v>
      </c>
      <c r="T67" s="4551"/>
      <c r="U67" s="4551"/>
      <c r="V67" s="4536"/>
      <c r="W67" s="4534">
        <f t="shared" si="4"/>
        <v>0</v>
      </c>
      <c r="X67" s="4537"/>
      <c r="Y67" s="4551"/>
      <c r="Z67" s="4535"/>
      <c r="AA67" s="4535">
        <f t="shared" si="5"/>
        <v>0</v>
      </c>
      <c r="AB67" s="4538"/>
      <c r="AC67" s="4539">
        <f t="shared" si="6"/>
        <v>0</v>
      </c>
      <c r="AD67" s="4551"/>
      <c r="AE67" s="4551"/>
      <c r="AF67" s="4536"/>
      <c r="AG67" s="4534">
        <f t="shared" si="7"/>
        <v>0</v>
      </c>
      <c r="AH67" s="4551"/>
      <c r="AI67" s="4551"/>
      <c r="AJ67" s="4536"/>
      <c r="AK67" s="4534">
        <f t="shared" si="8"/>
        <v>0</v>
      </c>
      <c r="AL67" s="4551"/>
      <c r="AM67" s="4551"/>
      <c r="AN67" s="4673"/>
      <c r="AO67" s="4535">
        <f t="shared" si="9"/>
        <v>0</v>
      </c>
      <c r="AP67" s="4536"/>
      <c r="AQ67" s="4534">
        <f t="shared" si="88"/>
        <v>0</v>
      </c>
      <c r="AR67" s="4551"/>
      <c r="AS67" s="4551"/>
      <c r="AT67" s="4536"/>
      <c r="AU67" s="4534">
        <f t="shared" si="89"/>
        <v>0</v>
      </c>
      <c r="AV67" s="4551"/>
      <c r="AW67" s="4551"/>
      <c r="AX67" s="4536"/>
      <c r="AY67" s="4534">
        <f t="shared" si="90"/>
        <v>0</v>
      </c>
      <c r="AZ67" s="4551"/>
      <c r="BA67" s="4551"/>
      <c r="BB67" s="4673"/>
      <c r="BC67" s="4535">
        <f t="shared" si="91"/>
        <v>0</v>
      </c>
      <c r="BD67" s="4538"/>
      <c r="BE67" s="4539">
        <f t="shared" si="13"/>
        <v>0</v>
      </c>
      <c r="BF67" s="4536"/>
      <c r="BG67" s="4534">
        <f t="shared" si="92"/>
        <v>0</v>
      </c>
      <c r="BH67" s="26"/>
      <c r="BI67" s="26"/>
    </row>
    <row r="68" spans="1:61" ht="16.5" x14ac:dyDescent="0.25">
      <c r="C68" s="4531" t="s">
        <v>978</v>
      </c>
      <c r="D68" s="4531" t="s">
        <v>1572</v>
      </c>
      <c r="E68" s="6192"/>
      <c r="F68" s="4531"/>
      <c r="G68" s="4551">
        <v>723</v>
      </c>
      <c r="H68" s="4551"/>
      <c r="I68" s="4551">
        <v>590</v>
      </c>
      <c r="J68" s="4534"/>
      <c r="K68" s="4534">
        <f t="shared" si="15"/>
        <v>1313</v>
      </c>
      <c r="L68" s="4551"/>
      <c r="M68" s="4551">
        <v>619</v>
      </c>
      <c r="N68" s="4535"/>
      <c r="O68" s="4535">
        <f t="shared" si="2"/>
        <v>1932</v>
      </c>
      <c r="P68" s="4551"/>
      <c r="Q68" s="4551">
        <v>583</v>
      </c>
      <c r="R68" s="4536"/>
      <c r="S68" s="4534">
        <f t="shared" si="3"/>
        <v>2515</v>
      </c>
      <c r="T68" s="4551"/>
      <c r="U68" s="4551">
        <v>112.042</v>
      </c>
      <c r="V68" s="4536"/>
      <c r="W68" s="4534">
        <f t="shared" si="4"/>
        <v>2627.0419999999999</v>
      </c>
      <c r="X68" s="4537"/>
      <c r="Y68" s="4551">
        <v>674</v>
      </c>
      <c r="Z68" s="4535"/>
      <c r="AA68" s="4535">
        <f t="shared" si="5"/>
        <v>1369.0419999999999</v>
      </c>
      <c r="AB68" s="4538"/>
      <c r="AC68" s="4539">
        <f t="shared" si="6"/>
        <v>3301.0419999999999</v>
      </c>
      <c r="AD68" s="4551"/>
      <c r="AE68" s="4551"/>
      <c r="AF68" s="4536"/>
      <c r="AG68" s="4534">
        <f t="shared" si="7"/>
        <v>3301.0419999999999</v>
      </c>
      <c r="AH68" s="4551"/>
      <c r="AI68" s="4551"/>
      <c r="AJ68" s="4536"/>
      <c r="AK68" s="4534">
        <f t="shared" si="8"/>
        <v>3301.0419999999999</v>
      </c>
      <c r="AL68" s="4551"/>
      <c r="AM68" s="4551"/>
      <c r="AN68" s="4673"/>
      <c r="AO68" s="4535">
        <f t="shared" si="9"/>
        <v>0</v>
      </c>
      <c r="AP68" s="4536"/>
      <c r="AQ68" s="4718">
        <f t="shared" si="88"/>
        <v>3301.0419999999999</v>
      </c>
      <c r="AR68" s="4551"/>
      <c r="AS68" s="4551">
        <v>832.91600000000005</v>
      </c>
      <c r="AT68" s="4536"/>
      <c r="AU68" s="4534">
        <f t="shared" si="89"/>
        <v>4133.9579999999996</v>
      </c>
      <c r="AV68" s="4551"/>
      <c r="AW68" s="4551">
        <v>1663.7180000000001</v>
      </c>
      <c r="AX68" s="4536"/>
      <c r="AY68" s="4534">
        <f t="shared" si="90"/>
        <v>5797.6759999999995</v>
      </c>
      <c r="AZ68" s="4551"/>
      <c r="BA68" s="4551"/>
      <c r="BB68" s="4673"/>
      <c r="BC68" s="4535">
        <f t="shared" si="91"/>
        <v>2496.634</v>
      </c>
      <c r="BD68" s="4538"/>
      <c r="BE68" s="4539">
        <f t="shared" si="13"/>
        <v>2496.634</v>
      </c>
      <c r="BF68" s="4536"/>
      <c r="BG68" s="4534">
        <f t="shared" si="92"/>
        <v>5797.6759999999995</v>
      </c>
      <c r="BH68" s="26"/>
      <c r="BI68" s="26"/>
    </row>
    <row r="69" spans="1:61" ht="16.5" x14ac:dyDescent="0.25">
      <c r="C69" s="4552" t="s">
        <v>978</v>
      </c>
      <c r="D69" s="4552" t="s">
        <v>1715</v>
      </c>
      <c r="E69" s="6192"/>
      <c r="F69" s="4552"/>
      <c r="G69" s="4553"/>
      <c r="H69" s="4553"/>
      <c r="I69" s="4553">
        <v>258</v>
      </c>
      <c r="J69" s="4554"/>
      <c r="K69" s="4534">
        <f t="shared" si="15"/>
        <v>258</v>
      </c>
      <c r="L69" s="4553"/>
      <c r="M69" s="4553"/>
      <c r="N69" s="4555"/>
      <c r="O69" s="4535">
        <f t="shared" si="2"/>
        <v>258</v>
      </c>
      <c r="P69" s="4553"/>
      <c r="Q69" s="4553">
        <v>560</v>
      </c>
      <c r="R69" s="4536"/>
      <c r="S69" s="4534">
        <f t="shared" si="3"/>
        <v>818</v>
      </c>
      <c r="T69" s="4553"/>
      <c r="U69" s="4553"/>
      <c r="V69" s="4536"/>
      <c r="W69" s="4534">
        <f t="shared" si="4"/>
        <v>818</v>
      </c>
      <c r="X69" s="4537"/>
      <c r="Y69" s="4553"/>
      <c r="Z69" s="4555"/>
      <c r="AA69" s="4535">
        <f t="shared" si="5"/>
        <v>560</v>
      </c>
      <c r="AB69" s="4538"/>
      <c r="AC69" s="4539">
        <f t="shared" si="6"/>
        <v>818</v>
      </c>
      <c r="AD69" s="4553"/>
      <c r="AE69" s="4553"/>
      <c r="AF69" s="4536"/>
      <c r="AG69" s="4534">
        <f t="shared" si="7"/>
        <v>818</v>
      </c>
      <c r="AH69" s="4553"/>
      <c r="AI69" s="4553"/>
      <c r="AJ69" s="4536"/>
      <c r="AK69" s="4534">
        <f t="shared" si="8"/>
        <v>818</v>
      </c>
      <c r="AL69" s="4553"/>
      <c r="AM69" s="4553">
        <v>257.90800000000002</v>
      </c>
      <c r="AN69" s="4673"/>
      <c r="AO69" s="4535">
        <f t="shared" si="9"/>
        <v>257.90800000000002</v>
      </c>
      <c r="AP69" s="4536"/>
      <c r="AQ69" s="4718">
        <f t="shared" si="88"/>
        <v>1075.9079999999999</v>
      </c>
      <c r="AR69" s="4553"/>
      <c r="AS69" s="4553"/>
      <c r="AT69" s="4536"/>
      <c r="AU69" s="4534">
        <f t="shared" si="89"/>
        <v>1075.9079999999999</v>
      </c>
      <c r="AV69" s="4553"/>
      <c r="AW69" s="4553"/>
      <c r="AX69" s="4536"/>
      <c r="AY69" s="4534">
        <f t="shared" si="90"/>
        <v>1075.9079999999999</v>
      </c>
      <c r="AZ69" s="4553"/>
      <c r="BA69" s="4553"/>
      <c r="BB69" s="4673"/>
      <c r="BC69" s="4535">
        <f t="shared" si="91"/>
        <v>0</v>
      </c>
      <c r="BD69" s="4538"/>
      <c r="BE69" s="4539">
        <f t="shared" si="13"/>
        <v>257.90800000000002</v>
      </c>
      <c r="BF69" s="4536"/>
      <c r="BG69" s="4534">
        <f t="shared" si="92"/>
        <v>1075.9079999999999</v>
      </c>
      <c r="BH69" s="26"/>
      <c r="BI69" s="26"/>
    </row>
    <row r="70" spans="1:61" ht="16.5" x14ac:dyDescent="0.25">
      <c r="C70" s="4531" t="s">
        <v>978</v>
      </c>
      <c r="D70" s="4531" t="s">
        <v>1654</v>
      </c>
      <c r="E70" s="6192"/>
      <c r="F70" s="4531"/>
      <c r="G70" s="4551"/>
      <c r="H70" s="4551"/>
      <c r="I70" s="4551"/>
      <c r="J70" s="4534"/>
      <c r="K70" s="4534">
        <f t="shared" si="15"/>
        <v>0</v>
      </c>
      <c r="L70" s="4551"/>
      <c r="M70" s="4551"/>
      <c r="N70" s="4535"/>
      <c r="O70" s="4535">
        <f t="shared" si="2"/>
        <v>0</v>
      </c>
      <c r="P70" s="4551"/>
      <c r="Q70" s="4551"/>
      <c r="R70" s="4536"/>
      <c r="S70" s="4534">
        <f t="shared" si="3"/>
        <v>0</v>
      </c>
      <c r="T70" s="4551"/>
      <c r="U70" s="4551"/>
      <c r="V70" s="4536"/>
      <c r="W70" s="4534">
        <f t="shared" si="4"/>
        <v>0</v>
      </c>
      <c r="X70" s="4537"/>
      <c r="Y70" s="4551"/>
      <c r="Z70" s="4535"/>
      <c r="AA70" s="4535">
        <f t="shared" si="5"/>
        <v>0</v>
      </c>
      <c r="AB70" s="4538"/>
      <c r="AC70" s="4539">
        <f t="shared" si="6"/>
        <v>0</v>
      </c>
      <c r="AD70" s="4551"/>
      <c r="AE70" s="4551"/>
      <c r="AF70" s="4536"/>
      <c r="AG70" s="4534">
        <f t="shared" si="7"/>
        <v>0</v>
      </c>
      <c r="AH70" s="4551"/>
      <c r="AI70" s="4551"/>
      <c r="AJ70" s="4536"/>
      <c r="AK70" s="4534">
        <f t="shared" si="8"/>
        <v>0</v>
      </c>
      <c r="AL70" s="4551"/>
      <c r="AM70" s="4551"/>
      <c r="AN70" s="4673"/>
      <c r="AO70" s="4535">
        <f t="shared" si="9"/>
        <v>0</v>
      </c>
      <c r="AP70" s="4536"/>
      <c r="AQ70" s="4534">
        <f t="shared" si="88"/>
        <v>0</v>
      </c>
      <c r="AR70" s="4551"/>
      <c r="AS70" s="4551"/>
      <c r="AT70" s="4536"/>
      <c r="AU70" s="4534">
        <f t="shared" si="89"/>
        <v>0</v>
      </c>
      <c r="AV70" s="4551"/>
      <c r="AW70" s="4551"/>
      <c r="AX70" s="4536"/>
      <c r="AY70" s="4534">
        <f t="shared" si="90"/>
        <v>0</v>
      </c>
      <c r="AZ70" s="4551"/>
      <c r="BA70" s="4551"/>
      <c r="BB70" s="4673"/>
      <c r="BC70" s="4535">
        <f t="shared" si="91"/>
        <v>0</v>
      </c>
      <c r="BD70" s="4538"/>
      <c r="BE70" s="4539">
        <f t="shared" si="13"/>
        <v>0</v>
      </c>
      <c r="BF70" s="4536"/>
      <c r="BG70" s="4534">
        <f t="shared" si="92"/>
        <v>0</v>
      </c>
      <c r="BH70" s="26"/>
      <c r="BI70" s="26"/>
    </row>
    <row r="71" spans="1:61" ht="16.5" x14ac:dyDescent="0.25">
      <c r="C71" s="4531" t="s">
        <v>978</v>
      </c>
      <c r="D71" s="4556" t="s">
        <v>1966</v>
      </c>
      <c r="E71" s="6192"/>
      <c r="F71" s="4556"/>
      <c r="G71" s="4557"/>
      <c r="H71" s="4557"/>
      <c r="I71" s="4557"/>
      <c r="J71" s="4558"/>
      <c r="K71" s="4534">
        <f t="shared" si="15"/>
        <v>0</v>
      </c>
      <c r="L71" s="4557"/>
      <c r="M71" s="4557"/>
      <c r="N71" s="4559"/>
      <c r="O71" s="4535">
        <f t="shared" si="2"/>
        <v>0</v>
      </c>
      <c r="P71" s="4557"/>
      <c r="Q71" s="4557">
        <v>264</v>
      </c>
      <c r="R71" s="4536"/>
      <c r="S71" s="4534">
        <f t="shared" si="3"/>
        <v>264</v>
      </c>
      <c r="T71" s="4557"/>
      <c r="U71" s="4557"/>
      <c r="V71" s="4536"/>
      <c r="W71" s="4534">
        <f t="shared" si="4"/>
        <v>264</v>
      </c>
      <c r="X71" s="4557"/>
      <c r="Y71" s="4557"/>
      <c r="Z71" s="4559"/>
      <c r="AA71" s="4535">
        <f t="shared" si="5"/>
        <v>264</v>
      </c>
      <c r="AB71" s="4560"/>
      <c r="AC71" s="4539">
        <f t="shared" si="6"/>
        <v>264</v>
      </c>
      <c r="AD71" s="4557"/>
      <c r="AE71" s="4557">
        <v>293.846</v>
      </c>
      <c r="AF71" s="4536"/>
      <c r="AG71" s="4534">
        <f t="shared" si="7"/>
        <v>557.846</v>
      </c>
      <c r="AH71" s="4557"/>
      <c r="AI71" s="4557"/>
      <c r="AJ71" s="4536"/>
      <c r="AK71" s="4534">
        <f t="shared" si="8"/>
        <v>557.846</v>
      </c>
      <c r="AL71" s="4557"/>
      <c r="AM71" s="4557"/>
      <c r="AN71" s="4673"/>
      <c r="AO71" s="4535">
        <f t="shared" si="9"/>
        <v>293.846</v>
      </c>
      <c r="AP71" s="4536"/>
      <c r="AQ71" s="4534">
        <f t="shared" si="88"/>
        <v>557.846</v>
      </c>
      <c r="AR71" s="4557"/>
      <c r="AS71" s="4557"/>
      <c r="AT71" s="4536"/>
      <c r="AU71" s="4534">
        <f t="shared" si="89"/>
        <v>557.846</v>
      </c>
      <c r="AV71" s="4557"/>
      <c r="AW71" s="4557"/>
      <c r="AX71" s="4536"/>
      <c r="AY71" s="4534">
        <f t="shared" si="90"/>
        <v>557.846</v>
      </c>
      <c r="AZ71" s="4557"/>
      <c r="BA71" s="4557"/>
      <c r="BB71" s="4673"/>
      <c r="BC71" s="4535">
        <f t="shared" si="91"/>
        <v>0</v>
      </c>
      <c r="BD71" s="4560"/>
      <c r="BE71" s="4539">
        <f t="shared" si="13"/>
        <v>293.846</v>
      </c>
      <c r="BF71" s="4536"/>
      <c r="BG71" s="4534">
        <f t="shared" si="92"/>
        <v>557.846</v>
      </c>
      <c r="BH71" s="26"/>
      <c r="BI71" s="26"/>
    </row>
    <row r="72" spans="1:61" ht="16.5" x14ac:dyDescent="0.25">
      <c r="C72" s="4531" t="s">
        <v>978</v>
      </c>
      <c r="D72" s="4531" t="s">
        <v>1655</v>
      </c>
      <c r="E72" s="6192"/>
      <c r="F72" s="4531"/>
      <c r="G72" s="4551"/>
      <c r="H72" s="4551"/>
      <c r="I72" s="4551"/>
      <c r="J72" s="4534"/>
      <c r="K72" s="4534">
        <f t="shared" si="15"/>
        <v>0</v>
      </c>
      <c r="L72" s="4551"/>
      <c r="M72" s="4551"/>
      <c r="N72" s="4535"/>
      <c r="O72" s="4535">
        <f t="shared" si="2"/>
        <v>0</v>
      </c>
      <c r="P72" s="4551"/>
      <c r="Q72" s="4551"/>
      <c r="R72" s="4536"/>
      <c r="S72" s="4534">
        <f t="shared" si="3"/>
        <v>0</v>
      </c>
      <c r="T72" s="4551"/>
      <c r="U72" s="4551"/>
      <c r="V72" s="4536"/>
      <c r="W72" s="4534">
        <f t="shared" si="4"/>
        <v>0</v>
      </c>
      <c r="X72" s="4537"/>
      <c r="Y72" s="4551"/>
      <c r="Z72" s="4535"/>
      <c r="AA72" s="4535">
        <f t="shared" si="5"/>
        <v>0</v>
      </c>
      <c r="AB72" s="4538"/>
      <c r="AC72" s="4539">
        <f t="shared" si="6"/>
        <v>0</v>
      </c>
      <c r="AD72" s="4551"/>
      <c r="AE72" s="4551"/>
      <c r="AF72" s="4536"/>
      <c r="AG72" s="4534">
        <f t="shared" si="7"/>
        <v>0</v>
      </c>
      <c r="AH72" s="4551"/>
      <c r="AI72" s="4551"/>
      <c r="AJ72" s="4536"/>
      <c r="AK72" s="4534">
        <f t="shared" si="8"/>
        <v>0</v>
      </c>
      <c r="AL72" s="4551"/>
      <c r="AM72" s="4551"/>
      <c r="AN72" s="4673"/>
      <c r="AO72" s="4535">
        <f t="shared" si="9"/>
        <v>0</v>
      </c>
      <c r="AP72" s="4536"/>
      <c r="AQ72" s="4718">
        <f t="shared" si="88"/>
        <v>0</v>
      </c>
      <c r="AR72" s="4551"/>
      <c r="AS72" s="4551"/>
      <c r="AT72" s="4536"/>
      <c r="AU72" s="4534">
        <f t="shared" si="89"/>
        <v>0</v>
      </c>
      <c r="AV72" s="4551"/>
      <c r="AW72" s="4551"/>
      <c r="AX72" s="4536"/>
      <c r="AY72" s="4534">
        <f t="shared" si="90"/>
        <v>0</v>
      </c>
      <c r="AZ72" s="4551"/>
      <c r="BA72" s="4551"/>
      <c r="BB72" s="4673"/>
      <c r="BC72" s="4535">
        <f t="shared" si="91"/>
        <v>0</v>
      </c>
      <c r="BD72" s="4538"/>
      <c r="BE72" s="4539">
        <f t="shared" ref="BE72:BE90" si="93">AO72+BC72</f>
        <v>0</v>
      </c>
      <c r="BF72" s="4536"/>
      <c r="BG72" s="4534">
        <f t="shared" si="92"/>
        <v>0</v>
      </c>
      <c r="BH72" s="26"/>
      <c r="BI72" s="26"/>
    </row>
    <row r="73" spans="1:61" ht="16.5" x14ac:dyDescent="0.25">
      <c r="C73" s="4531" t="s">
        <v>978</v>
      </c>
      <c r="D73" s="4531" t="s">
        <v>1364</v>
      </c>
      <c r="E73" s="6192"/>
      <c r="F73" s="4531"/>
      <c r="G73" s="4551"/>
      <c r="H73" s="4551"/>
      <c r="I73" s="4551"/>
      <c r="J73" s="4534"/>
      <c r="K73" s="4534">
        <f t="shared" si="15"/>
        <v>0</v>
      </c>
      <c r="L73" s="4551"/>
      <c r="M73" s="4551"/>
      <c r="N73" s="4535"/>
      <c r="O73" s="4535">
        <f t="shared" si="2"/>
        <v>0</v>
      </c>
      <c r="P73" s="4551"/>
      <c r="Q73" s="4551"/>
      <c r="R73" s="4536"/>
      <c r="S73" s="4534">
        <f t="shared" si="3"/>
        <v>0</v>
      </c>
      <c r="T73" s="4551"/>
      <c r="U73" s="4551"/>
      <c r="V73" s="4536"/>
      <c r="W73" s="4534">
        <f t="shared" si="4"/>
        <v>0</v>
      </c>
      <c r="X73" s="4537"/>
      <c r="Y73" s="4551"/>
      <c r="Z73" s="4535"/>
      <c r="AA73" s="4535">
        <f t="shared" si="5"/>
        <v>0</v>
      </c>
      <c r="AB73" s="4538"/>
      <c r="AC73" s="4539">
        <f t="shared" si="6"/>
        <v>0</v>
      </c>
      <c r="AD73" s="4551"/>
      <c r="AE73" s="4551"/>
      <c r="AF73" s="4536"/>
      <c r="AG73" s="4534">
        <f t="shared" si="7"/>
        <v>0</v>
      </c>
      <c r="AH73" s="4551"/>
      <c r="AI73" s="4551"/>
      <c r="AJ73" s="4536"/>
      <c r="AK73" s="4534">
        <f t="shared" si="8"/>
        <v>0</v>
      </c>
      <c r="AL73" s="4551"/>
      <c r="AM73" s="4551"/>
      <c r="AN73" s="4673"/>
      <c r="AO73" s="4535">
        <f t="shared" si="9"/>
        <v>0</v>
      </c>
      <c r="AP73" s="4536"/>
      <c r="AQ73" s="4534">
        <f t="shared" si="88"/>
        <v>0</v>
      </c>
      <c r="AR73" s="4551"/>
      <c r="AS73" s="4551"/>
      <c r="AT73" s="4536"/>
      <c r="AU73" s="4534">
        <f t="shared" si="89"/>
        <v>0</v>
      </c>
      <c r="AV73" s="4551"/>
      <c r="AW73" s="4551"/>
      <c r="AX73" s="4536"/>
      <c r="AY73" s="4534">
        <f t="shared" si="90"/>
        <v>0</v>
      </c>
      <c r="AZ73" s="4551"/>
      <c r="BA73" s="4551"/>
      <c r="BB73" s="4673"/>
      <c r="BC73" s="4535">
        <f t="shared" si="91"/>
        <v>0</v>
      </c>
      <c r="BD73" s="4538"/>
      <c r="BE73" s="4539">
        <f t="shared" si="93"/>
        <v>0</v>
      </c>
      <c r="BF73" s="4536"/>
      <c r="BG73" s="4534">
        <f t="shared" si="92"/>
        <v>0</v>
      </c>
      <c r="BH73" s="26"/>
      <c r="BI73" s="26"/>
    </row>
    <row r="74" spans="1:61" ht="16.5" x14ac:dyDescent="0.25">
      <c r="C74" s="4531" t="s">
        <v>978</v>
      </c>
      <c r="D74" s="4531" t="s">
        <v>1276</v>
      </c>
      <c r="E74" s="6192"/>
      <c r="F74" s="4531"/>
      <c r="G74" s="4551"/>
      <c r="H74" s="4551"/>
      <c r="I74" s="4551"/>
      <c r="J74" s="4534"/>
      <c r="K74" s="4534">
        <f t="shared" si="15"/>
        <v>0</v>
      </c>
      <c r="L74" s="4551"/>
      <c r="M74" s="4551"/>
      <c r="N74" s="4535"/>
      <c r="O74" s="4535">
        <f t="shared" si="2"/>
        <v>0</v>
      </c>
      <c r="P74" s="4551"/>
      <c r="Q74" s="4551"/>
      <c r="R74" s="4536"/>
      <c r="S74" s="4534">
        <f t="shared" si="3"/>
        <v>0</v>
      </c>
      <c r="T74" s="4551"/>
      <c r="U74" s="4551"/>
      <c r="V74" s="4536"/>
      <c r="W74" s="4534">
        <f t="shared" si="4"/>
        <v>0</v>
      </c>
      <c r="X74" s="4537"/>
      <c r="Y74" s="4551"/>
      <c r="Z74" s="4535"/>
      <c r="AA74" s="4535">
        <f t="shared" si="5"/>
        <v>0</v>
      </c>
      <c r="AB74" s="4538"/>
      <c r="AC74" s="4539">
        <f t="shared" si="6"/>
        <v>0</v>
      </c>
      <c r="AD74" s="4551"/>
      <c r="AE74" s="4551"/>
      <c r="AF74" s="4536"/>
      <c r="AG74" s="4534">
        <f t="shared" si="7"/>
        <v>0</v>
      </c>
      <c r="AH74" s="4551"/>
      <c r="AI74" s="4551"/>
      <c r="AJ74" s="4536"/>
      <c r="AK74" s="4534">
        <f t="shared" si="8"/>
        <v>0</v>
      </c>
      <c r="AL74" s="4551"/>
      <c r="AM74" s="4551"/>
      <c r="AN74" s="4673"/>
      <c r="AO74" s="4535">
        <f t="shared" si="9"/>
        <v>0</v>
      </c>
      <c r="AP74" s="4536"/>
      <c r="AQ74" s="4534">
        <f t="shared" si="88"/>
        <v>0</v>
      </c>
      <c r="AR74" s="4551"/>
      <c r="AS74" s="4551"/>
      <c r="AT74" s="4536"/>
      <c r="AU74" s="4534">
        <f t="shared" si="89"/>
        <v>0</v>
      </c>
      <c r="AV74" s="4551"/>
      <c r="AW74" s="4551"/>
      <c r="AX74" s="4536"/>
      <c r="AY74" s="4534">
        <f t="shared" si="90"/>
        <v>0</v>
      </c>
      <c r="AZ74" s="4551"/>
      <c r="BA74" s="4551"/>
      <c r="BB74" s="4673"/>
      <c r="BC74" s="4535">
        <f t="shared" si="91"/>
        <v>0</v>
      </c>
      <c r="BD74" s="4538"/>
      <c r="BE74" s="4539">
        <f t="shared" si="93"/>
        <v>0</v>
      </c>
      <c r="BF74" s="4536"/>
      <c r="BG74" s="4534">
        <f t="shared" si="92"/>
        <v>0</v>
      </c>
      <c r="BH74" s="26"/>
      <c r="BI74" s="26"/>
    </row>
    <row r="75" spans="1:61" ht="16.5" x14ac:dyDescent="0.25">
      <c r="C75" s="4531" t="s">
        <v>978</v>
      </c>
      <c r="D75" s="4531" t="s">
        <v>1265</v>
      </c>
      <c r="E75" s="6192"/>
      <c r="F75" s="4531"/>
      <c r="G75" s="4551">
        <v>442</v>
      </c>
      <c r="H75" s="4551"/>
      <c r="I75" s="4551">
        <v>104</v>
      </c>
      <c r="J75" s="4534"/>
      <c r="K75" s="4534">
        <f t="shared" si="15"/>
        <v>546</v>
      </c>
      <c r="L75" s="4551"/>
      <c r="M75" s="4551">
        <v>235</v>
      </c>
      <c r="N75" s="4535"/>
      <c r="O75" s="4535">
        <f t="shared" si="2"/>
        <v>781</v>
      </c>
      <c r="P75" s="4551"/>
      <c r="Q75" s="4551">
        <v>116</v>
      </c>
      <c r="R75" s="4545"/>
      <c r="S75" s="4534">
        <f t="shared" si="3"/>
        <v>897</v>
      </c>
      <c r="T75" s="4551"/>
      <c r="U75" s="4551"/>
      <c r="V75" s="4545"/>
      <c r="W75" s="4534">
        <f t="shared" si="4"/>
        <v>897</v>
      </c>
      <c r="X75" s="4537"/>
      <c r="Y75" s="4551"/>
      <c r="Z75" s="4535"/>
      <c r="AA75" s="4535">
        <f t="shared" si="5"/>
        <v>116</v>
      </c>
      <c r="AB75" s="4538"/>
      <c r="AC75" s="4539">
        <f t="shared" si="6"/>
        <v>897</v>
      </c>
      <c r="AD75" s="4551"/>
      <c r="AE75" s="4551"/>
      <c r="AF75" s="4545"/>
      <c r="AG75" s="4534">
        <f t="shared" si="7"/>
        <v>897</v>
      </c>
      <c r="AH75" s="4551"/>
      <c r="AI75" s="4551"/>
      <c r="AJ75" s="4545"/>
      <c r="AK75" s="4534">
        <f t="shared" si="8"/>
        <v>897</v>
      </c>
      <c r="AL75" s="4551"/>
      <c r="AM75" s="4551">
        <v>257.90800000000002</v>
      </c>
      <c r="AN75" s="4673"/>
      <c r="AO75" s="4535">
        <f t="shared" si="9"/>
        <v>257.90800000000002</v>
      </c>
      <c r="AP75" s="4545"/>
      <c r="AQ75" s="4534">
        <f t="shared" si="88"/>
        <v>1154.9079999999999</v>
      </c>
      <c r="AR75" s="4551"/>
      <c r="AS75" s="4551"/>
      <c r="AT75" s="4545"/>
      <c r="AU75" s="4534">
        <f t="shared" si="89"/>
        <v>1154.9079999999999</v>
      </c>
      <c r="AV75" s="4551"/>
      <c r="AW75" s="4551">
        <v>215.62799999999999</v>
      </c>
      <c r="AX75" s="4545"/>
      <c r="AY75" s="4534">
        <f t="shared" si="90"/>
        <v>1370.5359999999998</v>
      </c>
      <c r="AZ75" s="4551"/>
      <c r="BA75" s="4551"/>
      <c r="BB75" s="4673"/>
      <c r="BC75" s="4535">
        <f t="shared" si="91"/>
        <v>215.62799999999999</v>
      </c>
      <c r="BD75" s="4538"/>
      <c r="BE75" s="4539">
        <f t="shared" si="93"/>
        <v>473.536</v>
      </c>
      <c r="BF75" s="4545"/>
      <c r="BG75" s="4534">
        <f t="shared" si="92"/>
        <v>1370.5359999999998</v>
      </c>
      <c r="BH75" s="26"/>
      <c r="BI75" s="26"/>
    </row>
    <row r="76" spans="1:61" ht="16.5" x14ac:dyDescent="0.25">
      <c r="C76" s="4531" t="s">
        <v>978</v>
      </c>
      <c r="D76" s="4531" t="s">
        <v>1133</v>
      </c>
      <c r="E76" s="6192"/>
      <c r="F76" s="4531"/>
      <c r="G76" s="4551"/>
      <c r="H76" s="4551"/>
      <c r="I76" s="4551">
        <v>268.39999999999998</v>
      </c>
      <c r="J76" s="4534"/>
      <c r="K76" s="4534">
        <f t="shared" ref="K76:K90" si="94">+G76+I76</f>
        <v>268.39999999999998</v>
      </c>
      <c r="L76" s="4551"/>
      <c r="M76" s="4551"/>
      <c r="N76" s="4535"/>
      <c r="O76" s="4535">
        <f t="shared" ref="O76:O90" si="95">+G76+I76+M76</f>
        <v>268.39999999999998</v>
      </c>
      <c r="P76" s="4551"/>
      <c r="Q76" s="4551"/>
      <c r="R76" s="4536"/>
      <c r="S76" s="4534">
        <f t="shared" ref="S76:S90" si="96">O76+Q76</f>
        <v>268.39999999999998</v>
      </c>
      <c r="T76" s="4551"/>
      <c r="U76" s="4551">
        <v>353.03800000000001</v>
      </c>
      <c r="V76" s="4536"/>
      <c r="W76" s="4534">
        <f t="shared" ref="W76:W90" si="97">S76+U76</f>
        <v>621.43799999999999</v>
      </c>
      <c r="X76" s="4537"/>
      <c r="Y76" s="4551">
        <v>114</v>
      </c>
      <c r="Z76" s="4535"/>
      <c r="AA76" s="4535">
        <f t="shared" ref="AA76:AA90" si="98">Q76+U76+Y76</f>
        <v>467.03800000000001</v>
      </c>
      <c r="AB76" s="4538"/>
      <c r="AC76" s="4539">
        <f t="shared" ref="AC76:AC90" si="99">O76+AA76</f>
        <v>735.43799999999999</v>
      </c>
      <c r="AD76" s="4551"/>
      <c r="AE76" s="4551">
        <v>105.7</v>
      </c>
      <c r="AF76" s="4536"/>
      <c r="AG76" s="4534">
        <f t="shared" ref="AG76:AG90" si="100">+AC76+AE76</f>
        <v>841.13800000000003</v>
      </c>
      <c r="AH76" s="4551"/>
      <c r="AI76" s="4551"/>
      <c r="AJ76" s="4536"/>
      <c r="AK76" s="4534">
        <f t="shared" ref="AK76:AK90" si="101">+AG76+AI76</f>
        <v>841.13800000000003</v>
      </c>
      <c r="AL76" s="4551"/>
      <c r="AM76" s="4551">
        <v>1010.492</v>
      </c>
      <c r="AN76" s="4673"/>
      <c r="AO76" s="4535">
        <f t="shared" ref="AO76:AO90" si="102">AE76+AI76+AM76</f>
        <v>1116.192</v>
      </c>
      <c r="AP76" s="4536"/>
      <c r="AQ76" s="4534">
        <f t="shared" si="88"/>
        <v>1851.63</v>
      </c>
      <c r="AR76" s="4551"/>
      <c r="AS76" s="4551">
        <v>323.44200000000001</v>
      </c>
      <c r="AT76" s="4536"/>
      <c r="AU76" s="4534">
        <f t="shared" si="89"/>
        <v>2175.0720000000001</v>
      </c>
      <c r="AV76" s="4551"/>
      <c r="AW76" s="4551">
        <v>109.928</v>
      </c>
      <c r="AX76" s="4536"/>
      <c r="AY76" s="4534">
        <f t="shared" si="90"/>
        <v>2285</v>
      </c>
      <c r="AZ76" s="4551"/>
      <c r="BA76" s="4551"/>
      <c r="BB76" s="4673"/>
      <c r="BC76" s="4535">
        <f t="shared" si="91"/>
        <v>433.37</v>
      </c>
      <c r="BD76" s="4538"/>
      <c r="BE76" s="4539">
        <f t="shared" si="93"/>
        <v>1549.5619999999999</v>
      </c>
      <c r="BF76" s="4536"/>
      <c r="BG76" s="4534">
        <f t="shared" si="92"/>
        <v>2285</v>
      </c>
      <c r="BH76" s="26"/>
      <c r="BI76" s="26"/>
    </row>
    <row r="77" spans="1:61" ht="16.5" x14ac:dyDescent="0.25">
      <c r="C77" s="4531" t="s">
        <v>978</v>
      </c>
      <c r="D77" s="4531" t="s">
        <v>944</v>
      </c>
      <c r="E77" s="6192"/>
      <c r="F77" s="4531"/>
      <c r="G77" s="4551">
        <v>15200</v>
      </c>
      <c r="H77" s="4561"/>
      <c r="I77" s="4551">
        <v>17368</v>
      </c>
      <c r="J77" s="4562"/>
      <c r="K77" s="4534">
        <f t="shared" si="94"/>
        <v>32568</v>
      </c>
      <c r="L77" s="4561"/>
      <c r="M77" s="4551">
        <v>12849</v>
      </c>
      <c r="N77" s="4563"/>
      <c r="O77" s="4535">
        <f t="shared" si="95"/>
        <v>45417</v>
      </c>
      <c r="P77" s="4561"/>
      <c r="Q77" s="4551">
        <v>18517</v>
      </c>
      <c r="R77" s="4536"/>
      <c r="S77" s="4534">
        <f t="shared" si="96"/>
        <v>63934</v>
      </c>
      <c r="T77" s="4561"/>
      <c r="U77" s="4551">
        <v>14098.266</v>
      </c>
      <c r="V77" s="4536"/>
      <c r="W77" s="4534">
        <f t="shared" si="97"/>
        <v>78032.266000000003</v>
      </c>
      <c r="X77" s="4537"/>
      <c r="Y77" s="4551">
        <v>17181</v>
      </c>
      <c r="Z77" s="4563"/>
      <c r="AA77" s="4535">
        <f t="shared" si="98"/>
        <v>49796.266000000003</v>
      </c>
      <c r="AB77" s="4538"/>
      <c r="AC77" s="4539">
        <f t="shared" si="99"/>
        <v>95213.266000000003</v>
      </c>
      <c r="AD77" s="4561"/>
      <c r="AE77" s="4551">
        <v>5301.9119999999994</v>
      </c>
      <c r="AF77" s="4536"/>
      <c r="AG77" s="4534">
        <f t="shared" si="100"/>
        <v>100515.178</v>
      </c>
      <c r="AH77" s="4561"/>
      <c r="AI77" s="4551">
        <v>13</v>
      </c>
      <c r="AJ77" s="4536"/>
      <c r="AK77" s="4534">
        <f t="shared" si="101"/>
        <v>100528.178</v>
      </c>
      <c r="AL77" s="4561"/>
      <c r="AM77" s="4551">
        <v>13226.085999999999</v>
      </c>
      <c r="AN77" s="4673"/>
      <c r="AO77" s="4535">
        <f t="shared" si="102"/>
        <v>18540.998</v>
      </c>
      <c r="AP77" s="4536"/>
      <c r="AQ77" s="4534">
        <f t="shared" si="88"/>
        <v>113754.264</v>
      </c>
      <c r="AR77" s="4561"/>
      <c r="AS77" s="4551">
        <v>16717.511999999999</v>
      </c>
      <c r="AT77" s="4536"/>
      <c r="AU77" s="4534">
        <f t="shared" si="89"/>
        <v>130471.776</v>
      </c>
      <c r="AV77" s="4561"/>
      <c r="AW77" s="4551">
        <v>17791.423999999999</v>
      </c>
      <c r="AX77" s="4536"/>
      <c r="AY77" s="4534">
        <f t="shared" si="90"/>
        <v>148263.20000000001</v>
      </c>
      <c r="AZ77" s="4561"/>
      <c r="BA77" s="4551">
        <v>20855</v>
      </c>
      <c r="BB77" s="4673"/>
      <c r="BC77" s="4535">
        <f t="shared" si="91"/>
        <v>55363.936000000002</v>
      </c>
      <c r="BD77" s="4538"/>
      <c r="BE77" s="4539">
        <f t="shared" si="93"/>
        <v>73904.934000000008</v>
      </c>
      <c r="BF77" s="4536"/>
      <c r="BG77" s="4534">
        <f t="shared" si="92"/>
        <v>169118.2</v>
      </c>
      <c r="BH77" s="26"/>
      <c r="BI77" s="26"/>
    </row>
    <row r="78" spans="1:61" ht="16.5" x14ac:dyDescent="0.25">
      <c r="C78" s="4531" t="s">
        <v>978</v>
      </c>
      <c r="D78" s="4531" t="s">
        <v>990</v>
      </c>
      <c r="E78" s="6192"/>
      <c r="F78" s="4531"/>
      <c r="G78" s="4551">
        <v>13156</v>
      </c>
      <c r="H78" s="4561"/>
      <c r="I78" s="4551">
        <v>13247</v>
      </c>
      <c r="J78" s="4562"/>
      <c r="K78" s="4534">
        <f t="shared" si="94"/>
        <v>26403</v>
      </c>
      <c r="L78" s="4561"/>
      <c r="M78" s="4551">
        <v>15189</v>
      </c>
      <c r="N78" s="4563"/>
      <c r="O78" s="4535">
        <f t="shared" si="95"/>
        <v>41592</v>
      </c>
      <c r="P78" s="4561"/>
      <c r="Q78" s="4551">
        <v>17017</v>
      </c>
      <c r="R78" s="4545"/>
      <c r="S78" s="4534">
        <f t="shared" si="96"/>
        <v>58609</v>
      </c>
      <c r="T78" s="4561"/>
      <c r="U78" s="4551">
        <v>14747.263999999999</v>
      </c>
      <c r="V78" s="4545"/>
      <c r="W78" s="4534">
        <f t="shared" si="97"/>
        <v>73356.263999999996</v>
      </c>
      <c r="X78" s="4537"/>
      <c r="Y78" s="4551">
        <v>10684</v>
      </c>
      <c r="Z78" s="4563"/>
      <c r="AA78" s="4535">
        <f t="shared" si="98"/>
        <v>42448.263999999996</v>
      </c>
      <c r="AB78" s="4538"/>
      <c r="AC78" s="4539">
        <f t="shared" si="99"/>
        <v>84040.263999999996</v>
      </c>
      <c r="AD78" s="4561"/>
      <c r="AE78" s="4551">
        <v>105.7</v>
      </c>
      <c r="AF78" s="4545"/>
      <c r="AG78" s="4534">
        <f t="shared" si="100"/>
        <v>84145.963999999993</v>
      </c>
      <c r="AH78" s="4561"/>
      <c r="AI78" s="4551"/>
      <c r="AJ78" s="4545"/>
      <c r="AK78" s="4534">
        <f t="shared" si="101"/>
        <v>84145.963999999993</v>
      </c>
      <c r="AL78" s="4561"/>
      <c r="AM78" s="4551">
        <v>17175.242000000002</v>
      </c>
      <c r="AN78" s="4673"/>
      <c r="AO78" s="4535">
        <f t="shared" si="102"/>
        <v>17280.942000000003</v>
      </c>
      <c r="AP78" s="4545"/>
      <c r="AQ78" s="4534">
        <f t="shared" si="88"/>
        <v>101321.20599999999</v>
      </c>
      <c r="AR78" s="4561"/>
      <c r="AS78" s="4551">
        <v>20455</v>
      </c>
      <c r="AT78" s="4545"/>
      <c r="AU78" s="4534">
        <f t="shared" si="89"/>
        <v>121776.20599999999</v>
      </c>
      <c r="AV78" s="4561"/>
      <c r="AW78" s="4551">
        <v>15495.62</v>
      </c>
      <c r="AX78" s="4545"/>
      <c r="AY78" s="4534">
        <f t="shared" si="90"/>
        <v>137271.826</v>
      </c>
      <c r="AZ78" s="4561"/>
      <c r="BA78" s="4551">
        <v>16130</v>
      </c>
      <c r="BB78" s="4673"/>
      <c r="BC78" s="4535">
        <f t="shared" si="91"/>
        <v>52080.62</v>
      </c>
      <c r="BD78" s="4538"/>
      <c r="BE78" s="4539">
        <f t="shared" si="93"/>
        <v>69361.562000000005</v>
      </c>
      <c r="BF78" s="4545"/>
      <c r="BG78" s="4534">
        <f t="shared" si="92"/>
        <v>153401.826</v>
      </c>
      <c r="BH78" s="26"/>
      <c r="BI78" s="26"/>
    </row>
    <row r="79" spans="1:61" ht="16.5" x14ac:dyDescent="0.25">
      <c r="C79" s="6188" t="s">
        <v>1040</v>
      </c>
      <c r="D79" s="6188"/>
      <c r="E79" s="6192"/>
      <c r="F79" s="4546"/>
      <c r="G79" s="4547">
        <f t="shared" ref="G79:AM79" si="103">SUM(G56:G78)</f>
        <v>40768.58799999996</v>
      </c>
      <c r="H79" s="4547">
        <f t="shared" si="103"/>
        <v>0</v>
      </c>
      <c r="I79" s="4547">
        <f t="shared" si="103"/>
        <v>45640.4</v>
      </c>
      <c r="J79" s="4547">
        <f t="shared" si="103"/>
        <v>0</v>
      </c>
      <c r="K79" s="4548">
        <f t="shared" si="103"/>
        <v>86408.987999999954</v>
      </c>
      <c r="L79" s="4547">
        <f t="shared" si="103"/>
        <v>0</v>
      </c>
      <c r="M79" s="4547">
        <f t="shared" si="103"/>
        <v>51290</v>
      </c>
      <c r="N79" s="4547">
        <f t="shared" si="103"/>
        <v>0</v>
      </c>
      <c r="O79" s="4549">
        <f t="shared" si="103"/>
        <v>137698.98799999995</v>
      </c>
      <c r="P79" s="4547">
        <f t="shared" si="103"/>
        <v>0</v>
      </c>
      <c r="Q79" s="4547">
        <f t="shared" si="103"/>
        <v>46163</v>
      </c>
      <c r="R79" s="4547">
        <f t="shared" si="103"/>
        <v>0</v>
      </c>
      <c r="S79" s="4548">
        <f t="shared" si="103"/>
        <v>182225.98799999995</v>
      </c>
      <c r="T79" s="4547">
        <f t="shared" si="103"/>
        <v>0</v>
      </c>
      <c r="U79" s="4547">
        <f t="shared" si="103"/>
        <v>45702.616000000002</v>
      </c>
      <c r="V79" s="4547">
        <f t="shared" si="103"/>
        <v>0</v>
      </c>
      <c r="W79" s="4548">
        <f t="shared" si="103"/>
        <v>227928.60399999996</v>
      </c>
      <c r="X79" s="4547">
        <f t="shared" si="103"/>
        <v>0</v>
      </c>
      <c r="Y79" s="4547">
        <f t="shared" si="103"/>
        <v>49365</v>
      </c>
      <c r="Z79" s="4547">
        <f t="shared" si="103"/>
        <v>0</v>
      </c>
      <c r="AA79" s="4549">
        <f t="shared" si="103"/>
        <v>141230.61599999998</v>
      </c>
      <c r="AB79" s="4547">
        <f t="shared" si="103"/>
        <v>0</v>
      </c>
      <c r="AC79" s="4550">
        <f t="shared" si="103"/>
        <v>277293.60399999993</v>
      </c>
      <c r="AD79" s="4547">
        <f t="shared" si="103"/>
        <v>0</v>
      </c>
      <c r="AE79" s="4547">
        <f t="shared" si="103"/>
        <v>21170.198</v>
      </c>
      <c r="AF79" s="4547">
        <f t="shared" si="103"/>
        <v>0</v>
      </c>
      <c r="AG79" s="4548">
        <f t="shared" si="103"/>
        <v>298463.80199999997</v>
      </c>
      <c r="AH79" s="4547">
        <f t="shared" si="103"/>
        <v>0</v>
      </c>
      <c r="AI79" s="4547">
        <f t="shared" si="103"/>
        <v>7769</v>
      </c>
      <c r="AJ79" s="4547">
        <f t="shared" si="103"/>
        <v>0</v>
      </c>
      <c r="AK79" s="4548">
        <f t="shared" si="103"/>
        <v>306232.80199999997</v>
      </c>
      <c r="AL79" s="4547">
        <f t="shared" si="103"/>
        <v>0</v>
      </c>
      <c r="AM79" s="4547">
        <f t="shared" si="103"/>
        <v>58920.466</v>
      </c>
      <c r="AN79" s="4672"/>
      <c r="AO79" s="4549">
        <f t="shared" ref="AO79:AY79" si="104">SUM(AO56:AO78)</f>
        <v>87859.664000000019</v>
      </c>
      <c r="AP79" s="4547">
        <f t="shared" si="104"/>
        <v>0</v>
      </c>
      <c r="AQ79" s="4548">
        <f t="shared" si="104"/>
        <v>365153.26799999992</v>
      </c>
      <c r="AR79" s="4547">
        <f t="shared" si="104"/>
        <v>0</v>
      </c>
      <c r="AS79" s="4547">
        <f t="shared" si="104"/>
        <v>57980.115999999995</v>
      </c>
      <c r="AT79" s="4547">
        <f t="shared" si="104"/>
        <v>0</v>
      </c>
      <c r="AU79" s="4548">
        <f t="shared" si="104"/>
        <v>423133.38399999996</v>
      </c>
      <c r="AV79" s="4547">
        <f t="shared" si="104"/>
        <v>0</v>
      </c>
      <c r="AW79" s="4547">
        <f t="shared" si="104"/>
        <v>52513.69199999993</v>
      </c>
      <c r="AX79" s="4547">
        <f t="shared" si="104"/>
        <v>0</v>
      </c>
      <c r="AY79" s="4548">
        <f t="shared" si="104"/>
        <v>475647.07599999988</v>
      </c>
      <c r="AZ79" s="4547">
        <f t="shared" ref="AZ79:BG79" si="105">SUM(AZ56:AZ78)</f>
        <v>0</v>
      </c>
      <c r="BA79" s="4547">
        <f t="shared" si="105"/>
        <v>52904</v>
      </c>
      <c r="BB79" s="4672"/>
      <c r="BC79" s="4549">
        <f t="shared" ref="BC79:BE79" si="106">SUM(BC56:BC78)</f>
        <v>163397.80799999993</v>
      </c>
      <c r="BD79" s="4547">
        <f t="shared" si="106"/>
        <v>0</v>
      </c>
      <c r="BE79" s="4550">
        <f t="shared" si="106"/>
        <v>251257.47199999995</v>
      </c>
      <c r="BF79" s="4547">
        <f t="shared" si="105"/>
        <v>0</v>
      </c>
      <c r="BG79" s="4548">
        <f t="shared" si="105"/>
        <v>528551.07599999988</v>
      </c>
      <c r="BH79" s="26"/>
      <c r="BI79" s="26"/>
    </row>
    <row r="80" spans="1:61" ht="16.5" x14ac:dyDescent="0.25">
      <c r="A80" s="233"/>
      <c r="B80" s="233"/>
      <c r="C80" s="4564" t="s">
        <v>979</v>
      </c>
      <c r="D80" s="4564" t="s">
        <v>642</v>
      </c>
      <c r="E80" s="6192"/>
      <c r="F80" s="4565"/>
      <c r="G80" s="4566"/>
      <c r="H80" s="4567"/>
      <c r="I80" s="4566">
        <v>79</v>
      </c>
      <c r="J80" s="4568"/>
      <c r="K80" s="4534">
        <f t="shared" si="94"/>
        <v>79</v>
      </c>
      <c r="L80" s="4567"/>
      <c r="M80" s="4566"/>
      <c r="N80" s="4569"/>
      <c r="O80" s="4535">
        <f t="shared" si="95"/>
        <v>79</v>
      </c>
      <c r="P80" s="4567"/>
      <c r="Q80" s="4570"/>
      <c r="R80" s="4571"/>
      <c r="S80" s="4534">
        <f t="shared" si="96"/>
        <v>79</v>
      </c>
      <c r="T80" s="4567"/>
      <c r="U80" s="4570">
        <v>82.082000000000335</v>
      </c>
      <c r="V80" s="4571"/>
      <c r="W80" s="4534">
        <f t="shared" si="97"/>
        <v>161.08200000000033</v>
      </c>
      <c r="X80" s="4572"/>
      <c r="Y80" s="4570"/>
      <c r="Z80" s="4569"/>
      <c r="AA80" s="4535">
        <f t="shared" si="98"/>
        <v>82.082000000000335</v>
      </c>
      <c r="AB80" s="4538"/>
      <c r="AC80" s="4539">
        <f t="shared" si="99"/>
        <v>161.08200000000033</v>
      </c>
      <c r="AD80" s="4567"/>
      <c r="AE80" s="4570">
        <v>1435.2702000000004</v>
      </c>
      <c r="AF80" s="4573"/>
      <c r="AG80" s="4534">
        <f t="shared" si="100"/>
        <v>1596.3522000000007</v>
      </c>
      <c r="AH80" s="4567"/>
      <c r="AI80" s="4570"/>
      <c r="AJ80" s="4573"/>
      <c r="AK80" s="4534">
        <f t="shared" si="101"/>
        <v>1596.3522000000007</v>
      </c>
      <c r="AL80" s="4567"/>
      <c r="AM80" s="4570">
        <v>1565.1279999999997</v>
      </c>
      <c r="AN80" s="4674"/>
      <c r="AO80" s="4535">
        <f t="shared" si="102"/>
        <v>3000.3982000000001</v>
      </c>
      <c r="AP80" s="4573"/>
      <c r="AQ80" s="4534">
        <f t="shared" ref="AQ80:AQ90" si="107">+AK80+AM80</f>
        <v>3161.4802000000004</v>
      </c>
      <c r="AR80" s="4567"/>
      <c r="AS80" s="4570">
        <v>242.75900000000024</v>
      </c>
      <c r="AT80" s="4573"/>
      <c r="AU80" s="4534">
        <f t="shared" ref="AU80:AU90" si="108">+AQ80+AS80</f>
        <v>3404.2392000000009</v>
      </c>
      <c r="AV80" s="4567"/>
      <c r="AW80" s="4570"/>
      <c r="AX80" s="4573"/>
      <c r="AY80" s="4534">
        <f t="shared" ref="AY80:AY90" si="109">+AU80+AW80</f>
        <v>3404.2392000000009</v>
      </c>
      <c r="AZ80" s="4567"/>
      <c r="BA80" s="4570"/>
      <c r="BB80" s="4674"/>
      <c r="BC80" s="4535">
        <f t="shared" ref="BC80:BC90" si="110">AS80+AW80+BA80</f>
        <v>242.75900000000024</v>
      </c>
      <c r="BD80" s="4538"/>
      <c r="BE80" s="4539">
        <f t="shared" si="93"/>
        <v>3243.1572000000006</v>
      </c>
      <c r="BF80" s="4573"/>
      <c r="BG80" s="4534">
        <f t="shared" ref="BG80:BG90" si="111">+AY80+BA80</f>
        <v>3404.2392000000009</v>
      </c>
      <c r="BH80" s="26"/>
      <c r="BI80" s="26"/>
    </row>
    <row r="81" spans="1:61" ht="16.5" x14ac:dyDescent="0.25">
      <c r="C81" s="4531" t="s">
        <v>979</v>
      </c>
      <c r="D81" s="4531" t="s">
        <v>991</v>
      </c>
      <c r="E81" s="6192"/>
      <c r="F81" s="4531"/>
      <c r="G81" s="4551"/>
      <c r="H81" s="4574"/>
      <c r="I81" s="4551"/>
      <c r="J81" s="4562"/>
      <c r="K81" s="4534">
        <f t="shared" si="94"/>
        <v>0</v>
      </c>
      <c r="L81" s="4574"/>
      <c r="M81" s="4551"/>
      <c r="N81" s="4563"/>
      <c r="O81" s="4535">
        <f t="shared" si="95"/>
        <v>0</v>
      </c>
      <c r="P81" s="4574"/>
      <c r="Q81" s="4533"/>
      <c r="R81" s="4536"/>
      <c r="S81" s="4534">
        <f t="shared" si="96"/>
        <v>0</v>
      </c>
      <c r="T81" s="4574"/>
      <c r="U81" s="4533"/>
      <c r="V81" s="4536"/>
      <c r="W81" s="4534">
        <f t="shared" si="97"/>
        <v>0</v>
      </c>
      <c r="X81" s="4537"/>
      <c r="Y81" s="4533"/>
      <c r="Z81" s="4563"/>
      <c r="AA81" s="4535">
        <f t="shared" si="98"/>
        <v>0</v>
      </c>
      <c r="AB81" s="4538"/>
      <c r="AC81" s="4539">
        <f t="shared" si="99"/>
        <v>0</v>
      </c>
      <c r="AD81" s="4574"/>
      <c r="AE81" s="4533"/>
      <c r="AF81" s="4536"/>
      <c r="AG81" s="4534">
        <f t="shared" si="100"/>
        <v>0</v>
      </c>
      <c r="AH81" s="4574"/>
      <c r="AI81" s="4533"/>
      <c r="AJ81" s="4536"/>
      <c r="AK81" s="4534">
        <f t="shared" si="101"/>
        <v>0</v>
      </c>
      <c r="AL81" s="4574"/>
      <c r="AM81" s="4533"/>
      <c r="AN81" s="4671"/>
      <c r="AO81" s="4535">
        <f t="shared" si="102"/>
        <v>0</v>
      </c>
      <c r="AP81" s="4536"/>
      <c r="AQ81" s="4534">
        <f t="shared" si="107"/>
        <v>0</v>
      </c>
      <c r="AR81" s="4574"/>
      <c r="AS81" s="4533"/>
      <c r="AT81" s="4536"/>
      <c r="AU81" s="4534">
        <f t="shared" si="108"/>
        <v>0</v>
      </c>
      <c r="AV81" s="4574"/>
      <c r="AW81" s="4533"/>
      <c r="AX81" s="4536"/>
      <c r="AY81" s="4534">
        <f t="shared" si="109"/>
        <v>0</v>
      </c>
      <c r="AZ81" s="4574"/>
      <c r="BA81" s="4533"/>
      <c r="BB81" s="4671"/>
      <c r="BC81" s="4535">
        <f t="shared" si="110"/>
        <v>0</v>
      </c>
      <c r="BD81" s="4538"/>
      <c r="BE81" s="4539">
        <f t="shared" si="93"/>
        <v>0</v>
      </c>
      <c r="BF81" s="4536"/>
      <c r="BG81" s="4534">
        <f t="shared" si="111"/>
        <v>0</v>
      </c>
      <c r="BH81" s="26"/>
      <c r="BI81" s="26"/>
    </row>
    <row r="82" spans="1:61" ht="16.5" x14ac:dyDescent="0.25">
      <c r="C82" s="4531" t="s">
        <v>979</v>
      </c>
      <c r="D82" s="4531" t="s">
        <v>1624</v>
      </c>
      <c r="E82" s="6192"/>
      <c r="F82" s="4531"/>
      <c r="G82" s="4551"/>
      <c r="H82" s="4574"/>
      <c r="I82" s="4551"/>
      <c r="J82" s="4562"/>
      <c r="K82" s="4534">
        <f t="shared" si="94"/>
        <v>0</v>
      </c>
      <c r="L82" s="4574"/>
      <c r="M82" s="4551"/>
      <c r="N82" s="4563"/>
      <c r="O82" s="4535">
        <f t="shared" si="95"/>
        <v>0</v>
      </c>
      <c r="P82" s="4574"/>
      <c r="Q82" s="4533"/>
      <c r="R82" s="4536"/>
      <c r="S82" s="4534">
        <f t="shared" si="96"/>
        <v>0</v>
      </c>
      <c r="T82" s="4574"/>
      <c r="U82" s="4533"/>
      <c r="V82" s="4536"/>
      <c r="W82" s="4534">
        <f t="shared" si="97"/>
        <v>0</v>
      </c>
      <c r="X82" s="4575"/>
      <c r="Y82" s="4533"/>
      <c r="Z82" s="4563"/>
      <c r="AA82" s="4535">
        <f t="shared" si="98"/>
        <v>0</v>
      </c>
      <c r="AB82" s="4538"/>
      <c r="AC82" s="4539">
        <f t="shared" si="99"/>
        <v>0</v>
      </c>
      <c r="AD82" s="4574"/>
      <c r="AE82" s="4533"/>
      <c r="AF82" s="4536"/>
      <c r="AG82" s="4534">
        <f t="shared" si="100"/>
        <v>0</v>
      </c>
      <c r="AH82" s="4574"/>
      <c r="AI82" s="4533"/>
      <c r="AJ82" s="4536"/>
      <c r="AK82" s="4534">
        <f t="shared" si="101"/>
        <v>0</v>
      </c>
      <c r="AL82" s="4574"/>
      <c r="AM82" s="4533"/>
      <c r="AN82" s="4671"/>
      <c r="AO82" s="4535">
        <f t="shared" si="102"/>
        <v>0</v>
      </c>
      <c r="AP82" s="4536"/>
      <c r="AQ82" s="4534">
        <f t="shared" si="107"/>
        <v>0</v>
      </c>
      <c r="AR82" s="4574"/>
      <c r="AS82" s="4533"/>
      <c r="AT82" s="4536"/>
      <c r="AU82" s="4534">
        <f t="shared" si="108"/>
        <v>0</v>
      </c>
      <c r="AV82" s="4574"/>
      <c r="AW82" s="4533"/>
      <c r="AX82" s="4536"/>
      <c r="AY82" s="4534">
        <f t="shared" si="109"/>
        <v>0</v>
      </c>
      <c r="AZ82" s="4574"/>
      <c r="BA82" s="4533"/>
      <c r="BB82" s="4671"/>
      <c r="BC82" s="4535">
        <f t="shared" si="110"/>
        <v>0</v>
      </c>
      <c r="BD82" s="4538"/>
      <c r="BE82" s="4539">
        <f t="shared" si="93"/>
        <v>0</v>
      </c>
      <c r="BF82" s="4536"/>
      <c r="BG82" s="4534">
        <f t="shared" si="111"/>
        <v>0</v>
      </c>
      <c r="BH82" s="26"/>
      <c r="BI82" s="26"/>
    </row>
    <row r="83" spans="1:61" ht="16.5" x14ac:dyDescent="0.25">
      <c r="C83" s="4531" t="s">
        <v>979</v>
      </c>
      <c r="D83" s="4531" t="s">
        <v>676</v>
      </c>
      <c r="E83" s="6192"/>
      <c r="F83" s="4531"/>
      <c r="G83" s="4551"/>
      <c r="H83" s="4574"/>
      <c r="I83" s="4551">
        <v>2204</v>
      </c>
      <c r="J83" s="4562"/>
      <c r="K83" s="4534">
        <f t="shared" si="94"/>
        <v>2204</v>
      </c>
      <c r="L83" s="4574"/>
      <c r="M83" s="4551"/>
      <c r="N83" s="4563"/>
      <c r="O83" s="4535">
        <f t="shared" si="95"/>
        <v>2204</v>
      </c>
      <c r="P83" s="4574"/>
      <c r="Q83" s="4533"/>
      <c r="R83" s="4536"/>
      <c r="S83" s="4534">
        <f t="shared" si="96"/>
        <v>2204</v>
      </c>
      <c r="T83" s="4574"/>
      <c r="U83" s="4533">
        <v>5899.3739999999998</v>
      </c>
      <c r="V83" s="4536"/>
      <c r="W83" s="4534">
        <f t="shared" si="97"/>
        <v>8103.3739999999998</v>
      </c>
      <c r="X83" s="4575"/>
      <c r="Y83" s="4533"/>
      <c r="Z83" s="4563"/>
      <c r="AA83" s="4535">
        <f t="shared" si="98"/>
        <v>5899.3739999999998</v>
      </c>
      <c r="AB83" s="4538"/>
      <c r="AC83" s="4539">
        <f t="shared" si="99"/>
        <v>8103.3739999999998</v>
      </c>
      <c r="AD83" s="4574"/>
      <c r="AE83" s="4533">
        <v>5183.3339999999998</v>
      </c>
      <c r="AF83" s="4536"/>
      <c r="AG83" s="4534">
        <f t="shared" si="100"/>
        <v>13286.707999999999</v>
      </c>
      <c r="AH83" s="4574"/>
      <c r="AI83" s="4533"/>
      <c r="AJ83" s="4536"/>
      <c r="AK83" s="4534">
        <f t="shared" si="101"/>
        <v>13286.707999999999</v>
      </c>
      <c r="AL83" s="4574"/>
      <c r="AM83" s="4533">
        <v>10406.448</v>
      </c>
      <c r="AN83" s="4671"/>
      <c r="AO83" s="4535">
        <f t="shared" si="102"/>
        <v>15589.781999999999</v>
      </c>
      <c r="AP83" s="4536"/>
      <c r="AQ83" s="4534">
        <f t="shared" si="107"/>
        <v>23693.155999999999</v>
      </c>
      <c r="AR83" s="4574"/>
      <c r="AS83" s="4533">
        <v>10251.306</v>
      </c>
      <c r="AT83" s="4536"/>
      <c r="AU83" s="4534">
        <f t="shared" si="108"/>
        <v>33944.462</v>
      </c>
      <c r="AV83" s="4574"/>
      <c r="AW83" s="4533"/>
      <c r="AX83" s="4536"/>
      <c r="AY83" s="4534">
        <f t="shared" si="109"/>
        <v>33944.462</v>
      </c>
      <c r="AZ83" s="4574"/>
      <c r="BA83" s="4533"/>
      <c r="BB83" s="4671"/>
      <c r="BC83" s="4535">
        <f t="shared" si="110"/>
        <v>10251.306</v>
      </c>
      <c r="BD83" s="4538"/>
      <c r="BE83" s="4539">
        <f t="shared" si="93"/>
        <v>25841.088</v>
      </c>
      <c r="BF83" s="4536"/>
      <c r="BG83" s="4534">
        <f t="shared" si="111"/>
        <v>33944.462</v>
      </c>
      <c r="BH83" s="26"/>
      <c r="BI83" s="26"/>
    </row>
    <row r="84" spans="1:61" ht="16.5" x14ac:dyDescent="0.25">
      <c r="C84" s="4531" t="s">
        <v>979</v>
      </c>
      <c r="D84" s="4531" t="s">
        <v>1121</v>
      </c>
      <c r="E84" s="6192"/>
      <c r="F84" s="4531"/>
      <c r="G84" s="4551"/>
      <c r="H84" s="4574"/>
      <c r="I84" s="4551"/>
      <c r="J84" s="4562"/>
      <c r="K84" s="4534">
        <f t="shared" si="94"/>
        <v>0</v>
      </c>
      <c r="L84" s="4574"/>
      <c r="M84" s="4551"/>
      <c r="N84" s="4563"/>
      <c r="O84" s="4535">
        <f t="shared" si="95"/>
        <v>0</v>
      </c>
      <c r="P84" s="4574"/>
      <c r="Q84" s="4574"/>
      <c r="R84" s="4536"/>
      <c r="S84" s="4534">
        <f t="shared" si="96"/>
        <v>0</v>
      </c>
      <c r="T84" s="4574"/>
      <c r="U84" s="4574"/>
      <c r="V84" s="4536"/>
      <c r="W84" s="4534">
        <f t="shared" si="97"/>
        <v>0</v>
      </c>
      <c r="X84" s="4537"/>
      <c r="Y84" s="4574"/>
      <c r="Z84" s="4563"/>
      <c r="AA84" s="4535">
        <f t="shared" si="98"/>
        <v>0</v>
      </c>
      <c r="AB84" s="4538"/>
      <c r="AC84" s="4539">
        <f t="shared" si="99"/>
        <v>0</v>
      </c>
      <c r="AD84" s="4574"/>
      <c r="AE84" s="4574"/>
      <c r="AF84" s="4536"/>
      <c r="AG84" s="4534">
        <f t="shared" si="100"/>
        <v>0</v>
      </c>
      <c r="AH84" s="4574"/>
      <c r="AI84" s="4574"/>
      <c r="AJ84" s="4536"/>
      <c r="AK84" s="4534">
        <f t="shared" si="101"/>
        <v>0</v>
      </c>
      <c r="AL84" s="4574"/>
      <c r="AM84" s="4574"/>
      <c r="AN84" s="4675"/>
      <c r="AO84" s="4535">
        <f t="shared" si="102"/>
        <v>0</v>
      </c>
      <c r="AP84" s="4536"/>
      <c r="AQ84" s="4534">
        <f t="shared" si="107"/>
        <v>0</v>
      </c>
      <c r="AR84" s="4574"/>
      <c r="AS84" s="4574"/>
      <c r="AT84" s="4536"/>
      <c r="AU84" s="4534">
        <f t="shared" si="108"/>
        <v>0</v>
      </c>
      <c r="AV84" s="4574"/>
      <c r="AW84" s="4574"/>
      <c r="AX84" s="4536"/>
      <c r="AY84" s="4534">
        <f t="shared" si="109"/>
        <v>0</v>
      </c>
      <c r="AZ84" s="4574"/>
      <c r="BA84" s="4574"/>
      <c r="BB84" s="4675"/>
      <c r="BC84" s="4535">
        <f t="shared" si="110"/>
        <v>0</v>
      </c>
      <c r="BD84" s="4538"/>
      <c r="BE84" s="4539">
        <f t="shared" si="93"/>
        <v>0</v>
      </c>
      <c r="BF84" s="4536"/>
      <c r="BG84" s="4534">
        <f t="shared" si="111"/>
        <v>0</v>
      </c>
      <c r="BH84" s="26"/>
      <c r="BI84" s="26"/>
    </row>
    <row r="85" spans="1:61" ht="16.5" x14ac:dyDescent="0.25">
      <c r="C85" s="4531" t="s">
        <v>979</v>
      </c>
      <c r="D85" s="4531" t="s">
        <v>675</v>
      </c>
      <c r="E85" s="6192"/>
      <c r="F85" s="4531"/>
      <c r="G85" s="4551"/>
      <c r="H85" s="4574"/>
      <c r="I85" s="4551"/>
      <c r="J85" s="4562"/>
      <c r="K85" s="4534">
        <f t="shared" si="94"/>
        <v>0</v>
      </c>
      <c r="L85" s="4574"/>
      <c r="M85" s="4551"/>
      <c r="N85" s="4563"/>
      <c r="O85" s="4535">
        <f t="shared" si="95"/>
        <v>0</v>
      </c>
      <c r="P85" s="4574"/>
      <c r="Q85" s="4533"/>
      <c r="R85" s="4536"/>
      <c r="S85" s="4534">
        <f t="shared" si="96"/>
        <v>0</v>
      </c>
      <c r="T85" s="4574"/>
      <c r="U85" s="4533"/>
      <c r="V85" s="4536"/>
      <c r="W85" s="4534">
        <f t="shared" si="97"/>
        <v>0</v>
      </c>
      <c r="X85" s="4537"/>
      <c r="Y85" s="4533"/>
      <c r="Z85" s="4563"/>
      <c r="AA85" s="4535">
        <f t="shared" si="98"/>
        <v>0</v>
      </c>
      <c r="AB85" s="4538"/>
      <c r="AC85" s="4539">
        <f t="shared" si="99"/>
        <v>0</v>
      </c>
      <c r="AD85" s="4574"/>
      <c r="AE85" s="4533"/>
      <c r="AF85" s="4536"/>
      <c r="AG85" s="4534">
        <f t="shared" si="100"/>
        <v>0</v>
      </c>
      <c r="AH85" s="4574"/>
      <c r="AI85" s="4533"/>
      <c r="AJ85" s="4536"/>
      <c r="AK85" s="4534">
        <f t="shared" si="101"/>
        <v>0</v>
      </c>
      <c r="AL85" s="4574"/>
      <c r="AM85" s="4533"/>
      <c r="AN85" s="4671"/>
      <c r="AO85" s="4535">
        <f t="shared" si="102"/>
        <v>0</v>
      </c>
      <c r="AP85" s="4536"/>
      <c r="AQ85" s="4534">
        <f t="shared" si="107"/>
        <v>0</v>
      </c>
      <c r="AR85" s="4574"/>
      <c r="AS85" s="4533"/>
      <c r="AT85" s="4536"/>
      <c r="AU85" s="4534">
        <f t="shared" si="108"/>
        <v>0</v>
      </c>
      <c r="AV85" s="4574"/>
      <c r="AW85" s="4533"/>
      <c r="AX85" s="4536"/>
      <c r="AY85" s="4534">
        <f t="shared" si="109"/>
        <v>0</v>
      </c>
      <c r="AZ85" s="4574"/>
      <c r="BA85" s="4533"/>
      <c r="BB85" s="4671"/>
      <c r="BC85" s="4535">
        <f t="shared" si="110"/>
        <v>0</v>
      </c>
      <c r="BD85" s="4538"/>
      <c r="BE85" s="4539">
        <f t="shared" si="93"/>
        <v>0</v>
      </c>
      <c r="BF85" s="4536"/>
      <c r="BG85" s="4534">
        <f t="shared" si="111"/>
        <v>0</v>
      </c>
      <c r="BH85" s="26"/>
      <c r="BI85" s="26"/>
    </row>
    <row r="86" spans="1:61" ht="16.5" x14ac:dyDescent="0.25">
      <c r="C86" s="4531" t="s">
        <v>979</v>
      </c>
      <c r="D86" s="4531" t="s">
        <v>1078</v>
      </c>
      <c r="E86" s="6192"/>
      <c r="F86" s="4531"/>
      <c r="G86" s="4551"/>
      <c r="H86" s="4574"/>
      <c r="I86" s="4551"/>
      <c r="J86" s="4562"/>
      <c r="K86" s="4534">
        <f t="shared" si="94"/>
        <v>0</v>
      </c>
      <c r="L86" s="4574"/>
      <c r="M86" s="4551"/>
      <c r="N86" s="4563"/>
      <c r="O86" s="4535">
        <f t="shared" si="95"/>
        <v>0</v>
      </c>
      <c r="P86" s="4574"/>
      <c r="Q86" s="4533"/>
      <c r="R86" s="4536"/>
      <c r="S86" s="4534">
        <f t="shared" si="96"/>
        <v>0</v>
      </c>
      <c r="T86" s="4574"/>
      <c r="U86" s="4533"/>
      <c r="V86" s="4536"/>
      <c r="W86" s="4534">
        <f t="shared" si="97"/>
        <v>0</v>
      </c>
      <c r="X86" s="4537"/>
      <c r="Y86" s="4533"/>
      <c r="Z86" s="4563"/>
      <c r="AA86" s="4535">
        <f t="shared" si="98"/>
        <v>0</v>
      </c>
      <c r="AB86" s="4538"/>
      <c r="AC86" s="4539">
        <f t="shared" si="99"/>
        <v>0</v>
      </c>
      <c r="AD86" s="4574"/>
      <c r="AE86" s="4533"/>
      <c r="AF86" s="4536"/>
      <c r="AG86" s="4534">
        <f t="shared" si="100"/>
        <v>0</v>
      </c>
      <c r="AH86" s="4574"/>
      <c r="AI86" s="4533"/>
      <c r="AJ86" s="4536"/>
      <c r="AK86" s="4534">
        <f t="shared" si="101"/>
        <v>0</v>
      </c>
      <c r="AL86" s="4574"/>
      <c r="AM86" s="4533"/>
      <c r="AN86" s="4671"/>
      <c r="AO86" s="4535">
        <f t="shared" si="102"/>
        <v>0</v>
      </c>
      <c r="AP86" s="4536"/>
      <c r="AQ86" s="4534">
        <f t="shared" si="107"/>
        <v>0</v>
      </c>
      <c r="AR86" s="4574"/>
      <c r="AS86" s="4533"/>
      <c r="AT86" s="4536"/>
      <c r="AU86" s="4534">
        <f t="shared" si="108"/>
        <v>0</v>
      </c>
      <c r="AV86" s="4574"/>
      <c r="AW86" s="4533"/>
      <c r="AX86" s="4536"/>
      <c r="AY86" s="4534">
        <f t="shared" si="109"/>
        <v>0</v>
      </c>
      <c r="AZ86" s="4574"/>
      <c r="BA86" s="4533"/>
      <c r="BB86" s="4671"/>
      <c r="BC86" s="4535">
        <f t="shared" si="110"/>
        <v>0</v>
      </c>
      <c r="BD86" s="4538"/>
      <c r="BE86" s="4539">
        <f t="shared" si="93"/>
        <v>0</v>
      </c>
      <c r="BF86" s="4536"/>
      <c r="BG86" s="4534">
        <f t="shared" si="111"/>
        <v>0</v>
      </c>
      <c r="BH86" s="26"/>
      <c r="BI86" s="26"/>
    </row>
    <row r="87" spans="1:61" ht="16.5" x14ac:dyDescent="0.25">
      <c r="C87" s="4531" t="s">
        <v>979</v>
      </c>
      <c r="D87" s="4531" t="s">
        <v>643</v>
      </c>
      <c r="E87" s="6192"/>
      <c r="F87" s="4531"/>
      <c r="G87" s="4551"/>
      <c r="H87" s="4574"/>
      <c r="I87" s="4551"/>
      <c r="J87" s="4562"/>
      <c r="K87" s="4534">
        <f t="shared" si="94"/>
        <v>0</v>
      </c>
      <c r="L87" s="4574"/>
      <c r="M87" s="4551"/>
      <c r="N87" s="4563"/>
      <c r="O87" s="4535">
        <f t="shared" si="95"/>
        <v>0</v>
      </c>
      <c r="P87" s="4574"/>
      <c r="Q87" s="4533"/>
      <c r="R87" s="4536"/>
      <c r="S87" s="4534">
        <f t="shared" si="96"/>
        <v>0</v>
      </c>
      <c r="T87" s="4574"/>
      <c r="U87" s="4533"/>
      <c r="V87" s="4536"/>
      <c r="W87" s="4534">
        <f t="shared" si="97"/>
        <v>0</v>
      </c>
      <c r="X87" s="4575"/>
      <c r="Y87" s="4533"/>
      <c r="Z87" s="4563"/>
      <c r="AA87" s="4535">
        <f t="shared" si="98"/>
        <v>0</v>
      </c>
      <c r="AB87" s="4538"/>
      <c r="AC87" s="4539">
        <f t="shared" si="99"/>
        <v>0</v>
      </c>
      <c r="AD87" s="4574"/>
      <c r="AE87" s="4533"/>
      <c r="AF87" s="4536"/>
      <c r="AG87" s="4534">
        <f t="shared" si="100"/>
        <v>0</v>
      </c>
      <c r="AH87" s="4574"/>
      <c r="AI87" s="4533"/>
      <c r="AJ87" s="4536"/>
      <c r="AK87" s="4534">
        <f t="shared" si="101"/>
        <v>0</v>
      </c>
      <c r="AL87" s="4574"/>
      <c r="AM87" s="4533"/>
      <c r="AN87" s="4671"/>
      <c r="AO87" s="4535">
        <f t="shared" si="102"/>
        <v>0</v>
      </c>
      <c r="AP87" s="4536"/>
      <c r="AQ87" s="4534">
        <f t="shared" si="107"/>
        <v>0</v>
      </c>
      <c r="AR87" s="4574"/>
      <c r="AS87" s="4533"/>
      <c r="AT87" s="4536"/>
      <c r="AU87" s="4534">
        <f t="shared" si="108"/>
        <v>0</v>
      </c>
      <c r="AV87" s="4574"/>
      <c r="AW87" s="4533"/>
      <c r="AX87" s="4536"/>
      <c r="AY87" s="4534">
        <f t="shared" si="109"/>
        <v>0</v>
      </c>
      <c r="AZ87" s="4574"/>
      <c r="BA87" s="4533"/>
      <c r="BB87" s="4671"/>
      <c r="BC87" s="4535">
        <f t="shared" si="110"/>
        <v>0</v>
      </c>
      <c r="BD87" s="4538"/>
      <c r="BE87" s="4539">
        <f t="shared" si="93"/>
        <v>0</v>
      </c>
      <c r="BF87" s="4536"/>
      <c r="BG87" s="4534">
        <f t="shared" si="111"/>
        <v>0</v>
      </c>
      <c r="BH87" s="26"/>
      <c r="BI87" s="26"/>
    </row>
    <row r="88" spans="1:61" ht="16.5" x14ac:dyDescent="0.25">
      <c r="C88" s="4531" t="s">
        <v>979</v>
      </c>
      <c r="D88" s="4531" t="s">
        <v>1383</v>
      </c>
      <c r="E88" s="6192"/>
      <c r="F88" s="4531"/>
      <c r="G88" s="4551"/>
      <c r="H88" s="4574"/>
      <c r="I88" s="4551"/>
      <c r="J88" s="4562"/>
      <c r="K88" s="4534">
        <f t="shared" si="94"/>
        <v>0</v>
      </c>
      <c r="L88" s="4574"/>
      <c r="M88" s="4551"/>
      <c r="N88" s="4563"/>
      <c r="O88" s="4535">
        <f t="shared" si="95"/>
        <v>0</v>
      </c>
      <c r="P88" s="4574"/>
      <c r="Q88" s="4533"/>
      <c r="R88" s="4536"/>
      <c r="S88" s="4534">
        <f t="shared" si="96"/>
        <v>0</v>
      </c>
      <c r="T88" s="4574"/>
      <c r="U88" s="4533"/>
      <c r="V88" s="4536"/>
      <c r="W88" s="4534">
        <f t="shared" si="97"/>
        <v>0</v>
      </c>
      <c r="X88" s="4537"/>
      <c r="Y88" s="4533"/>
      <c r="Z88" s="4563"/>
      <c r="AA88" s="4535">
        <f t="shared" si="98"/>
        <v>0</v>
      </c>
      <c r="AB88" s="4538"/>
      <c r="AC88" s="4539">
        <f t="shared" si="99"/>
        <v>0</v>
      </c>
      <c r="AD88" s="4574"/>
      <c r="AE88" s="4533"/>
      <c r="AF88" s="4536"/>
      <c r="AG88" s="4534">
        <f t="shared" si="100"/>
        <v>0</v>
      </c>
      <c r="AH88" s="4574"/>
      <c r="AI88" s="4533"/>
      <c r="AJ88" s="4536"/>
      <c r="AK88" s="4534">
        <f t="shared" si="101"/>
        <v>0</v>
      </c>
      <c r="AL88" s="4574"/>
      <c r="AM88" s="4533"/>
      <c r="AN88" s="4671"/>
      <c r="AO88" s="4535">
        <f t="shared" si="102"/>
        <v>0</v>
      </c>
      <c r="AP88" s="4536"/>
      <c r="AQ88" s="4534">
        <f t="shared" si="107"/>
        <v>0</v>
      </c>
      <c r="AR88" s="4574"/>
      <c r="AS88" s="4533"/>
      <c r="AT88" s="4536"/>
      <c r="AU88" s="4534">
        <f t="shared" si="108"/>
        <v>0</v>
      </c>
      <c r="AV88" s="4574"/>
      <c r="AW88" s="4533"/>
      <c r="AX88" s="4536"/>
      <c r="AY88" s="4534">
        <f t="shared" si="109"/>
        <v>0</v>
      </c>
      <c r="AZ88" s="4574"/>
      <c r="BA88" s="4533"/>
      <c r="BB88" s="4671"/>
      <c r="BC88" s="4535">
        <f t="shared" si="110"/>
        <v>0</v>
      </c>
      <c r="BD88" s="4538"/>
      <c r="BE88" s="4539">
        <f t="shared" si="93"/>
        <v>0</v>
      </c>
      <c r="BF88" s="4536"/>
      <c r="BG88" s="4534">
        <f t="shared" si="111"/>
        <v>0</v>
      </c>
      <c r="BH88" s="26"/>
      <c r="BI88" s="26"/>
    </row>
    <row r="89" spans="1:61" ht="16.5" x14ac:dyDescent="0.25">
      <c r="A89" s="639"/>
      <c r="B89" s="639"/>
      <c r="C89" s="4531" t="s">
        <v>979</v>
      </c>
      <c r="D89" s="4531" t="s">
        <v>1024</v>
      </c>
      <c r="E89" s="6192"/>
      <c r="F89" s="4531"/>
      <c r="G89" s="4551"/>
      <c r="H89" s="4574"/>
      <c r="I89" s="4551"/>
      <c r="J89" s="4562"/>
      <c r="K89" s="4534">
        <f t="shared" si="94"/>
        <v>0</v>
      </c>
      <c r="L89" s="4574"/>
      <c r="M89" s="4551"/>
      <c r="N89" s="4563"/>
      <c r="O89" s="4535">
        <f t="shared" si="95"/>
        <v>0</v>
      </c>
      <c r="P89" s="4574"/>
      <c r="Q89" s="4574"/>
      <c r="R89" s="4545"/>
      <c r="S89" s="4534">
        <f t="shared" si="96"/>
        <v>0</v>
      </c>
      <c r="T89" s="4574"/>
      <c r="U89" s="4574"/>
      <c r="V89" s="4545"/>
      <c r="W89" s="4534">
        <f t="shared" si="97"/>
        <v>0</v>
      </c>
      <c r="X89" s="4537"/>
      <c r="Y89" s="4574"/>
      <c r="Z89" s="4563"/>
      <c r="AA89" s="4535">
        <f t="shared" si="98"/>
        <v>0</v>
      </c>
      <c r="AB89" s="4538"/>
      <c r="AC89" s="4539">
        <f t="shared" si="99"/>
        <v>0</v>
      </c>
      <c r="AD89" s="4574"/>
      <c r="AE89" s="4574"/>
      <c r="AF89" s="4545"/>
      <c r="AG89" s="4534">
        <f t="shared" si="100"/>
        <v>0</v>
      </c>
      <c r="AH89" s="4574"/>
      <c r="AI89" s="4574"/>
      <c r="AJ89" s="4545"/>
      <c r="AK89" s="4534">
        <f t="shared" si="101"/>
        <v>0</v>
      </c>
      <c r="AL89" s="4574"/>
      <c r="AM89" s="4574"/>
      <c r="AN89" s="4675"/>
      <c r="AO89" s="4535">
        <f t="shared" si="102"/>
        <v>0</v>
      </c>
      <c r="AP89" s="4545"/>
      <c r="AQ89" s="4534">
        <f t="shared" si="107"/>
        <v>0</v>
      </c>
      <c r="AR89" s="4574"/>
      <c r="AS89" s="4574"/>
      <c r="AT89" s="4545"/>
      <c r="AU89" s="4534">
        <f t="shared" si="108"/>
        <v>0</v>
      </c>
      <c r="AV89" s="4574"/>
      <c r="AW89" s="4574"/>
      <c r="AX89" s="4545"/>
      <c r="AY89" s="4534">
        <f t="shared" si="109"/>
        <v>0</v>
      </c>
      <c r="AZ89" s="4574"/>
      <c r="BA89" s="4574"/>
      <c r="BB89" s="4675"/>
      <c r="BC89" s="4535">
        <f t="shared" si="110"/>
        <v>0</v>
      </c>
      <c r="BD89" s="4538"/>
      <c r="BE89" s="4539">
        <f t="shared" si="93"/>
        <v>0</v>
      </c>
      <c r="BF89" s="4545"/>
      <c r="BG89" s="4534">
        <f t="shared" si="111"/>
        <v>0</v>
      </c>
      <c r="BH89" s="26"/>
      <c r="BI89" s="26"/>
    </row>
    <row r="90" spans="1:61" ht="16.5" x14ac:dyDescent="0.25">
      <c r="C90" s="4531" t="s">
        <v>979</v>
      </c>
      <c r="D90" s="4531" t="s">
        <v>1006</v>
      </c>
      <c r="E90" s="6192"/>
      <c r="F90" s="4531"/>
      <c r="G90" s="4551"/>
      <c r="H90" s="4574"/>
      <c r="I90" s="4551"/>
      <c r="J90" s="4562"/>
      <c r="K90" s="4534">
        <f t="shared" si="94"/>
        <v>0</v>
      </c>
      <c r="L90" s="4574"/>
      <c r="M90" s="4551"/>
      <c r="N90" s="4563"/>
      <c r="O90" s="4535">
        <f t="shared" si="95"/>
        <v>0</v>
      </c>
      <c r="P90" s="4574"/>
      <c r="Q90" s="4574"/>
      <c r="R90" s="4536"/>
      <c r="S90" s="4534">
        <f t="shared" si="96"/>
        <v>0</v>
      </c>
      <c r="T90" s="4574"/>
      <c r="U90" s="4574"/>
      <c r="V90" s="4536"/>
      <c r="W90" s="4534">
        <f t="shared" si="97"/>
        <v>0</v>
      </c>
      <c r="X90" s="4537"/>
      <c r="Y90" s="4574"/>
      <c r="Z90" s="4563"/>
      <c r="AA90" s="4535">
        <f t="shared" si="98"/>
        <v>0</v>
      </c>
      <c r="AB90" s="4538"/>
      <c r="AC90" s="4539">
        <f t="shared" si="99"/>
        <v>0</v>
      </c>
      <c r="AD90" s="4574"/>
      <c r="AE90" s="4574"/>
      <c r="AF90" s="4536"/>
      <c r="AG90" s="4534">
        <f t="shared" si="100"/>
        <v>0</v>
      </c>
      <c r="AH90" s="4574"/>
      <c r="AI90" s="4574"/>
      <c r="AJ90" s="4536"/>
      <c r="AK90" s="4534">
        <f t="shared" si="101"/>
        <v>0</v>
      </c>
      <c r="AL90" s="4574"/>
      <c r="AM90" s="4574"/>
      <c r="AN90" s="4675"/>
      <c r="AO90" s="4535">
        <f t="shared" si="102"/>
        <v>0</v>
      </c>
      <c r="AP90" s="4536"/>
      <c r="AQ90" s="4534">
        <f t="shared" si="107"/>
        <v>0</v>
      </c>
      <c r="AR90" s="4574"/>
      <c r="AS90" s="4574"/>
      <c r="AT90" s="4536"/>
      <c r="AU90" s="4534">
        <f t="shared" si="108"/>
        <v>0</v>
      </c>
      <c r="AV90" s="4574"/>
      <c r="AW90" s="4574"/>
      <c r="AX90" s="4536"/>
      <c r="AY90" s="4534">
        <f t="shared" si="109"/>
        <v>0</v>
      </c>
      <c r="AZ90" s="4574"/>
      <c r="BA90" s="4574"/>
      <c r="BB90" s="4675"/>
      <c r="BC90" s="4535">
        <f t="shared" si="110"/>
        <v>0</v>
      </c>
      <c r="BD90" s="4538"/>
      <c r="BE90" s="4539">
        <f t="shared" si="93"/>
        <v>0</v>
      </c>
      <c r="BF90" s="4536"/>
      <c r="BG90" s="4534">
        <f t="shared" si="111"/>
        <v>0</v>
      </c>
      <c r="BH90" s="26"/>
      <c r="BI90" s="26"/>
    </row>
    <row r="91" spans="1:61" ht="16.5" x14ac:dyDescent="0.25">
      <c r="C91" s="6188" t="s">
        <v>1041</v>
      </c>
      <c r="D91" s="6188"/>
      <c r="E91" s="6192"/>
      <c r="F91" s="4546"/>
      <c r="G91" s="4547">
        <f>SUM(G80:G90)</f>
        <v>0</v>
      </c>
      <c r="H91" s="4547">
        <f t="shared" ref="H91:AK91" si="112">SUM(H80:H90)</f>
        <v>0</v>
      </c>
      <c r="I91" s="4547">
        <f t="shared" si="112"/>
        <v>2283</v>
      </c>
      <c r="J91" s="4547">
        <f t="shared" si="112"/>
        <v>0</v>
      </c>
      <c r="K91" s="4548">
        <f t="shared" si="112"/>
        <v>2283</v>
      </c>
      <c r="L91" s="4547">
        <f t="shared" si="112"/>
        <v>0</v>
      </c>
      <c r="M91" s="4547">
        <f t="shared" si="112"/>
        <v>0</v>
      </c>
      <c r="N91" s="4547">
        <f t="shared" si="112"/>
        <v>0</v>
      </c>
      <c r="O91" s="4549">
        <f t="shared" si="112"/>
        <v>2283</v>
      </c>
      <c r="P91" s="4547">
        <f t="shared" si="112"/>
        <v>0</v>
      </c>
      <c r="Q91" s="4547">
        <f t="shared" si="112"/>
        <v>0</v>
      </c>
      <c r="R91" s="4547">
        <f t="shared" si="112"/>
        <v>0</v>
      </c>
      <c r="S91" s="4548">
        <f t="shared" si="112"/>
        <v>2283</v>
      </c>
      <c r="T91" s="4547">
        <f t="shared" si="112"/>
        <v>0</v>
      </c>
      <c r="U91" s="4547">
        <f t="shared" si="112"/>
        <v>5981.4560000000001</v>
      </c>
      <c r="V91" s="4547">
        <f t="shared" si="112"/>
        <v>0</v>
      </c>
      <c r="W91" s="4548">
        <f t="shared" si="112"/>
        <v>8264.4560000000001</v>
      </c>
      <c r="X91" s="4547">
        <f t="shared" si="112"/>
        <v>0</v>
      </c>
      <c r="Y91" s="4547">
        <f t="shared" si="112"/>
        <v>0</v>
      </c>
      <c r="Z91" s="4547">
        <f t="shared" si="112"/>
        <v>0</v>
      </c>
      <c r="AA91" s="4549">
        <f t="shared" si="112"/>
        <v>5981.4560000000001</v>
      </c>
      <c r="AB91" s="4547">
        <f t="shared" si="112"/>
        <v>0</v>
      </c>
      <c r="AC91" s="4550">
        <f t="shared" si="112"/>
        <v>8264.4560000000001</v>
      </c>
      <c r="AD91" s="4547">
        <f t="shared" si="112"/>
        <v>0</v>
      </c>
      <c r="AE91" s="4547">
        <f t="shared" si="112"/>
        <v>6618.6041999999998</v>
      </c>
      <c r="AF91" s="4547">
        <f t="shared" si="112"/>
        <v>0</v>
      </c>
      <c r="AG91" s="4548">
        <f t="shared" si="112"/>
        <v>14883.0602</v>
      </c>
      <c r="AH91" s="4547">
        <f t="shared" si="112"/>
        <v>0</v>
      </c>
      <c r="AI91" s="4547">
        <f t="shared" si="112"/>
        <v>0</v>
      </c>
      <c r="AJ91" s="4547">
        <f t="shared" si="112"/>
        <v>0</v>
      </c>
      <c r="AK91" s="4548">
        <f t="shared" si="112"/>
        <v>14883.0602</v>
      </c>
      <c r="AL91" s="4547">
        <f t="shared" ref="AL91:AQ91" si="113">SUM(AL80:AL90)</f>
        <v>0</v>
      </c>
      <c r="AM91" s="4547">
        <f t="shared" si="113"/>
        <v>11971.576000000001</v>
      </c>
      <c r="AN91" s="4672"/>
      <c r="AO91" s="4549">
        <f t="shared" ref="AO91" si="114">SUM(AO80:AO90)</f>
        <v>18590.180199999999</v>
      </c>
      <c r="AP91" s="4547">
        <f t="shared" si="113"/>
        <v>0</v>
      </c>
      <c r="AQ91" s="4548">
        <f t="shared" si="113"/>
        <v>26854.636200000001</v>
      </c>
      <c r="AR91" s="4547">
        <f t="shared" ref="AR91:AU91" si="115">SUM(AR80:AR90)</f>
        <v>0</v>
      </c>
      <c r="AS91" s="4547">
        <f t="shared" si="115"/>
        <v>10494.065000000001</v>
      </c>
      <c r="AT91" s="4547">
        <f t="shared" si="115"/>
        <v>0</v>
      </c>
      <c r="AU91" s="4548">
        <f t="shared" si="115"/>
        <v>37348.701200000003</v>
      </c>
      <c r="AV91" s="4547">
        <f t="shared" ref="AV91:AY91" si="116">SUM(AV80:AV90)</f>
        <v>0</v>
      </c>
      <c r="AW91" s="4547">
        <f t="shared" si="116"/>
        <v>0</v>
      </c>
      <c r="AX91" s="4547">
        <f t="shared" si="116"/>
        <v>0</v>
      </c>
      <c r="AY91" s="4548">
        <f t="shared" si="116"/>
        <v>37348.701200000003</v>
      </c>
      <c r="AZ91" s="4547">
        <f t="shared" ref="AZ91:BG91" si="117">SUM(AZ80:AZ90)</f>
        <v>0</v>
      </c>
      <c r="BA91" s="4547">
        <f t="shared" si="117"/>
        <v>0</v>
      </c>
      <c r="BB91" s="4672"/>
      <c r="BC91" s="4549">
        <f t="shared" ref="BC91:BE91" si="118">SUM(BC80:BC90)</f>
        <v>10494.065000000001</v>
      </c>
      <c r="BD91" s="4547">
        <f t="shared" si="118"/>
        <v>0</v>
      </c>
      <c r="BE91" s="4550">
        <f t="shared" si="118"/>
        <v>29084.245200000001</v>
      </c>
      <c r="BF91" s="4547">
        <f t="shared" si="117"/>
        <v>0</v>
      </c>
      <c r="BG91" s="4548">
        <f t="shared" si="117"/>
        <v>37348.701200000003</v>
      </c>
      <c r="BH91" s="26"/>
      <c r="BI91" s="26"/>
    </row>
    <row r="92" spans="1:61" ht="16.5" x14ac:dyDescent="0.25">
      <c r="C92" s="6189" t="s">
        <v>980</v>
      </c>
      <c r="D92" s="6189"/>
      <c r="E92" s="6193"/>
      <c r="F92" s="4576"/>
      <c r="G92" s="4577">
        <f t="shared" ref="G92:AM92" si="119">+G91+G79+G55+G47+G39</f>
        <v>192611.30000000002</v>
      </c>
      <c r="H92" s="4577">
        <f t="shared" si="119"/>
        <v>0</v>
      </c>
      <c r="I92" s="4577">
        <f t="shared" si="119"/>
        <v>217867.62900000007</v>
      </c>
      <c r="J92" s="4577">
        <f t="shared" si="119"/>
        <v>0</v>
      </c>
      <c r="K92" s="4548">
        <f t="shared" si="119"/>
        <v>410478.92900000006</v>
      </c>
      <c r="L92" s="4577">
        <f t="shared" si="119"/>
        <v>0</v>
      </c>
      <c r="M92" s="4577">
        <f t="shared" si="119"/>
        <v>221276.79800000004</v>
      </c>
      <c r="N92" s="4577">
        <f t="shared" si="119"/>
        <v>0</v>
      </c>
      <c r="O92" s="4549">
        <f t="shared" si="119"/>
        <v>631755.72700000007</v>
      </c>
      <c r="P92" s="4577">
        <f t="shared" si="119"/>
        <v>0</v>
      </c>
      <c r="Q92" s="4577">
        <f t="shared" si="119"/>
        <v>235748.9770000001</v>
      </c>
      <c r="R92" s="4577">
        <f t="shared" si="119"/>
        <v>0</v>
      </c>
      <c r="S92" s="4548">
        <f t="shared" si="119"/>
        <v>865868.70400000026</v>
      </c>
      <c r="T92" s="4577">
        <f t="shared" si="119"/>
        <v>0</v>
      </c>
      <c r="U92" s="4577">
        <f t="shared" si="119"/>
        <v>205826.46000000005</v>
      </c>
      <c r="V92" s="4577">
        <f t="shared" si="119"/>
        <v>0</v>
      </c>
      <c r="W92" s="4548">
        <f t="shared" si="119"/>
        <v>1071695.1640000003</v>
      </c>
      <c r="X92" s="4577">
        <f t="shared" si="119"/>
        <v>0</v>
      </c>
      <c r="Y92" s="4577">
        <f t="shared" si="119"/>
        <v>213715.7710000001</v>
      </c>
      <c r="Z92" s="4577">
        <f t="shared" si="119"/>
        <v>0</v>
      </c>
      <c r="AA92" s="4549">
        <f t="shared" si="119"/>
        <v>655291.20800000022</v>
      </c>
      <c r="AB92" s="4577">
        <f t="shared" si="119"/>
        <v>0</v>
      </c>
      <c r="AC92" s="4550">
        <f t="shared" si="119"/>
        <v>1285410.9350000003</v>
      </c>
      <c r="AD92" s="4577">
        <f t="shared" si="119"/>
        <v>0</v>
      </c>
      <c r="AE92" s="4577">
        <f t="shared" si="119"/>
        <v>180133.4932</v>
      </c>
      <c r="AF92" s="4577">
        <f t="shared" si="119"/>
        <v>0</v>
      </c>
      <c r="AG92" s="4548">
        <f t="shared" si="119"/>
        <v>1465544.4282000004</v>
      </c>
      <c r="AH92" s="4577">
        <f t="shared" si="119"/>
        <v>0</v>
      </c>
      <c r="AI92" s="4577">
        <f t="shared" si="119"/>
        <v>39474.304000000004</v>
      </c>
      <c r="AJ92" s="4577">
        <f t="shared" si="119"/>
        <v>0</v>
      </c>
      <c r="AK92" s="4548">
        <f t="shared" si="119"/>
        <v>1505018.7322000002</v>
      </c>
      <c r="AL92" s="4577">
        <f t="shared" si="119"/>
        <v>0</v>
      </c>
      <c r="AM92" s="4577">
        <f t="shared" si="119"/>
        <v>220533.29000000007</v>
      </c>
      <c r="AN92" s="4676"/>
      <c r="AO92" s="4549">
        <f t="shared" ref="AO92:BA92" si="120">+AO91+AO79+AO55+AO47+AO39</f>
        <v>440141.08720000007</v>
      </c>
      <c r="AP92" s="4577">
        <f t="shared" si="120"/>
        <v>0</v>
      </c>
      <c r="AQ92" s="4548">
        <f t="shared" si="120"/>
        <v>1725552.0222000005</v>
      </c>
      <c r="AR92" s="4577">
        <f t="shared" si="120"/>
        <v>0</v>
      </c>
      <c r="AS92" s="4577">
        <f t="shared" si="120"/>
        <v>227824.8250000001</v>
      </c>
      <c r="AT92" s="4577">
        <f t="shared" si="120"/>
        <v>0</v>
      </c>
      <c r="AU92" s="4548">
        <f t="shared" si="120"/>
        <v>1953376.8472000007</v>
      </c>
      <c r="AV92" s="4577">
        <f t="shared" si="120"/>
        <v>0</v>
      </c>
      <c r="AW92" s="4577">
        <f t="shared" si="120"/>
        <v>202956.77199999997</v>
      </c>
      <c r="AX92" s="4577">
        <f t="shared" si="120"/>
        <v>0</v>
      </c>
      <c r="AY92" s="4548">
        <f t="shared" si="120"/>
        <v>2156333.6192000005</v>
      </c>
      <c r="AZ92" s="4577">
        <f t="shared" si="120"/>
        <v>0</v>
      </c>
      <c r="BA92" s="4577">
        <f t="shared" si="120"/>
        <v>234632.25000000009</v>
      </c>
      <c r="BB92" s="4676"/>
      <c r="BC92" s="4549">
        <f>+BC91+BC79+BC55+BC47+BC39</f>
        <v>665413.84700000007</v>
      </c>
      <c r="BD92" s="4577">
        <f>+BD91+BD79+BD55+BD47+BD39</f>
        <v>0</v>
      </c>
      <c r="BE92" s="4550">
        <f>+BE91+BE79+BE55+BE47+BE39</f>
        <v>1105554.9342000003</v>
      </c>
      <c r="BF92" s="4577">
        <f>+BF91+BF79+BF55+BF47+BF39</f>
        <v>0</v>
      </c>
      <c r="BG92" s="4548">
        <f>+BG91+BG79+BG55+BG47+BG39</f>
        <v>2390965.8692000005</v>
      </c>
      <c r="BH92" s="26"/>
      <c r="BI92" s="26"/>
    </row>
    <row r="93" spans="1:61" ht="16.5" x14ac:dyDescent="0.25">
      <c r="C93" s="6187" t="s">
        <v>981</v>
      </c>
      <c r="D93" s="6187"/>
      <c r="E93" s="4578" t="s">
        <v>982</v>
      </c>
      <c r="F93" s="4531"/>
      <c r="G93" s="5377">
        <f>+G92/G95</f>
        <v>0.96886971830985924</v>
      </c>
      <c r="H93" s="4579">
        <f t="shared" ref="H93:AK93" si="121">+H92/H95</f>
        <v>0</v>
      </c>
      <c r="I93" s="5377">
        <f t="shared" si="121"/>
        <v>0.95419908423658439</v>
      </c>
      <c r="J93" s="5377">
        <f t="shared" si="121"/>
        <v>0</v>
      </c>
      <c r="K93" s="5423">
        <f t="shared" si="121"/>
        <v>0.96102734568913639</v>
      </c>
      <c r="L93" s="4579">
        <f t="shared" si="121"/>
        <v>0</v>
      </c>
      <c r="M93" s="4579">
        <f t="shared" si="121"/>
        <v>0.97093749144910602</v>
      </c>
      <c r="N93" s="4579">
        <f t="shared" si="121"/>
        <v>0</v>
      </c>
      <c r="O93" s="5527">
        <f t="shared" si="121"/>
        <v>0.96447534039209293</v>
      </c>
      <c r="P93" s="5377">
        <f t="shared" si="121"/>
        <v>0</v>
      </c>
      <c r="Q93" s="4579">
        <f t="shared" si="121"/>
        <v>0.96928315006031562</v>
      </c>
      <c r="R93" s="5377">
        <f t="shared" si="121"/>
        <v>0</v>
      </c>
      <c r="S93" s="5423">
        <f t="shared" si="121"/>
        <v>0.96395583315577604</v>
      </c>
      <c r="T93" s="4579">
        <f t="shared" si="121"/>
        <v>0</v>
      </c>
      <c r="U93" s="4579">
        <f t="shared" si="121"/>
        <v>0.93966694814702334</v>
      </c>
      <c r="V93" s="4579">
        <f t="shared" si="121"/>
        <v>0</v>
      </c>
      <c r="W93" s="4580">
        <f t="shared" si="121"/>
        <v>0.95919404538528252</v>
      </c>
      <c r="X93" s="4579">
        <f t="shared" si="121"/>
        <v>0</v>
      </c>
      <c r="Y93" s="4579">
        <f t="shared" si="121"/>
        <v>0.95911690045663589</v>
      </c>
      <c r="Z93" s="4579">
        <f t="shared" si="121"/>
        <v>0</v>
      </c>
      <c r="AA93" s="4743">
        <f t="shared" si="121"/>
        <v>0.95650742245559772</v>
      </c>
      <c r="AB93" s="4579">
        <f t="shared" si="121"/>
        <v>0</v>
      </c>
      <c r="AC93" s="4581">
        <f t="shared" si="121"/>
        <v>0.95918121820833158</v>
      </c>
      <c r="AD93" s="4579">
        <f t="shared" si="121"/>
        <v>0</v>
      </c>
      <c r="AE93" s="4579">
        <f t="shared" si="121"/>
        <v>0.96415522067707826</v>
      </c>
      <c r="AF93" s="4579">
        <f t="shared" si="121"/>
        <v>0</v>
      </c>
      <c r="AG93" s="4580">
        <f t="shared" si="121"/>
        <v>0.95978981640241889</v>
      </c>
      <c r="AH93" s="4579">
        <f t="shared" si="121"/>
        <v>0</v>
      </c>
      <c r="AI93" s="4579">
        <f t="shared" si="121"/>
        <v>0.97931554820284805</v>
      </c>
      <c r="AJ93" s="4579">
        <f t="shared" si="121"/>
        <v>0</v>
      </c>
      <c r="AK93" s="4580">
        <f t="shared" si="121"/>
        <v>0.96029199772461071</v>
      </c>
      <c r="AL93" s="4579">
        <f t="shared" ref="AL93:AQ93" si="122">+AL92/AL95</f>
        <v>0</v>
      </c>
      <c r="AM93" s="4579">
        <f t="shared" si="122"/>
        <v>0.97022792268585345</v>
      </c>
      <c r="AN93" s="4677"/>
      <c r="AO93" s="4743">
        <f t="shared" ref="AO93" si="123">+AO92/AO95</f>
        <v>0.96853735283959119</v>
      </c>
      <c r="AP93" s="4579">
        <f t="shared" si="122"/>
        <v>0</v>
      </c>
      <c r="AQ93" s="4580">
        <f t="shared" si="122"/>
        <v>0.96155049630368339</v>
      </c>
      <c r="AR93" s="4579">
        <f t="shared" ref="AR93:AU93" si="124">+AR92/AR95</f>
        <v>0</v>
      </c>
      <c r="AS93" s="4579">
        <f t="shared" si="124"/>
        <v>0.96780696667517663</v>
      </c>
      <c r="AT93" s="4579">
        <f t="shared" si="124"/>
        <v>0</v>
      </c>
      <c r="AU93" s="4580">
        <f t="shared" si="124"/>
        <v>0.96227602621844621</v>
      </c>
      <c r="AV93" s="4579">
        <f t="shared" ref="AV93:AY93" si="125">+AV92/AV95</f>
        <v>0</v>
      </c>
      <c r="AW93" s="4579">
        <f t="shared" si="125"/>
        <v>0.97194024790234068</v>
      </c>
      <c r="AX93" s="4579">
        <f t="shared" si="125"/>
        <v>0</v>
      </c>
      <c r="AY93" s="4580">
        <f t="shared" si="125"/>
        <v>0.96317743380475762</v>
      </c>
      <c r="AZ93" s="4579">
        <f t="shared" ref="AZ93:BG93" si="126">+AZ92/AZ95</f>
        <v>0</v>
      </c>
      <c r="BA93" s="4579">
        <f t="shared" si="126"/>
        <v>0.974487389785611</v>
      </c>
      <c r="BB93" s="4677"/>
      <c r="BC93" s="4743">
        <f t="shared" ref="BC93:BE93" si="127">+BC92/BC95</f>
        <v>0.97141513511271937</v>
      </c>
      <c r="BD93" s="4579">
        <f t="shared" si="127"/>
        <v>0</v>
      </c>
      <c r="BE93" s="4581">
        <f t="shared" si="127"/>
        <v>0.97026739230608028</v>
      </c>
      <c r="BF93" s="4579">
        <f t="shared" si="126"/>
        <v>0</v>
      </c>
      <c r="BG93" s="4580">
        <f t="shared" si="126"/>
        <v>0.96427568133135988</v>
      </c>
      <c r="BH93" s="26"/>
      <c r="BI93" s="26"/>
    </row>
    <row r="94" spans="1:61" x14ac:dyDescent="0.25">
      <c r="E94"/>
      <c r="K94"/>
      <c r="O94"/>
      <c r="S94"/>
      <c r="W94"/>
      <c r="X94"/>
      <c r="Y94"/>
      <c r="AA94"/>
      <c r="AB94"/>
      <c r="AC94"/>
      <c r="AG94"/>
      <c r="AK94"/>
      <c r="BH94" s="26"/>
      <c r="BI94" s="26"/>
    </row>
    <row r="95" spans="1:61" s="4639" customFormat="1" ht="20.25" x14ac:dyDescent="0.3">
      <c r="C95" s="6183" t="s">
        <v>1039</v>
      </c>
      <c r="D95" s="6184"/>
      <c r="E95" s="4640" t="s">
        <v>66</v>
      </c>
      <c r="F95" s="4641">
        <f>+'Maj Production Summ'!E37</f>
        <v>228999.81536860339</v>
      </c>
      <c r="G95" s="4641">
        <f>+'Maj Production Summ'!F37</f>
        <v>198800</v>
      </c>
      <c r="H95" s="4641">
        <f>+'Maj Production Summ'!G37</f>
        <v>236499.57667165709</v>
      </c>
      <c r="I95" s="4641">
        <f>+'Maj Production Summ'!H37</f>
        <v>228325.12900000007</v>
      </c>
      <c r="J95" s="4641">
        <f>+'Maj Production Summ'!I37</f>
        <v>465499.39204026049</v>
      </c>
      <c r="K95" s="4641">
        <f>+'Maj Production Summ'!J37</f>
        <v>427125.12900000007</v>
      </c>
      <c r="L95" s="4641">
        <f>+'Maj Production Summ'!K37</f>
        <v>229000.11088311521</v>
      </c>
      <c r="M95" s="4641">
        <f>+'Maj Production Summ'!L37</f>
        <v>227900.14800000004</v>
      </c>
      <c r="N95" s="4641">
        <f>+'Maj Production Summ'!M37</f>
        <v>694499.50292337569</v>
      </c>
      <c r="O95" s="4641">
        <f>+'Maj Production Summ'!N37</f>
        <v>655025.27700000012</v>
      </c>
      <c r="P95" s="4641">
        <f>+'Maj Production Summ'!O37</f>
        <v>231500.1413553209</v>
      </c>
      <c r="Q95" s="4641">
        <f>+'Maj Production Summ'!P37</f>
        <v>243219.92700000008</v>
      </c>
      <c r="R95" s="4641">
        <f>+'Maj Production Summ'!Q37</f>
        <v>925999.64427869662</v>
      </c>
      <c r="S95" s="4641">
        <f>+'Maj Production Summ'!R37</f>
        <v>898245.20400000026</v>
      </c>
      <c r="T95" s="4641">
        <f>+'Maj Production Summ'!S37</f>
        <v>231500.1413553209</v>
      </c>
      <c r="U95" s="4641">
        <f>+'Maj Production Summ'!T37</f>
        <v>219041.92800000004</v>
      </c>
      <c r="V95" s="4641">
        <f>+'Maj Production Summ'!U37</f>
        <v>1157499.7856340175</v>
      </c>
      <c r="W95" s="4641">
        <f>+'Maj Production Summ'!V37</f>
        <v>1117287.1320000002</v>
      </c>
      <c r="X95" s="4641">
        <f>+'Maj Production Summ'!W37</f>
        <v>121300.0147648532</v>
      </c>
      <c r="Y95" s="4641">
        <f>+'Maj Production Summ'!X37</f>
        <v>222825.57100000005</v>
      </c>
      <c r="Z95" s="4641">
        <f>+'Maj Production Summ'!Y37</f>
        <v>584300.29747549503</v>
      </c>
      <c r="AA95" s="4641">
        <f>+'Maj Production Summ'!Z37</f>
        <v>685087.42600000021</v>
      </c>
      <c r="AB95" s="4641">
        <f>+'Maj Production Summ'!AA37</f>
        <v>1278799.8003988706</v>
      </c>
      <c r="AC95" s="4641">
        <f>+'Maj Production Summ'!AB37</f>
        <v>1340112.7030000002</v>
      </c>
      <c r="AD95" s="4641">
        <f>+'Maj Production Summ'!AC37</f>
        <v>226841.09386753975</v>
      </c>
      <c r="AE95" s="4641">
        <f>+'Maj Production Summ'!AD37</f>
        <v>186830.38720000003</v>
      </c>
      <c r="AF95" s="4641">
        <f>+'Maj Production Summ'!AE37</f>
        <v>1505640.8942664103</v>
      </c>
      <c r="AG95" s="4641">
        <f>+'Maj Production Summ'!AF37</f>
        <v>1526943.0902000002</v>
      </c>
      <c r="AH95" s="4641">
        <f>+'Maj Production Summ'!AG37</f>
        <v>223180.91557330103</v>
      </c>
      <c r="AI95" s="4641">
        <f>+'Maj Production Summ'!AH37</f>
        <v>40308.054000000004</v>
      </c>
      <c r="AJ95" s="4641">
        <f>+'Maj Production Summ'!AI37</f>
        <v>1728821.8098397115</v>
      </c>
      <c r="AK95" s="4641">
        <f>+'Maj Production Summ'!AJ37</f>
        <v>1567251.1442000002</v>
      </c>
      <c r="AL95" s="4641">
        <f>+'Maj Production Summ'!AK37</f>
        <v>225210.06226252159</v>
      </c>
      <c r="AM95" s="4641">
        <f>+'Maj Production Summ'!AL37</f>
        <v>227300.49800000008</v>
      </c>
      <c r="AN95" s="4678"/>
      <c r="AO95" s="4641">
        <f>+'Maj Production Summ'!AN37</f>
        <v>454438.93920000014</v>
      </c>
      <c r="AP95" s="4641">
        <f>+'Maj Production Summ'!AM37</f>
        <v>675232.0717033624</v>
      </c>
      <c r="AQ95" s="4641">
        <f>+'Maj Production Summ'!AP37</f>
        <v>1794551.6422000004</v>
      </c>
      <c r="AR95" s="4641">
        <f>+'Maj Production Summ'!AQ37</f>
        <v>226839.61226252161</v>
      </c>
      <c r="AS95" s="4641">
        <f>+'Maj Production Summ'!AR37</f>
        <v>235403.16700000007</v>
      </c>
      <c r="AT95" s="4641">
        <f>+'Maj Production Summ'!AS37</f>
        <v>2180871.4843647545</v>
      </c>
      <c r="AU95" s="4641">
        <f>+'Maj Production Summ'!AT37</f>
        <v>2029954.8092000005</v>
      </c>
      <c r="AV95" s="4641">
        <f>+'Maj Production Summ'!AU37</f>
        <v>207657.99609174184</v>
      </c>
      <c r="AW95" s="4641">
        <f>+'Maj Production Summ'!AV37</f>
        <v>208816.1</v>
      </c>
      <c r="AX95" s="4641">
        <f>+'Maj Production Summ'!AW37</f>
        <v>2388529.4804564966</v>
      </c>
      <c r="AY95" s="4641">
        <f>+'Maj Production Summ'!AX37</f>
        <v>2238770.9092000006</v>
      </c>
      <c r="AZ95" s="4641">
        <f>+'Maj Production Summ'!AY37</f>
        <v>230952.61226252158</v>
      </c>
      <c r="BA95" s="4641">
        <f>+'Maj Production Summ'!AZ37</f>
        <v>240775.0500000001</v>
      </c>
      <c r="BB95" s="4678"/>
      <c r="BC95" s="4641">
        <f>+'Maj Production Summ'!BB37</f>
        <v>684994.31700000016</v>
      </c>
      <c r="BD95" s="4641">
        <f>+'Maj Production Summ'!BC37</f>
        <v>1340682.2923201474</v>
      </c>
      <c r="BE95" s="4641">
        <f>+'Maj Production Summ'!BD37</f>
        <v>1139433.2562000004</v>
      </c>
      <c r="BF95" s="4641">
        <f>+'Maj Production Summ'!BE37</f>
        <v>2619482.092719018</v>
      </c>
      <c r="BG95" s="4641">
        <f>+'Maj Production Summ'!BF37</f>
        <v>2479545.9592000004</v>
      </c>
      <c r="BH95" s="26"/>
      <c r="BI95" s="26"/>
    </row>
    <row r="96" spans="1:61" ht="15.75" thickBot="1" x14ac:dyDescent="0.3">
      <c r="E96"/>
      <c r="K96"/>
      <c r="O96"/>
      <c r="S96"/>
      <c r="W96"/>
      <c r="X96"/>
      <c r="Y96"/>
      <c r="AA96"/>
      <c r="AB96"/>
      <c r="AC96"/>
      <c r="AG96"/>
      <c r="AK96"/>
      <c r="BH96" s="26"/>
      <c r="BI96" s="26"/>
    </row>
    <row r="97" spans="1:61" ht="15.75" hidden="1" customHeight="1" thickBot="1" x14ac:dyDescent="0.35">
      <c r="C97" s="4536"/>
      <c r="D97" s="4536"/>
      <c r="E97" s="4587"/>
      <c r="F97" s="4536"/>
      <c r="G97" s="4536"/>
      <c r="H97" s="4536"/>
      <c r="I97" s="4536"/>
      <c r="J97" s="4536"/>
      <c r="K97" s="4583"/>
      <c r="L97" s="4536"/>
      <c r="M97" s="4536"/>
      <c r="N97" s="4536"/>
      <c r="O97" s="4584"/>
      <c r="P97" s="4536"/>
      <c r="Q97" s="4536"/>
      <c r="R97" s="4536"/>
      <c r="S97" s="4583"/>
      <c r="T97" s="4536"/>
      <c r="U97" s="4536"/>
      <c r="V97" s="4536"/>
      <c r="W97" s="4583"/>
      <c r="X97" s="4582"/>
      <c r="Y97" s="4536"/>
      <c r="Z97" s="4536"/>
      <c r="AA97" s="4584"/>
      <c r="AB97" s="4585"/>
      <c r="AC97" s="4585"/>
      <c r="AD97" s="4536"/>
      <c r="AE97" s="4536"/>
      <c r="AF97" s="4536"/>
      <c r="AG97" s="4583"/>
      <c r="AH97" s="4536"/>
      <c r="AI97" s="4536"/>
      <c r="AJ97" s="4536"/>
      <c r="AK97" s="4583"/>
      <c r="AL97" s="4536"/>
      <c r="AM97" s="4536"/>
      <c r="AN97" s="4536"/>
      <c r="AO97" s="4536"/>
      <c r="AP97" s="4536"/>
      <c r="AQ97" s="4583"/>
      <c r="AR97" s="4536"/>
      <c r="AS97" s="4536"/>
      <c r="AT97" s="4536"/>
      <c r="AU97" s="4583"/>
      <c r="AV97" s="4536"/>
      <c r="AW97" s="4536"/>
      <c r="AX97" s="4536"/>
      <c r="AY97" s="4583"/>
      <c r="AZ97" s="4536"/>
      <c r="BA97" s="4536"/>
      <c r="BB97" s="4536"/>
      <c r="BC97" s="4536"/>
      <c r="BD97" s="4585"/>
      <c r="BE97" s="4585"/>
      <c r="BF97" s="4536"/>
      <c r="BG97" s="4583"/>
      <c r="BH97" s="26"/>
      <c r="BI97" s="26"/>
    </row>
    <row r="98" spans="1:61" ht="15.75" hidden="1" customHeight="1" thickBot="1" x14ac:dyDescent="0.35">
      <c r="C98" s="4536"/>
      <c r="D98" s="4536" t="s">
        <v>1458</v>
      </c>
      <c r="E98" s="4587"/>
      <c r="F98" s="4536"/>
      <c r="G98" s="4545">
        <f>+'Maj Production Summ'!F34</f>
        <v>45616.58799999996</v>
      </c>
      <c r="H98" s="4545"/>
      <c r="I98" s="4545">
        <f>+'Maj Production Summ'!H34</f>
        <v>52556</v>
      </c>
      <c r="J98" s="4545"/>
      <c r="K98" s="4588">
        <f>+G98+I98</f>
        <v>98172.58799999996</v>
      </c>
      <c r="L98" s="4545"/>
      <c r="M98" s="4545">
        <f>+'Maj Production Summ'!L34</f>
        <v>56218</v>
      </c>
      <c r="N98" s="4536"/>
      <c r="O98" s="4589">
        <f t="shared" ref="O98:O100" si="128">+G98+I98+M98</f>
        <v>154390.58799999996</v>
      </c>
      <c r="P98" s="4545"/>
      <c r="Q98" s="4545">
        <f>+'Maj Production Summ'!P34</f>
        <v>50303</v>
      </c>
      <c r="R98" s="4536"/>
      <c r="S98" s="4588">
        <f>+O98+Q98</f>
        <v>204693.58799999996</v>
      </c>
      <c r="T98" s="4545"/>
      <c r="U98" s="4545">
        <f>+'Maj Production Summ'!S34</f>
        <v>43500.141355320899</v>
      </c>
      <c r="V98" s="4536"/>
      <c r="W98" s="4588">
        <f>+R98+U98</f>
        <v>43500.141355320899</v>
      </c>
      <c r="X98" s="4590"/>
      <c r="Y98" s="4545">
        <f>+'Maj Production Summ'!W34</f>
        <v>15300.0147648532</v>
      </c>
      <c r="Z98" s="4536"/>
      <c r="AA98" s="4589">
        <f t="shared" ref="AA98:AA100" si="129">+R98+T98+Y98</f>
        <v>15300.0147648532</v>
      </c>
      <c r="AB98" s="4591"/>
      <c r="AC98" s="4585"/>
      <c r="AD98" s="4545"/>
      <c r="AE98" s="4545">
        <f>+'Maj Production Summ'!AA34</f>
        <v>247299.80039887069</v>
      </c>
      <c r="AF98" s="4536"/>
      <c r="AG98" s="4588">
        <f>+AA98+AE98</f>
        <v>262599.81516372389</v>
      </c>
      <c r="AH98" s="4545"/>
      <c r="AI98" s="4545">
        <f>+'Maj Production Summ'!AE34</f>
        <v>294640.41266139224</v>
      </c>
      <c r="AJ98" s="4536"/>
      <c r="AK98" s="4588">
        <f>+AE98+AI98</f>
        <v>541940.21306026296</v>
      </c>
      <c r="AL98" s="4545"/>
      <c r="AM98" s="4545">
        <f>+'Maj Production Summ'!AI34</f>
        <v>340321.19849904336</v>
      </c>
      <c r="AN98" s="4545"/>
      <c r="AO98" s="4545"/>
      <c r="AP98" s="4536"/>
      <c r="AQ98" s="4588">
        <f>+AI98+AM98</f>
        <v>634961.6111604356</v>
      </c>
      <c r="AR98" s="4545"/>
      <c r="AS98" s="4545">
        <f>+'Maj Production Summ'!AO34</f>
        <v>386031.26076156495</v>
      </c>
      <c r="AT98" s="4536"/>
      <c r="AU98" s="4588">
        <f>+AO98+AS98</f>
        <v>386031.26076156495</v>
      </c>
      <c r="AV98" s="4545"/>
      <c r="AW98" s="4545">
        <f>+'Maj Production Summ'!AS34</f>
        <v>433370.87302408653</v>
      </c>
      <c r="AX98" s="4536"/>
      <c r="AY98" s="4588">
        <f>+AS98+AW98</f>
        <v>819402.13378565153</v>
      </c>
      <c r="AZ98" s="4545"/>
      <c r="BA98" s="4545">
        <f>+'Maj Production Summ'!AW34</f>
        <v>476028.83934533002</v>
      </c>
      <c r="BB98" s="4545"/>
      <c r="BC98" s="4545"/>
      <c r="BD98" s="4591"/>
      <c r="BE98" s="4585"/>
      <c r="BF98" s="4536"/>
      <c r="BG98" s="4588">
        <f>+AW98+BA98</f>
        <v>909399.71236941661</v>
      </c>
      <c r="BH98" s="26"/>
      <c r="BI98" s="26"/>
    </row>
    <row r="99" spans="1:61" ht="15.75" hidden="1" customHeight="1" thickBot="1" x14ac:dyDescent="0.35">
      <c r="C99" s="4536"/>
      <c r="D99" s="4536" t="s">
        <v>1459</v>
      </c>
      <c r="E99" s="4587"/>
      <c r="F99" s="4536"/>
      <c r="G99" s="4545">
        <f>+SMS!F36</f>
        <v>144</v>
      </c>
      <c r="H99" s="4536"/>
      <c r="I99" s="4545">
        <f>+SMS!H36</f>
        <v>154</v>
      </c>
      <c r="J99" s="4536"/>
      <c r="K99" s="4588">
        <f>+G99+I99</f>
        <v>298</v>
      </c>
      <c r="L99" s="4536"/>
      <c r="M99" s="4545">
        <f>+SMS!L36</f>
        <v>56</v>
      </c>
      <c r="N99" s="4536"/>
      <c r="O99" s="4589">
        <f t="shared" si="128"/>
        <v>354</v>
      </c>
      <c r="P99" s="4536"/>
      <c r="Q99" s="4545">
        <f>+SMS!P36</f>
        <v>26</v>
      </c>
      <c r="R99" s="4536"/>
      <c r="S99" s="4588">
        <f t="shared" ref="S99:S100" si="130">+O99+Q99</f>
        <v>380</v>
      </c>
      <c r="T99" s="4536"/>
      <c r="U99" s="4545">
        <f>+SMS!S36</f>
        <v>0</v>
      </c>
      <c r="V99" s="4536"/>
      <c r="W99" s="4588">
        <f t="shared" ref="W99:W100" si="131">+R99+U99</f>
        <v>0</v>
      </c>
      <c r="X99" s="4590"/>
      <c r="Y99" s="4545">
        <f>+SMS!W36</f>
        <v>0</v>
      </c>
      <c r="Z99" s="4536"/>
      <c r="AA99" s="4589">
        <f t="shared" si="129"/>
        <v>0</v>
      </c>
      <c r="AB99" s="4591"/>
      <c r="AC99" s="4585"/>
      <c r="AD99" s="4536"/>
      <c r="AE99" s="4545">
        <f>+SMS!AA36</f>
        <v>0</v>
      </c>
      <c r="AF99" s="4536"/>
      <c r="AG99" s="4588">
        <f t="shared" ref="AG99:AG100" si="132">+AA99+AE99</f>
        <v>0</v>
      </c>
      <c r="AH99" s="4536"/>
      <c r="AI99" s="4545">
        <f>+SMS!AE36</f>
        <v>0</v>
      </c>
      <c r="AJ99" s="4536"/>
      <c r="AK99" s="4588">
        <f t="shared" ref="AK99:AK100" si="133">+AE99+AI99</f>
        <v>0</v>
      </c>
      <c r="AL99" s="4536"/>
      <c r="AM99" s="4545">
        <f>+SMS!AI36</f>
        <v>0</v>
      </c>
      <c r="AN99" s="4545"/>
      <c r="AO99" s="4545"/>
      <c r="AP99" s="4536"/>
      <c r="AQ99" s="4588">
        <f>+AI99+AM99</f>
        <v>0</v>
      </c>
      <c r="AR99" s="4536"/>
      <c r="AS99" s="4545">
        <f>+SMS!AO36</f>
        <v>0</v>
      </c>
      <c r="AT99" s="4536"/>
      <c r="AU99" s="4588">
        <f t="shared" ref="AU99:AU100" si="134">+AO99+AS99</f>
        <v>0</v>
      </c>
      <c r="AV99" s="4536"/>
      <c r="AW99" s="4545">
        <f>+SMS!AS36</f>
        <v>0</v>
      </c>
      <c r="AX99" s="4536"/>
      <c r="AY99" s="4588">
        <f t="shared" ref="AY99:AY100" si="135">+AS99+AW99</f>
        <v>0</v>
      </c>
      <c r="AZ99" s="4536"/>
      <c r="BA99" s="4545">
        <f>+SMS!AW36</f>
        <v>0</v>
      </c>
      <c r="BB99" s="4545"/>
      <c r="BC99" s="4545"/>
      <c r="BD99" s="4591"/>
      <c r="BE99" s="4585"/>
      <c r="BF99" s="4536"/>
      <c r="BG99" s="4588">
        <f t="shared" ref="BG99:BG100" si="136">+AW99+BA99</f>
        <v>0</v>
      </c>
      <c r="BH99" s="26"/>
      <c r="BI99" s="26"/>
    </row>
    <row r="100" spans="1:61" ht="15.75" hidden="1" customHeight="1" thickBot="1" x14ac:dyDescent="0.35">
      <c r="C100" s="4536"/>
      <c r="D100" s="4536" t="s">
        <v>1460</v>
      </c>
      <c r="E100" s="4587"/>
      <c r="F100" s="4536"/>
      <c r="G100" s="4545" t="e">
        <f>+SUM('GRD SUMM RCL 150X150 '!#REF!)</f>
        <v>#REF!</v>
      </c>
      <c r="H100" s="4536"/>
      <c r="I100" s="4545" t="e">
        <f>+SUM('GRD SUMM RCL 150X150 '!#REF!)</f>
        <v>#REF!</v>
      </c>
      <c r="J100" s="4536"/>
      <c r="K100" s="4588" t="e">
        <f>+G100+I100</f>
        <v>#REF!</v>
      </c>
      <c r="L100" s="4536"/>
      <c r="M100" s="4545" t="e">
        <f>+SUM('GRD SUMM RCL 150X150 '!#REF!)</f>
        <v>#REF!</v>
      </c>
      <c r="N100" s="4536"/>
      <c r="O100" s="4589" t="e">
        <f t="shared" si="128"/>
        <v>#REF!</v>
      </c>
      <c r="P100" s="4536"/>
      <c r="Q100" s="4545" t="e">
        <f>+SUM('GRD SUMM RCL 150X150 '!#REF!)</f>
        <v>#REF!</v>
      </c>
      <c r="R100" s="4536"/>
      <c r="S100" s="4588" t="e">
        <f t="shared" si="130"/>
        <v>#REF!</v>
      </c>
      <c r="T100" s="4536"/>
      <c r="U100" s="4545" t="e">
        <f>+SUM('GRD SUMM RCL 150X150 '!#REF!)</f>
        <v>#REF!</v>
      </c>
      <c r="V100" s="4536"/>
      <c r="W100" s="4588" t="e">
        <f t="shared" si="131"/>
        <v>#REF!</v>
      </c>
      <c r="X100" s="4590"/>
      <c r="Y100" s="4545" t="e">
        <f>+SUM('GRD SUMM RCL 150X150 '!#REF!)</f>
        <v>#REF!</v>
      </c>
      <c r="Z100" s="4536"/>
      <c r="AA100" s="4589" t="e">
        <f t="shared" si="129"/>
        <v>#REF!</v>
      </c>
      <c r="AB100" s="4591"/>
      <c r="AC100" s="4585"/>
      <c r="AD100" s="4536"/>
      <c r="AE100" s="4545" t="e">
        <f>+SUM('GRD SUMM RCL 150X150 '!#REF!)</f>
        <v>#REF!</v>
      </c>
      <c r="AF100" s="4536"/>
      <c r="AG100" s="4588" t="e">
        <f t="shared" si="132"/>
        <v>#REF!</v>
      </c>
      <c r="AH100" s="4536"/>
      <c r="AI100" s="4545" t="e">
        <f>+SUM('GRD SUMM RCL 150X150 '!#REF!)</f>
        <v>#REF!</v>
      </c>
      <c r="AJ100" s="4536"/>
      <c r="AK100" s="4588" t="e">
        <f t="shared" si="133"/>
        <v>#REF!</v>
      </c>
      <c r="AL100" s="4536"/>
      <c r="AM100" s="4545" t="e">
        <f>+SUM('GRD SUMM RCL 150X150 '!#REF!)</f>
        <v>#REF!</v>
      </c>
      <c r="AN100" s="4545"/>
      <c r="AO100" s="4545"/>
      <c r="AP100" s="4536"/>
      <c r="AQ100" s="4588" t="e">
        <f>+AI100+AM100</f>
        <v>#REF!</v>
      </c>
      <c r="AR100" s="4536"/>
      <c r="AS100" s="4545" t="e">
        <f>+SUM('GRD SUMM RCL 150X150 '!#REF!)</f>
        <v>#REF!</v>
      </c>
      <c r="AT100" s="4536"/>
      <c r="AU100" s="4588" t="e">
        <f t="shared" si="134"/>
        <v>#REF!</v>
      </c>
      <c r="AV100" s="4536"/>
      <c r="AW100" s="4545" t="e">
        <f>+SUM('GRD SUMM RCL 150X150 '!#REF!)</f>
        <v>#REF!</v>
      </c>
      <c r="AX100" s="4536"/>
      <c r="AY100" s="4588" t="e">
        <f t="shared" si="135"/>
        <v>#REF!</v>
      </c>
      <c r="AZ100" s="4536"/>
      <c r="BA100" s="4545" t="e">
        <f>+SUM('GRD SUMM RCL 150X150 '!#REF!)</f>
        <v>#REF!</v>
      </c>
      <c r="BB100" s="4545"/>
      <c r="BC100" s="4545"/>
      <c r="BD100" s="4591"/>
      <c r="BE100" s="4585"/>
      <c r="BF100" s="4536"/>
      <c r="BG100" s="4588" t="e">
        <f t="shared" si="136"/>
        <v>#REF!</v>
      </c>
      <c r="BH100" s="26"/>
      <c r="BI100" s="26"/>
    </row>
    <row r="101" spans="1:61" ht="15.75" hidden="1" customHeight="1" thickBot="1" x14ac:dyDescent="0.35">
      <c r="C101" s="4536"/>
      <c r="D101" s="4536"/>
      <c r="E101" s="4587"/>
      <c r="F101" s="4536"/>
      <c r="G101" s="4545" t="e">
        <f>+G98-G99-G100</f>
        <v>#REF!</v>
      </c>
      <c r="H101" s="4536"/>
      <c r="I101" s="4545" t="e">
        <f>+I98-I99-I100</f>
        <v>#REF!</v>
      </c>
      <c r="J101" s="4545">
        <f t="shared" ref="J101:S101" si="137">+J98-J99-J100</f>
        <v>0</v>
      </c>
      <c r="K101" s="4588" t="e">
        <f t="shared" si="137"/>
        <v>#REF!</v>
      </c>
      <c r="L101" s="4545">
        <f t="shared" si="137"/>
        <v>0</v>
      </c>
      <c r="M101" s="4545" t="e">
        <f>+M98-M99-M100</f>
        <v>#REF!</v>
      </c>
      <c r="N101" s="4545">
        <f t="shared" si="137"/>
        <v>0</v>
      </c>
      <c r="O101" s="4589" t="e">
        <f t="shared" si="137"/>
        <v>#REF!</v>
      </c>
      <c r="P101" s="4545">
        <f t="shared" si="137"/>
        <v>0</v>
      </c>
      <c r="Q101" s="4545" t="e">
        <f t="shared" si="137"/>
        <v>#REF!</v>
      </c>
      <c r="R101" s="4545">
        <f t="shared" si="137"/>
        <v>0</v>
      </c>
      <c r="S101" s="4588" t="e">
        <f t="shared" si="137"/>
        <v>#REF!</v>
      </c>
      <c r="T101" s="4545">
        <f t="shared" ref="T101" si="138">+T98-T99-T100</f>
        <v>0</v>
      </c>
      <c r="U101" s="4545" t="e">
        <f t="shared" ref="U101:AA101" si="139">+U98-U99-U100</f>
        <v>#REF!</v>
      </c>
      <c r="V101" s="4545">
        <f t="shared" si="139"/>
        <v>0</v>
      </c>
      <c r="W101" s="4588" t="e">
        <f t="shared" si="139"/>
        <v>#REF!</v>
      </c>
      <c r="X101" s="4590"/>
      <c r="Y101" s="4545" t="e">
        <f t="shared" ref="Y101" si="140">+Y98-Y99-Y100</f>
        <v>#REF!</v>
      </c>
      <c r="Z101" s="4545">
        <f t="shared" si="139"/>
        <v>0</v>
      </c>
      <c r="AA101" s="4589" t="e">
        <f t="shared" si="139"/>
        <v>#REF!</v>
      </c>
      <c r="AB101" s="4591"/>
      <c r="AC101" s="4585"/>
      <c r="AD101" s="4545">
        <f t="shared" ref="AD101:AG101" si="141">+AD98-AD99-AD100</f>
        <v>0</v>
      </c>
      <c r="AE101" s="4545" t="e">
        <f t="shared" si="141"/>
        <v>#REF!</v>
      </c>
      <c r="AF101" s="4545">
        <f t="shared" si="141"/>
        <v>0</v>
      </c>
      <c r="AG101" s="4588" t="e">
        <f t="shared" si="141"/>
        <v>#REF!</v>
      </c>
      <c r="AH101" s="4545">
        <f t="shared" ref="AH101:AK101" si="142">+AH98-AH99-AH100</f>
        <v>0</v>
      </c>
      <c r="AI101" s="4545" t="e">
        <f t="shared" si="142"/>
        <v>#REF!</v>
      </c>
      <c r="AJ101" s="4545">
        <f t="shared" si="142"/>
        <v>0</v>
      </c>
      <c r="AK101" s="4588" t="e">
        <f t="shared" si="142"/>
        <v>#REF!</v>
      </c>
      <c r="AL101" s="4545">
        <f t="shared" ref="AL101:AQ101" si="143">+AL98-AL99-AL100</f>
        <v>0</v>
      </c>
      <c r="AM101" s="4545" t="e">
        <f t="shared" si="143"/>
        <v>#REF!</v>
      </c>
      <c r="AN101" s="4545"/>
      <c r="AO101" s="4545"/>
      <c r="AP101" s="4545">
        <f t="shared" si="143"/>
        <v>0</v>
      </c>
      <c r="AQ101" s="4588" t="e">
        <f t="shared" si="143"/>
        <v>#REF!</v>
      </c>
      <c r="AR101" s="4545">
        <f t="shared" ref="AR101:AU101" si="144">+AR98-AR99-AR100</f>
        <v>0</v>
      </c>
      <c r="AS101" s="4545" t="e">
        <f t="shared" si="144"/>
        <v>#REF!</v>
      </c>
      <c r="AT101" s="4545">
        <f t="shared" si="144"/>
        <v>0</v>
      </c>
      <c r="AU101" s="4588" t="e">
        <f t="shared" si="144"/>
        <v>#REF!</v>
      </c>
      <c r="AV101" s="4545">
        <f t="shared" ref="AV101:AY101" si="145">+AV98-AV99-AV100</f>
        <v>0</v>
      </c>
      <c r="AW101" s="4545" t="e">
        <f t="shared" si="145"/>
        <v>#REF!</v>
      </c>
      <c r="AX101" s="4545">
        <f t="shared" si="145"/>
        <v>0</v>
      </c>
      <c r="AY101" s="4588" t="e">
        <f t="shared" si="145"/>
        <v>#REF!</v>
      </c>
      <c r="AZ101" s="4545">
        <f t="shared" ref="AZ101:BG101" si="146">+AZ98-AZ99-AZ100</f>
        <v>0</v>
      </c>
      <c r="BA101" s="4545" t="e">
        <f t="shared" si="146"/>
        <v>#REF!</v>
      </c>
      <c r="BB101" s="4545"/>
      <c r="BC101" s="4545"/>
      <c r="BD101" s="4591"/>
      <c r="BE101" s="4585"/>
      <c r="BF101" s="4545">
        <f t="shared" si="146"/>
        <v>0</v>
      </c>
      <c r="BG101" s="4588" t="e">
        <f t="shared" si="146"/>
        <v>#REF!</v>
      </c>
      <c r="BH101" s="26"/>
      <c r="BI101" s="26"/>
    </row>
    <row r="102" spans="1:61" ht="15.75" hidden="1" customHeight="1" thickBot="1" x14ac:dyDescent="0.35">
      <c r="C102" s="4536"/>
      <c r="D102" s="4536"/>
      <c r="E102" s="4587"/>
      <c r="F102" s="4536"/>
      <c r="G102" s="4545" t="e">
        <f>+G101-G79</f>
        <v>#REF!</v>
      </c>
      <c r="H102" s="4536"/>
      <c r="I102" s="4545" t="e">
        <f>+I101-I79</f>
        <v>#REF!</v>
      </c>
      <c r="J102" s="4545">
        <f t="shared" ref="J102:AA102" si="147">+J101-J79</f>
        <v>0</v>
      </c>
      <c r="K102" s="4588" t="e">
        <f t="shared" si="147"/>
        <v>#REF!</v>
      </c>
      <c r="L102" s="4545">
        <f t="shared" si="147"/>
        <v>0</v>
      </c>
      <c r="M102" s="4545" t="e">
        <f>+M101-M79</f>
        <v>#REF!</v>
      </c>
      <c r="N102" s="4545">
        <f t="shared" si="147"/>
        <v>0</v>
      </c>
      <c r="O102" s="4589" t="e">
        <f t="shared" si="147"/>
        <v>#REF!</v>
      </c>
      <c r="P102" s="4545">
        <f t="shared" si="147"/>
        <v>0</v>
      </c>
      <c r="Q102" s="4545" t="e">
        <f t="shared" si="147"/>
        <v>#REF!</v>
      </c>
      <c r="R102" s="4545">
        <f t="shared" si="147"/>
        <v>0</v>
      </c>
      <c r="S102" s="4588" t="e">
        <f t="shared" si="147"/>
        <v>#REF!</v>
      </c>
      <c r="T102" s="4545">
        <f t="shared" si="147"/>
        <v>0</v>
      </c>
      <c r="U102" s="4545" t="e">
        <f t="shared" si="147"/>
        <v>#REF!</v>
      </c>
      <c r="V102" s="4545">
        <f t="shared" si="147"/>
        <v>0</v>
      </c>
      <c r="W102" s="4588" t="e">
        <f t="shared" si="147"/>
        <v>#REF!</v>
      </c>
      <c r="X102" s="4590"/>
      <c r="Y102" s="4545" t="e">
        <f t="shared" ref="Y102" si="148">+Y101-Y79</f>
        <v>#REF!</v>
      </c>
      <c r="Z102" s="4545">
        <f t="shared" si="147"/>
        <v>0</v>
      </c>
      <c r="AA102" s="4589" t="e">
        <f t="shared" si="147"/>
        <v>#REF!</v>
      </c>
      <c r="AB102" s="4591"/>
      <c r="AC102" s="4585"/>
      <c r="AD102" s="4545">
        <f t="shared" ref="AD102:AJ102" si="149">+AD101-AD79</f>
        <v>0</v>
      </c>
      <c r="AE102" s="4545" t="e">
        <f t="shared" si="149"/>
        <v>#REF!</v>
      </c>
      <c r="AF102" s="4545">
        <f t="shared" si="149"/>
        <v>0</v>
      </c>
      <c r="AG102" s="4588" t="e">
        <f t="shared" si="149"/>
        <v>#REF!</v>
      </c>
      <c r="AH102" s="4545">
        <f t="shared" si="149"/>
        <v>0</v>
      </c>
      <c r="AI102" s="4545" t="e">
        <f t="shared" ref="AI102" si="150">+AI101-AI79</f>
        <v>#REF!</v>
      </c>
      <c r="AJ102" s="4545">
        <f t="shared" si="149"/>
        <v>0</v>
      </c>
      <c r="AK102" s="4588" t="e">
        <f t="shared" ref="AK102:AP102" si="151">+AK101-AK79</f>
        <v>#REF!</v>
      </c>
      <c r="AL102" s="4545">
        <f t="shared" si="151"/>
        <v>0</v>
      </c>
      <c r="AM102" s="4545" t="e">
        <f t="shared" si="151"/>
        <v>#REF!</v>
      </c>
      <c r="AN102" s="4545"/>
      <c r="AO102" s="4545"/>
      <c r="AP102" s="4545">
        <f t="shared" si="151"/>
        <v>0</v>
      </c>
      <c r="AQ102" s="4588" t="e">
        <f t="shared" ref="AQ102:AU102" si="152">+AQ101-AQ79</f>
        <v>#REF!</v>
      </c>
      <c r="AR102" s="4545">
        <f t="shared" si="152"/>
        <v>0</v>
      </c>
      <c r="AS102" s="4545" t="e">
        <f t="shared" si="152"/>
        <v>#REF!</v>
      </c>
      <c r="AT102" s="4545">
        <f t="shared" si="152"/>
        <v>0</v>
      </c>
      <c r="AU102" s="4588" t="e">
        <f t="shared" si="152"/>
        <v>#REF!</v>
      </c>
      <c r="AV102" s="4545">
        <f t="shared" ref="AV102:AY102" si="153">+AV101-AV79</f>
        <v>0</v>
      </c>
      <c r="AW102" s="4545" t="e">
        <f t="shared" si="153"/>
        <v>#REF!</v>
      </c>
      <c r="AX102" s="4545">
        <f t="shared" si="153"/>
        <v>0</v>
      </c>
      <c r="AY102" s="4588" t="e">
        <f t="shared" si="153"/>
        <v>#REF!</v>
      </c>
      <c r="AZ102" s="4545">
        <f t="shared" ref="AZ102:BG102" si="154">+AZ101-AZ79</f>
        <v>0</v>
      </c>
      <c r="BA102" s="4545" t="e">
        <f t="shared" si="154"/>
        <v>#REF!</v>
      </c>
      <c r="BB102" s="4545"/>
      <c r="BC102" s="4545"/>
      <c r="BD102" s="4591"/>
      <c r="BE102" s="4585"/>
      <c r="BF102" s="4545">
        <f t="shared" si="154"/>
        <v>0</v>
      </c>
      <c r="BG102" s="4588" t="e">
        <f t="shared" si="154"/>
        <v>#REF!</v>
      </c>
      <c r="BH102" s="26"/>
      <c r="BI102" s="26"/>
    </row>
    <row r="103" spans="1:61" ht="15.75" hidden="1" customHeight="1" thickBot="1" x14ac:dyDescent="0.35">
      <c r="C103" s="4536"/>
      <c r="D103" s="4536"/>
      <c r="E103" s="4587"/>
      <c r="F103" s="4536"/>
      <c r="G103" s="4536"/>
      <c r="H103" s="4536"/>
      <c r="I103" s="4536"/>
      <c r="J103" s="4536"/>
      <c r="K103" s="4583"/>
      <c r="L103" s="4536"/>
      <c r="M103" s="4536"/>
      <c r="N103" s="4536"/>
      <c r="O103" s="4584"/>
      <c r="P103" s="4536"/>
      <c r="Q103" s="4536"/>
      <c r="R103" s="4536"/>
      <c r="S103" s="4588"/>
      <c r="T103" s="4536"/>
      <c r="U103" s="4536"/>
      <c r="V103" s="4536"/>
      <c r="W103" s="4588"/>
      <c r="X103" s="4590"/>
      <c r="Y103" s="4536"/>
      <c r="Z103" s="4536"/>
      <c r="AA103" s="4584"/>
      <c r="AB103" s="4585"/>
      <c r="AC103" s="4585"/>
      <c r="AD103" s="4536"/>
      <c r="AE103" s="4536"/>
      <c r="AF103" s="4536"/>
      <c r="AG103" s="4588"/>
      <c r="AH103" s="4536"/>
      <c r="AI103" s="4536"/>
      <c r="AJ103" s="4536"/>
      <c r="AK103" s="4588"/>
      <c r="AL103" s="4536"/>
      <c r="AM103" s="4536"/>
      <c r="AN103" s="4536"/>
      <c r="AO103" s="4536"/>
      <c r="AP103" s="4536"/>
      <c r="AQ103" s="4588"/>
      <c r="AR103" s="4536"/>
      <c r="AS103" s="4536"/>
      <c r="AT103" s="4536"/>
      <c r="AU103" s="4588"/>
      <c r="AV103" s="4536"/>
      <c r="AW103" s="4536"/>
      <c r="AX103" s="4536"/>
      <c r="AY103" s="4588"/>
      <c r="AZ103" s="4536"/>
      <c r="BA103" s="4536"/>
      <c r="BB103" s="4536"/>
      <c r="BC103" s="4536"/>
      <c r="BD103" s="4585"/>
      <c r="BE103" s="4585"/>
      <c r="BF103" s="4536"/>
      <c r="BG103" s="4588"/>
      <c r="BH103" s="26"/>
      <c r="BI103" s="26"/>
    </row>
    <row r="104" spans="1:61" ht="15.75" hidden="1" customHeight="1" thickBot="1" x14ac:dyDescent="0.35">
      <c r="C104" s="4536"/>
      <c r="D104" s="4536"/>
      <c r="E104" s="4587"/>
      <c r="F104" s="4536"/>
      <c r="G104" s="4536"/>
      <c r="H104" s="4536"/>
      <c r="I104" s="4536"/>
      <c r="J104" s="4536"/>
      <c r="K104" s="4583"/>
      <c r="L104" s="4536"/>
      <c r="M104" s="4536"/>
      <c r="N104" s="4536"/>
      <c r="O104" s="4584"/>
      <c r="P104" s="4536"/>
      <c r="Q104" s="4536"/>
      <c r="R104" s="4536"/>
      <c r="S104" s="4588"/>
      <c r="T104" s="4536"/>
      <c r="U104" s="4536"/>
      <c r="V104" s="4536"/>
      <c r="W104" s="4588"/>
      <c r="X104" s="4590"/>
      <c r="Y104" s="4536"/>
      <c r="Z104" s="4536"/>
      <c r="AA104" s="4584"/>
      <c r="AB104" s="4585"/>
      <c r="AC104" s="4585"/>
      <c r="AD104" s="4536"/>
      <c r="AE104" s="4536"/>
      <c r="AF104" s="4536"/>
      <c r="AG104" s="4588"/>
      <c r="AH104" s="4536"/>
      <c r="AI104" s="4536"/>
      <c r="AJ104" s="4536"/>
      <c r="AK104" s="4588"/>
      <c r="AL104" s="4536"/>
      <c r="AM104" s="4536"/>
      <c r="AN104" s="4536"/>
      <c r="AO104" s="4536"/>
      <c r="AP104" s="4536"/>
      <c r="AQ104" s="4588"/>
      <c r="AR104" s="4536"/>
      <c r="AS104" s="4536"/>
      <c r="AT104" s="4536"/>
      <c r="AU104" s="4588"/>
      <c r="AV104" s="4536"/>
      <c r="AW104" s="4536"/>
      <c r="AX104" s="4536"/>
      <c r="AY104" s="4588"/>
      <c r="AZ104" s="4536"/>
      <c r="BA104" s="4536"/>
      <c r="BB104" s="4536"/>
      <c r="BC104" s="4536"/>
      <c r="BD104" s="4585"/>
      <c r="BE104" s="4585"/>
      <c r="BF104" s="4536"/>
      <c r="BG104" s="4588"/>
      <c r="BH104" s="26"/>
      <c r="BI104" s="26"/>
    </row>
    <row r="105" spans="1:61" ht="18.75" customHeight="1" thickBot="1" x14ac:dyDescent="0.3">
      <c r="C105" s="6198" t="s">
        <v>16</v>
      </c>
      <c r="D105" s="4609" t="s">
        <v>1514</v>
      </c>
      <c r="E105" s="4609"/>
      <c r="F105" s="4592"/>
      <c r="G105" s="4610">
        <f>+WRM!F154</f>
        <v>36744.180000000008</v>
      </c>
      <c r="H105" s="4610"/>
      <c r="I105" s="4610">
        <f>+WRM!H154</f>
        <v>39374.35</v>
      </c>
      <c r="J105" s="4610"/>
      <c r="K105" s="4615">
        <f t="shared" ref="K105:K106" si="155">+G105+I105</f>
        <v>76118.53</v>
      </c>
      <c r="L105" s="4610"/>
      <c r="M105" s="4610">
        <f>+WRM!L154</f>
        <v>38297.499999999993</v>
      </c>
      <c r="N105" s="4610"/>
      <c r="O105" s="4616">
        <f t="shared" ref="O105:O106" si="156">+G105+I105+M105</f>
        <v>114416.03</v>
      </c>
      <c r="P105" s="4610"/>
      <c r="Q105" s="4610">
        <f>+WRM!P154</f>
        <v>47070.05</v>
      </c>
      <c r="R105" s="4610"/>
      <c r="S105" s="4615">
        <f t="shared" ref="S105:S106" si="157">O105+Q105</f>
        <v>161486.08000000002</v>
      </c>
      <c r="T105" s="4610"/>
      <c r="U105" s="4610">
        <f>+WRM!T154</f>
        <v>38734.750000000007</v>
      </c>
      <c r="V105" s="4610"/>
      <c r="W105" s="4615">
        <f t="shared" ref="W105:W106" si="158">S105+U105</f>
        <v>200220.83000000002</v>
      </c>
      <c r="X105" s="4610"/>
      <c r="Y105" s="4610">
        <f>+WRM!X154</f>
        <v>41006.150000000009</v>
      </c>
      <c r="Z105" s="4610"/>
      <c r="AA105" s="4616">
        <f t="shared" ref="AA105:AA106" si="159">Q105+U105+Y105</f>
        <v>126810.95000000003</v>
      </c>
      <c r="AB105" s="4610"/>
      <c r="AC105" s="4617">
        <f t="shared" ref="AC105:AC106" si="160">O105+AA105</f>
        <v>241226.98000000004</v>
      </c>
      <c r="AD105" s="4610"/>
      <c r="AE105" s="4610">
        <f>+WRM!AD154</f>
        <v>42384.76</v>
      </c>
      <c r="AF105" s="4610"/>
      <c r="AG105" s="4615">
        <f t="shared" ref="AG105:AG106" si="161">+AC105+AE105</f>
        <v>283611.74000000005</v>
      </c>
      <c r="AH105" s="4610"/>
      <c r="AI105" s="4610">
        <f>+WRM!AH154</f>
        <v>19981.350000000006</v>
      </c>
      <c r="AJ105" s="4610"/>
      <c r="AK105" s="4618">
        <f t="shared" ref="AK105:AK106" si="162">+AG105+AI105</f>
        <v>303593.09000000008</v>
      </c>
      <c r="AL105" s="4610"/>
      <c r="AM105" s="4610">
        <f>+WRM!AL154</f>
        <v>39200.100000000013</v>
      </c>
      <c r="AN105" s="4610"/>
      <c r="AO105" s="4616">
        <f t="shared" ref="AO105:AO106" si="163">AE105+AI105+AM105</f>
        <v>101566.21000000002</v>
      </c>
      <c r="AP105" s="4610"/>
      <c r="AQ105" s="4618">
        <f>+AK105+AM105</f>
        <v>342793.19000000012</v>
      </c>
      <c r="AR105" s="4610"/>
      <c r="AS105" s="4610">
        <f>+WRM!AR154</f>
        <v>40296.849999999991</v>
      </c>
      <c r="AT105" s="4610"/>
      <c r="AU105" s="4618">
        <f t="shared" ref="AU105:AU106" si="164">+AQ105+AS105</f>
        <v>383090.0400000001</v>
      </c>
      <c r="AV105" s="4610"/>
      <c r="AW105" s="4610">
        <f>+WRM!AV154</f>
        <v>34335.35</v>
      </c>
      <c r="AX105" s="4610"/>
      <c r="AY105" s="4618">
        <f t="shared" ref="AY105:AY106" si="165">+AU105+AW105</f>
        <v>417425.39000000007</v>
      </c>
      <c r="AZ105" s="4610"/>
      <c r="BA105" s="4610">
        <f>+WRM!AZ154</f>
        <v>43072.55000000001</v>
      </c>
      <c r="BB105" s="4610"/>
      <c r="BC105" s="4616">
        <f t="shared" ref="BC105:BC106" si="166">AS105+AW105+BA105</f>
        <v>117704.75</v>
      </c>
      <c r="BD105" s="4610"/>
      <c r="BE105" s="4617">
        <f>AO105+BC105</f>
        <v>219270.96000000002</v>
      </c>
      <c r="BF105" s="4610"/>
      <c r="BG105" s="4618">
        <f t="shared" ref="BG105:BG106" si="167">+AY105+BA105</f>
        <v>460497.94000000006</v>
      </c>
      <c r="BH105" s="26"/>
      <c r="BI105" s="26"/>
    </row>
    <row r="106" spans="1:61" ht="18.75" customHeight="1" x14ac:dyDescent="0.25">
      <c r="C106" s="6199"/>
      <c r="D106" s="4619" t="s">
        <v>1550</v>
      </c>
      <c r="E106" s="4619"/>
      <c r="F106" s="4620"/>
      <c r="G106" s="4621">
        <f>+G39</f>
        <v>35403.480000000003</v>
      </c>
      <c r="H106" s="4621"/>
      <c r="I106" s="4621">
        <f>+I39</f>
        <v>36549.449999999997</v>
      </c>
      <c r="J106" s="4621"/>
      <c r="K106" s="4622">
        <f t="shared" si="155"/>
        <v>71952.929999999993</v>
      </c>
      <c r="L106" s="4621"/>
      <c r="M106" s="4621">
        <f>+M39</f>
        <v>37668.15</v>
      </c>
      <c r="N106" s="4621"/>
      <c r="O106" s="4623">
        <f t="shared" si="156"/>
        <v>109621.07999999999</v>
      </c>
      <c r="P106" s="4621"/>
      <c r="Q106" s="4621">
        <f>+Q39</f>
        <v>44202.100000000006</v>
      </c>
      <c r="R106" s="4621"/>
      <c r="S106" s="4622">
        <f t="shared" si="157"/>
        <v>153823.18</v>
      </c>
      <c r="T106" s="4621"/>
      <c r="U106" s="4621">
        <f>+U39</f>
        <v>33882.400000000001</v>
      </c>
      <c r="V106" s="4621"/>
      <c r="W106" s="4622">
        <f t="shared" si="158"/>
        <v>187705.58</v>
      </c>
      <c r="X106" s="4621"/>
      <c r="Y106" s="4621">
        <f>+Y39</f>
        <v>38021.35</v>
      </c>
      <c r="Z106" s="4621"/>
      <c r="AA106" s="4623">
        <f t="shared" si="159"/>
        <v>116105.85</v>
      </c>
      <c r="AB106" s="4621"/>
      <c r="AC106" s="4624">
        <f t="shared" si="160"/>
        <v>225726.93</v>
      </c>
      <c r="AD106" s="4621"/>
      <c r="AE106" s="4621">
        <f>+AE39</f>
        <v>40696.590000000004</v>
      </c>
      <c r="AF106" s="4621"/>
      <c r="AG106" s="4622">
        <f t="shared" si="161"/>
        <v>266423.52</v>
      </c>
      <c r="AH106" s="4621"/>
      <c r="AI106" s="4621">
        <f>+AI39</f>
        <v>19950.600000000002</v>
      </c>
      <c r="AJ106" s="4621"/>
      <c r="AK106" s="4625">
        <f t="shared" si="162"/>
        <v>286374.12</v>
      </c>
      <c r="AL106" s="4621"/>
      <c r="AM106" s="4621">
        <f>+AM39</f>
        <v>38943.850000000006</v>
      </c>
      <c r="AN106" s="4679"/>
      <c r="AO106" s="4623">
        <f t="shared" si="163"/>
        <v>99591.040000000008</v>
      </c>
      <c r="AP106" s="4621"/>
      <c r="AQ106" s="4625">
        <f>+AK106+AM106</f>
        <v>325317.96999999997</v>
      </c>
      <c r="AR106" s="4621"/>
      <c r="AS106" s="4621">
        <f>+AS39</f>
        <v>38226.35</v>
      </c>
      <c r="AT106" s="4621"/>
      <c r="AU106" s="4625">
        <f t="shared" si="164"/>
        <v>363544.31999999995</v>
      </c>
      <c r="AV106" s="4621"/>
      <c r="AW106" s="4621">
        <f>+AW39</f>
        <v>33443.600000000006</v>
      </c>
      <c r="AX106" s="4621"/>
      <c r="AY106" s="4625">
        <f t="shared" si="165"/>
        <v>396987.91999999993</v>
      </c>
      <c r="AZ106" s="4621"/>
      <c r="BA106" s="4621">
        <f>+BA39</f>
        <v>41645.750000000022</v>
      </c>
      <c r="BB106" s="4679"/>
      <c r="BC106" s="4623">
        <f t="shared" si="166"/>
        <v>113315.70000000004</v>
      </c>
      <c r="BD106" s="4621"/>
      <c r="BE106" s="4617">
        <f>AO106+BC106</f>
        <v>212906.74000000005</v>
      </c>
      <c r="BF106" s="4621"/>
      <c r="BG106" s="4625">
        <f t="shared" si="167"/>
        <v>438633.66999999993</v>
      </c>
      <c r="BH106" s="26"/>
      <c r="BI106" s="26"/>
    </row>
    <row r="107" spans="1:61" ht="18.75" customHeight="1" thickBot="1" x14ac:dyDescent="0.3">
      <c r="C107" s="6199"/>
      <c r="D107" s="4619" t="s">
        <v>1515</v>
      </c>
      <c r="E107" s="4619"/>
      <c r="F107" s="4620"/>
      <c r="G107" s="4626">
        <f>+G106/G105</f>
        <v>0.96351258893245129</v>
      </c>
      <c r="H107" s="4626"/>
      <c r="I107" s="4626">
        <f>+I106/I105</f>
        <v>0.92825532357994478</v>
      </c>
      <c r="J107" s="4626"/>
      <c r="K107" s="4627">
        <f t="shared" ref="K107:AG107" si="168">+K106/K105</f>
        <v>0.94527482335772894</v>
      </c>
      <c r="L107" s="4626"/>
      <c r="M107" s="4626">
        <f>+M106/M105</f>
        <v>0.98356681245512134</v>
      </c>
      <c r="N107" s="4626"/>
      <c r="O107" s="4628">
        <f t="shared" si="168"/>
        <v>0.95809197365089482</v>
      </c>
      <c r="P107" s="4626"/>
      <c r="Q107" s="4626">
        <f t="shared" si="168"/>
        <v>0.93907059797047177</v>
      </c>
      <c r="R107" s="4626"/>
      <c r="S107" s="4627">
        <f t="shared" si="168"/>
        <v>0.95254761277256828</v>
      </c>
      <c r="T107" s="4626"/>
      <c r="U107" s="4626">
        <f t="shared" si="168"/>
        <v>0.87472876422333934</v>
      </c>
      <c r="V107" s="4626"/>
      <c r="W107" s="4627">
        <f t="shared" si="168"/>
        <v>0.93749276736091836</v>
      </c>
      <c r="X107" s="4626"/>
      <c r="Y107" s="4626">
        <f t="shared" ref="Y107" si="169">+Y106/Y105</f>
        <v>0.92721091836224545</v>
      </c>
      <c r="Z107" s="4626"/>
      <c r="AA107" s="4628">
        <f t="shared" si="168"/>
        <v>0.9155822111576325</v>
      </c>
      <c r="AB107" s="4626"/>
      <c r="AC107" s="4629">
        <f t="shared" si="168"/>
        <v>0.93574495688666315</v>
      </c>
      <c r="AD107" s="4626"/>
      <c r="AE107" s="4626">
        <f t="shared" si="168"/>
        <v>0.96017035368372972</v>
      </c>
      <c r="AF107" s="4626"/>
      <c r="AG107" s="4627">
        <f t="shared" si="168"/>
        <v>0.93939524506284533</v>
      </c>
      <c r="AH107" s="4626"/>
      <c r="AI107" s="4626">
        <f t="shared" ref="AI107" si="170">+AI106/AI105</f>
        <v>0.9984610649430592</v>
      </c>
      <c r="AJ107" s="4626"/>
      <c r="AK107" s="4630">
        <f t="shared" ref="AK107" si="171">+AK106/AK105</f>
        <v>0.94328273413601049</v>
      </c>
      <c r="AL107" s="4626"/>
      <c r="AM107" s="4626">
        <f t="shared" ref="AM107" si="172">+AM106/AM105</f>
        <v>0.9934630268800333</v>
      </c>
      <c r="AN107" s="4680"/>
      <c r="AO107" s="4628">
        <f t="shared" ref="AO107" si="173">+AO106/AO105</f>
        <v>0.980552882695928</v>
      </c>
      <c r="AP107" s="4626"/>
      <c r="AQ107" s="4630">
        <f t="shared" ref="AQ107" si="174">+AQ106/AQ105</f>
        <v>0.94902109928146428</v>
      </c>
      <c r="AR107" s="4626"/>
      <c r="AS107" s="4626">
        <f t="shared" ref="AS107" si="175">+AS106/AS105</f>
        <v>0.94861881263671988</v>
      </c>
      <c r="AT107" s="4626"/>
      <c r="AU107" s="4630">
        <f t="shared" ref="AU107" si="176">+AU106/AU105</f>
        <v>0.94897878316021966</v>
      </c>
      <c r="AV107" s="4626"/>
      <c r="AW107" s="4626">
        <f t="shared" ref="AW107" si="177">+AW106/AW105</f>
        <v>0.97402822455574234</v>
      </c>
      <c r="AX107" s="4626"/>
      <c r="AY107" s="4630">
        <f t="shared" ref="AY107" si="178">+AY106/AY105</f>
        <v>0.95103922643517169</v>
      </c>
      <c r="AZ107" s="4626"/>
      <c r="BA107" s="4626">
        <f t="shared" ref="BA107" si="179">+BA106/BA105</f>
        <v>0.96687449431250327</v>
      </c>
      <c r="BB107" s="4680"/>
      <c r="BC107" s="4628">
        <f t="shared" ref="BC107" si="180">+BC106/BC105</f>
        <v>0.96271136041663607</v>
      </c>
      <c r="BD107" s="4626"/>
      <c r="BE107" s="4629">
        <f t="shared" ref="BE107" si="181">+BE106/BE105</f>
        <v>0.97097554550771348</v>
      </c>
      <c r="BF107" s="4626"/>
      <c r="BG107" s="4630">
        <f t="shared" ref="BG107" si="182">+BG106/BG105</f>
        <v>0.95252037392393085</v>
      </c>
      <c r="BH107" s="26"/>
      <c r="BI107" s="26"/>
    </row>
    <row r="108" spans="1:61" ht="18.75" customHeight="1" thickBot="1" x14ac:dyDescent="0.3">
      <c r="C108" s="6199"/>
      <c r="D108" s="4619" t="s">
        <v>1513</v>
      </c>
      <c r="E108" s="4619"/>
      <c r="F108" s="4620"/>
      <c r="G108" s="4621">
        <f>+G105-G106</f>
        <v>1340.7000000000044</v>
      </c>
      <c r="H108" s="4621"/>
      <c r="I108" s="4621">
        <f>+I105-I106</f>
        <v>2824.9000000000015</v>
      </c>
      <c r="J108" s="4621"/>
      <c r="K108" s="4622">
        <f t="shared" ref="K108:K112" si="183">+G108+I108</f>
        <v>4165.6000000000058</v>
      </c>
      <c r="L108" s="4621"/>
      <c r="M108" s="4621">
        <f>+M105-M106</f>
        <v>629.34999999999127</v>
      </c>
      <c r="N108" s="4621"/>
      <c r="O108" s="4623">
        <f t="shared" ref="O108:O112" si="184">+G108+I108+M108</f>
        <v>4794.9499999999971</v>
      </c>
      <c r="P108" s="4621"/>
      <c r="Q108" s="4621">
        <f t="shared" ref="Q108:AE108" si="185">+Q105-Q106</f>
        <v>2867.9499999999971</v>
      </c>
      <c r="R108" s="4621"/>
      <c r="S108" s="4622">
        <f t="shared" ref="S108:S112" si="186">O108+Q108</f>
        <v>7662.8999999999942</v>
      </c>
      <c r="T108" s="4621"/>
      <c r="U108" s="4621">
        <f t="shared" si="185"/>
        <v>4852.3500000000058</v>
      </c>
      <c r="V108" s="4621"/>
      <c r="W108" s="4622">
        <f t="shared" ref="W108:W112" si="187">S108+U108</f>
        <v>12515.25</v>
      </c>
      <c r="X108" s="4621"/>
      <c r="Y108" s="4621">
        <f t="shared" ref="Y108" si="188">+Y105-Y106</f>
        <v>2984.8000000000102</v>
      </c>
      <c r="Z108" s="4621"/>
      <c r="AA108" s="4623">
        <f t="shared" ref="AA108:AA112" si="189">Q108+U108+Y108</f>
        <v>10705.100000000013</v>
      </c>
      <c r="AB108" s="4621"/>
      <c r="AC108" s="4624">
        <f t="shared" ref="AC108:AC112" si="190">O108+AA108</f>
        <v>15500.05000000001</v>
      </c>
      <c r="AD108" s="4621"/>
      <c r="AE108" s="4621">
        <f t="shared" si="185"/>
        <v>1688.1699999999983</v>
      </c>
      <c r="AF108" s="4621"/>
      <c r="AG108" s="4622">
        <f t="shared" ref="AG108:AG112" si="191">+AC108+AE108</f>
        <v>17188.220000000008</v>
      </c>
      <c r="AH108" s="4621"/>
      <c r="AI108" s="4621">
        <f t="shared" ref="AI108" si="192">+AI105-AI106</f>
        <v>30.750000000003638</v>
      </c>
      <c r="AJ108" s="4621"/>
      <c r="AK108" s="4625">
        <f t="shared" ref="AK108:AK112" si="193">+AG108+AI108</f>
        <v>17218.970000000012</v>
      </c>
      <c r="AL108" s="4621"/>
      <c r="AM108" s="4621">
        <f t="shared" ref="AM108" si="194">+AM105-AM106</f>
        <v>256.25000000000728</v>
      </c>
      <c r="AN108" s="4679"/>
      <c r="AO108" s="4623">
        <f t="shared" ref="AO108:AO112" si="195">AE108+AI108+AM108</f>
        <v>1975.1700000000092</v>
      </c>
      <c r="AP108" s="4621"/>
      <c r="AQ108" s="4625">
        <f>+AK108+AM108</f>
        <v>17475.220000000019</v>
      </c>
      <c r="AR108" s="4621"/>
      <c r="AS108" s="4621">
        <f t="shared" ref="AS108" si="196">+AS105-AS106</f>
        <v>2070.4999999999927</v>
      </c>
      <c r="AT108" s="4621"/>
      <c r="AU108" s="4625">
        <f t="shared" ref="AU108:AU112" si="197">+AQ108+AS108</f>
        <v>19545.720000000012</v>
      </c>
      <c r="AV108" s="4621"/>
      <c r="AW108" s="4621">
        <f t="shared" ref="AW108" si="198">+AW105-AW106</f>
        <v>891.74999999999272</v>
      </c>
      <c r="AX108" s="4621"/>
      <c r="AY108" s="4625">
        <f t="shared" ref="AY108:AY112" si="199">+AU108+AW108</f>
        <v>20437.470000000005</v>
      </c>
      <c r="AZ108" s="4621"/>
      <c r="BA108" s="4621">
        <f t="shared" ref="BA108" si="200">+BA105-BA106</f>
        <v>1426.7999999999884</v>
      </c>
      <c r="BB108" s="4679"/>
      <c r="BC108" s="4623">
        <f t="shared" ref="BC108:BC112" si="201">AS108+AW108+BA108</f>
        <v>4389.0499999999738</v>
      </c>
      <c r="BD108" s="4621"/>
      <c r="BE108" s="4617">
        <f t="shared" ref="BE108:BE112" si="202">AO108+BC108</f>
        <v>6364.219999999983</v>
      </c>
      <c r="BF108" s="4621"/>
      <c r="BG108" s="4625">
        <f t="shared" ref="BG108:BG112" si="203">+AY108+BA108</f>
        <v>21864.269999999993</v>
      </c>
      <c r="BH108" s="26"/>
      <c r="BI108" s="26"/>
    </row>
    <row r="109" spans="1:61" ht="15" customHeight="1" thickBot="1" x14ac:dyDescent="0.3">
      <c r="A109" s="1274"/>
      <c r="B109" s="1274"/>
      <c r="C109" s="6199"/>
      <c r="D109" s="4631" t="s">
        <v>977</v>
      </c>
      <c r="E109" s="4631"/>
      <c r="F109" s="4632"/>
      <c r="G109" s="4633">
        <f>+SUMIF(WRM!$C$7:$C$136,$D109,WRM!F$7:F$136)</f>
        <v>729.8</v>
      </c>
      <c r="H109" s="4633">
        <f>+SUMIF(WRM!$C$7:$C$136,$D109,WRM!G$7:G$136)</f>
        <v>0</v>
      </c>
      <c r="I109" s="4633">
        <f>+SUMIF(WRM!$C$7:$C$136,$D109,WRM!H$7:H$136)</f>
        <v>1344.8000000000002</v>
      </c>
      <c r="J109" s="4633">
        <f>+SUMIF(WRM!$C$7:$C$136,$D109,WRM!I$7:I$136)</f>
        <v>0</v>
      </c>
      <c r="K109" s="4622">
        <f t="shared" si="183"/>
        <v>2074.6000000000004</v>
      </c>
      <c r="L109" s="4633">
        <f>+SUMIF(WRM!$C$7:$C$136,$D109,WRM!K$7:K$136)</f>
        <v>0</v>
      </c>
      <c r="M109" s="4633">
        <f>+SUMIF(WRM!$C$7:$C$136,$D109,WRM!L$7:L$136)</f>
        <v>0</v>
      </c>
      <c r="N109" s="4633"/>
      <c r="O109" s="4623">
        <f t="shared" si="184"/>
        <v>2074.6000000000004</v>
      </c>
      <c r="P109" s="4633"/>
      <c r="Q109" s="4633">
        <f>+SUMIF(WRM!$C$7:$C$136,$D109,WRM!P$7:P$136)</f>
        <v>1385.7999999999993</v>
      </c>
      <c r="R109" s="4633">
        <f>+SUMIF(WRM!$C$7:$C$136,$D109,WRM!Q$7:Q$136)</f>
        <v>0</v>
      </c>
      <c r="S109" s="4622">
        <f t="shared" si="186"/>
        <v>3460.3999999999996</v>
      </c>
      <c r="T109" s="4633">
        <f>+SUMIF(WRM!$C$7:$C$136,$D109,WRM!S$7:S$136)</f>
        <v>0</v>
      </c>
      <c r="U109" s="4633">
        <f>+SUMIF(WRM!$C$7:$C$136,$D109,WRM!T$7:T$136)</f>
        <v>457.15000000000003</v>
      </c>
      <c r="V109" s="4633">
        <f>+SUMIF(WRM!$C$7:$C$136,$D109,WRM!U$7:U$136)</f>
        <v>0</v>
      </c>
      <c r="W109" s="4622">
        <f t="shared" si="187"/>
        <v>3917.5499999999997</v>
      </c>
      <c r="X109" s="4633">
        <f>+SUMIF(WRM!$C$7:$C$136,$D109,WRM!W$7:W$136)</f>
        <v>0</v>
      </c>
      <c r="Y109" s="4633">
        <f>+SUMIF(WRM!$C$7:$C$136,$D109,WRM!X$7:X$136)</f>
        <v>530.95000000000005</v>
      </c>
      <c r="Z109" s="4633"/>
      <c r="AA109" s="4623">
        <f t="shared" si="189"/>
        <v>2373.8999999999996</v>
      </c>
      <c r="AB109" s="4633"/>
      <c r="AC109" s="4624">
        <f t="shared" si="190"/>
        <v>4448.5</v>
      </c>
      <c r="AD109" s="4633"/>
      <c r="AE109" s="4633">
        <f>+SUMIF(WRM!$C$7:$C$136,$D109,WRM!AD$7:AD$136)</f>
        <v>1318.15</v>
      </c>
      <c r="AF109" s="4633">
        <f>+SUMIF(WRM!$C$7:$C$136,$D109,WRM!AE$7:AE$136)</f>
        <v>0</v>
      </c>
      <c r="AG109" s="4622">
        <f t="shared" si="191"/>
        <v>5766.65</v>
      </c>
      <c r="AH109" s="4633">
        <f>+SUMIF(WRM!$C$7:$C$136,$D109,WRM!AG$7:AG$136)</f>
        <v>0</v>
      </c>
      <c r="AI109" s="4633">
        <f>+SUMIF(WRM!$C$7:$C$136,$D109,WRM!AH$7:AH$136)</f>
        <v>0</v>
      </c>
      <c r="AJ109" s="4633"/>
      <c r="AK109" s="4625">
        <f t="shared" si="193"/>
        <v>5766.65</v>
      </c>
      <c r="AL109" s="4633">
        <f>+SUMIF(WRM!$C$7:$C$136,$D109,WRM!AK$7:AK$136)</f>
        <v>0</v>
      </c>
      <c r="AM109" s="4633">
        <f>+SUMIF(WRM!$C$7:$C$136,$D109,WRM!AL$7:AL$136)</f>
        <v>84.05</v>
      </c>
      <c r="AN109" s="4681"/>
      <c r="AO109" s="4623">
        <f t="shared" si="195"/>
        <v>1402.2</v>
      </c>
      <c r="AP109" s="4633"/>
      <c r="AQ109" s="4625">
        <f>+AK109+AM109</f>
        <v>5850.7</v>
      </c>
      <c r="AR109" s="4633">
        <f>+SUMIF(WRM!$C$7:$C$136,$D109,WRM!AQ$7:AQ$136)</f>
        <v>0</v>
      </c>
      <c r="AS109" s="4633">
        <f>+SUMIF(WRM!$C$7:$C$136,$D109,WRM!AR$7:AR$136)</f>
        <v>1326.3500000000001</v>
      </c>
      <c r="AT109" s="4633"/>
      <c r="AU109" s="4625">
        <f t="shared" si="197"/>
        <v>7177.05</v>
      </c>
      <c r="AV109" s="4633">
        <f>+SUMIF(WRM!$C$7:$C$136,$D109,WRM!AU$7:AU$136)</f>
        <v>0</v>
      </c>
      <c r="AW109" s="4633">
        <f>+SUMIF(WRM!$C$7:$C$136,$D109,WRM!AV$7:AV$136)</f>
        <v>506.35</v>
      </c>
      <c r="AX109" s="4633"/>
      <c r="AY109" s="4625">
        <f t="shared" si="199"/>
        <v>7683.4000000000005</v>
      </c>
      <c r="AZ109" s="4633">
        <f>+SUMIF(WRM!$C$7:$C$136,$D109,WRM!AY$7:AY$136)</f>
        <v>0</v>
      </c>
      <c r="BA109" s="4633">
        <f>+SUMIF(WRM!$C$7:$C$136,$D109,WRM!AZ$7:AZ$136)</f>
        <v>680.6</v>
      </c>
      <c r="BB109" s="4681"/>
      <c r="BC109" s="4623">
        <f t="shared" si="201"/>
        <v>2513.3000000000002</v>
      </c>
      <c r="BD109" s="4633"/>
      <c r="BE109" s="4617">
        <f t="shared" si="202"/>
        <v>3915.5</v>
      </c>
      <c r="BF109" s="4633"/>
      <c r="BG109" s="4625">
        <f t="shared" si="203"/>
        <v>8364</v>
      </c>
      <c r="BH109" s="26"/>
      <c r="BI109" s="26"/>
    </row>
    <row r="110" spans="1:61" ht="15" customHeight="1" thickBot="1" x14ac:dyDescent="0.3">
      <c r="A110" s="1274"/>
      <c r="B110" s="1274"/>
      <c r="C110" s="6199"/>
      <c r="D110" s="4631" t="s">
        <v>1137</v>
      </c>
      <c r="E110" s="4631"/>
      <c r="F110" s="4632"/>
      <c r="G110" s="4633">
        <f>+SUMIF(WRM!$C$7:$C$136,$D110,WRM!F$7:F$136)</f>
        <v>391.55</v>
      </c>
      <c r="H110" s="4633"/>
      <c r="I110" s="4633">
        <f>+SUMIF(WRM!$C$7:$C$136,$D110,WRM!H$7:H$136)</f>
        <v>1125.45</v>
      </c>
      <c r="J110" s="4633">
        <f>+SUMIF(WRM!$C$7:$C$136,$D110,WRM!I$7:I$136)</f>
        <v>0</v>
      </c>
      <c r="K110" s="4622">
        <f t="shared" si="183"/>
        <v>1517</v>
      </c>
      <c r="L110" s="4633">
        <f>+SUMIF(WRM!$C$7:$C$136,$D110,WRM!K$7:K$136)</f>
        <v>0</v>
      </c>
      <c r="M110" s="4633">
        <f>+SUMIF(WRM!$C$7:$C$136,$D110,WRM!L$7:L$136)</f>
        <v>578.1</v>
      </c>
      <c r="N110" s="4633"/>
      <c r="O110" s="4623">
        <f t="shared" si="184"/>
        <v>2095.1</v>
      </c>
      <c r="P110" s="4633"/>
      <c r="Q110" s="4633">
        <f>+SUMIF(WRM!$C$7:$C$136,$D110,WRM!P$7:P$136)</f>
        <v>1443.2000000000003</v>
      </c>
      <c r="R110" s="4633">
        <f>+SUMIF(WRM!$C$7:$C$136,$D110,WRM!Q$7:Q$136)</f>
        <v>0</v>
      </c>
      <c r="S110" s="4622">
        <f t="shared" si="186"/>
        <v>3538.3</v>
      </c>
      <c r="T110" s="4633">
        <f>+SUMIF(WRM!$C$7:$C$136,$D110,WRM!S$7:S$136)</f>
        <v>0</v>
      </c>
      <c r="U110" s="4633">
        <f>+SUMIF(WRM!$C$7:$C$136,$D110,WRM!T$7:T$136)</f>
        <v>4225.05</v>
      </c>
      <c r="V110" s="4633">
        <f>+SUMIF(WRM!$C$7:$C$136,$D110,WRM!U$7:U$136)</f>
        <v>0</v>
      </c>
      <c r="W110" s="4622">
        <f t="shared" si="187"/>
        <v>7763.35</v>
      </c>
      <c r="X110" s="4633">
        <f>+SUMIF(WRM!$C$7:$C$136,$D110,WRM!W$7:W$136)</f>
        <v>0</v>
      </c>
      <c r="Y110" s="4633">
        <f>+SUMIF(WRM!$C$7:$C$136,$D110,WRM!X$7:X$136)</f>
        <v>2433.35</v>
      </c>
      <c r="Z110" s="4633"/>
      <c r="AA110" s="4623">
        <f t="shared" si="189"/>
        <v>8101.6</v>
      </c>
      <c r="AB110" s="4633"/>
      <c r="AC110" s="4624">
        <f t="shared" si="190"/>
        <v>10196.700000000001</v>
      </c>
      <c r="AD110" s="4633"/>
      <c r="AE110" s="4633">
        <f>+SUMIF(WRM!$C$7:$C$136,$D110,WRM!AD$7:AD$136)</f>
        <v>306.46999999999997</v>
      </c>
      <c r="AF110" s="4633">
        <f>+SUMIF(WRM!$C$7:$C$136,$D110,WRM!AE$7:AE$136)</f>
        <v>0</v>
      </c>
      <c r="AG110" s="4622">
        <f t="shared" si="191"/>
        <v>10503.17</v>
      </c>
      <c r="AH110" s="4633">
        <f>+SUMIF(WRM!$C$7:$C$136,$D110,WRM!AG$7:AG$136)</f>
        <v>0</v>
      </c>
      <c r="AI110" s="4633">
        <f>+SUMIF(WRM!$C$7:$C$136,$D110,WRM!AH$7:AH$136)</f>
        <v>0</v>
      </c>
      <c r="AJ110" s="4633"/>
      <c r="AK110" s="4625">
        <f t="shared" si="193"/>
        <v>10503.17</v>
      </c>
      <c r="AL110" s="4633">
        <f>+SUMIF(WRM!$C$7:$C$136,$D110,WRM!AK$7:AK$136)</f>
        <v>0</v>
      </c>
      <c r="AM110" s="4633">
        <f>+SUMIF(WRM!$C$7:$C$136,$D110,WRM!AL$7:AL$136)</f>
        <v>0</v>
      </c>
      <c r="AN110" s="4681"/>
      <c r="AO110" s="4623">
        <f t="shared" si="195"/>
        <v>306.46999999999997</v>
      </c>
      <c r="AP110" s="4633"/>
      <c r="AQ110" s="4625">
        <f>+AK110+AM110</f>
        <v>10503.17</v>
      </c>
      <c r="AR110" s="4633">
        <f>+SUMIF(WRM!$C$7:$C$136,$D110,WRM!AQ$7:AQ$136)</f>
        <v>0</v>
      </c>
      <c r="AS110" s="4633">
        <f>+SUMIF(WRM!$C$7:$C$136,$D110,WRM!AR$7:AR$136)</f>
        <v>662.15</v>
      </c>
      <c r="AT110" s="4633"/>
      <c r="AU110" s="4625">
        <f t="shared" si="197"/>
        <v>11165.32</v>
      </c>
      <c r="AV110" s="4633">
        <f>+SUMIF(WRM!$C$7:$C$136,$D110,WRM!AU$7:AU$136)</f>
        <v>0</v>
      </c>
      <c r="AW110" s="4633">
        <f>+SUMIF(WRM!$C$7:$C$136,$D110,WRM!AV$7:AV$136)</f>
        <v>305.45000000000005</v>
      </c>
      <c r="AX110" s="4633"/>
      <c r="AY110" s="4625">
        <f t="shared" si="199"/>
        <v>11470.77</v>
      </c>
      <c r="AZ110" s="4633">
        <f>+SUMIF(WRM!$C$7:$C$136,$D110,WRM!AY$7:AY$136)</f>
        <v>0</v>
      </c>
      <c r="BA110" s="4633">
        <f>+SUMIF(WRM!$C$7:$C$136,$D110,WRM!AZ$7:AZ$136)</f>
        <v>746.19999999999982</v>
      </c>
      <c r="BB110" s="4681"/>
      <c r="BC110" s="4623">
        <f t="shared" si="201"/>
        <v>1713.7999999999997</v>
      </c>
      <c r="BD110" s="4633"/>
      <c r="BE110" s="4617">
        <f t="shared" si="202"/>
        <v>2020.2699999999998</v>
      </c>
      <c r="BF110" s="4633"/>
      <c r="BG110" s="4625">
        <f t="shared" si="203"/>
        <v>12216.970000000001</v>
      </c>
      <c r="BH110" s="26"/>
      <c r="BI110" s="26"/>
    </row>
    <row r="111" spans="1:61" ht="15" customHeight="1" thickBot="1" x14ac:dyDescent="0.3">
      <c r="A111" s="1274"/>
      <c r="B111" s="1274"/>
      <c r="C111" s="6199"/>
      <c r="D111" s="4631" t="s">
        <v>1071</v>
      </c>
      <c r="E111" s="4631"/>
      <c r="F111" s="4632"/>
      <c r="G111" s="4633">
        <f>+SUMIF(WRM!$C$7:$C$136,$D111,WRM!F$7:F$136)</f>
        <v>219.35000000000002</v>
      </c>
      <c r="H111" s="4633"/>
      <c r="I111" s="4633">
        <f>+SUMIF(WRM!$C$7:$C$136,$D111,WRM!H$7:H$136)</f>
        <v>354.65000000000003</v>
      </c>
      <c r="J111" s="4633">
        <f>+SUMIF(WRM!$C$7:$C$136,$D111,WRM!I$7:I$136)</f>
        <v>0</v>
      </c>
      <c r="K111" s="4622">
        <f t="shared" si="183"/>
        <v>574</v>
      </c>
      <c r="L111" s="4633">
        <f>+SUMIF(WRM!$C$7:$C$136,$D111,WRM!K$7:K$136)</f>
        <v>0</v>
      </c>
      <c r="M111" s="4633">
        <f>+SUMIF(WRM!$C$7:$C$136,$D111,WRM!L$7:L$136)</f>
        <v>51.25</v>
      </c>
      <c r="N111" s="4633"/>
      <c r="O111" s="4623">
        <f t="shared" si="184"/>
        <v>625.25</v>
      </c>
      <c r="P111" s="4633"/>
      <c r="Q111" s="4633">
        <f>+SUMIF(WRM!$C$7:$C$136,$D111,WRM!P$7:P$136)</f>
        <v>38.949999999999996</v>
      </c>
      <c r="R111" s="4633">
        <f>+SUMIF(WRM!$C$7:$C$136,$D111,WRM!Q$7:Q$136)</f>
        <v>0</v>
      </c>
      <c r="S111" s="4622">
        <f t="shared" si="186"/>
        <v>664.2</v>
      </c>
      <c r="T111" s="4633">
        <f>+SUMIF(WRM!$C$7:$C$136,$D111,WRM!S$7:S$136)</f>
        <v>0</v>
      </c>
      <c r="U111" s="4633">
        <f>+SUMIF(WRM!$C$7:$C$136,$D111,WRM!T$7:T$136)</f>
        <v>170.15</v>
      </c>
      <c r="V111" s="4633">
        <f>+SUMIF(WRM!$C$7:$C$136,$D111,WRM!U$7:U$136)</f>
        <v>0</v>
      </c>
      <c r="W111" s="4622">
        <f t="shared" si="187"/>
        <v>834.35</v>
      </c>
      <c r="X111" s="4633">
        <f>+SUMIF(WRM!$C$7:$C$136,$D111,WRM!W$7:W$136)</f>
        <v>0</v>
      </c>
      <c r="Y111" s="4633">
        <f>+SUMIF(WRM!$C$7:$C$136,$D111,WRM!X$7:X$136)</f>
        <v>20.5</v>
      </c>
      <c r="Z111" s="4633"/>
      <c r="AA111" s="4623">
        <f t="shared" si="189"/>
        <v>229.6</v>
      </c>
      <c r="AB111" s="4633"/>
      <c r="AC111" s="4624">
        <f t="shared" si="190"/>
        <v>854.85</v>
      </c>
      <c r="AD111" s="4633"/>
      <c r="AE111" s="4633">
        <f>+SUMIF(WRM!$C$7:$C$136,$D111,WRM!AD$7:AD$136)</f>
        <v>63.55</v>
      </c>
      <c r="AF111" s="4633">
        <f>+SUMIF(WRM!$C$7:$C$136,$D111,WRM!AE$7:AE$136)</f>
        <v>0</v>
      </c>
      <c r="AG111" s="4622">
        <f t="shared" si="191"/>
        <v>918.4</v>
      </c>
      <c r="AH111" s="4633">
        <f>+SUMIF(WRM!$C$7:$C$136,$D111,WRM!AG$7:AG$136)</f>
        <v>0</v>
      </c>
      <c r="AI111" s="4633">
        <f>+SUMIF(WRM!$C$7:$C$136,$D111,WRM!AH$7:AH$136)</f>
        <v>30.75</v>
      </c>
      <c r="AJ111" s="4633"/>
      <c r="AK111" s="4625">
        <f t="shared" si="193"/>
        <v>949.15</v>
      </c>
      <c r="AL111" s="4633">
        <f>+SUMIF(WRM!$C$7:$C$136,$D111,WRM!AK$7:AK$136)</f>
        <v>0</v>
      </c>
      <c r="AM111" s="4633">
        <f>+SUMIF(WRM!$C$7:$C$136,$D111,WRM!AL$7:AL$136)</f>
        <v>172.2</v>
      </c>
      <c r="AN111" s="4681"/>
      <c r="AO111" s="4623">
        <f t="shared" si="195"/>
        <v>266.5</v>
      </c>
      <c r="AP111" s="4633"/>
      <c r="AQ111" s="4625">
        <f>+AK111+AM111</f>
        <v>1121.3499999999999</v>
      </c>
      <c r="AR111" s="4633">
        <f>+SUMIF(WRM!$C$7:$C$136,$D111,WRM!AQ$7:AQ$136)</f>
        <v>0</v>
      </c>
      <c r="AS111" s="4633">
        <f>+SUMIF(WRM!$C$7:$C$136,$D111,WRM!AR$7:AR$136)</f>
        <v>81.999999999999986</v>
      </c>
      <c r="AT111" s="4633"/>
      <c r="AU111" s="4625">
        <f t="shared" si="197"/>
        <v>1203.3499999999999</v>
      </c>
      <c r="AV111" s="4633">
        <f>+SUMIF(WRM!$C$7:$C$136,$D111,WRM!AU$7:AU$136)</f>
        <v>0</v>
      </c>
      <c r="AW111" s="4633">
        <f>+SUMIF(WRM!$C$7:$C$136,$D111,WRM!AV$7:AV$136)</f>
        <v>79.95</v>
      </c>
      <c r="AX111" s="4633"/>
      <c r="AY111" s="4625">
        <f t="shared" si="199"/>
        <v>1283.3</v>
      </c>
      <c r="AZ111" s="4633">
        <f>+SUMIF(WRM!$C$7:$C$136,$D111,WRM!AY$7:AY$136)</f>
        <v>0</v>
      </c>
      <c r="BA111" s="4633">
        <f>+SUMIF(WRM!$C$7:$C$136,$D111,WRM!AZ$7:AZ$136)</f>
        <v>0</v>
      </c>
      <c r="BB111" s="4681"/>
      <c r="BC111" s="4623">
        <f t="shared" si="201"/>
        <v>161.94999999999999</v>
      </c>
      <c r="BD111" s="4633"/>
      <c r="BE111" s="4617">
        <f t="shared" si="202"/>
        <v>428.45</v>
      </c>
      <c r="BF111" s="4633"/>
      <c r="BG111" s="4625">
        <f t="shared" si="203"/>
        <v>1283.3</v>
      </c>
      <c r="BH111" s="26"/>
      <c r="BI111" s="26"/>
    </row>
    <row r="112" spans="1:61" ht="15.75" customHeight="1" thickBot="1" x14ac:dyDescent="0.3">
      <c r="C112" s="6200"/>
      <c r="D112" s="4599" t="s">
        <v>2</v>
      </c>
      <c r="E112" s="4599"/>
      <c r="F112" s="4594"/>
      <c r="G112" s="4600">
        <f>SUM(G109:G111)</f>
        <v>1340.6999999999998</v>
      </c>
      <c r="H112" s="4600"/>
      <c r="I112" s="4600">
        <f>SUM(I109:I111)</f>
        <v>2824.9</v>
      </c>
      <c r="J112" s="4600"/>
      <c r="K112" s="4635">
        <f t="shared" si="183"/>
        <v>4165.6000000000004</v>
      </c>
      <c r="L112" s="4600"/>
      <c r="M112" s="4600">
        <f>SUM(M109:M111)</f>
        <v>629.35</v>
      </c>
      <c r="N112" s="4600"/>
      <c r="O112" s="4636">
        <f t="shared" si="184"/>
        <v>4794.9500000000007</v>
      </c>
      <c r="P112" s="4600"/>
      <c r="Q112" s="4600">
        <f t="shared" ref="Q112:AE112" si="204">SUM(Q109:Q111)</f>
        <v>2867.9499999999994</v>
      </c>
      <c r="R112" s="4600"/>
      <c r="S112" s="4635">
        <f t="shared" si="186"/>
        <v>7662.9</v>
      </c>
      <c r="T112" s="4600"/>
      <c r="U112" s="4600">
        <f t="shared" si="204"/>
        <v>4852.3499999999995</v>
      </c>
      <c r="V112" s="4600"/>
      <c r="W112" s="4635">
        <f t="shared" si="187"/>
        <v>12515.25</v>
      </c>
      <c r="X112" s="4600"/>
      <c r="Y112" s="4600">
        <f t="shared" ref="Y112" si="205">SUM(Y109:Y111)</f>
        <v>2984.8</v>
      </c>
      <c r="Z112" s="4600"/>
      <c r="AA112" s="4636">
        <f t="shared" si="189"/>
        <v>10705.099999999999</v>
      </c>
      <c r="AB112" s="4600"/>
      <c r="AC112" s="4637">
        <f t="shared" si="190"/>
        <v>15500.05</v>
      </c>
      <c r="AD112" s="4600"/>
      <c r="AE112" s="4600">
        <f t="shared" si="204"/>
        <v>1688.17</v>
      </c>
      <c r="AF112" s="4600"/>
      <c r="AG112" s="4635">
        <f t="shared" si="191"/>
        <v>17188.22</v>
      </c>
      <c r="AH112" s="4600"/>
      <c r="AI112" s="4600">
        <f t="shared" ref="AI112" si="206">SUM(AI109:AI111)</f>
        <v>30.75</v>
      </c>
      <c r="AJ112" s="4600"/>
      <c r="AK112" s="4638">
        <f t="shared" si="193"/>
        <v>17218.97</v>
      </c>
      <c r="AL112" s="4600"/>
      <c r="AM112" s="4600">
        <f t="shared" ref="AM112" si="207">SUM(AM109:AM111)</f>
        <v>256.25</v>
      </c>
      <c r="AN112" s="4600"/>
      <c r="AO112" s="4636">
        <f t="shared" si="195"/>
        <v>1975.17</v>
      </c>
      <c r="AP112" s="4600"/>
      <c r="AQ112" s="4638">
        <f>+AK112+AM112</f>
        <v>17475.22</v>
      </c>
      <c r="AR112" s="4600"/>
      <c r="AS112" s="4600">
        <f t="shared" ref="AS112" si="208">SUM(AS109:AS111)</f>
        <v>2070.5</v>
      </c>
      <c r="AT112" s="4600"/>
      <c r="AU112" s="4638">
        <f t="shared" si="197"/>
        <v>19545.72</v>
      </c>
      <c r="AV112" s="4600"/>
      <c r="AW112" s="4600">
        <f t="shared" ref="AW112" si="209">SUM(AW109:AW111)</f>
        <v>891.75000000000011</v>
      </c>
      <c r="AX112" s="4600"/>
      <c r="AY112" s="4638">
        <f t="shared" si="199"/>
        <v>20437.47</v>
      </c>
      <c r="AZ112" s="4600"/>
      <c r="BA112" s="4600">
        <f t="shared" ref="BA112" si="210">SUM(BA109:BA111)</f>
        <v>1426.7999999999997</v>
      </c>
      <c r="BB112" s="4600"/>
      <c r="BC112" s="4636">
        <f t="shared" si="201"/>
        <v>4389.0499999999993</v>
      </c>
      <c r="BD112" s="4600"/>
      <c r="BE112" s="4617">
        <f t="shared" si="202"/>
        <v>6364.2199999999993</v>
      </c>
      <c r="BF112" s="4600"/>
      <c r="BG112" s="4638">
        <f t="shared" si="203"/>
        <v>21864.27</v>
      </c>
      <c r="BH112" s="26"/>
      <c r="BI112" s="26"/>
    </row>
    <row r="113" spans="1:61" ht="21.75" customHeight="1" thickBot="1" x14ac:dyDescent="0.3">
      <c r="C113" s="4663"/>
      <c r="D113" s="4664" t="s">
        <v>1508</v>
      </c>
      <c r="E113" s="4665"/>
      <c r="F113" s="4665"/>
      <c r="G113" s="4646">
        <f>+G108-G112</f>
        <v>4.5474735088646412E-12</v>
      </c>
      <c r="H113" s="4646">
        <f t="shared" ref="H113:AK113" si="211">+H108-H112</f>
        <v>0</v>
      </c>
      <c r="I113" s="4646">
        <f t="shared" si="211"/>
        <v>0</v>
      </c>
      <c r="J113" s="4646">
        <f t="shared" si="211"/>
        <v>0</v>
      </c>
      <c r="K113" s="4646">
        <f t="shared" si="211"/>
        <v>0</v>
      </c>
      <c r="L113" s="4646">
        <f t="shared" si="211"/>
        <v>0</v>
      </c>
      <c r="M113" s="4646">
        <f t="shared" si="211"/>
        <v>-8.7538865045644343E-12</v>
      </c>
      <c r="N113" s="4646">
        <f t="shared" si="211"/>
        <v>0</v>
      </c>
      <c r="O113" s="4646">
        <f t="shared" si="211"/>
        <v>0</v>
      </c>
      <c r="P113" s="4646">
        <f t="shared" si="211"/>
        <v>0</v>
      </c>
      <c r="Q113" s="4646">
        <f t="shared" si="211"/>
        <v>0</v>
      </c>
      <c r="R113" s="4646">
        <f t="shared" si="211"/>
        <v>0</v>
      </c>
      <c r="S113" s="4646">
        <f t="shared" si="211"/>
        <v>0</v>
      </c>
      <c r="T113" s="4646">
        <f t="shared" si="211"/>
        <v>0</v>
      </c>
      <c r="U113" s="4646">
        <f t="shared" si="211"/>
        <v>0</v>
      </c>
      <c r="V113" s="4646">
        <f t="shared" si="211"/>
        <v>0</v>
      </c>
      <c r="W113" s="4646">
        <f t="shared" si="211"/>
        <v>0</v>
      </c>
      <c r="X113" s="4646">
        <f t="shared" si="211"/>
        <v>0</v>
      </c>
      <c r="Y113" s="4646">
        <f t="shared" si="211"/>
        <v>1.0004441719502211E-11</v>
      </c>
      <c r="Z113" s="4646">
        <f t="shared" si="211"/>
        <v>0</v>
      </c>
      <c r="AA113" s="4646">
        <f t="shared" si="211"/>
        <v>1.4551915228366852E-11</v>
      </c>
      <c r="AB113" s="4646">
        <f t="shared" si="211"/>
        <v>0</v>
      </c>
      <c r="AC113" s="4646">
        <f t="shared" si="211"/>
        <v>0</v>
      </c>
      <c r="AD113" s="4646">
        <f t="shared" si="211"/>
        <v>0</v>
      </c>
      <c r="AE113" s="4646">
        <f t="shared" si="211"/>
        <v>-1.8189894035458565E-12</v>
      </c>
      <c r="AF113" s="4646">
        <f t="shared" si="211"/>
        <v>0</v>
      </c>
      <c r="AG113" s="4646">
        <f t="shared" si="211"/>
        <v>0</v>
      </c>
      <c r="AH113" s="4646">
        <f t="shared" si="211"/>
        <v>0</v>
      </c>
      <c r="AI113" s="4646">
        <f t="shared" si="211"/>
        <v>3.637978807091713E-12</v>
      </c>
      <c r="AJ113" s="4646">
        <f t="shared" si="211"/>
        <v>0</v>
      </c>
      <c r="AK113" s="4646">
        <f t="shared" si="211"/>
        <v>0</v>
      </c>
      <c r="AL113" s="4646">
        <f t="shared" ref="AL113:AQ113" si="212">+AL108-AL112</f>
        <v>0</v>
      </c>
      <c r="AM113" s="4646">
        <f t="shared" si="212"/>
        <v>7.2759576141834259E-12</v>
      </c>
      <c r="AN113" s="4682"/>
      <c r="AO113" s="4646">
        <f t="shared" ref="AO113" si="213">+AO108-AO112</f>
        <v>9.0949470177292824E-12</v>
      </c>
      <c r="AP113" s="4646">
        <f t="shared" si="212"/>
        <v>0</v>
      </c>
      <c r="AQ113" s="4646">
        <f t="shared" si="212"/>
        <v>0</v>
      </c>
      <c r="AR113" s="4646">
        <f t="shared" ref="AR113:AU113" si="214">+AR108-AR112</f>
        <v>0</v>
      </c>
      <c r="AS113" s="4646">
        <f t="shared" si="214"/>
        <v>-7.2759576141834259E-12</v>
      </c>
      <c r="AT113" s="4646">
        <f t="shared" si="214"/>
        <v>0</v>
      </c>
      <c r="AU113" s="4646">
        <f t="shared" si="214"/>
        <v>0</v>
      </c>
      <c r="AV113" s="4646">
        <f t="shared" ref="AV113:AY113" si="215">+AV108-AV112</f>
        <v>0</v>
      </c>
      <c r="AW113" s="4646">
        <f t="shared" si="215"/>
        <v>-7.3896444519050419E-12</v>
      </c>
      <c r="AX113" s="4646">
        <f t="shared" si="215"/>
        <v>0</v>
      </c>
      <c r="AY113" s="4646">
        <f t="shared" si="215"/>
        <v>0</v>
      </c>
      <c r="AZ113" s="4646">
        <f t="shared" ref="AZ113:BG113" si="216">+AZ108-AZ112</f>
        <v>0</v>
      </c>
      <c r="BA113" s="4646">
        <f t="shared" si="216"/>
        <v>-1.1368683772161603E-11</v>
      </c>
      <c r="BB113" s="4682"/>
      <c r="BC113" s="4646">
        <f t="shared" ref="BC113:BE113" si="217">+BC108-BC112</f>
        <v>-2.5465851649641991E-11</v>
      </c>
      <c r="BD113" s="4646">
        <f t="shared" si="217"/>
        <v>0</v>
      </c>
      <c r="BE113" s="4646">
        <f t="shared" si="217"/>
        <v>-1.6370904631912708E-11</v>
      </c>
      <c r="BF113" s="4646">
        <f t="shared" si="216"/>
        <v>0</v>
      </c>
      <c r="BG113" s="4646">
        <f t="shared" si="216"/>
        <v>0</v>
      </c>
      <c r="BH113" s="26"/>
      <c r="BI113" s="26"/>
    </row>
    <row r="114" spans="1:61" ht="21.75" customHeight="1" thickBot="1" x14ac:dyDescent="0.3">
      <c r="E114"/>
      <c r="K114"/>
      <c r="O114"/>
      <c r="S114"/>
      <c r="W114"/>
      <c r="X114"/>
      <c r="Y114"/>
      <c r="AA114"/>
      <c r="AB114"/>
      <c r="AC114"/>
      <c r="AG114"/>
      <c r="AK114"/>
      <c r="BH114" s="26"/>
      <c r="BI114" s="26"/>
    </row>
    <row r="115" spans="1:61" ht="18.75" customHeight="1" thickBot="1" x14ac:dyDescent="0.3">
      <c r="C115" s="6195" t="s">
        <v>91</v>
      </c>
      <c r="D115" s="4609" t="s">
        <v>1514</v>
      </c>
      <c r="E115" s="4609"/>
      <c r="F115" s="4592"/>
      <c r="G115" s="4610">
        <f>+BM!F56</f>
        <v>66895.455000000031</v>
      </c>
      <c r="H115" s="4610"/>
      <c r="I115" s="4610">
        <f>+BM!H56</f>
        <v>76175.635000000068</v>
      </c>
      <c r="J115" s="4610"/>
      <c r="K115" s="4615">
        <f t="shared" ref="K115:K116" si="218">+G115+I115</f>
        <v>143071.09000000008</v>
      </c>
      <c r="L115" s="4610"/>
      <c r="M115" s="4610">
        <f>+BM!L56</f>
        <v>73644.015000000058</v>
      </c>
      <c r="N115" s="4610"/>
      <c r="O115" s="4616">
        <f t="shared" ref="O115:O116" si="219">+G115+I115+M115</f>
        <v>216715.10500000016</v>
      </c>
      <c r="P115" s="4610"/>
      <c r="Q115" s="4610">
        <f>+BM!P56</f>
        <v>88056.490000000107</v>
      </c>
      <c r="R115" s="4610"/>
      <c r="S115" s="4615">
        <f t="shared" ref="S115:S116" si="220">O115+Q115</f>
        <v>304771.59500000026</v>
      </c>
      <c r="T115" s="4610"/>
      <c r="U115" s="4610">
        <f>+BM!T56</f>
        <v>75853.695000000036</v>
      </c>
      <c r="V115" s="4610"/>
      <c r="W115" s="4615">
        <f t="shared" ref="W115:W116" si="221">S115+U115</f>
        <v>380625.29000000027</v>
      </c>
      <c r="X115" s="4610"/>
      <c r="Y115" s="4610">
        <f>+BM!X56</f>
        <v>76319.035000000062</v>
      </c>
      <c r="Z115" s="4610"/>
      <c r="AA115" s="4616">
        <f t="shared" ref="AA115:AA116" si="222">Q115+U115+Y115</f>
        <v>240229.2200000002</v>
      </c>
      <c r="AB115" s="4610"/>
      <c r="AC115" s="4617">
        <f t="shared" ref="AC115:AC116" si="223">O115+AA115</f>
        <v>456944.32500000036</v>
      </c>
      <c r="AD115" s="4610"/>
      <c r="AE115" s="4610">
        <f>+BM!AD56</f>
        <v>66747.800000000017</v>
      </c>
      <c r="AF115" s="4610"/>
      <c r="AG115" s="4615">
        <f t="shared" ref="AG115:AG116" si="224">+AC115+AE115</f>
        <v>523692.12500000035</v>
      </c>
      <c r="AH115" s="4610"/>
      <c r="AI115" s="4610">
        <f>+BM!AH56</f>
        <v>3169.7200000000003</v>
      </c>
      <c r="AJ115" s="4610"/>
      <c r="AK115" s="4618">
        <f t="shared" ref="AK115:AK116" si="225">+AG115+AI115</f>
        <v>526861.84500000032</v>
      </c>
      <c r="AL115" s="4610"/>
      <c r="AM115" s="4610">
        <f>+BM!AL56</f>
        <v>70630.630000000063</v>
      </c>
      <c r="AN115" s="4610"/>
      <c r="AO115" s="4616">
        <f t="shared" ref="AO115:AO116" si="226">AE115+AI115+AM115</f>
        <v>140548.15000000008</v>
      </c>
      <c r="AP115" s="4610"/>
      <c r="AQ115" s="4618">
        <f>+AK115+AM115</f>
        <v>597492.47500000033</v>
      </c>
      <c r="AR115" s="4610"/>
      <c r="AS115" s="4610">
        <f>+BM!AR56</f>
        <v>70085.115000000107</v>
      </c>
      <c r="AT115" s="4610"/>
      <c r="AU115" s="4618">
        <f t="shared" ref="AU115:AU116" si="227">+AQ115+AS115</f>
        <v>667577.59000000043</v>
      </c>
      <c r="AV115" s="4610"/>
      <c r="AW115" s="4610">
        <f>+BM!AV56</f>
        <v>65990.000000000058</v>
      </c>
      <c r="AX115" s="4610"/>
      <c r="AY115" s="4618">
        <f t="shared" ref="AY115:AY116" si="228">+AU115+AW115</f>
        <v>733567.59000000055</v>
      </c>
      <c r="AZ115" s="4610"/>
      <c r="BA115" s="4610">
        <f>+BM!AZ56</f>
        <v>78010.610000000073</v>
      </c>
      <c r="BB115" s="4610"/>
      <c r="BC115" s="4616">
        <f t="shared" ref="BC115:BC116" si="229">AS115+AW115+BA115</f>
        <v>214085.72500000024</v>
      </c>
      <c r="BD115" s="4610"/>
      <c r="BE115" s="4617">
        <f t="shared" ref="BE115:BE116" si="230">AO115+BC115</f>
        <v>354633.87500000035</v>
      </c>
      <c r="BF115" s="4610"/>
      <c r="BG115" s="4618">
        <f t="shared" ref="BG115:BG116" si="231">+AY115+BA115</f>
        <v>811578.20000000065</v>
      </c>
      <c r="BH115" s="26"/>
      <c r="BI115" s="26"/>
    </row>
    <row r="116" spans="1:61" ht="18.75" customHeight="1" x14ac:dyDescent="0.25">
      <c r="C116" s="6196"/>
      <c r="D116" s="4619" t="s">
        <v>1550</v>
      </c>
      <c r="E116" s="4619"/>
      <c r="F116" s="4593"/>
      <c r="G116" s="4605">
        <f>+G47</f>
        <v>66895.455000000031</v>
      </c>
      <c r="H116" s="4605"/>
      <c r="I116" s="4605">
        <f>+I47</f>
        <v>76175.635000000053</v>
      </c>
      <c r="J116" s="4605"/>
      <c r="K116" s="4622">
        <f t="shared" si="218"/>
        <v>143071.09000000008</v>
      </c>
      <c r="L116" s="4605"/>
      <c r="M116" s="4605">
        <f>+M47</f>
        <v>73644.015000000058</v>
      </c>
      <c r="N116" s="4605"/>
      <c r="O116" s="4623">
        <f t="shared" si="219"/>
        <v>216715.10500000016</v>
      </c>
      <c r="P116" s="4605"/>
      <c r="Q116" s="4605">
        <f>+Q47</f>
        <v>88056.490000000093</v>
      </c>
      <c r="R116" s="4605"/>
      <c r="S116" s="4622">
        <f t="shared" si="220"/>
        <v>304771.59500000026</v>
      </c>
      <c r="T116" s="4605"/>
      <c r="U116" s="4605">
        <f>+U47</f>
        <v>75853.695000000051</v>
      </c>
      <c r="V116" s="4605"/>
      <c r="W116" s="4622">
        <f t="shared" si="221"/>
        <v>380625.29000000033</v>
      </c>
      <c r="X116" s="4605"/>
      <c r="Y116" s="4605">
        <f>+Y47</f>
        <v>76319.035000000076</v>
      </c>
      <c r="Z116" s="4605"/>
      <c r="AA116" s="4623">
        <f t="shared" si="222"/>
        <v>240229.2200000002</v>
      </c>
      <c r="AB116" s="4605"/>
      <c r="AC116" s="4624">
        <f t="shared" si="223"/>
        <v>456944.32500000036</v>
      </c>
      <c r="AD116" s="4605"/>
      <c r="AE116" s="4605">
        <f>+AE47</f>
        <v>66747.8</v>
      </c>
      <c r="AF116" s="4605"/>
      <c r="AG116" s="4622">
        <f t="shared" si="224"/>
        <v>523692.12500000035</v>
      </c>
      <c r="AH116" s="4605"/>
      <c r="AI116" s="4605">
        <f>+AI47</f>
        <v>3169.7200000000003</v>
      </c>
      <c r="AJ116" s="4605"/>
      <c r="AK116" s="4625">
        <f t="shared" si="225"/>
        <v>526861.84500000032</v>
      </c>
      <c r="AL116" s="4605"/>
      <c r="AM116" s="4605">
        <f>+AM47</f>
        <v>70630.630000000063</v>
      </c>
      <c r="AN116" s="4605"/>
      <c r="AO116" s="4623">
        <f t="shared" si="226"/>
        <v>140548.15000000008</v>
      </c>
      <c r="AP116" s="4605"/>
      <c r="AQ116" s="4625">
        <f>+AK116+AM116</f>
        <v>597492.47500000033</v>
      </c>
      <c r="AR116" s="4605"/>
      <c r="AS116" s="4605">
        <f>+AS47</f>
        <v>70085.115000000093</v>
      </c>
      <c r="AT116" s="4605"/>
      <c r="AU116" s="4625">
        <f t="shared" si="227"/>
        <v>667577.59000000043</v>
      </c>
      <c r="AV116" s="4605"/>
      <c r="AW116" s="4605">
        <f>+AW47</f>
        <v>65990.000000000044</v>
      </c>
      <c r="AX116" s="4605"/>
      <c r="AY116" s="4625">
        <f t="shared" si="228"/>
        <v>733567.59000000043</v>
      </c>
      <c r="AZ116" s="4605"/>
      <c r="BA116" s="4605">
        <f>+BA47</f>
        <v>78010.610000000059</v>
      </c>
      <c r="BB116" s="4605"/>
      <c r="BC116" s="4623">
        <f t="shared" si="229"/>
        <v>214085.72500000021</v>
      </c>
      <c r="BD116" s="4605"/>
      <c r="BE116" s="4617">
        <f t="shared" si="230"/>
        <v>354633.87500000029</v>
      </c>
      <c r="BF116" s="4605"/>
      <c r="BG116" s="4625">
        <f t="shared" si="231"/>
        <v>811578.20000000054</v>
      </c>
      <c r="BH116" s="26"/>
      <c r="BI116" s="26"/>
    </row>
    <row r="117" spans="1:61" ht="19.5" customHeight="1" thickBot="1" x14ac:dyDescent="0.3">
      <c r="C117" s="6197"/>
      <c r="D117" s="4612" t="s">
        <v>1515</v>
      </c>
      <c r="E117" s="4612"/>
      <c r="F117" s="4594"/>
      <c r="G117" s="4613">
        <f>+G116/G115</f>
        <v>1</v>
      </c>
      <c r="H117" s="4613"/>
      <c r="I117" s="4613">
        <f>+I116/I115</f>
        <v>0.99999999999999978</v>
      </c>
      <c r="J117" s="4613"/>
      <c r="K117" s="4601">
        <f t="shared" ref="K117:AG117" si="232">+K116/K115</f>
        <v>1</v>
      </c>
      <c r="L117" s="4613"/>
      <c r="M117" s="4613">
        <f>+M116/M115</f>
        <v>1</v>
      </c>
      <c r="N117" s="4613"/>
      <c r="O117" s="4602">
        <f t="shared" si="232"/>
        <v>1</v>
      </c>
      <c r="P117" s="4613"/>
      <c r="Q117" s="4613">
        <f t="shared" si="232"/>
        <v>0.99999999999999989</v>
      </c>
      <c r="R117" s="4613"/>
      <c r="S117" s="4601">
        <f t="shared" si="232"/>
        <v>1</v>
      </c>
      <c r="T117" s="4613"/>
      <c r="U117" s="4613">
        <f t="shared" si="232"/>
        <v>1.0000000000000002</v>
      </c>
      <c r="V117" s="4613"/>
      <c r="W117" s="4601">
        <f t="shared" si="232"/>
        <v>1.0000000000000002</v>
      </c>
      <c r="X117" s="4613"/>
      <c r="Y117" s="4613">
        <f t="shared" ref="Y117" si="233">+Y116/Y115</f>
        <v>1.0000000000000002</v>
      </c>
      <c r="Z117" s="4613"/>
      <c r="AA117" s="4602">
        <f t="shared" si="232"/>
        <v>1</v>
      </c>
      <c r="AB117" s="4613"/>
      <c r="AC117" s="4603">
        <f t="shared" si="232"/>
        <v>1</v>
      </c>
      <c r="AD117" s="4613"/>
      <c r="AE117" s="4613">
        <f t="shared" si="232"/>
        <v>0.99999999999999978</v>
      </c>
      <c r="AF117" s="4613"/>
      <c r="AG117" s="4601">
        <f t="shared" si="232"/>
        <v>1</v>
      </c>
      <c r="AH117" s="4613"/>
      <c r="AI117" s="4613">
        <f t="shared" ref="AI117" si="234">+AI116/AI115</f>
        <v>1</v>
      </c>
      <c r="AJ117" s="4613"/>
      <c r="AK117" s="4642">
        <f t="shared" ref="AK117" si="235">+AK116/AK115</f>
        <v>1</v>
      </c>
      <c r="AL117" s="4613"/>
      <c r="AM117" s="4613">
        <f t="shared" ref="AM117" si="236">+AM116/AM115</f>
        <v>1</v>
      </c>
      <c r="AN117" s="4613"/>
      <c r="AO117" s="4602">
        <f t="shared" ref="AO117" si="237">+AO116/AO115</f>
        <v>1</v>
      </c>
      <c r="AP117" s="4613"/>
      <c r="AQ117" s="4642">
        <f t="shared" ref="AQ117" si="238">+AQ116/AQ115</f>
        <v>1</v>
      </c>
      <c r="AR117" s="4613"/>
      <c r="AS117" s="4613">
        <f t="shared" ref="AS117" si="239">+AS116/AS115</f>
        <v>0.99999999999999978</v>
      </c>
      <c r="AT117" s="4613"/>
      <c r="AU117" s="4642">
        <f t="shared" ref="AU117" si="240">+AU116/AU115</f>
        <v>1</v>
      </c>
      <c r="AV117" s="4613"/>
      <c r="AW117" s="4613">
        <f t="shared" ref="AW117" si="241">+AW116/AW115</f>
        <v>0.99999999999999978</v>
      </c>
      <c r="AX117" s="4613"/>
      <c r="AY117" s="4642">
        <f t="shared" ref="AY117" si="242">+AY116/AY115</f>
        <v>0.99999999999999989</v>
      </c>
      <c r="AZ117" s="4613"/>
      <c r="BA117" s="4613">
        <f t="shared" ref="BA117" si="243">+BA116/BA115</f>
        <v>0.99999999999999978</v>
      </c>
      <c r="BB117" s="4613"/>
      <c r="BC117" s="4602">
        <f t="shared" ref="BC117" si="244">+BC116/BC115</f>
        <v>0.99999999999999989</v>
      </c>
      <c r="BD117" s="4613"/>
      <c r="BE117" s="4603">
        <f t="shared" ref="BE117" si="245">+BE116/BE115</f>
        <v>0.99999999999999989</v>
      </c>
      <c r="BF117" s="4613"/>
      <c r="BG117" s="4642">
        <f t="shared" ref="BG117" si="246">+BG116/BG115</f>
        <v>0.99999999999999989</v>
      </c>
      <c r="BH117" s="26"/>
      <c r="BI117" s="26"/>
    </row>
    <row r="118" spans="1:61" ht="15.75" thickBot="1" x14ac:dyDescent="0.3">
      <c r="E118"/>
      <c r="K118"/>
      <c r="O118"/>
      <c r="S118"/>
      <c r="W118"/>
      <c r="X118"/>
      <c r="Y118"/>
      <c r="AA118"/>
      <c r="AB118"/>
      <c r="AC118"/>
      <c r="AG118"/>
      <c r="AK118"/>
      <c r="BH118" s="26"/>
      <c r="BI118" s="26"/>
    </row>
    <row r="119" spans="1:61" ht="18.75" customHeight="1" thickBot="1" x14ac:dyDescent="0.3">
      <c r="C119" s="6195" t="s">
        <v>109</v>
      </c>
      <c r="D119" s="4609" t="s">
        <v>1514</v>
      </c>
      <c r="E119" s="4609"/>
      <c r="F119" s="4592"/>
      <c r="G119" s="4610">
        <f>+USM!G108</f>
        <v>49543.777000000002</v>
      </c>
      <c r="H119" s="4610"/>
      <c r="I119" s="4610">
        <f>+USM!I108</f>
        <v>57219.144</v>
      </c>
      <c r="J119" s="4610"/>
      <c r="K119" s="4615">
        <f t="shared" ref="K119:K120" si="247">+G119+I119</f>
        <v>106762.921</v>
      </c>
      <c r="L119" s="4610"/>
      <c r="M119" s="4610">
        <f>+USM!M108</f>
        <v>58674.632999999994</v>
      </c>
      <c r="N119" s="4611"/>
      <c r="O119" s="4616">
        <f t="shared" ref="O119:O120" si="248">+G119+I119+M119</f>
        <v>165437.554</v>
      </c>
      <c r="P119" s="4611"/>
      <c r="Q119" s="4610">
        <f>+USM!Q108</f>
        <v>57327.387000000002</v>
      </c>
      <c r="R119" s="4611"/>
      <c r="S119" s="4615">
        <f t="shared" ref="S119:S120" si="249">O119+Q119</f>
        <v>222764.94099999999</v>
      </c>
      <c r="T119" s="4611"/>
      <c r="U119" s="4610">
        <f>+USM!U108</f>
        <v>44406.292999999998</v>
      </c>
      <c r="V119" s="4610"/>
      <c r="W119" s="4615">
        <f t="shared" ref="W119:W120" si="250">S119+U119</f>
        <v>267171.234</v>
      </c>
      <c r="X119" s="4610"/>
      <c r="Y119" s="4610">
        <f>+USM!Y108</f>
        <v>50010.385999999991</v>
      </c>
      <c r="Z119" s="4611"/>
      <c r="AA119" s="4616">
        <f t="shared" ref="AA119:AA120" si="251">Q119+U119+Y119</f>
        <v>151744.06599999999</v>
      </c>
      <c r="AB119" s="4611"/>
      <c r="AC119" s="4617">
        <f t="shared" ref="AC119:AC120" si="252">O119+AA119</f>
        <v>317181.62</v>
      </c>
      <c r="AD119" s="4611"/>
      <c r="AE119" s="4610">
        <f>+USM!AE108</f>
        <v>44900.301000000007</v>
      </c>
      <c r="AF119" s="4611"/>
      <c r="AG119" s="4615">
        <f t="shared" ref="AG119:AG120" si="253">+AC119+AE119</f>
        <v>362081.92099999997</v>
      </c>
      <c r="AH119" s="4611"/>
      <c r="AI119" s="4610">
        <f>+USM!AI108</f>
        <v>8584.9840000000004</v>
      </c>
      <c r="AJ119" s="4611"/>
      <c r="AK119" s="4618">
        <f t="shared" ref="AK119:AK120" si="254">+AG119+AI119</f>
        <v>370666.90499999997</v>
      </c>
      <c r="AL119" s="4611"/>
      <c r="AM119" s="4610">
        <f>+USM!AM108</f>
        <v>40066.768000000004</v>
      </c>
      <c r="AN119" s="4610"/>
      <c r="AO119" s="4616">
        <f t="shared" ref="AO119:AO120" si="255">AE119+AI119+AM119</f>
        <v>93552.053000000014</v>
      </c>
      <c r="AP119" s="4611"/>
      <c r="AQ119" s="4618">
        <f>+AK119+AM119</f>
        <v>410733.67299999995</v>
      </c>
      <c r="AR119" s="4611"/>
      <c r="AS119" s="4610">
        <f>+USM!AS108</f>
        <v>51039.178999999996</v>
      </c>
      <c r="AT119" s="4611"/>
      <c r="AU119" s="4618">
        <f t="shared" ref="AU119:AU120" si="256">+AQ119+AS119</f>
        <v>461772.85199999996</v>
      </c>
      <c r="AV119" s="4611"/>
      <c r="AW119" s="4610">
        <f>+USM!AW108</f>
        <v>51009.48</v>
      </c>
      <c r="AX119" s="4611"/>
      <c r="AY119" s="4618">
        <f t="shared" ref="AY119:AY120" si="257">+AU119+AW119</f>
        <v>512782.33199999994</v>
      </c>
      <c r="AZ119" s="4611"/>
      <c r="BA119" s="4610">
        <f>+USM!BA108</f>
        <v>62071.890000000007</v>
      </c>
      <c r="BB119" s="4610"/>
      <c r="BC119" s="4616">
        <f t="shared" ref="BC119:BC120" si="258">AS119+AW119+BA119</f>
        <v>164120.549</v>
      </c>
      <c r="BD119" s="4611"/>
      <c r="BE119" s="4617">
        <f t="shared" ref="BE119:BE120" si="259">AO119+BC119</f>
        <v>257672.60200000001</v>
      </c>
      <c r="BF119" s="4611"/>
      <c r="BG119" s="4618">
        <f t="shared" ref="BG119:BG120" si="260">+AY119+BA119</f>
        <v>574854.22199999995</v>
      </c>
      <c r="BH119" s="26"/>
      <c r="BI119" s="26"/>
    </row>
    <row r="120" spans="1:61" ht="18.75" customHeight="1" x14ac:dyDescent="0.25">
      <c r="C120" s="6196"/>
      <c r="D120" s="4619" t="s">
        <v>1518</v>
      </c>
      <c r="E120" s="4619"/>
      <c r="F120" s="4593"/>
      <c r="G120" s="4605">
        <f>+G55</f>
        <v>49543.777000000002</v>
      </c>
      <c r="H120" s="4605"/>
      <c r="I120" s="4605">
        <f>+I55</f>
        <v>57219.144</v>
      </c>
      <c r="J120" s="4605"/>
      <c r="K120" s="4622">
        <f t="shared" si="247"/>
        <v>106762.921</v>
      </c>
      <c r="L120" s="4605"/>
      <c r="M120" s="4605">
        <f>+M55</f>
        <v>58674.632999999994</v>
      </c>
      <c r="N120" s="4605"/>
      <c r="O120" s="4623">
        <f t="shared" si="248"/>
        <v>165437.554</v>
      </c>
      <c r="P120" s="4605"/>
      <c r="Q120" s="4605">
        <f>+Q55</f>
        <v>57327.387000000002</v>
      </c>
      <c r="R120" s="4605"/>
      <c r="S120" s="4622">
        <f t="shared" si="249"/>
        <v>222764.94099999999</v>
      </c>
      <c r="T120" s="4605"/>
      <c r="U120" s="4605">
        <f>+U55</f>
        <v>44406.292999999991</v>
      </c>
      <c r="V120" s="4605"/>
      <c r="W120" s="4622">
        <f t="shared" si="250"/>
        <v>267171.234</v>
      </c>
      <c r="X120" s="4605"/>
      <c r="Y120" s="4605">
        <f>+Y55</f>
        <v>50010.385999999999</v>
      </c>
      <c r="Z120" s="4605"/>
      <c r="AA120" s="4623">
        <f t="shared" si="251"/>
        <v>151744.06599999999</v>
      </c>
      <c r="AB120" s="4605"/>
      <c r="AC120" s="4624">
        <f t="shared" si="252"/>
        <v>317181.62</v>
      </c>
      <c r="AD120" s="4605"/>
      <c r="AE120" s="4605">
        <f>+AE55</f>
        <v>44900.301000000007</v>
      </c>
      <c r="AF120" s="4605"/>
      <c r="AG120" s="4622">
        <f t="shared" si="253"/>
        <v>362081.92099999997</v>
      </c>
      <c r="AH120" s="4605"/>
      <c r="AI120" s="4605">
        <f>+AI55</f>
        <v>8584.9840000000004</v>
      </c>
      <c r="AJ120" s="4605"/>
      <c r="AK120" s="4625">
        <f t="shared" si="254"/>
        <v>370666.90499999997</v>
      </c>
      <c r="AL120" s="4605"/>
      <c r="AM120" s="4605">
        <f>+AM55</f>
        <v>40066.767999999996</v>
      </c>
      <c r="AN120" s="4605"/>
      <c r="AO120" s="4623">
        <f t="shared" si="255"/>
        <v>93552.053</v>
      </c>
      <c r="AP120" s="4605"/>
      <c r="AQ120" s="4625">
        <f>+AK120+AM120</f>
        <v>410733.67299999995</v>
      </c>
      <c r="AR120" s="4605"/>
      <c r="AS120" s="4605">
        <f>+AS55</f>
        <v>51039.178999999996</v>
      </c>
      <c r="AT120" s="4605"/>
      <c r="AU120" s="4625">
        <f t="shared" si="256"/>
        <v>461772.85199999996</v>
      </c>
      <c r="AV120" s="4605"/>
      <c r="AW120" s="4605">
        <f>+AW55</f>
        <v>51009.48</v>
      </c>
      <c r="AX120" s="4605"/>
      <c r="AY120" s="4625">
        <f t="shared" si="257"/>
        <v>512782.33199999994</v>
      </c>
      <c r="AZ120" s="4605"/>
      <c r="BA120" s="4605">
        <f>+BA55</f>
        <v>62071.89</v>
      </c>
      <c r="BB120" s="4605"/>
      <c r="BC120" s="4623">
        <f t="shared" si="258"/>
        <v>164120.549</v>
      </c>
      <c r="BD120" s="4605"/>
      <c r="BE120" s="4617">
        <f t="shared" si="259"/>
        <v>257672.60200000001</v>
      </c>
      <c r="BF120" s="4605"/>
      <c r="BG120" s="4625">
        <f t="shared" si="260"/>
        <v>574854.22199999995</v>
      </c>
      <c r="BH120" s="26"/>
      <c r="BI120" s="26"/>
    </row>
    <row r="121" spans="1:61" ht="19.5" customHeight="1" thickBot="1" x14ac:dyDescent="0.3">
      <c r="C121" s="6197"/>
      <c r="D121" s="4612" t="s">
        <v>1515</v>
      </c>
      <c r="E121" s="4612"/>
      <c r="F121" s="4594"/>
      <c r="G121" s="4613">
        <f>+G120/G119</f>
        <v>1</v>
      </c>
      <c r="H121" s="4613"/>
      <c r="I121" s="4613">
        <f>+I120/I119</f>
        <v>1</v>
      </c>
      <c r="J121" s="4613"/>
      <c r="K121" s="4601">
        <f t="shared" ref="K121:AG121" si="261">+K120/K119</f>
        <v>1</v>
      </c>
      <c r="L121" s="4613"/>
      <c r="M121" s="4613">
        <f>+M120/M119</f>
        <v>1</v>
      </c>
      <c r="N121" s="4613"/>
      <c r="O121" s="4602">
        <f t="shared" si="261"/>
        <v>1</v>
      </c>
      <c r="P121" s="4613"/>
      <c r="Q121" s="4613">
        <f t="shared" si="261"/>
        <v>1</v>
      </c>
      <c r="R121" s="4613"/>
      <c r="S121" s="4601">
        <f t="shared" si="261"/>
        <v>1</v>
      </c>
      <c r="T121" s="4613"/>
      <c r="U121" s="4613">
        <f t="shared" si="261"/>
        <v>0.99999999999999989</v>
      </c>
      <c r="V121" s="4613"/>
      <c r="W121" s="4601">
        <f t="shared" si="261"/>
        <v>1</v>
      </c>
      <c r="X121" s="4613"/>
      <c r="Y121" s="4613">
        <f t="shared" ref="Y121" si="262">+Y120/Y119</f>
        <v>1.0000000000000002</v>
      </c>
      <c r="Z121" s="4613"/>
      <c r="AA121" s="4602">
        <f t="shared" si="261"/>
        <v>1</v>
      </c>
      <c r="AB121" s="4613"/>
      <c r="AC121" s="4603">
        <f t="shared" si="261"/>
        <v>1</v>
      </c>
      <c r="AD121" s="4613"/>
      <c r="AE121" s="4613">
        <f t="shared" si="261"/>
        <v>1</v>
      </c>
      <c r="AF121" s="4613"/>
      <c r="AG121" s="4601">
        <f t="shared" si="261"/>
        <v>1</v>
      </c>
      <c r="AH121" s="4613"/>
      <c r="AI121" s="4613">
        <f t="shared" ref="AI121" si="263">+AI120/AI119</f>
        <v>1</v>
      </c>
      <c r="AJ121" s="4613"/>
      <c r="AK121" s="4642">
        <f t="shared" ref="AK121" si="264">+AK120/AK119</f>
        <v>1</v>
      </c>
      <c r="AL121" s="4613"/>
      <c r="AM121" s="4613">
        <f t="shared" ref="AM121" si="265">+AM120/AM119</f>
        <v>0.99999999999999978</v>
      </c>
      <c r="AN121" s="4613"/>
      <c r="AO121" s="4602">
        <f t="shared" ref="AO121" si="266">+AO120/AO119</f>
        <v>0.99999999999999989</v>
      </c>
      <c r="AP121" s="4613"/>
      <c r="AQ121" s="4642">
        <f t="shared" ref="AQ121" si="267">+AQ120/AQ119</f>
        <v>1</v>
      </c>
      <c r="AR121" s="4613"/>
      <c r="AS121" s="4613">
        <f t="shared" ref="AS121" si="268">+AS120/AS119</f>
        <v>1</v>
      </c>
      <c r="AT121" s="4613"/>
      <c r="AU121" s="4642">
        <f t="shared" ref="AU121" si="269">+AU120/AU119</f>
        <v>1</v>
      </c>
      <c r="AV121" s="4613"/>
      <c r="AW121" s="4613">
        <f t="shared" ref="AW121" si="270">+AW120/AW119</f>
        <v>1</v>
      </c>
      <c r="AX121" s="4613"/>
      <c r="AY121" s="4642">
        <f t="shared" ref="AY121" si="271">+AY120/AY119</f>
        <v>1</v>
      </c>
      <c r="AZ121" s="4613"/>
      <c r="BA121" s="4613">
        <f t="shared" ref="BA121" si="272">+BA120/BA119</f>
        <v>0.99999999999999989</v>
      </c>
      <c r="BB121" s="4613"/>
      <c r="BC121" s="4602">
        <f t="shared" ref="BC121" si="273">+BC120/BC119</f>
        <v>1</v>
      </c>
      <c r="BD121" s="4613"/>
      <c r="BE121" s="4603">
        <f t="shared" ref="BE121" si="274">+BE120/BE119</f>
        <v>1</v>
      </c>
      <c r="BF121" s="4613"/>
      <c r="BG121" s="4642">
        <f t="shared" ref="BG121" si="275">+BG120/BG119</f>
        <v>1</v>
      </c>
      <c r="BH121" s="26"/>
      <c r="BI121" s="26"/>
    </row>
    <row r="122" spans="1:61" ht="15.75" thickBot="1" x14ac:dyDescent="0.3">
      <c r="E122"/>
      <c r="K122"/>
      <c r="O122"/>
      <c r="S122"/>
      <c r="W122"/>
      <c r="X122"/>
      <c r="Y122"/>
      <c r="AA122"/>
      <c r="AB122"/>
      <c r="AC122"/>
      <c r="AG122"/>
      <c r="AK122"/>
      <c r="BH122" s="26"/>
      <c r="BI122" s="26"/>
    </row>
    <row r="123" spans="1:61" ht="18.75" customHeight="1" thickBot="1" x14ac:dyDescent="0.3">
      <c r="C123" s="6195" t="s">
        <v>1517</v>
      </c>
      <c r="D123" s="4609" t="s">
        <v>1514</v>
      </c>
      <c r="E123" s="4609"/>
      <c r="F123" s="4592"/>
      <c r="G123" s="4610">
        <f>+'Maj Production Summ'!F34</f>
        <v>45616.58799999996</v>
      </c>
      <c r="H123" s="4611"/>
      <c r="I123" s="4611">
        <f>+'Maj Production Summ'!H34</f>
        <v>52556</v>
      </c>
      <c r="J123" s="4611"/>
      <c r="K123" s="4615">
        <f t="shared" ref="K123:K124" si="276">+G123+I123</f>
        <v>98172.58799999996</v>
      </c>
      <c r="L123" s="4611"/>
      <c r="M123" s="4611">
        <f>+'Maj Production Summ'!L34</f>
        <v>56218</v>
      </c>
      <c r="N123" s="4611"/>
      <c r="O123" s="4616">
        <f t="shared" ref="O123:O124" si="277">+G123+I123+M123</f>
        <v>154390.58799999996</v>
      </c>
      <c r="P123" s="4611"/>
      <c r="Q123" s="4611">
        <f>+'Maj Production Summ'!P34</f>
        <v>50303</v>
      </c>
      <c r="R123" s="4611"/>
      <c r="S123" s="4615">
        <f t="shared" ref="S123:S124" si="278">O123+Q123</f>
        <v>204693.58799999996</v>
      </c>
      <c r="T123" s="4611"/>
      <c r="U123" s="4610">
        <f>+'Maj Production Summ'!T34</f>
        <v>51235.42</v>
      </c>
      <c r="V123" s="4611"/>
      <c r="W123" s="4615">
        <f t="shared" ref="W123:W124" si="279">S123+U123</f>
        <v>255929.00799999997</v>
      </c>
      <c r="X123" s="4611"/>
      <c r="Y123" s="4611">
        <f>+'Maj Production Summ'!X34</f>
        <v>54076</v>
      </c>
      <c r="Z123" s="4611"/>
      <c r="AA123" s="4616">
        <f t="shared" ref="AA123:AA142" si="280">Q123+U123+Y123</f>
        <v>155614.41999999998</v>
      </c>
      <c r="AB123" s="4611"/>
      <c r="AC123" s="4617">
        <f t="shared" ref="AC123:AC124" si="281">O123+AA123</f>
        <v>310005.00799999991</v>
      </c>
      <c r="AD123" s="4611"/>
      <c r="AE123" s="4611">
        <f>+'Maj Production Summ'!AD34</f>
        <v>25418</v>
      </c>
      <c r="AF123" s="4611"/>
      <c r="AG123" s="4615">
        <f t="shared" ref="AG123:AG124" si="282">+AC123+AE123</f>
        <v>335423.00799999991</v>
      </c>
      <c r="AH123" s="4611"/>
      <c r="AI123" s="4611">
        <f>+'Maj Production Summ'!AH34</f>
        <v>7935</v>
      </c>
      <c r="AJ123" s="4611"/>
      <c r="AK123" s="4618">
        <f t="shared" ref="AK123:AK124" si="283">+AG123+AI123</f>
        <v>343358.00799999991</v>
      </c>
      <c r="AL123" s="4611"/>
      <c r="AM123" s="4611">
        <f>+'Maj Production Summ'!AL34</f>
        <v>64493</v>
      </c>
      <c r="AN123" s="4611"/>
      <c r="AO123" s="4616">
        <f t="shared" ref="AO123:AO142" si="284">AE123+AI123+AM123</f>
        <v>97846</v>
      </c>
      <c r="AP123" s="4611"/>
      <c r="AQ123" s="4618">
        <f>+AK123+AM123</f>
        <v>407851.00799999991</v>
      </c>
      <c r="AR123" s="4611"/>
      <c r="AS123" s="4611">
        <f>+'Maj Production Summ'!AR34</f>
        <v>63074.18</v>
      </c>
      <c r="AT123" s="4611"/>
      <c r="AU123" s="4618">
        <f t="shared" ref="AU123:AU124" si="285">+AQ123+AS123</f>
        <v>470925.18799999991</v>
      </c>
      <c r="AV123" s="4611"/>
      <c r="AW123" s="4611">
        <f>+'Maj Production Summ'!AV34</f>
        <v>57481.269999999931</v>
      </c>
      <c r="AX123" s="4611"/>
      <c r="AY123" s="4618">
        <f t="shared" ref="AY123:AY124" si="286">+AU123+AW123</f>
        <v>528406.45799999987</v>
      </c>
      <c r="AZ123" s="4611"/>
      <c r="BA123" s="4611">
        <f>+'Maj Production Summ'!AZ34</f>
        <v>57620</v>
      </c>
      <c r="BB123" s="4611"/>
      <c r="BC123" s="4616">
        <f t="shared" ref="BC123:BC124" si="287">AS123+AW123+BA123</f>
        <v>178175.44999999992</v>
      </c>
      <c r="BD123" s="4611"/>
      <c r="BE123" s="4617">
        <f t="shared" ref="BE123:BE124" si="288">AO123+BC123</f>
        <v>276021.44999999995</v>
      </c>
      <c r="BF123" s="4611"/>
      <c r="BG123" s="4618">
        <f t="shared" ref="BG123:BG124" si="289">+AY123+BA123</f>
        <v>586026.45799999987</v>
      </c>
      <c r="BH123" s="26"/>
      <c r="BI123" s="26"/>
    </row>
    <row r="124" spans="1:61" ht="18.75" customHeight="1" x14ac:dyDescent="0.25">
      <c r="C124" s="6196"/>
      <c r="D124" s="4619" t="s">
        <v>1550</v>
      </c>
      <c r="E124" s="4619"/>
      <c r="F124" s="4595"/>
      <c r="G124" s="4614">
        <f>+G79</f>
        <v>40768.58799999996</v>
      </c>
      <c r="H124" s="4614"/>
      <c r="I124" s="4614">
        <f>+I79</f>
        <v>45640.4</v>
      </c>
      <c r="J124" s="4614"/>
      <c r="K124" s="4622">
        <f t="shared" si="276"/>
        <v>86408.987999999954</v>
      </c>
      <c r="L124" s="4614"/>
      <c r="M124" s="4614">
        <f>+M79</f>
        <v>51290</v>
      </c>
      <c r="N124" s="4614"/>
      <c r="O124" s="4623">
        <f t="shared" si="277"/>
        <v>137698.98799999995</v>
      </c>
      <c r="P124" s="4614"/>
      <c r="Q124" s="4614">
        <f>+Q79</f>
        <v>46163</v>
      </c>
      <c r="R124" s="4614"/>
      <c r="S124" s="4622">
        <f t="shared" si="278"/>
        <v>183861.98799999995</v>
      </c>
      <c r="T124" s="4614"/>
      <c r="U124" s="4614">
        <f>+U79</f>
        <v>45702.616000000002</v>
      </c>
      <c r="V124" s="4614"/>
      <c r="W124" s="4622">
        <f t="shared" si="279"/>
        <v>229564.60399999996</v>
      </c>
      <c r="X124" s="4614"/>
      <c r="Y124" s="4614">
        <f>+Y79</f>
        <v>49365</v>
      </c>
      <c r="Z124" s="4614"/>
      <c r="AA124" s="4623">
        <f t="shared" si="280"/>
        <v>141230.61600000001</v>
      </c>
      <c r="AB124" s="4614"/>
      <c r="AC124" s="4624">
        <f t="shared" si="281"/>
        <v>278929.60399999993</v>
      </c>
      <c r="AD124" s="4614"/>
      <c r="AE124" s="4614">
        <f>+AE79</f>
        <v>21170.198</v>
      </c>
      <c r="AF124" s="4614"/>
      <c r="AG124" s="4622">
        <f t="shared" si="282"/>
        <v>300099.80199999991</v>
      </c>
      <c r="AH124" s="4614"/>
      <c r="AI124" s="4614">
        <f>+AI79</f>
        <v>7769</v>
      </c>
      <c r="AJ124" s="4614"/>
      <c r="AK124" s="4625">
        <f t="shared" si="283"/>
        <v>307868.80199999991</v>
      </c>
      <c r="AL124" s="4614"/>
      <c r="AM124" s="4614">
        <f>+AM79</f>
        <v>58920.466</v>
      </c>
      <c r="AN124" s="4614"/>
      <c r="AO124" s="4623">
        <f t="shared" si="284"/>
        <v>87859.664000000004</v>
      </c>
      <c r="AP124" s="4614"/>
      <c r="AQ124" s="4625">
        <f>+AK124+AM124</f>
        <v>366789.26799999992</v>
      </c>
      <c r="AR124" s="4614"/>
      <c r="AS124" s="4614">
        <f>+AS79</f>
        <v>57980.115999999995</v>
      </c>
      <c r="AT124" s="4614"/>
      <c r="AU124" s="4625">
        <f t="shared" si="285"/>
        <v>424769.3839999999</v>
      </c>
      <c r="AV124" s="4614"/>
      <c r="AW124" s="4614">
        <f>+AW79</f>
        <v>52513.69199999993</v>
      </c>
      <c r="AX124" s="4614"/>
      <c r="AY124" s="4625">
        <f t="shared" si="286"/>
        <v>477283.07599999983</v>
      </c>
      <c r="AZ124" s="4614"/>
      <c r="BA124" s="4614">
        <f>+BA79</f>
        <v>52904</v>
      </c>
      <c r="BB124" s="4614"/>
      <c r="BC124" s="4623">
        <f t="shared" si="287"/>
        <v>163397.80799999993</v>
      </c>
      <c r="BD124" s="4614"/>
      <c r="BE124" s="4617">
        <f t="shared" si="288"/>
        <v>251257.47199999995</v>
      </c>
      <c r="BF124" s="4614"/>
      <c r="BG124" s="4625">
        <f t="shared" si="289"/>
        <v>530187.07599999988</v>
      </c>
      <c r="BH124" s="26"/>
      <c r="BI124" s="26"/>
    </row>
    <row r="125" spans="1:61" ht="18.75" customHeight="1" thickBot="1" x14ac:dyDescent="0.3">
      <c r="C125" s="6196"/>
      <c r="D125" s="4619" t="s">
        <v>1515</v>
      </c>
      <c r="E125" s="4619"/>
      <c r="F125" s="4620"/>
      <c r="G125" s="4626">
        <f>+G124/G123</f>
        <v>0.8937228711625691</v>
      </c>
      <c r="H125" s="4626"/>
      <c r="I125" s="4626">
        <f>+I124/I123</f>
        <v>0.8684146434279626</v>
      </c>
      <c r="J125" s="4626"/>
      <c r="K125" s="4627">
        <f t="shared" ref="K125:AG125" si="290">+K124/K123</f>
        <v>0.88017429060747576</v>
      </c>
      <c r="L125" s="4626"/>
      <c r="M125" s="4626">
        <f>+M124/M123</f>
        <v>0.91234124301825037</v>
      </c>
      <c r="N125" s="4626"/>
      <c r="O125" s="4628">
        <f t="shared" si="290"/>
        <v>0.89188719198349053</v>
      </c>
      <c r="P125" s="4626"/>
      <c r="Q125" s="4626">
        <f t="shared" si="290"/>
        <v>0.91769874560165399</v>
      </c>
      <c r="R125" s="4626"/>
      <c r="S125" s="4627">
        <f t="shared" si="290"/>
        <v>0.89823032463527874</v>
      </c>
      <c r="T125" s="4626"/>
      <c r="U125" s="4626">
        <f t="shared" si="290"/>
        <v>0.89201212754770043</v>
      </c>
      <c r="V125" s="4626"/>
      <c r="W125" s="4627">
        <f t="shared" si="290"/>
        <v>0.89698547966082842</v>
      </c>
      <c r="X125" s="4626"/>
      <c r="Y125" s="4626">
        <f t="shared" ref="Y125" si="291">+Y124/Y123</f>
        <v>0.9128818699607959</v>
      </c>
      <c r="Z125" s="4626"/>
      <c r="AA125" s="4628">
        <f t="shared" si="290"/>
        <v>0.90756766628696761</v>
      </c>
      <c r="AB125" s="4626"/>
      <c r="AC125" s="4629">
        <f t="shared" si="290"/>
        <v>0.89975838067751479</v>
      </c>
      <c r="AD125" s="4626"/>
      <c r="AE125" s="4626">
        <f t="shared" si="290"/>
        <v>0.83288213077346762</v>
      </c>
      <c r="AF125" s="4626"/>
      <c r="AG125" s="4627">
        <f t="shared" si="290"/>
        <v>0.89469056934818258</v>
      </c>
      <c r="AH125" s="4626"/>
      <c r="AI125" s="4626">
        <f t="shared" ref="AI125" si="292">+AI124/AI123</f>
        <v>0.97908002520478887</v>
      </c>
      <c r="AJ125" s="4626"/>
      <c r="AK125" s="4630">
        <f t="shared" ref="AK125" si="293">+AK124/AK123</f>
        <v>0.8966408087968637</v>
      </c>
      <c r="AL125" s="4626"/>
      <c r="AM125" s="4626">
        <f t="shared" ref="AM125" si="294">+AM124/AM123</f>
        <v>0.91359474671669794</v>
      </c>
      <c r="AN125" s="4680"/>
      <c r="AO125" s="4628">
        <f t="shared" ref="AO125" si="295">+AO124/AO123</f>
        <v>0.89793822946262503</v>
      </c>
      <c r="AP125" s="4626"/>
      <c r="AQ125" s="4630">
        <f t="shared" ref="AQ125" si="296">+AQ124/AQ123</f>
        <v>0.89932171505139447</v>
      </c>
      <c r="AR125" s="4626"/>
      <c r="AS125" s="4626">
        <f t="shared" ref="AS125" si="297">+AS124/AS123</f>
        <v>0.919236936572144</v>
      </c>
      <c r="AT125" s="4626"/>
      <c r="AU125" s="4630">
        <f t="shared" ref="AU125" si="298">+AU124/AU123</f>
        <v>0.90198909470945521</v>
      </c>
      <c r="AV125" s="4626"/>
      <c r="AW125" s="4626">
        <f t="shared" ref="AW125" si="299">+AW124/AW123</f>
        <v>0.91357918849044206</v>
      </c>
      <c r="AX125" s="4626"/>
      <c r="AY125" s="4630">
        <f t="shared" ref="AY125" si="300">+AY124/AY123</f>
        <v>0.90324989177176174</v>
      </c>
      <c r="AZ125" s="4626"/>
      <c r="BA125" s="4626">
        <f t="shared" ref="BA125" si="301">+BA124/BA123</f>
        <v>0.91815341895175284</v>
      </c>
      <c r="BB125" s="4680"/>
      <c r="BC125" s="4628">
        <f t="shared" ref="BC125" si="302">+BC124/BC123</f>
        <v>0.91706128986905888</v>
      </c>
      <c r="BD125" s="4626"/>
      <c r="BE125" s="4629">
        <f t="shared" ref="BE125" si="303">+BE124/BE123</f>
        <v>0.91028241464567339</v>
      </c>
      <c r="BF125" s="4626"/>
      <c r="BG125" s="4630">
        <f t="shared" ref="BG125" si="304">+BG124/BG123</f>
        <v>0.90471525434095679</v>
      </c>
      <c r="BH125" s="26"/>
      <c r="BI125" s="26"/>
    </row>
    <row r="126" spans="1:61" ht="18.75" customHeight="1" thickBot="1" x14ac:dyDescent="0.3">
      <c r="C126" s="6196"/>
      <c r="D126" s="4619" t="s">
        <v>1513</v>
      </c>
      <c r="E126" s="4619"/>
      <c r="F126" s="4620"/>
      <c r="G126" s="4621">
        <f>+G123-G124</f>
        <v>4848</v>
      </c>
      <c r="H126" s="4621"/>
      <c r="I126" s="4621">
        <f>+I123-I124</f>
        <v>6915.5999999999985</v>
      </c>
      <c r="J126" s="4621"/>
      <c r="K126" s="4622">
        <f t="shared" ref="K126:K130" si="305">+G126+I126</f>
        <v>11763.599999999999</v>
      </c>
      <c r="L126" s="4621"/>
      <c r="M126" s="4621">
        <f>+M123-M124</f>
        <v>4928</v>
      </c>
      <c r="N126" s="4621"/>
      <c r="O126" s="4623">
        <f t="shared" ref="O126:O130" si="306">+G126+I126+M126</f>
        <v>16691.599999999999</v>
      </c>
      <c r="P126" s="4621"/>
      <c r="Q126" s="4621">
        <f t="shared" ref="Q126:AE126" si="307">+Q123-Q124</f>
        <v>4140</v>
      </c>
      <c r="R126" s="4621"/>
      <c r="S126" s="4622">
        <f t="shared" ref="S126:S130" si="308">O126+Q126</f>
        <v>20831.599999999999</v>
      </c>
      <c r="T126" s="4621"/>
      <c r="U126" s="4621">
        <f t="shared" si="307"/>
        <v>5532.8039999999964</v>
      </c>
      <c r="V126" s="4621"/>
      <c r="W126" s="4622">
        <f t="shared" ref="W126:W130" si="309">S126+U126</f>
        <v>26364.403999999995</v>
      </c>
      <c r="X126" s="4621"/>
      <c r="Y126" s="4621">
        <f t="shared" ref="Y126" si="310">+Y123-Y124</f>
        <v>4711</v>
      </c>
      <c r="Z126" s="4621"/>
      <c r="AA126" s="4623">
        <f t="shared" si="280"/>
        <v>14383.803999999996</v>
      </c>
      <c r="AB126" s="4621"/>
      <c r="AC126" s="4624">
        <f t="shared" ref="AC126:AC130" si="311">O126+AA126</f>
        <v>31075.403999999995</v>
      </c>
      <c r="AD126" s="4621"/>
      <c r="AE126" s="4621">
        <f t="shared" si="307"/>
        <v>4247.8019999999997</v>
      </c>
      <c r="AF126" s="4621"/>
      <c r="AG126" s="4622">
        <f t="shared" ref="AG126:AG130" si="312">+AC126+AE126</f>
        <v>35323.205999999991</v>
      </c>
      <c r="AH126" s="4621"/>
      <c r="AI126" s="4621">
        <f t="shared" ref="AI126" si="313">+AI123-AI124</f>
        <v>166</v>
      </c>
      <c r="AJ126" s="4621"/>
      <c r="AK126" s="4625">
        <f t="shared" ref="AK126:AK130" si="314">+AG126+AI126</f>
        <v>35489.205999999991</v>
      </c>
      <c r="AL126" s="4621"/>
      <c r="AM126" s="4621">
        <f t="shared" ref="AM126" si="315">+AM123-AM124</f>
        <v>5572.5339999999997</v>
      </c>
      <c r="AN126" s="4679"/>
      <c r="AO126" s="4623">
        <f t="shared" si="284"/>
        <v>9986.3359999999993</v>
      </c>
      <c r="AP126" s="4621"/>
      <c r="AQ126" s="4625">
        <f t="shared" ref="AQ126:AQ130" si="316">+AK126+AM126</f>
        <v>41061.739999999991</v>
      </c>
      <c r="AR126" s="4621"/>
      <c r="AS126" s="4621">
        <f t="shared" ref="AS126" si="317">+AS123-AS124</f>
        <v>5094.0640000000058</v>
      </c>
      <c r="AT126" s="4621"/>
      <c r="AU126" s="4625">
        <f t="shared" ref="AU126:AU130" si="318">+AQ126+AS126</f>
        <v>46155.803999999996</v>
      </c>
      <c r="AV126" s="4621"/>
      <c r="AW126" s="4621">
        <f t="shared" ref="AW126" si="319">+AW123-AW124</f>
        <v>4967.5780000000013</v>
      </c>
      <c r="AX126" s="4621"/>
      <c r="AY126" s="4625">
        <f t="shared" ref="AY126:AY130" si="320">+AU126+AW126</f>
        <v>51123.381999999998</v>
      </c>
      <c r="AZ126" s="4621"/>
      <c r="BA126" s="4621">
        <f t="shared" ref="BA126" si="321">+BA123-BA124</f>
        <v>4716</v>
      </c>
      <c r="BB126" s="4679"/>
      <c r="BC126" s="4623">
        <f t="shared" ref="BC126:BC130" si="322">AS126+AW126+BA126</f>
        <v>14777.642000000007</v>
      </c>
      <c r="BD126" s="4621"/>
      <c r="BE126" s="4617">
        <f t="shared" ref="BE126:BE130" si="323">AO126+BC126</f>
        <v>24763.978000000006</v>
      </c>
      <c r="BF126" s="4621"/>
      <c r="BG126" s="4625">
        <f t="shared" ref="BG126:BG130" si="324">+AY126+BA126</f>
        <v>55839.381999999998</v>
      </c>
      <c r="BH126" s="26"/>
      <c r="BI126" s="26"/>
    </row>
    <row r="127" spans="1:61" ht="15" customHeight="1" thickBot="1" x14ac:dyDescent="0.3">
      <c r="A127" s="1274"/>
      <c r="B127" s="2711"/>
      <c r="C127" s="6196"/>
      <c r="D127" s="4631" t="str">
        <f>+'GRD SUMM RCL 150X150 '!E54</f>
        <v>BLOOM CB C25 HMN 150*150</v>
      </c>
      <c r="E127" s="4631"/>
      <c r="F127" s="4632"/>
      <c r="G127" s="4633">
        <f>+SUMIF('GRD SUMM RCL 150X150 '!$E$6:$E$55,$D127,'GRD SUMM RCL 150X150 '!AU$6:AU$55)</f>
        <v>1670</v>
      </c>
      <c r="H127" s="4633">
        <f>+SUMIF('GRD SUMM RCL 150X150 '!$E$6:$E$55,$D127,'GRD SUMM RCL 150X150 '!AV$6:AV$55)</f>
        <v>0</v>
      </c>
      <c r="I127" s="4633">
        <f>+SUMIF('GRD SUMM RCL 150X150 '!$E$6:$E$55,$D127,'GRD SUMM RCL 150X150 '!AW$6:AW$55)</f>
        <v>3414</v>
      </c>
      <c r="J127" s="4633">
        <f>+SUMIF('GRD SUMM RCL 150X150 '!$E$6:$E$55,$D127,'GRD SUMM RCL 150X150 '!AX$6:AX$55)</f>
        <v>0</v>
      </c>
      <c r="K127" s="4622">
        <f t="shared" si="305"/>
        <v>5084</v>
      </c>
      <c r="L127" s="4633">
        <f>+SUMIF('GRD SUMM RCL 150X150 '!$E$6:$E$55,$D127,'GRD SUMM RCL 150X150 '!AZ$6:AZ$55)</f>
        <v>0</v>
      </c>
      <c r="M127" s="4633">
        <f>+SUMIF('GRD SUMM RCL 150X150 '!$E$6:$E$55,$D127,'GRD SUMM RCL 150X150 '!BA$6:BA$55)</f>
        <v>2771</v>
      </c>
      <c r="N127" s="4633"/>
      <c r="O127" s="4623">
        <f t="shared" si="306"/>
        <v>7855</v>
      </c>
      <c r="P127" s="4633"/>
      <c r="Q127" s="4633">
        <f>+SUMIF('GRD SUMM RCL 150X150 '!$E$6:$E$55,$D127,'GRD SUMM RCL 150X150 '!BE$6:BE$55)</f>
        <v>2319</v>
      </c>
      <c r="R127" s="4633">
        <f>+SUMIF('GRD SUMM RCL 150X150 '!$E$6:$E$55,$D127,'GRD SUMM RCL 150X150 '!BF$6:BF$55)</f>
        <v>0</v>
      </c>
      <c r="S127" s="4622">
        <f t="shared" si="308"/>
        <v>10174</v>
      </c>
      <c r="T127" s="4633">
        <f>+SUMIF('GRD SUMM RCL 150X150 '!$E$6:$E$55,$D127,'GRD SUMM RCL 150X150 '!BH$6:BH$55)</f>
        <v>0</v>
      </c>
      <c r="U127" s="4633">
        <f>+SUMIF('GRD SUMM RCL 150X150 '!$E$6:$E$55,$D127,'GRD SUMM RCL 150X150 '!BI$6:BI$55)</f>
        <v>3579.002</v>
      </c>
      <c r="V127" s="4633">
        <f>+SUMIF('GRD SUMM RCL 150X150 '!$E$6:$E$55,$D127,'GRD SUMM RCL 150X150 '!BJ$6:BJ$55)</f>
        <v>0</v>
      </c>
      <c r="W127" s="4622">
        <f t="shared" si="309"/>
        <v>13753.002</v>
      </c>
      <c r="X127" s="4633">
        <f>+SUMIF('GRD SUMM RCL 150X150 '!$E$6:$E$55,$D127,'GRD SUMM RCL 150X150 '!BL$6:BL$55)</f>
        <v>0</v>
      </c>
      <c r="Y127" s="4633">
        <f>+SUMIF('GRD SUMM RCL 150X150 '!$E$6:$E$55,$D127,'GRD SUMM RCL 150X150 '!BM$6:BM$55)</f>
        <v>1932</v>
      </c>
      <c r="Z127" s="4633"/>
      <c r="AA127" s="4623">
        <f t="shared" si="280"/>
        <v>7830.0020000000004</v>
      </c>
      <c r="AB127" s="4633"/>
      <c r="AC127" s="4624">
        <f t="shared" si="311"/>
        <v>15685.002</v>
      </c>
      <c r="AD127" s="4633"/>
      <c r="AE127" s="4633">
        <f>+SUMIF('GRD SUMM RCL 150X150 '!$E$6:$E$55,$D127,'GRD SUMM RCL 150X150 '!BS$6:BS$55)</f>
        <v>0</v>
      </c>
      <c r="AF127" s="4633">
        <f>+SUMIF('GRD SUMM RCL 150X150 '!$E$6:$E$55,$D127,'GRD SUMM RCL 150X150 '!BT$6:BT$55)</f>
        <v>0</v>
      </c>
      <c r="AG127" s="4622">
        <f t="shared" si="312"/>
        <v>15685.002</v>
      </c>
      <c r="AH127" s="4633">
        <f>+SUMIF('GRD SUMM RCL 150X150 '!$E$6:$E$55,$D127,'GRD SUMM RCL 150X150 '!BV$6:BV$55)</f>
        <v>0</v>
      </c>
      <c r="AI127" s="4633">
        <f>+SUMIF('GRD SUMM RCL 150X150 '!$E$6:$E$55,$D127,'GRD SUMM RCL 150X150 '!BW$6:BW$55)</f>
        <v>0</v>
      </c>
      <c r="AJ127" s="4633"/>
      <c r="AK127" s="4625">
        <f t="shared" si="314"/>
        <v>15685.002</v>
      </c>
      <c r="AL127" s="4633">
        <f>+SUMIF('GRD SUMM RCL 150X150 '!$E$6:$E$55,$D127,'GRD SUMM RCL 150X150 '!BZ$6:BZ$55)</f>
        <v>0</v>
      </c>
      <c r="AM127" s="4633">
        <f>+SUMIF('GRD SUMM RCL 150X150 '!$E$6:$E$55,$D127,'GRD SUMM RCL 150X150 '!CA$6:CA$55)</f>
        <v>0</v>
      </c>
      <c r="AN127" s="4681"/>
      <c r="AO127" s="4623">
        <f t="shared" si="284"/>
        <v>0</v>
      </c>
      <c r="AP127" s="4633"/>
      <c r="AQ127" s="4625">
        <f t="shared" si="316"/>
        <v>15685.002</v>
      </c>
      <c r="AR127" s="4633">
        <f>+SUMIF('GRD SUMM RCL 150X150 '!$E$6:$E$55,$D127,'GRD SUMM RCL 150X150 '!CF$6:CF$55)</f>
        <v>0</v>
      </c>
      <c r="AS127" s="4633">
        <f>+SUMIF('GRD SUMM RCL 150X150 '!$E$6:$E$55,$D127,'GRD SUMM RCL 150X150 '!CG$6:CG$55)</f>
        <v>0</v>
      </c>
      <c r="AT127" s="4633"/>
      <c r="AU127" s="4625">
        <f t="shared" si="318"/>
        <v>15685.002</v>
      </c>
      <c r="AV127" s="4633">
        <f>+SUMIF('GRD SUMM RCL 150X150 '!$E$6:$E$55,$D127,'GRD SUMM RCL 150X150 '!CJ$6:CJ$55)</f>
        <v>0</v>
      </c>
      <c r="AW127" s="4633">
        <f>+SUMIF('GRD SUMM RCL 150X150 '!$E$6:$E$55,$D127,'GRD SUMM RCL 150X150 '!CK$6:CK$55)</f>
        <v>0</v>
      </c>
      <c r="AX127" s="4633"/>
      <c r="AY127" s="4625">
        <f t="shared" si="320"/>
        <v>15685.002</v>
      </c>
      <c r="AZ127" s="4633">
        <f>+SUMIF('GRD SUMM RCL 150X150 '!$E$6:$E$55,$D127,'GRD SUMM RCL 150X150 '!CN$6:CN$55)</f>
        <v>0</v>
      </c>
      <c r="BA127" s="4633">
        <f>+SUMIF('GRD SUMM RCL 150X150 '!$E$6:$E$55,$D127,'GRD SUMM RCL 150X150 '!CO$6:CO$55)</f>
        <v>0</v>
      </c>
      <c r="BB127" s="4681"/>
      <c r="BC127" s="4623">
        <f t="shared" si="322"/>
        <v>0</v>
      </c>
      <c r="BD127" s="4633"/>
      <c r="BE127" s="4617">
        <f t="shared" si="323"/>
        <v>0</v>
      </c>
      <c r="BF127" s="4633"/>
      <c r="BG127" s="4625">
        <f t="shared" si="324"/>
        <v>15685.002</v>
      </c>
      <c r="BH127" s="26"/>
      <c r="BI127" s="26"/>
    </row>
    <row r="128" spans="1:61" ht="15" customHeight="1" thickBot="1" x14ac:dyDescent="0.3">
      <c r="A128" s="1274"/>
      <c r="B128" s="1274"/>
      <c r="C128" s="6196"/>
      <c r="D128" s="4631" t="str">
        <f>+'GRD SUMM RCL 150X150 '!E55</f>
        <v>ASSORTED BILLET (CCP)150*150</v>
      </c>
      <c r="E128" s="4631"/>
      <c r="F128" s="4632"/>
      <c r="G128" s="4633">
        <f>+SUMIF('GRD SUMM RCL 150X150 '!$E$6:$E$55,$D128,'GRD SUMM RCL 150X150 '!AU$6:AU$55)</f>
        <v>3034</v>
      </c>
      <c r="H128" s="4633">
        <f>+SUMIF('GRD SUMM RCL 150X150 '!$E$6:$E$55,$D128,'GRD SUMM RCL 150X150 '!AV$6:AV$55)</f>
        <v>0</v>
      </c>
      <c r="I128" s="4633">
        <f>+SUMIF('GRD SUMM RCL 150X150 '!$E$6:$E$55,$D128,'GRD SUMM RCL 150X150 '!AW$6:AW$55)</f>
        <v>3348</v>
      </c>
      <c r="J128" s="4633">
        <f>+SUMIF('GRD SUMM RCL 150X150 '!$E$6:$E$55,$D128,'GRD SUMM RCL 150X150 '!AX$6:AX$55)</f>
        <v>0</v>
      </c>
      <c r="K128" s="4622">
        <f t="shared" si="305"/>
        <v>6382</v>
      </c>
      <c r="L128" s="4633">
        <f>+SUMIF('GRD SUMM RCL 150X150 '!$E$6:$E$55,$D128,'GRD SUMM RCL 150X150 '!AZ$6:AZ$55)</f>
        <v>0</v>
      </c>
      <c r="M128" s="4633">
        <f>+SUMIF('GRD SUMM RCL 150X150 '!$E$6:$E$55,$D128,'GRD SUMM RCL 150X150 '!BA$6:BA$55)</f>
        <v>2101</v>
      </c>
      <c r="N128" s="4633"/>
      <c r="O128" s="4623">
        <f t="shared" si="306"/>
        <v>8483</v>
      </c>
      <c r="P128" s="4633"/>
      <c r="Q128" s="4633">
        <f>+SUMIF('GRD SUMM RCL 150X150 '!$E$6:$E$55,$D128,'GRD SUMM RCL 150X150 '!BE$6:BE$55)</f>
        <v>1795</v>
      </c>
      <c r="R128" s="4633">
        <f>+SUMIF('GRD SUMM RCL 150X150 '!$E$6:$E$55,$D128,'GRD SUMM RCL 150X150 '!BF$6:BF$55)</f>
        <v>0</v>
      </c>
      <c r="S128" s="4622">
        <f t="shared" si="308"/>
        <v>10278</v>
      </c>
      <c r="T128" s="4633">
        <f>+SUMIF('GRD SUMM RCL 150X150 '!$E$6:$E$55,$D128,'GRD SUMM RCL 150X150 '!BH$6:BH$55)</f>
        <v>0</v>
      </c>
      <c r="U128" s="4633">
        <f>+SUMIF('GRD SUMM RCL 150X150 '!$E$6:$E$55,$D128,'GRD SUMM RCL 150X150 '!BI$6:BI$55)</f>
        <v>1887.8020000000001</v>
      </c>
      <c r="V128" s="4633">
        <f>+SUMIF('GRD SUMM RCL 150X150 '!$E$6:$E$55,$D128,'GRD SUMM RCL 150X150 '!BJ$6:BJ$55)</f>
        <v>0</v>
      </c>
      <c r="W128" s="4622">
        <f t="shared" si="309"/>
        <v>12165.802</v>
      </c>
      <c r="X128" s="4633">
        <f>+SUMIF('GRD SUMM RCL 150X150 '!$E$6:$E$55,$D128,'GRD SUMM RCL 150X150 '!BL$6:BL$55)</f>
        <v>0</v>
      </c>
      <c r="Y128" s="4633">
        <f>+SUMIF('GRD SUMM RCL 150X150 '!$E$6:$E$55,$D128,'GRD SUMM RCL 150X150 '!BM$6:BM$55)</f>
        <v>2519</v>
      </c>
      <c r="Z128" s="4633"/>
      <c r="AA128" s="4623">
        <f t="shared" si="280"/>
        <v>6201.8019999999997</v>
      </c>
      <c r="AB128" s="4633"/>
      <c r="AC128" s="4624">
        <f t="shared" si="311"/>
        <v>14684.802</v>
      </c>
      <c r="AD128" s="4633"/>
      <c r="AE128" s="4633">
        <f>+SUMIF('GRD SUMM RCL 150X150 '!$E$6:$E$55,$D128,'GRD SUMM RCL 150X150 '!BS$6:BS$55)</f>
        <v>0</v>
      </c>
      <c r="AF128" s="4633">
        <f>+SUMIF('GRD SUMM RCL 150X150 '!$E$6:$E$55,$D128,'GRD SUMM RCL 150X150 '!BT$6:BT$55)</f>
        <v>0</v>
      </c>
      <c r="AG128" s="4622">
        <f t="shared" si="312"/>
        <v>14684.802</v>
      </c>
      <c r="AH128" s="4633">
        <f>+SUMIF('GRD SUMM RCL 150X150 '!$E$6:$E$55,$D128,'GRD SUMM RCL 150X150 '!BV$6:BV$55)</f>
        <v>0</v>
      </c>
      <c r="AI128" s="4633">
        <f>+SUMIF('GRD SUMM RCL 150X150 '!$E$6:$E$55,$D128,'GRD SUMM RCL 150X150 '!BW$6:BW$55)</f>
        <v>0</v>
      </c>
      <c r="AJ128" s="4633"/>
      <c r="AK128" s="4625">
        <f t="shared" si="314"/>
        <v>14684.802</v>
      </c>
      <c r="AL128" s="4633">
        <f>+SUMIF('GRD SUMM RCL 150X150 '!$E$6:$E$55,$D128,'GRD SUMM RCL 150X150 '!BZ$6:BZ$55)</f>
        <v>0</v>
      </c>
      <c r="AM128" s="4633">
        <f>+SUMIF('GRD SUMM RCL 150X150 '!$E$6:$E$55,$D128,'GRD SUMM RCL 150X150 '!CA$6:CA$55)</f>
        <v>0</v>
      </c>
      <c r="AN128" s="4681"/>
      <c r="AO128" s="4623">
        <f t="shared" si="284"/>
        <v>0</v>
      </c>
      <c r="AP128" s="4633"/>
      <c r="AQ128" s="4625">
        <f t="shared" si="316"/>
        <v>14684.802</v>
      </c>
      <c r="AR128" s="4633">
        <f>+SUMIF('GRD SUMM RCL 150X150 '!$E$6:$E$55,$D128,'GRD SUMM RCL 150X150 '!CF$6:CF$55)</f>
        <v>0</v>
      </c>
      <c r="AS128" s="4633">
        <f>+SUMIF('GRD SUMM RCL 150X150 '!$E$6:$E$55,$D128,'GRD SUMM RCL 150X150 '!CG$6:CG$55)</f>
        <v>0</v>
      </c>
      <c r="AT128" s="4633"/>
      <c r="AU128" s="4625">
        <f t="shared" si="318"/>
        <v>14684.802</v>
      </c>
      <c r="AV128" s="4633">
        <f>+SUMIF('GRD SUMM RCL 150X150 '!$E$6:$E$55,$D128,'GRD SUMM RCL 150X150 '!CJ$6:CJ$55)</f>
        <v>0</v>
      </c>
      <c r="AW128" s="4633">
        <f>+SUMIF('GRD SUMM RCL 150X150 '!$E$6:$E$55,$D128,'GRD SUMM RCL 150X150 '!CK$6:CK$55)</f>
        <v>0</v>
      </c>
      <c r="AX128" s="4633"/>
      <c r="AY128" s="4625">
        <f t="shared" si="320"/>
        <v>14684.802</v>
      </c>
      <c r="AZ128" s="4633">
        <f>+SUMIF('GRD SUMM RCL 150X150 '!$E$6:$E$55,$D128,'GRD SUMM RCL 150X150 '!CN$6:CN$55)</f>
        <v>0</v>
      </c>
      <c r="BA128" s="4633">
        <f>+SUMIF('GRD SUMM RCL 150X150 '!$E$6:$E$55,$D128,'GRD SUMM RCL 150X150 '!CO$6:CO$55)</f>
        <v>0</v>
      </c>
      <c r="BB128" s="4681"/>
      <c r="BC128" s="4623">
        <f t="shared" si="322"/>
        <v>0</v>
      </c>
      <c r="BD128" s="4633"/>
      <c r="BE128" s="4617">
        <f t="shared" si="323"/>
        <v>0</v>
      </c>
      <c r="BF128" s="4633"/>
      <c r="BG128" s="4625">
        <f t="shared" si="324"/>
        <v>14684.802</v>
      </c>
      <c r="BH128" s="26"/>
      <c r="BI128" s="26"/>
    </row>
    <row r="129" spans="1:61" ht="15" customHeight="1" thickBot="1" x14ac:dyDescent="0.3">
      <c r="C129" s="6196"/>
      <c r="D129" s="4634" t="s">
        <v>1516</v>
      </c>
      <c r="E129" s="4634"/>
      <c r="F129" s="4620"/>
      <c r="G129" s="4633">
        <f>+SMS!F36</f>
        <v>144</v>
      </c>
      <c r="H129" s="4633">
        <f>+SUMIF('GRD SUMM RCL 150X150 '!$E$6:$E$55,$D129,'GRD SUMM RCL 150X150 '!AV$6:AV$55)</f>
        <v>0</v>
      </c>
      <c r="I129" s="4633">
        <f>+SMS!H36</f>
        <v>154</v>
      </c>
      <c r="J129" s="4633">
        <f>+SUMIF('GRD SUMM RCL 150X150 '!$E$6:$E$55,$D129,'GRD SUMM RCL 150X150 '!AX$6:AX$55)</f>
        <v>0</v>
      </c>
      <c r="K129" s="4622">
        <f t="shared" si="305"/>
        <v>298</v>
      </c>
      <c r="L129" s="4633">
        <f>+SUMIF('GRD SUMM RCL 150X150 '!$E$6:$E$55,$D129,'GRD SUMM RCL 150X150 '!AZ$6:AZ$55)</f>
        <v>0</v>
      </c>
      <c r="M129" s="4633">
        <f>+SMS!L36</f>
        <v>56</v>
      </c>
      <c r="N129" s="4621"/>
      <c r="O129" s="4623">
        <f t="shared" si="306"/>
        <v>354</v>
      </c>
      <c r="P129" s="4621"/>
      <c r="Q129" s="4633">
        <f>+SMS!P36</f>
        <v>26</v>
      </c>
      <c r="R129" s="4633">
        <f>+SUMIF('GRD SUMM RCL 150X150 '!$E$6:$E$55,$D129,'GRD SUMM RCL 150X150 '!BF$6:BF$55)</f>
        <v>0</v>
      </c>
      <c r="S129" s="4622">
        <f t="shared" si="308"/>
        <v>380</v>
      </c>
      <c r="T129" s="4633">
        <f>+SUMIF('GRD SUMM RCL 150X150 '!$E$6:$E$55,$D129,'GRD SUMM RCL 150X150 '!BH$6:BH$55)</f>
        <v>0</v>
      </c>
      <c r="U129" s="4633">
        <f>+SMS!T36</f>
        <v>66</v>
      </c>
      <c r="V129" s="4633">
        <f>+SUMIF('GRD SUMM RCL 150X150 '!$E$6:$E$55,$D129,'GRD SUMM RCL 150X150 '!BJ$6:BJ$55)</f>
        <v>0</v>
      </c>
      <c r="W129" s="4622">
        <f t="shared" si="309"/>
        <v>446</v>
      </c>
      <c r="X129" s="4633">
        <f>+SUMIF('GRD SUMM RCL 150X150 '!$E$6:$E$55,$D129,'GRD SUMM RCL 150X150 '!BL$6:BL$55)</f>
        <v>0</v>
      </c>
      <c r="Y129" s="4633">
        <f>+SMS!X36</f>
        <v>260</v>
      </c>
      <c r="Z129" s="4621"/>
      <c r="AA129" s="4623">
        <f t="shared" si="280"/>
        <v>352</v>
      </c>
      <c r="AB129" s="4621"/>
      <c r="AC129" s="4624">
        <f t="shared" si="311"/>
        <v>706</v>
      </c>
      <c r="AD129" s="4621"/>
      <c r="AE129" s="4633">
        <f>+SMS!AD36</f>
        <v>246</v>
      </c>
      <c r="AF129" s="4633">
        <f>+SUMIF('GRD SUMM RCL 150X150 '!$E$6:$E$55,$D129,'GRD SUMM RCL 150X150 '!BT$6:BT$55)</f>
        <v>0</v>
      </c>
      <c r="AG129" s="4622">
        <f t="shared" si="312"/>
        <v>952</v>
      </c>
      <c r="AH129" s="4633">
        <f>+SUMIF('GRD SUMM RCL 150X150 '!$E$6:$E$55,$D129,'GRD SUMM RCL 150X150 '!BV$6:BV$55)</f>
        <v>0</v>
      </c>
      <c r="AI129" s="4633">
        <f>+SMS!AH36</f>
        <v>18</v>
      </c>
      <c r="AJ129" s="4621"/>
      <c r="AK129" s="4625">
        <f t="shared" si="314"/>
        <v>970</v>
      </c>
      <c r="AL129" s="4633">
        <f>+SUMIF('GRD SUMM RCL 150X150 '!$E$6:$E$55,$D129,'GRD SUMM RCL 150X150 '!BZ$6:BZ$55)</f>
        <v>0</v>
      </c>
      <c r="AM129" s="4633">
        <f>+SMS!AL36</f>
        <v>455</v>
      </c>
      <c r="AN129" s="4681"/>
      <c r="AO129" s="4623">
        <f t="shared" si="284"/>
        <v>719</v>
      </c>
      <c r="AP129" s="4621"/>
      <c r="AQ129" s="4625">
        <f t="shared" si="316"/>
        <v>1425</v>
      </c>
      <c r="AR129" s="4633">
        <f>+SUMIF('GRD SUMM RCL 150X150 '!$E$6:$E$55,$D129,'GRD SUMM RCL 150X150 '!CF$6:CF$55)</f>
        <v>0</v>
      </c>
      <c r="AS129" s="4633">
        <f>+SMS!AR36</f>
        <v>494</v>
      </c>
      <c r="AT129" s="4621"/>
      <c r="AU129" s="4625">
        <f t="shared" si="318"/>
        <v>1919</v>
      </c>
      <c r="AV129" s="4633">
        <f>+SUMIF('GRD SUMM RCL 150X150 '!$E$6:$E$55,$D129,'GRD SUMM RCL 150X150 '!CJ$6:CJ$55)</f>
        <v>0</v>
      </c>
      <c r="AW129" s="4633">
        <f>+SMS!AV36</f>
        <v>154</v>
      </c>
      <c r="AX129" s="4621"/>
      <c r="AY129" s="4625">
        <f t="shared" si="320"/>
        <v>2073</v>
      </c>
      <c r="AZ129" s="4633">
        <f>+SUMIF('GRD SUMM RCL 150X150 '!$E$6:$E$55,$D129,'GRD SUMM RCL 150X150 '!CN$6:CN$55)</f>
        <v>0</v>
      </c>
      <c r="BA129" s="4633">
        <f>+SMS!AZ36</f>
        <v>0</v>
      </c>
      <c r="BB129" s="4681"/>
      <c r="BC129" s="4623">
        <f t="shared" si="322"/>
        <v>648</v>
      </c>
      <c r="BD129" s="4621"/>
      <c r="BE129" s="4617">
        <f t="shared" si="323"/>
        <v>1367</v>
      </c>
      <c r="BF129" s="4621"/>
      <c r="BG129" s="4625">
        <f t="shared" si="324"/>
        <v>2073</v>
      </c>
      <c r="BH129" s="26"/>
      <c r="BI129" s="26"/>
    </row>
    <row r="130" spans="1:61" ht="15.75" customHeight="1" thickBot="1" x14ac:dyDescent="0.3">
      <c r="C130" s="6197"/>
      <c r="D130" s="4599" t="s">
        <v>21</v>
      </c>
      <c r="E130" s="4599"/>
      <c r="F130" s="4594"/>
      <c r="G130" s="4600">
        <f>SUM(G127:G129)</f>
        <v>4848</v>
      </c>
      <c r="H130" s="4600"/>
      <c r="I130" s="4600">
        <f>SUM(I127:I129)</f>
        <v>6916</v>
      </c>
      <c r="J130" s="4600"/>
      <c r="K130" s="4635">
        <f t="shared" si="305"/>
        <v>11764</v>
      </c>
      <c r="L130" s="4600"/>
      <c r="M130" s="4600">
        <f>SUM(M127:M129)</f>
        <v>4928</v>
      </c>
      <c r="N130" s="4600"/>
      <c r="O130" s="4636">
        <f t="shared" si="306"/>
        <v>16692</v>
      </c>
      <c r="P130" s="4600"/>
      <c r="Q130" s="4600">
        <f>SUM(Q127:Q129)</f>
        <v>4140</v>
      </c>
      <c r="R130" s="4600"/>
      <c r="S130" s="4635">
        <f t="shared" si="308"/>
        <v>20832</v>
      </c>
      <c r="T130" s="4600"/>
      <c r="U130" s="4600">
        <f>SUM(U127:U129)</f>
        <v>5532.8040000000001</v>
      </c>
      <c r="V130" s="4600"/>
      <c r="W130" s="4635">
        <f t="shared" si="309"/>
        <v>26364.804</v>
      </c>
      <c r="X130" s="4600"/>
      <c r="Y130" s="4600">
        <f>SUM(Y127:Y129)</f>
        <v>4711</v>
      </c>
      <c r="Z130" s="4600"/>
      <c r="AA130" s="4636">
        <f t="shared" si="280"/>
        <v>14383.804</v>
      </c>
      <c r="AB130" s="4600"/>
      <c r="AC130" s="4637">
        <f t="shared" si="311"/>
        <v>31075.804</v>
      </c>
      <c r="AD130" s="4600"/>
      <c r="AE130" s="4600">
        <f>SUM(AE127:AE129)</f>
        <v>246</v>
      </c>
      <c r="AF130" s="4600"/>
      <c r="AG130" s="4635">
        <f t="shared" si="312"/>
        <v>31321.804</v>
      </c>
      <c r="AH130" s="4600"/>
      <c r="AI130" s="4600">
        <f>SUM(AI127:AI129)</f>
        <v>18</v>
      </c>
      <c r="AJ130" s="4600"/>
      <c r="AK130" s="4638">
        <f t="shared" si="314"/>
        <v>31339.804</v>
      </c>
      <c r="AL130" s="4600"/>
      <c r="AM130" s="4600">
        <f>SUM(AM127:AM129)</f>
        <v>455</v>
      </c>
      <c r="AN130" s="4600"/>
      <c r="AO130" s="4636">
        <f t="shared" si="284"/>
        <v>719</v>
      </c>
      <c r="AP130" s="4600"/>
      <c r="AQ130" s="4638">
        <f t="shared" si="316"/>
        <v>31794.804</v>
      </c>
      <c r="AR130" s="4600"/>
      <c r="AS130" s="4600">
        <f>SUM(AS127:AS129)</f>
        <v>494</v>
      </c>
      <c r="AT130" s="4600"/>
      <c r="AU130" s="4638">
        <f t="shared" si="318"/>
        <v>32288.804</v>
      </c>
      <c r="AV130" s="4600"/>
      <c r="AW130" s="4600">
        <f>SUM(AW127:AW129)</f>
        <v>154</v>
      </c>
      <c r="AX130" s="4600"/>
      <c r="AY130" s="4638">
        <f t="shared" si="320"/>
        <v>32442.804</v>
      </c>
      <c r="AZ130" s="4600"/>
      <c r="BA130" s="4600">
        <f>SUM(BA127:BA129)</f>
        <v>0</v>
      </c>
      <c r="BB130" s="4600"/>
      <c r="BC130" s="4636">
        <f t="shared" si="322"/>
        <v>648</v>
      </c>
      <c r="BD130" s="4600"/>
      <c r="BE130" s="4617">
        <f t="shared" si="323"/>
        <v>1367</v>
      </c>
      <c r="BF130" s="4600"/>
      <c r="BG130" s="4638">
        <f t="shared" si="324"/>
        <v>32442.804</v>
      </c>
      <c r="BH130" s="26"/>
      <c r="BI130" s="26"/>
    </row>
    <row r="131" spans="1:61" ht="15.75" customHeight="1" thickBot="1" x14ac:dyDescent="0.3">
      <c r="C131" s="4643"/>
      <c r="D131" s="4644" t="s">
        <v>1508</v>
      </c>
      <c r="E131" s="4645"/>
      <c r="F131" s="4645"/>
      <c r="G131" s="4646">
        <f t="shared" ref="G131:AM131" si="325">+G126-G130</f>
        <v>0</v>
      </c>
      <c r="H131" s="4646">
        <f t="shared" si="325"/>
        <v>0</v>
      </c>
      <c r="I131" s="4646">
        <f t="shared" si="325"/>
        <v>-0.40000000000145519</v>
      </c>
      <c r="J131" s="4646">
        <f t="shared" si="325"/>
        <v>0</v>
      </c>
      <c r="K131" s="4646">
        <f t="shared" si="325"/>
        <v>-0.40000000000145519</v>
      </c>
      <c r="L131" s="4646">
        <f t="shared" si="325"/>
        <v>0</v>
      </c>
      <c r="M131" s="4646">
        <f t="shared" si="325"/>
        <v>0</v>
      </c>
      <c r="N131" s="4646">
        <f t="shared" si="325"/>
        <v>0</v>
      </c>
      <c r="O131" s="4646">
        <f t="shared" si="325"/>
        <v>-0.40000000000145519</v>
      </c>
      <c r="P131" s="4646">
        <f t="shared" si="325"/>
        <v>0</v>
      </c>
      <c r="Q131" s="4646">
        <f t="shared" si="325"/>
        <v>0</v>
      </c>
      <c r="R131" s="4646">
        <f t="shared" si="325"/>
        <v>0</v>
      </c>
      <c r="S131" s="4646">
        <f t="shared" si="325"/>
        <v>-0.40000000000145519</v>
      </c>
      <c r="T131" s="4646">
        <f t="shared" si="325"/>
        <v>0</v>
      </c>
      <c r="U131" s="4646">
        <f t="shared" si="325"/>
        <v>0</v>
      </c>
      <c r="V131" s="4646">
        <f t="shared" si="325"/>
        <v>0</v>
      </c>
      <c r="W131" s="4646">
        <f t="shared" si="325"/>
        <v>-0.40000000000509317</v>
      </c>
      <c r="X131" s="4646">
        <f t="shared" si="325"/>
        <v>0</v>
      </c>
      <c r="Y131" s="4646">
        <f t="shared" si="325"/>
        <v>0</v>
      </c>
      <c r="Z131" s="4646">
        <f t="shared" si="325"/>
        <v>0</v>
      </c>
      <c r="AA131" s="4646">
        <f t="shared" si="325"/>
        <v>0</v>
      </c>
      <c r="AB131" s="4646">
        <f t="shared" si="325"/>
        <v>0</v>
      </c>
      <c r="AC131" s="4646">
        <f t="shared" si="325"/>
        <v>-0.40000000000509317</v>
      </c>
      <c r="AD131" s="4646">
        <f t="shared" si="325"/>
        <v>0</v>
      </c>
      <c r="AE131" s="4646">
        <f t="shared" si="325"/>
        <v>4001.8019999999997</v>
      </c>
      <c r="AF131" s="4646">
        <f t="shared" si="325"/>
        <v>0</v>
      </c>
      <c r="AG131" s="4646">
        <f t="shared" si="325"/>
        <v>4001.4019999999909</v>
      </c>
      <c r="AH131" s="4646">
        <f t="shared" si="325"/>
        <v>0</v>
      </c>
      <c r="AI131" s="4646">
        <f t="shared" si="325"/>
        <v>148</v>
      </c>
      <c r="AJ131" s="4646">
        <f t="shared" si="325"/>
        <v>0</v>
      </c>
      <c r="AK131" s="4646">
        <f t="shared" si="325"/>
        <v>4149.4019999999909</v>
      </c>
      <c r="AL131" s="4646">
        <f t="shared" si="325"/>
        <v>0</v>
      </c>
      <c r="AM131" s="4646">
        <f t="shared" si="325"/>
        <v>5117.5339999999997</v>
      </c>
      <c r="AN131" s="4682"/>
      <c r="AO131" s="4646">
        <f t="shared" ref="AO131:BA131" si="326">+AO126-AO130</f>
        <v>9267.3359999999993</v>
      </c>
      <c r="AP131" s="4646">
        <f t="shared" si="326"/>
        <v>0</v>
      </c>
      <c r="AQ131" s="4646">
        <f t="shared" si="326"/>
        <v>9266.9359999999906</v>
      </c>
      <c r="AR131" s="4646">
        <f t="shared" si="326"/>
        <v>0</v>
      </c>
      <c r="AS131" s="4646">
        <f t="shared" si="326"/>
        <v>4600.0640000000058</v>
      </c>
      <c r="AT131" s="4646">
        <f t="shared" si="326"/>
        <v>0</v>
      </c>
      <c r="AU131" s="4646">
        <f t="shared" si="326"/>
        <v>13866.999999999996</v>
      </c>
      <c r="AV131" s="4646">
        <f t="shared" si="326"/>
        <v>0</v>
      </c>
      <c r="AW131" s="4646">
        <f t="shared" si="326"/>
        <v>4813.5780000000013</v>
      </c>
      <c r="AX131" s="4646">
        <f t="shared" si="326"/>
        <v>0</v>
      </c>
      <c r="AY131" s="4646">
        <f t="shared" si="326"/>
        <v>18680.577999999998</v>
      </c>
      <c r="AZ131" s="4646">
        <f t="shared" si="326"/>
        <v>0</v>
      </c>
      <c r="BA131" s="4646">
        <f t="shared" si="326"/>
        <v>4716</v>
      </c>
      <c r="BB131" s="4682"/>
      <c r="BC131" s="4646">
        <f>+BC126-BC130</f>
        <v>14129.642000000007</v>
      </c>
      <c r="BD131" s="4646">
        <f>+BD126-BD130</f>
        <v>0</v>
      </c>
      <c r="BE131" s="4646">
        <f>+BE126-BE130</f>
        <v>23396.978000000006</v>
      </c>
      <c r="BF131" s="4646">
        <f>+BF126-BF130</f>
        <v>0</v>
      </c>
      <c r="BG131" s="4646">
        <f>+BG126-BG130</f>
        <v>23396.577999999998</v>
      </c>
      <c r="BH131" s="26"/>
      <c r="BI131" s="26"/>
    </row>
    <row r="132" spans="1:61" ht="30" customHeight="1" thickBot="1" x14ac:dyDescent="0.3">
      <c r="C132" s="4596"/>
      <c r="D132" s="4604"/>
      <c r="E132" s="4604"/>
      <c r="F132" s="4593"/>
      <c r="G132" s="4605"/>
      <c r="H132" s="4605"/>
      <c r="I132" s="4605"/>
      <c r="J132" s="4605"/>
      <c r="K132" s="4606"/>
      <c r="L132" s="4605"/>
      <c r="M132" s="4605"/>
      <c r="N132" s="4605"/>
      <c r="O132" s="4607"/>
      <c r="P132" s="4605"/>
      <c r="Q132" s="4605"/>
      <c r="R132" s="4605"/>
      <c r="S132" s="4606"/>
      <c r="T132" s="4605"/>
      <c r="U132" s="4605"/>
      <c r="V132" s="4605"/>
      <c r="W132" s="4606"/>
      <c r="X132" s="4605"/>
      <c r="Y132" s="4605"/>
      <c r="Z132" s="4605"/>
      <c r="AA132" s="4607"/>
      <c r="AB132" s="4605"/>
      <c r="AC132" s="4608"/>
      <c r="AD132" s="4605"/>
      <c r="AE132" s="4605"/>
      <c r="AF132" s="4605"/>
      <c r="AG132" s="4606"/>
      <c r="AH132" s="4605"/>
      <c r="AI132" s="4605"/>
      <c r="AJ132" s="4605"/>
      <c r="AK132" s="4606"/>
      <c r="AL132" s="4605"/>
      <c r="AM132" s="4605"/>
      <c r="AN132" s="4605"/>
      <c r="AO132" s="4607"/>
      <c r="AP132" s="4605"/>
      <c r="AQ132" s="4606"/>
      <c r="AR132" s="4605"/>
      <c r="AS132" s="4605"/>
      <c r="AT132" s="4605"/>
      <c r="AU132" s="4606"/>
      <c r="AV132" s="4605"/>
      <c r="AW132" s="4605"/>
      <c r="AX132" s="4605"/>
      <c r="AY132" s="4606"/>
      <c r="AZ132" s="4605"/>
      <c r="BA132" s="4605"/>
      <c r="BB132" s="4605"/>
      <c r="BC132" s="4607"/>
      <c r="BD132" s="4605"/>
      <c r="BE132" s="4608"/>
      <c r="BF132" s="4605"/>
      <c r="BG132" s="4606"/>
      <c r="BH132" s="26"/>
      <c r="BI132" s="26"/>
    </row>
    <row r="133" spans="1:61" ht="18.75" customHeight="1" thickBot="1" x14ac:dyDescent="0.3">
      <c r="C133" s="6195" t="s">
        <v>1519</v>
      </c>
      <c r="D133" s="4609" t="s">
        <v>1514</v>
      </c>
      <c r="E133" s="4609"/>
      <c r="F133" s="4592"/>
      <c r="G133" s="4610">
        <f>+'Maj Production Summ'!F35</f>
        <v>0</v>
      </c>
      <c r="H133" s="4610"/>
      <c r="I133" s="4610">
        <f>+'Maj Production Summ'!H35</f>
        <v>3000</v>
      </c>
      <c r="J133" s="4610"/>
      <c r="K133" s="4615">
        <f t="shared" ref="K133:K134" si="327">+G133+I133</f>
        <v>3000</v>
      </c>
      <c r="L133" s="4610"/>
      <c r="M133" s="4610">
        <f>+'Maj Production Summ'!L35</f>
        <v>1066</v>
      </c>
      <c r="N133" s="4610"/>
      <c r="O133" s="4616">
        <f t="shared" ref="O133:O134" si="328">+G133+I133+M133</f>
        <v>4066</v>
      </c>
      <c r="P133" s="4610"/>
      <c r="Q133" s="4610">
        <f>+'Maj Production Summ'!P35</f>
        <v>463</v>
      </c>
      <c r="R133" s="4610"/>
      <c r="S133" s="4615">
        <f t="shared" ref="S133:S134" si="329">O133+Q133</f>
        <v>4529</v>
      </c>
      <c r="T133" s="4610"/>
      <c r="U133" s="4610">
        <f>+'Maj Production Summ'!T35</f>
        <v>8811.77</v>
      </c>
      <c r="V133" s="4610"/>
      <c r="W133" s="4615">
        <f t="shared" ref="W133:W134" si="330">S133+U133</f>
        <v>13340.77</v>
      </c>
      <c r="X133" s="4610"/>
      <c r="Y133" s="4610">
        <f>+'Maj Production Summ'!X35</f>
        <v>1414</v>
      </c>
      <c r="Z133" s="4610"/>
      <c r="AA133" s="4616">
        <f t="shared" si="280"/>
        <v>10688.77</v>
      </c>
      <c r="AB133" s="4610"/>
      <c r="AC133" s="4617">
        <f t="shared" ref="AC133:AC134" si="331">O133+AA133</f>
        <v>14754.77</v>
      </c>
      <c r="AD133" s="4610"/>
      <c r="AE133" s="4610">
        <f>+'Maj Production Summ'!AD35</f>
        <v>7379.5262000000002</v>
      </c>
      <c r="AF133" s="4610"/>
      <c r="AG133" s="4615">
        <f t="shared" ref="AG133:AG134" si="332">+AC133+AE133</f>
        <v>22134.296200000001</v>
      </c>
      <c r="AH133" s="4610"/>
      <c r="AI133" s="4610">
        <f>+'Maj Production Summ'!AH35</f>
        <v>637</v>
      </c>
      <c r="AJ133" s="4610"/>
      <c r="AK133" s="4618">
        <f t="shared" ref="AK133:AK134" si="333">+AG133+AI133</f>
        <v>22771.296200000001</v>
      </c>
      <c r="AL133" s="4610"/>
      <c r="AM133" s="4610">
        <f>+'Maj Production Summ'!AL35</f>
        <v>12910</v>
      </c>
      <c r="AN133" s="4610"/>
      <c r="AO133" s="4616">
        <f t="shared" si="284"/>
        <v>20926.5262</v>
      </c>
      <c r="AP133" s="4610"/>
      <c r="AQ133" s="4618">
        <f>+AK133+AM133</f>
        <v>35681.296199999997</v>
      </c>
      <c r="AR133" s="4610"/>
      <c r="AS133" s="4610">
        <f>+'Maj Production Summ'!AR35</f>
        <v>10907.843000000001</v>
      </c>
      <c r="AT133" s="4610"/>
      <c r="AU133" s="4618">
        <f t="shared" ref="AU133:AU134" si="334">+AQ133+AS133</f>
        <v>46589.139199999998</v>
      </c>
      <c r="AV133" s="4610"/>
      <c r="AW133" s="4610">
        <f>+'Maj Production Summ'!AV35</f>
        <v>0</v>
      </c>
      <c r="AX133" s="4610"/>
      <c r="AY133" s="4618">
        <f t="shared" ref="AY133:AY134" si="335">+AU133+AW133</f>
        <v>46589.139199999998</v>
      </c>
      <c r="AZ133" s="4610"/>
      <c r="BA133" s="4610">
        <f>+'Maj Production Summ'!AZ35</f>
        <v>0</v>
      </c>
      <c r="BB133" s="4610"/>
      <c r="BC133" s="4616">
        <f t="shared" ref="BC133:BC134" si="336">AS133+AW133+BA133</f>
        <v>10907.843000000001</v>
      </c>
      <c r="BD133" s="4610"/>
      <c r="BE133" s="4617">
        <f t="shared" ref="BE133:BE134" si="337">AO133+BC133</f>
        <v>31834.369200000001</v>
      </c>
      <c r="BF133" s="4610"/>
      <c r="BG133" s="4618">
        <f t="shared" ref="BG133:BG134" si="338">+AY133+BA133</f>
        <v>46589.139199999998</v>
      </c>
      <c r="BH133" s="26"/>
      <c r="BI133" s="26"/>
    </row>
    <row r="134" spans="1:61" ht="18.75" customHeight="1" x14ac:dyDescent="0.25">
      <c r="C134" s="6196"/>
      <c r="D134" s="4619" t="s">
        <v>1550</v>
      </c>
      <c r="E134" s="4619"/>
      <c r="F134" s="4620"/>
      <c r="G134" s="4621">
        <f>+G91</f>
        <v>0</v>
      </c>
      <c r="H134" s="4621"/>
      <c r="I134" s="4621">
        <f>+I91</f>
        <v>2283</v>
      </c>
      <c r="J134" s="4621"/>
      <c r="K134" s="4622">
        <f t="shared" si="327"/>
        <v>2283</v>
      </c>
      <c r="L134" s="4621"/>
      <c r="M134" s="4621">
        <f>+M91</f>
        <v>0</v>
      </c>
      <c r="N134" s="4621"/>
      <c r="O134" s="4623">
        <f t="shared" si="328"/>
        <v>2283</v>
      </c>
      <c r="P134" s="4621"/>
      <c r="Q134" s="4621">
        <f>+Q91</f>
        <v>0</v>
      </c>
      <c r="R134" s="4621"/>
      <c r="S134" s="4622">
        <f t="shared" si="329"/>
        <v>2283</v>
      </c>
      <c r="T134" s="4621"/>
      <c r="U134" s="4621">
        <f>+U91</f>
        <v>5981.4560000000001</v>
      </c>
      <c r="V134" s="4621"/>
      <c r="W134" s="4622">
        <f t="shared" si="330"/>
        <v>8264.4560000000001</v>
      </c>
      <c r="X134" s="4621"/>
      <c r="Y134" s="4621">
        <f>+Y91</f>
        <v>0</v>
      </c>
      <c r="Z134" s="4621"/>
      <c r="AA134" s="4623">
        <f t="shared" si="280"/>
        <v>5981.4560000000001</v>
      </c>
      <c r="AB134" s="4621"/>
      <c r="AC134" s="4624">
        <f t="shared" si="331"/>
        <v>8264.4560000000001</v>
      </c>
      <c r="AD134" s="4621"/>
      <c r="AE134" s="4621">
        <f>+AE91</f>
        <v>6618.6041999999998</v>
      </c>
      <c r="AF134" s="4621"/>
      <c r="AG134" s="4622">
        <f t="shared" si="332"/>
        <v>14883.0602</v>
      </c>
      <c r="AH134" s="4621"/>
      <c r="AI134" s="4621">
        <f>+AI91</f>
        <v>0</v>
      </c>
      <c r="AJ134" s="4621"/>
      <c r="AK134" s="4625">
        <f t="shared" si="333"/>
        <v>14883.0602</v>
      </c>
      <c r="AL134" s="4621"/>
      <c r="AM134" s="4621">
        <f>+AM91</f>
        <v>11971.576000000001</v>
      </c>
      <c r="AN134" s="4679"/>
      <c r="AO134" s="4623">
        <f t="shared" si="284"/>
        <v>18590.180200000003</v>
      </c>
      <c r="AP134" s="4621"/>
      <c r="AQ134" s="4625">
        <f>+AK134+AM134</f>
        <v>26854.636200000001</v>
      </c>
      <c r="AR134" s="4621"/>
      <c r="AS134" s="4621">
        <f>+AS91</f>
        <v>10494.065000000001</v>
      </c>
      <c r="AT134" s="4621"/>
      <c r="AU134" s="4625">
        <f t="shared" si="334"/>
        <v>37348.701200000003</v>
      </c>
      <c r="AV134" s="4621"/>
      <c r="AW134" s="4621">
        <f>+AW91</f>
        <v>0</v>
      </c>
      <c r="AX134" s="4621"/>
      <c r="AY134" s="4625">
        <f t="shared" si="335"/>
        <v>37348.701200000003</v>
      </c>
      <c r="AZ134" s="4621"/>
      <c r="BA134" s="4621">
        <f>+BA91</f>
        <v>0</v>
      </c>
      <c r="BB134" s="4679"/>
      <c r="BC134" s="4623">
        <f t="shared" si="336"/>
        <v>10494.065000000001</v>
      </c>
      <c r="BD134" s="4621"/>
      <c r="BE134" s="4617">
        <f t="shared" si="337"/>
        <v>29084.245200000005</v>
      </c>
      <c r="BF134" s="4621"/>
      <c r="BG134" s="4625">
        <f t="shared" si="338"/>
        <v>37348.701200000003</v>
      </c>
      <c r="BH134" s="26"/>
      <c r="BI134" s="26"/>
    </row>
    <row r="135" spans="1:61" ht="18.75" customHeight="1" thickBot="1" x14ac:dyDescent="0.3">
      <c r="C135" s="6196"/>
      <c r="D135" s="4619" t="s">
        <v>1515</v>
      </c>
      <c r="E135" s="4619"/>
      <c r="F135" s="4620"/>
      <c r="G135" s="4626" t="e">
        <f>+G134/G133</f>
        <v>#DIV/0!</v>
      </c>
      <c r="H135" s="4626"/>
      <c r="I135" s="4626">
        <f>+I134/I133</f>
        <v>0.76100000000000001</v>
      </c>
      <c r="J135" s="4626"/>
      <c r="K135" s="4627">
        <f t="shared" ref="K135:AG135" si="339">+K134/K133</f>
        <v>0.76100000000000001</v>
      </c>
      <c r="L135" s="4626"/>
      <c r="M135" s="4626">
        <f>+M134/M133</f>
        <v>0</v>
      </c>
      <c r="N135" s="4626"/>
      <c r="O135" s="4628">
        <f t="shared" si="339"/>
        <v>0.56148548942449583</v>
      </c>
      <c r="P135" s="4626"/>
      <c r="Q135" s="4626">
        <f t="shared" si="339"/>
        <v>0</v>
      </c>
      <c r="R135" s="4626"/>
      <c r="S135" s="4627">
        <f t="shared" si="339"/>
        <v>0.50408478692868186</v>
      </c>
      <c r="T135" s="4626"/>
      <c r="U135" s="4626">
        <f t="shared" si="339"/>
        <v>0.67880301006494725</v>
      </c>
      <c r="V135" s="4626"/>
      <c r="W135" s="4627">
        <f t="shared" si="339"/>
        <v>0.6194886801886248</v>
      </c>
      <c r="X135" s="4626"/>
      <c r="Y135" s="4626">
        <f t="shared" ref="Y135" si="340">+Y134/Y133</f>
        <v>0</v>
      </c>
      <c r="Z135" s="4626"/>
      <c r="AA135" s="4628">
        <f t="shared" si="339"/>
        <v>0.55960189993797227</v>
      </c>
      <c r="AB135" s="4626"/>
      <c r="AC135" s="4629">
        <f t="shared" si="339"/>
        <v>0.56012096427121538</v>
      </c>
      <c r="AD135" s="4626"/>
      <c r="AE135" s="4626">
        <f t="shared" si="339"/>
        <v>0.896887418056731</v>
      </c>
      <c r="AF135" s="4626"/>
      <c r="AG135" s="4627">
        <f t="shared" si="339"/>
        <v>0.67239816732912427</v>
      </c>
      <c r="AH135" s="4626"/>
      <c r="AI135" s="4626">
        <f t="shared" ref="AI135" si="341">+AI134/AI133</f>
        <v>0</v>
      </c>
      <c r="AJ135" s="4626"/>
      <c r="AK135" s="4630">
        <f t="shared" ref="AK135" si="342">+AK134/AK133</f>
        <v>0.65358862619335656</v>
      </c>
      <c r="AL135" s="4626"/>
      <c r="AM135" s="4626">
        <f t="shared" ref="AM135" si="343">+AM134/AM133</f>
        <v>0.92731030209140208</v>
      </c>
      <c r="AN135" s="4680"/>
      <c r="AO135" s="4628">
        <f t="shared" ref="AO135" si="344">+AO134/AO133</f>
        <v>0.88835480969603076</v>
      </c>
      <c r="AP135" s="4626"/>
      <c r="AQ135" s="4630">
        <f t="shared" ref="AQ135" si="345">+AQ134/AQ133</f>
        <v>0.75262501814606175</v>
      </c>
      <c r="AR135" s="4626"/>
      <c r="AS135" s="4626">
        <f t="shared" ref="AS135" si="346">+AS134/AS133</f>
        <v>0.96206601066773689</v>
      </c>
      <c r="AT135" s="4626"/>
      <c r="AU135" s="4630">
        <f t="shared" ref="AU135" si="347">+AU134/AU133</f>
        <v>0.80166111332660139</v>
      </c>
      <c r="AV135" s="4626"/>
      <c r="AW135" s="4626" t="e">
        <f t="shared" ref="AW135" si="348">+AW134/AW133</f>
        <v>#DIV/0!</v>
      </c>
      <c r="AX135" s="4626"/>
      <c r="AY135" s="4630">
        <f t="shared" ref="AY135" si="349">+AY134/AY133</f>
        <v>0.80166111332660139</v>
      </c>
      <c r="AZ135" s="4626"/>
      <c r="BA135" s="4626" t="e">
        <f t="shared" ref="BA135" si="350">+BA134/BA133</f>
        <v>#DIV/0!</v>
      </c>
      <c r="BB135" s="4680"/>
      <c r="BC135" s="4628">
        <f t="shared" ref="BC135" si="351">+BC134/BC133</f>
        <v>0.96206601066773689</v>
      </c>
      <c r="BD135" s="4626"/>
      <c r="BE135" s="4629">
        <f t="shared" ref="BE135" si="352">+BE134/BE133</f>
        <v>0.91361148126660552</v>
      </c>
      <c r="BF135" s="4626"/>
      <c r="BG135" s="4630">
        <f t="shared" ref="BG135" si="353">+BG134/BG133</f>
        <v>0.80166111332660139</v>
      </c>
      <c r="BH135" s="26"/>
      <c r="BI135" s="26"/>
    </row>
    <row r="136" spans="1:61" ht="18.75" customHeight="1" thickBot="1" x14ac:dyDescent="0.3">
      <c r="C136" s="6196"/>
      <c r="D136" s="4619" t="s">
        <v>1513</v>
      </c>
      <c r="E136" s="4619"/>
      <c r="F136" s="4620"/>
      <c r="G136" s="4621">
        <f>+G133-G134</f>
        <v>0</v>
      </c>
      <c r="H136" s="4621"/>
      <c r="I136" s="4621">
        <f>+I133-I134</f>
        <v>717</v>
      </c>
      <c r="J136" s="4621"/>
      <c r="K136" s="4622">
        <f t="shared" ref="K136:K142" si="354">+G136+I136</f>
        <v>717</v>
      </c>
      <c r="L136" s="4621"/>
      <c r="M136" s="4621">
        <f>+M133-M134</f>
        <v>1066</v>
      </c>
      <c r="N136" s="4621"/>
      <c r="O136" s="4623">
        <f t="shared" ref="O136:O142" si="355">+G136+I136+M136</f>
        <v>1783</v>
      </c>
      <c r="P136" s="4621"/>
      <c r="Q136" s="4621">
        <f t="shared" ref="Q136:AE136" si="356">+Q133-Q134</f>
        <v>463</v>
      </c>
      <c r="R136" s="4621"/>
      <c r="S136" s="4622">
        <f t="shared" ref="S136:S142" si="357">O136+Q136</f>
        <v>2246</v>
      </c>
      <c r="T136" s="4621"/>
      <c r="U136" s="4621">
        <f t="shared" si="356"/>
        <v>2830.3140000000003</v>
      </c>
      <c r="V136" s="4621"/>
      <c r="W136" s="4622">
        <f t="shared" ref="W136:W142" si="358">S136+U136</f>
        <v>5076.3140000000003</v>
      </c>
      <c r="X136" s="4621"/>
      <c r="Y136" s="4621">
        <f t="shared" ref="Y136" si="359">+Y133-Y134</f>
        <v>1414</v>
      </c>
      <c r="Z136" s="4621"/>
      <c r="AA136" s="4623">
        <f t="shared" si="280"/>
        <v>4707.3140000000003</v>
      </c>
      <c r="AB136" s="4621"/>
      <c r="AC136" s="4624">
        <f t="shared" ref="AC136:AC142" si="360">O136+AA136</f>
        <v>6490.3140000000003</v>
      </c>
      <c r="AD136" s="4621"/>
      <c r="AE136" s="4621">
        <f t="shared" si="356"/>
        <v>760.92200000000048</v>
      </c>
      <c r="AF136" s="4621"/>
      <c r="AG136" s="4622">
        <f t="shared" ref="AG136:AG142" si="361">+AC136+AE136</f>
        <v>7251.2360000000008</v>
      </c>
      <c r="AH136" s="4621"/>
      <c r="AI136" s="4621">
        <f t="shared" ref="AI136" si="362">+AI133-AI134</f>
        <v>637</v>
      </c>
      <c r="AJ136" s="4621"/>
      <c r="AK136" s="4625">
        <f t="shared" ref="AK136:AK142" si="363">+AG136+AI136</f>
        <v>7888.2360000000008</v>
      </c>
      <c r="AL136" s="4621"/>
      <c r="AM136" s="4621">
        <f t="shared" ref="AM136" si="364">+AM133-AM134</f>
        <v>938.42399999999907</v>
      </c>
      <c r="AN136" s="4679"/>
      <c r="AO136" s="4623">
        <f t="shared" si="284"/>
        <v>2336.3459999999995</v>
      </c>
      <c r="AP136" s="4621"/>
      <c r="AQ136" s="4625">
        <f t="shared" ref="AQ136:AQ142" si="365">+AK136+AM136</f>
        <v>8826.66</v>
      </c>
      <c r="AR136" s="4621"/>
      <c r="AS136" s="4621">
        <f t="shared" ref="AS136" si="366">+AS133-AS134</f>
        <v>413.77800000000025</v>
      </c>
      <c r="AT136" s="4621"/>
      <c r="AU136" s="4625">
        <f t="shared" ref="AU136:AU142" si="367">+AQ136+AS136</f>
        <v>9240.4380000000001</v>
      </c>
      <c r="AV136" s="4621"/>
      <c r="AW136" s="4621">
        <f t="shared" ref="AW136" si="368">+AW133-AW134</f>
        <v>0</v>
      </c>
      <c r="AX136" s="4621"/>
      <c r="AY136" s="4625">
        <f t="shared" ref="AY136:AY142" si="369">+AU136+AW136</f>
        <v>9240.4380000000001</v>
      </c>
      <c r="AZ136" s="4621"/>
      <c r="BA136" s="4621">
        <f t="shared" ref="BA136" si="370">+BA133-BA134</f>
        <v>0</v>
      </c>
      <c r="BB136" s="4679"/>
      <c r="BC136" s="4623">
        <f t="shared" ref="BC136:BC142" si="371">AS136+AW136+BA136</f>
        <v>413.77800000000025</v>
      </c>
      <c r="BD136" s="4621"/>
      <c r="BE136" s="4617">
        <f t="shared" ref="BE136:BE141" si="372">AO136+BC136</f>
        <v>2750.1239999999998</v>
      </c>
      <c r="BF136" s="4621"/>
      <c r="BG136" s="4625">
        <f t="shared" ref="BG136:BG142" si="373">+AY136+BA136</f>
        <v>9240.4380000000001</v>
      </c>
      <c r="BH136" s="26"/>
      <c r="BI136" s="26"/>
    </row>
    <row r="137" spans="1:61" ht="15" customHeight="1" thickBot="1" x14ac:dyDescent="0.3">
      <c r="A137" s="1274"/>
      <c r="B137" s="1274"/>
      <c r="C137" s="6196"/>
      <c r="D137" s="4631" t="s">
        <v>1343</v>
      </c>
      <c r="E137" s="4631"/>
      <c r="F137" s="4632"/>
      <c r="G137" s="4633">
        <f>+SUMIF('GRD SUMM RCL CASTER 3'!$A$7:$A$13,$D137,'GRD SUMM RCL CASTER 3'!C$7:C$13)</f>
        <v>0</v>
      </c>
      <c r="H137" s="4633"/>
      <c r="I137" s="4633">
        <f>+SUMIF('GRD SUMM RCL CASTER 3'!$A$7:$A$13,$D137,'GRD SUMM RCL CASTER 3'!E$7:E$13)</f>
        <v>69</v>
      </c>
      <c r="J137" s="4633"/>
      <c r="K137" s="4622">
        <f t="shared" si="354"/>
        <v>69</v>
      </c>
      <c r="L137" s="4633"/>
      <c r="M137" s="4633">
        <f>+SUMIF('GRD SUMM RCL CASTER 3'!$A$7:$A$13,$D137,'GRD SUMM RCL CASTER 3'!I$7:I$13)</f>
        <v>0</v>
      </c>
      <c r="N137" s="4633"/>
      <c r="O137" s="4623">
        <f t="shared" si="355"/>
        <v>69</v>
      </c>
      <c r="P137" s="4633"/>
      <c r="Q137" s="4633">
        <f>+SUMIF('GRD SUMM RCL CASTER 3'!$A$7:$A$13,$D137,'GRD SUMM RCL CASTER 3'!M$7:M$13)</f>
        <v>0</v>
      </c>
      <c r="R137" s="4633"/>
      <c r="S137" s="4622">
        <f t="shared" si="357"/>
        <v>69</v>
      </c>
      <c r="T137" s="4633"/>
      <c r="U137" s="4633">
        <f>+SUMIF('GRD SUMM RCL CASTER 3'!$A$7:$A$13,$D137,'GRD SUMM RCL CASTER 3'!Q$7:Q$13)</f>
        <v>274.29000000000002</v>
      </c>
      <c r="V137" s="4633"/>
      <c r="W137" s="4622">
        <f t="shared" si="358"/>
        <v>343.29</v>
      </c>
      <c r="X137" s="4633"/>
      <c r="Y137" s="4633">
        <f>+SUMIF('GRD SUMM RCL CASTER 3'!$A$7:$A$13,$D137,'GRD SUMM RCL CASTER 3'!U$7:U$13)</f>
        <v>0</v>
      </c>
      <c r="Z137" s="4633"/>
      <c r="AA137" s="4623">
        <f t="shared" si="280"/>
        <v>274.29000000000002</v>
      </c>
      <c r="AB137" s="4633"/>
      <c r="AC137" s="4624">
        <f t="shared" si="360"/>
        <v>343.29</v>
      </c>
      <c r="AD137" s="4633"/>
      <c r="AE137" s="4633">
        <f>+SUMIF('GRD SUMM RCL CASTER 3'!$A$7:$A$13,$D137,'GRD SUMM RCL CASTER 3'!AA$7:AA$13)</f>
        <v>71.603999999999999</v>
      </c>
      <c r="AF137" s="4633"/>
      <c r="AG137" s="4622">
        <f t="shared" si="361"/>
        <v>414.89400000000001</v>
      </c>
      <c r="AH137" s="4633"/>
      <c r="AI137" s="4633">
        <f>+SUMIF('GRD SUMM RCL CASTER 3'!$A$7:$A$13,$D137,'GRD SUMM RCL CASTER 3'!AE$7:AE$13)</f>
        <v>0</v>
      </c>
      <c r="AJ137" s="4633"/>
      <c r="AK137" s="4625">
        <f t="shared" si="363"/>
        <v>414.89400000000001</v>
      </c>
      <c r="AL137" s="4633"/>
      <c r="AM137" s="4633">
        <f>+SUMIF('GRD SUMM RCL CASTER 3'!$A$7:$A$13,$D137,'GRD SUMM RCL CASTER 3'!AI$7:AI$13)</f>
        <v>72</v>
      </c>
      <c r="AN137" s="4681"/>
      <c r="AO137" s="4623">
        <f t="shared" si="284"/>
        <v>143.60399999999998</v>
      </c>
      <c r="AP137" s="4633"/>
      <c r="AQ137" s="4625">
        <f t="shared" si="365"/>
        <v>486.89400000000001</v>
      </c>
      <c r="AR137" s="4633"/>
      <c r="AS137" s="4633">
        <f>+SUMIF('GRD SUMM RCL CASTER 3'!$A$7:$A$13,$D137,'GRD SUMM RCL CASTER 3'!AO$7:AO$13)</f>
        <v>103.428</v>
      </c>
      <c r="AT137" s="4633"/>
      <c r="AU137" s="4625">
        <f t="shared" si="367"/>
        <v>590.322</v>
      </c>
      <c r="AV137" s="4633"/>
      <c r="AW137" s="4633">
        <f>+SUMIF('GRD SUMM RCL CASTER 3'!$A$7:$A$13,$D137,'GRD SUMM RCL CASTER 3'!AS$7:AS$13)</f>
        <v>0</v>
      </c>
      <c r="AX137" s="4633"/>
      <c r="AY137" s="4625">
        <f t="shared" si="369"/>
        <v>590.322</v>
      </c>
      <c r="AZ137" s="4633"/>
      <c r="BA137" s="4633">
        <f>+SUMIF('GRD SUMM RCL CASTER 3'!$A$7:$A$13,$D137,'GRD SUMM RCL CASTER 3'!AW$7:AW$13)</f>
        <v>0</v>
      </c>
      <c r="BB137" s="4681"/>
      <c r="BC137" s="4623">
        <f t="shared" si="371"/>
        <v>103.428</v>
      </c>
      <c r="BD137" s="4633"/>
      <c r="BE137" s="4617">
        <f t="shared" si="372"/>
        <v>247.03199999999998</v>
      </c>
      <c r="BF137" s="4633"/>
      <c r="BG137" s="4625">
        <f t="shared" si="373"/>
        <v>590.322</v>
      </c>
      <c r="BH137" s="26"/>
      <c r="BI137" s="26"/>
    </row>
    <row r="138" spans="1:61" ht="15" customHeight="1" thickBot="1" x14ac:dyDescent="0.3">
      <c r="A138" s="1274"/>
      <c r="B138" s="1274"/>
      <c r="C138" s="6196"/>
      <c r="D138" s="4631" t="s">
        <v>2156</v>
      </c>
      <c r="E138" s="4631"/>
      <c r="F138" s="4632"/>
      <c r="G138" s="4633">
        <f>+SUMIF('GRD SUMM RCL CASTER 3'!$A$7:$A$13,$D138,'GRD SUMM RCL CASTER 3'!C$7:C$13)</f>
        <v>0</v>
      </c>
      <c r="H138" s="4633"/>
      <c r="I138" s="4633">
        <f>+SUMIF('GRD SUMM RCL CASTER 3'!$A$7:$A$13,$D138,'GRD SUMM RCL CASTER 3'!E$7:E$13)</f>
        <v>8</v>
      </c>
      <c r="J138" s="4633"/>
      <c r="K138" s="4622">
        <f t="shared" si="354"/>
        <v>8</v>
      </c>
      <c r="L138" s="4633"/>
      <c r="M138" s="4633">
        <f>+SUMIF('GRD SUMM RCL CASTER 3'!$A$7:$A$13,$D138,'GRD SUMM RCL CASTER 3'!I$7:I$13)</f>
        <v>0</v>
      </c>
      <c r="N138" s="4633"/>
      <c r="O138" s="4623">
        <f t="shared" si="355"/>
        <v>8</v>
      </c>
      <c r="P138" s="4633"/>
      <c r="Q138" s="4633">
        <f>+SUMIF('GRD SUMM RCL CASTER 3'!$A$7:$A$13,$D138,'GRD SUMM RCL CASTER 3'!M$7:M$13)</f>
        <v>0</v>
      </c>
      <c r="R138" s="4633"/>
      <c r="S138" s="4622">
        <f t="shared" si="357"/>
        <v>8</v>
      </c>
      <c r="T138" s="4633"/>
      <c r="U138" s="4633">
        <f>+SUMIF('GRD SUMM RCL CASTER 3'!$A$7:$A$13,$D138,'GRD SUMM RCL CASTER 3'!Q$7:Q$13)</f>
        <v>307.10399999999998</v>
      </c>
      <c r="V138" s="4633"/>
      <c r="W138" s="4622">
        <f t="shared" si="358"/>
        <v>315.10399999999998</v>
      </c>
      <c r="X138" s="4633"/>
      <c r="Y138" s="4633">
        <f>+SUMIF('GRD SUMM RCL CASTER 3'!$A$7:$A$13,$D138,'GRD SUMM RCL CASTER 3'!U$7:U$13)</f>
        <v>0</v>
      </c>
      <c r="Z138" s="4633"/>
      <c r="AA138" s="4623">
        <f t="shared" si="280"/>
        <v>307.10399999999998</v>
      </c>
      <c r="AB138" s="4633"/>
      <c r="AC138" s="4624">
        <f t="shared" si="360"/>
        <v>315.10399999999998</v>
      </c>
      <c r="AD138" s="4633"/>
      <c r="AE138" s="4633">
        <f>+SUMIF('GRD SUMM RCL CASTER 3'!$A$7:$A$13,$D138,'GRD SUMM RCL CASTER 3'!AA$7:AA$13)</f>
        <v>43.758000000000003</v>
      </c>
      <c r="AF138" s="4633"/>
      <c r="AG138" s="4622">
        <f t="shared" si="361"/>
        <v>358.86199999999997</v>
      </c>
      <c r="AH138" s="4633"/>
      <c r="AI138" s="4633">
        <f>+SUMIF('GRD SUMM RCL CASTER 3'!$A$7:$A$13,$D138,'GRD SUMM RCL CASTER 3'!AE$7:AE$13)</f>
        <v>0</v>
      </c>
      <c r="AJ138" s="4633"/>
      <c r="AK138" s="4625">
        <f t="shared" si="363"/>
        <v>358.86199999999997</v>
      </c>
      <c r="AL138" s="4633"/>
      <c r="AM138" s="4633">
        <f>+SUMIF('GRD SUMM RCL CASTER 3'!$A$7:$A$13,$D138,'GRD SUMM RCL CASTER 3'!AI$7:AI$13)</f>
        <v>477</v>
      </c>
      <c r="AN138" s="4681"/>
      <c r="AO138" s="4623">
        <f t="shared" si="284"/>
        <v>520.75800000000004</v>
      </c>
      <c r="AP138" s="4633"/>
      <c r="AQ138" s="4625">
        <f t="shared" si="365"/>
        <v>835.86199999999997</v>
      </c>
      <c r="AR138" s="4633"/>
      <c r="AS138" s="4633">
        <f>+SUMIF('GRD SUMM RCL CASTER 3'!$A$7:$A$13,$D138,'GRD SUMM RCL CASTER 3'!AO$7:AO$13)</f>
        <v>298.35000000000002</v>
      </c>
      <c r="AT138" s="4633"/>
      <c r="AU138" s="4625">
        <f t="shared" si="367"/>
        <v>1134.212</v>
      </c>
      <c r="AV138" s="4633"/>
      <c r="AW138" s="4633">
        <f>+SUMIF('GRD SUMM RCL CASTER 3'!$A$7:$A$13,$D138,'GRD SUMM RCL CASTER 3'!AS$7:AS$13)</f>
        <v>0</v>
      </c>
      <c r="AX138" s="4633"/>
      <c r="AY138" s="4625">
        <f t="shared" si="369"/>
        <v>1134.212</v>
      </c>
      <c r="AZ138" s="4633"/>
      <c r="BA138" s="4633">
        <f>+SUMIF('GRD SUMM RCL CASTER 3'!$A$7:$A$13,$D138,'GRD SUMM RCL CASTER 3'!AW$7:AW$13)</f>
        <v>0</v>
      </c>
      <c r="BB138" s="4681"/>
      <c r="BC138" s="4623">
        <f t="shared" si="371"/>
        <v>298.35000000000002</v>
      </c>
      <c r="BD138" s="4633"/>
      <c r="BE138" s="4617">
        <f t="shared" si="372"/>
        <v>819.10800000000006</v>
      </c>
      <c r="BF138" s="4633"/>
      <c r="BG138" s="4625">
        <f t="shared" si="373"/>
        <v>1134.212</v>
      </c>
      <c r="BH138" s="26"/>
      <c r="BI138" s="26"/>
    </row>
    <row r="139" spans="1:61" ht="15" customHeight="1" thickBot="1" x14ac:dyDescent="0.3">
      <c r="C139" s="6196"/>
      <c r="D139" s="4634" t="s">
        <v>1521</v>
      </c>
      <c r="E139" s="4634"/>
      <c r="F139" s="4620"/>
      <c r="G139" s="4621">
        <f>+'Direct sales IPT details'!E14</f>
        <v>0</v>
      </c>
      <c r="H139" s="4621"/>
      <c r="I139" s="4621">
        <f>+'Direct sales IPT details'!G14</f>
        <v>640.46</v>
      </c>
      <c r="J139" s="4621"/>
      <c r="K139" s="4622">
        <f t="shared" si="354"/>
        <v>640.46</v>
      </c>
      <c r="L139" s="4621"/>
      <c r="M139" s="4621">
        <f>+'Direct sales IPT details'!K14</f>
        <v>1065.5999999999999</v>
      </c>
      <c r="N139" s="4621"/>
      <c r="O139" s="4623">
        <f t="shared" si="355"/>
        <v>1706.06</v>
      </c>
      <c r="P139" s="4621"/>
      <c r="Q139" s="4621">
        <f>+'Direct sales IPT details'!O14</f>
        <v>463.1</v>
      </c>
      <c r="R139" s="4621"/>
      <c r="S139" s="4622">
        <f t="shared" si="357"/>
        <v>2169.16</v>
      </c>
      <c r="T139" s="4621"/>
      <c r="U139" s="4621">
        <f>+'Direct sales IPT details'!S14</f>
        <v>2248.92</v>
      </c>
      <c r="V139" s="4621"/>
      <c r="W139" s="4622">
        <f t="shared" si="358"/>
        <v>4418.08</v>
      </c>
      <c r="X139" s="4621"/>
      <c r="Y139" s="4621">
        <f>+'Direct sales IPT details'!W14</f>
        <v>1413.7700000000002</v>
      </c>
      <c r="Z139" s="4621"/>
      <c r="AA139" s="4623">
        <f t="shared" si="280"/>
        <v>4125.79</v>
      </c>
      <c r="AB139" s="4621"/>
      <c r="AC139" s="4624">
        <f t="shared" si="360"/>
        <v>5831.85</v>
      </c>
      <c r="AD139" s="4621"/>
      <c r="AE139" s="4621">
        <f>+'Direct sales IPT details'!AC14</f>
        <v>632.55999999999995</v>
      </c>
      <c r="AF139" s="4621"/>
      <c r="AG139" s="4622">
        <f t="shared" si="361"/>
        <v>6464.41</v>
      </c>
      <c r="AH139" s="4621"/>
      <c r="AI139" s="4621">
        <f>+'Direct sales IPT details'!AG14</f>
        <v>636.88</v>
      </c>
      <c r="AJ139" s="4621"/>
      <c r="AK139" s="4625">
        <f t="shared" si="363"/>
        <v>7101.29</v>
      </c>
      <c r="AL139" s="4621"/>
      <c r="AM139" s="4621">
        <f>+'Direct sales IPT details'!AK14</f>
        <v>367.46</v>
      </c>
      <c r="AN139" s="4679"/>
      <c r="AO139" s="4623">
        <f t="shared" si="284"/>
        <v>1636.9</v>
      </c>
      <c r="AP139" s="4621"/>
      <c r="AQ139" s="4625">
        <f t="shared" si="365"/>
        <v>7468.75</v>
      </c>
      <c r="AR139" s="4621"/>
      <c r="AS139" s="4621">
        <f>+'Direct sales IPT details'!AQ14</f>
        <v>0</v>
      </c>
      <c r="AT139" s="4621"/>
      <c r="AU139" s="4625">
        <f t="shared" si="367"/>
        <v>7468.75</v>
      </c>
      <c r="AV139" s="4621"/>
      <c r="AW139" s="4621">
        <f>+'Direct sales IPT details'!AU14</f>
        <v>0</v>
      </c>
      <c r="AX139" s="4621"/>
      <c r="AY139" s="4625">
        <f t="shared" si="369"/>
        <v>7468.75</v>
      </c>
      <c r="AZ139" s="4621"/>
      <c r="BA139" s="4621">
        <f>+'Direct sales IPT details'!AY14</f>
        <v>0</v>
      </c>
      <c r="BB139" s="4679"/>
      <c r="BC139" s="4623">
        <f t="shared" si="371"/>
        <v>0</v>
      </c>
      <c r="BD139" s="4621"/>
      <c r="BE139" s="4617">
        <f t="shared" si="372"/>
        <v>1636.9</v>
      </c>
      <c r="BF139" s="4621"/>
      <c r="BG139" s="4625">
        <f t="shared" si="373"/>
        <v>7468.75</v>
      </c>
      <c r="BH139" s="26"/>
      <c r="BI139" s="26"/>
    </row>
    <row r="140" spans="1:61" ht="15" customHeight="1" thickBot="1" x14ac:dyDescent="0.3">
      <c r="C140" s="6196"/>
      <c r="D140" s="4634" t="s">
        <v>1520</v>
      </c>
      <c r="E140" s="4634"/>
      <c r="F140" s="4620"/>
      <c r="G140" s="4621">
        <f>+SMS!F42</f>
        <v>0</v>
      </c>
      <c r="H140" s="4621"/>
      <c r="I140" s="4621">
        <f>+SMS!H42</f>
        <v>0</v>
      </c>
      <c r="J140" s="4621"/>
      <c r="K140" s="4622">
        <f t="shared" si="354"/>
        <v>0</v>
      </c>
      <c r="L140" s="4621"/>
      <c r="M140" s="4621">
        <f>+SMS!L42</f>
        <v>0</v>
      </c>
      <c r="N140" s="4621"/>
      <c r="O140" s="4623">
        <f t="shared" si="355"/>
        <v>0</v>
      </c>
      <c r="P140" s="4621"/>
      <c r="Q140" s="4621">
        <f>+SMS!P42</f>
        <v>0</v>
      </c>
      <c r="R140" s="4621"/>
      <c r="S140" s="4622">
        <f t="shared" si="357"/>
        <v>0</v>
      </c>
      <c r="T140" s="4621"/>
      <c r="U140" s="4621">
        <f>+SMS!T42</f>
        <v>0</v>
      </c>
      <c r="V140" s="4621"/>
      <c r="W140" s="4622">
        <f t="shared" si="358"/>
        <v>0</v>
      </c>
      <c r="X140" s="4621"/>
      <c r="Y140" s="4621">
        <f>+SMS!X42</f>
        <v>0</v>
      </c>
      <c r="Z140" s="4621"/>
      <c r="AA140" s="4623">
        <f t="shared" si="280"/>
        <v>0</v>
      </c>
      <c r="AB140" s="4621"/>
      <c r="AC140" s="4624">
        <f t="shared" si="360"/>
        <v>0</v>
      </c>
      <c r="AD140" s="4621"/>
      <c r="AE140" s="4621">
        <f>+SMS!AD42</f>
        <v>13</v>
      </c>
      <c r="AF140" s="4621"/>
      <c r="AG140" s="4622">
        <f t="shared" si="361"/>
        <v>13</v>
      </c>
      <c r="AH140" s="4621"/>
      <c r="AI140" s="4621">
        <f>+SMS!AH42</f>
        <v>0</v>
      </c>
      <c r="AJ140" s="4621"/>
      <c r="AK140" s="4625">
        <f t="shared" si="363"/>
        <v>13</v>
      </c>
      <c r="AL140" s="4621"/>
      <c r="AM140" s="4621">
        <f>+SMS!AL42</f>
        <v>22</v>
      </c>
      <c r="AN140" s="4679"/>
      <c r="AO140" s="4623">
        <f t="shared" si="284"/>
        <v>35</v>
      </c>
      <c r="AP140" s="4621"/>
      <c r="AQ140" s="4625">
        <f t="shared" si="365"/>
        <v>35</v>
      </c>
      <c r="AR140" s="4621"/>
      <c r="AS140" s="4621">
        <f>+SMS!AR42</f>
        <v>12</v>
      </c>
      <c r="AT140" s="4621"/>
      <c r="AU140" s="4625">
        <f t="shared" si="367"/>
        <v>47</v>
      </c>
      <c r="AV140" s="4621"/>
      <c r="AW140" s="4621">
        <f>+SMS!AV42</f>
        <v>0</v>
      </c>
      <c r="AX140" s="4621"/>
      <c r="AY140" s="4625">
        <f t="shared" si="369"/>
        <v>47</v>
      </c>
      <c r="AZ140" s="4621"/>
      <c r="BA140" s="4621">
        <f>+SMS!AZ42</f>
        <v>0</v>
      </c>
      <c r="BB140" s="4679"/>
      <c r="BC140" s="4623">
        <f t="shared" si="371"/>
        <v>12</v>
      </c>
      <c r="BD140" s="4621"/>
      <c r="BE140" s="4617">
        <f t="shared" si="372"/>
        <v>47</v>
      </c>
      <c r="BF140" s="4621"/>
      <c r="BG140" s="4625">
        <f t="shared" si="373"/>
        <v>47</v>
      </c>
      <c r="BH140" s="26"/>
      <c r="BI140" s="26"/>
    </row>
    <row r="141" spans="1:61" ht="15.75" customHeight="1" thickBot="1" x14ac:dyDescent="0.3">
      <c r="C141" s="6197"/>
      <c r="D141" s="4599" t="s">
        <v>21</v>
      </c>
      <c r="E141" s="4599"/>
      <c r="F141" s="4594"/>
      <c r="G141" s="4600">
        <f t="shared" ref="G141" si="374">SUM(G137:G140)</f>
        <v>0</v>
      </c>
      <c r="H141" s="4600"/>
      <c r="I141" s="4600">
        <f t="shared" ref="I141" si="375">SUM(I137:I140)</f>
        <v>717.46</v>
      </c>
      <c r="J141" s="4600"/>
      <c r="K141" s="4635">
        <f t="shared" si="354"/>
        <v>717.46</v>
      </c>
      <c r="L141" s="4600"/>
      <c r="M141" s="4600">
        <f t="shared" ref="M141" si="376">SUM(M137:M140)</f>
        <v>1065.5999999999999</v>
      </c>
      <c r="N141" s="4600"/>
      <c r="O141" s="4636">
        <f t="shared" si="355"/>
        <v>1783.06</v>
      </c>
      <c r="P141" s="4600"/>
      <c r="Q141" s="4600">
        <f t="shared" ref="Q141:AE141" si="377">SUM(Q137:Q140)</f>
        <v>463.1</v>
      </c>
      <c r="R141" s="4600"/>
      <c r="S141" s="4635">
        <f t="shared" si="357"/>
        <v>2246.16</v>
      </c>
      <c r="T141" s="4600"/>
      <c r="U141" s="4600">
        <f t="shared" si="377"/>
        <v>2830.3140000000003</v>
      </c>
      <c r="V141" s="4600"/>
      <c r="W141" s="4635">
        <f t="shared" si="358"/>
        <v>5076.4740000000002</v>
      </c>
      <c r="X141" s="4600"/>
      <c r="Y141" s="4600">
        <f t="shared" ref="Y141" si="378">SUM(Y137:Y140)</f>
        <v>1413.7700000000002</v>
      </c>
      <c r="Z141" s="4600"/>
      <c r="AA141" s="4636">
        <f t="shared" si="280"/>
        <v>4707.1840000000002</v>
      </c>
      <c r="AB141" s="4600"/>
      <c r="AC141" s="4637">
        <f t="shared" si="360"/>
        <v>6490.2440000000006</v>
      </c>
      <c r="AD141" s="4600"/>
      <c r="AE141" s="4600">
        <f t="shared" si="377"/>
        <v>760.92199999999991</v>
      </c>
      <c r="AF141" s="4600"/>
      <c r="AG141" s="4635">
        <f t="shared" si="361"/>
        <v>7251.1660000000002</v>
      </c>
      <c r="AH141" s="4600"/>
      <c r="AI141" s="4600">
        <f t="shared" ref="AI141" si="379">SUM(AI137:AI140)</f>
        <v>636.88</v>
      </c>
      <c r="AJ141" s="4600"/>
      <c r="AK141" s="4638">
        <f t="shared" si="363"/>
        <v>7888.0460000000003</v>
      </c>
      <c r="AL141" s="4600"/>
      <c r="AM141" s="4600">
        <f t="shared" ref="AM141" si="380">SUM(AM137:AM140)</f>
        <v>938.46</v>
      </c>
      <c r="AN141" s="4600"/>
      <c r="AO141" s="4636">
        <f t="shared" si="284"/>
        <v>2336.2619999999997</v>
      </c>
      <c r="AP141" s="4600"/>
      <c r="AQ141" s="4638">
        <f t="shared" si="365"/>
        <v>8826.5060000000012</v>
      </c>
      <c r="AR141" s="4600"/>
      <c r="AS141" s="4600">
        <f t="shared" ref="AS141" si="381">SUM(AS137:AS140)</f>
        <v>413.77800000000002</v>
      </c>
      <c r="AT141" s="4600"/>
      <c r="AU141" s="4638">
        <f t="shared" si="367"/>
        <v>9240.2840000000015</v>
      </c>
      <c r="AV141" s="4600"/>
      <c r="AW141" s="4600">
        <f t="shared" ref="AW141" si="382">SUM(AW137:AW140)</f>
        <v>0</v>
      </c>
      <c r="AX141" s="4600"/>
      <c r="AY141" s="4638">
        <f t="shared" si="369"/>
        <v>9240.2840000000015</v>
      </c>
      <c r="AZ141" s="4600"/>
      <c r="BA141" s="4600">
        <f t="shared" ref="BA141" si="383">SUM(BA137:BA140)</f>
        <v>0</v>
      </c>
      <c r="BB141" s="4600"/>
      <c r="BC141" s="4636">
        <f t="shared" si="371"/>
        <v>413.77800000000002</v>
      </c>
      <c r="BD141" s="4600"/>
      <c r="BE141" s="4617">
        <f t="shared" si="372"/>
        <v>2750.04</v>
      </c>
      <c r="BF141" s="4600"/>
      <c r="BG141" s="4638">
        <f t="shared" si="373"/>
        <v>9240.2840000000015</v>
      </c>
      <c r="BH141" s="26"/>
      <c r="BI141" s="26"/>
    </row>
    <row r="142" spans="1:61" s="233" customFormat="1" ht="17.25" thickBot="1" x14ac:dyDescent="0.3">
      <c r="C142" s="4647"/>
      <c r="D142" s="4644" t="s">
        <v>1508</v>
      </c>
      <c r="E142" s="4644"/>
      <c r="F142" s="4648"/>
      <c r="G142" s="4649">
        <f>+G136-G141</f>
        <v>0</v>
      </c>
      <c r="H142" s="4649"/>
      <c r="I142" s="4649">
        <f>+I136-I141</f>
        <v>-0.46000000000003638</v>
      </c>
      <c r="J142" s="4649"/>
      <c r="K142" s="4650">
        <f t="shared" si="354"/>
        <v>-0.46000000000003638</v>
      </c>
      <c r="L142" s="4649"/>
      <c r="M142" s="4649">
        <f>+M136-M141</f>
        <v>0.40000000000009095</v>
      </c>
      <c r="N142" s="4649"/>
      <c r="O142" s="4651">
        <f t="shared" si="355"/>
        <v>-5.999999999994543E-2</v>
      </c>
      <c r="P142" s="4649"/>
      <c r="Q142" s="4649">
        <f t="shared" ref="Q142:AE142" si="384">+Q136-Q141</f>
        <v>-0.10000000000002274</v>
      </c>
      <c r="R142" s="4649"/>
      <c r="S142" s="4650">
        <f t="shared" si="357"/>
        <v>-0.15999999999996817</v>
      </c>
      <c r="T142" s="4649"/>
      <c r="U142" s="4649">
        <f t="shared" si="384"/>
        <v>0</v>
      </c>
      <c r="V142" s="4649"/>
      <c r="W142" s="4650">
        <f t="shared" si="358"/>
        <v>-0.15999999999996817</v>
      </c>
      <c r="X142" s="4649"/>
      <c r="Y142" s="4649">
        <f t="shared" ref="Y142" si="385">+Y136-Y141</f>
        <v>0.22999999999979082</v>
      </c>
      <c r="Z142" s="4649"/>
      <c r="AA142" s="4651">
        <f t="shared" si="280"/>
        <v>0.12999999999976808</v>
      </c>
      <c r="AB142" s="4649"/>
      <c r="AC142" s="4652">
        <f t="shared" si="360"/>
        <v>6.9999999999822649E-2</v>
      </c>
      <c r="AD142" s="4649"/>
      <c r="AE142" s="4649">
        <f t="shared" si="384"/>
        <v>0</v>
      </c>
      <c r="AF142" s="4649"/>
      <c r="AG142" s="4650">
        <f t="shared" si="361"/>
        <v>6.9999999999822649E-2</v>
      </c>
      <c r="AH142" s="4649"/>
      <c r="AI142" s="4649">
        <f t="shared" ref="AI142" si="386">+AI136-AI141</f>
        <v>0.12000000000000455</v>
      </c>
      <c r="AJ142" s="4649"/>
      <c r="AK142" s="4653">
        <f t="shared" si="363"/>
        <v>0.1899999999998272</v>
      </c>
      <c r="AL142" s="4649"/>
      <c r="AM142" s="4649">
        <f t="shared" ref="AM142" si="387">+AM136-AM141</f>
        <v>-3.6000000000967702E-2</v>
      </c>
      <c r="AN142" s="4649"/>
      <c r="AO142" s="4651">
        <f t="shared" si="284"/>
        <v>8.3999999999036845E-2</v>
      </c>
      <c r="AP142" s="4649"/>
      <c r="AQ142" s="4653">
        <f t="shared" si="365"/>
        <v>0.15399999999885949</v>
      </c>
      <c r="AR142" s="4649"/>
      <c r="AS142" s="4649">
        <f t="shared" ref="AS142" si="388">+AS136-AS141</f>
        <v>0</v>
      </c>
      <c r="AT142" s="4649"/>
      <c r="AU142" s="4653">
        <f t="shared" si="367"/>
        <v>0.15399999999885949</v>
      </c>
      <c r="AV142" s="4649"/>
      <c r="AW142" s="4649">
        <f t="shared" ref="AW142" si="389">+AW136-AW141</f>
        <v>0</v>
      </c>
      <c r="AX142" s="4649"/>
      <c r="AY142" s="4653">
        <f t="shared" si="369"/>
        <v>0.15399999999885949</v>
      </c>
      <c r="AZ142" s="4649"/>
      <c r="BA142" s="4649">
        <f t="shared" ref="BA142" si="390">+BA136-BA141</f>
        <v>0</v>
      </c>
      <c r="BB142" s="4649"/>
      <c r="BC142" s="4651">
        <f t="shared" si="371"/>
        <v>0</v>
      </c>
      <c r="BD142" s="4649"/>
      <c r="BE142" s="4652">
        <f t="shared" ref="BE142" si="391">AQ142+BC142</f>
        <v>0.15399999999885949</v>
      </c>
      <c r="BF142" s="4649"/>
      <c r="BG142" s="4653">
        <f t="shared" si="373"/>
        <v>0.15399999999885949</v>
      </c>
    </row>
    <row r="143" spans="1:61" x14ac:dyDescent="0.25">
      <c r="E143"/>
      <c r="K143"/>
      <c r="O143"/>
      <c r="S143"/>
      <c r="W143"/>
      <c r="X143"/>
      <c r="Y143"/>
      <c r="AA143"/>
      <c r="AB143"/>
      <c r="AC143"/>
      <c r="AG143"/>
      <c r="AK143"/>
      <c r="AV143" s="233"/>
    </row>
    <row r="144" spans="1:61" x14ac:dyDescent="0.25">
      <c r="E144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</row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spans="5:37" x14ac:dyDescent="0.25">
      <c r="E177"/>
      <c r="K177"/>
      <c r="O177"/>
      <c r="S177"/>
      <c r="W177"/>
      <c r="X177"/>
      <c r="Y177"/>
      <c r="AA177"/>
      <c r="AB177"/>
      <c r="AC177"/>
      <c r="AG177"/>
      <c r="AK177"/>
    </row>
    <row r="178" spans="5:37" x14ac:dyDescent="0.25">
      <c r="E178"/>
      <c r="K178"/>
      <c r="O178"/>
      <c r="S178"/>
      <c r="W178"/>
      <c r="X178"/>
      <c r="Y178"/>
      <c r="AA178"/>
      <c r="AB178"/>
      <c r="AC178"/>
      <c r="AG178"/>
      <c r="AK178"/>
    </row>
    <row r="179" spans="5:37" x14ac:dyDescent="0.25">
      <c r="E179"/>
      <c r="K179"/>
      <c r="O179"/>
      <c r="S179"/>
      <c r="W179"/>
      <c r="X179"/>
      <c r="Y179"/>
      <c r="AA179"/>
      <c r="AB179"/>
      <c r="AC179"/>
      <c r="AG179"/>
      <c r="AK179"/>
    </row>
    <row r="180" spans="5:37" x14ac:dyDescent="0.25">
      <c r="E180"/>
      <c r="K180"/>
      <c r="O180"/>
      <c r="S180"/>
      <c r="W180"/>
      <c r="X180"/>
      <c r="Y180"/>
      <c r="AA180"/>
      <c r="AB180"/>
      <c r="AC180"/>
      <c r="AG180"/>
      <c r="AK180"/>
    </row>
    <row r="181" spans="5:37" x14ac:dyDescent="0.25">
      <c r="E181"/>
      <c r="K181"/>
      <c r="O181"/>
      <c r="S181"/>
      <c r="W181"/>
      <c r="X181"/>
      <c r="Y181"/>
      <c r="AA181"/>
      <c r="AB181"/>
      <c r="AC181"/>
      <c r="AG181"/>
      <c r="AK181"/>
    </row>
    <row r="182" spans="5:37" x14ac:dyDescent="0.25">
      <c r="E182"/>
    </row>
    <row r="183" spans="5:37" x14ac:dyDescent="0.25">
      <c r="E183"/>
    </row>
  </sheetData>
  <mergeCells count="39">
    <mergeCell ref="C1:AQ1"/>
    <mergeCell ref="C133:C141"/>
    <mergeCell ref="V3:W3"/>
    <mergeCell ref="C105:C112"/>
    <mergeCell ref="C115:C117"/>
    <mergeCell ref="C119:C121"/>
    <mergeCell ref="C123:C130"/>
    <mergeCell ref="J3:K3"/>
    <mergeCell ref="L3:M3"/>
    <mergeCell ref="P3:Q3"/>
    <mergeCell ref="R3:S3"/>
    <mergeCell ref="T3:U3"/>
    <mergeCell ref="AH3:AI3"/>
    <mergeCell ref="AJ3:AK3"/>
    <mergeCell ref="Z3:AA3"/>
    <mergeCell ref="AP3:AQ3"/>
    <mergeCell ref="C95:D95"/>
    <mergeCell ref="N3:O3"/>
    <mergeCell ref="C93:D93"/>
    <mergeCell ref="C39:D39"/>
    <mergeCell ref="C47:D47"/>
    <mergeCell ref="C55:D55"/>
    <mergeCell ref="C79:D79"/>
    <mergeCell ref="C91:D91"/>
    <mergeCell ref="C92:D92"/>
    <mergeCell ref="F3:G3"/>
    <mergeCell ref="H3:I3"/>
    <mergeCell ref="E4:E92"/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</mergeCells>
  <printOptions horizontalCentered="1" verticalCentered="1"/>
  <pageMargins left="0" right="0" top="0" bottom="0" header="0" footer="0"/>
  <pageSetup scale="2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96633"/>
    <pageSetUpPr fitToPage="1"/>
  </sheetPr>
  <dimension ref="A1:BN108"/>
  <sheetViews>
    <sheetView topLeftCell="A13" zoomScale="110" zoomScaleNormal="110" zoomScaleSheetLayoutView="98" workbookViewId="0">
      <pane xSplit="8" topLeftCell="S1" activePane="topRight" state="frozen"/>
      <selection activeCell="BG78" sqref="BG78"/>
      <selection pane="topRight" activeCell="AC18" sqref="AC18"/>
    </sheetView>
  </sheetViews>
  <sheetFormatPr defaultColWidth="9.140625" defaultRowHeight="15" x14ac:dyDescent="0.25"/>
  <cols>
    <col min="1" max="1" width="16.85546875" style="279" hidden="1" customWidth="1"/>
    <col min="2" max="2" width="56.7109375" hidden="1" customWidth="1"/>
    <col min="3" max="3" width="6.140625" style="280" hidden="1" customWidth="1"/>
    <col min="4" max="4" width="11.140625" style="283" hidden="1" customWidth="1"/>
    <col min="5" max="5" width="8.140625" hidden="1" customWidth="1"/>
    <col min="6" max="6" width="13.28515625" customWidth="1"/>
    <col min="7" max="7" width="8.42578125" style="261" bestFit="1" customWidth="1"/>
    <col min="8" max="8" width="55" bestFit="1" customWidth="1"/>
    <col min="9" max="10" width="11.7109375" bestFit="1" customWidth="1"/>
    <col min="11" max="11" width="11.7109375" customWidth="1"/>
    <col min="12" max="12" width="14.28515625" customWidth="1"/>
    <col min="13" max="13" width="14.28515625" hidden="1" customWidth="1"/>
    <col min="14" max="14" width="14.140625" hidden="1" customWidth="1"/>
    <col min="15" max="15" width="17.140625" style="149" customWidth="1"/>
    <col min="16" max="16" width="11.7109375" customWidth="1"/>
    <col min="17" max="18" width="12.28515625" customWidth="1"/>
    <col min="19" max="19" width="11.7109375" style="149" customWidth="1"/>
    <col min="20" max="20" width="11.7109375" customWidth="1"/>
    <col min="21" max="21" width="11.7109375" hidden="1" customWidth="1"/>
    <col min="22" max="22" width="14.140625" hidden="1" customWidth="1"/>
    <col min="23" max="23" width="11.7109375" style="149" customWidth="1"/>
    <col min="24" max="24" width="11.7109375" customWidth="1"/>
    <col min="25" max="25" width="11.7109375" hidden="1" customWidth="1"/>
    <col min="26" max="26" width="14.140625" hidden="1" customWidth="1"/>
    <col min="27" max="27" width="12.28515625" customWidth="1"/>
    <col min="28" max="28" width="11.7109375" customWidth="1"/>
    <col min="29" max="29" width="12.28515625" customWidth="1"/>
    <col min="30" max="30" width="11.7109375" customWidth="1"/>
    <col min="31" max="31" width="17.140625" customWidth="1"/>
    <col min="32" max="32" width="11.7109375" customWidth="1"/>
    <col min="33" max="33" width="11.7109375" hidden="1" customWidth="1"/>
    <col min="34" max="34" width="11.7109375" style="279" hidden="1" customWidth="1"/>
    <col min="35" max="35" width="12.85546875" style="279" hidden="1" customWidth="1"/>
    <col min="36" max="36" width="14.140625" hidden="1" customWidth="1"/>
    <col min="37" max="37" width="12.28515625" hidden="1" customWidth="1"/>
    <col min="38" max="38" width="11.7109375" hidden="1" customWidth="1"/>
    <col min="39" max="39" width="17.140625" hidden="1" customWidth="1"/>
    <col min="40" max="40" width="14.140625" hidden="1" customWidth="1"/>
    <col min="41" max="41" width="12.28515625" hidden="1" customWidth="1"/>
    <col min="42" max="42" width="11.7109375" hidden="1" customWidth="1"/>
    <col min="43" max="43" width="12.28515625" hidden="1" customWidth="1"/>
    <col min="44" max="44" width="11.7109375" hidden="1" customWidth="1"/>
    <col min="45" max="46" width="12.85546875" hidden="1" customWidth="1"/>
    <col min="47" max="47" width="12.28515625" hidden="1" customWidth="1"/>
    <col min="48" max="48" width="14.140625" hidden="1" customWidth="1"/>
    <col min="49" max="50" width="12.85546875" hidden="1" customWidth="1"/>
    <col min="51" max="51" width="12.28515625" hidden="1" customWidth="1"/>
    <col min="52" max="52" width="11.7109375" hidden="1" customWidth="1"/>
    <col min="53" max="54" width="12.85546875" hidden="1" customWidth="1"/>
    <col min="55" max="55" width="12.28515625" hidden="1" customWidth="1"/>
    <col min="56" max="56" width="11.7109375" hidden="1" customWidth="1"/>
    <col min="57" max="58" width="12.28515625" hidden="1" customWidth="1"/>
    <col min="59" max="59" width="12.85546875" hidden="1" customWidth="1"/>
    <col min="60" max="60" width="11.7109375" hidden="1" customWidth="1"/>
    <col min="61" max="62" width="12.85546875" hidden="1" customWidth="1"/>
    <col min="63" max="63" width="11.28515625" hidden="1" customWidth="1"/>
    <col min="64" max="64" width="11.28515625" bestFit="1" customWidth="1"/>
    <col min="65" max="66" width="11.42578125" bestFit="1" customWidth="1"/>
  </cols>
  <sheetData>
    <row r="1" spans="1:66" ht="22.9" x14ac:dyDescent="0.4">
      <c r="B1" s="17" t="s">
        <v>498</v>
      </c>
      <c r="C1" s="282"/>
      <c r="G1" s="908"/>
      <c r="H1" s="389" t="s">
        <v>498</v>
      </c>
      <c r="I1" s="4525"/>
      <c r="J1" s="4525"/>
      <c r="K1" s="4525"/>
      <c r="L1" s="4525"/>
      <c r="M1" s="4525"/>
      <c r="N1" s="4525"/>
      <c r="O1" s="4525"/>
      <c r="P1" s="4525"/>
      <c r="Q1" s="4525"/>
      <c r="R1" s="4525"/>
      <c r="S1" s="4525"/>
      <c r="T1" s="4525"/>
      <c r="U1" s="4525"/>
      <c r="V1" s="4525"/>
      <c r="W1" s="4525"/>
      <c r="X1" s="4525"/>
      <c r="Y1" s="4525"/>
      <c r="Z1" s="4525"/>
      <c r="AA1" s="4525"/>
      <c r="AB1" s="4525"/>
      <c r="AC1" s="4525"/>
      <c r="AD1" s="4525"/>
      <c r="AE1" s="4525"/>
      <c r="AF1" s="4525"/>
      <c r="AG1" s="4525"/>
      <c r="AH1" s="4525"/>
      <c r="AI1" s="4525"/>
      <c r="AJ1" s="4684"/>
      <c r="AK1" s="4684"/>
      <c r="AL1" s="4684"/>
      <c r="AM1" s="4525"/>
      <c r="AN1" s="4525"/>
    </row>
    <row r="2" spans="1:66" ht="14.45" x14ac:dyDescent="0.3">
      <c r="B2" s="4"/>
      <c r="C2" s="282"/>
      <c r="G2" s="908"/>
      <c r="H2" s="45"/>
      <c r="I2" s="45"/>
      <c r="J2" s="93"/>
      <c r="K2" s="93"/>
      <c r="L2" s="93"/>
      <c r="M2" s="93"/>
      <c r="N2" s="93"/>
      <c r="O2" s="154"/>
      <c r="P2" s="93"/>
      <c r="Q2" s="93"/>
      <c r="R2" s="93"/>
      <c r="S2" s="154"/>
      <c r="T2" s="93"/>
      <c r="U2" s="93"/>
      <c r="V2" s="93"/>
      <c r="W2" s="154"/>
      <c r="X2" s="93"/>
      <c r="Y2" s="93"/>
      <c r="Z2" s="93"/>
      <c r="AA2" s="93"/>
      <c r="AB2" s="4445"/>
      <c r="AC2" s="93"/>
      <c r="AD2" s="93"/>
      <c r="AE2" s="93"/>
      <c r="AF2" s="93"/>
      <c r="AH2" s="4445"/>
      <c r="AI2" s="93"/>
      <c r="AK2" s="1219"/>
    </row>
    <row r="3" spans="1:66" thickBot="1" x14ac:dyDescent="0.35">
      <c r="B3" s="24"/>
      <c r="C3" s="25"/>
      <c r="D3" s="284">
        <v>30</v>
      </c>
      <c r="E3" s="284">
        <v>31</v>
      </c>
      <c r="G3" s="908"/>
      <c r="H3" s="45"/>
      <c r="I3" s="202">
        <v>30</v>
      </c>
      <c r="J3" s="347">
        <v>30</v>
      </c>
      <c r="K3" s="347">
        <v>31</v>
      </c>
      <c r="L3" s="347">
        <v>31</v>
      </c>
      <c r="M3" s="909">
        <f>+I3+K3</f>
        <v>61</v>
      </c>
      <c r="N3" s="909">
        <f>+J3+L3</f>
        <v>61</v>
      </c>
      <c r="O3" s="641">
        <v>30</v>
      </c>
      <c r="P3" s="347">
        <v>30</v>
      </c>
      <c r="Q3" s="347">
        <f>+M3+O3</f>
        <v>91</v>
      </c>
      <c r="R3" s="347">
        <f>+N3+P3</f>
        <v>91</v>
      </c>
      <c r="S3" s="579">
        <v>31</v>
      </c>
      <c r="T3" s="347">
        <v>31</v>
      </c>
      <c r="U3" s="909">
        <f>+Q3+S3</f>
        <v>122</v>
      </c>
      <c r="V3" s="909">
        <f>+R3+T3</f>
        <v>122</v>
      </c>
      <c r="W3" s="579">
        <v>31</v>
      </c>
      <c r="X3" s="347">
        <v>31</v>
      </c>
      <c r="Y3" s="909">
        <f>+U3+W3</f>
        <v>153</v>
      </c>
      <c r="Z3" s="909">
        <f>+V3+X3</f>
        <v>153</v>
      </c>
      <c r="AA3" s="347">
        <v>30</v>
      </c>
      <c r="AB3" s="347">
        <v>30</v>
      </c>
      <c r="AC3" s="347">
        <f>+AA3+W3+S3</f>
        <v>92</v>
      </c>
      <c r="AD3" s="347">
        <f>+AB3+X3+T3</f>
        <v>92</v>
      </c>
      <c r="AE3" s="909">
        <f>+Y3+AA3</f>
        <v>183</v>
      </c>
      <c r="AF3" s="909">
        <f>+Z3+AB3</f>
        <v>183</v>
      </c>
      <c r="AG3" s="347">
        <v>31</v>
      </c>
      <c r="AH3" s="347">
        <v>31</v>
      </c>
      <c r="AI3" s="909">
        <f>+AE3+AG3</f>
        <v>214</v>
      </c>
      <c r="AJ3" s="909">
        <f>+AF3+AH3</f>
        <v>214</v>
      </c>
      <c r="AK3" s="347">
        <v>30</v>
      </c>
      <c r="AL3" s="347">
        <v>30</v>
      </c>
      <c r="AM3" s="909">
        <f>+AI3+AK3</f>
        <v>244</v>
      </c>
      <c r="AN3" s="909">
        <f>+AJ3+AL3</f>
        <v>244</v>
      </c>
      <c r="AO3" s="347">
        <v>31</v>
      </c>
      <c r="AP3" s="347">
        <v>31</v>
      </c>
      <c r="AQ3" s="347">
        <f>+AO3+AK3+AG3</f>
        <v>92</v>
      </c>
      <c r="AR3" s="347">
        <f>+AP3+AL3+AH3</f>
        <v>92</v>
      </c>
      <c r="AS3" s="909">
        <f>+AM3+AO3</f>
        <v>275</v>
      </c>
      <c r="AT3" s="909">
        <f>+AN3+AP3</f>
        <v>275</v>
      </c>
      <c r="AU3" s="347">
        <v>31</v>
      </c>
      <c r="AV3" s="347">
        <v>31</v>
      </c>
      <c r="AW3" s="909">
        <f>+AS3+AU3</f>
        <v>306</v>
      </c>
      <c r="AX3" s="909">
        <f>+AT3+AV3</f>
        <v>306</v>
      </c>
      <c r="AY3" s="347">
        <v>28</v>
      </c>
      <c r="AZ3" s="347">
        <v>28</v>
      </c>
      <c r="BA3" s="909">
        <f>+AW3+AY3</f>
        <v>334</v>
      </c>
      <c r="BB3" s="909">
        <f>+AX3+AZ3</f>
        <v>334</v>
      </c>
      <c r="BC3" s="347">
        <v>31</v>
      </c>
      <c r="BD3" s="347">
        <v>31</v>
      </c>
      <c r="BE3" s="347">
        <f>+BC3+AY3+AU3</f>
        <v>90</v>
      </c>
      <c r="BF3" s="347">
        <f>+BD3+AZ3+AV3</f>
        <v>90</v>
      </c>
      <c r="BG3" s="909">
        <f>AQ3+BE3</f>
        <v>182</v>
      </c>
      <c r="BH3" s="909">
        <f>AR3+BF3</f>
        <v>182</v>
      </c>
      <c r="BI3" s="909">
        <f>+BA3+BC3</f>
        <v>365</v>
      </c>
      <c r="BJ3" s="909">
        <f>+BB3+BD3</f>
        <v>365</v>
      </c>
    </row>
    <row r="4" spans="1:66" ht="22.5" x14ac:dyDescent="0.25">
      <c r="B4" s="285" t="s">
        <v>135</v>
      </c>
      <c r="C4" s="6218" t="s">
        <v>172</v>
      </c>
      <c r="D4" s="286" t="s">
        <v>677</v>
      </c>
      <c r="E4" s="287" t="s">
        <v>678</v>
      </c>
      <c r="G4" s="910"/>
      <c r="H4" s="1419" t="s">
        <v>135</v>
      </c>
      <c r="I4" s="6222" t="s">
        <v>2190</v>
      </c>
      <c r="J4" s="5724"/>
      <c r="K4" s="6129" t="s">
        <v>2242</v>
      </c>
      <c r="L4" s="6203"/>
      <c r="M4" s="6204" t="s">
        <v>14</v>
      </c>
      <c r="N4" s="6205"/>
      <c r="O4" s="6223" t="s">
        <v>2273</v>
      </c>
      <c r="P4" s="5724"/>
      <c r="Q4" s="6210" t="s">
        <v>799</v>
      </c>
      <c r="R4" s="6211"/>
      <c r="S4" s="6129" t="s">
        <v>2296</v>
      </c>
      <c r="T4" s="6203"/>
      <c r="U4" s="6204" t="s">
        <v>17</v>
      </c>
      <c r="V4" s="6205"/>
      <c r="W4" s="6129" t="s">
        <v>2299</v>
      </c>
      <c r="X4" s="6203"/>
      <c r="Y4" s="6204" t="s">
        <v>18</v>
      </c>
      <c r="Z4" s="6205"/>
      <c r="AA4" s="6129" t="s">
        <v>2344</v>
      </c>
      <c r="AB4" s="6203"/>
      <c r="AC4" s="6210" t="s">
        <v>839</v>
      </c>
      <c r="AD4" s="6211"/>
      <c r="AE4" s="6212" t="s">
        <v>657</v>
      </c>
      <c r="AF4" s="6213"/>
      <c r="AG4" s="6129" t="s">
        <v>1954</v>
      </c>
      <c r="AH4" s="6203"/>
      <c r="AI4" s="6204" t="s">
        <v>24</v>
      </c>
      <c r="AJ4" s="6205"/>
      <c r="AK4" s="6129" t="s">
        <v>1970</v>
      </c>
      <c r="AL4" s="6203"/>
      <c r="AM4" s="6204" t="s">
        <v>27</v>
      </c>
      <c r="AN4" s="6205"/>
      <c r="AO4" s="6129" t="s">
        <v>1985</v>
      </c>
      <c r="AP4" s="6203"/>
      <c r="AQ4" s="6210" t="s">
        <v>1665</v>
      </c>
      <c r="AR4" s="6211"/>
      <c r="AS4" s="6204" t="s">
        <v>1666</v>
      </c>
      <c r="AT4" s="6205"/>
      <c r="AU4" s="6129" t="s">
        <v>2085</v>
      </c>
      <c r="AV4" s="6203"/>
      <c r="AW4" s="6204" t="s">
        <v>28</v>
      </c>
      <c r="AX4" s="6205"/>
      <c r="AY4" s="6129" t="s">
        <v>2099</v>
      </c>
      <c r="AZ4" s="6203"/>
      <c r="BA4" s="6204" t="s">
        <v>30</v>
      </c>
      <c r="BB4" s="6205"/>
      <c r="BC4" s="6129" t="s">
        <v>2111</v>
      </c>
      <c r="BD4" s="6203"/>
      <c r="BE4" s="6210" t="s">
        <v>1709</v>
      </c>
      <c r="BF4" s="6211"/>
      <c r="BG4" s="6212" t="s">
        <v>671</v>
      </c>
      <c r="BH4" s="6213"/>
      <c r="BI4" s="6204" t="s">
        <v>1745</v>
      </c>
      <c r="BJ4" s="6205"/>
    </row>
    <row r="5" spans="1:66" ht="15.75" thickBot="1" x14ac:dyDescent="0.3">
      <c r="A5" s="274" t="s">
        <v>745</v>
      </c>
      <c r="B5" s="288" t="s">
        <v>414</v>
      </c>
      <c r="C5" s="6219"/>
      <c r="D5" s="286" t="s">
        <v>174</v>
      </c>
      <c r="E5" s="287" t="s">
        <v>174</v>
      </c>
      <c r="G5" s="912"/>
      <c r="H5" s="894"/>
      <c r="I5" s="1310" t="s">
        <v>173</v>
      </c>
      <c r="J5" s="706" t="s">
        <v>174</v>
      </c>
      <c r="K5" s="706" t="s">
        <v>173</v>
      </c>
      <c r="L5" s="784" t="s">
        <v>174</v>
      </c>
      <c r="M5" s="707" t="s">
        <v>173</v>
      </c>
      <c r="N5" s="913" t="s">
        <v>174</v>
      </c>
      <c r="O5" s="1556" t="s">
        <v>173</v>
      </c>
      <c r="P5" s="706" t="s">
        <v>174</v>
      </c>
      <c r="Q5" s="708" t="s">
        <v>173</v>
      </c>
      <c r="R5" s="914" t="s">
        <v>174</v>
      </c>
      <c r="S5" s="813" t="s">
        <v>173</v>
      </c>
      <c r="T5" s="784" t="s">
        <v>174</v>
      </c>
      <c r="U5" s="707" t="s">
        <v>173</v>
      </c>
      <c r="V5" s="913" t="s">
        <v>174</v>
      </c>
      <c r="W5" s="813" t="s">
        <v>173</v>
      </c>
      <c r="X5" s="784" t="s">
        <v>174</v>
      </c>
      <c r="Y5" s="707" t="s">
        <v>173</v>
      </c>
      <c r="Z5" s="913" t="s">
        <v>174</v>
      </c>
      <c r="AA5" s="813" t="s">
        <v>173</v>
      </c>
      <c r="AB5" s="784" t="s">
        <v>174</v>
      </c>
      <c r="AC5" s="708" t="s">
        <v>173</v>
      </c>
      <c r="AD5" s="914" t="s">
        <v>174</v>
      </c>
      <c r="AE5" s="800" t="s">
        <v>173</v>
      </c>
      <c r="AF5" s="802" t="s">
        <v>174</v>
      </c>
      <c r="AG5" s="813" t="s">
        <v>173</v>
      </c>
      <c r="AH5" s="784" t="s">
        <v>174</v>
      </c>
      <c r="AI5" s="707" t="s">
        <v>173</v>
      </c>
      <c r="AJ5" s="913" t="s">
        <v>174</v>
      </c>
      <c r="AK5" s="813" t="s">
        <v>173</v>
      </c>
      <c r="AL5" s="784" t="s">
        <v>174</v>
      </c>
      <c r="AM5" s="707" t="s">
        <v>173</v>
      </c>
      <c r="AN5" s="913" t="s">
        <v>174</v>
      </c>
      <c r="AO5" s="813" t="s">
        <v>173</v>
      </c>
      <c r="AP5" s="784" t="s">
        <v>174</v>
      </c>
      <c r="AQ5" s="708" t="s">
        <v>173</v>
      </c>
      <c r="AR5" s="914" t="s">
        <v>174</v>
      </c>
      <c r="AS5" s="707" t="s">
        <v>173</v>
      </c>
      <c r="AT5" s="913" t="s">
        <v>174</v>
      </c>
      <c r="AU5" s="813" t="s">
        <v>173</v>
      </c>
      <c r="AV5" s="784" t="s">
        <v>174</v>
      </c>
      <c r="AW5" s="707" t="s">
        <v>173</v>
      </c>
      <c r="AX5" s="913" t="s">
        <v>174</v>
      </c>
      <c r="AY5" s="813" t="s">
        <v>173</v>
      </c>
      <c r="AZ5" s="784" t="s">
        <v>174</v>
      </c>
      <c r="BA5" s="707" t="s">
        <v>173</v>
      </c>
      <c r="BB5" s="913" t="s">
        <v>174</v>
      </c>
      <c r="BC5" s="813" t="s">
        <v>173</v>
      </c>
      <c r="BD5" s="784" t="s">
        <v>174</v>
      </c>
      <c r="BE5" s="708" t="s">
        <v>173</v>
      </c>
      <c r="BF5" s="914" t="s">
        <v>174</v>
      </c>
      <c r="BG5" s="800" t="s">
        <v>173</v>
      </c>
      <c r="BH5" s="802" t="s">
        <v>174</v>
      </c>
      <c r="BI5" s="707" t="s">
        <v>173</v>
      </c>
      <c r="BJ5" s="913" t="s">
        <v>174</v>
      </c>
    </row>
    <row r="6" spans="1:66" ht="15.6" x14ac:dyDescent="0.3">
      <c r="A6" s="274">
        <v>1</v>
      </c>
      <c r="B6" s="289" t="s">
        <v>482</v>
      </c>
      <c r="C6" s="16" t="s">
        <v>213</v>
      </c>
      <c r="D6" s="290">
        <v>0</v>
      </c>
      <c r="E6" s="291">
        <v>0</v>
      </c>
      <c r="G6" s="915">
        <v>1</v>
      </c>
      <c r="H6" s="1420" t="s">
        <v>746</v>
      </c>
      <c r="I6" s="1425">
        <f>SUM(I7:I12)</f>
        <v>117492740.92272873</v>
      </c>
      <c r="J6" s="320">
        <f>SUM(J7:J12)</f>
        <v>105928267.36799993</v>
      </c>
      <c r="K6" s="1425">
        <f>SUM(K7:K12)</f>
        <v>121454935.41389656</v>
      </c>
      <c r="L6" s="323">
        <f>SUM(L7:L12)</f>
        <v>114960272.7</v>
      </c>
      <c r="M6" s="917">
        <f>+I6+K6</f>
        <v>238947676.33662528</v>
      </c>
      <c r="N6" s="917">
        <f>+J6+L6</f>
        <v>220888540.06799993</v>
      </c>
      <c r="O6" s="1425">
        <f>SUM(O7:O12)</f>
        <v>117487319.29746184</v>
      </c>
      <c r="P6" s="323">
        <f>SUM(P7:P12)</f>
        <v>113968475.50000009</v>
      </c>
      <c r="Q6" s="1503">
        <f>+I6+K6+O6</f>
        <v>356434995.63408709</v>
      </c>
      <c r="R6" s="360">
        <f>+J6+L6+P6</f>
        <v>334857015.56800002</v>
      </c>
      <c r="S6" s="1425">
        <f>SUM(S7:S12)</f>
        <v>120523307.19417045</v>
      </c>
      <c r="T6" s="323">
        <f>SUM(T7:T12)</f>
        <v>118817106.33600004</v>
      </c>
      <c r="U6" s="917">
        <f>+Q6+S6</f>
        <v>476958302.82825756</v>
      </c>
      <c r="V6" s="917">
        <f>+R6+T6</f>
        <v>453674121.90400004</v>
      </c>
      <c r="W6" s="1425">
        <f>SUM(W7:W12)</f>
        <v>120523307.19417045</v>
      </c>
      <c r="X6" s="323">
        <f>SUM(X7:X12)</f>
        <v>115814820.9999999</v>
      </c>
      <c r="Y6" s="917">
        <f>+U6+W6</f>
        <v>597481610.02242804</v>
      </c>
      <c r="Z6" s="917">
        <f>+V6+X6</f>
        <v>569488942.90399992</v>
      </c>
      <c r="AA6" s="1425">
        <f>SUM(AA7:AA12)</f>
        <v>83308631.099244505</v>
      </c>
      <c r="AB6" s="323">
        <f>SUM(AB7:AB12)</f>
        <v>113325124</v>
      </c>
      <c r="AC6" s="1503">
        <f>S6+W6+AA6</f>
        <v>324355245.48758543</v>
      </c>
      <c r="AD6" s="360">
        <f>T6+X6+AB6</f>
        <v>347957051.33599997</v>
      </c>
      <c r="AE6" s="918">
        <f>Q6+AC6</f>
        <v>680790241.12167251</v>
      </c>
      <c r="AF6" s="918">
        <f>R6+AD6</f>
        <v>682814066.90400004</v>
      </c>
      <c r="AG6" s="1425">
        <f>SUM(AG7:AG12)</f>
        <v>119654488.74522722</v>
      </c>
      <c r="AH6" s="320">
        <f>SUM(AH7:AH12)</f>
        <v>112905730.99999997</v>
      </c>
      <c r="AI6" s="917">
        <f>+AE6+AG6</f>
        <v>800444729.86689973</v>
      </c>
      <c r="AJ6" s="917">
        <f>+AF6+AH6</f>
        <v>795719797.90400004</v>
      </c>
      <c r="AK6" s="1425">
        <f>SUM(AK7:AK12)</f>
        <v>115853245.48355758</v>
      </c>
      <c r="AL6" s="320">
        <f>SUM(AL7:AL12)</f>
        <v>49694294.32</v>
      </c>
      <c r="AM6" s="917">
        <f>+AI6+AK6</f>
        <v>916297975.35045731</v>
      </c>
      <c r="AN6" s="917">
        <f>+AJ6+AL6</f>
        <v>845414092.2240001</v>
      </c>
      <c r="AO6" s="1425">
        <f>SUM(AO7:AO12)</f>
        <v>119654488.74522725</v>
      </c>
      <c r="AP6" s="320">
        <f>SUM(AP7:AP12)</f>
        <v>109930729</v>
      </c>
      <c r="AQ6" s="1503">
        <f>AG6+AK6+AO6</f>
        <v>355162222.97401202</v>
      </c>
      <c r="AR6" s="360">
        <f>AH6+AL6+AP6</f>
        <v>272530754.31999993</v>
      </c>
      <c r="AS6" s="917">
        <f>+AM6+AO6</f>
        <v>1035952464.0956845</v>
      </c>
      <c r="AT6" s="916">
        <f>+AN6+AP6</f>
        <v>955344821.2240001</v>
      </c>
      <c r="AU6" s="1425">
        <f>SUM(AU7:AU12)</f>
        <v>119654488.74522725</v>
      </c>
      <c r="AV6" s="323">
        <f>SUM(AV7:AV12)</f>
        <v>110785005.104</v>
      </c>
      <c r="AW6" s="917">
        <f>+AS6+AU6</f>
        <v>1155606952.8409119</v>
      </c>
      <c r="AX6" s="916">
        <f>+AT6+AV6</f>
        <v>1066129826.3280001</v>
      </c>
      <c r="AY6" s="1425">
        <f>SUM(AY7:AY12)</f>
        <v>107860937.62938064</v>
      </c>
      <c r="AZ6" s="323">
        <f>SUM(AZ7:AZ12)</f>
        <v>101744654</v>
      </c>
      <c r="BA6" s="917">
        <f>+AW6+AY6</f>
        <v>1263467890.4702926</v>
      </c>
      <c r="BB6" s="916">
        <f>+AX6+AZ6</f>
        <v>1167874480.3280001</v>
      </c>
      <c r="BC6" s="1425">
        <f>SUM(BC7:BC12)</f>
        <v>120188377.92728528</v>
      </c>
      <c r="BD6" s="323">
        <f>SUM(BD7:BD12)</f>
        <v>113782918</v>
      </c>
      <c r="BE6" s="1503">
        <f>AU6+AY6+BC6</f>
        <v>347703804.30189317</v>
      </c>
      <c r="BF6" s="360">
        <f>AV6+AZ6+BD6</f>
        <v>326312577.10399997</v>
      </c>
      <c r="BG6" s="918">
        <f>AQ6+BE6</f>
        <v>702866027.27590513</v>
      </c>
      <c r="BH6" s="918">
        <f>AR6+BF6</f>
        <v>598843331.42399991</v>
      </c>
      <c r="BI6" s="917">
        <f t="shared" ref="BI6:BJ12" si="0">+BA6+BC6</f>
        <v>1383656268.3975778</v>
      </c>
      <c r="BJ6" s="916">
        <f t="shared" si="0"/>
        <v>1281657398.3280001</v>
      </c>
      <c r="BK6" s="26"/>
      <c r="BL6" s="26"/>
      <c r="BM6" s="1219"/>
      <c r="BN6" s="1219"/>
    </row>
    <row r="7" spans="1:66" ht="14.45" x14ac:dyDescent="0.3">
      <c r="A7" s="274">
        <v>2</v>
      </c>
      <c r="B7" s="292" t="s">
        <v>587</v>
      </c>
      <c r="C7" s="13" t="s">
        <v>213</v>
      </c>
      <c r="D7" s="293">
        <v>29290499.99999997</v>
      </c>
      <c r="E7" s="294">
        <v>29010500</v>
      </c>
      <c r="G7" s="912">
        <v>1.1000000000000001</v>
      </c>
      <c r="H7" s="894" t="s">
        <v>482</v>
      </c>
      <c r="I7" s="1426">
        <f t="shared" ref="I7:I12" si="1">+I56*I$3*24*1000</f>
        <v>0</v>
      </c>
      <c r="J7" s="321">
        <v>0</v>
      </c>
      <c r="K7" s="1426">
        <f t="shared" ref="K7" si="2">+K56*K$3*24*1000</f>
        <v>0</v>
      </c>
      <c r="L7" s="321"/>
      <c r="M7" s="919">
        <f t="shared" ref="M7:N47" si="3">+I7+K7</f>
        <v>0</v>
      </c>
      <c r="N7" s="919">
        <f t="shared" si="3"/>
        <v>0</v>
      </c>
      <c r="O7" s="1426">
        <f t="shared" ref="O7:O12" si="4">+O56*O$3*24*1000</f>
        <v>0</v>
      </c>
      <c r="P7" s="321"/>
      <c r="Q7" s="1504">
        <f t="shared" ref="Q7:Q47" si="5">+I7+K7+O7</f>
        <v>0</v>
      </c>
      <c r="R7" s="358">
        <f t="shared" ref="R7:R47" si="6">+J7+L7+P7</f>
        <v>0</v>
      </c>
      <c r="S7" s="1426">
        <f t="shared" ref="S7:S12" si="7">+S56*S$3*24*1000</f>
        <v>0</v>
      </c>
      <c r="T7" s="321">
        <v>0</v>
      </c>
      <c r="U7" s="919">
        <f t="shared" ref="U7:U33" si="8">+Q7+S7</f>
        <v>0</v>
      </c>
      <c r="V7" s="919">
        <f t="shared" ref="V7:V33" si="9">+R7+T7</f>
        <v>0</v>
      </c>
      <c r="W7" s="1426">
        <f t="shared" ref="W7:W12" si="10">+W56*W$3*24*1000</f>
        <v>0</v>
      </c>
      <c r="X7" s="321"/>
      <c r="Y7" s="919">
        <f t="shared" ref="Y7:Y33" si="11">+U7+W7</f>
        <v>0</v>
      </c>
      <c r="Z7" s="919">
        <f t="shared" ref="Z7:Z33" si="12">+V7+X7</f>
        <v>0</v>
      </c>
      <c r="AA7" s="1426">
        <f t="shared" ref="AA7:AA12" si="13">+AA56*AA$3*24*1000</f>
        <v>0</v>
      </c>
      <c r="AB7" s="321"/>
      <c r="AC7" s="1504">
        <f>S7+W7+AA7</f>
        <v>0</v>
      </c>
      <c r="AD7" s="1504">
        <f>T7+X7+AB7</f>
        <v>0</v>
      </c>
      <c r="AE7" s="921">
        <f>Q7+AC7</f>
        <v>0</v>
      </c>
      <c r="AF7" s="921">
        <f>R7+AD7</f>
        <v>0</v>
      </c>
      <c r="AG7" s="1426">
        <f t="shared" ref="AG7:AG12" si="14">+AG56*AG$3*24*1000</f>
        <v>0</v>
      </c>
      <c r="AH7" s="321">
        <v>0</v>
      </c>
      <c r="AI7" s="919">
        <f t="shared" ref="AI7:AI33" si="15">+AE7+AG7</f>
        <v>0</v>
      </c>
      <c r="AJ7" s="919">
        <f t="shared" ref="AJ7:AJ33" si="16">+AF7+AH7</f>
        <v>0</v>
      </c>
      <c r="AK7" s="1426">
        <f t="shared" ref="AK7:AK12" si="17">+AK56*AK$3*24*1000</f>
        <v>0</v>
      </c>
      <c r="AL7" s="321">
        <v>0</v>
      </c>
      <c r="AM7" s="919">
        <f t="shared" ref="AM7:AM33" si="18">+AI7+AK7</f>
        <v>0</v>
      </c>
      <c r="AN7" s="919">
        <f t="shared" ref="AN7:AN33" si="19">+AJ7+AL7</f>
        <v>0</v>
      </c>
      <c r="AO7" s="1426">
        <f t="shared" ref="AO7:AO12" si="20">+AO56*AO$3*24*1000</f>
        <v>0</v>
      </c>
      <c r="AP7" s="321">
        <v>0</v>
      </c>
      <c r="AQ7" s="1504">
        <f>AG7+AK7+AO7</f>
        <v>0</v>
      </c>
      <c r="AR7" s="1504">
        <f>AH7+AL7+AP7</f>
        <v>0</v>
      </c>
      <c r="AS7" s="919">
        <f t="shared" ref="AS7:AS33" si="21">+AM7+AO7</f>
        <v>0</v>
      </c>
      <c r="AT7" s="919">
        <f t="shared" ref="AT7:AT33" si="22">+AN7+AP7</f>
        <v>0</v>
      </c>
      <c r="AU7" s="1426">
        <f t="shared" ref="AU7:AU12" si="23">+AU56*AU$3*24*1000</f>
        <v>0</v>
      </c>
      <c r="AV7" s="321">
        <v>0</v>
      </c>
      <c r="AW7" s="919">
        <f t="shared" ref="AW7:AW33" si="24">+AS7+AU7</f>
        <v>0</v>
      </c>
      <c r="AX7" s="919">
        <f t="shared" ref="AX7:AX33" si="25">+AT7+AV7</f>
        <v>0</v>
      </c>
      <c r="AY7" s="1426">
        <f t="shared" ref="AY7:AY12" si="26">+AY56*AY$3*24*1000</f>
        <v>0</v>
      </c>
      <c r="AZ7" s="321">
        <v>0</v>
      </c>
      <c r="BA7" s="919">
        <f t="shared" ref="BA7:BA33" si="27">+AW7+AY7</f>
        <v>0</v>
      </c>
      <c r="BB7" s="919">
        <f t="shared" ref="BB7:BB33" si="28">+AX7+AZ7</f>
        <v>0</v>
      </c>
      <c r="BC7" s="1426">
        <f t="shared" ref="BC7:BC12" si="29">+BC56*BC$3*24*1000</f>
        <v>0</v>
      </c>
      <c r="BD7" s="321">
        <v>0</v>
      </c>
      <c r="BE7" s="1504">
        <f>AU7+AY7+BC7</f>
        <v>0</v>
      </c>
      <c r="BF7" s="1504">
        <f>AV7+AZ7+BD7</f>
        <v>0</v>
      </c>
      <c r="BG7" s="921">
        <f>AQ7+BE7</f>
        <v>0</v>
      </c>
      <c r="BH7" s="921">
        <f>AR7+BF7</f>
        <v>0</v>
      </c>
      <c r="BI7" s="919">
        <f t="shared" si="0"/>
        <v>0</v>
      </c>
      <c r="BJ7" s="919">
        <f t="shared" si="0"/>
        <v>0</v>
      </c>
      <c r="BK7" s="26"/>
      <c r="BL7" s="26"/>
      <c r="BM7" s="1219"/>
      <c r="BN7" s="1219"/>
    </row>
    <row r="8" spans="1:66" ht="14.45" x14ac:dyDescent="0.3">
      <c r="A8" s="274">
        <v>3</v>
      </c>
      <c r="B8" s="295" t="s">
        <v>483</v>
      </c>
      <c r="C8" s="13" t="s">
        <v>213</v>
      </c>
      <c r="D8" s="293">
        <v>3137000</v>
      </c>
      <c r="E8" s="294">
        <v>766000</v>
      </c>
      <c r="G8" s="912">
        <v>1.2</v>
      </c>
      <c r="H8" s="894" t="s">
        <v>587</v>
      </c>
      <c r="I8" s="1427">
        <f t="shared" si="1"/>
        <v>36091463.252194539</v>
      </c>
      <c r="J8" s="322">
        <v>28419199.999999925</v>
      </c>
      <c r="K8" s="1427">
        <f t="shared" ref="K8" si="30">+K57*K$3*24*1000</f>
        <v>39844723.250093497</v>
      </c>
      <c r="L8" s="322">
        <v>34689200</v>
      </c>
      <c r="M8" s="920">
        <f t="shared" si="3"/>
        <v>75936186.502288043</v>
      </c>
      <c r="N8" s="920">
        <f t="shared" si="3"/>
        <v>63108399.999999925</v>
      </c>
      <c r="O8" s="1427">
        <f t="shared" si="4"/>
        <v>38443313.060934715</v>
      </c>
      <c r="P8" s="322">
        <v>39300400.000000097</v>
      </c>
      <c r="Q8" s="1505">
        <f t="shared" ref="Q8:Q11" si="31">+I8+K8+O8</f>
        <v>114379499.56322277</v>
      </c>
      <c r="R8" s="359">
        <f t="shared" ref="R8:R11" si="32">+J8+L8+P8</f>
        <v>102408800.00000003</v>
      </c>
      <c r="S8" s="1427">
        <f t="shared" si="7"/>
        <v>39910513.372167096</v>
      </c>
      <c r="T8" s="322">
        <v>42763700.000000037</v>
      </c>
      <c r="U8" s="920">
        <f t="shared" si="8"/>
        <v>154290012.93538988</v>
      </c>
      <c r="V8" s="920">
        <f t="shared" si="9"/>
        <v>145172500.00000006</v>
      </c>
      <c r="W8" s="1427">
        <f t="shared" si="10"/>
        <v>39330490.682108618</v>
      </c>
      <c r="X8" s="322">
        <v>41038899.999999896</v>
      </c>
      <c r="Y8" s="920">
        <f t="shared" si="11"/>
        <v>193620503.61749849</v>
      </c>
      <c r="Z8" s="920">
        <f t="shared" si="12"/>
        <v>186211399.99999994</v>
      </c>
      <c r="AA8" s="1427">
        <f t="shared" si="13"/>
        <v>29457715.358904649</v>
      </c>
      <c r="AB8" s="322">
        <v>38265400</v>
      </c>
      <c r="AC8" s="1504">
        <f t="shared" ref="AC8:AC12" si="33">S8+W8+AA8</f>
        <v>108698719.41318037</v>
      </c>
      <c r="AD8" s="1504">
        <f t="shared" ref="AD8:AD12" si="34">T8+X8+AB8</f>
        <v>122067999.99999994</v>
      </c>
      <c r="AE8" s="921">
        <f t="shared" ref="AE8:AE12" si="35">Q8+AC8</f>
        <v>223078218.97640312</v>
      </c>
      <c r="AF8" s="921">
        <f t="shared" ref="AF8:AF12" si="36">R8+AD8</f>
        <v>224476799.99999997</v>
      </c>
      <c r="AG8" s="1427">
        <f t="shared" si="14"/>
        <v>39591106.959484957</v>
      </c>
      <c r="AH8" s="322">
        <v>30478299.999999974</v>
      </c>
      <c r="AI8" s="920">
        <f t="shared" si="15"/>
        <v>262669325.93588808</v>
      </c>
      <c r="AJ8" s="920">
        <f t="shared" si="16"/>
        <v>254955099.99999994</v>
      </c>
      <c r="AK8" s="1427">
        <f t="shared" si="17"/>
        <v>38489478.129143625</v>
      </c>
      <c r="AL8" s="322">
        <v>11127700</v>
      </c>
      <c r="AM8" s="920">
        <f t="shared" si="18"/>
        <v>301158804.06503171</v>
      </c>
      <c r="AN8" s="920">
        <f t="shared" si="19"/>
        <v>266082799.99999994</v>
      </c>
      <c r="AO8" s="1427">
        <f t="shared" si="20"/>
        <v>39955819.877610274</v>
      </c>
      <c r="AP8" s="322">
        <v>35845400</v>
      </c>
      <c r="AQ8" s="1504">
        <f t="shared" ref="AQ8:AQ12" si="37">AG8+AK8+AO8</f>
        <v>118036404.96623886</v>
      </c>
      <c r="AR8" s="1504">
        <f t="shared" ref="AR8:AR12" si="38">AH8+AL8+AP8</f>
        <v>77451399.99999997</v>
      </c>
      <c r="AS8" s="920">
        <f t="shared" si="21"/>
        <v>341114623.94264197</v>
      </c>
      <c r="AT8" s="920">
        <f t="shared" si="22"/>
        <v>301928199.99999994</v>
      </c>
      <c r="AU8" s="1427">
        <f t="shared" si="23"/>
        <v>39973484.439013772</v>
      </c>
      <c r="AV8" s="322">
        <v>35081600.000000007</v>
      </c>
      <c r="AW8" s="920">
        <f t="shared" si="24"/>
        <v>381088108.38165575</v>
      </c>
      <c r="AX8" s="920">
        <f t="shared" si="25"/>
        <v>337009799.99999994</v>
      </c>
      <c r="AY8" s="1427">
        <f t="shared" si="26"/>
        <v>36291780.355194263</v>
      </c>
      <c r="AZ8" s="322">
        <v>31225199.999999996</v>
      </c>
      <c r="BA8" s="920">
        <f t="shared" si="27"/>
        <v>417379888.73685002</v>
      </c>
      <c r="BB8" s="920">
        <f t="shared" si="28"/>
        <v>368234999.99999994</v>
      </c>
      <c r="BC8" s="1427">
        <f t="shared" si="29"/>
        <v>39826390.96131663</v>
      </c>
      <c r="BD8" s="322">
        <v>33457399.999999993</v>
      </c>
      <c r="BE8" s="1504">
        <f t="shared" ref="BE8:BE13" si="39">AU8+AY8+BC8</f>
        <v>116091655.75552467</v>
      </c>
      <c r="BF8" s="1504">
        <f t="shared" ref="BF8:BF12" si="40">AV8+AZ8+BD8</f>
        <v>99764200</v>
      </c>
      <c r="BG8" s="921">
        <f t="shared" ref="BG8:BH12" si="41">AQ8+BE8</f>
        <v>234128060.72176352</v>
      </c>
      <c r="BH8" s="921">
        <f t="shared" si="41"/>
        <v>177215599.99999997</v>
      </c>
      <c r="BI8" s="920">
        <f t="shared" si="0"/>
        <v>457206279.69816667</v>
      </c>
      <c r="BJ8" s="920">
        <f t="shared" si="0"/>
        <v>401692399.99999994</v>
      </c>
      <c r="BK8" s="26"/>
      <c r="BL8" s="26"/>
      <c r="BM8" s="1219"/>
      <c r="BN8" s="1219"/>
    </row>
    <row r="9" spans="1:66" ht="14.45" x14ac:dyDescent="0.3">
      <c r="A9" s="274">
        <v>4</v>
      </c>
      <c r="B9" s="295" t="s">
        <v>484</v>
      </c>
      <c r="C9" s="13" t="s">
        <v>213</v>
      </c>
      <c r="D9" s="293">
        <v>56402000</v>
      </c>
      <c r="E9" s="294">
        <v>65310000</v>
      </c>
      <c r="G9" s="912">
        <v>1.3</v>
      </c>
      <c r="H9" s="894" t="s">
        <v>483</v>
      </c>
      <c r="I9" s="1427">
        <f t="shared" si="1"/>
        <v>3600000</v>
      </c>
      <c r="J9" s="322">
        <v>2652602.3679999998</v>
      </c>
      <c r="K9" s="1427">
        <f t="shared" ref="K9" si="42">+K58*K$3*24*1000</f>
        <v>3720000</v>
      </c>
      <c r="L9" s="322">
        <v>3582801</v>
      </c>
      <c r="M9" s="920">
        <f t="shared" si="3"/>
        <v>7320000</v>
      </c>
      <c r="N9" s="920">
        <f t="shared" si="3"/>
        <v>6235403.3679999998</v>
      </c>
      <c r="O9" s="1427">
        <f t="shared" si="4"/>
        <v>3600000</v>
      </c>
      <c r="P9" s="322">
        <v>3381200</v>
      </c>
      <c r="Q9" s="1505">
        <f t="shared" si="31"/>
        <v>10920000</v>
      </c>
      <c r="R9" s="359">
        <f t="shared" si="32"/>
        <v>9616603.3680000007</v>
      </c>
      <c r="S9" s="1427">
        <f t="shared" si="7"/>
        <v>3720000</v>
      </c>
      <c r="T9" s="322">
        <v>2712598.5279999999</v>
      </c>
      <c r="U9" s="920">
        <f t="shared" si="8"/>
        <v>14640000</v>
      </c>
      <c r="V9" s="920">
        <f t="shared" si="9"/>
        <v>12329201.896000002</v>
      </c>
      <c r="W9" s="1427">
        <f t="shared" si="10"/>
        <v>3720000</v>
      </c>
      <c r="X9" s="322">
        <v>3125705</v>
      </c>
      <c r="Y9" s="920">
        <f t="shared" si="11"/>
        <v>18360000</v>
      </c>
      <c r="Z9" s="920">
        <f t="shared" si="12"/>
        <v>15454906.896000002</v>
      </c>
      <c r="AA9" s="1427">
        <f t="shared" si="13"/>
        <v>3600000</v>
      </c>
      <c r="AB9" s="322">
        <v>3614598</v>
      </c>
      <c r="AC9" s="1504">
        <f t="shared" si="33"/>
        <v>11040000</v>
      </c>
      <c r="AD9" s="1504">
        <f t="shared" si="34"/>
        <v>9452901.5280000009</v>
      </c>
      <c r="AE9" s="921">
        <f t="shared" si="35"/>
        <v>21960000</v>
      </c>
      <c r="AF9" s="921">
        <f t="shared" si="36"/>
        <v>19069504.896000002</v>
      </c>
      <c r="AG9" s="1427">
        <f t="shared" si="14"/>
        <v>3720000</v>
      </c>
      <c r="AH9" s="322">
        <v>3311700</v>
      </c>
      <c r="AI9" s="920">
        <f t="shared" si="15"/>
        <v>25680000</v>
      </c>
      <c r="AJ9" s="920">
        <f t="shared" si="16"/>
        <v>22381204.896000002</v>
      </c>
      <c r="AK9" s="1427">
        <f t="shared" si="17"/>
        <v>3600000</v>
      </c>
      <c r="AL9" s="322">
        <v>2611000.3199999998</v>
      </c>
      <c r="AM9" s="920">
        <f t="shared" si="18"/>
        <v>29280000</v>
      </c>
      <c r="AN9" s="920">
        <f t="shared" si="19"/>
        <v>24992205.216000002</v>
      </c>
      <c r="AO9" s="1427">
        <f t="shared" si="20"/>
        <v>3720000</v>
      </c>
      <c r="AP9" s="322">
        <v>2794102</v>
      </c>
      <c r="AQ9" s="1504">
        <f t="shared" si="37"/>
        <v>11040000</v>
      </c>
      <c r="AR9" s="1504">
        <f t="shared" si="38"/>
        <v>8716802.3200000003</v>
      </c>
      <c r="AS9" s="920">
        <f t="shared" si="21"/>
        <v>33000000</v>
      </c>
      <c r="AT9" s="920">
        <f t="shared" si="22"/>
        <v>27786307.216000002</v>
      </c>
      <c r="AU9" s="1427">
        <f t="shared" si="23"/>
        <v>3720000</v>
      </c>
      <c r="AV9" s="322">
        <v>2852299</v>
      </c>
      <c r="AW9" s="920">
        <f t="shared" si="24"/>
        <v>36720000</v>
      </c>
      <c r="AX9" s="920">
        <f t="shared" si="25"/>
        <v>30638606.216000002</v>
      </c>
      <c r="AY9" s="1427">
        <f t="shared" si="26"/>
        <v>3360000</v>
      </c>
      <c r="AZ9" s="322">
        <v>2358998</v>
      </c>
      <c r="BA9" s="920">
        <f t="shared" si="27"/>
        <v>40080000</v>
      </c>
      <c r="BB9" s="920">
        <f t="shared" si="28"/>
        <v>32997604.216000002</v>
      </c>
      <c r="BC9" s="1427">
        <f t="shared" si="29"/>
        <v>3720000</v>
      </c>
      <c r="BD9" s="322">
        <v>2285997</v>
      </c>
      <c r="BE9" s="1504">
        <f t="shared" si="39"/>
        <v>10800000</v>
      </c>
      <c r="BF9" s="1504">
        <f t="shared" si="40"/>
        <v>7497294</v>
      </c>
      <c r="BG9" s="921">
        <f t="shared" si="41"/>
        <v>21840000</v>
      </c>
      <c r="BH9" s="921">
        <f t="shared" si="41"/>
        <v>16214096.32</v>
      </c>
      <c r="BI9" s="920">
        <f t="shared" si="0"/>
        <v>43800000</v>
      </c>
      <c r="BJ9" s="920">
        <f t="shared" si="0"/>
        <v>35283601.216000006</v>
      </c>
      <c r="BK9" s="26"/>
      <c r="BL9" s="26"/>
      <c r="BM9" s="1219"/>
      <c r="BN9" s="1219"/>
    </row>
    <row r="10" spans="1:66" thickBot="1" x14ac:dyDescent="0.35">
      <c r="A10" s="274">
        <v>5</v>
      </c>
      <c r="B10" s="296" t="s">
        <v>485</v>
      </c>
      <c r="C10" s="14" t="s">
        <v>213</v>
      </c>
      <c r="D10" s="293">
        <v>514390</v>
      </c>
      <c r="E10" s="294">
        <v>517460.00000000029</v>
      </c>
      <c r="G10" s="912">
        <v>1.4</v>
      </c>
      <c r="H10" s="894" t="s">
        <v>484</v>
      </c>
      <c r="I10" s="1427">
        <f t="shared" si="1"/>
        <v>76541277.670534194</v>
      </c>
      <c r="J10" s="322">
        <v>73610003</v>
      </c>
      <c r="K10" s="1427">
        <f t="shared" ref="K10" si="43">+K59*K$3*24*1000</f>
        <v>76588212.163803056</v>
      </c>
      <c r="L10" s="322">
        <v>75383046</v>
      </c>
      <c r="M10" s="920">
        <f t="shared" si="3"/>
        <v>153129489.83433723</v>
      </c>
      <c r="N10" s="920">
        <f t="shared" si="3"/>
        <v>148993049</v>
      </c>
      <c r="O10" s="1427">
        <f t="shared" si="4"/>
        <v>74184006.236527115</v>
      </c>
      <c r="P10" s="322">
        <v>70355059</v>
      </c>
      <c r="Q10" s="1505">
        <f t="shared" si="31"/>
        <v>227313496.07086435</v>
      </c>
      <c r="R10" s="359">
        <f t="shared" si="32"/>
        <v>219348108</v>
      </c>
      <c r="S10" s="1427">
        <f t="shared" si="7"/>
        <v>75590793.82200335</v>
      </c>
      <c r="T10" s="322">
        <v>72496939.008000001</v>
      </c>
      <c r="U10" s="920">
        <f t="shared" si="8"/>
        <v>302904289.89286768</v>
      </c>
      <c r="V10" s="920">
        <f t="shared" si="9"/>
        <v>291845047.00800002</v>
      </c>
      <c r="W10" s="1427">
        <f t="shared" si="10"/>
        <v>76170816.512061834</v>
      </c>
      <c r="X10" s="322">
        <v>70569001</v>
      </c>
      <c r="Y10" s="920">
        <f t="shared" si="11"/>
        <v>379075106.40492952</v>
      </c>
      <c r="Z10" s="920">
        <f t="shared" si="12"/>
        <v>362414048.00800002</v>
      </c>
      <c r="AA10" s="1427">
        <f t="shared" si="13"/>
        <v>48990915.74033986</v>
      </c>
      <c r="AB10" s="322">
        <v>70384025</v>
      </c>
      <c r="AC10" s="1504">
        <f t="shared" si="33"/>
        <v>200752526.07440507</v>
      </c>
      <c r="AD10" s="1504">
        <f t="shared" si="34"/>
        <v>213449965.00800002</v>
      </c>
      <c r="AE10" s="921">
        <f t="shared" si="35"/>
        <v>428066022.14526939</v>
      </c>
      <c r="AF10" s="921">
        <f t="shared" si="36"/>
        <v>432798073.00800002</v>
      </c>
      <c r="AG10" s="1427">
        <f t="shared" si="14"/>
        <v>75041381.785742268</v>
      </c>
      <c r="AH10" s="322">
        <v>78135985</v>
      </c>
      <c r="AI10" s="920">
        <f t="shared" si="15"/>
        <v>503107403.93101168</v>
      </c>
      <c r="AJ10" s="920">
        <f t="shared" si="16"/>
        <v>510934058.00800002</v>
      </c>
      <c r="AK10" s="1427">
        <f t="shared" si="17"/>
        <v>72503767.354413956</v>
      </c>
      <c r="AL10" s="322">
        <v>35151020</v>
      </c>
      <c r="AM10" s="920">
        <f t="shared" si="18"/>
        <v>575611171.28542566</v>
      </c>
      <c r="AN10" s="920">
        <f t="shared" si="19"/>
        <v>546085078.00800002</v>
      </c>
      <c r="AO10" s="1427">
        <f t="shared" si="20"/>
        <v>74676668.867616966</v>
      </c>
      <c r="AP10" s="322">
        <v>70365971</v>
      </c>
      <c r="AQ10" s="1504">
        <f t="shared" si="37"/>
        <v>222221818.00777316</v>
      </c>
      <c r="AR10" s="1504">
        <f t="shared" si="38"/>
        <v>183652976</v>
      </c>
      <c r="AS10" s="920">
        <f t="shared" si="21"/>
        <v>650287840.15304267</v>
      </c>
      <c r="AT10" s="920">
        <f t="shared" si="22"/>
        <v>616451049.00800002</v>
      </c>
      <c r="AU10" s="1427">
        <f t="shared" si="23"/>
        <v>74659004.306213468</v>
      </c>
      <c r="AV10" s="322">
        <v>71879983.104000002</v>
      </c>
      <c r="AW10" s="920">
        <f t="shared" si="24"/>
        <v>724946844.45925617</v>
      </c>
      <c r="AX10" s="920">
        <f t="shared" si="25"/>
        <v>688331032.11199999</v>
      </c>
      <c r="AY10" s="1427">
        <f t="shared" si="26"/>
        <v>67033157.27418638</v>
      </c>
      <c r="AZ10" s="322">
        <v>67150021</v>
      </c>
      <c r="BA10" s="920">
        <f t="shared" si="27"/>
        <v>791980001.73344254</v>
      </c>
      <c r="BB10" s="920">
        <f t="shared" si="28"/>
        <v>755481053.11199999</v>
      </c>
      <c r="BC10" s="1427">
        <f t="shared" si="29"/>
        <v>75339986.965968654</v>
      </c>
      <c r="BD10" s="322">
        <v>76826968</v>
      </c>
      <c r="BE10" s="1504">
        <f t="shared" si="39"/>
        <v>217032148.54636848</v>
      </c>
      <c r="BF10" s="1504">
        <f t="shared" si="40"/>
        <v>215856972.104</v>
      </c>
      <c r="BG10" s="921">
        <f t="shared" si="41"/>
        <v>439253966.55414164</v>
      </c>
      <c r="BH10" s="921">
        <f t="shared" si="41"/>
        <v>399509948.10399997</v>
      </c>
      <c r="BI10" s="920">
        <f t="shared" si="0"/>
        <v>867319988.69941115</v>
      </c>
      <c r="BJ10" s="920">
        <f t="shared" si="0"/>
        <v>832308021.11199999</v>
      </c>
      <c r="BK10" s="26"/>
      <c r="BL10" s="26"/>
      <c r="BM10" s="1219"/>
      <c r="BN10" s="1219"/>
    </row>
    <row r="11" spans="1:66" ht="16.149999999999999" thickBot="1" x14ac:dyDescent="0.35">
      <c r="A11" s="274">
        <v>6</v>
      </c>
      <c r="B11" s="297" t="s">
        <v>486</v>
      </c>
      <c r="C11" s="15" t="s">
        <v>213</v>
      </c>
      <c r="D11" s="298">
        <f>SUM(D6:D10)</f>
        <v>89343889.99999997</v>
      </c>
      <c r="E11" s="299">
        <f>SUM(E6:E10)</f>
        <v>95603960</v>
      </c>
      <c r="G11" s="912">
        <v>1.5</v>
      </c>
      <c r="H11" s="894" t="s">
        <v>485</v>
      </c>
      <c r="I11" s="1426">
        <f t="shared" si="1"/>
        <v>540000</v>
      </c>
      <c r="J11" s="322">
        <v>483099.99999999627</v>
      </c>
      <c r="K11" s="1426">
        <f t="shared" ref="K11" si="44">+K60*K$3*24*1000</f>
        <v>558000</v>
      </c>
      <c r="L11" s="322">
        <v>491550.00000000105</v>
      </c>
      <c r="M11" s="920">
        <f t="shared" si="3"/>
        <v>1098000</v>
      </c>
      <c r="N11" s="920">
        <f t="shared" si="3"/>
        <v>974649.99999999732</v>
      </c>
      <c r="O11" s="1426">
        <f t="shared" si="4"/>
        <v>540000</v>
      </c>
      <c r="P11" s="322">
        <v>330650.00000000146</v>
      </c>
      <c r="Q11" s="1504">
        <f t="shared" si="31"/>
        <v>1638000</v>
      </c>
      <c r="R11" s="358">
        <f t="shared" si="32"/>
        <v>1305299.9999999988</v>
      </c>
      <c r="S11" s="1426">
        <f t="shared" si="7"/>
        <v>558000</v>
      </c>
      <c r="T11" s="322">
        <v>267680.00000000029</v>
      </c>
      <c r="U11" s="920">
        <f t="shared" si="8"/>
        <v>2196000</v>
      </c>
      <c r="V11" s="920">
        <f t="shared" si="9"/>
        <v>1572979.9999999991</v>
      </c>
      <c r="W11" s="1426">
        <f t="shared" si="10"/>
        <v>558000</v>
      </c>
      <c r="X11" s="322">
        <v>504279.99999999977</v>
      </c>
      <c r="Y11" s="920">
        <f t="shared" si="11"/>
        <v>2754000</v>
      </c>
      <c r="Z11" s="920">
        <f t="shared" si="12"/>
        <v>2077259.9999999988</v>
      </c>
      <c r="AA11" s="1426">
        <f t="shared" si="13"/>
        <v>540000</v>
      </c>
      <c r="AB11" s="322">
        <v>483870.00000000012</v>
      </c>
      <c r="AC11" s="1504">
        <f t="shared" si="33"/>
        <v>1656000</v>
      </c>
      <c r="AD11" s="1504">
        <f t="shared" si="34"/>
        <v>1255830</v>
      </c>
      <c r="AE11" s="921">
        <f t="shared" si="35"/>
        <v>3294000</v>
      </c>
      <c r="AF11" s="921">
        <f t="shared" si="36"/>
        <v>2561129.9999999991</v>
      </c>
      <c r="AG11" s="1426">
        <f t="shared" si="14"/>
        <v>558000</v>
      </c>
      <c r="AH11" s="322">
        <v>440850.00000000309</v>
      </c>
      <c r="AI11" s="920">
        <f t="shared" si="15"/>
        <v>3852000</v>
      </c>
      <c r="AJ11" s="920">
        <f t="shared" si="16"/>
        <v>3001980.0000000023</v>
      </c>
      <c r="AK11" s="1426">
        <f t="shared" si="17"/>
        <v>540000</v>
      </c>
      <c r="AL11" s="322">
        <v>349829.99999999988</v>
      </c>
      <c r="AM11" s="920">
        <f t="shared" si="18"/>
        <v>4392000</v>
      </c>
      <c r="AN11" s="920">
        <f t="shared" si="19"/>
        <v>3351810.0000000023</v>
      </c>
      <c r="AO11" s="1426">
        <f t="shared" si="20"/>
        <v>558000</v>
      </c>
      <c r="AP11" s="322">
        <v>506160.00000000029</v>
      </c>
      <c r="AQ11" s="1504">
        <f t="shared" si="37"/>
        <v>1656000</v>
      </c>
      <c r="AR11" s="1504">
        <f t="shared" si="38"/>
        <v>1296840.0000000033</v>
      </c>
      <c r="AS11" s="920">
        <f t="shared" si="21"/>
        <v>4950000</v>
      </c>
      <c r="AT11" s="920">
        <f t="shared" si="22"/>
        <v>3857970.0000000028</v>
      </c>
      <c r="AU11" s="1426">
        <f t="shared" si="23"/>
        <v>558000</v>
      </c>
      <c r="AV11" s="322">
        <v>489979.99999999953</v>
      </c>
      <c r="AW11" s="920">
        <f t="shared" si="24"/>
        <v>5508000</v>
      </c>
      <c r="AX11" s="920">
        <f t="shared" si="25"/>
        <v>4347950.0000000019</v>
      </c>
      <c r="AY11" s="1426">
        <f t="shared" si="26"/>
        <v>504000</v>
      </c>
      <c r="AZ11" s="322">
        <v>472670.00000000076</v>
      </c>
      <c r="BA11" s="920">
        <f t="shared" si="27"/>
        <v>6012000</v>
      </c>
      <c r="BB11" s="920">
        <f t="shared" si="28"/>
        <v>4820620.0000000028</v>
      </c>
      <c r="BC11" s="1426">
        <f t="shared" si="29"/>
        <v>558000</v>
      </c>
      <c r="BD11" s="322">
        <v>495270</v>
      </c>
      <c r="BE11" s="1504">
        <f t="shared" si="39"/>
        <v>1620000</v>
      </c>
      <c r="BF11" s="1504">
        <f t="shared" si="40"/>
        <v>1457920.0000000002</v>
      </c>
      <c r="BG11" s="921">
        <f t="shared" si="41"/>
        <v>3276000</v>
      </c>
      <c r="BH11" s="921">
        <f t="shared" si="41"/>
        <v>2754760.0000000037</v>
      </c>
      <c r="BI11" s="920">
        <f t="shared" si="0"/>
        <v>6570000</v>
      </c>
      <c r="BJ11" s="920">
        <f t="shared" si="0"/>
        <v>5315890.0000000028</v>
      </c>
      <c r="BK11" s="26"/>
      <c r="BL11" s="26"/>
      <c r="BM11" s="1219"/>
      <c r="BN11" s="1219"/>
    </row>
    <row r="12" spans="1:66" ht="15.6" x14ac:dyDescent="0.3">
      <c r="A12" s="2504"/>
      <c r="B12" s="2505"/>
      <c r="C12" s="2506"/>
      <c r="D12" s="2507"/>
      <c r="E12" s="299"/>
      <c r="G12" s="912">
        <v>1.6</v>
      </c>
      <c r="H12" s="894" t="s">
        <v>1702</v>
      </c>
      <c r="I12" s="1426">
        <f t="shared" si="1"/>
        <v>720000</v>
      </c>
      <c r="J12" s="322">
        <v>763362</v>
      </c>
      <c r="K12" s="1426">
        <f t="shared" ref="K12" si="45">+K61*K$3*24*1000</f>
        <v>744000</v>
      </c>
      <c r="L12" s="322">
        <v>813675.69999999972</v>
      </c>
      <c r="M12" s="920">
        <f t="shared" ref="M12" si="46">+I12+K12</f>
        <v>1464000</v>
      </c>
      <c r="N12" s="920">
        <f t="shared" ref="N12" si="47">+J12+L12</f>
        <v>1577037.6999999997</v>
      </c>
      <c r="O12" s="1426">
        <f t="shared" si="4"/>
        <v>720000</v>
      </c>
      <c r="P12" s="322">
        <v>601166.50000000047</v>
      </c>
      <c r="Q12" s="1504">
        <f t="shared" ref="Q12" si="48">+I12+K12+O12</f>
        <v>2184000</v>
      </c>
      <c r="R12" s="358">
        <f t="shared" ref="R12" si="49">+J12+L12+P12</f>
        <v>2178204.2000000002</v>
      </c>
      <c r="S12" s="1426">
        <f t="shared" si="7"/>
        <v>744000</v>
      </c>
      <c r="T12" s="322">
        <v>576188.7999999997</v>
      </c>
      <c r="U12" s="920">
        <f t="shared" ref="U12" si="50">+Q12+S12</f>
        <v>2928000</v>
      </c>
      <c r="V12" s="920">
        <f t="shared" ref="V12" si="51">+R12+T12</f>
        <v>2754393</v>
      </c>
      <c r="W12" s="1426">
        <f t="shared" si="10"/>
        <v>744000</v>
      </c>
      <c r="X12" s="322">
        <v>576934.99999999907</v>
      </c>
      <c r="Y12" s="920">
        <f t="shared" si="11"/>
        <v>3672000</v>
      </c>
      <c r="Z12" s="920">
        <f t="shared" si="12"/>
        <v>3331327.9999999991</v>
      </c>
      <c r="AA12" s="1426">
        <f t="shared" si="13"/>
        <v>720000</v>
      </c>
      <c r="AB12" s="322">
        <v>577231.00000000035</v>
      </c>
      <c r="AC12" s="1504">
        <f t="shared" si="33"/>
        <v>2208000</v>
      </c>
      <c r="AD12" s="1504">
        <f t="shared" si="34"/>
        <v>1730354.7999999993</v>
      </c>
      <c r="AE12" s="921">
        <f t="shared" si="35"/>
        <v>4392000</v>
      </c>
      <c r="AF12" s="921">
        <f t="shared" si="36"/>
        <v>3908558.9999999995</v>
      </c>
      <c r="AG12" s="1426">
        <f t="shared" si="14"/>
        <v>744000</v>
      </c>
      <c r="AH12" s="322">
        <v>538896.00000000047</v>
      </c>
      <c r="AI12" s="920">
        <f t="shared" si="15"/>
        <v>5136000</v>
      </c>
      <c r="AJ12" s="920">
        <f t="shared" si="16"/>
        <v>4447455</v>
      </c>
      <c r="AK12" s="1426">
        <f t="shared" si="17"/>
        <v>720000</v>
      </c>
      <c r="AL12" s="322">
        <v>454743.9999999993</v>
      </c>
      <c r="AM12" s="920">
        <f t="shared" si="18"/>
        <v>5856000</v>
      </c>
      <c r="AN12" s="920">
        <f t="shared" si="19"/>
        <v>4902198.9999999991</v>
      </c>
      <c r="AO12" s="1426">
        <f t="shared" si="20"/>
        <v>744000</v>
      </c>
      <c r="AP12" s="322">
        <v>419096.00000000047</v>
      </c>
      <c r="AQ12" s="1504">
        <f t="shared" si="37"/>
        <v>2208000</v>
      </c>
      <c r="AR12" s="1504">
        <f t="shared" si="38"/>
        <v>1412736.0000000002</v>
      </c>
      <c r="AS12" s="920">
        <f t="shared" si="21"/>
        <v>6600000</v>
      </c>
      <c r="AT12" s="920">
        <f t="shared" si="22"/>
        <v>5321295</v>
      </c>
      <c r="AU12" s="1426">
        <f t="shared" si="23"/>
        <v>744000</v>
      </c>
      <c r="AV12" s="322">
        <v>481142.99999999983</v>
      </c>
      <c r="AW12" s="920">
        <f t="shared" si="24"/>
        <v>7344000</v>
      </c>
      <c r="AX12" s="920">
        <f t="shared" si="25"/>
        <v>5802438</v>
      </c>
      <c r="AY12" s="1426">
        <f t="shared" si="26"/>
        <v>672000</v>
      </c>
      <c r="AZ12" s="322">
        <v>537765.00000000047</v>
      </c>
      <c r="BA12" s="920">
        <f t="shared" si="27"/>
        <v>8016000</v>
      </c>
      <c r="BB12" s="920">
        <f t="shared" si="28"/>
        <v>6340203</v>
      </c>
      <c r="BC12" s="1426">
        <f t="shared" si="29"/>
        <v>744000</v>
      </c>
      <c r="BD12" s="322">
        <v>717283</v>
      </c>
      <c r="BE12" s="1504">
        <f t="shared" si="39"/>
        <v>2160000</v>
      </c>
      <c r="BF12" s="1504">
        <f t="shared" si="40"/>
        <v>1736191.0000000002</v>
      </c>
      <c r="BG12" s="921">
        <f t="shared" si="41"/>
        <v>4368000</v>
      </c>
      <c r="BH12" s="921">
        <f t="shared" ref="BH12" si="52">AR12+BF12</f>
        <v>3148927.0000000005</v>
      </c>
      <c r="BI12" s="920">
        <f t="shared" si="0"/>
        <v>8760000</v>
      </c>
      <c r="BJ12" s="920">
        <f t="shared" ref="BJ12:BJ33" si="53">+BB12+BD12</f>
        <v>7057486</v>
      </c>
      <c r="BK12" s="26"/>
      <c r="BL12" s="26"/>
      <c r="BM12" s="1219"/>
      <c r="BN12" s="1219"/>
    </row>
    <row r="13" spans="1:66" ht="15.6" x14ac:dyDescent="0.3">
      <c r="A13" s="274">
        <v>7</v>
      </c>
      <c r="B13" s="289" t="s">
        <v>492</v>
      </c>
      <c r="C13" s="16" t="s">
        <v>213</v>
      </c>
      <c r="D13" s="293">
        <v>261981.80799999906</v>
      </c>
      <c r="E13" s="294">
        <v>317978.65699999966</v>
      </c>
      <c r="G13" s="915">
        <v>2</v>
      </c>
      <c r="H13" s="1420" t="s">
        <v>747</v>
      </c>
      <c r="I13" s="1425">
        <f>SUM(I14:I15)</f>
        <v>2160000</v>
      </c>
      <c r="J13" s="323">
        <f>SUM(J14:J15)</f>
        <v>1204138.3357999967</v>
      </c>
      <c r="K13" s="1425">
        <f>SUM(K14:K15)</f>
        <v>2232000</v>
      </c>
      <c r="L13" s="323">
        <f>SUM(L14:L15)</f>
        <v>1304206.8549000211</v>
      </c>
      <c r="M13" s="917">
        <f t="shared" si="3"/>
        <v>4392000</v>
      </c>
      <c r="N13" s="917">
        <f t="shared" si="3"/>
        <v>2508345.1907000178</v>
      </c>
      <c r="O13" s="1425">
        <f>SUM(O14:O15)</f>
        <v>2160000</v>
      </c>
      <c r="P13" s="323">
        <f>SUM(P14:P15)</f>
        <v>912769.84900023136</v>
      </c>
      <c r="Q13" s="1503">
        <f t="shared" si="5"/>
        <v>6552000</v>
      </c>
      <c r="R13" s="360">
        <f t="shared" si="6"/>
        <v>3421115.0397002492</v>
      </c>
      <c r="S13" s="1425">
        <f>SUM(S14:S15)</f>
        <v>2232000</v>
      </c>
      <c r="T13" s="323">
        <f>SUM(T14:T15)</f>
        <v>1088152.5629999563</v>
      </c>
      <c r="U13" s="917">
        <f t="shared" si="8"/>
        <v>8784000</v>
      </c>
      <c r="V13" s="917">
        <f t="shared" si="9"/>
        <v>4509267.6027002055</v>
      </c>
      <c r="W13" s="1425">
        <f>SUM(W14:W15)</f>
        <v>2232000</v>
      </c>
      <c r="X13" s="323">
        <f>SUM(X14:X15)</f>
        <v>1148126.1020000018</v>
      </c>
      <c r="Y13" s="917">
        <f t="shared" si="11"/>
        <v>11016000</v>
      </c>
      <c r="Z13" s="917">
        <f t="shared" si="12"/>
        <v>5657393.7047002073</v>
      </c>
      <c r="AA13" s="1425">
        <f>SUM(AA14:AA15)</f>
        <v>2160000</v>
      </c>
      <c r="AB13" s="323">
        <f>SUM(AB14:AB15)</f>
        <v>1012213.6640000008</v>
      </c>
      <c r="AC13" s="1503">
        <f>S13+W13+AA13</f>
        <v>6624000</v>
      </c>
      <c r="AD13" s="1503">
        <f>T13+X13+AB13</f>
        <v>3248492.3289999589</v>
      </c>
      <c r="AE13" s="918">
        <f>Q13+AC13</f>
        <v>13176000</v>
      </c>
      <c r="AF13" s="918">
        <f>R13+AD13</f>
        <v>6669607.3687002081</v>
      </c>
      <c r="AG13" s="1425">
        <f>SUM(AG14:AG15)</f>
        <v>2232000</v>
      </c>
      <c r="AH13" s="323">
        <f>SUM(AH14:AH15)</f>
        <v>1174309.543000143</v>
      </c>
      <c r="AI13" s="917">
        <f t="shared" si="15"/>
        <v>15408000</v>
      </c>
      <c r="AJ13" s="917">
        <f t="shared" si="16"/>
        <v>7843916.9117003512</v>
      </c>
      <c r="AK13" s="1425">
        <f>SUM(AK14:AK15)</f>
        <v>2160000</v>
      </c>
      <c r="AL13" s="323">
        <f>SUM(AL14:AL15)</f>
        <v>972802.51999975555</v>
      </c>
      <c r="AM13" s="917">
        <f t="shared" si="18"/>
        <v>17568000</v>
      </c>
      <c r="AN13" s="917">
        <f t="shared" si="19"/>
        <v>8816719.4317001067</v>
      </c>
      <c r="AO13" s="1425">
        <f>SUM(AO14:AO15)</f>
        <v>2232000</v>
      </c>
      <c r="AP13" s="323">
        <f>SUM(AP14:AP15)</f>
        <v>1076458.4450002834</v>
      </c>
      <c r="AQ13" s="1503">
        <f>AG13+AK13+AO13</f>
        <v>6624000</v>
      </c>
      <c r="AR13" s="1503">
        <f>AH13+AL13+AP13</f>
        <v>3223570.508000182</v>
      </c>
      <c r="AS13" s="917">
        <f t="shared" si="21"/>
        <v>19800000</v>
      </c>
      <c r="AT13" s="917">
        <f t="shared" si="22"/>
        <v>9893177.8767003901</v>
      </c>
      <c r="AU13" s="1425">
        <f>SUM(AU14:AU15)</f>
        <v>2232000</v>
      </c>
      <c r="AV13" s="323">
        <f>SUM(AV14:AV15)</f>
        <v>1128816.2539997473</v>
      </c>
      <c r="AW13" s="917">
        <f t="shared" si="24"/>
        <v>22032000</v>
      </c>
      <c r="AX13" s="917">
        <f t="shared" si="25"/>
        <v>11021994.130700137</v>
      </c>
      <c r="AY13" s="1425">
        <f>SUM(AY14:AY15)</f>
        <v>2015999.9999999998</v>
      </c>
      <c r="AZ13" s="323">
        <f>SUM(AZ14:AZ15)</f>
        <v>691263.83075002115</v>
      </c>
      <c r="BA13" s="917">
        <f t="shared" si="27"/>
        <v>24048000</v>
      </c>
      <c r="BB13" s="917">
        <f t="shared" si="28"/>
        <v>11713257.96145016</v>
      </c>
      <c r="BC13" s="1425">
        <f>SUM(BC14:BC15)</f>
        <v>2232000</v>
      </c>
      <c r="BD13" s="323">
        <f>SUM(BD14:BD15)</f>
        <v>677327.3128498625</v>
      </c>
      <c r="BE13" s="1504">
        <f t="shared" si="39"/>
        <v>6480000</v>
      </c>
      <c r="BF13" s="1503">
        <f>AV13+AZ13+BD13</f>
        <v>2497407.397599631</v>
      </c>
      <c r="BG13" s="918">
        <f>AQ13+BE13</f>
        <v>13104000</v>
      </c>
      <c r="BH13" s="918">
        <f>AR13+BF13</f>
        <v>5720977.905599813</v>
      </c>
      <c r="BI13" s="917">
        <f t="shared" ref="BI13:BI33" si="54">+BA13+BC13</f>
        <v>26280000</v>
      </c>
      <c r="BJ13" s="917">
        <f t="shared" si="53"/>
        <v>12390585.274300022</v>
      </c>
      <c r="BK13" s="26"/>
      <c r="BL13" s="26"/>
      <c r="BM13" s="1219"/>
      <c r="BN13" s="1219"/>
    </row>
    <row r="14" spans="1:66" thickBot="1" x14ac:dyDescent="0.35">
      <c r="A14" s="274">
        <v>8</v>
      </c>
      <c r="B14" s="300" t="s">
        <v>493</v>
      </c>
      <c r="C14" s="14" t="s">
        <v>213</v>
      </c>
      <c r="D14" s="293">
        <v>1020193.9999999553</v>
      </c>
      <c r="E14" s="294">
        <v>1775455.3000000119</v>
      </c>
      <c r="G14" s="912">
        <v>2.1</v>
      </c>
      <c r="H14" s="894" t="s">
        <v>492</v>
      </c>
      <c r="I14" s="1426">
        <f>+I63*I$3*24*1000</f>
        <v>288000</v>
      </c>
      <c r="J14" s="322">
        <v>287215.91779999901</v>
      </c>
      <c r="K14" s="1426">
        <f>+K63*K$3*24*1000</f>
        <v>297600</v>
      </c>
      <c r="L14" s="322">
        <v>225405.70490000024</v>
      </c>
      <c r="M14" s="920">
        <f t="shared" si="3"/>
        <v>585600</v>
      </c>
      <c r="N14" s="920">
        <f t="shared" si="3"/>
        <v>512621.62269999925</v>
      </c>
      <c r="O14" s="1426">
        <f>+O63*O$3*24*1000</f>
        <v>288000</v>
      </c>
      <c r="P14" s="322">
        <v>321440.58900000248</v>
      </c>
      <c r="Q14" s="1504">
        <f t="shared" si="5"/>
        <v>873600</v>
      </c>
      <c r="R14" s="359">
        <f t="shared" si="6"/>
        <v>834062.21170000173</v>
      </c>
      <c r="S14" s="1426">
        <f>+S63*S$3*24*1000</f>
        <v>297600</v>
      </c>
      <c r="T14" s="322">
        <v>287445.36700000614</v>
      </c>
      <c r="U14" s="920">
        <f t="shared" si="8"/>
        <v>1171200</v>
      </c>
      <c r="V14" s="920">
        <f t="shared" si="9"/>
        <v>1121507.5787000079</v>
      </c>
      <c r="W14" s="1426">
        <f>+W63*W$3*24*1000</f>
        <v>297600</v>
      </c>
      <c r="X14" s="322">
        <v>378572.24199998751</v>
      </c>
      <c r="Y14" s="920">
        <f t="shared" si="11"/>
        <v>1468800</v>
      </c>
      <c r="Z14" s="920">
        <f t="shared" si="12"/>
        <v>1500079.8206999954</v>
      </c>
      <c r="AA14" s="1426">
        <f>+AA63*AA$3*24*1000</f>
        <v>288000</v>
      </c>
      <c r="AB14" s="322">
        <v>353067.78400000557</v>
      </c>
      <c r="AC14" s="1505">
        <f t="shared" ref="AC14:AC15" si="55">S14+W14+AA14</f>
        <v>883200</v>
      </c>
      <c r="AD14" s="1505">
        <f t="shared" ref="AD14:AD15" si="56">T14+X14+AB14</f>
        <v>1019085.3929999992</v>
      </c>
      <c r="AE14" s="921">
        <f t="shared" ref="AE14:AE33" si="57">Q14+AC14</f>
        <v>1756800</v>
      </c>
      <c r="AF14" s="921">
        <f t="shared" ref="AF14:AF33" si="58">R14+AD14</f>
        <v>1853147.604700001</v>
      </c>
      <c r="AG14" s="1426">
        <f>+AG63*AG$3*24*1000</f>
        <v>297600</v>
      </c>
      <c r="AH14" s="322">
        <v>94844.94299999997</v>
      </c>
      <c r="AI14" s="920">
        <f t="shared" si="15"/>
        <v>2054400</v>
      </c>
      <c r="AJ14" s="920">
        <f t="shared" si="16"/>
        <v>1947992.5477000009</v>
      </c>
      <c r="AK14" s="1426">
        <f>+AK63*AK$3*24*1000</f>
        <v>288000</v>
      </c>
      <c r="AL14" s="322">
        <v>79389.079999996349</v>
      </c>
      <c r="AM14" s="920">
        <f t="shared" si="18"/>
        <v>2342400</v>
      </c>
      <c r="AN14" s="920">
        <f t="shared" si="19"/>
        <v>2027381.6276999973</v>
      </c>
      <c r="AO14" s="1426">
        <f>+AO63*AO$3*24*1000</f>
        <v>297600</v>
      </c>
      <c r="AP14" s="322">
        <v>281936.4450000003</v>
      </c>
      <c r="AQ14" s="1505">
        <f t="shared" ref="AQ14:AQ33" si="59">AG14+AK14+AO14</f>
        <v>883200</v>
      </c>
      <c r="AR14" s="1505">
        <f t="shared" ref="AR14:AR33" si="60">AH14+AL14+AP14</f>
        <v>456170.46799999662</v>
      </c>
      <c r="AS14" s="920">
        <f t="shared" si="21"/>
        <v>2640000</v>
      </c>
      <c r="AT14" s="920">
        <f t="shared" si="22"/>
        <v>2309318.0726999976</v>
      </c>
      <c r="AU14" s="1426">
        <f>+AU63*AU$3*24*1000</f>
        <v>297600</v>
      </c>
      <c r="AV14" s="322">
        <v>190606.90200000256</v>
      </c>
      <c r="AW14" s="920">
        <f t="shared" si="24"/>
        <v>2937600</v>
      </c>
      <c r="AX14" s="920">
        <f t="shared" si="25"/>
        <v>2499924.9747000001</v>
      </c>
      <c r="AY14" s="1426">
        <f>+AY63*AY$3*24*1000</f>
        <v>268800</v>
      </c>
      <c r="AZ14" s="322">
        <v>81370.420749994926</v>
      </c>
      <c r="BA14" s="920">
        <f t="shared" si="27"/>
        <v>3206400</v>
      </c>
      <c r="BB14" s="920">
        <f t="shared" si="28"/>
        <v>2581295.3954499951</v>
      </c>
      <c r="BC14" s="1426">
        <f>+BC63*BC$3*24*1000</f>
        <v>297600</v>
      </c>
      <c r="BD14" s="322">
        <v>144290.80285000615</v>
      </c>
      <c r="BE14" s="1505">
        <f t="shared" ref="BE14:BE33" si="61">AU14+AY14+BC14</f>
        <v>864000</v>
      </c>
      <c r="BF14" s="1505">
        <f t="shared" ref="BF14:BF33" si="62">AV14+AZ14+BD14</f>
        <v>416268.12560000364</v>
      </c>
      <c r="BG14" s="921">
        <f t="shared" ref="BG14:BH15" si="63">AQ14+BE14</f>
        <v>1747200</v>
      </c>
      <c r="BH14" s="921">
        <f t="shared" si="63"/>
        <v>872438.59360000025</v>
      </c>
      <c r="BI14" s="920">
        <f t="shared" si="54"/>
        <v>3504000</v>
      </c>
      <c r="BJ14" s="920">
        <f t="shared" si="53"/>
        <v>2725586.1983000012</v>
      </c>
      <c r="BK14" s="26"/>
      <c r="BL14" s="26"/>
      <c r="BM14" s="1219"/>
      <c r="BN14" s="1219"/>
    </row>
    <row r="15" spans="1:66" ht="16.149999999999999" thickBot="1" x14ac:dyDescent="0.35">
      <c r="A15" s="274">
        <v>9</v>
      </c>
      <c r="B15" s="297" t="s">
        <v>494</v>
      </c>
      <c r="C15" s="15" t="s">
        <v>213</v>
      </c>
      <c r="D15" s="298">
        <f>SUM(D13:D14)</f>
        <v>1282175.8079999543</v>
      </c>
      <c r="E15" s="299">
        <f>SUM(E13:E14)</f>
        <v>2093433.9570000116</v>
      </c>
      <c r="G15" s="912">
        <v>2.2000000000000002</v>
      </c>
      <c r="H15" s="894" t="s">
        <v>493</v>
      </c>
      <c r="I15" s="1426">
        <f>+I64*I$3*24*1000</f>
        <v>1872000</v>
      </c>
      <c r="J15" s="322">
        <v>916922.41799999774</v>
      </c>
      <c r="K15" s="1426">
        <f>+K64*K$3*24*1000</f>
        <v>1934400</v>
      </c>
      <c r="L15" s="322">
        <v>1078801.1500000209</v>
      </c>
      <c r="M15" s="920">
        <f t="shared" si="3"/>
        <v>3806400</v>
      </c>
      <c r="N15" s="920">
        <f t="shared" si="3"/>
        <v>1995723.5680000186</v>
      </c>
      <c r="O15" s="1426">
        <f>+O64*O$3*24*1000</f>
        <v>1872000</v>
      </c>
      <c r="P15" s="322">
        <v>591329.26000022888</v>
      </c>
      <c r="Q15" s="1504">
        <f t="shared" ref="Q15" si="64">+I15+K15+O15</f>
        <v>5678400</v>
      </c>
      <c r="R15" s="359">
        <f t="shared" ref="R15" si="65">+J15+L15+P15</f>
        <v>2587052.8280002475</v>
      </c>
      <c r="S15" s="1426">
        <f>+S64*S$3*24*1000</f>
        <v>1934400</v>
      </c>
      <c r="T15" s="322">
        <v>800707.19599995017</v>
      </c>
      <c r="U15" s="920">
        <f t="shared" si="8"/>
        <v>7612800</v>
      </c>
      <c r="V15" s="920">
        <f t="shared" si="9"/>
        <v>3387760.0240001976</v>
      </c>
      <c r="W15" s="1426">
        <f>+W64*W$3*24*1000</f>
        <v>1934400</v>
      </c>
      <c r="X15" s="322">
        <v>769553.86000001431</v>
      </c>
      <c r="Y15" s="920">
        <f t="shared" si="11"/>
        <v>9547200</v>
      </c>
      <c r="Z15" s="920">
        <f t="shared" si="12"/>
        <v>4157313.884000212</v>
      </c>
      <c r="AA15" s="1426">
        <f>+AA64*AA$3*24*1000</f>
        <v>1872000</v>
      </c>
      <c r="AB15" s="322">
        <v>659145.87999999523</v>
      </c>
      <c r="AC15" s="1505">
        <f t="shared" si="55"/>
        <v>5740800</v>
      </c>
      <c r="AD15" s="1505">
        <f t="shared" si="56"/>
        <v>2229406.9359999597</v>
      </c>
      <c r="AE15" s="921">
        <f t="shared" si="57"/>
        <v>11419200</v>
      </c>
      <c r="AF15" s="921">
        <f t="shared" si="58"/>
        <v>4816459.7640002072</v>
      </c>
      <c r="AG15" s="1426">
        <f>+AG64*AG$3*24*1000</f>
        <v>1934400</v>
      </c>
      <c r="AH15" s="322">
        <v>1079464.6000001431</v>
      </c>
      <c r="AI15" s="920">
        <f t="shared" si="15"/>
        <v>13353600</v>
      </c>
      <c r="AJ15" s="920">
        <f t="shared" si="16"/>
        <v>5895924.3640003502</v>
      </c>
      <c r="AK15" s="1426">
        <f>+AK64*AK$3*24*1000</f>
        <v>1872000</v>
      </c>
      <c r="AL15" s="322">
        <v>893413.4399997592</v>
      </c>
      <c r="AM15" s="920">
        <f t="shared" si="18"/>
        <v>15225600</v>
      </c>
      <c r="AN15" s="920">
        <f t="shared" si="19"/>
        <v>6789337.8040001094</v>
      </c>
      <c r="AO15" s="1426">
        <f>+AO64*AO$3*24*1000</f>
        <v>1934400</v>
      </c>
      <c r="AP15" s="322">
        <v>794522.00000028312</v>
      </c>
      <c r="AQ15" s="1505">
        <f t="shared" si="59"/>
        <v>5740800</v>
      </c>
      <c r="AR15" s="1505">
        <f t="shared" si="60"/>
        <v>2767400.0400001854</v>
      </c>
      <c r="AS15" s="920">
        <f t="shared" si="21"/>
        <v>17160000</v>
      </c>
      <c r="AT15" s="920">
        <f t="shared" si="22"/>
        <v>7583859.8040003926</v>
      </c>
      <c r="AU15" s="1426">
        <f>+AU64*AU$3*24*1000</f>
        <v>1934400</v>
      </c>
      <c r="AV15" s="322">
        <v>938209.35199974477</v>
      </c>
      <c r="AW15" s="920">
        <f t="shared" si="24"/>
        <v>19094400</v>
      </c>
      <c r="AX15" s="920">
        <f t="shared" si="25"/>
        <v>8522069.1560001373</v>
      </c>
      <c r="AY15" s="1426">
        <f>+AY64*AY$3*24*1000</f>
        <v>1747199.9999999998</v>
      </c>
      <c r="AZ15" s="322">
        <v>609893.41000002623</v>
      </c>
      <c r="BA15" s="920">
        <f t="shared" si="27"/>
        <v>20841600</v>
      </c>
      <c r="BB15" s="920">
        <f t="shared" si="28"/>
        <v>9131962.5660001636</v>
      </c>
      <c r="BC15" s="1426">
        <f>+BC64*BC$3*24*1000</f>
        <v>1934400</v>
      </c>
      <c r="BD15" s="322">
        <v>533036.50999985635</v>
      </c>
      <c r="BE15" s="1505">
        <f t="shared" si="61"/>
        <v>5616000</v>
      </c>
      <c r="BF15" s="1505">
        <f t="shared" si="62"/>
        <v>2081139.2719996274</v>
      </c>
      <c r="BG15" s="921">
        <f t="shared" si="63"/>
        <v>11356800</v>
      </c>
      <c r="BH15" s="921">
        <f t="shared" si="63"/>
        <v>4848539.3119998127</v>
      </c>
      <c r="BI15" s="920">
        <f t="shared" si="54"/>
        <v>22776000</v>
      </c>
      <c r="BJ15" s="920">
        <f t="shared" si="53"/>
        <v>9664999.0760000199</v>
      </c>
      <c r="BK15" s="26"/>
      <c r="BL15" s="26"/>
      <c r="BM15" s="1219"/>
      <c r="BN15" s="1219"/>
    </row>
    <row r="16" spans="1:66" ht="16.149999999999999" thickBot="1" x14ac:dyDescent="0.35">
      <c r="A16" s="274">
        <v>10</v>
      </c>
      <c r="B16" s="301" t="s">
        <v>125</v>
      </c>
      <c r="C16" s="15" t="s">
        <v>213</v>
      </c>
      <c r="D16" s="302">
        <f>+D11-D15</f>
        <v>88061714.192000017</v>
      </c>
      <c r="E16" s="303">
        <f>+E11-E15</f>
        <v>93510526.042999983</v>
      </c>
      <c r="G16" s="915">
        <v>3</v>
      </c>
      <c r="H16" s="1420" t="s">
        <v>748</v>
      </c>
      <c r="I16" s="1425">
        <f>I6-I13</f>
        <v>115332740.92272873</v>
      </c>
      <c r="J16" s="363">
        <f>J6-J13</f>
        <v>104724129.03219993</v>
      </c>
      <c r="K16" s="1425">
        <f>K6-K13</f>
        <v>119222935.41389656</v>
      </c>
      <c r="L16" s="363">
        <f>L6-L13</f>
        <v>113656065.84509999</v>
      </c>
      <c r="M16" s="917">
        <f t="shared" si="3"/>
        <v>234555676.33662528</v>
      </c>
      <c r="N16" s="917">
        <f t="shared" si="3"/>
        <v>218380194.8772999</v>
      </c>
      <c r="O16" s="1425">
        <f>O6-O13</f>
        <v>115327319.29746184</v>
      </c>
      <c r="P16" s="363">
        <f>P6-P13</f>
        <v>113055705.65099986</v>
      </c>
      <c r="Q16" s="1503">
        <f t="shared" si="5"/>
        <v>349882995.63408709</v>
      </c>
      <c r="R16" s="360">
        <f t="shared" si="6"/>
        <v>331435900.52829975</v>
      </c>
      <c r="S16" s="1425">
        <f>S6-S13</f>
        <v>118291307.19417045</v>
      </c>
      <c r="T16" s="363">
        <f>T6-T13</f>
        <v>117728953.77300009</v>
      </c>
      <c r="U16" s="917">
        <f t="shared" si="8"/>
        <v>468174302.82825756</v>
      </c>
      <c r="V16" s="917">
        <f t="shared" si="9"/>
        <v>449164854.30129981</v>
      </c>
      <c r="W16" s="1425">
        <f>W6-W13</f>
        <v>118291307.19417045</v>
      </c>
      <c r="X16" s="363">
        <f>X6-X13</f>
        <v>114666694.8979999</v>
      </c>
      <c r="Y16" s="917">
        <f t="shared" si="11"/>
        <v>586465610.02242804</v>
      </c>
      <c r="Z16" s="917">
        <f t="shared" si="12"/>
        <v>563831549.19929969</v>
      </c>
      <c r="AA16" s="1425">
        <f>AA6-AA13</f>
        <v>81148631.099244505</v>
      </c>
      <c r="AB16" s="363">
        <f>AB6-AB13</f>
        <v>112312910.336</v>
      </c>
      <c r="AC16" s="1503">
        <f t="shared" ref="AC16:AD18" si="66">S16+W16+AA16</f>
        <v>317731245.48758543</v>
      </c>
      <c r="AD16" s="1503">
        <f t="shared" si="66"/>
        <v>344708559.00699997</v>
      </c>
      <c r="AE16" s="918">
        <f t="shared" si="57"/>
        <v>667614241.12167251</v>
      </c>
      <c r="AF16" s="918">
        <f t="shared" si="58"/>
        <v>676144459.53529978</v>
      </c>
      <c r="AG16" s="1425">
        <f>AG6-AG13</f>
        <v>117422488.74522722</v>
      </c>
      <c r="AH16" s="363">
        <f>AH6-AH13</f>
        <v>111731421.45699982</v>
      </c>
      <c r="AI16" s="917">
        <f t="shared" si="15"/>
        <v>785036729.86689973</v>
      </c>
      <c r="AJ16" s="917">
        <f t="shared" si="16"/>
        <v>787875880.99229956</v>
      </c>
      <c r="AK16" s="1425">
        <f>AK6-AK13</f>
        <v>113693245.48355758</v>
      </c>
      <c r="AL16" s="363">
        <f>AL6-AL13</f>
        <v>48721491.800000243</v>
      </c>
      <c r="AM16" s="917">
        <f t="shared" si="18"/>
        <v>898729975.35045731</v>
      </c>
      <c r="AN16" s="917">
        <f t="shared" si="19"/>
        <v>836597372.79229975</v>
      </c>
      <c r="AO16" s="1425">
        <f>AO6-AO13</f>
        <v>117422488.74522725</v>
      </c>
      <c r="AP16" s="363">
        <f>AP6-AP13</f>
        <v>108854270.55499971</v>
      </c>
      <c r="AQ16" s="1503">
        <f t="shared" si="59"/>
        <v>348538222.97401202</v>
      </c>
      <c r="AR16" s="1503">
        <f t="shared" si="60"/>
        <v>269307183.8119998</v>
      </c>
      <c r="AS16" s="917">
        <f t="shared" si="21"/>
        <v>1016152464.0956845</v>
      </c>
      <c r="AT16" s="917">
        <f t="shared" si="22"/>
        <v>945451643.34729946</v>
      </c>
      <c r="AU16" s="1425">
        <f>AU6-AU13</f>
        <v>117422488.74522725</v>
      </c>
      <c r="AV16" s="363">
        <f>AV6-AV13</f>
        <v>109656188.85000026</v>
      </c>
      <c r="AW16" s="917">
        <f t="shared" si="24"/>
        <v>1133574952.8409119</v>
      </c>
      <c r="AX16" s="917">
        <f t="shared" si="25"/>
        <v>1055107832.1972997</v>
      </c>
      <c r="AY16" s="1425">
        <f>AY6-AY13</f>
        <v>105844937.62938064</v>
      </c>
      <c r="AZ16" s="363">
        <f>AZ6-AZ13</f>
        <v>101053390.16924998</v>
      </c>
      <c r="BA16" s="917">
        <f t="shared" si="27"/>
        <v>1239419890.4702926</v>
      </c>
      <c r="BB16" s="917">
        <f t="shared" si="28"/>
        <v>1156161222.3665497</v>
      </c>
      <c r="BC16" s="1425">
        <f>BC6-BC13</f>
        <v>117956377.92728528</v>
      </c>
      <c r="BD16" s="363">
        <f>BD6-BD13</f>
        <v>113105590.68715014</v>
      </c>
      <c r="BE16" s="1503">
        <f t="shared" si="61"/>
        <v>341223804.30189317</v>
      </c>
      <c r="BF16" s="1503">
        <f t="shared" si="62"/>
        <v>323815169.70640039</v>
      </c>
      <c r="BG16" s="918">
        <f t="shared" ref="BG16:BH17" si="67">AQ16+BE16</f>
        <v>689762027.27590513</v>
      </c>
      <c r="BH16" s="918">
        <f t="shared" si="67"/>
        <v>593122353.51840019</v>
      </c>
      <c r="BI16" s="917">
        <f t="shared" si="54"/>
        <v>1357376268.3975778</v>
      </c>
      <c r="BJ16" s="917">
        <f t="shared" si="53"/>
        <v>1269266813.0537</v>
      </c>
      <c r="BK16" s="26"/>
      <c r="BL16" s="26"/>
      <c r="BM16" s="1219"/>
      <c r="BN16" s="1219"/>
    </row>
    <row r="17" spans="1:66" ht="15.6" x14ac:dyDescent="0.3">
      <c r="A17" s="274">
        <v>11</v>
      </c>
      <c r="B17" s="292" t="s">
        <v>731</v>
      </c>
      <c r="C17" s="13" t="s">
        <v>213</v>
      </c>
      <c r="D17" s="293">
        <v>1093290</v>
      </c>
      <c r="E17" s="294">
        <v>1171532.8</v>
      </c>
      <c r="G17" s="915">
        <v>4</v>
      </c>
      <c r="H17" s="1420" t="s">
        <v>749</v>
      </c>
      <c r="I17" s="1425">
        <f>I18+I40</f>
        <v>115332740.92272873</v>
      </c>
      <c r="J17" s="363">
        <f>J18+J40</f>
        <v>104724129.03219995</v>
      </c>
      <c r="K17" s="1425">
        <f>K18+K40</f>
        <v>119222935.41389655</v>
      </c>
      <c r="L17" s="363">
        <f>L18+L40</f>
        <v>113656065.84509999</v>
      </c>
      <c r="M17" s="917">
        <f t="shared" si="3"/>
        <v>234555676.33662528</v>
      </c>
      <c r="N17" s="917">
        <f t="shared" si="3"/>
        <v>218380194.87729993</v>
      </c>
      <c r="O17" s="1425">
        <f>O18+O40</f>
        <v>115327319.29746182</v>
      </c>
      <c r="P17" s="363">
        <f>P18+P40</f>
        <v>113055705.65099986</v>
      </c>
      <c r="Q17" s="1503">
        <f t="shared" si="5"/>
        <v>349882995.63408709</v>
      </c>
      <c r="R17" s="360">
        <f t="shared" si="6"/>
        <v>331435900.52829981</v>
      </c>
      <c r="S17" s="1425">
        <f>S18+S40</f>
        <v>118291307.19417048</v>
      </c>
      <c r="T17" s="363">
        <f>T18+T40</f>
        <v>117728953.77300008</v>
      </c>
      <c r="U17" s="917">
        <f t="shared" si="8"/>
        <v>468174302.82825756</v>
      </c>
      <c r="V17" s="917">
        <f t="shared" si="9"/>
        <v>449164854.30129987</v>
      </c>
      <c r="W17" s="1425">
        <f>W18+W40</f>
        <v>118291307.19417048</v>
      </c>
      <c r="X17" s="363">
        <f>X18+X40</f>
        <v>114666694.89799991</v>
      </c>
      <c r="Y17" s="917">
        <f t="shared" si="11"/>
        <v>586465610.02242804</v>
      </c>
      <c r="Z17" s="917">
        <f t="shared" si="12"/>
        <v>563831549.19929981</v>
      </c>
      <c r="AA17" s="1425">
        <f>AA18+AA40</f>
        <v>81148631.099244505</v>
      </c>
      <c r="AB17" s="363">
        <f>AB18+AB40</f>
        <v>112312910.33599998</v>
      </c>
      <c r="AC17" s="1503">
        <f t="shared" si="66"/>
        <v>317731245.48758543</v>
      </c>
      <c r="AD17" s="1503">
        <f t="shared" si="66"/>
        <v>344708559.00699997</v>
      </c>
      <c r="AE17" s="918">
        <f t="shared" si="57"/>
        <v>667614241.12167251</v>
      </c>
      <c r="AF17" s="918">
        <f t="shared" si="58"/>
        <v>676144459.53529978</v>
      </c>
      <c r="AG17" s="1425">
        <f>AG18+AG40</f>
        <v>117422488.7452272</v>
      </c>
      <c r="AH17" s="363">
        <f>AH18+AH40</f>
        <v>111731421.45699981</v>
      </c>
      <c r="AI17" s="917">
        <f t="shared" si="15"/>
        <v>785036729.86689973</v>
      </c>
      <c r="AJ17" s="917">
        <f t="shared" si="16"/>
        <v>787875880.99229956</v>
      </c>
      <c r="AK17" s="1425">
        <f>AK18+AK40</f>
        <v>113693245.48355755</v>
      </c>
      <c r="AL17" s="363">
        <f>AL18+AL40</f>
        <v>48721491.80000025</v>
      </c>
      <c r="AM17" s="917">
        <f t="shared" si="18"/>
        <v>898729975.35045731</v>
      </c>
      <c r="AN17" s="917">
        <f t="shared" si="19"/>
        <v>836597372.79229975</v>
      </c>
      <c r="AO17" s="1425">
        <f>AO18+AO40</f>
        <v>117422488.7452272</v>
      </c>
      <c r="AP17" s="363">
        <f>AP18+AP40</f>
        <v>108854270.55499971</v>
      </c>
      <c r="AQ17" s="1503">
        <f t="shared" si="59"/>
        <v>348538222.97401196</v>
      </c>
      <c r="AR17" s="1503">
        <f t="shared" si="60"/>
        <v>269307183.8119998</v>
      </c>
      <c r="AS17" s="917">
        <f t="shared" si="21"/>
        <v>1016152464.0956845</v>
      </c>
      <c r="AT17" s="917">
        <f t="shared" si="22"/>
        <v>945451643.34729946</v>
      </c>
      <c r="AU17" s="1425">
        <f>AU18+AU40</f>
        <v>117422488.7452272</v>
      </c>
      <c r="AV17" s="363">
        <f>AV18+AV40</f>
        <v>109656188.85000023</v>
      </c>
      <c r="AW17" s="917">
        <f t="shared" si="24"/>
        <v>1133574952.8409116</v>
      </c>
      <c r="AX17" s="917">
        <f t="shared" si="25"/>
        <v>1055107832.1972997</v>
      </c>
      <c r="AY17" s="1425">
        <f>AY18+AY40</f>
        <v>105844937.62938061</v>
      </c>
      <c r="AZ17" s="363">
        <f>AZ18+AZ40</f>
        <v>101053390.16924997</v>
      </c>
      <c r="BA17" s="917">
        <f t="shared" si="27"/>
        <v>1239419890.4702923</v>
      </c>
      <c r="BB17" s="917">
        <f t="shared" si="28"/>
        <v>1156161222.3665497</v>
      </c>
      <c r="BC17" s="1425">
        <f>BC18+BC40</f>
        <v>117956377.92728525</v>
      </c>
      <c r="BD17" s="363">
        <f>BD18+BD40</f>
        <v>113105590.68715012</v>
      </c>
      <c r="BE17" s="1503">
        <f t="shared" si="61"/>
        <v>341223804.30189306</v>
      </c>
      <c r="BF17" s="1503">
        <f t="shared" si="62"/>
        <v>323815169.70640033</v>
      </c>
      <c r="BG17" s="918">
        <f t="shared" si="67"/>
        <v>689762027.27590501</v>
      </c>
      <c r="BH17" s="918">
        <f t="shared" si="67"/>
        <v>593122353.51840019</v>
      </c>
      <c r="BI17" s="917">
        <f t="shared" si="54"/>
        <v>1357376268.3975775</v>
      </c>
      <c r="BJ17" s="917">
        <f t="shared" si="53"/>
        <v>1269266813.0537</v>
      </c>
      <c r="BK17" s="26"/>
      <c r="BL17" s="26"/>
      <c r="BM17" s="1219"/>
      <c r="BN17" s="1219"/>
    </row>
    <row r="18" spans="1:66" ht="15.6" x14ac:dyDescent="0.3">
      <c r="A18" s="274">
        <v>12</v>
      </c>
      <c r="B18" s="292" t="s">
        <v>723</v>
      </c>
      <c r="C18" s="13" t="s">
        <v>213</v>
      </c>
      <c r="D18" s="293">
        <v>5090630.0000000047</v>
      </c>
      <c r="E18" s="294">
        <v>4892460.0000000009</v>
      </c>
      <c r="G18" s="922">
        <v>4.0999999999999996</v>
      </c>
      <c r="H18" s="1421" t="s">
        <v>743</v>
      </c>
      <c r="I18" s="1428">
        <f>I19+I35</f>
        <v>105738740.92272873</v>
      </c>
      <c r="J18" s="324">
        <f>J19+J35</f>
        <v>95947870.963533282</v>
      </c>
      <c r="K18" s="1428">
        <f>K19+K35</f>
        <v>109309135.41389655</v>
      </c>
      <c r="L18" s="324">
        <f>L19+L35</f>
        <v>104010835.19743332</v>
      </c>
      <c r="M18" s="182">
        <f t="shared" si="3"/>
        <v>215047876.33662528</v>
      </c>
      <c r="N18" s="182">
        <f t="shared" si="3"/>
        <v>199958706.1609666</v>
      </c>
      <c r="O18" s="1428">
        <f>O19+O35</f>
        <v>105733319.29746182</v>
      </c>
      <c r="P18" s="324">
        <f>P19+P35</f>
        <v>103286034.35333319</v>
      </c>
      <c r="Q18" s="1506">
        <f t="shared" si="5"/>
        <v>320781195.63408709</v>
      </c>
      <c r="R18" s="1507">
        <f t="shared" si="6"/>
        <v>303244740.51429981</v>
      </c>
      <c r="S18" s="1428">
        <f>S19+S35</f>
        <v>108377507.19417048</v>
      </c>
      <c r="T18" s="324">
        <f>T19+T35</f>
        <v>107683835.92866676</v>
      </c>
      <c r="U18" s="1594">
        <f t="shared" si="8"/>
        <v>429158702.82825756</v>
      </c>
      <c r="V18" s="1594">
        <f t="shared" si="9"/>
        <v>410928576.44296658</v>
      </c>
      <c r="W18" s="1428">
        <f>W19+W35</f>
        <v>108377507.19417048</v>
      </c>
      <c r="X18" s="324">
        <f>X19+X35</f>
        <v>104855082.12733324</v>
      </c>
      <c r="Y18" s="1594">
        <f t="shared" si="11"/>
        <v>537536210.02242804</v>
      </c>
      <c r="Z18" s="1594">
        <f t="shared" si="12"/>
        <v>515783658.5702998</v>
      </c>
      <c r="AA18" s="1428">
        <f>AA19+AA35</f>
        <v>71554631.099244505</v>
      </c>
      <c r="AB18" s="324">
        <f>AB19+AB35</f>
        <v>102645175.81166665</v>
      </c>
      <c r="AC18" s="1506">
        <f t="shared" si="66"/>
        <v>288309645.48758543</v>
      </c>
      <c r="AD18" s="1507">
        <f t="shared" si="66"/>
        <v>315184093.86766666</v>
      </c>
      <c r="AE18" s="1667">
        <f t="shared" si="57"/>
        <v>609090841.12167251</v>
      </c>
      <c r="AF18" s="1667">
        <f t="shared" si="58"/>
        <v>618428834.38196647</v>
      </c>
      <c r="AG18" s="1428">
        <f>AG19+AG35</f>
        <v>107508688.7452272</v>
      </c>
      <c r="AH18" s="324">
        <f>AH19+AH35</f>
        <v>102558923.48766647</v>
      </c>
      <c r="AI18" s="1594">
        <f t="shared" si="15"/>
        <v>716599529.86689973</v>
      </c>
      <c r="AJ18" s="1594">
        <f t="shared" si="16"/>
        <v>720987757.86963296</v>
      </c>
      <c r="AK18" s="1428">
        <f>AK19+AK35</f>
        <v>104099245.48355755</v>
      </c>
      <c r="AL18" s="324">
        <f>AL19+AL35</f>
        <v>43366394.480000243</v>
      </c>
      <c r="AM18" s="1594">
        <f t="shared" si="18"/>
        <v>820698775.35045731</v>
      </c>
      <c r="AN18" s="1594">
        <f t="shared" si="19"/>
        <v>764354152.34963322</v>
      </c>
      <c r="AO18" s="1428">
        <f>AO19+AO35</f>
        <v>107508688.7452272</v>
      </c>
      <c r="AP18" s="324">
        <f>AP19+AP35</f>
        <v>100645525.21999972</v>
      </c>
      <c r="AQ18" s="1506">
        <f t="shared" si="59"/>
        <v>319116622.97401196</v>
      </c>
      <c r="AR18" s="1507">
        <f t="shared" si="60"/>
        <v>246570843.18766642</v>
      </c>
      <c r="AS18" s="1594">
        <f t="shared" si="21"/>
        <v>928207464.09568453</v>
      </c>
      <c r="AT18" s="1594">
        <f t="shared" si="22"/>
        <v>864999677.56963289</v>
      </c>
      <c r="AU18" s="1428">
        <f>AU19+AU35</f>
        <v>107508688.7452272</v>
      </c>
      <c r="AV18" s="324">
        <f>AV19+AV35</f>
        <v>101146953.33333357</v>
      </c>
      <c r="AW18" s="1594">
        <f t="shared" si="24"/>
        <v>1035716152.8409117</v>
      </c>
      <c r="AX18" s="1594">
        <f t="shared" si="25"/>
        <v>966146630.9029665</v>
      </c>
      <c r="AY18" s="1428">
        <f>AY19+AY35</f>
        <v>96890537.629380614</v>
      </c>
      <c r="AZ18" s="324">
        <f>AZ19+AZ35</f>
        <v>93550650.0195833</v>
      </c>
      <c r="BA18" s="1594">
        <f t="shared" si="27"/>
        <v>1132606690.4702923</v>
      </c>
      <c r="BB18" s="1594">
        <f t="shared" si="28"/>
        <v>1059697280.9225498</v>
      </c>
      <c r="BC18" s="1428">
        <f>BC19+BC35</f>
        <v>108042577.92728525</v>
      </c>
      <c r="BD18" s="324">
        <f>BD19+BD35</f>
        <v>104737331.79415013</v>
      </c>
      <c r="BE18" s="1506">
        <f t="shared" si="61"/>
        <v>312441804.30189306</v>
      </c>
      <c r="BF18" s="1507">
        <f t="shared" si="62"/>
        <v>299434935.14706701</v>
      </c>
      <c r="BG18" s="1667">
        <f>AQ18+BE18</f>
        <v>631558427.27590501</v>
      </c>
      <c r="BH18" s="1667">
        <f>AR18+BF18</f>
        <v>546005778.33473349</v>
      </c>
      <c r="BI18" s="1594">
        <f t="shared" si="54"/>
        <v>1240649268.3975775</v>
      </c>
      <c r="BJ18" s="1594">
        <f t="shared" si="53"/>
        <v>1164434612.7167001</v>
      </c>
      <c r="BK18" s="26"/>
      <c r="BL18" s="26"/>
      <c r="BM18" s="1219"/>
      <c r="BN18" s="1219"/>
    </row>
    <row r="19" spans="1:66" ht="15.6" x14ac:dyDescent="0.3">
      <c r="A19" s="274">
        <v>13</v>
      </c>
      <c r="B19" s="292" t="s">
        <v>634</v>
      </c>
      <c r="C19" s="13" t="s">
        <v>213</v>
      </c>
      <c r="D19" s="293">
        <v>1555939.9999999995</v>
      </c>
      <c r="E19" s="294">
        <v>1505040</v>
      </c>
      <c r="G19" s="923" t="s">
        <v>750</v>
      </c>
      <c r="H19" s="1422" t="s">
        <v>722</v>
      </c>
      <c r="I19" s="1429">
        <f>SUM(I20:I33)</f>
        <v>103923222.52272873</v>
      </c>
      <c r="J19" s="325">
        <f>SUM(J20:J33)</f>
        <v>94489832.949999943</v>
      </c>
      <c r="K19" s="1429">
        <f>SUM(K20:K33)</f>
        <v>107433099.73389654</v>
      </c>
      <c r="L19" s="325">
        <f>SUM(L20:L33)</f>
        <v>102322747.63999999</v>
      </c>
      <c r="M19" s="924">
        <f t="shared" si="3"/>
        <v>211356322.25662526</v>
      </c>
      <c r="N19" s="924">
        <f t="shared" si="3"/>
        <v>196812580.58999991</v>
      </c>
      <c r="O19" s="1429">
        <f>SUM(O20:O33)</f>
        <v>103966924.09746182</v>
      </c>
      <c r="P19" s="325">
        <f>SUM(P20:P33)</f>
        <v>101691418.23999986</v>
      </c>
      <c r="Q19" s="1508">
        <f t="shared" si="5"/>
        <v>315323246.35408711</v>
      </c>
      <c r="R19" s="1509">
        <f t="shared" si="6"/>
        <v>298503998.8299998</v>
      </c>
      <c r="S19" s="1429">
        <f>SUM(S20:S33)</f>
        <v>106552232.15417047</v>
      </c>
      <c r="T19" s="325">
        <f>SUM(T20:T33)</f>
        <v>106066937.44000009</v>
      </c>
      <c r="U19" s="924">
        <f t="shared" si="8"/>
        <v>421875478.50825757</v>
      </c>
      <c r="V19" s="924">
        <f t="shared" si="9"/>
        <v>404570936.26999986</v>
      </c>
      <c r="W19" s="1429">
        <f>SUM(W20:W33)</f>
        <v>106552232.15417047</v>
      </c>
      <c r="X19" s="325">
        <f>SUM(X20:X33)</f>
        <v>103288592.13999991</v>
      </c>
      <c r="Y19" s="924">
        <f t="shared" si="11"/>
        <v>528427710.66242802</v>
      </c>
      <c r="Z19" s="924">
        <f t="shared" si="12"/>
        <v>507859528.40999979</v>
      </c>
      <c r="AA19" s="1429">
        <f>SUM(AA20:AA33)</f>
        <v>69811569.419244498</v>
      </c>
      <c r="AB19" s="325">
        <f>SUM(AB20:AB33)</f>
        <v>101067071.11999999</v>
      </c>
      <c r="AC19" s="1508">
        <f t="shared" ref="AC19:AC33" si="68">S19+W19+AA19</f>
        <v>282916033.72758543</v>
      </c>
      <c r="AD19" s="1509">
        <f t="shared" ref="AD19:AD33" si="69">T19+X19+AB19</f>
        <v>310422600.69999999</v>
      </c>
      <c r="AE19" s="925">
        <f t="shared" si="57"/>
        <v>598239280.08167255</v>
      </c>
      <c r="AF19" s="925">
        <f t="shared" si="58"/>
        <v>608926599.52999973</v>
      </c>
      <c r="AG19" s="1429">
        <f>SUM(AG20:AG33)</f>
        <v>105129043.4332272</v>
      </c>
      <c r="AH19" s="325">
        <f>SUM(AH20:AH33)</f>
        <v>100886312.7999998</v>
      </c>
      <c r="AI19" s="924">
        <f t="shared" si="15"/>
        <v>703368323.51489973</v>
      </c>
      <c r="AJ19" s="924">
        <f t="shared" si="16"/>
        <v>709812912.32999957</v>
      </c>
      <c r="AK19" s="1429">
        <f>SUM(AK20:AK33)</f>
        <v>101796362.92355755</v>
      </c>
      <c r="AL19" s="325">
        <f>SUM(AL20:AL33)</f>
        <v>41838914.560000241</v>
      </c>
      <c r="AM19" s="924">
        <f t="shared" si="18"/>
        <v>805164686.43845725</v>
      </c>
      <c r="AN19" s="924">
        <f t="shared" si="19"/>
        <v>751651826.88999987</v>
      </c>
      <c r="AO19" s="1429">
        <f>SUM(AO20:AO33)</f>
        <v>105129043.4332272</v>
      </c>
      <c r="AP19" s="325">
        <f>SUM(AP20:AP33)</f>
        <v>99174289.999999717</v>
      </c>
      <c r="AQ19" s="1508">
        <f t="shared" si="59"/>
        <v>312054449.79001194</v>
      </c>
      <c r="AR19" s="1509">
        <f t="shared" si="60"/>
        <v>241899517.35999978</v>
      </c>
      <c r="AS19" s="924">
        <f t="shared" si="21"/>
        <v>910293729.87168443</v>
      </c>
      <c r="AT19" s="924">
        <f t="shared" si="22"/>
        <v>850826116.88999963</v>
      </c>
      <c r="AU19" s="1429">
        <f>SUM(AU20:AU33)</f>
        <v>105129043.4332272</v>
      </c>
      <c r="AV19" s="325">
        <f>SUM(AV20:AV33)</f>
        <v>99690067.000000238</v>
      </c>
      <c r="AW19" s="924">
        <f t="shared" si="24"/>
        <v>1015422773.3049116</v>
      </c>
      <c r="AX19" s="924">
        <f t="shared" si="25"/>
        <v>950516183.88999987</v>
      </c>
      <c r="AY19" s="1429">
        <f>SUM(AY20:AY33)</f>
        <v>94741180.573380619</v>
      </c>
      <c r="AZ19" s="325">
        <f>SUM(AZ20:AZ33)</f>
        <v>92175466.589999959</v>
      </c>
      <c r="BA19" s="924">
        <f t="shared" si="27"/>
        <v>1110163953.8782923</v>
      </c>
      <c r="BB19" s="924">
        <f t="shared" si="28"/>
        <v>1042691650.4799998</v>
      </c>
      <c r="BC19" s="1429">
        <f>SUM(BC20:BC33)</f>
        <v>105662932.61528525</v>
      </c>
      <c r="BD19" s="325">
        <f>SUM(BD20:BD33)</f>
        <v>103193797.19000013</v>
      </c>
      <c r="BE19" s="1508">
        <f t="shared" si="61"/>
        <v>305533156.62189305</v>
      </c>
      <c r="BF19" s="1509">
        <f t="shared" si="62"/>
        <v>295059330.78000033</v>
      </c>
      <c r="BG19" s="918">
        <f>AQ19+BE19</f>
        <v>617587606.41190505</v>
      </c>
      <c r="BH19" s="918">
        <f>AR19+BF19</f>
        <v>536958848.1400001</v>
      </c>
      <c r="BI19" s="924">
        <f t="shared" si="54"/>
        <v>1215826886.4935775</v>
      </c>
      <c r="BJ19" s="924">
        <f t="shared" si="53"/>
        <v>1145885447.6699998</v>
      </c>
      <c r="BK19" s="26"/>
      <c r="BL19" s="26"/>
      <c r="BM19" s="1219"/>
      <c r="BN19" s="1219"/>
    </row>
    <row r="20" spans="1:66" ht="14.45" x14ac:dyDescent="0.3">
      <c r="A20" s="274">
        <v>14</v>
      </c>
      <c r="B20" s="292" t="s">
        <v>487</v>
      </c>
      <c r="C20" s="13" t="s">
        <v>213</v>
      </c>
      <c r="D20" s="293">
        <v>7954979.9999999814</v>
      </c>
      <c r="E20" s="294">
        <v>8018420.0000000149</v>
      </c>
      <c r="G20" s="912" t="s">
        <v>751</v>
      </c>
      <c r="H20" s="894" t="s">
        <v>723</v>
      </c>
      <c r="I20" s="1427">
        <f t="shared" ref="I20:I33" si="70">+I69*I$3*24*1000</f>
        <v>5267670.03</v>
      </c>
      <c r="J20" s="322">
        <v>5114575.7499999991</v>
      </c>
      <c r="K20" s="1427">
        <f t="shared" ref="K20" si="71">+K69*K$3*24*1000</f>
        <v>5443259.0310000004</v>
      </c>
      <c r="L20" s="322">
        <v>5230424.8400000054</v>
      </c>
      <c r="M20" s="920">
        <f t="shared" si="3"/>
        <v>10710929.061000001</v>
      </c>
      <c r="N20" s="920">
        <f t="shared" si="3"/>
        <v>10345000.590000004</v>
      </c>
      <c r="O20" s="1427">
        <f t="shared" ref="O20:O33" si="72">+O69*O$3*24*1000</f>
        <v>5267670.03</v>
      </c>
      <c r="P20" s="322">
        <v>4982808.9399999864</v>
      </c>
      <c r="Q20" s="1505">
        <f t="shared" si="5"/>
        <v>15978599.091000002</v>
      </c>
      <c r="R20" s="359">
        <f t="shared" si="6"/>
        <v>15327809.52999999</v>
      </c>
      <c r="S20" s="1427">
        <f t="shared" ref="S20:S33" si="73">+S69*S$3*24*1000</f>
        <v>5443259.0310000004</v>
      </c>
      <c r="T20" s="322">
        <v>5165082.3400000138</v>
      </c>
      <c r="U20" s="920">
        <f t="shared" si="8"/>
        <v>21421858.122000001</v>
      </c>
      <c r="V20" s="920">
        <f t="shared" si="9"/>
        <v>20492891.870000005</v>
      </c>
      <c r="W20" s="1427">
        <f t="shared" ref="W20:W33" si="74">+W69*W$3*24*1000</f>
        <v>5443259.0310000004</v>
      </c>
      <c r="X20" s="322">
        <v>4967620.5999999903</v>
      </c>
      <c r="Y20" s="920">
        <f t="shared" si="11"/>
        <v>26865117.153000001</v>
      </c>
      <c r="Z20" s="920">
        <f t="shared" si="12"/>
        <v>25460512.469999995</v>
      </c>
      <c r="AA20" s="1427">
        <f t="shared" ref="AA20:AA33" si="75">+AA69*AA$3*24*1000</f>
        <v>5025787.2224999992</v>
      </c>
      <c r="AB20" s="322">
        <v>4729684.800000011</v>
      </c>
      <c r="AC20" s="1505">
        <f t="shared" si="68"/>
        <v>15912305.284499999</v>
      </c>
      <c r="AD20" s="359">
        <f t="shared" si="69"/>
        <v>14862387.740000017</v>
      </c>
      <c r="AE20" s="921">
        <f t="shared" si="57"/>
        <v>31890904.375500001</v>
      </c>
      <c r="AF20" s="921">
        <f t="shared" si="58"/>
        <v>30190197.270000007</v>
      </c>
      <c r="AG20" s="1427">
        <f t="shared" ref="AG20:AG33" si="76">+AG69*AG$3*24*1000</f>
        <v>4979810.0384999998</v>
      </c>
      <c r="AH20" s="322">
        <v>5000839.9999999776</v>
      </c>
      <c r="AI20" s="920">
        <f t="shared" si="15"/>
        <v>36870714.414000005</v>
      </c>
      <c r="AJ20" s="920">
        <f t="shared" si="16"/>
        <v>35191037.269999981</v>
      </c>
      <c r="AK20" s="1427">
        <f t="shared" ref="AK20:AK33" si="77">+AK69*AK$3*24*1000</f>
        <v>4819171.0049999999</v>
      </c>
      <c r="AL20" s="322">
        <v>4483330.0000000158</v>
      </c>
      <c r="AM20" s="920">
        <f t="shared" si="18"/>
        <v>41689885.419000007</v>
      </c>
      <c r="AN20" s="920">
        <f t="shared" si="19"/>
        <v>39674367.269999996</v>
      </c>
      <c r="AO20" s="1427">
        <f t="shared" ref="AO20:AO33" si="78">+AO69*AO$3*24*1000</f>
        <v>4979810.0384999998</v>
      </c>
      <c r="AP20" s="4685">
        <v>4868829.9999999832</v>
      </c>
      <c r="AQ20" s="1505">
        <f t="shared" si="59"/>
        <v>14778791.081999999</v>
      </c>
      <c r="AR20" s="359">
        <f t="shared" si="60"/>
        <v>14352999.999999976</v>
      </c>
      <c r="AS20" s="920">
        <f t="shared" si="21"/>
        <v>46669695.457500011</v>
      </c>
      <c r="AT20" s="920">
        <f t="shared" si="22"/>
        <v>44543197.269999981</v>
      </c>
      <c r="AU20" s="1427">
        <f t="shared" ref="AU20:AU33" si="79">+AU69*AU$3*24*1000</f>
        <v>4979810.0384999998</v>
      </c>
      <c r="AV20" s="322">
        <v>5053670.000000013</v>
      </c>
      <c r="AW20" s="920">
        <f t="shared" si="24"/>
        <v>51649505.496000007</v>
      </c>
      <c r="AX20" s="920">
        <f t="shared" si="25"/>
        <v>49596867.269999996</v>
      </c>
      <c r="AY20" s="1427">
        <f t="shared" ref="AY20:AY33" si="80">+AY69*AY$3*24*1000</f>
        <v>4497892.9380000001</v>
      </c>
      <c r="AZ20" s="322">
        <v>4831609.3899999885</v>
      </c>
      <c r="BA20" s="920">
        <f t="shared" si="27"/>
        <v>56147398.434000008</v>
      </c>
      <c r="BB20" s="920">
        <f t="shared" si="28"/>
        <v>54428476.659999982</v>
      </c>
      <c r="BC20" s="1427">
        <f t="shared" ref="BC20:BC33" si="81">+BC69*BC$3*24*1000</f>
        <v>4979810.0384999998</v>
      </c>
      <c r="BD20" s="322">
        <v>5262355.5900000036</v>
      </c>
      <c r="BE20" s="1505">
        <f t="shared" si="61"/>
        <v>14457513.015000001</v>
      </c>
      <c r="BF20" s="359">
        <f t="shared" si="62"/>
        <v>15147634.980000004</v>
      </c>
      <c r="BG20" s="921">
        <f t="shared" ref="BG20:BH33" si="82">AQ20+BE20</f>
        <v>29236304.096999999</v>
      </c>
      <c r="BH20" s="921">
        <f t="shared" si="82"/>
        <v>29500634.979999982</v>
      </c>
      <c r="BI20" s="920">
        <f t="shared" si="54"/>
        <v>61127208.472500011</v>
      </c>
      <c r="BJ20" s="920">
        <f t="shared" si="53"/>
        <v>59690832.249999985</v>
      </c>
      <c r="BK20" s="26"/>
      <c r="BL20" s="26"/>
      <c r="BM20" s="1219"/>
      <c r="BN20" s="1219"/>
    </row>
    <row r="21" spans="1:66" ht="14.45" x14ac:dyDescent="0.3">
      <c r="A21" s="274">
        <v>15</v>
      </c>
      <c r="B21" s="292" t="s">
        <v>724</v>
      </c>
      <c r="C21" s="13" t="s">
        <v>213</v>
      </c>
      <c r="D21" s="293">
        <v>9405013.9999999981</v>
      </c>
      <c r="E21" s="294">
        <v>9828956</v>
      </c>
      <c r="G21" s="912" t="s">
        <v>752</v>
      </c>
      <c r="H21" s="894" t="s">
        <v>634</v>
      </c>
      <c r="I21" s="1427">
        <f t="shared" si="70"/>
        <v>2088000</v>
      </c>
      <c r="J21" s="322">
        <v>1933940.0000000061</v>
      </c>
      <c r="K21" s="1427">
        <f t="shared" ref="K21" si="83">+K70*K$3*24*1000</f>
        <v>2157600</v>
      </c>
      <c r="L21" s="322">
        <v>2055209.999999996</v>
      </c>
      <c r="M21" s="920">
        <f t="shared" si="3"/>
        <v>4245600</v>
      </c>
      <c r="N21" s="920">
        <f t="shared" si="3"/>
        <v>3989150.0000000019</v>
      </c>
      <c r="O21" s="1427">
        <f t="shared" si="72"/>
        <v>2088000</v>
      </c>
      <c r="P21" s="322">
        <v>2115320</v>
      </c>
      <c r="Q21" s="1505">
        <f t="shared" ref="Q21:Q33" si="84">+I21+K21+O21</f>
        <v>6333600</v>
      </c>
      <c r="R21" s="359">
        <f t="shared" ref="R21:R33" si="85">+J21+L21+P21</f>
        <v>6104470.0000000019</v>
      </c>
      <c r="S21" s="1427">
        <f t="shared" si="73"/>
        <v>2157600</v>
      </c>
      <c r="T21" s="322">
        <v>2432859.9999999972</v>
      </c>
      <c r="U21" s="920">
        <f t="shared" si="8"/>
        <v>8491200</v>
      </c>
      <c r="V21" s="920">
        <f t="shared" si="9"/>
        <v>8537330</v>
      </c>
      <c r="W21" s="1427">
        <f t="shared" si="74"/>
        <v>2157600</v>
      </c>
      <c r="X21" s="322">
        <v>2330123.0000000047</v>
      </c>
      <c r="Y21" s="920">
        <f t="shared" si="11"/>
        <v>10648800</v>
      </c>
      <c r="Z21" s="920">
        <f t="shared" si="12"/>
        <v>10867453.000000004</v>
      </c>
      <c r="AA21" s="1427">
        <f t="shared" si="75"/>
        <v>1447199.9999999998</v>
      </c>
      <c r="AB21" s="322">
        <v>2252446.9999999991</v>
      </c>
      <c r="AC21" s="1505">
        <f t="shared" si="68"/>
        <v>5762400</v>
      </c>
      <c r="AD21" s="359">
        <f t="shared" si="69"/>
        <v>7015430.0000000009</v>
      </c>
      <c r="AE21" s="921">
        <f t="shared" si="57"/>
        <v>12096000</v>
      </c>
      <c r="AF21" s="921">
        <f t="shared" si="58"/>
        <v>13119900.000000004</v>
      </c>
      <c r="AG21" s="1427">
        <f t="shared" si="76"/>
        <v>2157600</v>
      </c>
      <c r="AH21" s="322">
        <v>2211669.9999999972</v>
      </c>
      <c r="AI21" s="920">
        <f t="shared" si="15"/>
        <v>14253600</v>
      </c>
      <c r="AJ21" s="920">
        <f t="shared" si="16"/>
        <v>15331570</v>
      </c>
      <c r="AK21" s="1427">
        <f t="shared" si="77"/>
        <v>2088000</v>
      </c>
      <c r="AL21" s="322">
        <v>733510.0000000007</v>
      </c>
      <c r="AM21" s="920">
        <f t="shared" si="18"/>
        <v>16341600</v>
      </c>
      <c r="AN21" s="920">
        <f t="shared" si="19"/>
        <v>16065080</v>
      </c>
      <c r="AO21" s="1427">
        <f t="shared" si="78"/>
        <v>2157600</v>
      </c>
      <c r="AP21" s="4685">
        <v>2024890.0000000002</v>
      </c>
      <c r="AQ21" s="1505">
        <f t="shared" si="59"/>
        <v>6403200</v>
      </c>
      <c r="AR21" s="359">
        <f t="shared" si="60"/>
        <v>4970069.9999999981</v>
      </c>
      <c r="AS21" s="920">
        <f t="shared" si="21"/>
        <v>18499200</v>
      </c>
      <c r="AT21" s="920">
        <f t="shared" si="22"/>
        <v>18089970</v>
      </c>
      <c r="AU21" s="1427">
        <f t="shared" si="79"/>
        <v>2157600</v>
      </c>
      <c r="AV21" s="322">
        <v>2091120.0000000033</v>
      </c>
      <c r="AW21" s="920">
        <f t="shared" si="24"/>
        <v>20656800</v>
      </c>
      <c r="AX21" s="920">
        <f t="shared" si="25"/>
        <v>20181090.000000004</v>
      </c>
      <c r="AY21" s="1427">
        <f t="shared" si="80"/>
        <v>1948800.0000000002</v>
      </c>
      <c r="AZ21" s="322">
        <v>1774529.9999999972</v>
      </c>
      <c r="BA21" s="920">
        <f t="shared" si="27"/>
        <v>22605600</v>
      </c>
      <c r="BB21" s="920">
        <f t="shared" si="28"/>
        <v>21955620</v>
      </c>
      <c r="BC21" s="1427">
        <f t="shared" si="81"/>
        <v>2157600</v>
      </c>
      <c r="BD21" s="322">
        <v>2161249.9999999977</v>
      </c>
      <c r="BE21" s="1505">
        <f t="shared" si="61"/>
        <v>6264000</v>
      </c>
      <c r="BF21" s="359">
        <f t="shared" si="62"/>
        <v>6026899.9999999981</v>
      </c>
      <c r="BG21" s="921">
        <f>AQ21+BE21</f>
        <v>12667200</v>
      </c>
      <c r="BH21" s="921">
        <f t="shared" si="82"/>
        <v>10996969.999999996</v>
      </c>
      <c r="BI21" s="920">
        <f t="shared" si="54"/>
        <v>24763200</v>
      </c>
      <c r="BJ21" s="920">
        <f t="shared" si="53"/>
        <v>24116869.999999996</v>
      </c>
      <c r="BK21" s="26"/>
      <c r="BL21" s="26"/>
      <c r="BM21" s="1219"/>
      <c r="BN21" s="1219"/>
    </row>
    <row r="22" spans="1:66" ht="14.45" x14ac:dyDescent="0.3">
      <c r="A22" s="274">
        <v>16</v>
      </c>
      <c r="B22" s="292" t="s">
        <v>725</v>
      </c>
      <c r="C22" s="13" t="s">
        <v>213</v>
      </c>
      <c r="D22" s="293">
        <v>16006660.000000006</v>
      </c>
      <c r="E22" s="294">
        <v>16895070</v>
      </c>
      <c r="G22" s="912" t="s">
        <v>753</v>
      </c>
      <c r="H22" s="894" t="s">
        <v>487</v>
      </c>
      <c r="I22" s="1427">
        <f t="shared" si="70"/>
        <v>11514717.277581625</v>
      </c>
      <c r="J22" s="322">
        <v>9683949.9999999814</v>
      </c>
      <c r="K22" s="1427">
        <f t="shared" ref="K22" si="86">+K71*K$3*24*1000</f>
        <v>11860620.924496397</v>
      </c>
      <c r="L22" s="322">
        <v>11134429.999999991</v>
      </c>
      <c r="M22" s="920">
        <f t="shared" si="3"/>
        <v>23375338.202078022</v>
      </c>
      <c r="N22" s="920">
        <f t="shared" si="3"/>
        <v>20818379.99999997</v>
      </c>
      <c r="O22" s="1427">
        <f t="shared" si="72"/>
        <v>11514717.277581625</v>
      </c>
      <c r="P22" s="322">
        <v>11736979.999999998</v>
      </c>
      <c r="Q22" s="1505">
        <f t="shared" si="84"/>
        <v>34890055.479659647</v>
      </c>
      <c r="R22" s="359">
        <f t="shared" si="85"/>
        <v>32555359.99999997</v>
      </c>
      <c r="S22" s="1427">
        <f t="shared" si="73"/>
        <v>11644431.145174664</v>
      </c>
      <c r="T22" s="322">
        <v>12452919.999999998</v>
      </c>
      <c r="U22" s="920">
        <f t="shared" si="8"/>
        <v>46534486.624834314</v>
      </c>
      <c r="V22" s="920">
        <f t="shared" si="9"/>
        <v>45008279.99999997</v>
      </c>
      <c r="W22" s="1427">
        <f t="shared" si="74"/>
        <v>11644431.145174664</v>
      </c>
      <c r="X22" s="322">
        <v>12425240.000000002</v>
      </c>
      <c r="Y22" s="920">
        <f t="shared" si="11"/>
        <v>58178917.770008981</v>
      </c>
      <c r="Z22" s="920">
        <f t="shared" si="12"/>
        <v>57433519.99999997</v>
      </c>
      <c r="AA22" s="1427">
        <f t="shared" si="75"/>
        <v>6424565.2608682904</v>
      </c>
      <c r="AB22" s="322">
        <v>12303829.999999996</v>
      </c>
      <c r="AC22" s="1505">
        <f t="shared" si="68"/>
        <v>29713427.551217616</v>
      </c>
      <c r="AD22" s="359">
        <f t="shared" si="69"/>
        <v>37181990</v>
      </c>
      <c r="AE22" s="921">
        <f t="shared" si="57"/>
        <v>64603483.030877262</v>
      </c>
      <c r="AF22" s="921">
        <f t="shared" si="58"/>
        <v>69737349.99999997</v>
      </c>
      <c r="AG22" s="1427">
        <f t="shared" si="76"/>
        <v>12426073.534885483</v>
      </c>
      <c r="AH22" s="322">
        <v>11532626.999999965</v>
      </c>
      <c r="AI22" s="920">
        <f t="shared" si="15"/>
        <v>77029556.565762743</v>
      </c>
      <c r="AJ22" s="920">
        <f t="shared" si="16"/>
        <v>81269976.99999994</v>
      </c>
      <c r="AK22" s="1427">
        <f t="shared" si="77"/>
        <v>12097991.661769148</v>
      </c>
      <c r="AL22" s="322">
        <v>1573730.0000000368</v>
      </c>
      <c r="AM22" s="920">
        <f t="shared" si="18"/>
        <v>89127548.227531895</v>
      </c>
      <c r="AN22" s="920">
        <f t="shared" si="19"/>
        <v>82843706.99999997</v>
      </c>
      <c r="AO22" s="1427">
        <f t="shared" si="78"/>
        <v>12426073.534885483</v>
      </c>
      <c r="AP22" s="4685">
        <v>11462629.999999959</v>
      </c>
      <c r="AQ22" s="1505">
        <f t="shared" si="59"/>
        <v>36950138.731540114</v>
      </c>
      <c r="AR22" s="359">
        <f t="shared" si="60"/>
        <v>24568986.999999963</v>
      </c>
      <c r="AS22" s="920">
        <f t="shared" si="21"/>
        <v>101553621.76241738</v>
      </c>
      <c r="AT22" s="920">
        <f t="shared" si="22"/>
        <v>94306336.999999925</v>
      </c>
      <c r="AU22" s="1427">
        <f t="shared" si="79"/>
        <v>12426073.534885483</v>
      </c>
      <c r="AV22" s="322">
        <v>11305090.000000039</v>
      </c>
      <c r="AW22" s="920">
        <f t="shared" si="24"/>
        <v>113979695.29730286</v>
      </c>
      <c r="AX22" s="920">
        <f t="shared" si="25"/>
        <v>105611426.99999997</v>
      </c>
      <c r="AY22" s="1427">
        <f t="shared" si="80"/>
        <v>11269790.181396937</v>
      </c>
      <c r="AZ22" s="322">
        <v>10543509.99999997</v>
      </c>
      <c r="BA22" s="920">
        <f t="shared" si="27"/>
        <v>125249485.47869979</v>
      </c>
      <c r="BB22" s="920">
        <f t="shared" si="28"/>
        <v>116154936.99999994</v>
      </c>
      <c r="BC22" s="1427">
        <f t="shared" si="81"/>
        <v>12426073.534885483</v>
      </c>
      <c r="BD22" s="322">
        <v>11992050.000000013</v>
      </c>
      <c r="BE22" s="1505">
        <f t="shared" si="61"/>
        <v>36121937.251167901</v>
      </c>
      <c r="BF22" s="359">
        <f t="shared" si="62"/>
        <v>33840650.000000022</v>
      </c>
      <c r="BG22" s="921">
        <f t="shared" si="82"/>
        <v>73072075.982708007</v>
      </c>
      <c r="BH22" s="921">
        <f t="shared" si="82"/>
        <v>58409636.999999985</v>
      </c>
      <c r="BI22" s="920">
        <f t="shared" si="54"/>
        <v>137675559.01358527</v>
      </c>
      <c r="BJ22" s="920">
        <f t="shared" si="53"/>
        <v>128146986.99999996</v>
      </c>
      <c r="BK22" s="26"/>
      <c r="BL22" s="26"/>
      <c r="BM22" s="1219"/>
      <c r="BN22" s="1219"/>
    </row>
    <row r="23" spans="1:66" ht="14.45" x14ac:dyDescent="0.3">
      <c r="A23" s="274">
        <v>17</v>
      </c>
      <c r="B23" s="292" t="s">
        <v>82</v>
      </c>
      <c r="C23" s="13" t="s">
        <v>213</v>
      </c>
      <c r="D23" s="293">
        <v>961360.0000000014</v>
      </c>
      <c r="E23" s="294">
        <v>1006979.9999999992</v>
      </c>
      <c r="G23" s="912" t="s">
        <v>754</v>
      </c>
      <c r="H23" s="894" t="s">
        <v>724</v>
      </c>
      <c r="I23" s="1427">
        <f t="shared" si="70"/>
        <v>11845370.205535013</v>
      </c>
      <c r="J23" s="322">
        <v>10229684.000000009</v>
      </c>
      <c r="K23" s="1427">
        <f t="shared" ref="K23" si="87">+K72*K$3*24*1000</f>
        <v>12221413.704123424</v>
      </c>
      <c r="L23" s="322">
        <v>12162087.999999993</v>
      </c>
      <c r="M23" s="920">
        <f t="shared" si="3"/>
        <v>24066783.909658439</v>
      </c>
      <c r="N23" s="920">
        <f t="shared" si="3"/>
        <v>22391772</v>
      </c>
      <c r="O23" s="1427">
        <f t="shared" si="72"/>
        <v>11845370.205535013</v>
      </c>
      <c r="P23" s="322">
        <v>12313432.000000006</v>
      </c>
      <c r="Q23" s="1505">
        <f t="shared" si="84"/>
        <v>35912154.115193456</v>
      </c>
      <c r="R23" s="359">
        <f t="shared" si="85"/>
        <v>34705204.000000007</v>
      </c>
      <c r="S23" s="1427">
        <f t="shared" si="73"/>
        <v>11986386.517505666</v>
      </c>
      <c r="T23" s="322">
        <v>12668533.999999953</v>
      </c>
      <c r="U23" s="920">
        <f t="shared" si="8"/>
        <v>47898540.632699125</v>
      </c>
      <c r="V23" s="920">
        <f t="shared" si="9"/>
        <v>47373737.999999963</v>
      </c>
      <c r="W23" s="1427">
        <f t="shared" si="74"/>
        <v>11986386.517505666</v>
      </c>
      <c r="X23" s="322">
        <v>12400062.000000037</v>
      </c>
      <c r="Y23" s="920">
        <f t="shared" si="11"/>
        <v>59884927.150204793</v>
      </c>
      <c r="Z23" s="920">
        <f t="shared" si="12"/>
        <v>59773800</v>
      </c>
      <c r="AA23" s="1427">
        <f t="shared" si="75"/>
        <v>8474361.2252972294</v>
      </c>
      <c r="AB23" s="322">
        <v>12240051.999999998</v>
      </c>
      <c r="AC23" s="1505">
        <f t="shared" si="68"/>
        <v>32447134.260308564</v>
      </c>
      <c r="AD23" s="359">
        <f t="shared" si="69"/>
        <v>37308647.999999993</v>
      </c>
      <c r="AE23" s="921">
        <f t="shared" si="57"/>
        <v>68359288.37550202</v>
      </c>
      <c r="AF23" s="921">
        <f t="shared" si="58"/>
        <v>72013852</v>
      </c>
      <c r="AG23" s="1427">
        <f t="shared" si="76"/>
        <v>11845000</v>
      </c>
      <c r="AH23" s="322">
        <v>11330722.00000002</v>
      </c>
      <c r="AI23" s="920">
        <f t="shared" si="15"/>
        <v>80204288.37550202</v>
      </c>
      <c r="AJ23" s="920">
        <f t="shared" si="16"/>
        <v>83344574.000000015</v>
      </c>
      <c r="AK23" s="1427">
        <f t="shared" si="77"/>
        <v>11465960</v>
      </c>
      <c r="AL23" s="322">
        <v>3019420.0000000009</v>
      </c>
      <c r="AM23" s="920">
        <f t="shared" si="18"/>
        <v>91670248.37550202</v>
      </c>
      <c r="AN23" s="920">
        <f t="shared" si="19"/>
        <v>86363994.000000015</v>
      </c>
      <c r="AO23" s="1427">
        <f t="shared" si="78"/>
        <v>11845000</v>
      </c>
      <c r="AP23" s="4685">
        <v>11944031.999999981</v>
      </c>
      <c r="AQ23" s="1505">
        <f t="shared" si="59"/>
        <v>35155960</v>
      </c>
      <c r="AR23" s="359">
        <f t="shared" si="60"/>
        <v>26294174.000000004</v>
      </c>
      <c r="AS23" s="920">
        <f t="shared" si="21"/>
        <v>103515248.37550202</v>
      </c>
      <c r="AT23" s="920">
        <f t="shared" si="22"/>
        <v>98308026</v>
      </c>
      <c r="AU23" s="1427">
        <f t="shared" si="79"/>
        <v>11845000</v>
      </c>
      <c r="AV23" s="322">
        <v>11102732.000000043</v>
      </c>
      <c r="AW23" s="920">
        <f t="shared" si="24"/>
        <v>115360248.37550202</v>
      </c>
      <c r="AX23" s="920">
        <f t="shared" si="25"/>
        <v>109410758.00000004</v>
      </c>
      <c r="AY23" s="1427">
        <f t="shared" si="80"/>
        <v>10660500</v>
      </c>
      <c r="AZ23" s="322">
        <v>11384975.999999972</v>
      </c>
      <c r="BA23" s="920">
        <f t="shared" si="27"/>
        <v>126020748.37550202</v>
      </c>
      <c r="BB23" s="920">
        <f t="shared" si="28"/>
        <v>120795734.00000001</v>
      </c>
      <c r="BC23" s="1427">
        <f t="shared" si="81"/>
        <v>11845000</v>
      </c>
      <c r="BD23" s="322">
        <v>12297594.000000011</v>
      </c>
      <c r="BE23" s="1505">
        <f t="shared" si="61"/>
        <v>34350500</v>
      </c>
      <c r="BF23" s="359">
        <f t="shared" si="62"/>
        <v>34785302.00000003</v>
      </c>
      <c r="BG23" s="921">
        <f t="shared" si="82"/>
        <v>69506460</v>
      </c>
      <c r="BH23" s="921">
        <f t="shared" si="82"/>
        <v>61079476.00000003</v>
      </c>
      <c r="BI23" s="920">
        <f t="shared" si="54"/>
        <v>137865748.37550202</v>
      </c>
      <c r="BJ23" s="920">
        <f t="shared" si="53"/>
        <v>133093328.00000003</v>
      </c>
      <c r="BK23" s="26"/>
      <c r="BL23" s="26"/>
      <c r="BM23" s="1219"/>
      <c r="BN23" s="1219"/>
    </row>
    <row r="24" spans="1:66" ht="14.45" x14ac:dyDescent="0.3">
      <c r="A24" s="274">
        <v>18</v>
      </c>
      <c r="B24" s="292" t="s">
        <v>488</v>
      </c>
      <c r="C24" s="13" t="s">
        <v>213</v>
      </c>
      <c r="D24" s="293">
        <v>3675250.0000000093</v>
      </c>
      <c r="E24" s="294">
        <v>4377139.9999999879</v>
      </c>
      <c r="G24" s="912" t="s">
        <v>755</v>
      </c>
      <c r="H24" s="894" t="s">
        <v>725</v>
      </c>
      <c r="I24" s="1427">
        <f t="shared" si="70"/>
        <v>21577053.824362602</v>
      </c>
      <c r="J24" s="322">
        <v>19132360.000000007</v>
      </c>
      <c r="K24" s="1427">
        <f t="shared" ref="K24" si="88">+K73*K$3*24*1000</f>
        <v>22264494.80642115</v>
      </c>
      <c r="L24" s="322">
        <v>20855320.000000004</v>
      </c>
      <c r="M24" s="920">
        <f t="shared" si="3"/>
        <v>43841548.630783752</v>
      </c>
      <c r="N24" s="920">
        <f t="shared" si="3"/>
        <v>39987680.000000015</v>
      </c>
      <c r="O24" s="1427">
        <f t="shared" si="72"/>
        <v>21577053.824362602</v>
      </c>
      <c r="P24" s="322">
        <v>19860070</v>
      </c>
      <c r="Q24" s="1505">
        <f t="shared" si="84"/>
        <v>65418602.455146357</v>
      </c>
      <c r="R24" s="359">
        <f t="shared" si="85"/>
        <v>59847750.000000015</v>
      </c>
      <c r="S24" s="1427">
        <f t="shared" si="73"/>
        <v>21834844.192634564</v>
      </c>
      <c r="T24" s="322">
        <v>20412479.999999993</v>
      </c>
      <c r="U24" s="920">
        <f t="shared" si="8"/>
        <v>87253446.647780925</v>
      </c>
      <c r="V24" s="920">
        <f t="shared" si="9"/>
        <v>80260230</v>
      </c>
      <c r="W24" s="1427">
        <f t="shared" si="74"/>
        <v>21834844.192634564</v>
      </c>
      <c r="X24" s="322">
        <v>19977985.000000007</v>
      </c>
      <c r="Y24" s="920">
        <f t="shared" si="11"/>
        <v>109088290.84041549</v>
      </c>
      <c r="Z24" s="920">
        <f t="shared" si="12"/>
        <v>100238215</v>
      </c>
      <c r="AA24" s="1427">
        <f t="shared" si="75"/>
        <v>12214781.869688384</v>
      </c>
      <c r="AB24" s="322">
        <v>19075500</v>
      </c>
      <c r="AC24" s="1505">
        <f t="shared" si="68"/>
        <v>55884470.254957512</v>
      </c>
      <c r="AD24" s="359">
        <f t="shared" si="69"/>
        <v>59465965</v>
      </c>
      <c r="AE24" s="921">
        <f t="shared" si="57"/>
        <v>121303072.71010387</v>
      </c>
      <c r="AF24" s="921">
        <f t="shared" si="58"/>
        <v>119313715.00000001</v>
      </c>
      <c r="AG24" s="1427">
        <f t="shared" si="76"/>
        <v>22110209.245283019</v>
      </c>
      <c r="AH24" s="322">
        <v>20599819.999999993</v>
      </c>
      <c r="AI24" s="920">
        <f t="shared" si="15"/>
        <v>143413281.95538688</v>
      </c>
      <c r="AJ24" s="920">
        <f t="shared" si="16"/>
        <v>139913535</v>
      </c>
      <c r="AK24" s="1427">
        <f t="shared" si="77"/>
        <v>21401605.471698113</v>
      </c>
      <c r="AL24" s="322">
        <v>2763370.0000000028</v>
      </c>
      <c r="AM24" s="920">
        <f t="shared" si="18"/>
        <v>164814887.42708498</v>
      </c>
      <c r="AN24" s="920">
        <f t="shared" si="19"/>
        <v>142676905</v>
      </c>
      <c r="AO24" s="1427">
        <f t="shared" si="78"/>
        <v>22110209.245283019</v>
      </c>
      <c r="AP24" s="4685">
        <v>19993462.999999993</v>
      </c>
      <c r="AQ24" s="1505">
        <f t="shared" si="59"/>
        <v>65622023.96226415</v>
      </c>
      <c r="AR24" s="359">
        <f t="shared" si="60"/>
        <v>43356652.999999985</v>
      </c>
      <c r="AS24" s="920">
        <f t="shared" si="21"/>
        <v>186925096.67236799</v>
      </c>
      <c r="AT24" s="920">
        <f t="shared" si="22"/>
        <v>162670368</v>
      </c>
      <c r="AU24" s="1427">
        <f t="shared" si="79"/>
        <v>22110209.245283019</v>
      </c>
      <c r="AV24" s="322">
        <v>20402077</v>
      </c>
      <c r="AW24" s="920">
        <f t="shared" si="24"/>
        <v>209035305.917651</v>
      </c>
      <c r="AX24" s="920">
        <f t="shared" si="25"/>
        <v>183072445</v>
      </c>
      <c r="AY24" s="1427">
        <f t="shared" si="80"/>
        <v>19895822.452830188</v>
      </c>
      <c r="AZ24" s="322">
        <v>18292260.000000015</v>
      </c>
      <c r="BA24" s="920">
        <f t="shared" si="27"/>
        <v>228931128.37048119</v>
      </c>
      <c r="BB24" s="920">
        <f t="shared" si="28"/>
        <v>201364705</v>
      </c>
      <c r="BC24" s="1427">
        <f t="shared" si="81"/>
        <v>22110209.245283019</v>
      </c>
      <c r="BD24" s="322">
        <v>19940999.999999989</v>
      </c>
      <c r="BE24" s="1505">
        <f t="shared" si="61"/>
        <v>64116240.943396226</v>
      </c>
      <c r="BF24" s="359">
        <f t="shared" si="62"/>
        <v>58635337</v>
      </c>
      <c r="BG24" s="921">
        <f t="shared" si="82"/>
        <v>129738264.90566038</v>
      </c>
      <c r="BH24" s="921">
        <f t="shared" si="82"/>
        <v>101991989.99999999</v>
      </c>
      <c r="BI24" s="920">
        <f t="shared" si="54"/>
        <v>251041337.6157642</v>
      </c>
      <c r="BJ24" s="920">
        <f t="shared" si="53"/>
        <v>221305705</v>
      </c>
      <c r="BK24" s="26"/>
      <c r="BL24" s="26"/>
      <c r="BM24" s="1219"/>
      <c r="BN24" s="1219"/>
    </row>
    <row r="25" spans="1:66" ht="14.45" x14ac:dyDescent="0.3">
      <c r="A25" s="274">
        <v>19</v>
      </c>
      <c r="B25" s="292" t="s">
        <v>489</v>
      </c>
      <c r="C25" s="13" t="s">
        <v>213</v>
      </c>
      <c r="D25" s="293">
        <v>2119909.9999999995</v>
      </c>
      <c r="E25" s="294">
        <v>4863980</v>
      </c>
      <c r="G25" s="912" t="s">
        <v>756</v>
      </c>
      <c r="H25" s="894" t="s">
        <v>82</v>
      </c>
      <c r="I25" s="1427">
        <f t="shared" si="70"/>
        <v>1440000</v>
      </c>
      <c r="J25" s="322">
        <v>1149949.9999999991</v>
      </c>
      <c r="K25" s="1427">
        <f t="shared" ref="K25" si="89">+K74*K$3*24*1000</f>
        <v>1488000</v>
      </c>
      <c r="L25" s="322">
        <v>1284639.9999999995</v>
      </c>
      <c r="M25" s="920">
        <f t="shared" si="3"/>
        <v>2928000</v>
      </c>
      <c r="N25" s="920">
        <f t="shared" si="3"/>
        <v>2434589.9999999986</v>
      </c>
      <c r="O25" s="1427">
        <f t="shared" si="72"/>
        <v>1440000</v>
      </c>
      <c r="P25" s="322">
        <v>1330849.999999997</v>
      </c>
      <c r="Q25" s="1505">
        <f t="shared" si="84"/>
        <v>4368000</v>
      </c>
      <c r="R25" s="359">
        <f t="shared" si="85"/>
        <v>3765439.9999999953</v>
      </c>
      <c r="S25" s="1427">
        <f t="shared" si="73"/>
        <v>1488000</v>
      </c>
      <c r="T25" s="322">
        <v>1174270.0000000035</v>
      </c>
      <c r="U25" s="920">
        <f t="shared" si="8"/>
        <v>5856000</v>
      </c>
      <c r="V25" s="920">
        <f t="shared" si="9"/>
        <v>4939709.9999999991</v>
      </c>
      <c r="W25" s="1427">
        <f t="shared" si="74"/>
        <v>1488000</v>
      </c>
      <c r="X25" s="322">
        <v>1283100</v>
      </c>
      <c r="Y25" s="920">
        <f t="shared" si="11"/>
        <v>7344000</v>
      </c>
      <c r="Z25" s="920">
        <f t="shared" si="12"/>
        <v>6222809.9999999991</v>
      </c>
      <c r="AA25" s="1427">
        <f t="shared" si="75"/>
        <v>1440000</v>
      </c>
      <c r="AB25" s="322">
        <v>1261749.9999999991</v>
      </c>
      <c r="AC25" s="1505">
        <f t="shared" si="68"/>
        <v>4416000</v>
      </c>
      <c r="AD25" s="359">
        <f t="shared" si="69"/>
        <v>3719120.0000000028</v>
      </c>
      <c r="AE25" s="921">
        <f t="shared" si="57"/>
        <v>8784000</v>
      </c>
      <c r="AF25" s="921">
        <f t="shared" si="58"/>
        <v>7484559.9999999981</v>
      </c>
      <c r="AG25" s="1427">
        <f t="shared" si="76"/>
        <v>1413600</v>
      </c>
      <c r="AH25" s="322">
        <v>1343040.0000000005</v>
      </c>
      <c r="AI25" s="920">
        <f t="shared" si="15"/>
        <v>10197600</v>
      </c>
      <c r="AJ25" s="920">
        <f t="shared" si="16"/>
        <v>8827599.9999999981</v>
      </c>
      <c r="AK25" s="1427">
        <f t="shared" si="77"/>
        <v>1368000</v>
      </c>
      <c r="AL25" s="322">
        <v>196789.99999999825</v>
      </c>
      <c r="AM25" s="920">
        <f t="shared" si="18"/>
        <v>11565600</v>
      </c>
      <c r="AN25" s="920">
        <f t="shared" si="19"/>
        <v>9024389.9999999963</v>
      </c>
      <c r="AO25" s="1427">
        <f t="shared" si="78"/>
        <v>1413600</v>
      </c>
      <c r="AP25" s="4685">
        <v>1055000.000000004</v>
      </c>
      <c r="AQ25" s="1505">
        <f t="shared" si="59"/>
        <v>4195200</v>
      </c>
      <c r="AR25" s="359">
        <f t="shared" si="60"/>
        <v>2594830.0000000028</v>
      </c>
      <c r="AS25" s="920">
        <f t="shared" si="21"/>
        <v>12979200</v>
      </c>
      <c r="AT25" s="920">
        <f t="shared" si="22"/>
        <v>10079390</v>
      </c>
      <c r="AU25" s="1427">
        <f t="shared" si="79"/>
        <v>1413600</v>
      </c>
      <c r="AV25" s="322">
        <v>1108629.9999999977</v>
      </c>
      <c r="AW25" s="920">
        <f t="shared" si="24"/>
        <v>14392800</v>
      </c>
      <c r="AX25" s="920">
        <f t="shared" si="25"/>
        <v>11188019.999999998</v>
      </c>
      <c r="AY25" s="1427">
        <f t="shared" si="80"/>
        <v>1276800</v>
      </c>
      <c r="AZ25" s="322">
        <v>966620.00000000268</v>
      </c>
      <c r="BA25" s="920">
        <f t="shared" si="27"/>
        <v>15669600</v>
      </c>
      <c r="BB25" s="920">
        <f t="shared" si="28"/>
        <v>12154640</v>
      </c>
      <c r="BC25" s="1427">
        <f t="shared" si="81"/>
        <v>1413600</v>
      </c>
      <c r="BD25" s="322">
        <v>1359639.9999999993</v>
      </c>
      <c r="BE25" s="1505">
        <f t="shared" si="61"/>
        <v>4104000</v>
      </c>
      <c r="BF25" s="359">
        <f t="shared" si="62"/>
        <v>3434890</v>
      </c>
      <c r="BG25" s="921">
        <f t="shared" si="82"/>
        <v>8299200</v>
      </c>
      <c r="BH25" s="921">
        <f t="shared" si="82"/>
        <v>6029720.0000000028</v>
      </c>
      <c r="BI25" s="920">
        <f t="shared" si="54"/>
        <v>17083200</v>
      </c>
      <c r="BJ25" s="920">
        <f t="shared" si="53"/>
        <v>13514280</v>
      </c>
      <c r="BK25" s="26"/>
      <c r="BL25" s="26"/>
      <c r="BM25" s="1219"/>
      <c r="BN25" s="1219"/>
    </row>
    <row r="26" spans="1:66" ht="14.45" x14ac:dyDescent="0.3">
      <c r="A26" s="274">
        <v>20</v>
      </c>
      <c r="B26" s="292" t="s">
        <v>490</v>
      </c>
      <c r="C26" s="13" t="s">
        <v>213</v>
      </c>
      <c r="D26" s="293">
        <v>423946.99999999942</v>
      </c>
      <c r="E26" s="294">
        <v>543130.00000000047</v>
      </c>
      <c r="G26" s="912" t="s">
        <v>757</v>
      </c>
      <c r="H26" s="894" t="s">
        <v>488</v>
      </c>
      <c r="I26" s="1427">
        <f t="shared" si="70"/>
        <v>7362131.9332452696</v>
      </c>
      <c r="J26" s="322">
        <v>6448268.6666666623</v>
      </c>
      <c r="K26" s="1427">
        <f t="shared" ref="K26" si="90">+K75*K$3*24*1000</f>
        <v>7621971.8838303965</v>
      </c>
      <c r="L26" s="322">
        <v>6901113.0000000075</v>
      </c>
      <c r="M26" s="920">
        <f t="shared" si="3"/>
        <v>14984103.817075666</v>
      </c>
      <c r="N26" s="920">
        <f t="shared" si="3"/>
        <v>13349381.66666667</v>
      </c>
      <c r="O26" s="1427">
        <f t="shared" si="72"/>
        <v>7362131.9332452696</v>
      </c>
      <c r="P26" s="322">
        <v>6922432.3333333284</v>
      </c>
      <c r="Q26" s="1505">
        <f t="shared" si="84"/>
        <v>22346235.750320934</v>
      </c>
      <c r="R26" s="359">
        <f t="shared" si="85"/>
        <v>20271814</v>
      </c>
      <c r="S26" s="1427">
        <f t="shared" si="73"/>
        <v>7621971.8838303965</v>
      </c>
      <c r="T26" s="322">
        <v>7841078.3333333544</v>
      </c>
      <c r="U26" s="920">
        <f t="shared" si="8"/>
        <v>29968207.634151332</v>
      </c>
      <c r="V26" s="920">
        <f t="shared" si="9"/>
        <v>28112892.333333354</v>
      </c>
      <c r="W26" s="1427">
        <f t="shared" si="74"/>
        <v>7621971.8838303965</v>
      </c>
      <c r="X26" s="322">
        <v>6963410.9999999758</v>
      </c>
      <c r="Y26" s="920">
        <f t="shared" si="11"/>
        <v>37590179.51798173</v>
      </c>
      <c r="Z26" s="920">
        <f t="shared" si="12"/>
        <v>35076303.333333328</v>
      </c>
      <c r="AA26" s="1427">
        <f t="shared" si="75"/>
        <v>4568265.843085452</v>
      </c>
      <c r="AB26" s="322">
        <v>7182929.0000000158</v>
      </c>
      <c r="AC26" s="1505">
        <f t="shared" si="68"/>
        <v>19812209.610746246</v>
      </c>
      <c r="AD26" s="359">
        <f t="shared" si="69"/>
        <v>21987418.333333347</v>
      </c>
      <c r="AE26" s="921">
        <f t="shared" si="57"/>
        <v>42158445.361067176</v>
      </c>
      <c r="AF26" s="921">
        <f t="shared" si="58"/>
        <v>42259232.333333343</v>
      </c>
      <c r="AG26" s="1427">
        <f t="shared" si="76"/>
        <v>7446359.3750000009</v>
      </c>
      <c r="AH26" s="322">
        <v>7646136.6666666782</v>
      </c>
      <c r="AI26" s="920">
        <f t="shared" si="15"/>
        <v>49604804.736067176</v>
      </c>
      <c r="AJ26" s="920">
        <f t="shared" si="16"/>
        <v>49905369.000000022</v>
      </c>
      <c r="AK26" s="1427">
        <f t="shared" si="77"/>
        <v>7200875.0000000009</v>
      </c>
      <c r="AL26" s="322">
        <v>3903411.3333333209</v>
      </c>
      <c r="AM26" s="920">
        <f t="shared" si="18"/>
        <v>56805679.736067176</v>
      </c>
      <c r="AN26" s="920">
        <f t="shared" si="19"/>
        <v>53808780.333333343</v>
      </c>
      <c r="AO26" s="1427">
        <f t="shared" si="78"/>
        <v>7446359.3750000009</v>
      </c>
      <c r="AP26" s="4685">
        <v>6955442.6666666605</v>
      </c>
      <c r="AQ26" s="1505">
        <f t="shared" si="59"/>
        <v>22093593.750000004</v>
      </c>
      <c r="AR26" s="359">
        <f t="shared" si="60"/>
        <v>18504990.66666666</v>
      </c>
      <c r="AS26" s="920">
        <f t="shared" si="21"/>
        <v>64252039.111067176</v>
      </c>
      <c r="AT26" s="920">
        <f t="shared" si="22"/>
        <v>60764223</v>
      </c>
      <c r="AU26" s="1427">
        <f t="shared" si="79"/>
        <v>7446359.3750000009</v>
      </c>
      <c r="AV26" s="322">
        <v>7131146.0000000056</v>
      </c>
      <c r="AW26" s="920">
        <f t="shared" si="24"/>
        <v>71698398.486067176</v>
      </c>
      <c r="AX26" s="920">
        <f t="shared" si="25"/>
        <v>67895369</v>
      </c>
      <c r="AY26" s="1427">
        <f t="shared" si="80"/>
        <v>6628078.1250000019</v>
      </c>
      <c r="AZ26" s="322">
        <v>6484069.0000000009</v>
      </c>
      <c r="BA26" s="920">
        <f t="shared" si="27"/>
        <v>78326476.611067176</v>
      </c>
      <c r="BB26" s="920">
        <f t="shared" si="28"/>
        <v>74379438</v>
      </c>
      <c r="BC26" s="1427">
        <f t="shared" si="81"/>
        <v>7446359.3750000009</v>
      </c>
      <c r="BD26" s="322">
        <v>7313674.9999999972</v>
      </c>
      <c r="BE26" s="1505">
        <f t="shared" si="61"/>
        <v>21520796.875000004</v>
      </c>
      <c r="BF26" s="359">
        <f t="shared" si="62"/>
        <v>20928890.000000004</v>
      </c>
      <c r="BG26" s="921">
        <f t="shared" si="82"/>
        <v>43614390.625000007</v>
      </c>
      <c r="BH26" s="921">
        <f t="shared" si="82"/>
        <v>39433880.666666664</v>
      </c>
      <c r="BI26" s="920">
        <f t="shared" si="54"/>
        <v>85772835.986067176</v>
      </c>
      <c r="BJ26" s="920">
        <f t="shared" si="53"/>
        <v>81693113</v>
      </c>
      <c r="BK26" s="26"/>
      <c r="BL26" s="26"/>
      <c r="BM26" s="1219"/>
      <c r="BN26" s="1219"/>
    </row>
    <row r="27" spans="1:66" ht="14.45" x14ac:dyDescent="0.3">
      <c r="A27" s="274">
        <v>21</v>
      </c>
      <c r="B27" s="292" t="s">
        <v>758</v>
      </c>
      <c r="C27" s="13" t="s">
        <v>213</v>
      </c>
      <c r="D27" s="293">
        <v>378639</v>
      </c>
      <c r="E27" s="294">
        <v>383365</v>
      </c>
      <c r="G27" s="912" t="s">
        <v>759</v>
      </c>
      <c r="H27" s="894" t="s">
        <v>489</v>
      </c>
      <c r="I27" s="1427">
        <f t="shared" si="70"/>
        <v>6233283.9851005385</v>
      </c>
      <c r="J27" s="322">
        <v>5507826.6666666735</v>
      </c>
      <c r="K27" s="1427">
        <f t="shared" ref="K27" si="91">+K76*K$3*24*1000</f>
        <v>6479334.6687229276</v>
      </c>
      <c r="L27" s="322">
        <v>6109584.9999999991</v>
      </c>
      <c r="M27" s="920">
        <f t="shared" si="3"/>
        <v>12712618.653823465</v>
      </c>
      <c r="N27" s="920">
        <f t="shared" si="3"/>
        <v>11617411.666666672</v>
      </c>
      <c r="O27" s="1427">
        <f t="shared" si="72"/>
        <v>6233283.9851005385</v>
      </c>
      <c r="P27" s="322">
        <v>6101723.3333333191</v>
      </c>
      <c r="Q27" s="1505">
        <f t="shared" si="84"/>
        <v>18945902.638924003</v>
      </c>
      <c r="R27" s="359">
        <f t="shared" si="85"/>
        <v>17719134.999999993</v>
      </c>
      <c r="S27" s="1427">
        <f t="shared" si="73"/>
        <v>6479334.6687229276</v>
      </c>
      <c r="T27" s="322">
        <v>6624798.3333333451</v>
      </c>
      <c r="U27" s="920">
        <f t="shared" si="8"/>
        <v>25425237.30764693</v>
      </c>
      <c r="V27" s="920">
        <f t="shared" si="9"/>
        <v>24343933.333333336</v>
      </c>
      <c r="W27" s="1427">
        <f t="shared" si="74"/>
        <v>6479334.6687229276</v>
      </c>
      <c r="X27" s="322">
        <v>6379560.0000000093</v>
      </c>
      <c r="Y27" s="920">
        <f t="shared" si="11"/>
        <v>31904571.976369858</v>
      </c>
      <c r="Z27" s="920">
        <f t="shared" si="12"/>
        <v>30723493.333333343</v>
      </c>
      <c r="AA27" s="1427">
        <f t="shared" si="75"/>
        <v>4068602.4906878364</v>
      </c>
      <c r="AB27" s="322">
        <v>6181474.9999999786</v>
      </c>
      <c r="AC27" s="1505">
        <f t="shared" si="68"/>
        <v>17027271.828133691</v>
      </c>
      <c r="AD27" s="359">
        <f t="shared" si="69"/>
        <v>19185833.333333332</v>
      </c>
      <c r="AE27" s="921">
        <f t="shared" si="57"/>
        <v>35973174.46705769</v>
      </c>
      <c r="AF27" s="921">
        <f t="shared" si="58"/>
        <v>36904968.333333328</v>
      </c>
      <c r="AG27" s="1427">
        <f t="shared" si="76"/>
        <v>6325388.6010362692</v>
      </c>
      <c r="AH27" s="322">
        <v>5771476.6666666688</v>
      </c>
      <c r="AI27" s="920">
        <f t="shared" si="15"/>
        <v>42298563.068093956</v>
      </c>
      <c r="AJ27" s="920">
        <f t="shared" si="16"/>
        <v>42676445</v>
      </c>
      <c r="AK27" s="1427">
        <f t="shared" si="77"/>
        <v>6127720.2072538845</v>
      </c>
      <c r="AL27" s="322">
        <v>1297988.3333333321</v>
      </c>
      <c r="AM27" s="920">
        <f t="shared" si="18"/>
        <v>48426283.275347844</v>
      </c>
      <c r="AN27" s="920">
        <f t="shared" si="19"/>
        <v>43974433.333333328</v>
      </c>
      <c r="AO27" s="1427">
        <f t="shared" si="78"/>
        <v>6325388.6010362692</v>
      </c>
      <c r="AP27" s="4685">
        <v>5964551.6666666651</v>
      </c>
      <c r="AQ27" s="1505">
        <f t="shared" si="59"/>
        <v>18778497.409326423</v>
      </c>
      <c r="AR27" s="359">
        <f t="shared" si="60"/>
        <v>13034016.666666666</v>
      </c>
      <c r="AS27" s="920">
        <f t="shared" si="21"/>
        <v>54751671.876384109</v>
      </c>
      <c r="AT27" s="920">
        <f t="shared" si="22"/>
        <v>49938984.999999993</v>
      </c>
      <c r="AU27" s="1427">
        <f t="shared" si="79"/>
        <v>6325388.6010362692</v>
      </c>
      <c r="AV27" s="322">
        <v>5982429.999999987</v>
      </c>
      <c r="AW27" s="920">
        <f t="shared" si="24"/>
        <v>61077060.477420375</v>
      </c>
      <c r="AX27" s="920">
        <f t="shared" si="25"/>
        <v>55921414.999999978</v>
      </c>
      <c r="AY27" s="1427">
        <f t="shared" si="80"/>
        <v>5732383.4196891198</v>
      </c>
      <c r="AZ27" s="322">
        <v>5421545.0000000056</v>
      </c>
      <c r="BA27" s="920">
        <f t="shared" si="27"/>
        <v>66809443.897109494</v>
      </c>
      <c r="BB27" s="920">
        <f t="shared" si="28"/>
        <v>61342959.999999985</v>
      </c>
      <c r="BC27" s="1427">
        <f t="shared" si="81"/>
        <v>6325388.6010362692</v>
      </c>
      <c r="BD27" s="322">
        <v>6017245.0000000037</v>
      </c>
      <c r="BE27" s="1505">
        <f t="shared" si="61"/>
        <v>18383160.621761657</v>
      </c>
      <c r="BF27" s="359">
        <f t="shared" si="62"/>
        <v>17421219.999999996</v>
      </c>
      <c r="BG27" s="921">
        <f t="shared" si="82"/>
        <v>37161658.031088084</v>
      </c>
      <c r="BH27" s="921">
        <f t="shared" si="82"/>
        <v>30455236.666666664</v>
      </c>
      <c r="BI27" s="920">
        <f t="shared" si="54"/>
        <v>73134832.498145759</v>
      </c>
      <c r="BJ27" s="920">
        <f t="shared" si="53"/>
        <v>67360204.999999985</v>
      </c>
      <c r="BK27" s="26"/>
      <c r="BL27" s="26"/>
      <c r="BM27" s="1219"/>
      <c r="BN27" s="1219"/>
    </row>
    <row r="28" spans="1:66" ht="14.45" x14ac:dyDescent="0.3">
      <c r="A28" s="274">
        <v>22</v>
      </c>
      <c r="B28" s="292" t="s">
        <v>760</v>
      </c>
      <c r="C28" s="13" t="s">
        <v>213</v>
      </c>
      <c r="D28" s="293">
        <v>5408863.7999999998</v>
      </c>
      <c r="E28" s="294">
        <v>5589150</v>
      </c>
      <c r="G28" s="912" t="s">
        <v>761</v>
      </c>
      <c r="H28" s="894" t="s">
        <v>490</v>
      </c>
      <c r="I28" s="1427">
        <f t="shared" si="70"/>
        <v>5418995.2669036752</v>
      </c>
      <c r="J28" s="322">
        <v>3834116.8666666714</v>
      </c>
      <c r="K28" s="1427">
        <f t="shared" ref="K28" si="92">+K77*K$3*24*1000</f>
        <v>5681204.7153022392</v>
      </c>
      <c r="L28" s="322">
        <v>4383551.9999999981</v>
      </c>
      <c r="M28" s="920">
        <f t="shared" si="3"/>
        <v>11100199.982205914</v>
      </c>
      <c r="N28" s="920">
        <f t="shared" si="3"/>
        <v>8217668.866666669</v>
      </c>
      <c r="O28" s="1427">
        <f t="shared" si="72"/>
        <v>5462696.8416367695</v>
      </c>
      <c r="P28" s="322">
        <v>4293833.3333333321</v>
      </c>
      <c r="Q28" s="1505">
        <f t="shared" si="84"/>
        <v>16562896.823842684</v>
      </c>
      <c r="R28" s="359">
        <f t="shared" si="85"/>
        <v>12511502.200000001</v>
      </c>
      <c r="S28" s="1427">
        <f t="shared" si="73"/>
        <v>5681204.7153022392</v>
      </c>
      <c r="T28" s="322">
        <v>4334408.3333333256</v>
      </c>
      <c r="U28" s="920">
        <f t="shared" si="8"/>
        <v>22244101.539144922</v>
      </c>
      <c r="V28" s="920">
        <f t="shared" si="9"/>
        <v>16845910.533333328</v>
      </c>
      <c r="W28" s="1427">
        <f t="shared" si="74"/>
        <v>5681204.7153022392</v>
      </c>
      <c r="X28" s="322">
        <v>3962541.0000000037</v>
      </c>
      <c r="Y28" s="920">
        <f t="shared" si="11"/>
        <v>27925306.254447162</v>
      </c>
      <c r="Z28" s="920">
        <f t="shared" si="12"/>
        <v>20808451.533333331</v>
      </c>
      <c r="AA28" s="1427">
        <f t="shared" si="75"/>
        <v>3230405.5071173077</v>
      </c>
      <c r="AB28" s="322">
        <v>4053481.0000000028</v>
      </c>
      <c r="AC28" s="1505">
        <f t="shared" si="68"/>
        <v>14592814.937721785</v>
      </c>
      <c r="AD28" s="359">
        <f t="shared" si="69"/>
        <v>12350430.333333332</v>
      </c>
      <c r="AE28" s="921">
        <f t="shared" si="57"/>
        <v>31155711.761564471</v>
      </c>
      <c r="AF28" s="921">
        <f t="shared" si="58"/>
        <v>24861932.533333331</v>
      </c>
      <c r="AG28" s="1427">
        <f t="shared" si="76"/>
        <v>4805002.6385224275</v>
      </c>
      <c r="AH28" s="322">
        <v>3672275.666666673</v>
      </c>
      <c r="AI28" s="920">
        <f t="shared" si="15"/>
        <v>35960714.400086895</v>
      </c>
      <c r="AJ28" s="920">
        <f t="shared" si="16"/>
        <v>28534208.200000003</v>
      </c>
      <c r="AK28" s="1427">
        <f t="shared" si="77"/>
        <v>4627039.577836412</v>
      </c>
      <c r="AL28" s="322">
        <v>1392973.3333333288</v>
      </c>
      <c r="AM28" s="920">
        <f t="shared" si="18"/>
        <v>40587753.977923304</v>
      </c>
      <c r="AN28" s="920">
        <f t="shared" si="19"/>
        <v>29927181.533333331</v>
      </c>
      <c r="AO28" s="1427">
        <f t="shared" si="78"/>
        <v>4805002.6385224275</v>
      </c>
      <c r="AP28" s="4685">
        <v>3336478.6666666651</v>
      </c>
      <c r="AQ28" s="1505">
        <f t="shared" si="59"/>
        <v>14237044.854881268</v>
      </c>
      <c r="AR28" s="359">
        <f t="shared" si="60"/>
        <v>8401727.6666666679</v>
      </c>
      <c r="AS28" s="920">
        <f t="shared" si="21"/>
        <v>45392756.616445735</v>
      </c>
      <c r="AT28" s="920">
        <f t="shared" si="22"/>
        <v>33263660.199999996</v>
      </c>
      <c r="AU28" s="1427">
        <f t="shared" si="79"/>
        <v>4805002.6385224275</v>
      </c>
      <c r="AV28" s="322">
        <v>3911467.0000000065</v>
      </c>
      <c r="AW28" s="920">
        <f t="shared" si="24"/>
        <v>50197759.254968166</v>
      </c>
      <c r="AX28" s="920">
        <f t="shared" si="25"/>
        <v>37175127.200000003</v>
      </c>
      <c r="AY28" s="1427">
        <f t="shared" si="80"/>
        <v>4271113.45646438</v>
      </c>
      <c r="AZ28" s="322">
        <v>3661286.9999999991</v>
      </c>
      <c r="BA28" s="920">
        <f t="shared" si="27"/>
        <v>54468872.711432546</v>
      </c>
      <c r="BB28" s="920">
        <f t="shared" si="28"/>
        <v>40836414.200000003</v>
      </c>
      <c r="BC28" s="1427">
        <f t="shared" si="81"/>
        <v>5338891.820580475</v>
      </c>
      <c r="BD28" s="322">
        <v>4370091.8</v>
      </c>
      <c r="BE28" s="1505">
        <f t="shared" si="61"/>
        <v>14415007.915567283</v>
      </c>
      <c r="BF28" s="359">
        <f t="shared" si="62"/>
        <v>11942845.800000004</v>
      </c>
      <c r="BG28" s="921">
        <f t="shared" si="82"/>
        <v>28652052.770448551</v>
      </c>
      <c r="BH28" s="921">
        <f t="shared" si="82"/>
        <v>20344573.466666672</v>
      </c>
      <c r="BI28" s="920">
        <f t="shared" si="54"/>
        <v>59807764.532013021</v>
      </c>
      <c r="BJ28" s="920">
        <f t="shared" si="53"/>
        <v>45206506</v>
      </c>
      <c r="BK28" s="26"/>
      <c r="BL28" s="26"/>
      <c r="BM28" s="1219"/>
      <c r="BN28" s="1219"/>
    </row>
    <row r="29" spans="1:66" ht="14.45" x14ac:dyDescent="0.3">
      <c r="A29" s="274">
        <v>23</v>
      </c>
      <c r="B29" s="292" t="s">
        <v>726</v>
      </c>
      <c r="C29" s="13" t="s">
        <v>213</v>
      </c>
      <c r="D29" s="293">
        <v>24602610.000000015</v>
      </c>
      <c r="E29" s="294">
        <v>25208649.999999989</v>
      </c>
      <c r="G29" s="912" t="s">
        <v>762</v>
      </c>
      <c r="H29" s="894" t="s">
        <v>726</v>
      </c>
      <c r="I29" s="1427">
        <f t="shared" si="70"/>
        <v>24768000</v>
      </c>
      <c r="J29" s="322">
        <v>25267294.999999914</v>
      </c>
      <c r="K29" s="1427">
        <f t="shared" ref="K29" si="93">+K78*K$3*24*1000</f>
        <v>25593600</v>
      </c>
      <c r="L29" s="322">
        <v>25992975</v>
      </c>
      <c r="M29" s="920">
        <f t="shared" si="3"/>
        <v>50361600</v>
      </c>
      <c r="N29" s="920">
        <f t="shared" si="3"/>
        <v>51260269.999999911</v>
      </c>
      <c r="O29" s="1427">
        <f t="shared" si="72"/>
        <v>24768000</v>
      </c>
      <c r="P29" s="322">
        <v>25499298.999999911</v>
      </c>
      <c r="Q29" s="1505">
        <f t="shared" si="84"/>
        <v>75129600</v>
      </c>
      <c r="R29" s="359">
        <f t="shared" si="85"/>
        <v>76759568.999999821</v>
      </c>
      <c r="S29" s="1427">
        <f t="shared" si="73"/>
        <v>25593600</v>
      </c>
      <c r="T29" s="322">
        <v>26238659.000000089</v>
      </c>
      <c r="U29" s="920">
        <f t="shared" si="8"/>
        <v>100723200</v>
      </c>
      <c r="V29" s="920">
        <f t="shared" si="9"/>
        <v>102998227.99999991</v>
      </c>
      <c r="W29" s="1427">
        <f t="shared" si="74"/>
        <v>25593600</v>
      </c>
      <c r="X29" s="322">
        <v>26137079.999999899</v>
      </c>
      <c r="Y29" s="920">
        <f t="shared" si="11"/>
        <v>126316800</v>
      </c>
      <c r="Z29" s="920">
        <f t="shared" si="12"/>
        <v>129135307.99999981</v>
      </c>
      <c r="AA29" s="1427">
        <f t="shared" si="75"/>
        <v>16509599.999999998</v>
      </c>
      <c r="AB29" s="322">
        <v>25447567</v>
      </c>
      <c r="AC29" s="1505">
        <f t="shared" si="68"/>
        <v>67696800</v>
      </c>
      <c r="AD29" s="359">
        <f t="shared" si="69"/>
        <v>77823305.999999985</v>
      </c>
      <c r="AE29" s="921">
        <f t="shared" si="57"/>
        <v>142826400</v>
      </c>
      <c r="AF29" s="921">
        <f t="shared" si="58"/>
        <v>154582874.99999982</v>
      </c>
      <c r="AG29" s="1427">
        <f t="shared" si="76"/>
        <v>25593600</v>
      </c>
      <c r="AH29" s="322">
        <v>25305315.999999806</v>
      </c>
      <c r="AI29" s="920">
        <f t="shared" si="15"/>
        <v>168420000</v>
      </c>
      <c r="AJ29" s="920">
        <f t="shared" si="16"/>
        <v>179888190.99999964</v>
      </c>
      <c r="AK29" s="1427">
        <f t="shared" si="77"/>
        <v>24768000</v>
      </c>
      <c r="AL29" s="322">
        <v>18681516.00000019</v>
      </c>
      <c r="AM29" s="920">
        <f t="shared" si="18"/>
        <v>193188000</v>
      </c>
      <c r="AN29" s="920">
        <f t="shared" si="19"/>
        <v>198569706.99999982</v>
      </c>
      <c r="AO29" s="1427">
        <f t="shared" si="78"/>
        <v>25593600</v>
      </c>
      <c r="AP29" s="4685">
        <v>25544595.999999806</v>
      </c>
      <c r="AQ29" s="1505">
        <f t="shared" si="59"/>
        <v>75955200</v>
      </c>
      <c r="AR29" s="359">
        <f t="shared" si="60"/>
        <v>69531427.999999806</v>
      </c>
      <c r="AS29" s="920">
        <f t="shared" si="21"/>
        <v>218781600</v>
      </c>
      <c r="AT29" s="920">
        <f t="shared" si="22"/>
        <v>224114302.99999964</v>
      </c>
      <c r="AU29" s="1427">
        <f t="shared" si="79"/>
        <v>25593600</v>
      </c>
      <c r="AV29" s="322">
        <v>25439655.000000186</v>
      </c>
      <c r="AW29" s="920">
        <f t="shared" si="24"/>
        <v>244375200</v>
      </c>
      <c r="AX29" s="920">
        <f t="shared" si="25"/>
        <v>249553957.99999982</v>
      </c>
      <c r="AY29" s="1427">
        <f t="shared" si="80"/>
        <v>23116800</v>
      </c>
      <c r="AZ29" s="322">
        <v>23250913</v>
      </c>
      <c r="BA29" s="920">
        <f t="shared" si="27"/>
        <v>267492000</v>
      </c>
      <c r="BB29" s="920">
        <f t="shared" si="28"/>
        <v>272804870.99999982</v>
      </c>
      <c r="BC29" s="1427">
        <f t="shared" si="81"/>
        <v>25593600</v>
      </c>
      <c r="BD29" s="322">
        <v>26000494.000000097</v>
      </c>
      <c r="BE29" s="1505">
        <f t="shared" si="61"/>
        <v>74304000</v>
      </c>
      <c r="BF29" s="359">
        <f t="shared" si="62"/>
        <v>74691062.000000283</v>
      </c>
      <c r="BG29" s="921">
        <f t="shared" si="82"/>
        <v>150259200</v>
      </c>
      <c r="BH29" s="921">
        <f t="shared" si="82"/>
        <v>144222490.00000009</v>
      </c>
      <c r="BI29" s="920">
        <f t="shared" si="54"/>
        <v>293085600</v>
      </c>
      <c r="BJ29" s="920">
        <f t="shared" si="53"/>
        <v>298805364.99999994</v>
      </c>
      <c r="BK29" s="26"/>
      <c r="BL29" s="26"/>
      <c r="BM29" s="1219"/>
      <c r="BN29" s="1219"/>
    </row>
    <row r="30" spans="1:66" ht="14.45" x14ac:dyDescent="0.3">
      <c r="A30" s="274">
        <v>24</v>
      </c>
      <c r="B30" s="292" t="s">
        <v>491</v>
      </c>
      <c r="C30" s="13" t="s">
        <v>213</v>
      </c>
      <c r="D30" s="293">
        <v>3577000</v>
      </c>
      <c r="E30" s="294">
        <v>3313400.0000000051</v>
      </c>
      <c r="G30" s="912" t="s">
        <v>763</v>
      </c>
      <c r="H30" s="894" t="s">
        <v>491</v>
      </c>
      <c r="I30" s="1427">
        <f t="shared" si="70"/>
        <v>3888000</v>
      </c>
      <c r="J30" s="322">
        <v>3836600.000000013</v>
      </c>
      <c r="K30" s="1427">
        <f t="shared" ref="K30" si="94">+K79*K$3*24*1000</f>
        <v>4017600.0000000005</v>
      </c>
      <c r="L30" s="322">
        <v>4056899.9999999944</v>
      </c>
      <c r="M30" s="920">
        <f t="shared" si="3"/>
        <v>7905600</v>
      </c>
      <c r="N30" s="920">
        <f t="shared" si="3"/>
        <v>7893500.0000000075</v>
      </c>
      <c r="O30" s="1427">
        <f t="shared" si="72"/>
        <v>3888000</v>
      </c>
      <c r="P30" s="322">
        <v>4042799.9999999884</v>
      </c>
      <c r="Q30" s="1505">
        <f t="shared" si="84"/>
        <v>11793600</v>
      </c>
      <c r="R30" s="359">
        <f t="shared" si="85"/>
        <v>11936299.999999996</v>
      </c>
      <c r="S30" s="1427">
        <f t="shared" si="73"/>
        <v>4017600.0000000005</v>
      </c>
      <c r="T30" s="322">
        <v>4275000.0000000149</v>
      </c>
      <c r="U30" s="920">
        <f t="shared" si="8"/>
        <v>15811200</v>
      </c>
      <c r="V30" s="920">
        <f t="shared" si="9"/>
        <v>16211300.000000011</v>
      </c>
      <c r="W30" s="1427">
        <f t="shared" si="74"/>
        <v>4017600.0000000005</v>
      </c>
      <c r="X30" s="322">
        <v>4063099.9999999842</v>
      </c>
      <c r="Y30" s="920">
        <f t="shared" si="11"/>
        <v>19828800</v>
      </c>
      <c r="Z30" s="920">
        <f t="shared" si="12"/>
        <v>20274399.999999996</v>
      </c>
      <c r="AA30" s="1427">
        <f t="shared" si="75"/>
        <v>3888000</v>
      </c>
      <c r="AB30" s="322">
        <v>4065000</v>
      </c>
      <c r="AC30" s="1505">
        <f t="shared" si="68"/>
        <v>11923200</v>
      </c>
      <c r="AD30" s="359">
        <f t="shared" si="69"/>
        <v>12403100</v>
      </c>
      <c r="AE30" s="921">
        <f t="shared" si="57"/>
        <v>23716800</v>
      </c>
      <c r="AF30" s="921">
        <f t="shared" si="58"/>
        <v>24339399.999999996</v>
      </c>
      <c r="AG30" s="1427">
        <f t="shared" si="76"/>
        <v>3571200</v>
      </c>
      <c r="AH30" s="322">
        <v>4039500.0000000149</v>
      </c>
      <c r="AI30" s="920">
        <f t="shared" si="15"/>
        <v>27288000</v>
      </c>
      <c r="AJ30" s="920">
        <f t="shared" si="16"/>
        <v>28378900.000000011</v>
      </c>
      <c r="AK30" s="1427">
        <f t="shared" si="77"/>
        <v>3456000</v>
      </c>
      <c r="AL30" s="322">
        <v>2224100.0000000056</v>
      </c>
      <c r="AM30" s="920">
        <f t="shared" si="18"/>
        <v>30744000</v>
      </c>
      <c r="AN30" s="920">
        <f t="shared" si="19"/>
        <v>30603000.000000015</v>
      </c>
      <c r="AO30" s="1427">
        <f t="shared" si="78"/>
        <v>3571200</v>
      </c>
      <c r="AP30" s="4685">
        <v>3898199.9999999972</v>
      </c>
      <c r="AQ30" s="1505">
        <f t="shared" si="59"/>
        <v>10598400</v>
      </c>
      <c r="AR30" s="359">
        <f t="shared" si="60"/>
        <v>10161800.000000019</v>
      </c>
      <c r="AS30" s="920">
        <f t="shared" si="21"/>
        <v>34315200</v>
      </c>
      <c r="AT30" s="920">
        <f t="shared" si="22"/>
        <v>34501200.000000015</v>
      </c>
      <c r="AU30" s="1427">
        <f t="shared" si="79"/>
        <v>3571200</v>
      </c>
      <c r="AV30" s="322">
        <v>4044799.9999999739</v>
      </c>
      <c r="AW30" s="920">
        <f t="shared" si="24"/>
        <v>37886400</v>
      </c>
      <c r="AX30" s="920">
        <f t="shared" si="25"/>
        <v>38545999.999999985</v>
      </c>
      <c r="AY30" s="1427">
        <f t="shared" si="80"/>
        <v>3225600.0000000005</v>
      </c>
      <c r="AZ30" s="322">
        <v>3658599.9999999986</v>
      </c>
      <c r="BA30" s="920">
        <f t="shared" si="27"/>
        <v>41112000</v>
      </c>
      <c r="BB30" s="920">
        <f t="shared" si="28"/>
        <v>42204599.999999985</v>
      </c>
      <c r="BC30" s="1427">
        <f t="shared" si="81"/>
        <v>3571200</v>
      </c>
      <c r="BD30" s="322">
        <v>4146400.0000000233</v>
      </c>
      <c r="BE30" s="1505">
        <f t="shared" si="61"/>
        <v>10368000</v>
      </c>
      <c r="BF30" s="359">
        <f t="shared" si="62"/>
        <v>11849799.999999996</v>
      </c>
      <c r="BG30" s="921">
        <f t="shared" si="82"/>
        <v>20966400</v>
      </c>
      <c r="BH30" s="921">
        <f t="shared" si="82"/>
        <v>22011600.000000015</v>
      </c>
      <c r="BI30" s="920">
        <f t="shared" si="54"/>
        <v>44683200</v>
      </c>
      <c r="BJ30" s="920">
        <f t="shared" si="53"/>
        <v>46351000.000000007</v>
      </c>
      <c r="BK30" s="26"/>
      <c r="BL30" s="26"/>
      <c r="BM30" s="1219"/>
      <c r="BN30" s="1219"/>
    </row>
    <row r="31" spans="1:66" ht="14.45" x14ac:dyDescent="0.3">
      <c r="A31" s="274">
        <v>25</v>
      </c>
      <c r="B31" s="292" t="s">
        <v>764</v>
      </c>
      <c r="C31" s="13" t="s">
        <v>213</v>
      </c>
      <c r="D31" s="293">
        <v>2204510.0000000019</v>
      </c>
      <c r="E31" s="294">
        <v>2354639.9999999991</v>
      </c>
      <c r="G31" s="912" t="s">
        <v>765</v>
      </c>
      <c r="H31" s="894" t="s">
        <v>727</v>
      </c>
      <c r="I31" s="1426">
        <f t="shared" si="70"/>
        <v>648000</v>
      </c>
      <c r="J31" s="322">
        <v>612779.99999999721</v>
      </c>
      <c r="K31" s="1426">
        <f t="shared" ref="K31" si="95">+K80*K$3*24*1000</f>
        <v>669600</v>
      </c>
      <c r="L31" s="322">
        <v>634170.00000000163</v>
      </c>
      <c r="M31" s="920">
        <f t="shared" si="3"/>
        <v>1317600</v>
      </c>
      <c r="N31" s="920">
        <f t="shared" si="3"/>
        <v>1246949.9999999988</v>
      </c>
      <c r="O31" s="1426">
        <f t="shared" si="72"/>
        <v>648000</v>
      </c>
      <c r="P31" s="322">
        <v>624429.99999999907</v>
      </c>
      <c r="Q31" s="1505">
        <f t="shared" si="84"/>
        <v>1965600</v>
      </c>
      <c r="R31" s="359">
        <f t="shared" si="85"/>
        <v>1871379.9999999979</v>
      </c>
      <c r="S31" s="1426">
        <f t="shared" si="73"/>
        <v>669600</v>
      </c>
      <c r="T31" s="322">
        <v>650400.00000000105</v>
      </c>
      <c r="U31" s="920">
        <f t="shared" si="8"/>
        <v>2635200</v>
      </c>
      <c r="V31" s="920">
        <f t="shared" si="9"/>
        <v>2521779.9999999991</v>
      </c>
      <c r="W31" s="1426">
        <f t="shared" si="74"/>
        <v>669600</v>
      </c>
      <c r="X31" s="322">
        <v>634049.99999999837</v>
      </c>
      <c r="Y31" s="920">
        <f t="shared" si="11"/>
        <v>3304800</v>
      </c>
      <c r="Z31" s="920">
        <f t="shared" si="12"/>
        <v>3155829.9999999972</v>
      </c>
      <c r="AA31" s="1426">
        <f t="shared" si="75"/>
        <v>648000</v>
      </c>
      <c r="AB31" s="322">
        <v>608530.00000000163</v>
      </c>
      <c r="AC31" s="1504">
        <f t="shared" si="68"/>
        <v>1987200</v>
      </c>
      <c r="AD31" s="359">
        <f t="shared" si="69"/>
        <v>1892980.0000000012</v>
      </c>
      <c r="AE31" s="921">
        <f t="shared" si="57"/>
        <v>3952800</v>
      </c>
      <c r="AF31" s="921">
        <f t="shared" si="58"/>
        <v>3764359.9999999991</v>
      </c>
      <c r="AG31" s="1426">
        <f t="shared" si="76"/>
        <v>669600</v>
      </c>
      <c r="AH31" s="322">
        <v>595327.0000000007</v>
      </c>
      <c r="AI31" s="920">
        <f t="shared" si="15"/>
        <v>4622400</v>
      </c>
      <c r="AJ31" s="920">
        <f t="shared" si="16"/>
        <v>4359687</v>
      </c>
      <c r="AK31" s="1426">
        <f t="shared" si="77"/>
        <v>648000</v>
      </c>
      <c r="AL31" s="322">
        <v>388419.99999999825</v>
      </c>
      <c r="AM31" s="920">
        <f t="shared" si="18"/>
        <v>5270400</v>
      </c>
      <c r="AN31" s="920">
        <f t="shared" si="19"/>
        <v>4748106.9999999981</v>
      </c>
      <c r="AO31" s="1426">
        <f t="shared" si="78"/>
        <v>669600</v>
      </c>
      <c r="AP31" s="4685">
        <v>537360.00000000093</v>
      </c>
      <c r="AQ31" s="1504">
        <f t="shared" si="59"/>
        <v>1987200</v>
      </c>
      <c r="AR31" s="359">
        <f t="shared" si="60"/>
        <v>1521107</v>
      </c>
      <c r="AS31" s="920">
        <f t="shared" si="21"/>
        <v>5940000</v>
      </c>
      <c r="AT31" s="920">
        <f t="shared" si="22"/>
        <v>5285466.9999999991</v>
      </c>
      <c r="AU31" s="1426">
        <f t="shared" si="79"/>
        <v>669600</v>
      </c>
      <c r="AV31" s="322">
        <v>543779.99999999977</v>
      </c>
      <c r="AW31" s="920">
        <f t="shared" si="24"/>
        <v>6609600</v>
      </c>
      <c r="AX31" s="920">
        <f t="shared" si="25"/>
        <v>5829246.9999999991</v>
      </c>
      <c r="AY31" s="1426">
        <f t="shared" si="80"/>
        <v>604800</v>
      </c>
      <c r="AZ31" s="322">
        <v>490580.00000000029</v>
      </c>
      <c r="BA31" s="920">
        <f t="shared" si="27"/>
        <v>7214400</v>
      </c>
      <c r="BB31" s="920">
        <f t="shared" si="28"/>
        <v>6319826.9999999991</v>
      </c>
      <c r="BC31" s="1426">
        <f t="shared" si="81"/>
        <v>669600</v>
      </c>
      <c r="BD31" s="322">
        <v>603500</v>
      </c>
      <c r="BE31" s="1504">
        <f t="shared" si="61"/>
        <v>1944000</v>
      </c>
      <c r="BF31" s="359">
        <f t="shared" si="62"/>
        <v>1637860</v>
      </c>
      <c r="BG31" s="921">
        <f t="shared" si="82"/>
        <v>3931200</v>
      </c>
      <c r="BH31" s="921">
        <f t="shared" si="82"/>
        <v>3158967</v>
      </c>
      <c r="BI31" s="920">
        <f t="shared" si="54"/>
        <v>7884000</v>
      </c>
      <c r="BJ31" s="920">
        <f t="shared" si="53"/>
        <v>6923326.9999999991</v>
      </c>
      <c r="BK31" s="26"/>
      <c r="BL31" s="26"/>
      <c r="BM31" s="1219"/>
      <c r="BN31" s="1219"/>
    </row>
    <row r="32" spans="1:66" ht="14.45" x14ac:dyDescent="0.3">
      <c r="A32" s="274"/>
      <c r="B32" s="292"/>
      <c r="C32" s="13"/>
      <c r="D32" s="293"/>
      <c r="E32" s="294"/>
      <c r="G32" s="912" t="s">
        <v>766</v>
      </c>
      <c r="H32" s="894" t="s">
        <v>728</v>
      </c>
      <c r="I32" s="1426">
        <f t="shared" si="70"/>
        <v>1008000</v>
      </c>
      <c r="J32" s="322">
        <v>940860.00000000047</v>
      </c>
      <c r="K32" s="1426">
        <f t="shared" ref="K32" si="96">+K81*K$3*24*1000</f>
        <v>1041599.9999999999</v>
      </c>
      <c r="L32" s="322">
        <v>631860.00000000675</v>
      </c>
      <c r="M32" s="920">
        <f t="shared" si="3"/>
        <v>2049600</v>
      </c>
      <c r="N32" s="920">
        <f t="shared" si="3"/>
        <v>1572720.0000000072</v>
      </c>
      <c r="O32" s="1426">
        <f t="shared" si="72"/>
        <v>1008000</v>
      </c>
      <c r="P32" s="322">
        <v>995819.9999999943</v>
      </c>
      <c r="Q32" s="1505">
        <f t="shared" si="84"/>
        <v>3057600</v>
      </c>
      <c r="R32" s="359">
        <f t="shared" si="85"/>
        <v>2568540.0000000014</v>
      </c>
      <c r="S32" s="1426">
        <f t="shared" si="73"/>
        <v>1041599.9999999999</v>
      </c>
      <c r="T32" s="322">
        <v>883790</v>
      </c>
      <c r="U32" s="920">
        <f t="shared" si="8"/>
        <v>4099200</v>
      </c>
      <c r="V32" s="920">
        <f t="shared" si="9"/>
        <v>3452330.0000000014</v>
      </c>
      <c r="W32" s="1426">
        <f t="shared" si="74"/>
        <v>1041599.9999999999</v>
      </c>
      <c r="X32" s="322">
        <v>885889.9999999986</v>
      </c>
      <c r="Y32" s="920">
        <f t="shared" si="11"/>
        <v>5140800</v>
      </c>
      <c r="Z32" s="920">
        <f t="shared" si="12"/>
        <v>4338220</v>
      </c>
      <c r="AA32" s="1426">
        <f t="shared" si="75"/>
        <v>1008000</v>
      </c>
      <c r="AB32" s="322">
        <v>822450</v>
      </c>
      <c r="AC32" s="1504">
        <f t="shared" si="68"/>
        <v>3091200</v>
      </c>
      <c r="AD32" s="359">
        <f t="shared" si="69"/>
        <v>2592129.9999999986</v>
      </c>
      <c r="AE32" s="921">
        <f t="shared" si="57"/>
        <v>6148800</v>
      </c>
      <c r="AF32" s="921">
        <f t="shared" si="58"/>
        <v>5160670</v>
      </c>
      <c r="AG32" s="1426">
        <f t="shared" si="76"/>
        <v>744000</v>
      </c>
      <c r="AH32" s="322">
        <v>993270.00000000279</v>
      </c>
      <c r="AI32" s="920">
        <f t="shared" si="15"/>
        <v>6892800</v>
      </c>
      <c r="AJ32" s="920">
        <f t="shared" si="16"/>
        <v>6153940.0000000028</v>
      </c>
      <c r="AK32" s="1426">
        <f t="shared" si="77"/>
        <v>720000</v>
      </c>
      <c r="AL32" s="322">
        <v>602260.00000000442</v>
      </c>
      <c r="AM32" s="920">
        <f t="shared" si="18"/>
        <v>7612800</v>
      </c>
      <c r="AN32" s="920">
        <f t="shared" si="19"/>
        <v>6756200.0000000075</v>
      </c>
      <c r="AO32" s="1426">
        <f t="shared" si="78"/>
        <v>744000</v>
      </c>
      <c r="AP32" s="4685">
        <v>840779.9999999986</v>
      </c>
      <c r="AQ32" s="1504">
        <f t="shared" si="59"/>
        <v>2208000</v>
      </c>
      <c r="AR32" s="359">
        <f t="shared" si="60"/>
        <v>2436310.0000000056</v>
      </c>
      <c r="AS32" s="920">
        <f t="shared" si="21"/>
        <v>8356800</v>
      </c>
      <c r="AT32" s="920">
        <f t="shared" si="22"/>
        <v>7596980.0000000056</v>
      </c>
      <c r="AU32" s="1426">
        <f t="shared" si="79"/>
        <v>744000</v>
      </c>
      <c r="AV32" s="322">
        <v>796810</v>
      </c>
      <c r="AW32" s="920">
        <f t="shared" si="24"/>
        <v>9100800</v>
      </c>
      <c r="AX32" s="920">
        <f t="shared" si="25"/>
        <v>8393790.0000000056</v>
      </c>
      <c r="AY32" s="1426">
        <f t="shared" si="80"/>
        <v>672000</v>
      </c>
      <c r="AZ32" s="322">
        <v>700050</v>
      </c>
      <c r="BA32" s="920">
        <f t="shared" si="27"/>
        <v>9772800</v>
      </c>
      <c r="BB32" s="920">
        <f t="shared" si="28"/>
        <v>9093840.0000000056</v>
      </c>
      <c r="BC32" s="1426">
        <f t="shared" si="81"/>
        <v>744000</v>
      </c>
      <c r="BD32" s="322">
        <v>910999.9999999986</v>
      </c>
      <c r="BE32" s="1504">
        <f t="shared" si="61"/>
        <v>2160000</v>
      </c>
      <c r="BF32" s="359">
        <f t="shared" si="62"/>
        <v>2407859.9999999986</v>
      </c>
      <c r="BG32" s="921">
        <f t="shared" si="82"/>
        <v>4368000</v>
      </c>
      <c r="BH32" s="921">
        <f t="shared" si="82"/>
        <v>4844170.0000000037</v>
      </c>
      <c r="BI32" s="920">
        <f t="shared" si="54"/>
        <v>10516800</v>
      </c>
      <c r="BJ32" s="920">
        <f t="shared" si="53"/>
        <v>10004840.000000004</v>
      </c>
      <c r="BK32" s="26"/>
      <c r="BL32" s="26"/>
      <c r="BM32" s="1219"/>
      <c r="BN32" s="1219"/>
    </row>
    <row r="33" spans="1:66" ht="14.45" x14ac:dyDescent="0.3">
      <c r="A33" s="274">
        <v>26</v>
      </c>
      <c r="B33" s="292" t="s">
        <v>767</v>
      </c>
      <c r="C33" s="13" t="s">
        <v>213</v>
      </c>
      <c r="D33" s="293">
        <v>1110620</v>
      </c>
      <c r="E33" s="294">
        <v>1155720.0000000005</v>
      </c>
      <c r="G33" s="912" t="s">
        <v>768</v>
      </c>
      <c r="H33" s="894" t="s">
        <v>729</v>
      </c>
      <c r="I33" s="1426">
        <f t="shared" si="70"/>
        <v>864000</v>
      </c>
      <c r="J33" s="322">
        <v>797626.0000000014</v>
      </c>
      <c r="K33" s="1426">
        <f t="shared" ref="K33" si="97">+K82*K$3*24*1000</f>
        <v>892800</v>
      </c>
      <c r="L33" s="322">
        <v>890479.79999999888</v>
      </c>
      <c r="M33" s="920">
        <f t="shared" si="3"/>
        <v>1756800</v>
      </c>
      <c r="N33" s="920">
        <f t="shared" si="3"/>
        <v>1688105.8000000003</v>
      </c>
      <c r="O33" s="1426">
        <f t="shared" si="72"/>
        <v>864000</v>
      </c>
      <c r="P33" s="322">
        <v>871619.29999999958</v>
      </c>
      <c r="Q33" s="1505">
        <f t="shared" si="84"/>
        <v>2620800</v>
      </c>
      <c r="R33" s="359">
        <f t="shared" si="85"/>
        <v>2559725.0999999996</v>
      </c>
      <c r="S33" s="1426">
        <f t="shared" si="73"/>
        <v>892800</v>
      </c>
      <c r="T33" s="322">
        <v>912657.09999999974</v>
      </c>
      <c r="U33" s="920">
        <f t="shared" si="8"/>
        <v>3513600</v>
      </c>
      <c r="V33" s="920">
        <f t="shared" si="9"/>
        <v>3472382.1999999993</v>
      </c>
      <c r="W33" s="1426">
        <f t="shared" si="74"/>
        <v>892800</v>
      </c>
      <c r="X33" s="322">
        <v>878829.5400000019</v>
      </c>
      <c r="Y33" s="920">
        <f t="shared" si="11"/>
        <v>4406400</v>
      </c>
      <c r="Z33" s="920">
        <f t="shared" si="12"/>
        <v>4351211.7400000012</v>
      </c>
      <c r="AA33" s="1426">
        <f t="shared" si="75"/>
        <v>864000</v>
      </c>
      <c r="AB33" s="322">
        <v>842375.31999999855</v>
      </c>
      <c r="AC33" s="1504">
        <f t="shared" si="68"/>
        <v>2649600</v>
      </c>
      <c r="AD33" s="359">
        <f t="shared" si="69"/>
        <v>2633861.96</v>
      </c>
      <c r="AE33" s="921">
        <f t="shared" si="57"/>
        <v>5270400</v>
      </c>
      <c r="AF33" s="921">
        <f t="shared" si="58"/>
        <v>5193587.0599999996</v>
      </c>
      <c r="AG33" s="1426">
        <f t="shared" si="76"/>
        <v>1041599.9999999999</v>
      </c>
      <c r="AH33" s="322">
        <v>844291.80000000133</v>
      </c>
      <c r="AI33" s="920">
        <f t="shared" si="15"/>
        <v>6312000</v>
      </c>
      <c r="AJ33" s="920">
        <f t="shared" si="16"/>
        <v>6037878.8600000013</v>
      </c>
      <c r="AK33" s="1426">
        <f t="shared" si="77"/>
        <v>1008000</v>
      </c>
      <c r="AL33" s="322">
        <v>578095.55999999936</v>
      </c>
      <c r="AM33" s="920">
        <f t="shared" si="18"/>
        <v>7320000</v>
      </c>
      <c r="AN33" s="920">
        <f t="shared" si="19"/>
        <v>6615974.4200000009</v>
      </c>
      <c r="AO33" s="1426">
        <f t="shared" si="78"/>
        <v>1041599.9999999999</v>
      </c>
      <c r="AP33" s="4685">
        <v>748036.00000000012</v>
      </c>
      <c r="AQ33" s="1504">
        <f t="shared" si="59"/>
        <v>3091200</v>
      </c>
      <c r="AR33" s="359">
        <f t="shared" si="60"/>
        <v>2170423.3600000008</v>
      </c>
      <c r="AS33" s="920">
        <f t="shared" si="21"/>
        <v>8361600</v>
      </c>
      <c r="AT33" s="920">
        <f t="shared" si="22"/>
        <v>7364010.4200000009</v>
      </c>
      <c r="AU33" s="1426">
        <f t="shared" si="79"/>
        <v>1041599.9999999999</v>
      </c>
      <c r="AV33" s="322">
        <v>776660.00000000047</v>
      </c>
      <c r="AW33" s="920">
        <f t="shared" si="24"/>
        <v>9403200</v>
      </c>
      <c r="AX33" s="920">
        <f t="shared" si="25"/>
        <v>8140670.4200000018</v>
      </c>
      <c r="AY33" s="1426">
        <f t="shared" si="80"/>
        <v>940800</v>
      </c>
      <c r="AZ33" s="322">
        <v>714917.19999999949</v>
      </c>
      <c r="BA33" s="920">
        <f t="shared" si="27"/>
        <v>10344000</v>
      </c>
      <c r="BB33" s="920">
        <f t="shared" si="28"/>
        <v>8855587.620000001</v>
      </c>
      <c r="BC33" s="1426">
        <f t="shared" si="81"/>
        <v>1041599.9999999999</v>
      </c>
      <c r="BD33" s="322">
        <v>817501.79999999912</v>
      </c>
      <c r="BE33" s="1504">
        <f t="shared" si="61"/>
        <v>3024000</v>
      </c>
      <c r="BF33" s="359">
        <f t="shared" si="62"/>
        <v>2309078.9999999991</v>
      </c>
      <c r="BG33" s="921">
        <f t="shared" si="82"/>
        <v>6115200</v>
      </c>
      <c r="BH33" s="921">
        <f t="shared" si="82"/>
        <v>4479502.3599999994</v>
      </c>
      <c r="BI33" s="920">
        <f t="shared" si="54"/>
        <v>11385600</v>
      </c>
      <c r="BJ33" s="920">
        <f t="shared" si="53"/>
        <v>9673089.4199999999</v>
      </c>
      <c r="BK33" s="26"/>
      <c r="BL33" s="26"/>
      <c r="BM33" s="1219"/>
      <c r="BN33" s="1219"/>
    </row>
    <row r="34" spans="1:66" s="149" customFormat="1" ht="14.45" x14ac:dyDescent="0.3">
      <c r="G34" s="154"/>
      <c r="H34" s="154"/>
      <c r="I34" s="1430"/>
      <c r="K34" s="1430"/>
      <c r="M34" s="154"/>
      <c r="N34" s="1328"/>
      <c r="O34" s="1430"/>
      <c r="S34" s="1430"/>
      <c r="U34" s="154"/>
      <c r="V34" s="154"/>
      <c r="W34" s="1430"/>
      <c r="Y34" s="154"/>
      <c r="Z34" s="154"/>
      <c r="AA34" s="1430"/>
      <c r="AE34" s="154"/>
      <c r="AF34" s="154"/>
      <c r="AG34" s="1430"/>
      <c r="AI34" s="154"/>
      <c r="AJ34" s="154"/>
      <c r="AK34" s="1430"/>
      <c r="AM34" s="154"/>
      <c r="AN34" s="154"/>
      <c r="AO34" s="1430"/>
      <c r="AS34" s="154"/>
      <c r="AT34" s="154"/>
      <c r="AU34" s="1430"/>
      <c r="AW34" s="154"/>
      <c r="AX34" s="154"/>
      <c r="AY34" s="1430"/>
      <c r="BA34" s="154"/>
      <c r="BB34" s="154"/>
      <c r="BC34" s="1430"/>
      <c r="BG34" s="154"/>
      <c r="BH34" s="154"/>
      <c r="BI34" s="154"/>
      <c r="BJ34" s="154"/>
      <c r="BK34" s="26"/>
      <c r="BL34" s="26"/>
      <c r="BM34" s="1219"/>
      <c r="BN34" s="1219"/>
    </row>
    <row r="35" spans="1:66" ht="15.6" x14ac:dyDescent="0.3">
      <c r="A35" s="274">
        <v>27</v>
      </c>
      <c r="B35" s="292" t="s">
        <v>727</v>
      </c>
      <c r="C35" s="13" t="s">
        <v>213</v>
      </c>
      <c r="D35" s="293">
        <v>454899.99999999919</v>
      </c>
      <c r="E35" s="294">
        <v>444510.0000000007</v>
      </c>
      <c r="G35" s="923" t="s">
        <v>769</v>
      </c>
      <c r="H35" s="1422" t="s">
        <v>730</v>
      </c>
      <c r="I35" s="1429">
        <f>SUM(I36:I39)</f>
        <v>1815518.4000000001</v>
      </c>
      <c r="J35" s="325">
        <f>SUM(J36:J39)</f>
        <v>1458038.0135333324</v>
      </c>
      <c r="K35" s="1429">
        <f>SUM(K36:K39)</f>
        <v>1876035.68</v>
      </c>
      <c r="L35" s="325">
        <f>SUM(L36:L39)</f>
        <v>1688087.5574333344</v>
      </c>
      <c r="M35" s="924">
        <f t="shared" si="3"/>
        <v>3691554.08</v>
      </c>
      <c r="N35" s="924">
        <f t="shared" si="3"/>
        <v>3146125.5709666666</v>
      </c>
      <c r="O35" s="1429">
        <f>SUM(O36:O39)</f>
        <v>1766395.2</v>
      </c>
      <c r="P35" s="325">
        <f>SUM(P36:P39)</f>
        <v>1594616.1133333328</v>
      </c>
      <c r="Q35" s="1508">
        <f t="shared" si="5"/>
        <v>5457949.2800000003</v>
      </c>
      <c r="R35" s="1509">
        <f t="shared" si="6"/>
        <v>4740741.6842999998</v>
      </c>
      <c r="S35" s="1429">
        <f>SUM(S36:S39)</f>
        <v>1825275.04</v>
      </c>
      <c r="T35" s="325">
        <f>SUM(T36:T39)</f>
        <v>1616898.4886666664</v>
      </c>
      <c r="U35" s="924">
        <f t="shared" ref="U35:U47" si="98">+Q35+S35</f>
        <v>7283224.3200000003</v>
      </c>
      <c r="V35" s="924">
        <f t="shared" ref="V35:V47" si="99">+R35+T35</f>
        <v>6357640.1729666665</v>
      </c>
      <c r="W35" s="1429">
        <f>SUM(W36:W39)</f>
        <v>1825275.04</v>
      </c>
      <c r="X35" s="325">
        <f>SUM(X36:X39)</f>
        <v>1566489.9873333345</v>
      </c>
      <c r="Y35" s="924">
        <f t="shared" ref="Y35:Y47" si="100">+U35+W35</f>
        <v>9108499.3599999994</v>
      </c>
      <c r="Z35" s="924">
        <f t="shared" ref="Z35:Z47" si="101">+V35+X35</f>
        <v>7924130.1603000015</v>
      </c>
      <c r="AA35" s="1429">
        <f>SUM(AA36:AA39)</f>
        <v>1743061.68</v>
      </c>
      <c r="AB35" s="325">
        <f>SUM(AB36:AB39)</f>
        <v>1578104.6916666662</v>
      </c>
      <c r="AC35" s="1508">
        <f>S35+W35+AA35</f>
        <v>5393611.7599999998</v>
      </c>
      <c r="AD35" s="1509">
        <f>T35+X35+AB35</f>
        <v>4761493.1676666671</v>
      </c>
      <c r="AE35" s="925">
        <f t="shared" ref="AE35:AE47" si="102">Q35+AC35</f>
        <v>10851561.039999999</v>
      </c>
      <c r="AF35" s="925">
        <f t="shared" ref="AF35:AF47" si="103">R35+AD35</f>
        <v>9502234.8519666679</v>
      </c>
      <c r="AG35" s="1429">
        <f>SUM(AG36:AG39)</f>
        <v>2379645.3119999999</v>
      </c>
      <c r="AH35" s="325">
        <f>SUM(AH36:AH39)</f>
        <v>1672610.6876666669</v>
      </c>
      <c r="AI35" s="924">
        <f t="shared" ref="AI35:AI47" si="104">+AE35+AG35</f>
        <v>13231206.351999998</v>
      </c>
      <c r="AJ35" s="924">
        <f t="shared" ref="AJ35:AJ47" si="105">+AF35+AH35</f>
        <v>11174845.539633336</v>
      </c>
      <c r="AK35" s="1429">
        <f>SUM(AK36:AK39)</f>
        <v>2302882.56</v>
      </c>
      <c r="AL35" s="325">
        <f>SUM(AL36:AL39)</f>
        <v>1527479.9199999995</v>
      </c>
      <c r="AM35" s="924">
        <f t="shared" ref="AM35:AM47" si="106">+AI35+AK35</f>
        <v>15534088.911999999</v>
      </c>
      <c r="AN35" s="924">
        <f t="shared" ref="AN35:AN47" si="107">+AJ35+AL35</f>
        <v>12702325.459633335</v>
      </c>
      <c r="AO35" s="1429">
        <f>SUM(AO36:AO39)</f>
        <v>2379645.3119999999</v>
      </c>
      <c r="AP35" s="325">
        <f>SUM(AP36:AP39)</f>
        <v>1471235.2200000002</v>
      </c>
      <c r="AQ35" s="1508">
        <f>AG35+AK35+AO35</f>
        <v>7062173.1839999994</v>
      </c>
      <c r="AR35" s="1509">
        <f>AH35+AL35+AP35</f>
        <v>4671325.8276666664</v>
      </c>
      <c r="AS35" s="924">
        <f t="shared" ref="AS35:AS47" si="108">+AM35+AO35</f>
        <v>17913734.223999999</v>
      </c>
      <c r="AT35" s="924">
        <f t="shared" ref="AT35:AT47" si="109">+AN35+AP35</f>
        <v>14173560.679633336</v>
      </c>
      <c r="AU35" s="1429">
        <f>SUM(AU36:AU39)</f>
        <v>2379645.3119999999</v>
      </c>
      <c r="AV35" s="325">
        <f>SUM(AV36:AV39)</f>
        <v>1456886.333333334</v>
      </c>
      <c r="AW35" s="924">
        <f t="shared" ref="AW35:AW47" si="110">+AS35+AU35</f>
        <v>20293379.535999998</v>
      </c>
      <c r="AX35" s="924">
        <f t="shared" ref="AX35:AX47" si="111">+AT35+AV35</f>
        <v>15630447.01296667</v>
      </c>
      <c r="AY35" s="1429">
        <f>SUM(AY36:AY39)</f>
        <v>2149357.0560000003</v>
      </c>
      <c r="AZ35" s="325">
        <f>SUM(AZ36:AZ39)</f>
        <v>1375183.4295833339</v>
      </c>
      <c r="BA35" s="924">
        <f t="shared" ref="BA35:BA47" si="112">+AW35+AY35</f>
        <v>22442736.592</v>
      </c>
      <c r="BB35" s="924">
        <f t="shared" ref="BB35:BB47" si="113">+AX35+AZ35</f>
        <v>17005630.442550004</v>
      </c>
      <c r="BC35" s="1429">
        <f>SUM(BC36:BC39)</f>
        <v>2379645.3119999999</v>
      </c>
      <c r="BD35" s="325">
        <f>SUM(BD36:BD39)</f>
        <v>1543534.6041499984</v>
      </c>
      <c r="BE35" s="1508">
        <f>AU35+AY35+BC35</f>
        <v>6908647.6800000006</v>
      </c>
      <c r="BF35" s="1509">
        <f>AV35+AZ35+BD35</f>
        <v>4375604.3670666665</v>
      </c>
      <c r="BG35" s="918">
        <f>AQ35+BE35</f>
        <v>13970820.864</v>
      </c>
      <c r="BH35" s="918">
        <f>AR35+BF35</f>
        <v>9046930.1947333328</v>
      </c>
      <c r="BI35" s="924">
        <f t="shared" ref="BI35:BI47" si="114">+BA35+BC35</f>
        <v>24822381.903999999</v>
      </c>
      <c r="BJ35" s="924">
        <f t="shared" ref="BJ35:BJ47" si="115">+BB35+BD35</f>
        <v>18549165.046700001</v>
      </c>
      <c r="BK35" s="26"/>
      <c r="BL35" s="26"/>
      <c r="BM35" s="1219"/>
      <c r="BN35" s="1219"/>
    </row>
    <row r="36" spans="1:66" ht="14.45" x14ac:dyDescent="0.3">
      <c r="A36" s="274">
        <v>28</v>
      </c>
      <c r="B36" s="304" t="s">
        <v>732</v>
      </c>
      <c r="C36" s="13" t="s">
        <v>213</v>
      </c>
      <c r="D36" s="293">
        <v>644972.74900000007</v>
      </c>
      <c r="E36" s="294">
        <v>646895.54300000006</v>
      </c>
      <c r="G36" s="912" t="s">
        <v>770</v>
      </c>
      <c r="H36" s="894" t="s">
        <v>731</v>
      </c>
      <c r="I36" s="1427">
        <f>+I85*I$3*24*1000</f>
        <v>1203518.4000000001</v>
      </c>
      <c r="J36" s="322">
        <v>1090632.9999999993</v>
      </c>
      <c r="K36" s="1427">
        <f>+K85*K$3*24*1000</f>
        <v>1243635.68</v>
      </c>
      <c r="L36" s="322">
        <v>1231879.1000000001</v>
      </c>
      <c r="M36" s="920">
        <f t="shared" si="3"/>
        <v>2447154.08</v>
      </c>
      <c r="N36" s="920">
        <f t="shared" si="3"/>
        <v>2322512.0999999996</v>
      </c>
      <c r="O36" s="1427">
        <f>+O85*O$3*24*1000</f>
        <v>1154395.2</v>
      </c>
      <c r="P36" s="322">
        <v>1198690.0000000007</v>
      </c>
      <c r="Q36" s="1505">
        <f t="shared" si="5"/>
        <v>3601549.2800000003</v>
      </c>
      <c r="R36" s="359">
        <f t="shared" si="6"/>
        <v>3521202.1000000006</v>
      </c>
      <c r="S36" s="1427">
        <f>+S85*S$3*24*1000</f>
        <v>1192875.04</v>
      </c>
      <c r="T36" s="322">
        <v>1201692</v>
      </c>
      <c r="U36" s="920">
        <f t="shared" si="98"/>
        <v>4794424.32</v>
      </c>
      <c r="V36" s="920">
        <f t="shared" si="99"/>
        <v>4722894.1000000006</v>
      </c>
      <c r="W36" s="1427">
        <f>+W85*W$3*24*1000</f>
        <v>1192875.04</v>
      </c>
      <c r="X36" s="322">
        <v>1172042.9999999998</v>
      </c>
      <c r="Y36" s="920">
        <f t="shared" si="100"/>
        <v>5987299.3600000003</v>
      </c>
      <c r="Z36" s="920">
        <f t="shared" si="101"/>
        <v>5894937.1000000006</v>
      </c>
      <c r="AA36" s="1427">
        <f>+AA85*AA$3*24*1000</f>
        <v>1131061.68</v>
      </c>
      <c r="AB36" s="322">
        <v>1117056.9999999995</v>
      </c>
      <c r="AC36" s="1505">
        <f t="shared" ref="AC36:AC47" si="116">S36+W36+AA36</f>
        <v>3516811.76</v>
      </c>
      <c r="AD36" s="359">
        <f t="shared" ref="AD36:AD47" si="117">T36+X36+AB36</f>
        <v>3490791.9999999995</v>
      </c>
      <c r="AE36" s="921">
        <f t="shared" si="102"/>
        <v>7118361.04</v>
      </c>
      <c r="AF36" s="921">
        <f t="shared" si="103"/>
        <v>7011994.0999999996</v>
      </c>
      <c r="AG36" s="1427">
        <f>+AG85*AG$3*24*1000</f>
        <v>1226445.3120000002</v>
      </c>
      <c r="AH36" s="322">
        <v>1233627</v>
      </c>
      <c r="AI36" s="920">
        <f t="shared" si="104"/>
        <v>8344806.352</v>
      </c>
      <c r="AJ36" s="920">
        <f t="shared" si="105"/>
        <v>8245621.0999999996</v>
      </c>
      <c r="AK36" s="1427">
        <f>+AK85*AK$3*24*1000</f>
        <v>1186882.5600000001</v>
      </c>
      <c r="AL36" s="322">
        <v>1139976.9999999995</v>
      </c>
      <c r="AM36" s="920">
        <f t="shared" si="106"/>
        <v>9531688.9120000005</v>
      </c>
      <c r="AN36" s="920">
        <f t="shared" si="107"/>
        <v>9385598.0999999996</v>
      </c>
      <c r="AO36" s="1427">
        <f>+AO85*AO$3*24*1000</f>
        <v>1226445.3120000002</v>
      </c>
      <c r="AP36" s="322">
        <v>1124007</v>
      </c>
      <c r="AQ36" s="1505">
        <f t="shared" ref="AQ36:AQ42" si="118">AG36+AK36+AO36</f>
        <v>3639773.1840000004</v>
      </c>
      <c r="AR36" s="359">
        <f t="shared" ref="AR36:AR42" si="119">AH36+AL36+AP36</f>
        <v>3497610.9999999995</v>
      </c>
      <c r="AS36" s="920">
        <f t="shared" si="108"/>
        <v>10758134.224000001</v>
      </c>
      <c r="AT36" s="920">
        <f t="shared" si="109"/>
        <v>10509605.1</v>
      </c>
      <c r="AU36" s="1427">
        <f>+AU85*AU$3*24*1000</f>
        <v>1226445.3120000002</v>
      </c>
      <c r="AV36" s="322">
        <v>1063826.0000000007</v>
      </c>
      <c r="AW36" s="920">
        <f t="shared" si="110"/>
        <v>11984579.536000002</v>
      </c>
      <c r="AX36" s="920">
        <f t="shared" si="111"/>
        <v>11573431.1</v>
      </c>
      <c r="AY36" s="1427">
        <f>+AY85*AY$3*24*1000</f>
        <v>1107757.0560000001</v>
      </c>
      <c r="AZ36" s="322">
        <v>1031726.9999999995</v>
      </c>
      <c r="BA36" s="920">
        <f t="shared" si="112"/>
        <v>13092336.592000002</v>
      </c>
      <c r="BB36" s="920">
        <f t="shared" si="113"/>
        <v>12605158.1</v>
      </c>
      <c r="BC36" s="1427">
        <f>+BC85*BC$3*24*1000</f>
        <v>1226445.3120000002</v>
      </c>
      <c r="BD36" s="322">
        <v>1164705.0000000002</v>
      </c>
      <c r="BE36" s="1505">
        <f t="shared" ref="BE36:BE42" si="120">AU36+AY36+BC36</f>
        <v>3560647.6800000006</v>
      </c>
      <c r="BF36" s="359">
        <f t="shared" ref="BF36:BF42" si="121">AV36+AZ36+BD36</f>
        <v>3260258.0000000005</v>
      </c>
      <c r="BG36" s="921">
        <f t="shared" ref="BG36:BG39" si="122">AQ36+BE36</f>
        <v>7200420.864000001</v>
      </c>
      <c r="BH36" s="921">
        <f t="shared" ref="BH36:BH39" si="123">AR36+BF36</f>
        <v>6757869</v>
      </c>
      <c r="BI36" s="920">
        <f t="shared" si="114"/>
        <v>14318781.904000003</v>
      </c>
      <c r="BJ36" s="920">
        <f t="shared" si="115"/>
        <v>13769863.1</v>
      </c>
      <c r="BK36" s="26"/>
      <c r="BL36" s="26"/>
      <c r="BM36" s="1219"/>
      <c r="BN36" s="1219"/>
    </row>
    <row r="37" spans="1:66" ht="14.45" x14ac:dyDescent="0.3">
      <c r="A37" s="274">
        <v>29</v>
      </c>
      <c r="B37" s="304" t="s">
        <v>733</v>
      </c>
      <c r="C37" s="13" t="s">
        <v>213</v>
      </c>
      <c r="D37" s="293">
        <v>187023.60760000031</v>
      </c>
      <c r="E37" s="294">
        <v>184126.8434000003</v>
      </c>
      <c r="G37" s="912" t="s">
        <v>771</v>
      </c>
      <c r="H37" s="894" t="s">
        <v>732</v>
      </c>
      <c r="I37" s="1427">
        <f>+I86*I$3*24*1000</f>
        <v>360000</v>
      </c>
      <c r="J37" s="322">
        <v>221224.33333333366</v>
      </c>
      <c r="K37" s="1427">
        <f>+K86*K$3*24*1000</f>
        <v>372000</v>
      </c>
      <c r="L37" s="322">
        <v>219653.33333333343</v>
      </c>
      <c r="M37" s="920">
        <f t="shared" si="3"/>
        <v>732000</v>
      </c>
      <c r="N37" s="920">
        <f t="shared" si="3"/>
        <v>440877.66666666709</v>
      </c>
      <c r="O37" s="1427">
        <f>+O86*O$3*24*1000</f>
        <v>360000</v>
      </c>
      <c r="P37" s="322">
        <v>226562.33333333291</v>
      </c>
      <c r="Q37" s="1505">
        <f t="shared" si="5"/>
        <v>1092000</v>
      </c>
      <c r="R37" s="359">
        <f t="shared" si="6"/>
        <v>667440</v>
      </c>
      <c r="S37" s="1427">
        <f>+S86*S$3*24*1000</f>
        <v>372000</v>
      </c>
      <c r="T37" s="322">
        <v>243511.66666666663</v>
      </c>
      <c r="U37" s="920">
        <f t="shared" si="98"/>
        <v>1464000</v>
      </c>
      <c r="V37" s="920">
        <f t="shared" si="99"/>
        <v>910951.66666666663</v>
      </c>
      <c r="W37" s="1427">
        <f>+W86*W$3*24*1000</f>
        <v>372000</v>
      </c>
      <c r="X37" s="322">
        <v>230576.33333333407</v>
      </c>
      <c r="Y37" s="920">
        <f t="shared" si="100"/>
        <v>1836000</v>
      </c>
      <c r="Z37" s="920">
        <f t="shared" si="101"/>
        <v>1141528.0000000007</v>
      </c>
      <c r="AA37" s="1427">
        <f>+AA86*AA$3*24*1000</f>
        <v>360000</v>
      </c>
      <c r="AB37" s="322">
        <v>266296.26666666672</v>
      </c>
      <c r="AC37" s="1505">
        <f t="shared" si="116"/>
        <v>1104000</v>
      </c>
      <c r="AD37" s="359">
        <f t="shared" si="117"/>
        <v>740384.26666666742</v>
      </c>
      <c r="AE37" s="921">
        <f t="shared" si="102"/>
        <v>2196000</v>
      </c>
      <c r="AF37" s="921">
        <f t="shared" si="103"/>
        <v>1407824.2666666675</v>
      </c>
      <c r="AG37" s="1427">
        <f>+AG86*AG$3*24*1000</f>
        <v>669600</v>
      </c>
      <c r="AH37" s="322">
        <v>245212.66666666674</v>
      </c>
      <c r="AI37" s="920">
        <f t="shared" si="104"/>
        <v>2865600</v>
      </c>
      <c r="AJ37" s="920">
        <f t="shared" si="105"/>
        <v>1653036.9333333343</v>
      </c>
      <c r="AK37" s="1427">
        <f>+AK86*AK$3*24*1000</f>
        <v>648000</v>
      </c>
      <c r="AL37" s="322">
        <v>230996.00000000012</v>
      </c>
      <c r="AM37" s="920">
        <f t="shared" si="106"/>
        <v>3513600</v>
      </c>
      <c r="AN37" s="920">
        <f t="shared" si="107"/>
        <v>1884032.9333333345</v>
      </c>
      <c r="AO37" s="1427">
        <f>+AO86*AO$3*24*1000</f>
        <v>669600</v>
      </c>
      <c r="AP37" s="322">
        <v>213346.99999999988</v>
      </c>
      <c r="AQ37" s="1505">
        <f t="shared" si="118"/>
        <v>1987200</v>
      </c>
      <c r="AR37" s="359">
        <f t="shared" si="119"/>
        <v>689555.66666666674</v>
      </c>
      <c r="AS37" s="920">
        <f t="shared" si="108"/>
        <v>4183200</v>
      </c>
      <c r="AT37" s="920">
        <f t="shared" si="109"/>
        <v>2097379.9333333345</v>
      </c>
      <c r="AU37" s="1427">
        <f>+AU86*AU$3*24*1000</f>
        <v>669600</v>
      </c>
      <c r="AV37" s="322">
        <v>233849.33333333343</v>
      </c>
      <c r="AW37" s="920">
        <f t="shared" si="110"/>
        <v>4852800</v>
      </c>
      <c r="AX37" s="920">
        <f t="shared" si="111"/>
        <v>2331229.266666668</v>
      </c>
      <c r="AY37" s="1427">
        <f>+AY86*AY$3*24*1000</f>
        <v>604800</v>
      </c>
      <c r="AZ37" s="322">
        <v>203079.33333333343</v>
      </c>
      <c r="BA37" s="920">
        <f t="shared" si="112"/>
        <v>5457600</v>
      </c>
      <c r="BB37" s="920">
        <f t="shared" si="113"/>
        <v>2534308.6000000015</v>
      </c>
      <c r="BC37" s="1427">
        <f>+BC86*BC$3*24*1000</f>
        <v>669600</v>
      </c>
      <c r="BD37" s="322">
        <v>228079.99999999884</v>
      </c>
      <c r="BE37" s="1505">
        <f t="shared" si="120"/>
        <v>1944000</v>
      </c>
      <c r="BF37" s="359">
        <f t="shared" si="121"/>
        <v>665008.6666666657</v>
      </c>
      <c r="BG37" s="921">
        <f t="shared" si="122"/>
        <v>3931200</v>
      </c>
      <c r="BH37" s="921">
        <f t="shared" si="123"/>
        <v>1354564.3333333326</v>
      </c>
      <c r="BI37" s="920">
        <f t="shared" si="114"/>
        <v>6127200</v>
      </c>
      <c r="BJ37" s="920">
        <f t="shared" si="115"/>
        <v>2762388.6000000006</v>
      </c>
      <c r="BK37" s="26"/>
      <c r="BL37" s="26"/>
      <c r="BM37" s="1219"/>
      <c r="BN37" s="1219"/>
    </row>
    <row r="38" spans="1:66" ht="14.45" x14ac:dyDescent="0.3">
      <c r="A38" s="274">
        <v>30</v>
      </c>
      <c r="B38" s="304" t="s">
        <v>739</v>
      </c>
      <c r="C38" s="13" t="s">
        <v>213</v>
      </c>
      <c r="D38" s="293">
        <v>339821.83539999893</v>
      </c>
      <c r="E38" s="294">
        <v>349899.85260000126</v>
      </c>
      <c r="G38" s="912" t="s">
        <v>772</v>
      </c>
      <c r="H38" s="894" t="s">
        <v>733</v>
      </c>
      <c r="I38" s="1426">
        <f>+I87*I$3*24*1000</f>
        <v>144000</v>
      </c>
      <c r="J38" s="322">
        <v>80866.880199999956</v>
      </c>
      <c r="K38" s="1426">
        <f>+K87*K$3*24*1000</f>
        <v>148800</v>
      </c>
      <c r="L38" s="322">
        <v>99623.124100000045</v>
      </c>
      <c r="M38" s="920">
        <f t="shared" si="3"/>
        <v>292800</v>
      </c>
      <c r="N38" s="920">
        <f t="shared" si="3"/>
        <v>180490.0043</v>
      </c>
      <c r="O38" s="1426">
        <f>+O87*O$3*24*1000</f>
        <v>144000</v>
      </c>
      <c r="P38" s="322">
        <v>84885.98000000004</v>
      </c>
      <c r="Q38" s="1504">
        <f t="shared" si="5"/>
        <v>436800</v>
      </c>
      <c r="R38" s="359">
        <f t="shared" si="6"/>
        <v>265375.98430000001</v>
      </c>
      <c r="S38" s="1426">
        <f>+S87*S$3*24*1000</f>
        <v>148800</v>
      </c>
      <c r="T38" s="322">
        <v>81425.221999999747</v>
      </c>
      <c r="U38" s="920">
        <f t="shared" si="98"/>
        <v>585600</v>
      </c>
      <c r="V38" s="920">
        <f t="shared" si="99"/>
        <v>346801.20629999973</v>
      </c>
      <c r="W38" s="1426">
        <f>+W87*W$3*24*1000</f>
        <v>148800</v>
      </c>
      <c r="X38" s="322">
        <v>98515.254000000044</v>
      </c>
      <c r="Y38" s="920">
        <f t="shared" si="100"/>
        <v>734400</v>
      </c>
      <c r="Z38" s="920">
        <f t="shared" si="101"/>
        <v>445316.4602999998</v>
      </c>
      <c r="AA38" s="1426">
        <f>+AA87*AA$3*24*1000</f>
        <v>144000</v>
      </c>
      <c r="AB38" s="322">
        <v>100176.22500000021</v>
      </c>
      <c r="AC38" s="1504">
        <f t="shared" si="116"/>
        <v>441600</v>
      </c>
      <c r="AD38" s="359">
        <f t="shared" si="117"/>
        <v>280116.701</v>
      </c>
      <c r="AE38" s="921">
        <f t="shared" si="102"/>
        <v>878400</v>
      </c>
      <c r="AF38" s="921">
        <f t="shared" si="103"/>
        <v>545492.68530000001</v>
      </c>
      <c r="AG38" s="1426">
        <f>+AG87*AG$3*24*1000</f>
        <v>372000</v>
      </c>
      <c r="AH38" s="322">
        <v>111641.62100000019</v>
      </c>
      <c r="AI38" s="920">
        <f t="shared" si="104"/>
        <v>1250400</v>
      </c>
      <c r="AJ38" s="920">
        <f t="shared" si="105"/>
        <v>657134.30630000017</v>
      </c>
      <c r="AK38" s="1426">
        <f>+AK87*AK$3*24*1000</f>
        <v>360000</v>
      </c>
      <c r="AL38" s="322">
        <v>89896.91999999994</v>
      </c>
      <c r="AM38" s="920">
        <f t="shared" si="106"/>
        <v>1610400</v>
      </c>
      <c r="AN38" s="920">
        <f t="shared" si="107"/>
        <v>747031.2263000001</v>
      </c>
      <c r="AO38" s="1426">
        <f>+AO87*AO$3*24*1000</f>
        <v>372000</v>
      </c>
      <c r="AP38" s="322">
        <v>86850.420000000115</v>
      </c>
      <c r="AQ38" s="1504">
        <f t="shared" si="118"/>
        <v>1104000</v>
      </c>
      <c r="AR38" s="359">
        <f t="shared" si="119"/>
        <v>288388.96100000024</v>
      </c>
      <c r="AS38" s="920">
        <f t="shared" si="108"/>
        <v>1982400</v>
      </c>
      <c r="AT38" s="920">
        <f t="shared" si="109"/>
        <v>833881.64630000025</v>
      </c>
      <c r="AU38" s="1426">
        <f>+AU87*AU$3*24*1000</f>
        <v>372000</v>
      </c>
      <c r="AV38" s="322">
        <v>93472.199999999677</v>
      </c>
      <c r="AW38" s="920">
        <f t="shared" si="110"/>
        <v>2354400</v>
      </c>
      <c r="AX38" s="920">
        <f t="shared" si="111"/>
        <v>927353.84629999998</v>
      </c>
      <c r="AY38" s="1426">
        <f>+AY87*AY$3*24*1000</f>
        <v>336000</v>
      </c>
      <c r="AZ38" s="322">
        <v>75728.09625000025</v>
      </c>
      <c r="BA38" s="920">
        <f t="shared" si="112"/>
        <v>2690400</v>
      </c>
      <c r="BB38" s="920">
        <f t="shared" si="113"/>
        <v>1003081.9425500003</v>
      </c>
      <c r="BC38" s="1426">
        <f>+BC87*BC$3*24*1000</f>
        <v>372000</v>
      </c>
      <c r="BD38" s="322">
        <v>70990.004149999993</v>
      </c>
      <c r="BE38" s="1504">
        <f t="shared" si="120"/>
        <v>1080000</v>
      </c>
      <c r="BF38" s="359">
        <f t="shared" si="121"/>
        <v>240190.30039999992</v>
      </c>
      <c r="BG38" s="921">
        <f t="shared" si="122"/>
        <v>2184000</v>
      </c>
      <c r="BH38" s="921">
        <f t="shared" si="123"/>
        <v>528579.26140000019</v>
      </c>
      <c r="BI38" s="920">
        <f t="shared" si="114"/>
        <v>3062400</v>
      </c>
      <c r="BJ38" s="920">
        <f t="shared" si="115"/>
        <v>1074071.9467000002</v>
      </c>
      <c r="BK38" s="26"/>
      <c r="BL38" s="26"/>
      <c r="BM38" s="1219"/>
      <c r="BN38" s="1219"/>
    </row>
    <row r="39" spans="1:66" ht="14.45" x14ac:dyDescent="0.3">
      <c r="A39" s="274"/>
      <c r="B39" s="304"/>
      <c r="C39" s="14"/>
      <c r="D39" s="293"/>
      <c r="E39" s="294"/>
      <c r="G39" s="912" t="s">
        <v>772</v>
      </c>
      <c r="H39" s="894" t="s">
        <v>734</v>
      </c>
      <c r="I39" s="1426">
        <f>+I88*I$3*24*1000</f>
        <v>108000</v>
      </c>
      <c r="J39" s="322">
        <v>65313.799999999421</v>
      </c>
      <c r="K39" s="1426">
        <f>+K88*K$3*24*1000</f>
        <v>111600</v>
      </c>
      <c r="L39" s="322">
        <v>136932.00000000061</v>
      </c>
      <c r="M39" s="920">
        <f t="shared" si="3"/>
        <v>219600</v>
      </c>
      <c r="N39" s="920">
        <f t="shared" si="3"/>
        <v>202245.80000000005</v>
      </c>
      <c r="O39" s="1426">
        <f>+O88*O$3*24*1000</f>
        <v>108000</v>
      </c>
      <c r="P39" s="322">
        <v>84477.799999999392</v>
      </c>
      <c r="Q39" s="1504">
        <f t="shared" si="5"/>
        <v>327600</v>
      </c>
      <c r="R39" s="359">
        <f t="shared" si="6"/>
        <v>286723.59999999945</v>
      </c>
      <c r="S39" s="1426">
        <f>+S88*S$3*24*1000</f>
        <v>111600</v>
      </c>
      <c r="T39" s="322">
        <v>90269.6</v>
      </c>
      <c r="U39" s="920">
        <f t="shared" si="98"/>
        <v>439200</v>
      </c>
      <c r="V39" s="920">
        <f t="shared" si="99"/>
        <v>376993.19999999949</v>
      </c>
      <c r="W39" s="1426">
        <f>+W88*W$3*24*1000</f>
        <v>111600</v>
      </c>
      <c r="X39" s="322">
        <v>65355.400000000503</v>
      </c>
      <c r="Y39" s="920">
        <f t="shared" si="100"/>
        <v>550800</v>
      </c>
      <c r="Z39" s="920">
        <f t="shared" si="101"/>
        <v>442348.6</v>
      </c>
      <c r="AA39" s="1426">
        <f>+AA88*AA$3*24*1000</f>
        <v>108000</v>
      </c>
      <c r="AB39" s="322">
        <v>94575.200000000012</v>
      </c>
      <c r="AC39" s="1504">
        <f t="shared" si="116"/>
        <v>331200</v>
      </c>
      <c r="AD39" s="359">
        <f t="shared" si="117"/>
        <v>250200.20000000054</v>
      </c>
      <c r="AE39" s="921">
        <f t="shared" si="102"/>
        <v>658800</v>
      </c>
      <c r="AF39" s="921">
        <f t="shared" si="103"/>
        <v>536923.80000000005</v>
      </c>
      <c r="AG39" s="1426">
        <f>+AG88*AG$3*24*1000</f>
        <v>111600</v>
      </c>
      <c r="AH39" s="322">
        <v>82129.400000000009</v>
      </c>
      <c r="AI39" s="920">
        <f t="shared" si="104"/>
        <v>770400</v>
      </c>
      <c r="AJ39" s="920">
        <f t="shared" si="105"/>
        <v>619053.20000000007</v>
      </c>
      <c r="AK39" s="1426">
        <f>+AK88*AK$3*24*1000</f>
        <v>108000</v>
      </c>
      <c r="AL39" s="322">
        <v>66610</v>
      </c>
      <c r="AM39" s="920">
        <f t="shared" si="106"/>
        <v>878400</v>
      </c>
      <c r="AN39" s="920">
        <f t="shared" si="107"/>
        <v>685663.20000000007</v>
      </c>
      <c r="AO39" s="1426">
        <f>+AO88*AO$3*24*1000</f>
        <v>111600</v>
      </c>
      <c r="AP39" s="322">
        <v>47030.80000000001</v>
      </c>
      <c r="AQ39" s="1504">
        <f t="shared" si="118"/>
        <v>331200</v>
      </c>
      <c r="AR39" s="359">
        <f t="shared" si="119"/>
        <v>195770.20000000004</v>
      </c>
      <c r="AS39" s="920">
        <f t="shared" si="108"/>
        <v>990000</v>
      </c>
      <c r="AT39" s="920">
        <f t="shared" si="109"/>
        <v>732694.00000000012</v>
      </c>
      <c r="AU39" s="1426">
        <f>+AU88*AU$3*24*1000</f>
        <v>111600</v>
      </c>
      <c r="AV39" s="322">
        <v>65738.799999999974</v>
      </c>
      <c r="AW39" s="920">
        <f t="shared" si="110"/>
        <v>1101600</v>
      </c>
      <c r="AX39" s="920">
        <f t="shared" si="111"/>
        <v>798432.8</v>
      </c>
      <c r="AY39" s="1426">
        <f>+AY88*AY$3*24*1000</f>
        <v>100800.00000000001</v>
      </c>
      <c r="AZ39" s="322">
        <v>64649.000000000597</v>
      </c>
      <c r="BA39" s="920">
        <f t="shared" si="112"/>
        <v>1202400</v>
      </c>
      <c r="BB39" s="920">
        <f t="shared" si="113"/>
        <v>863081.80000000063</v>
      </c>
      <c r="BC39" s="1426">
        <f>+BC88*BC$3*24*1000</f>
        <v>111600</v>
      </c>
      <c r="BD39" s="322">
        <v>79759.599999999424</v>
      </c>
      <c r="BE39" s="1504">
        <f t="shared" si="120"/>
        <v>324000</v>
      </c>
      <c r="BF39" s="359">
        <f t="shared" si="121"/>
        <v>210147.4</v>
      </c>
      <c r="BG39" s="921">
        <f t="shared" si="122"/>
        <v>655200</v>
      </c>
      <c r="BH39" s="921">
        <f t="shared" si="123"/>
        <v>405917.60000000003</v>
      </c>
      <c r="BI39" s="920">
        <f t="shared" si="114"/>
        <v>1314000</v>
      </c>
      <c r="BJ39" s="920">
        <f t="shared" si="115"/>
        <v>942841.4</v>
      </c>
      <c r="BK39" s="26"/>
      <c r="BL39" s="26"/>
      <c r="BM39" s="1219"/>
      <c r="BN39" s="1219"/>
    </row>
    <row r="40" spans="1:66" ht="16.149999999999999" thickBot="1" x14ac:dyDescent="0.35">
      <c r="A40" s="274">
        <v>31</v>
      </c>
      <c r="B40" s="292" t="s">
        <v>729</v>
      </c>
      <c r="C40" s="14" t="s">
        <v>213</v>
      </c>
      <c r="D40" s="293">
        <v>865772.19999999972</v>
      </c>
      <c r="E40" s="294">
        <v>777589.69999999867</v>
      </c>
      <c r="G40" s="923">
        <v>4.2</v>
      </c>
      <c r="H40" s="1422" t="s">
        <v>735</v>
      </c>
      <c r="I40" s="1429">
        <f>I41+I43</f>
        <v>9594000</v>
      </c>
      <c r="J40" s="325">
        <f>J41+J43</f>
        <v>8776258.0686666686</v>
      </c>
      <c r="K40" s="1429">
        <f>K41+K43</f>
        <v>9913800</v>
      </c>
      <c r="L40" s="325">
        <f>L41+L43</f>
        <v>9645230.6476666667</v>
      </c>
      <c r="M40" s="924">
        <f t="shared" si="3"/>
        <v>19507800</v>
      </c>
      <c r="N40" s="924">
        <f t="shared" si="3"/>
        <v>18421488.716333337</v>
      </c>
      <c r="O40" s="1429">
        <f>O41+O43</f>
        <v>9594000</v>
      </c>
      <c r="P40" s="325">
        <f>P41+P43</f>
        <v>9769671.2976666652</v>
      </c>
      <c r="Q40" s="1508">
        <f t="shared" si="5"/>
        <v>29101800</v>
      </c>
      <c r="R40" s="1509">
        <f t="shared" si="6"/>
        <v>28191160.014000002</v>
      </c>
      <c r="S40" s="1429">
        <f>S41+S43</f>
        <v>9913800</v>
      </c>
      <c r="T40" s="325">
        <f>T41+T43</f>
        <v>10045117.844333326</v>
      </c>
      <c r="U40" s="924">
        <f t="shared" si="98"/>
        <v>39015600</v>
      </c>
      <c r="V40" s="924">
        <f t="shared" si="99"/>
        <v>38236277.858333327</v>
      </c>
      <c r="W40" s="1429">
        <f>W41+W43</f>
        <v>9913800</v>
      </c>
      <c r="X40" s="325">
        <f>X41+X43</f>
        <v>9811612.7706666775</v>
      </c>
      <c r="Y40" s="924">
        <f t="shared" si="100"/>
        <v>48929400</v>
      </c>
      <c r="Z40" s="924">
        <f t="shared" si="101"/>
        <v>48047890.629000008</v>
      </c>
      <c r="AA40" s="1429">
        <f>AA41+AA43</f>
        <v>9594000</v>
      </c>
      <c r="AB40" s="325">
        <f>AB41+AB43</f>
        <v>9667734.524333328</v>
      </c>
      <c r="AC40" s="1508">
        <f t="shared" si="116"/>
        <v>29421600</v>
      </c>
      <c r="AD40" s="1509">
        <f t="shared" si="117"/>
        <v>29524465.13933333</v>
      </c>
      <c r="AE40" s="925">
        <f t="shared" si="102"/>
        <v>58523400</v>
      </c>
      <c r="AF40" s="925">
        <f t="shared" si="103"/>
        <v>57715625.153333336</v>
      </c>
      <c r="AG40" s="1429">
        <f>AG41+AG43</f>
        <v>9913800</v>
      </c>
      <c r="AH40" s="325">
        <f>AH41+AH43</f>
        <v>9172497.9693333302</v>
      </c>
      <c r="AI40" s="924">
        <f t="shared" si="104"/>
        <v>68437200</v>
      </c>
      <c r="AJ40" s="924">
        <f t="shared" si="105"/>
        <v>66888123.122666664</v>
      </c>
      <c r="AK40" s="1429">
        <f>AK41+AK43</f>
        <v>9594000</v>
      </c>
      <c r="AL40" s="325">
        <f>AL41+AL43</f>
        <v>5355097.320000004</v>
      </c>
      <c r="AM40" s="924">
        <f t="shared" si="106"/>
        <v>78031200</v>
      </c>
      <c r="AN40" s="924">
        <f t="shared" si="107"/>
        <v>72243220.442666665</v>
      </c>
      <c r="AO40" s="1429">
        <f>AO41+AO43</f>
        <v>9913800</v>
      </c>
      <c r="AP40" s="325">
        <f>AP41+AP43</f>
        <v>8208745.335</v>
      </c>
      <c r="AQ40" s="1508">
        <f t="shared" si="118"/>
        <v>29421600</v>
      </c>
      <c r="AR40" s="1509">
        <f t="shared" si="119"/>
        <v>22736340.624333333</v>
      </c>
      <c r="AS40" s="924">
        <f t="shared" si="108"/>
        <v>87945000</v>
      </c>
      <c r="AT40" s="924">
        <f t="shared" si="109"/>
        <v>80451965.777666658</v>
      </c>
      <c r="AU40" s="1429">
        <f>AU41+AU43</f>
        <v>9913800</v>
      </c>
      <c r="AV40" s="325">
        <f>AV41+AV43</f>
        <v>8509235.5166666619</v>
      </c>
      <c r="AW40" s="924">
        <f t="shared" si="110"/>
        <v>97858800</v>
      </c>
      <c r="AX40" s="924">
        <f t="shared" si="111"/>
        <v>88961201.294333324</v>
      </c>
      <c r="AY40" s="1429">
        <f>AY41+AY43</f>
        <v>8954400</v>
      </c>
      <c r="AZ40" s="325">
        <f>AZ41+AZ43</f>
        <v>7502740.1496666707</v>
      </c>
      <c r="BA40" s="924">
        <f t="shared" si="112"/>
        <v>106813200</v>
      </c>
      <c r="BB40" s="924">
        <f t="shared" si="113"/>
        <v>96463941.443999991</v>
      </c>
      <c r="BC40" s="1429">
        <f>BC41+BC43</f>
        <v>9913800</v>
      </c>
      <c r="BD40" s="325">
        <f>BD41+BD43</f>
        <v>8368258.8929999899</v>
      </c>
      <c r="BE40" s="1508">
        <f t="shared" si="120"/>
        <v>28782000</v>
      </c>
      <c r="BF40" s="1509">
        <f t="shared" si="121"/>
        <v>24380234.559333324</v>
      </c>
      <c r="BG40" s="918">
        <f>AQ40+BE40</f>
        <v>58203600</v>
      </c>
      <c r="BH40" s="918">
        <f>AR40+BF40</f>
        <v>47116575.183666661</v>
      </c>
      <c r="BI40" s="924">
        <f t="shared" si="114"/>
        <v>116727000</v>
      </c>
      <c r="BJ40" s="924">
        <f t="shared" si="115"/>
        <v>104832200.33699998</v>
      </c>
      <c r="BK40" s="26"/>
      <c r="BL40" s="26"/>
      <c r="BM40" s="1219"/>
      <c r="BN40" s="1219"/>
    </row>
    <row r="41" spans="1:66" ht="16.149999999999999" thickBot="1" x14ac:dyDescent="0.35">
      <c r="A41" s="274">
        <v>32</v>
      </c>
      <c r="B41" s="305" t="s">
        <v>773</v>
      </c>
      <c r="C41" s="15" t="s">
        <v>213</v>
      </c>
      <c r="D41" s="302">
        <f>SUM(D17:D40)</f>
        <v>88061714.192000017</v>
      </c>
      <c r="E41" s="303">
        <f>SUM(E17:E40)</f>
        <v>93510655.738999993</v>
      </c>
      <c r="G41" s="923" t="s">
        <v>774</v>
      </c>
      <c r="H41" s="1422" t="s">
        <v>736</v>
      </c>
      <c r="I41" s="1429">
        <f>I42</f>
        <v>5616000</v>
      </c>
      <c r="J41" s="325">
        <f>J42</f>
        <v>5306260</v>
      </c>
      <c r="K41" s="1429">
        <f>K42</f>
        <v>5803200</v>
      </c>
      <c r="L41" s="325">
        <f>L42</f>
        <v>5673200</v>
      </c>
      <c r="M41" s="924">
        <f t="shared" si="3"/>
        <v>11419200</v>
      </c>
      <c r="N41" s="924">
        <f t="shared" si="3"/>
        <v>10979460</v>
      </c>
      <c r="O41" s="1429">
        <f>O42</f>
        <v>5616000</v>
      </c>
      <c r="P41" s="325">
        <f>P42</f>
        <v>5923218</v>
      </c>
      <c r="Q41" s="1508">
        <f t="shared" si="5"/>
        <v>17035200</v>
      </c>
      <c r="R41" s="1509">
        <f t="shared" si="6"/>
        <v>16902678</v>
      </c>
      <c r="S41" s="1429">
        <f>S42</f>
        <v>5803200</v>
      </c>
      <c r="T41" s="325">
        <f>T42</f>
        <v>6233883.6999999993</v>
      </c>
      <c r="U41" s="924">
        <f t="shared" si="98"/>
        <v>22838400</v>
      </c>
      <c r="V41" s="924">
        <f t="shared" si="99"/>
        <v>23136561.699999999</v>
      </c>
      <c r="W41" s="1429">
        <f>W42</f>
        <v>5803200</v>
      </c>
      <c r="X41" s="325">
        <f>X42</f>
        <v>6099199.9999999991</v>
      </c>
      <c r="Y41" s="924">
        <f t="shared" si="100"/>
        <v>28641600</v>
      </c>
      <c r="Z41" s="924">
        <f t="shared" si="101"/>
        <v>29235761.699999999</v>
      </c>
      <c r="AA41" s="1429">
        <f>AA42</f>
        <v>5616000</v>
      </c>
      <c r="AB41" s="325">
        <f>AB42</f>
        <v>5917700</v>
      </c>
      <c r="AC41" s="1508">
        <f t="shared" si="116"/>
        <v>17222400</v>
      </c>
      <c r="AD41" s="1509">
        <f t="shared" si="117"/>
        <v>18250783.699999999</v>
      </c>
      <c r="AE41" s="925">
        <f t="shared" si="102"/>
        <v>34257600</v>
      </c>
      <c r="AF41" s="925">
        <f t="shared" si="103"/>
        <v>35153461.700000003</v>
      </c>
      <c r="AG41" s="1429">
        <f>AG42</f>
        <v>5803200</v>
      </c>
      <c r="AH41" s="325">
        <f>AH42</f>
        <v>5615695.5999999968</v>
      </c>
      <c r="AI41" s="924">
        <f t="shared" si="104"/>
        <v>40060800</v>
      </c>
      <c r="AJ41" s="924">
        <f t="shared" si="105"/>
        <v>40769157.299999997</v>
      </c>
      <c r="AK41" s="1429">
        <f>AK42</f>
        <v>5616000</v>
      </c>
      <c r="AL41" s="325">
        <f>AL42</f>
        <v>2590470</v>
      </c>
      <c r="AM41" s="924">
        <f t="shared" si="106"/>
        <v>45676800</v>
      </c>
      <c r="AN41" s="924">
        <f t="shared" si="107"/>
        <v>43359627.299999997</v>
      </c>
      <c r="AO41" s="1429">
        <f>AO42</f>
        <v>5803200</v>
      </c>
      <c r="AP41" s="325">
        <f>AP42</f>
        <v>5327990</v>
      </c>
      <c r="AQ41" s="1508">
        <f t="shared" si="118"/>
        <v>17222400</v>
      </c>
      <c r="AR41" s="1509">
        <f t="shared" si="119"/>
        <v>13534155.599999998</v>
      </c>
      <c r="AS41" s="924">
        <f t="shared" si="108"/>
        <v>51480000</v>
      </c>
      <c r="AT41" s="924">
        <f t="shared" si="109"/>
        <v>48687617.299999997</v>
      </c>
      <c r="AU41" s="1429">
        <f>AU42</f>
        <v>5803200</v>
      </c>
      <c r="AV41" s="325">
        <f>AV42</f>
        <v>5469900</v>
      </c>
      <c r="AW41" s="924">
        <f t="shared" si="110"/>
        <v>57283200</v>
      </c>
      <c r="AX41" s="924">
        <f t="shared" si="111"/>
        <v>54157517.299999997</v>
      </c>
      <c r="AY41" s="1429">
        <f>AY42</f>
        <v>5241600</v>
      </c>
      <c r="AZ41" s="325">
        <f>AZ42</f>
        <v>4909400</v>
      </c>
      <c r="BA41" s="924">
        <f t="shared" si="112"/>
        <v>62524800</v>
      </c>
      <c r="BB41" s="924">
        <f t="shared" si="113"/>
        <v>59066917.299999997</v>
      </c>
      <c r="BC41" s="1429">
        <f>BC42</f>
        <v>5803200</v>
      </c>
      <c r="BD41" s="325">
        <f>BD42</f>
        <v>5384537.2999999952</v>
      </c>
      <c r="BE41" s="1508">
        <f t="shared" si="120"/>
        <v>16848000</v>
      </c>
      <c r="BF41" s="1509">
        <f t="shared" si="121"/>
        <v>15763837.299999995</v>
      </c>
      <c r="BG41" s="918">
        <f>AQ41+BE41</f>
        <v>34070400</v>
      </c>
      <c r="BH41" s="918">
        <f>AR41+BF41</f>
        <v>29297992.899999991</v>
      </c>
      <c r="BI41" s="924">
        <f t="shared" si="114"/>
        <v>68328000</v>
      </c>
      <c r="BJ41" s="924">
        <f t="shared" si="115"/>
        <v>64451454.599999994</v>
      </c>
      <c r="BK41" s="26"/>
      <c r="BL41" s="26"/>
      <c r="BM41" s="1219"/>
      <c r="BN41" s="1219"/>
    </row>
    <row r="42" spans="1:66" thickBot="1" x14ac:dyDescent="0.35">
      <c r="E42" s="283"/>
      <c r="G42" s="912" t="s">
        <v>775</v>
      </c>
      <c r="H42" s="894" t="s">
        <v>737</v>
      </c>
      <c r="I42" s="1426">
        <f>+I91*I$3*24*1000</f>
        <v>5616000</v>
      </c>
      <c r="J42" s="322">
        <v>5306260</v>
      </c>
      <c r="K42" s="1426">
        <f>+K91*K$3*24*1000</f>
        <v>5803200</v>
      </c>
      <c r="L42" s="322">
        <v>5673200</v>
      </c>
      <c r="M42" s="920">
        <f t="shared" si="3"/>
        <v>11419200</v>
      </c>
      <c r="N42" s="920">
        <f t="shared" si="3"/>
        <v>10979460</v>
      </c>
      <c r="O42" s="1426">
        <f>+O91*O$3*24*1000</f>
        <v>5616000</v>
      </c>
      <c r="P42" s="322">
        <v>5923218</v>
      </c>
      <c r="Q42" s="1504">
        <f t="shared" si="5"/>
        <v>17035200</v>
      </c>
      <c r="R42" s="359">
        <f t="shared" si="6"/>
        <v>16902678</v>
      </c>
      <c r="S42" s="1426">
        <f>+S91*S$3*24*1000</f>
        <v>5803200</v>
      </c>
      <c r="T42" s="322">
        <v>6233883.6999999993</v>
      </c>
      <c r="U42" s="920">
        <f t="shared" si="98"/>
        <v>22838400</v>
      </c>
      <c r="V42" s="920">
        <f t="shared" si="99"/>
        <v>23136561.699999999</v>
      </c>
      <c r="W42" s="1426">
        <f>+W91*W$3*24*1000</f>
        <v>5803200</v>
      </c>
      <c r="X42" s="322">
        <v>6099199.9999999991</v>
      </c>
      <c r="Y42" s="920">
        <f t="shared" si="100"/>
        <v>28641600</v>
      </c>
      <c r="Z42" s="920">
        <f t="shared" si="101"/>
        <v>29235761.699999999</v>
      </c>
      <c r="AA42" s="1426">
        <f>+AA91*AA$3*24*1000</f>
        <v>5616000</v>
      </c>
      <c r="AB42" s="322">
        <v>5917700</v>
      </c>
      <c r="AC42" s="1504">
        <f t="shared" si="116"/>
        <v>17222400</v>
      </c>
      <c r="AD42" s="359">
        <f t="shared" si="117"/>
        <v>18250783.699999999</v>
      </c>
      <c r="AE42" s="921">
        <f t="shared" si="102"/>
        <v>34257600</v>
      </c>
      <c r="AF42" s="921">
        <f t="shared" si="103"/>
        <v>35153461.700000003</v>
      </c>
      <c r="AG42" s="1426">
        <f>+AG91*AG$3*24*1000</f>
        <v>5803200</v>
      </c>
      <c r="AH42" s="322">
        <v>5615695.5999999968</v>
      </c>
      <c r="AI42" s="920">
        <f t="shared" si="104"/>
        <v>40060800</v>
      </c>
      <c r="AJ42" s="920">
        <f t="shared" si="105"/>
        <v>40769157.299999997</v>
      </c>
      <c r="AK42" s="1426">
        <f>+AK91*AK$3*24*1000</f>
        <v>5616000</v>
      </c>
      <c r="AL42" s="322">
        <v>2590470</v>
      </c>
      <c r="AM42" s="920">
        <f t="shared" si="106"/>
        <v>45676800</v>
      </c>
      <c r="AN42" s="920">
        <f t="shared" si="107"/>
        <v>43359627.299999997</v>
      </c>
      <c r="AO42" s="1426">
        <f>+AO91*AO$3*24*1000</f>
        <v>5803200</v>
      </c>
      <c r="AP42" s="322">
        <v>5327990</v>
      </c>
      <c r="AQ42" s="1504">
        <f t="shared" si="118"/>
        <v>17222400</v>
      </c>
      <c r="AR42" s="359">
        <f t="shared" si="119"/>
        <v>13534155.599999998</v>
      </c>
      <c r="AS42" s="920">
        <f t="shared" si="108"/>
        <v>51480000</v>
      </c>
      <c r="AT42" s="920">
        <f t="shared" si="109"/>
        <v>48687617.299999997</v>
      </c>
      <c r="AU42" s="1426">
        <f>+AU91*AU$3*24*1000</f>
        <v>5803200</v>
      </c>
      <c r="AV42" s="322">
        <v>5469900</v>
      </c>
      <c r="AW42" s="920">
        <f t="shared" si="110"/>
        <v>57283200</v>
      </c>
      <c r="AX42" s="920">
        <f t="shared" si="111"/>
        <v>54157517.299999997</v>
      </c>
      <c r="AY42" s="1426">
        <f>+AY91*AY$3*24*1000</f>
        <v>5241600</v>
      </c>
      <c r="AZ42" s="322">
        <v>4909400</v>
      </c>
      <c r="BA42" s="920">
        <f t="shared" si="112"/>
        <v>62524800</v>
      </c>
      <c r="BB42" s="920">
        <f t="shared" si="113"/>
        <v>59066917.299999997</v>
      </c>
      <c r="BC42" s="1426">
        <f>+BC91*BC$3*24*1000</f>
        <v>5803200</v>
      </c>
      <c r="BD42" s="322">
        <v>5384537.2999999952</v>
      </c>
      <c r="BE42" s="1504">
        <f t="shared" si="120"/>
        <v>16848000</v>
      </c>
      <c r="BF42" s="359">
        <f t="shared" si="121"/>
        <v>15763837.299999995</v>
      </c>
      <c r="BG42" s="921">
        <f t="shared" ref="BG42" si="124">AQ42+BE42</f>
        <v>34070400</v>
      </c>
      <c r="BH42" s="921">
        <f t="shared" ref="BH42" si="125">AR42+BF42</f>
        <v>29297992.899999991</v>
      </c>
      <c r="BI42" s="920">
        <f t="shared" si="114"/>
        <v>68328000</v>
      </c>
      <c r="BJ42" s="920">
        <f t="shared" si="115"/>
        <v>64451454.599999994</v>
      </c>
      <c r="BK42" s="26"/>
      <c r="BL42" s="26"/>
      <c r="BM42" s="1219"/>
      <c r="BN42" s="1219"/>
    </row>
    <row r="43" spans="1:66" ht="21" thickBot="1" x14ac:dyDescent="0.35">
      <c r="A43" s="274">
        <v>33</v>
      </c>
      <c r="B43" s="306" t="s">
        <v>516</v>
      </c>
      <c r="C43" s="307" t="s">
        <v>213</v>
      </c>
      <c r="D43" s="308">
        <v>79406183.556600019</v>
      </c>
      <c r="E43" s="309">
        <v>84399504.886399984</v>
      </c>
      <c r="G43" s="923" t="s">
        <v>776</v>
      </c>
      <c r="H43" s="1422" t="s">
        <v>738</v>
      </c>
      <c r="I43" s="1429">
        <f>SUM(I44:I47)</f>
        <v>3978000</v>
      </c>
      <c r="J43" s="325">
        <f>SUM(J44:J47)</f>
        <v>3469998.0686666686</v>
      </c>
      <c r="K43" s="1429">
        <f>SUM(K44:K47)</f>
        <v>4110600</v>
      </c>
      <c r="L43" s="325">
        <f>SUM(L44:L47)</f>
        <v>3972030.6476666657</v>
      </c>
      <c r="M43" s="924">
        <f t="shared" si="3"/>
        <v>8088600</v>
      </c>
      <c r="N43" s="924">
        <f t="shared" si="3"/>
        <v>7442028.7163333343</v>
      </c>
      <c r="O43" s="1429">
        <f>SUM(O44:O47)</f>
        <v>3978000</v>
      </c>
      <c r="P43" s="325">
        <f>SUM(P44:P47)</f>
        <v>3846453.2976666647</v>
      </c>
      <c r="Q43" s="1508">
        <f t="shared" si="5"/>
        <v>12066600</v>
      </c>
      <c r="R43" s="1509">
        <f t="shared" si="6"/>
        <v>11288482.013999999</v>
      </c>
      <c r="S43" s="1429">
        <f>SUM(S44:S47)</f>
        <v>4110600</v>
      </c>
      <c r="T43" s="325">
        <f>SUM(T44:T47)</f>
        <v>3811234.1443333272</v>
      </c>
      <c r="U43" s="924">
        <f t="shared" si="98"/>
        <v>16177200</v>
      </c>
      <c r="V43" s="924">
        <f t="shared" si="99"/>
        <v>15099716.158333326</v>
      </c>
      <c r="W43" s="1429">
        <f>SUM(W44:W47)</f>
        <v>4110600</v>
      </c>
      <c r="X43" s="325">
        <f>SUM(X44:X47)</f>
        <v>3712412.770666678</v>
      </c>
      <c r="Y43" s="924">
        <f t="shared" si="100"/>
        <v>20287800</v>
      </c>
      <c r="Z43" s="924">
        <f t="shared" si="101"/>
        <v>18812128.929000005</v>
      </c>
      <c r="AA43" s="1429">
        <f>SUM(AA44:AA47)</f>
        <v>3978000</v>
      </c>
      <c r="AB43" s="325">
        <f>SUM(AB44:AB47)</f>
        <v>3750034.5243333285</v>
      </c>
      <c r="AC43" s="1508">
        <f>S43+W43+AA43</f>
        <v>12199200</v>
      </c>
      <c r="AD43" s="1509">
        <f>T43+X43+AB43</f>
        <v>11273681.439333333</v>
      </c>
      <c r="AE43" s="925">
        <f t="shared" si="102"/>
        <v>24265800</v>
      </c>
      <c r="AF43" s="925">
        <f t="shared" si="103"/>
        <v>22562163.453333333</v>
      </c>
      <c r="AG43" s="1429">
        <f>SUM(AG44:AG47)</f>
        <v>4110600</v>
      </c>
      <c r="AH43" s="325">
        <f>SUM(AH44:AH47)</f>
        <v>3556802.3693333338</v>
      </c>
      <c r="AI43" s="924">
        <f t="shared" si="104"/>
        <v>28376400</v>
      </c>
      <c r="AJ43" s="924">
        <f t="shared" si="105"/>
        <v>26118965.822666667</v>
      </c>
      <c r="AK43" s="1429">
        <f>SUM(AK44:AK47)</f>
        <v>3978000</v>
      </c>
      <c r="AL43" s="325">
        <f>SUM(AL44:AL47)</f>
        <v>2764627.320000004</v>
      </c>
      <c r="AM43" s="924">
        <f t="shared" si="106"/>
        <v>32354400</v>
      </c>
      <c r="AN43" s="924">
        <f t="shared" si="107"/>
        <v>28883593.142666671</v>
      </c>
      <c r="AO43" s="1429">
        <f>SUM(AO44:AO47)</f>
        <v>4110600</v>
      </c>
      <c r="AP43" s="325">
        <f>SUM(AP44:AP47)</f>
        <v>2880755.335</v>
      </c>
      <c r="AQ43" s="1508">
        <f>AG43+AK43+AO43</f>
        <v>12199200</v>
      </c>
      <c r="AR43" s="1509">
        <f>AH43+AL43+AP43</f>
        <v>9202185.0243333392</v>
      </c>
      <c r="AS43" s="924">
        <f t="shared" si="108"/>
        <v>36465000</v>
      </c>
      <c r="AT43" s="924">
        <f t="shared" si="109"/>
        <v>31764348.477666672</v>
      </c>
      <c r="AU43" s="1429">
        <f>SUM(AU44:AU47)</f>
        <v>4110600</v>
      </c>
      <c r="AV43" s="325">
        <f>SUM(AV44:AV47)</f>
        <v>3039335.5166666629</v>
      </c>
      <c r="AW43" s="924">
        <f t="shared" si="110"/>
        <v>40575600</v>
      </c>
      <c r="AX43" s="924">
        <f t="shared" si="111"/>
        <v>34803683.994333334</v>
      </c>
      <c r="AY43" s="1429">
        <f>SUM(AY44:AY47)</f>
        <v>3712800</v>
      </c>
      <c r="AZ43" s="325">
        <f>SUM(AZ44:AZ47)</f>
        <v>2593340.1496666712</v>
      </c>
      <c r="BA43" s="924">
        <f t="shared" si="112"/>
        <v>44288400</v>
      </c>
      <c r="BB43" s="924">
        <f t="shared" si="113"/>
        <v>37397024.144000009</v>
      </c>
      <c r="BC43" s="1429">
        <f>SUM(BC44:BC47)</f>
        <v>4110600</v>
      </c>
      <c r="BD43" s="325">
        <f>SUM(BD44:BD47)</f>
        <v>2983721.5929999952</v>
      </c>
      <c r="BE43" s="1508">
        <f>AU43+AY43+BC43</f>
        <v>11934000</v>
      </c>
      <c r="BF43" s="1509">
        <f>AV43+AZ43+BD43</f>
        <v>8616397.2593333293</v>
      </c>
      <c r="BG43" s="918">
        <f>AQ43+BE43</f>
        <v>24133200</v>
      </c>
      <c r="BH43" s="918">
        <f>AR43+BF43</f>
        <v>17818582.28366667</v>
      </c>
      <c r="BI43" s="924">
        <f t="shared" si="114"/>
        <v>48399000</v>
      </c>
      <c r="BJ43" s="924">
        <f t="shared" si="115"/>
        <v>40380745.737000003</v>
      </c>
      <c r="BK43" s="26"/>
      <c r="BL43" s="26"/>
      <c r="BM43" s="1219"/>
      <c r="BN43" s="1219"/>
    </row>
    <row r="44" spans="1:66" ht="15.6" x14ac:dyDescent="0.3">
      <c r="A44" s="310"/>
      <c r="B44" s="311"/>
      <c r="C44" s="312"/>
      <c r="D44" s="313"/>
      <c r="E44" s="313"/>
      <c r="G44" s="912" t="s">
        <v>777</v>
      </c>
      <c r="H44" s="894" t="s">
        <v>739</v>
      </c>
      <c r="I44" s="1426">
        <f>+I93*I$3*24*1000</f>
        <v>378000</v>
      </c>
      <c r="J44" s="322">
        <v>404383.69366666616</v>
      </c>
      <c r="K44" s="1426">
        <f>+K93*K$3*24*1000</f>
        <v>390600</v>
      </c>
      <c r="L44" s="322">
        <v>404082.82566666568</v>
      </c>
      <c r="M44" s="920">
        <f t="shared" si="3"/>
        <v>768600</v>
      </c>
      <c r="N44" s="920">
        <f t="shared" si="3"/>
        <v>808466.51933333185</v>
      </c>
      <c r="O44" s="1426">
        <f>+O93*O$3*24*1000</f>
        <v>378000</v>
      </c>
      <c r="P44" s="322">
        <v>402563.794666667</v>
      </c>
      <c r="Q44" s="1504">
        <f t="shared" si="5"/>
        <v>1146600</v>
      </c>
      <c r="R44" s="359">
        <f t="shared" si="6"/>
        <v>1211030.3139999988</v>
      </c>
      <c r="S44" s="1426">
        <f>+S93*S$3*24*1000</f>
        <v>390600</v>
      </c>
      <c r="T44" s="322">
        <v>402847.5843333333</v>
      </c>
      <c r="U44" s="920">
        <f t="shared" si="98"/>
        <v>1537200</v>
      </c>
      <c r="V44" s="920">
        <f t="shared" si="99"/>
        <v>1613877.898333332</v>
      </c>
      <c r="W44" s="1426">
        <f>+W93*W$3*24*1000</f>
        <v>390600</v>
      </c>
      <c r="X44" s="322">
        <v>413019.89566666796</v>
      </c>
      <c r="Y44" s="920">
        <f t="shared" si="100"/>
        <v>1927800</v>
      </c>
      <c r="Z44" s="920">
        <f t="shared" si="101"/>
        <v>2026897.794</v>
      </c>
      <c r="AA44" s="1426">
        <f>+AA93*AA$3*24*1000</f>
        <v>378000</v>
      </c>
      <c r="AB44" s="322">
        <v>416110.33433333371</v>
      </c>
      <c r="AC44" s="1504">
        <f t="shared" si="116"/>
        <v>1159200</v>
      </c>
      <c r="AD44" s="359">
        <f t="shared" si="117"/>
        <v>1231977.814333335</v>
      </c>
      <c r="AE44" s="921">
        <f t="shared" si="102"/>
        <v>2305800</v>
      </c>
      <c r="AF44" s="921">
        <f t="shared" si="103"/>
        <v>2443008.1283333339</v>
      </c>
      <c r="AG44" s="1426">
        <f>+AG93*AG$3*24*1000</f>
        <v>390600</v>
      </c>
      <c r="AH44" s="322">
        <v>385244.60333333397</v>
      </c>
      <c r="AI44" s="920">
        <f t="shared" si="104"/>
        <v>2696400</v>
      </c>
      <c r="AJ44" s="920">
        <f t="shared" si="105"/>
        <v>2828252.7316666679</v>
      </c>
      <c r="AK44" s="1426">
        <f>+AK93*AK$3*24*1000</f>
        <v>378000</v>
      </c>
      <c r="AL44" s="322">
        <v>289926.28599999903</v>
      </c>
      <c r="AM44" s="920">
        <f t="shared" si="106"/>
        <v>3074400</v>
      </c>
      <c r="AN44" s="920">
        <f t="shared" si="107"/>
        <v>3118179.0176666668</v>
      </c>
      <c r="AO44" s="1426">
        <f>+AO93*AO$3*24*1000</f>
        <v>390600</v>
      </c>
      <c r="AP44" s="322">
        <v>282349.88300000079</v>
      </c>
      <c r="AQ44" s="1504">
        <f t="shared" ref="AQ44:AQ47" si="126">AG44+AK44+AO44</f>
        <v>1159200</v>
      </c>
      <c r="AR44" s="359">
        <f t="shared" ref="AR44:AR47" si="127">AH44+AL44+AP44</f>
        <v>957520.77233333373</v>
      </c>
      <c r="AS44" s="920">
        <f t="shared" si="108"/>
        <v>3465000</v>
      </c>
      <c r="AT44" s="920">
        <f t="shared" si="109"/>
        <v>3400528.9006666676</v>
      </c>
      <c r="AU44" s="1426">
        <f>+AU93*AU$3*24*1000</f>
        <v>390600</v>
      </c>
      <c r="AV44" s="322">
        <v>280396.27366666647</v>
      </c>
      <c r="AW44" s="920">
        <f t="shared" si="110"/>
        <v>3855600</v>
      </c>
      <c r="AX44" s="920">
        <f t="shared" si="111"/>
        <v>3680925.174333334</v>
      </c>
      <c r="AY44" s="1426">
        <f>+AY93*AY$3*24*1000</f>
        <v>352800</v>
      </c>
      <c r="AZ44" s="322">
        <v>266982.69666666561</v>
      </c>
      <c r="BA44" s="920">
        <f t="shared" si="112"/>
        <v>4208400</v>
      </c>
      <c r="BB44" s="920">
        <f t="shared" si="113"/>
        <v>3947907.8709999993</v>
      </c>
      <c r="BC44" s="1426">
        <f>+BC93*BC$3*24*1000</f>
        <v>390600</v>
      </c>
      <c r="BD44" s="322">
        <v>341322.72500000091</v>
      </c>
      <c r="BE44" s="1504">
        <f t="shared" ref="BE44:BE47" si="128">AU44+AY44+BC44</f>
        <v>1134000</v>
      </c>
      <c r="BF44" s="359">
        <f t="shared" ref="BF44:BF47" si="129">AV44+AZ44+BD44</f>
        <v>888701.69533333299</v>
      </c>
      <c r="BG44" s="921">
        <f t="shared" ref="BG44:BG47" si="130">AQ44+BE44</f>
        <v>2293200</v>
      </c>
      <c r="BH44" s="921">
        <f t="shared" ref="BH44:BH47" si="131">AR44+BF44</f>
        <v>1846222.4676666667</v>
      </c>
      <c r="BI44" s="920">
        <f t="shared" si="114"/>
        <v>4599000</v>
      </c>
      <c r="BJ44" s="920">
        <f t="shared" si="115"/>
        <v>4289230.5959999999</v>
      </c>
      <c r="BK44" s="26"/>
      <c r="BL44" s="26"/>
      <c r="BM44" s="1219"/>
      <c r="BN44" s="1219"/>
    </row>
    <row r="45" spans="1:66" ht="15.6" x14ac:dyDescent="0.3">
      <c r="A45" s="310"/>
      <c r="B45" s="311"/>
      <c r="C45" s="312"/>
      <c r="D45" s="313"/>
      <c r="E45" s="313"/>
      <c r="G45" s="912" t="s">
        <v>778</v>
      </c>
      <c r="H45" s="894" t="s">
        <v>740</v>
      </c>
      <c r="I45" s="1426">
        <f>+I94*I$3*24*1000</f>
        <v>2520000</v>
      </c>
      <c r="J45" s="322">
        <v>2351553.1750000045</v>
      </c>
      <c r="K45" s="1426">
        <f>+K94*K$3*24*1000</f>
        <v>2604000</v>
      </c>
      <c r="L45" s="322">
        <v>2617396.8219999978</v>
      </c>
      <c r="M45" s="920">
        <f t="shared" si="3"/>
        <v>5124000</v>
      </c>
      <c r="N45" s="920">
        <f t="shared" si="3"/>
        <v>4968949.9970000023</v>
      </c>
      <c r="O45" s="1426">
        <f>+O94*O$3*24*1000</f>
        <v>2520000</v>
      </c>
      <c r="P45" s="322">
        <v>2694212.3030000003</v>
      </c>
      <c r="Q45" s="1504">
        <f t="shared" si="5"/>
        <v>7644000</v>
      </c>
      <c r="R45" s="359">
        <f t="shared" si="6"/>
        <v>7663162.3000000026</v>
      </c>
      <c r="S45" s="1426">
        <f>+S94*S$3*24*1000</f>
        <v>2604000</v>
      </c>
      <c r="T45" s="322">
        <v>2665378.1599999946</v>
      </c>
      <c r="U45" s="920">
        <f t="shared" si="98"/>
        <v>10248000</v>
      </c>
      <c r="V45" s="920">
        <f t="shared" si="99"/>
        <v>10328540.459999997</v>
      </c>
      <c r="W45" s="1426">
        <f>+W94*W$3*24*1000</f>
        <v>2604000</v>
      </c>
      <c r="X45" s="322">
        <v>2643462.2750000074</v>
      </c>
      <c r="Y45" s="920">
        <f t="shared" si="100"/>
        <v>12852000</v>
      </c>
      <c r="Z45" s="920">
        <f t="shared" si="101"/>
        <v>12972002.735000005</v>
      </c>
      <c r="AA45" s="1426">
        <f>+AA94*AA$3*24*1000</f>
        <v>2520000</v>
      </c>
      <c r="AB45" s="322">
        <v>2547984.389999995</v>
      </c>
      <c r="AC45" s="1504">
        <f t="shared" si="116"/>
        <v>7728000</v>
      </c>
      <c r="AD45" s="359">
        <f t="shared" si="117"/>
        <v>7856824.8249999974</v>
      </c>
      <c r="AE45" s="921">
        <f t="shared" si="102"/>
        <v>15372000</v>
      </c>
      <c r="AF45" s="921">
        <f t="shared" si="103"/>
        <v>15519987.125</v>
      </c>
      <c r="AG45" s="1426">
        <f>+AG94*AG$3*24*1000</f>
        <v>2604000</v>
      </c>
      <c r="AH45" s="322">
        <v>2444192.1659999997</v>
      </c>
      <c r="AI45" s="920">
        <f t="shared" si="104"/>
        <v>17976000</v>
      </c>
      <c r="AJ45" s="920">
        <f t="shared" si="105"/>
        <v>17964179.291000001</v>
      </c>
      <c r="AK45" s="1426">
        <f>+AK94*AK$3*24*1000</f>
        <v>2520000</v>
      </c>
      <c r="AL45" s="322">
        <v>1779318.0340000051</v>
      </c>
      <c r="AM45" s="920">
        <f t="shared" si="106"/>
        <v>20496000</v>
      </c>
      <c r="AN45" s="920">
        <f t="shared" si="107"/>
        <v>19743497.325000007</v>
      </c>
      <c r="AO45" s="1426">
        <f>+AO94*AO$3*24*1000</f>
        <v>2604000</v>
      </c>
      <c r="AP45" s="322">
        <v>1953406.2519999989</v>
      </c>
      <c r="AQ45" s="1504">
        <f t="shared" si="126"/>
        <v>7728000</v>
      </c>
      <c r="AR45" s="359">
        <f t="shared" si="127"/>
        <v>6176916.4520000033</v>
      </c>
      <c r="AS45" s="920">
        <f t="shared" si="108"/>
        <v>23100000</v>
      </c>
      <c r="AT45" s="920">
        <f t="shared" si="109"/>
        <v>21696903.577000007</v>
      </c>
      <c r="AU45" s="1426">
        <f>+AU94*AU$3*24*1000</f>
        <v>2604000</v>
      </c>
      <c r="AV45" s="322">
        <v>2067091.0429999973</v>
      </c>
      <c r="AW45" s="920">
        <f t="shared" si="110"/>
        <v>25704000</v>
      </c>
      <c r="AX45" s="920">
        <f t="shared" si="111"/>
        <v>23763994.620000005</v>
      </c>
      <c r="AY45" s="1426">
        <f>+AY94*AY$3*24*1000</f>
        <v>2352000</v>
      </c>
      <c r="AZ45" s="322">
        <v>1588087.4530000032</v>
      </c>
      <c r="BA45" s="920">
        <f t="shared" si="112"/>
        <v>28056000</v>
      </c>
      <c r="BB45" s="920">
        <f t="shared" si="113"/>
        <v>25352082.073000006</v>
      </c>
      <c r="BC45" s="1426">
        <f>+BC94*BC$3*24*1000</f>
        <v>2604000</v>
      </c>
      <c r="BD45" s="322">
        <v>1901224.4679999964</v>
      </c>
      <c r="BE45" s="1504">
        <f t="shared" si="128"/>
        <v>7560000</v>
      </c>
      <c r="BF45" s="359">
        <f t="shared" si="129"/>
        <v>5556402.9639999969</v>
      </c>
      <c r="BG45" s="921">
        <f t="shared" si="130"/>
        <v>15288000</v>
      </c>
      <c r="BH45" s="921">
        <f t="shared" si="131"/>
        <v>11733319.416000001</v>
      </c>
      <c r="BI45" s="920">
        <f t="shared" si="114"/>
        <v>30660000</v>
      </c>
      <c r="BJ45" s="920">
        <f t="shared" si="115"/>
        <v>27253306.541000001</v>
      </c>
      <c r="BK45" s="26"/>
      <c r="BL45" s="26"/>
      <c r="BM45" s="1219"/>
      <c r="BN45" s="1219"/>
    </row>
    <row r="46" spans="1:66" ht="22.5" x14ac:dyDescent="0.3">
      <c r="A46" s="310"/>
      <c r="B46" s="17" t="s">
        <v>499</v>
      </c>
      <c r="C46" s="314"/>
      <c r="D46" s="313"/>
      <c r="E46" s="313"/>
      <c r="G46" s="912" t="s">
        <v>779</v>
      </c>
      <c r="H46" s="894" t="s">
        <v>741</v>
      </c>
      <c r="I46" s="1426">
        <f>+I95*I$3*24*1000</f>
        <v>432000</v>
      </c>
      <c r="J46" s="322">
        <v>261255.19999999768</v>
      </c>
      <c r="K46" s="1426">
        <f>+K95*K$3*24*1000</f>
        <v>446400</v>
      </c>
      <c r="L46" s="322">
        <v>547728.00000000244</v>
      </c>
      <c r="M46" s="920">
        <f t="shared" si="3"/>
        <v>878400</v>
      </c>
      <c r="N46" s="920">
        <f t="shared" si="3"/>
        <v>808983.20000000019</v>
      </c>
      <c r="O46" s="1426">
        <f>+O95*O$3*24*1000</f>
        <v>432000</v>
      </c>
      <c r="P46" s="322">
        <v>337911.19999999757</v>
      </c>
      <c r="Q46" s="1504">
        <f t="shared" si="5"/>
        <v>1310400</v>
      </c>
      <c r="R46" s="359">
        <f t="shared" si="6"/>
        <v>1146894.3999999978</v>
      </c>
      <c r="S46" s="1426">
        <f>+S95*S$3*24*1000</f>
        <v>446400</v>
      </c>
      <c r="T46" s="322">
        <v>361078.4</v>
      </c>
      <c r="U46" s="920">
        <f t="shared" si="98"/>
        <v>1756800</v>
      </c>
      <c r="V46" s="920">
        <f t="shared" si="99"/>
        <v>1507972.799999998</v>
      </c>
      <c r="W46" s="1426">
        <f>+W95*W$3*24*1000</f>
        <v>446400</v>
      </c>
      <c r="X46" s="322">
        <v>261421.60000000201</v>
      </c>
      <c r="Y46" s="920">
        <f t="shared" si="100"/>
        <v>2203200</v>
      </c>
      <c r="Z46" s="920">
        <f t="shared" si="101"/>
        <v>1769394.4</v>
      </c>
      <c r="AA46" s="1426">
        <f>+AA95*AA$3*24*1000</f>
        <v>432000</v>
      </c>
      <c r="AB46" s="322">
        <v>378300.80000000005</v>
      </c>
      <c r="AC46" s="1504">
        <f t="shared" si="116"/>
        <v>1324800</v>
      </c>
      <c r="AD46" s="359">
        <f t="shared" si="117"/>
        <v>1000800.8000000021</v>
      </c>
      <c r="AE46" s="921">
        <f t="shared" si="102"/>
        <v>2635200</v>
      </c>
      <c r="AF46" s="921">
        <f t="shared" si="103"/>
        <v>2147695.2000000002</v>
      </c>
      <c r="AG46" s="1426">
        <f>+AG95*AG$3*24*1000</f>
        <v>446400</v>
      </c>
      <c r="AH46" s="322">
        <v>328517.60000000003</v>
      </c>
      <c r="AI46" s="920">
        <f t="shared" si="104"/>
        <v>3081600</v>
      </c>
      <c r="AJ46" s="920">
        <f t="shared" si="105"/>
        <v>2476212.8000000003</v>
      </c>
      <c r="AK46" s="1426">
        <f>+AK95*AK$3*24*1000</f>
        <v>432000</v>
      </c>
      <c r="AL46" s="322">
        <v>266440</v>
      </c>
      <c r="AM46" s="920">
        <f t="shared" si="106"/>
        <v>3513600</v>
      </c>
      <c r="AN46" s="920">
        <f t="shared" si="107"/>
        <v>2742652.8000000003</v>
      </c>
      <c r="AO46" s="1426">
        <f>+AO95*AO$3*24*1000</f>
        <v>446400</v>
      </c>
      <c r="AP46" s="322">
        <v>188123.20000000004</v>
      </c>
      <c r="AQ46" s="1504">
        <f t="shared" si="126"/>
        <v>1324800</v>
      </c>
      <c r="AR46" s="359">
        <f t="shared" si="127"/>
        <v>783080.80000000016</v>
      </c>
      <c r="AS46" s="920">
        <f t="shared" si="108"/>
        <v>3960000</v>
      </c>
      <c r="AT46" s="920">
        <f t="shared" si="109"/>
        <v>2930776.0000000005</v>
      </c>
      <c r="AU46" s="1426">
        <f>+AU95*AU$3*24*1000</f>
        <v>446400</v>
      </c>
      <c r="AV46" s="322">
        <v>262955.1999999999</v>
      </c>
      <c r="AW46" s="920">
        <f t="shared" si="110"/>
        <v>4406400</v>
      </c>
      <c r="AX46" s="920">
        <f t="shared" si="111"/>
        <v>3193731.2</v>
      </c>
      <c r="AY46" s="1426">
        <f>+AY95*AY$3*24*1000</f>
        <v>403200.00000000006</v>
      </c>
      <c r="AZ46" s="322">
        <v>258596.00000000239</v>
      </c>
      <c r="BA46" s="920">
        <f t="shared" si="112"/>
        <v>4809600</v>
      </c>
      <c r="BB46" s="920">
        <f t="shared" si="113"/>
        <v>3452327.2000000025</v>
      </c>
      <c r="BC46" s="1426">
        <f>+BC95*BC$3*24*1000</f>
        <v>446400</v>
      </c>
      <c r="BD46" s="322">
        <v>319038.39999999769</v>
      </c>
      <c r="BE46" s="1504">
        <f t="shared" si="128"/>
        <v>1296000</v>
      </c>
      <c r="BF46" s="359">
        <f t="shared" si="129"/>
        <v>840589.6</v>
      </c>
      <c r="BG46" s="921">
        <f t="shared" si="130"/>
        <v>2620800</v>
      </c>
      <c r="BH46" s="921">
        <f t="shared" si="131"/>
        <v>1623670.4000000001</v>
      </c>
      <c r="BI46" s="920">
        <f t="shared" si="114"/>
        <v>5256000</v>
      </c>
      <c r="BJ46" s="920">
        <f t="shared" si="115"/>
        <v>3771365.6</v>
      </c>
      <c r="BK46" s="26"/>
      <c r="BL46" s="26"/>
      <c r="BM46" s="1219"/>
      <c r="BN46" s="1219"/>
    </row>
    <row r="47" spans="1:66" ht="15.75" thickBot="1" x14ac:dyDescent="0.3">
      <c r="B47" s="4"/>
      <c r="C47" s="282"/>
      <c r="E47" s="283"/>
      <c r="G47" s="926" t="s">
        <v>780</v>
      </c>
      <c r="H47" s="1423" t="s">
        <v>742</v>
      </c>
      <c r="I47" s="1431">
        <f>+I96*I$3*24*1000</f>
        <v>648000</v>
      </c>
      <c r="J47" s="326">
        <v>452806</v>
      </c>
      <c r="K47" s="1431">
        <f>+K96*K$3*24*1000</f>
        <v>669600</v>
      </c>
      <c r="L47" s="326">
        <v>402823</v>
      </c>
      <c r="M47" s="928">
        <f t="shared" si="3"/>
        <v>1317600</v>
      </c>
      <c r="N47" s="928">
        <f t="shared" si="3"/>
        <v>855629</v>
      </c>
      <c r="O47" s="1431">
        <f>+O96*O$3*24*1000</f>
        <v>648000</v>
      </c>
      <c r="P47" s="326">
        <v>411765.99999999988</v>
      </c>
      <c r="Q47" s="1510">
        <f t="shared" si="5"/>
        <v>1965600</v>
      </c>
      <c r="R47" s="1511">
        <f t="shared" si="6"/>
        <v>1267395</v>
      </c>
      <c r="S47" s="1431">
        <f>+S96*S$3*24*1000</f>
        <v>669600</v>
      </c>
      <c r="T47" s="326">
        <v>381929.9999999993</v>
      </c>
      <c r="U47" s="928">
        <f t="shared" si="98"/>
        <v>2635200</v>
      </c>
      <c r="V47" s="928">
        <f t="shared" si="99"/>
        <v>1649324.9999999993</v>
      </c>
      <c r="W47" s="1431">
        <f>+W96*W$3*24*1000</f>
        <v>669600</v>
      </c>
      <c r="X47" s="326">
        <v>394509.00000000087</v>
      </c>
      <c r="Y47" s="928">
        <f t="shared" si="100"/>
        <v>3304800</v>
      </c>
      <c r="Z47" s="928">
        <f t="shared" si="101"/>
        <v>2043834.0000000002</v>
      </c>
      <c r="AA47" s="1431">
        <f>+AA96*AA$3*24*1000</f>
        <v>648000</v>
      </c>
      <c r="AB47" s="326">
        <v>407638.99999999953</v>
      </c>
      <c r="AC47" s="1510">
        <f t="shared" si="116"/>
        <v>1987200</v>
      </c>
      <c r="AD47" s="1511">
        <f t="shared" si="117"/>
        <v>1184077.9999999998</v>
      </c>
      <c r="AE47" s="929">
        <f t="shared" si="102"/>
        <v>3952800</v>
      </c>
      <c r="AF47" s="929">
        <f t="shared" si="103"/>
        <v>2451473</v>
      </c>
      <c r="AG47" s="1431">
        <f>+AG96*AG$3*24*1000</f>
        <v>669600</v>
      </c>
      <c r="AH47" s="326">
        <v>398848</v>
      </c>
      <c r="AI47" s="928">
        <f t="shared" si="104"/>
        <v>4622400</v>
      </c>
      <c r="AJ47" s="928">
        <f t="shared" si="105"/>
        <v>2850321</v>
      </c>
      <c r="AK47" s="1431">
        <f>+AK96*AK$3*24*1000</f>
        <v>648000</v>
      </c>
      <c r="AL47" s="326">
        <v>428942.99999999977</v>
      </c>
      <c r="AM47" s="928">
        <f t="shared" si="106"/>
        <v>5270400</v>
      </c>
      <c r="AN47" s="928">
        <f t="shared" si="107"/>
        <v>3279264</v>
      </c>
      <c r="AO47" s="1431">
        <f>+AO96*AO$3*24*1000</f>
        <v>669600</v>
      </c>
      <c r="AP47" s="326">
        <v>456876.00000000023</v>
      </c>
      <c r="AQ47" s="1510">
        <f t="shared" si="126"/>
        <v>1987200</v>
      </c>
      <c r="AR47" s="1511">
        <f t="shared" si="127"/>
        <v>1284667</v>
      </c>
      <c r="AS47" s="928">
        <f t="shared" si="108"/>
        <v>5940000</v>
      </c>
      <c r="AT47" s="928">
        <f t="shared" si="109"/>
        <v>3736140</v>
      </c>
      <c r="AU47" s="1431">
        <f>+AU96*AU$3*24*1000</f>
        <v>669600</v>
      </c>
      <c r="AV47" s="326">
        <v>428892.99999999959</v>
      </c>
      <c r="AW47" s="928">
        <f t="shared" si="110"/>
        <v>6609600</v>
      </c>
      <c r="AX47" s="928">
        <f t="shared" si="111"/>
        <v>4165032.9999999995</v>
      </c>
      <c r="AY47" s="1431">
        <f>+AY96*AY$3*24*1000</f>
        <v>604800</v>
      </c>
      <c r="AZ47" s="326">
        <v>479674.00000000012</v>
      </c>
      <c r="BA47" s="928">
        <f t="shared" si="112"/>
        <v>7214400</v>
      </c>
      <c r="BB47" s="928">
        <f t="shared" si="113"/>
        <v>4644707</v>
      </c>
      <c r="BC47" s="1431">
        <f>+BC96*BC$3*24*1000</f>
        <v>669600</v>
      </c>
      <c r="BD47" s="326">
        <v>422136.00000000058</v>
      </c>
      <c r="BE47" s="1510">
        <f t="shared" si="128"/>
        <v>1944000</v>
      </c>
      <c r="BF47" s="1511">
        <f t="shared" si="129"/>
        <v>1330703.0000000005</v>
      </c>
      <c r="BG47" s="921">
        <f t="shared" si="130"/>
        <v>3931200</v>
      </c>
      <c r="BH47" s="921">
        <f t="shared" si="131"/>
        <v>2615370.0000000005</v>
      </c>
      <c r="BI47" s="928">
        <f t="shared" si="114"/>
        <v>7884000</v>
      </c>
      <c r="BJ47" s="928">
        <f t="shared" si="115"/>
        <v>5066843.0000000009</v>
      </c>
      <c r="BK47" s="26"/>
      <c r="BL47" s="26"/>
      <c r="BM47" s="1219"/>
      <c r="BN47" s="1219"/>
    </row>
    <row r="48" spans="1:66" ht="15.75" thickBot="1" x14ac:dyDescent="0.3">
      <c r="B48" s="4"/>
      <c r="C48" s="282"/>
      <c r="E48" s="283"/>
      <c r="G48" s="908"/>
      <c r="H48" s="93"/>
      <c r="I48" s="280"/>
      <c r="J48" s="2762"/>
      <c r="K48" s="280"/>
      <c r="L48" s="2762"/>
      <c r="M48" s="5414"/>
      <c r="N48" s="5414"/>
      <c r="O48" s="280"/>
      <c r="P48" s="2762"/>
      <c r="Q48" s="4953"/>
      <c r="R48" s="4954"/>
      <c r="S48" s="280"/>
      <c r="T48" s="2762"/>
      <c r="U48" s="4952"/>
      <c r="V48" s="4952"/>
      <c r="W48" s="280"/>
      <c r="X48" s="2762"/>
      <c r="Y48" s="4952"/>
      <c r="Z48" s="4952"/>
      <c r="AA48" s="280"/>
      <c r="AB48" s="2762"/>
      <c r="AC48" s="4953"/>
      <c r="AD48" s="4954"/>
      <c r="AE48" s="4955"/>
      <c r="AF48" s="4955"/>
      <c r="AG48" s="280"/>
      <c r="AH48" s="2762"/>
      <c r="AI48" s="4952"/>
      <c r="AJ48" s="4952"/>
      <c r="AK48" s="280"/>
      <c r="AL48" s="2762"/>
      <c r="AM48" s="4952"/>
      <c r="AN48" s="4952"/>
      <c r="AO48" s="280"/>
      <c r="AP48" s="2762"/>
      <c r="AQ48" s="4953"/>
      <c r="AR48" s="4954"/>
      <c r="AS48" s="4952"/>
      <c r="AT48" s="4952"/>
      <c r="AU48" s="280"/>
      <c r="AV48" s="2762"/>
      <c r="AW48" s="4952"/>
      <c r="AX48" s="4952"/>
      <c r="AY48" s="280"/>
      <c r="AZ48" s="2762"/>
      <c r="BA48" s="4952"/>
      <c r="BB48" s="4952"/>
      <c r="BC48" s="280"/>
      <c r="BD48" s="2762"/>
      <c r="BE48" s="4953"/>
      <c r="BF48" s="4954"/>
      <c r="BG48" s="4955"/>
      <c r="BH48" s="4955"/>
      <c r="BI48" s="4952"/>
      <c r="BJ48" s="4952"/>
      <c r="BK48" s="26"/>
      <c r="BL48" s="1546"/>
      <c r="BM48" s="1219"/>
      <c r="BN48" s="1219"/>
    </row>
    <row r="49" spans="1:66" s="149" customFormat="1" ht="22.5" x14ac:dyDescent="0.25">
      <c r="A49" s="338"/>
      <c r="B49" s="339" t="s">
        <v>135</v>
      </c>
      <c r="C49" s="6220" t="s">
        <v>172</v>
      </c>
      <c r="D49" s="340"/>
      <c r="E49" s="340"/>
      <c r="G49" s="930"/>
      <c r="H49" s="154"/>
      <c r="I49" s="4907">
        <f t="shared" ref="I49:AN49" si="132">+I16-I17</f>
        <v>0</v>
      </c>
      <c r="J49" s="4907">
        <f t="shared" si="132"/>
        <v>0</v>
      </c>
      <c r="K49" s="4907">
        <f t="shared" ref="K49:L49" si="133">+K16-K17</f>
        <v>0</v>
      </c>
      <c r="L49" s="4907">
        <f t="shared" si="133"/>
        <v>0</v>
      </c>
      <c r="M49" s="4907">
        <f t="shared" si="132"/>
        <v>0</v>
      </c>
      <c r="N49" s="4907">
        <f t="shared" si="132"/>
        <v>0</v>
      </c>
      <c r="O49" s="4907">
        <f t="shared" si="132"/>
        <v>0</v>
      </c>
      <c r="P49" s="4907">
        <f t="shared" si="132"/>
        <v>0</v>
      </c>
      <c r="Q49" s="4907">
        <f t="shared" si="132"/>
        <v>0</v>
      </c>
      <c r="R49" s="4907">
        <f t="shared" si="132"/>
        <v>0</v>
      </c>
      <c r="S49" s="4907">
        <f t="shared" ref="S49:T49" si="134">+S16-S17</f>
        <v>0</v>
      </c>
      <c r="T49" s="4907">
        <f t="shared" si="134"/>
        <v>0</v>
      </c>
      <c r="U49" s="4907">
        <f t="shared" si="132"/>
        <v>0</v>
      </c>
      <c r="V49" s="4907">
        <f t="shared" si="132"/>
        <v>0</v>
      </c>
      <c r="W49" s="4907">
        <f t="shared" si="132"/>
        <v>0</v>
      </c>
      <c r="X49" s="4907">
        <f t="shared" si="132"/>
        <v>0</v>
      </c>
      <c r="Y49" s="4907">
        <f t="shared" si="132"/>
        <v>0</v>
      </c>
      <c r="Z49" s="4907">
        <f t="shared" si="132"/>
        <v>0</v>
      </c>
      <c r="AA49" s="4907">
        <f t="shared" ref="AA49:AB49" si="135">+AA16-AA17</f>
        <v>0</v>
      </c>
      <c r="AB49" s="4907">
        <f t="shared" si="135"/>
        <v>0</v>
      </c>
      <c r="AC49" s="4907">
        <f t="shared" si="132"/>
        <v>0</v>
      </c>
      <c r="AD49" s="4907">
        <f t="shared" si="132"/>
        <v>0</v>
      </c>
      <c r="AE49" s="4907">
        <f t="shared" si="132"/>
        <v>0</v>
      </c>
      <c r="AF49" s="4907">
        <f t="shared" si="132"/>
        <v>0</v>
      </c>
      <c r="AG49" s="4907">
        <f t="shared" si="132"/>
        <v>0</v>
      </c>
      <c r="AH49" s="4907">
        <f t="shared" si="132"/>
        <v>0</v>
      </c>
      <c r="AI49" s="4907">
        <f t="shared" si="132"/>
        <v>0</v>
      </c>
      <c r="AJ49" s="4907">
        <f t="shared" si="132"/>
        <v>0</v>
      </c>
      <c r="AK49" s="4907">
        <f t="shared" si="132"/>
        <v>0</v>
      </c>
      <c r="AL49" s="4907">
        <f t="shared" si="132"/>
        <v>0</v>
      </c>
      <c r="AM49" s="4907">
        <f t="shared" si="132"/>
        <v>0</v>
      </c>
      <c r="AN49" s="4907">
        <f t="shared" si="132"/>
        <v>0</v>
      </c>
      <c r="AO49" s="4907">
        <f t="shared" ref="AO49:BJ49" si="136">+AO16-AO17</f>
        <v>0</v>
      </c>
      <c r="AP49" s="4907">
        <f t="shared" si="136"/>
        <v>0</v>
      </c>
      <c r="AQ49" s="4907">
        <f t="shared" si="136"/>
        <v>0</v>
      </c>
      <c r="AR49" s="4907">
        <f t="shared" si="136"/>
        <v>0</v>
      </c>
      <c r="AS49" s="4907">
        <f t="shared" si="136"/>
        <v>0</v>
      </c>
      <c r="AT49" s="4907">
        <f t="shared" si="136"/>
        <v>0</v>
      </c>
      <c r="AU49" s="4907">
        <f t="shared" si="136"/>
        <v>0</v>
      </c>
      <c r="AV49" s="4907">
        <f t="shared" si="136"/>
        <v>0</v>
      </c>
      <c r="AW49" s="4907">
        <f t="shared" si="136"/>
        <v>0</v>
      </c>
      <c r="AX49" s="4907">
        <f t="shared" si="136"/>
        <v>0</v>
      </c>
      <c r="AY49" s="4907">
        <f t="shared" si="136"/>
        <v>0</v>
      </c>
      <c r="AZ49" s="4907">
        <f t="shared" si="136"/>
        <v>0</v>
      </c>
      <c r="BA49" s="4907">
        <f t="shared" si="136"/>
        <v>0</v>
      </c>
      <c r="BB49" s="4907">
        <f t="shared" si="136"/>
        <v>0</v>
      </c>
      <c r="BC49" s="4907">
        <f t="shared" si="136"/>
        <v>0</v>
      </c>
      <c r="BD49" s="4907">
        <f t="shared" si="136"/>
        <v>0</v>
      </c>
      <c r="BE49" s="4907">
        <f t="shared" si="136"/>
        <v>0</v>
      </c>
      <c r="BF49" s="4907">
        <f t="shared" si="136"/>
        <v>0</v>
      </c>
      <c r="BG49" s="4907">
        <f t="shared" si="136"/>
        <v>0</v>
      </c>
      <c r="BH49" s="4907">
        <f t="shared" si="136"/>
        <v>0</v>
      </c>
      <c r="BI49" s="4907">
        <f t="shared" si="136"/>
        <v>0</v>
      </c>
      <c r="BJ49" s="4907">
        <f t="shared" si="136"/>
        <v>0</v>
      </c>
      <c r="BK49" s="1219"/>
      <c r="BL49" s="1546"/>
      <c r="BM49" s="1219"/>
      <c r="BN49" s="1219"/>
    </row>
    <row r="50" spans="1:66" s="149" customFormat="1" ht="23.25" thickBot="1" x14ac:dyDescent="0.35">
      <c r="A50" s="338"/>
      <c r="B50" s="341" t="s">
        <v>414</v>
      </c>
      <c r="C50" s="6221"/>
      <c r="D50" s="342" t="s">
        <v>174</v>
      </c>
      <c r="E50" s="342" t="s">
        <v>174</v>
      </c>
      <c r="G50" s="930"/>
      <c r="H50" s="793" t="s">
        <v>499</v>
      </c>
      <c r="I50" s="337"/>
      <c r="K50" s="337"/>
      <c r="M50" s="154"/>
      <c r="N50" s="154"/>
      <c r="O50" s="337"/>
      <c r="Q50" s="154"/>
      <c r="R50" s="154"/>
      <c r="S50" s="337"/>
      <c r="U50" s="154"/>
      <c r="V50" s="154"/>
      <c r="W50" s="337"/>
      <c r="Y50" s="154"/>
      <c r="Z50" s="154"/>
      <c r="AA50" s="337"/>
      <c r="AC50" s="154"/>
      <c r="AD50" s="154"/>
      <c r="AE50" s="154"/>
      <c r="AF50" s="154"/>
      <c r="AG50" s="4683"/>
      <c r="AH50" s="4683"/>
      <c r="AI50" s="154"/>
      <c r="AJ50" s="154"/>
      <c r="AK50" s="337"/>
      <c r="AM50" s="154"/>
      <c r="AN50" s="154"/>
      <c r="AO50" s="337"/>
      <c r="AQ50" s="154"/>
      <c r="AR50" s="154"/>
      <c r="AS50" s="154"/>
      <c r="AT50" s="154"/>
      <c r="AU50" s="337"/>
      <c r="AW50" s="154"/>
      <c r="AX50" s="154"/>
      <c r="AY50" s="337"/>
      <c r="BA50" s="154"/>
      <c r="BB50" s="154"/>
      <c r="BC50" s="337"/>
      <c r="BE50" s="154"/>
      <c r="BF50" s="154"/>
      <c r="BG50" s="154"/>
      <c r="BH50" s="154"/>
      <c r="BI50" s="154"/>
      <c r="BJ50" s="154"/>
      <c r="BK50" s="1219"/>
      <c r="BL50" s="1219"/>
      <c r="BM50" s="1219"/>
      <c r="BN50" s="1219"/>
    </row>
    <row r="51" spans="1:66" s="149" customFormat="1" x14ac:dyDescent="0.25">
      <c r="A51" s="343"/>
      <c r="B51" s="344" t="s">
        <v>482</v>
      </c>
      <c r="C51" s="260" t="s">
        <v>381</v>
      </c>
      <c r="D51" s="345">
        <f t="shared" ref="D51:E56" si="137">+((D6/1000)/D$3)/24</f>
        <v>0</v>
      </c>
      <c r="E51" s="345">
        <f t="shared" si="137"/>
        <v>0</v>
      </c>
      <c r="G51" s="930"/>
      <c r="H51" s="527"/>
      <c r="I51" s="337"/>
      <c r="K51" s="337"/>
      <c r="M51" s="154"/>
      <c r="N51" s="154"/>
      <c r="O51" s="337"/>
      <c r="Q51" s="154"/>
      <c r="R51" s="154"/>
      <c r="S51" s="337"/>
      <c r="U51" s="154"/>
      <c r="V51" s="154"/>
      <c r="W51" s="337"/>
      <c r="Y51" s="154"/>
      <c r="Z51" s="154"/>
      <c r="AA51" s="337"/>
      <c r="AC51" s="154"/>
      <c r="AD51" s="154"/>
      <c r="AE51" s="154"/>
      <c r="AF51" s="154"/>
      <c r="AG51" s="337"/>
      <c r="AI51" s="154"/>
      <c r="AJ51" s="154"/>
      <c r="AK51" s="337"/>
      <c r="AM51" s="154"/>
      <c r="AN51" s="154"/>
      <c r="AO51" s="337"/>
      <c r="AQ51" s="154"/>
      <c r="AR51" s="154"/>
      <c r="AS51" s="154"/>
      <c r="AT51" s="154"/>
      <c r="AU51" s="337"/>
      <c r="AW51" s="154"/>
      <c r="AX51" s="154"/>
      <c r="AY51" s="337"/>
      <c r="BA51" s="154"/>
      <c r="BB51" s="154"/>
      <c r="BC51" s="337"/>
      <c r="BE51" s="154"/>
      <c r="BF51" s="154"/>
      <c r="BG51" s="154"/>
      <c r="BH51" s="154"/>
      <c r="BI51" s="154"/>
      <c r="BJ51" s="154"/>
      <c r="BK51" s="1219"/>
      <c r="BL51" s="1219"/>
      <c r="BM51" s="1219"/>
      <c r="BN51" s="1219"/>
    </row>
    <row r="52" spans="1:66" s="149" customFormat="1" ht="15.75" thickBot="1" x14ac:dyDescent="0.3">
      <c r="A52" s="346"/>
      <c r="B52" s="183" t="s">
        <v>587</v>
      </c>
      <c r="C52" s="230" t="s">
        <v>381</v>
      </c>
      <c r="D52" s="345">
        <f t="shared" si="137"/>
        <v>40.681249999999956</v>
      </c>
      <c r="E52" s="345">
        <f t="shared" si="137"/>
        <v>38.99260752688172</v>
      </c>
      <c r="G52" s="930"/>
      <c r="H52" s="527"/>
      <c r="I52" s="361">
        <f t="shared" ref="I52:AN52" si="138">+I3</f>
        <v>30</v>
      </c>
      <c r="J52" s="361">
        <f t="shared" si="138"/>
        <v>30</v>
      </c>
      <c r="K52" s="361">
        <f t="shared" ref="K52:L52" si="139">+K3</f>
        <v>31</v>
      </c>
      <c r="L52" s="361">
        <f t="shared" si="139"/>
        <v>31</v>
      </c>
      <c r="M52" s="361">
        <f t="shared" si="138"/>
        <v>61</v>
      </c>
      <c r="N52" s="361">
        <f t="shared" si="138"/>
        <v>61</v>
      </c>
      <c r="O52" s="361">
        <f t="shared" si="138"/>
        <v>30</v>
      </c>
      <c r="P52" s="361">
        <f t="shared" si="138"/>
        <v>30</v>
      </c>
      <c r="Q52" s="361">
        <f t="shared" si="138"/>
        <v>91</v>
      </c>
      <c r="R52" s="361">
        <f t="shared" si="138"/>
        <v>91</v>
      </c>
      <c r="S52" s="361">
        <f t="shared" ref="S52:T52" si="140">+S3</f>
        <v>31</v>
      </c>
      <c r="T52" s="361">
        <f t="shared" si="140"/>
        <v>31</v>
      </c>
      <c r="U52" s="361">
        <f t="shared" si="138"/>
        <v>122</v>
      </c>
      <c r="V52" s="361">
        <f t="shared" si="138"/>
        <v>122</v>
      </c>
      <c r="W52" s="361">
        <f t="shared" si="138"/>
        <v>31</v>
      </c>
      <c r="X52" s="361">
        <f t="shared" si="138"/>
        <v>31</v>
      </c>
      <c r="Y52" s="361">
        <f t="shared" si="138"/>
        <v>153</v>
      </c>
      <c r="Z52" s="361">
        <f t="shared" si="138"/>
        <v>153</v>
      </c>
      <c r="AA52" s="361">
        <f t="shared" ref="AA52:AB52" si="141">+AA3</f>
        <v>30</v>
      </c>
      <c r="AB52" s="361">
        <f t="shared" si="141"/>
        <v>30</v>
      </c>
      <c r="AC52" s="361">
        <f t="shared" si="138"/>
        <v>92</v>
      </c>
      <c r="AD52" s="361">
        <f t="shared" si="138"/>
        <v>92</v>
      </c>
      <c r="AE52" s="361">
        <f t="shared" si="138"/>
        <v>183</v>
      </c>
      <c r="AF52" s="361">
        <f t="shared" si="138"/>
        <v>183</v>
      </c>
      <c r="AG52" s="361">
        <f t="shared" si="138"/>
        <v>31</v>
      </c>
      <c r="AH52" s="361">
        <f t="shared" si="138"/>
        <v>31</v>
      </c>
      <c r="AI52" s="361">
        <f t="shared" si="138"/>
        <v>214</v>
      </c>
      <c r="AJ52" s="361">
        <f t="shared" si="138"/>
        <v>214</v>
      </c>
      <c r="AK52" s="361">
        <f t="shared" si="138"/>
        <v>30</v>
      </c>
      <c r="AL52" s="361">
        <f t="shared" si="138"/>
        <v>30</v>
      </c>
      <c r="AM52" s="361">
        <f t="shared" si="138"/>
        <v>244</v>
      </c>
      <c r="AN52" s="361">
        <f t="shared" si="138"/>
        <v>244</v>
      </c>
      <c r="AO52" s="361">
        <f t="shared" ref="AO52:BJ52" si="142">+AO3</f>
        <v>31</v>
      </c>
      <c r="AP52" s="361">
        <f t="shared" si="142"/>
        <v>31</v>
      </c>
      <c r="AQ52" s="361">
        <f t="shared" si="142"/>
        <v>92</v>
      </c>
      <c r="AR52" s="361">
        <f t="shared" si="142"/>
        <v>92</v>
      </c>
      <c r="AS52" s="361">
        <f t="shared" si="142"/>
        <v>275</v>
      </c>
      <c r="AT52" s="361">
        <f t="shared" si="142"/>
        <v>275</v>
      </c>
      <c r="AU52" s="361">
        <f t="shared" si="142"/>
        <v>31</v>
      </c>
      <c r="AV52" s="361">
        <f t="shared" si="142"/>
        <v>31</v>
      </c>
      <c r="AW52" s="361">
        <f t="shared" si="142"/>
        <v>306</v>
      </c>
      <c r="AX52" s="361">
        <f t="shared" si="142"/>
        <v>306</v>
      </c>
      <c r="AY52" s="361">
        <f t="shared" si="142"/>
        <v>28</v>
      </c>
      <c r="AZ52" s="361">
        <f t="shared" si="142"/>
        <v>28</v>
      </c>
      <c r="BA52" s="361">
        <f t="shared" si="142"/>
        <v>334</v>
      </c>
      <c r="BB52" s="361">
        <f t="shared" si="142"/>
        <v>334</v>
      </c>
      <c r="BC52" s="361">
        <f t="shared" si="142"/>
        <v>31</v>
      </c>
      <c r="BD52" s="361">
        <f t="shared" si="142"/>
        <v>31</v>
      </c>
      <c r="BE52" s="361">
        <f t="shared" si="142"/>
        <v>90</v>
      </c>
      <c r="BF52" s="361">
        <f t="shared" si="142"/>
        <v>90</v>
      </c>
      <c r="BG52" s="361">
        <f t="shared" si="142"/>
        <v>182</v>
      </c>
      <c r="BH52" s="361">
        <f t="shared" si="142"/>
        <v>182</v>
      </c>
      <c r="BI52" s="361">
        <f t="shared" si="142"/>
        <v>365</v>
      </c>
      <c r="BJ52" s="361">
        <f t="shared" si="142"/>
        <v>365</v>
      </c>
      <c r="BK52" s="1219"/>
      <c r="BL52" s="1219"/>
      <c r="BM52" s="1219"/>
      <c r="BN52" s="1219"/>
    </row>
    <row r="53" spans="1:66" ht="22.5" x14ac:dyDescent="0.25">
      <c r="A53" s="65"/>
      <c r="B53" s="183" t="s">
        <v>483</v>
      </c>
      <c r="C53" s="13" t="s">
        <v>381</v>
      </c>
      <c r="D53" s="315">
        <f t="shared" si="137"/>
        <v>4.3569444444444443</v>
      </c>
      <c r="E53" s="315">
        <f t="shared" si="137"/>
        <v>1.0295698924731183</v>
      </c>
      <c r="G53" s="910"/>
      <c r="H53" s="911" t="s">
        <v>135</v>
      </c>
      <c r="I53" s="6206" t="str">
        <f>+I4</f>
        <v>Apr'25</v>
      </c>
      <c r="J53" s="6207"/>
      <c r="K53" s="6206" t="str">
        <f>+K4</f>
        <v>May'25</v>
      </c>
      <c r="L53" s="6207"/>
      <c r="M53" s="6208" t="s">
        <v>14</v>
      </c>
      <c r="N53" s="6209"/>
      <c r="O53" s="6206" t="str">
        <f>+O4</f>
        <v>Jun'25</v>
      </c>
      <c r="P53" s="6207"/>
      <c r="Q53" s="6214" t="str">
        <f>+Q4</f>
        <v>QTR 1</v>
      </c>
      <c r="R53" s="6215"/>
      <c r="S53" s="6206" t="str">
        <f>+S4</f>
        <v>Jul'25</v>
      </c>
      <c r="T53" s="6207"/>
      <c r="U53" s="6208" t="s">
        <v>17</v>
      </c>
      <c r="V53" s="6209"/>
      <c r="W53" s="6206" t="str">
        <f>+W4</f>
        <v>Aug'25</v>
      </c>
      <c r="X53" s="6207"/>
      <c r="Y53" s="6208" t="s">
        <v>17</v>
      </c>
      <c r="Z53" s="6209"/>
      <c r="AA53" s="6206" t="str">
        <f>+AA4</f>
        <v>Sep'25</v>
      </c>
      <c r="AB53" s="6207"/>
      <c r="AC53" s="6214" t="str">
        <f>+AC4</f>
        <v>QTR 2</v>
      </c>
      <c r="AD53" s="6215"/>
      <c r="AE53" s="6216" t="s">
        <v>657</v>
      </c>
      <c r="AF53" s="6217"/>
      <c r="AG53" s="6206" t="str">
        <f>+AG4</f>
        <v>Oct'24</v>
      </c>
      <c r="AH53" s="6207"/>
      <c r="AI53" s="6208" t="s">
        <v>24</v>
      </c>
      <c r="AJ53" s="6209"/>
      <c r="AK53" s="6206" t="str">
        <f>+AK4</f>
        <v>Nov'24</v>
      </c>
      <c r="AL53" s="6207"/>
      <c r="AM53" s="6208" t="str">
        <f>+AM4</f>
        <v>8M</v>
      </c>
      <c r="AN53" s="6209"/>
      <c r="AO53" s="6206" t="str">
        <f>+AO4</f>
        <v>Dec'24</v>
      </c>
      <c r="AP53" s="6207"/>
      <c r="AQ53" s="6214" t="str">
        <f>+AQ4</f>
        <v>QTR 3</v>
      </c>
      <c r="AR53" s="6215"/>
      <c r="AS53" s="6208" t="s">
        <v>27</v>
      </c>
      <c r="AT53" s="6209"/>
      <c r="AU53" s="6206" t="str">
        <f>+AU4</f>
        <v>Jan'25</v>
      </c>
      <c r="AV53" s="6207"/>
      <c r="AW53" s="6208" t="s">
        <v>27</v>
      </c>
      <c r="AX53" s="6209"/>
      <c r="AY53" s="6206" t="str">
        <f>+AY4</f>
        <v>Feb'25</v>
      </c>
      <c r="AZ53" s="6207"/>
      <c r="BA53" s="6208" t="s">
        <v>27</v>
      </c>
      <c r="BB53" s="6209"/>
      <c r="BC53" s="6206" t="str">
        <f>+BC4</f>
        <v>Mar'25</v>
      </c>
      <c r="BD53" s="6207"/>
      <c r="BE53" s="6214" t="str">
        <f>+BE4</f>
        <v>QTR 4</v>
      </c>
      <c r="BF53" s="6215"/>
      <c r="BG53" s="6216" t="s">
        <v>657</v>
      </c>
      <c r="BH53" s="6217"/>
      <c r="BI53" s="6208" t="str">
        <f>+BI4</f>
        <v>2024-25</v>
      </c>
      <c r="BJ53" s="6209"/>
      <c r="BK53" s="1219"/>
      <c r="BL53" s="1219"/>
      <c r="BM53" s="1219"/>
      <c r="BN53" s="1219"/>
    </row>
    <row r="54" spans="1:66" x14ac:dyDescent="0.25">
      <c r="A54" s="281"/>
      <c r="B54" s="183" t="s">
        <v>484</v>
      </c>
      <c r="C54" s="13" t="s">
        <v>381</v>
      </c>
      <c r="D54" s="315">
        <f t="shared" si="137"/>
        <v>78.336111111111109</v>
      </c>
      <c r="E54" s="315">
        <f t="shared" si="137"/>
        <v>87.782258064516142</v>
      </c>
      <c r="G54" s="912"/>
      <c r="H54" s="271"/>
      <c r="I54" s="548" t="s">
        <v>173</v>
      </c>
      <c r="J54" s="5" t="s">
        <v>174</v>
      </c>
      <c r="K54" s="548" t="s">
        <v>173</v>
      </c>
      <c r="L54" s="5" t="s">
        <v>174</v>
      </c>
      <c r="M54" s="707" t="s">
        <v>173</v>
      </c>
      <c r="N54" s="913" t="s">
        <v>174</v>
      </c>
      <c r="O54" s="548" t="s">
        <v>173</v>
      </c>
      <c r="P54" s="5" t="s">
        <v>174</v>
      </c>
      <c r="Q54" s="708" t="s">
        <v>173</v>
      </c>
      <c r="R54" s="914" t="s">
        <v>174</v>
      </c>
      <c r="S54" s="548" t="s">
        <v>173</v>
      </c>
      <c r="T54" s="5" t="s">
        <v>174</v>
      </c>
      <c r="U54" s="707" t="s">
        <v>173</v>
      </c>
      <c r="V54" s="913" t="s">
        <v>174</v>
      </c>
      <c r="W54" s="548" t="s">
        <v>173</v>
      </c>
      <c r="X54" s="5" t="s">
        <v>174</v>
      </c>
      <c r="Y54" s="707" t="s">
        <v>173</v>
      </c>
      <c r="Z54" s="913" t="s">
        <v>174</v>
      </c>
      <c r="AA54" s="548" t="s">
        <v>173</v>
      </c>
      <c r="AB54" s="5" t="s">
        <v>174</v>
      </c>
      <c r="AC54" s="708" t="s">
        <v>173</v>
      </c>
      <c r="AD54" s="914" t="s">
        <v>174</v>
      </c>
      <c r="AE54" s="800" t="s">
        <v>173</v>
      </c>
      <c r="AF54" s="802" t="s">
        <v>174</v>
      </c>
      <c r="AG54" s="548" t="s">
        <v>173</v>
      </c>
      <c r="AH54" s="5" t="s">
        <v>174</v>
      </c>
      <c r="AI54" s="707" t="s">
        <v>173</v>
      </c>
      <c r="AJ54" s="913" t="s">
        <v>174</v>
      </c>
      <c r="AK54" s="548" t="s">
        <v>173</v>
      </c>
      <c r="AL54" s="5" t="s">
        <v>174</v>
      </c>
      <c r="AM54" s="707" t="s">
        <v>173</v>
      </c>
      <c r="AN54" s="913" t="s">
        <v>174</v>
      </c>
      <c r="AO54" s="548" t="s">
        <v>173</v>
      </c>
      <c r="AP54" s="5" t="s">
        <v>174</v>
      </c>
      <c r="AQ54" s="708" t="s">
        <v>173</v>
      </c>
      <c r="AR54" s="914" t="s">
        <v>174</v>
      </c>
      <c r="AS54" s="707" t="s">
        <v>173</v>
      </c>
      <c r="AT54" s="913" t="s">
        <v>174</v>
      </c>
      <c r="AU54" s="1552" t="s">
        <v>173</v>
      </c>
      <c r="AV54" s="5" t="s">
        <v>174</v>
      </c>
      <c r="AW54" s="707" t="s">
        <v>173</v>
      </c>
      <c r="AX54" s="913" t="s">
        <v>174</v>
      </c>
      <c r="AY54" s="1552" t="s">
        <v>173</v>
      </c>
      <c r="AZ54" s="5" t="s">
        <v>174</v>
      </c>
      <c r="BA54" s="707" t="s">
        <v>173</v>
      </c>
      <c r="BB54" s="913" t="s">
        <v>174</v>
      </c>
      <c r="BC54" s="1552" t="s">
        <v>173</v>
      </c>
      <c r="BD54" s="5" t="s">
        <v>174</v>
      </c>
      <c r="BE54" s="708" t="s">
        <v>173</v>
      </c>
      <c r="BF54" s="914" t="s">
        <v>174</v>
      </c>
      <c r="BG54" s="800" t="s">
        <v>173</v>
      </c>
      <c r="BH54" s="802" t="s">
        <v>174</v>
      </c>
      <c r="BI54" s="707" t="s">
        <v>173</v>
      </c>
      <c r="BJ54" s="913" t="s">
        <v>174</v>
      </c>
      <c r="BK54" s="1219"/>
      <c r="BL54" s="1219"/>
      <c r="BM54" s="1219"/>
      <c r="BN54" s="1219"/>
    </row>
    <row r="55" spans="1:66" ht="16.5" thickBot="1" x14ac:dyDescent="0.3">
      <c r="A55" s="281"/>
      <c r="B55" s="23" t="s">
        <v>485</v>
      </c>
      <c r="C55" s="14" t="s">
        <v>381</v>
      </c>
      <c r="D55" s="315">
        <f t="shared" si="137"/>
        <v>0.71443055555555557</v>
      </c>
      <c r="E55" s="315">
        <f t="shared" si="137"/>
        <v>0.69551075268817242</v>
      </c>
      <c r="G55" s="915">
        <v>1</v>
      </c>
      <c r="H55" s="810" t="s">
        <v>746</v>
      </c>
      <c r="I55" s="327">
        <f>+SUM(I56:I61)</f>
        <v>163.18436239267879</v>
      </c>
      <c r="J55" s="328">
        <f t="shared" ref="J55:J82" si="143">J6/1000/24/J$3</f>
        <v>147.12259356666658</v>
      </c>
      <c r="K55" s="327">
        <f>+SUM(K56:K61)</f>
        <v>163.24588093265663</v>
      </c>
      <c r="L55" s="328">
        <f t="shared" ref="L55" si="144">L6/1000/24/L$3</f>
        <v>154.51649556451613</v>
      </c>
      <c r="M55" s="931">
        <f t="shared" ref="M55:N82" si="145">M6/1000/24/M$3</f>
        <v>163.21562591299539</v>
      </c>
      <c r="N55" s="931">
        <f t="shared" si="145"/>
        <v>150.88015031967205</v>
      </c>
      <c r="O55" s="327">
        <f>+SUM(O56:O61)</f>
        <v>163.17683235758588</v>
      </c>
      <c r="P55" s="328">
        <f t="shared" ref="P55:P82" si="146">P6/1000/24/P$3</f>
        <v>158.28954930555568</v>
      </c>
      <c r="Q55" s="932">
        <f t="shared" ref="Q55:R82" si="147">Q6/1000/24/Q$3</f>
        <v>163.20283682879446</v>
      </c>
      <c r="R55" s="932">
        <f t="shared" si="147"/>
        <v>153.32280932600733</v>
      </c>
      <c r="S55" s="327">
        <f>+SUM(S56:S61)</f>
        <v>161.99369246528286</v>
      </c>
      <c r="T55" s="328">
        <f t="shared" ref="T55:T82" si="148">T6/1000/24/T$3</f>
        <v>159.70041174193554</v>
      </c>
      <c r="U55" s="931">
        <f t="shared" ref="U55:V82" si="149">U6/1000/24/U$3</f>
        <v>162.89559522823004</v>
      </c>
      <c r="V55" s="931">
        <f t="shared" si="149"/>
        <v>154.94334764480874</v>
      </c>
      <c r="W55" s="327">
        <f>+SUM(W56:W61)</f>
        <v>161.99369246528286</v>
      </c>
      <c r="X55" s="328">
        <f t="shared" ref="X55:X82" si="150">X6/1000/24/X$3</f>
        <v>155.66508198924717</v>
      </c>
      <c r="Y55" s="931">
        <f t="shared" ref="Y55:Z82" si="151">Y6/1000/24/Y$3</f>
        <v>162.71285675992047</v>
      </c>
      <c r="Z55" s="931">
        <f t="shared" si="151"/>
        <v>155.08958140087145</v>
      </c>
      <c r="AA55" s="327">
        <f>+SUM(AA56:AA61)</f>
        <v>115.70643208228404</v>
      </c>
      <c r="AB55" s="328">
        <f t="shared" ref="AB55:AB82" si="152">AB6/1000/24/AB$3</f>
        <v>157.39600555555555</v>
      </c>
      <c r="AC55" s="932">
        <f t="shared" ref="AC55:AF64" si="153">AC6/1000/24/AC$3</f>
        <v>146.9000206012615</v>
      </c>
      <c r="AD55" s="932">
        <f t="shared" si="153"/>
        <v>157.58924426449275</v>
      </c>
      <c r="AE55" s="933">
        <f t="shared" si="153"/>
        <v>155.00688550129155</v>
      </c>
      <c r="AF55" s="933">
        <f t="shared" si="153"/>
        <v>155.46768372131149</v>
      </c>
      <c r="AG55" s="327">
        <f>+SUM(AG56:AG61)</f>
        <v>160.8259257328323</v>
      </c>
      <c r="AH55" s="328">
        <f t="shared" ref="AH55:AJ82" si="154">AH6/1000/24/AH$3</f>
        <v>151.75501478494618</v>
      </c>
      <c r="AI55" s="931">
        <f t="shared" si="154"/>
        <v>155.84983058156149</v>
      </c>
      <c r="AJ55" s="931">
        <f t="shared" si="154"/>
        <v>154.92986719314644</v>
      </c>
      <c r="AK55" s="327">
        <f>+SUM(AK56:AK61)</f>
        <v>160.90728539382997</v>
      </c>
      <c r="AL55" s="328">
        <f t="shared" ref="AL55:AN82" si="155">AL6/1000/24/AL$3</f>
        <v>69.019853222222224</v>
      </c>
      <c r="AM55" s="931">
        <f t="shared" si="155"/>
        <v>156.47164879618464</v>
      </c>
      <c r="AN55" s="931">
        <f t="shared" si="155"/>
        <v>144.36716055737708</v>
      </c>
      <c r="AO55" s="327">
        <f>+SUM(AO56:AO61)</f>
        <v>160.8259257328323</v>
      </c>
      <c r="AP55" s="328">
        <f t="shared" ref="AP55:AT64" si="156">AP6/1000/24/AP$3</f>
        <v>147.75635618279571</v>
      </c>
      <c r="AQ55" s="932">
        <f t="shared" si="156"/>
        <v>160.85245605707067</v>
      </c>
      <c r="AR55" s="932">
        <f t="shared" si="156"/>
        <v>123.42878365942028</v>
      </c>
      <c r="AS55" s="931">
        <f t="shared" si="156"/>
        <v>156.96249455995221</v>
      </c>
      <c r="AT55" s="931">
        <f t="shared" si="156"/>
        <v>144.74921533696971</v>
      </c>
      <c r="AU55" s="327">
        <f>+SUM(AU56:AU61)</f>
        <v>160.8259257328323</v>
      </c>
      <c r="AV55" s="328">
        <f t="shared" ref="AV55:AX82" si="157">AV6/1000/24/AV$3</f>
        <v>148.90457675268814</v>
      </c>
      <c r="AW55" s="931">
        <f t="shared" si="157"/>
        <v>157.35388791406751</v>
      </c>
      <c r="AX55" s="931">
        <f t="shared" si="157"/>
        <v>145.17018332352941</v>
      </c>
      <c r="AY55" s="327">
        <f>+SUM(AY56:AY61)</f>
        <v>160.50734766276881</v>
      </c>
      <c r="AZ55" s="328">
        <f t="shared" ref="AZ55:BB82" si="158">AZ6/1000/24/AZ$3</f>
        <v>151.40573511904762</v>
      </c>
      <c r="BA55" s="931">
        <f t="shared" si="158"/>
        <v>157.61824980916825</v>
      </c>
      <c r="BB55" s="931">
        <f t="shared" si="158"/>
        <v>145.69292419261478</v>
      </c>
      <c r="BC55" s="327">
        <f>+SUM(BC56:BC61)</f>
        <v>161.54351871946946</v>
      </c>
      <c r="BD55" s="328">
        <f t="shared" ref="BD55:BJ64" si="159">BD6/1000/24/BD$3</f>
        <v>152.93402956989246</v>
      </c>
      <c r="BE55" s="932">
        <f t="shared" si="159"/>
        <v>160.97398347309868</v>
      </c>
      <c r="BF55" s="932">
        <f t="shared" si="159"/>
        <v>151.07063754814814</v>
      </c>
      <c r="BG55" s="933">
        <f t="shared" si="159"/>
        <v>160.91255203202957</v>
      </c>
      <c r="BH55" s="933">
        <f t="shared" si="159"/>
        <v>137.09783228571425</v>
      </c>
      <c r="BI55" s="931">
        <f t="shared" si="159"/>
        <v>157.95162881250889</v>
      </c>
      <c r="BJ55" s="931">
        <f t="shared" si="159"/>
        <v>146.30792218356166</v>
      </c>
      <c r="BK55" s="1219"/>
      <c r="BL55" s="1219"/>
      <c r="BM55" s="1219"/>
      <c r="BN55" s="1219"/>
    </row>
    <row r="56" spans="1:66" ht="16.5" thickBot="1" x14ac:dyDescent="0.3">
      <c r="A56" s="66"/>
      <c r="B56" s="10" t="s">
        <v>486</v>
      </c>
      <c r="C56" s="15" t="s">
        <v>381</v>
      </c>
      <c r="D56" s="316">
        <f t="shared" si="137"/>
        <v>124.08873611111107</v>
      </c>
      <c r="E56" s="316">
        <f t="shared" si="137"/>
        <v>128.49994623655914</v>
      </c>
      <c r="G56" s="912">
        <v>1.1000000000000001</v>
      </c>
      <c r="H56" s="271" t="s">
        <v>482</v>
      </c>
      <c r="I56" s="384">
        <v>0</v>
      </c>
      <c r="J56" s="330">
        <f t="shared" si="143"/>
        <v>0</v>
      </c>
      <c r="K56" s="384">
        <v>0</v>
      </c>
      <c r="L56" s="330">
        <f t="shared" ref="L56" si="160">L7/1000/24/L$3</f>
        <v>0</v>
      </c>
      <c r="M56" s="934">
        <f t="shared" si="145"/>
        <v>0</v>
      </c>
      <c r="N56" s="934">
        <f t="shared" si="145"/>
        <v>0</v>
      </c>
      <c r="O56" s="384">
        <v>0</v>
      </c>
      <c r="P56" s="330">
        <f t="shared" si="146"/>
        <v>0</v>
      </c>
      <c r="Q56" s="935">
        <f t="shared" si="147"/>
        <v>0</v>
      </c>
      <c r="R56" s="935">
        <f t="shared" si="147"/>
        <v>0</v>
      </c>
      <c r="S56" s="384">
        <v>0</v>
      </c>
      <c r="T56" s="330">
        <f t="shared" si="148"/>
        <v>0</v>
      </c>
      <c r="U56" s="934">
        <f t="shared" si="149"/>
        <v>0</v>
      </c>
      <c r="V56" s="934">
        <f t="shared" si="149"/>
        <v>0</v>
      </c>
      <c r="W56" s="384">
        <v>0</v>
      </c>
      <c r="X56" s="330">
        <f t="shared" si="150"/>
        <v>0</v>
      </c>
      <c r="Y56" s="934">
        <f t="shared" si="151"/>
        <v>0</v>
      </c>
      <c r="Z56" s="934">
        <f t="shared" si="151"/>
        <v>0</v>
      </c>
      <c r="AA56" s="384">
        <v>0</v>
      </c>
      <c r="AB56" s="330">
        <f t="shared" si="152"/>
        <v>0</v>
      </c>
      <c r="AC56" s="935">
        <f t="shared" si="153"/>
        <v>0</v>
      </c>
      <c r="AD56" s="935">
        <f t="shared" si="153"/>
        <v>0</v>
      </c>
      <c r="AE56" s="936">
        <f t="shared" si="153"/>
        <v>0</v>
      </c>
      <c r="AF56" s="936">
        <f t="shared" si="153"/>
        <v>0</v>
      </c>
      <c r="AG56" s="384">
        <v>0</v>
      </c>
      <c r="AH56" s="330">
        <f t="shared" si="154"/>
        <v>0</v>
      </c>
      <c r="AI56" s="934">
        <f t="shared" si="154"/>
        <v>0</v>
      </c>
      <c r="AJ56" s="934">
        <f t="shared" si="154"/>
        <v>0</v>
      </c>
      <c r="AK56" s="384">
        <v>0</v>
      </c>
      <c r="AL56" s="330">
        <f t="shared" si="155"/>
        <v>0</v>
      </c>
      <c r="AM56" s="934">
        <f t="shared" si="155"/>
        <v>0</v>
      </c>
      <c r="AN56" s="934">
        <f t="shared" si="155"/>
        <v>0</v>
      </c>
      <c r="AO56" s="384">
        <v>0</v>
      </c>
      <c r="AP56" s="330">
        <f t="shared" si="156"/>
        <v>0</v>
      </c>
      <c r="AQ56" s="935">
        <f t="shared" si="156"/>
        <v>0</v>
      </c>
      <c r="AR56" s="935">
        <f t="shared" si="156"/>
        <v>0</v>
      </c>
      <c r="AS56" s="934">
        <f t="shared" si="156"/>
        <v>0</v>
      </c>
      <c r="AT56" s="934">
        <f t="shared" si="156"/>
        <v>0</v>
      </c>
      <c r="AU56" s="384">
        <v>0</v>
      </c>
      <c r="AV56" s="330">
        <f t="shared" si="157"/>
        <v>0</v>
      </c>
      <c r="AW56" s="934">
        <f t="shared" si="157"/>
        <v>0</v>
      </c>
      <c r="AX56" s="934">
        <f t="shared" si="157"/>
        <v>0</v>
      </c>
      <c r="AY56" s="384">
        <v>0</v>
      </c>
      <c r="AZ56" s="330">
        <f t="shared" si="158"/>
        <v>0</v>
      </c>
      <c r="BA56" s="934">
        <f t="shared" si="158"/>
        <v>0</v>
      </c>
      <c r="BB56" s="934">
        <f t="shared" si="158"/>
        <v>0</v>
      </c>
      <c r="BC56" s="384">
        <v>0</v>
      </c>
      <c r="BD56" s="330">
        <f t="shared" si="159"/>
        <v>0</v>
      </c>
      <c r="BE56" s="935">
        <f t="shared" si="159"/>
        <v>0</v>
      </c>
      <c r="BF56" s="935">
        <f t="shared" si="159"/>
        <v>0</v>
      </c>
      <c r="BG56" s="936">
        <f t="shared" si="159"/>
        <v>0</v>
      </c>
      <c r="BH56" s="936">
        <f t="shared" si="159"/>
        <v>0</v>
      </c>
      <c r="BI56" s="934">
        <f t="shared" si="159"/>
        <v>0</v>
      </c>
      <c r="BJ56" s="934">
        <f t="shared" si="159"/>
        <v>0</v>
      </c>
      <c r="BK56" s="1219"/>
      <c r="BL56" s="1219"/>
      <c r="BM56" s="1219"/>
      <c r="BN56" s="1219"/>
    </row>
    <row r="57" spans="1:66" x14ac:dyDescent="0.25">
      <c r="A57" s="281"/>
      <c r="B57" s="58" t="s">
        <v>492</v>
      </c>
      <c r="C57" s="16" t="s">
        <v>381</v>
      </c>
      <c r="D57" s="315">
        <f t="shared" ref="D57:E59" si="161">+((D13/1000)/D$3)/24</f>
        <v>0.36386362222222091</v>
      </c>
      <c r="E57" s="315">
        <f t="shared" si="161"/>
        <v>0.42739066801075221</v>
      </c>
      <c r="G57" s="912">
        <v>1.2</v>
      </c>
      <c r="H57" s="271" t="s">
        <v>587</v>
      </c>
      <c r="I57" s="384">
        <v>50.127032294714631</v>
      </c>
      <c r="J57" s="330">
        <f t="shared" si="143"/>
        <v>39.471111111111007</v>
      </c>
      <c r="K57" s="384">
        <v>53.554735551200942</v>
      </c>
      <c r="L57" s="330">
        <f t="shared" ref="L57" si="162">L8/1000/24/L$3</f>
        <v>46.625268817204294</v>
      </c>
      <c r="M57" s="934">
        <f t="shared" si="145"/>
        <v>51.868979851289645</v>
      </c>
      <c r="N57" s="934">
        <f t="shared" si="145"/>
        <v>43.106830601092845</v>
      </c>
      <c r="O57" s="384">
        <v>53.393490362409324</v>
      </c>
      <c r="P57" s="330">
        <f t="shared" si="146"/>
        <v>54.583888888889028</v>
      </c>
      <c r="Q57" s="935">
        <f t="shared" si="147"/>
        <v>52.371565734076356</v>
      </c>
      <c r="R57" s="935">
        <f t="shared" si="147"/>
        <v>46.890476190476207</v>
      </c>
      <c r="S57" s="384">
        <v>53.643163134633191</v>
      </c>
      <c r="T57" s="330">
        <f t="shared" si="148"/>
        <v>57.478091397849518</v>
      </c>
      <c r="U57" s="934">
        <f t="shared" si="149"/>
        <v>52.694676548971955</v>
      </c>
      <c r="V57" s="934">
        <f t="shared" si="149"/>
        <v>49.580771857923516</v>
      </c>
      <c r="W57" s="384">
        <v>52.863562744769652</v>
      </c>
      <c r="X57" s="330">
        <f t="shared" si="150"/>
        <v>55.159811827956844</v>
      </c>
      <c r="Y57" s="934">
        <f t="shared" si="151"/>
        <v>52.728895320669523</v>
      </c>
      <c r="Z57" s="934">
        <f t="shared" si="151"/>
        <v>50.71116557734203</v>
      </c>
      <c r="AA57" s="384">
        <v>40.91349355403424</v>
      </c>
      <c r="AB57" s="330">
        <f t="shared" si="152"/>
        <v>53.146388888888886</v>
      </c>
      <c r="AC57" s="935">
        <f t="shared" si="153"/>
        <v>49.229492487853427</v>
      </c>
      <c r="AD57" s="935">
        <f t="shared" si="153"/>
        <v>55.284420289855049</v>
      </c>
      <c r="AE57" s="936">
        <f t="shared" si="153"/>
        <v>50.791944211385044</v>
      </c>
      <c r="AF57" s="936">
        <f t="shared" si="153"/>
        <v>51.110382513661193</v>
      </c>
      <c r="AG57" s="384">
        <v>53.213853440167952</v>
      </c>
      <c r="AH57" s="330">
        <f t="shared" si="154"/>
        <v>40.965456989247279</v>
      </c>
      <c r="AI57" s="934">
        <f t="shared" si="154"/>
        <v>51.142781529573234</v>
      </c>
      <c r="AJ57" s="934">
        <f t="shared" si="154"/>
        <v>49.640790498442357</v>
      </c>
      <c r="AK57" s="384">
        <v>53.457608512699473</v>
      </c>
      <c r="AL57" s="330">
        <f t="shared" si="155"/>
        <v>15.455138888888889</v>
      </c>
      <c r="AM57" s="934">
        <f t="shared" si="155"/>
        <v>51.427391404547762</v>
      </c>
      <c r="AN57" s="934">
        <f t="shared" si="155"/>
        <v>45.437636612021848</v>
      </c>
      <c r="AO57" s="384">
        <v>53.704058975282621</v>
      </c>
      <c r="AP57" s="330">
        <f t="shared" si="156"/>
        <v>48.179301075268818</v>
      </c>
      <c r="AQ57" s="935">
        <f t="shared" si="156"/>
        <v>53.458516741956011</v>
      </c>
      <c r="AR57" s="935">
        <f t="shared" si="156"/>
        <v>35.077626811594186</v>
      </c>
      <c r="AS57" s="934">
        <f t="shared" si="156"/>
        <v>51.684033930703329</v>
      </c>
      <c r="AT57" s="934">
        <f t="shared" si="156"/>
        <v>45.746696969696963</v>
      </c>
      <c r="AU57" s="384">
        <v>53.72780166534109</v>
      </c>
      <c r="AV57" s="330">
        <f t="shared" si="157"/>
        <v>47.152688172043021</v>
      </c>
      <c r="AW57" s="934">
        <f t="shared" si="157"/>
        <v>51.891082295977093</v>
      </c>
      <c r="AX57" s="934">
        <f t="shared" si="157"/>
        <v>45.889133986928094</v>
      </c>
      <c r="AY57" s="384">
        <v>54.005625528562888</v>
      </c>
      <c r="AZ57" s="330">
        <f t="shared" si="158"/>
        <v>46.466071428571425</v>
      </c>
      <c r="BA57" s="934">
        <f t="shared" si="158"/>
        <v>52.068349393319608</v>
      </c>
      <c r="BB57" s="934">
        <f t="shared" si="158"/>
        <v>45.937499999999993</v>
      </c>
      <c r="BC57" s="384">
        <v>53.530095378113757</v>
      </c>
      <c r="BD57" s="330">
        <f t="shared" si="159"/>
        <v>44.969623655913971</v>
      </c>
      <c r="BE57" s="935">
        <f t="shared" si="159"/>
        <v>53.74613692385401</v>
      </c>
      <c r="BF57" s="935">
        <f t="shared" si="159"/>
        <v>46.187129629629624</v>
      </c>
      <c r="BG57" s="936">
        <f t="shared" si="159"/>
        <v>53.600746502235239</v>
      </c>
      <c r="BH57" s="936">
        <f t="shared" si="159"/>
        <v>40.571336996336996</v>
      </c>
      <c r="BI57" s="934">
        <f t="shared" si="159"/>
        <v>52.192497682439118</v>
      </c>
      <c r="BJ57" s="934">
        <f t="shared" si="159"/>
        <v>45.855296803652962</v>
      </c>
      <c r="BK57" s="1219"/>
      <c r="BL57" s="1219"/>
      <c r="BM57" s="1219"/>
      <c r="BN57" s="1219"/>
    </row>
    <row r="58" spans="1:66" ht="15.75" thickBot="1" x14ac:dyDescent="0.3">
      <c r="A58" s="281"/>
      <c r="B58" s="59" t="s">
        <v>493</v>
      </c>
      <c r="C58" s="14" t="s">
        <v>381</v>
      </c>
      <c r="D58" s="315">
        <f t="shared" si="161"/>
        <v>1.416936111111049</v>
      </c>
      <c r="E58" s="315">
        <f t="shared" si="161"/>
        <v>2.3863646505376503</v>
      </c>
      <c r="G58" s="912">
        <v>1.3</v>
      </c>
      <c r="H58" s="271" t="s">
        <v>483</v>
      </c>
      <c r="I58" s="384">
        <v>5</v>
      </c>
      <c r="J58" s="330">
        <f t="shared" si="143"/>
        <v>3.6841699555555554</v>
      </c>
      <c r="K58" s="384">
        <v>5</v>
      </c>
      <c r="L58" s="330">
        <f t="shared" ref="L58" si="163">L9/1000/24/L$3</f>
        <v>4.8155927419354843</v>
      </c>
      <c r="M58" s="934">
        <f t="shared" si="145"/>
        <v>5</v>
      </c>
      <c r="N58" s="934">
        <f t="shared" si="145"/>
        <v>4.2591553060109284</v>
      </c>
      <c r="O58" s="384">
        <v>5</v>
      </c>
      <c r="P58" s="330">
        <f t="shared" si="146"/>
        <v>4.6961111111111107</v>
      </c>
      <c r="Q58" s="935">
        <f t="shared" si="147"/>
        <v>5</v>
      </c>
      <c r="R58" s="935">
        <f t="shared" si="147"/>
        <v>4.4032066703296699</v>
      </c>
      <c r="S58" s="384">
        <v>5</v>
      </c>
      <c r="T58" s="330">
        <f t="shared" si="148"/>
        <v>3.6459657634408602</v>
      </c>
      <c r="U58" s="934">
        <f t="shared" si="149"/>
        <v>5</v>
      </c>
      <c r="V58" s="934">
        <f t="shared" si="149"/>
        <v>4.2107929972677605</v>
      </c>
      <c r="W58" s="384">
        <v>5</v>
      </c>
      <c r="X58" s="330">
        <f t="shared" si="150"/>
        <v>4.2012163978494623</v>
      </c>
      <c r="Y58" s="934">
        <f t="shared" si="151"/>
        <v>5</v>
      </c>
      <c r="Z58" s="934">
        <f t="shared" si="151"/>
        <v>4.2088526405228759</v>
      </c>
      <c r="AA58" s="384">
        <v>5</v>
      </c>
      <c r="AB58" s="330">
        <f t="shared" si="152"/>
        <v>5.0202749999999998</v>
      </c>
      <c r="AC58" s="935">
        <f t="shared" si="153"/>
        <v>5</v>
      </c>
      <c r="AD58" s="935">
        <f t="shared" si="153"/>
        <v>4.2812054021739128</v>
      </c>
      <c r="AE58" s="936">
        <f t="shared" si="153"/>
        <v>5</v>
      </c>
      <c r="AF58" s="936">
        <f t="shared" si="153"/>
        <v>4.3418726994535524</v>
      </c>
      <c r="AG58" s="384">
        <v>5</v>
      </c>
      <c r="AH58" s="330">
        <f t="shared" si="154"/>
        <v>4.4512096774193539</v>
      </c>
      <c r="AI58" s="934">
        <f t="shared" si="154"/>
        <v>5</v>
      </c>
      <c r="AJ58" s="934">
        <f t="shared" si="154"/>
        <v>4.35771123364486</v>
      </c>
      <c r="AK58" s="384">
        <v>5</v>
      </c>
      <c r="AL58" s="330">
        <f t="shared" si="155"/>
        <v>3.626389333333333</v>
      </c>
      <c r="AM58" s="934">
        <f t="shared" si="155"/>
        <v>5</v>
      </c>
      <c r="AN58" s="934">
        <f t="shared" si="155"/>
        <v>4.267794606557378</v>
      </c>
      <c r="AO58" s="384">
        <v>5</v>
      </c>
      <c r="AP58" s="330">
        <f t="shared" si="156"/>
        <v>3.7555134408602147</v>
      </c>
      <c r="AQ58" s="935">
        <f t="shared" si="156"/>
        <v>5</v>
      </c>
      <c r="AR58" s="935">
        <f t="shared" si="156"/>
        <v>3.9478271376811596</v>
      </c>
      <c r="AS58" s="934">
        <f t="shared" si="156"/>
        <v>5</v>
      </c>
      <c r="AT58" s="934">
        <f t="shared" si="156"/>
        <v>4.2100465478787878</v>
      </c>
      <c r="AU58" s="384">
        <v>5</v>
      </c>
      <c r="AV58" s="330">
        <f t="shared" si="157"/>
        <v>3.8337352150537636</v>
      </c>
      <c r="AW58" s="934">
        <f t="shared" si="157"/>
        <v>5</v>
      </c>
      <c r="AX58" s="934">
        <f t="shared" si="157"/>
        <v>4.1719235043572986</v>
      </c>
      <c r="AY58" s="384">
        <v>5</v>
      </c>
      <c r="AZ58" s="330">
        <f t="shared" si="158"/>
        <v>3.5104136904761907</v>
      </c>
      <c r="BA58" s="934">
        <f t="shared" si="158"/>
        <v>5</v>
      </c>
      <c r="BB58" s="934">
        <f t="shared" si="158"/>
        <v>4.1164675918163676</v>
      </c>
      <c r="BC58" s="384">
        <v>5</v>
      </c>
      <c r="BD58" s="330">
        <f t="shared" si="159"/>
        <v>3.0725766129032253</v>
      </c>
      <c r="BE58" s="935">
        <f t="shared" si="159"/>
        <v>5</v>
      </c>
      <c r="BF58" s="935">
        <f t="shared" si="159"/>
        <v>3.4709694444444446</v>
      </c>
      <c r="BG58" s="936">
        <f t="shared" si="159"/>
        <v>5</v>
      </c>
      <c r="BH58" s="936">
        <f t="shared" si="159"/>
        <v>3.7120183882783886</v>
      </c>
      <c r="BI58" s="934">
        <f t="shared" si="159"/>
        <v>5</v>
      </c>
      <c r="BJ58" s="934">
        <f t="shared" si="159"/>
        <v>4.0278083579908683</v>
      </c>
      <c r="BK58" s="1219"/>
      <c r="BL58" s="1219"/>
      <c r="BM58" s="1219"/>
      <c r="BN58" s="1219"/>
    </row>
    <row r="59" spans="1:66" ht="16.5" thickBot="1" x14ac:dyDescent="0.3">
      <c r="A59" s="66"/>
      <c r="B59" s="317" t="s">
        <v>494</v>
      </c>
      <c r="C59" s="318" t="s">
        <v>381</v>
      </c>
      <c r="D59" s="316">
        <f t="shared" si="161"/>
        <v>1.7807997333332697</v>
      </c>
      <c r="E59" s="316">
        <f t="shared" si="161"/>
        <v>2.8137553185484028</v>
      </c>
      <c r="G59" s="912">
        <v>1.4</v>
      </c>
      <c r="H59" s="271" t="s">
        <v>484</v>
      </c>
      <c r="I59" s="384">
        <v>106.30733009796415</v>
      </c>
      <c r="J59" s="330">
        <f t="shared" si="143"/>
        <v>102.23611527777777</v>
      </c>
      <c r="K59" s="384">
        <v>102.9411453814557</v>
      </c>
      <c r="L59" s="330">
        <f t="shared" ref="L59" si="164">L10/1000/24/L$3</f>
        <v>101.32129838709677</v>
      </c>
      <c r="M59" s="934">
        <f t="shared" si="145"/>
        <v>104.59664606170577</v>
      </c>
      <c r="N59" s="934">
        <f t="shared" si="145"/>
        <v>101.77120833333333</v>
      </c>
      <c r="O59" s="384">
        <v>103.03334199517656</v>
      </c>
      <c r="P59" s="330">
        <f t="shared" si="146"/>
        <v>97.715359722222217</v>
      </c>
      <c r="Q59" s="935">
        <f t="shared" si="147"/>
        <v>104.0812710947181</v>
      </c>
      <c r="R59" s="935">
        <f t="shared" si="147"/>
        <v>100.4341153846154</v>
      </c>
      <c r="S59" s="384">
        <v>101.60052933064966</v>
      </c>
      <c r="T59" s="330">
        <f t="shared" si="148"/>
        <v>97.442122322580659</v>
      </c>
      <c r="U59" s="934">
        <f t="shared" si="149"/>
        <v>103.45091867925808</v>
      </c>
      <c r="V59" s="934">
        <f t="shared" si="149"/>
        <v>99.67385485245903</v>
      </c>
      <c r="W59" s="384">
        <v>102.38012972051321</v>
      </c>
      <c r="X59" s="330">
        <f t="shared" si="150"/>
        <v>94.850807795698927</v>
      </c>
      <c r="Y59" s="934">
        <f t="shared" si="151"/>
        <v>103.23396143925096</v>
      </c>
      <c r="Z59" s="934">
        <f t="shared" si="151"/>
        <v>98.696636167755997</v>
      </c>
      <c r="AA59" s="384">
        <v>68.042938528249806</v>
      </c>
      <c r="AB59" s="330">
        <f t="shared" si="152"/>
        <v>97.75559027777777</v>
      </c>
      <c r="AC59" s="935">
        <f t="shared" si="153"/>
        <v>90.920528113408082</v>
      </c>
      <c r="AD59" s="935">
        <f t="shared" si="153"/>
        <v>96.671179804347844</v>
      </c>
      <c r="AE59" s="936">
        <f t="shared" si="153"/>
        <v>97.464941289906506</v>
      </c>
      <c r="AF59" s="936">
        <f t="shared" si="153"/>
        <v>98.542366349726777</v>
      </c>
      <c r="AG59" s="384">
        <v>100.86207229266435</v>
      </c>
      <c r="AH59" s="330">
        <f t="shared" si="154"/>
        <v>105.02148521505377</v>
      </c>
      <c r="AI59" s="934">
        <f t="shared" si="154"/>
        <v>97.95704905198825</v>
      </c>
      <c r="AJ59" s="934">
        <f t="shared" si="154"/>
        <v>99.480930297507797</v>
      </c>
      <c r="AK59" s="384">
        <v>100.6996768811305</v>
      </c>
      <c r="AL59" s="330">
        <f t="shared" si="155"/>
        <v>48.820861111111107</v>
      </c>
      <c r="AM59" s="934">
        <f t="shared" si="155"/>
        <v>98.29425739163689</v>
      </c>
      <c r="AN59" s="934">
        <f t="shared" si="155"/>
        <v>93.252233266393461</v>
      </c>
      <c r="AO59" s="384">
        <v>100.37186675754968</v>
      </c>
      <c r="AP59" s="330">
        <f t="shared" si="156"/>
        <v>94.577918010752697</v>
      </c>
      <c r="AQ59" s="935">
        <f t="shared" si="156"/>
        <v>100.64393931511465</v>
      </c>
      <c r="AR59" s="935">
        <f t="shared" si="156"/>
        <v>83.17616666666666</v>
      </c>
      <c r="AS59" s="934">
        <f t="shared" si="156"/>
        <v>98.528460629248883</v>
      </c>
      <c r="AT59" s="934">
        <f t="shared" si="156"/>
        <v>93.401674092121226</v>
      </c>
      <c r="AU59" s="384">
        <v>100.34812406749121</v>
      </c>
      <c r="AV59" s="330">
        <f t="shared" si="157"/>
        <v>96.612880516129024</v>
      </c>
      <c r="AW59" s="934">
        <f t="shared" si="157"/>
        <v>98.712805618090442</v>
      </c>
      <c r="AX59" s="934">
        <f t="shared" si="157"/>
        <v>93.726992389978221</v>
      </c>
      <c r="AY59" s="384">
        <v>99.75172213420592</v>
      </c>
      <c r="AZ59" s="330">
        <f t="shared" si="158"/>
        <v>99.925626488095219</v>
      </c>
      <c r="BA59" s="934">
        <f t="shared" si="158"/>
        <v>98.799900415848612</v>
      </c>
      <c r="BB59" s="934">
        <f t="shared" si="158"/>
        <v>94.246638362275448</v>
      </c>
      <c r="BC59" s="384">
        <v>101.2634233413557</v>
      </c>
      <c r="BD59" s="330">
        <f t="shared" si="159"/>
        <v>103.26205376344085</v>
      </c>
      <c r="BE59" s="935">
        <f t="shared" si="159"/>
        <v>100.47784654924466</v>
      </c>
      <c r="BF59" s="935">
        <f t="shared" si="159"/>
        <v>99.93378338148149</v>
      </c>
      <c r="BG59" s="936">
        <f t="shared" si="159"/>
        <v>100.56180552979434</v>
      </c>
      <c r="BH59" s="936">
        <f t="shared" si="159"/>
        <v>91.462900206959702</v>
      </c>
      <c r="BI59" s="934">
        <f t="shared" si="159"/>
        <v>99.009131130069761</v>
      </c>
      <c r="BJ59" s="934">
        <f t="shared" si="159"/>
        <v>95.012331177168946</v>
      </c>
      <c r="BK59" s="1219"/>
      <c r="BL59" s="1219"/>
      <c r="BM59" s="1219"/>
      <c r="BN59" s="1219"/>
    </row>
    <row r="60" spans="1:66" ht="16.5" thickBot="1" x14ac:dyDescent="0.3">
      <c r="A60" s="66"/>
      <c r="B60" s="317"/>
      <c r="C60" s="318"/>
      <c r="D60" s="316"/>
      <c r="E60" s="316"/>
      <c r="G60" s="912"/>
      <c r="H60" s="2623" t="s">
        <v>485</v>
      </c>
      <c r="I60" s="384">
        <v>0.75</v>
      </c>
      <c r="J60" s="330">
        <f t="shared" si="143"/>
        <v>0.67097222222221697</v>
      </c>
      <c r="K60" s="384">
        <v>0.75</v>
      </c>
      <c r="L60" s="330">
        <f t="shared" ref="L60" si="165">L11/1000/24/L$3</f>
        <v>0.66068548387096915</v>
      </c>
      <c r="M60" s="934">
        <f t="shared" si="145"/>
        <v>0.75</v>
      </c>
      <c r="N60" s="934">
        <f t="shared" si="145"/>
        <v>0.66574453551912394</v>
      </c>
      <c r="O60" s="384">
        <v>0.75</v>
      </c>
      <c r="P60" s="330">
        <f t="shared" si="146"/>
        <v>0.45923611111111312</v>
      </c>
      <c r="Q60" s="935">
        <f t="shared" si="147"/>
        <v>0.75</v>
      </c>
      <c r="R60" s="935">
        <f t="shared" si="147"/>
        <v>0.5976648351648346</v>
      </c>
      <c r="S60" s="384">
        <v>0.75</v>
      </c>
      <c r="T60" s="330">
        <f t="shared" si="148"/>
        <v>0.35978494623655949</v>
      </c>
      <c r="U60" s="934">
        <f t="shared" si="149"/>
        <v>0.75</v>
      </c>
      <c r="V60" s="934">
        <f t="shared" si="149"/>
        <v>0.53721994535519091</v>
      </c>
      <c r="W60" s="384">
        <v>0.75</v>
      </c>
      <c r="X60" s="330">
        <f t="shared" si="150"/>
        <v>0.67779569892473079</v>
      </c>
      <c r="Y60" s="934">
        <f t="shared" si="151"/>
        <v>0.75</v>
      </c>
      <c r="Z60" s="934">
        <f t="shared" si="151"/>
        <v>0.56570261437908465</v>
      </c>
      <c r="AA60" s="384">
        <v>0.75</v>
      </c>
      <c r="AB60" s="330">
        <f t="shared" si="152"/>
        <v>0.67204166666666687</v>
      </c>
      <c r="AC60" s="935">
        <f t="shared" si="153"/>
        <v>0.75</v>
      </c>
      <c r="AD60" s="935">
        <f t="shared" si="153"/>
        <v>0.56876358695652163</v>
      </c>
      <c r="AE60" s="936">
        <f t="shared" si="153"/>
        <v>0.75</v>
      </c>
      <c r="AF60" s="936">
        <f t="shared" si="153"/>
        <v>0.58313524590163912</v>
      </c>
      <c r="AG60" s="384">
        <v>0.75</v>
      </c>
      <c r="AH60" s="330">
        <f t="shared" si="154"/>
        <v>0.59254032258064937</v>
      </c>
      <c r="AI60" s="934">
        <f t="shared" si="154"/>
        <v>0.75</v>
      </c>
      <c r="AJ60" s="934">
        <f t="shared" si="154"/>
        <v>0.58449766355140231</v>
      </c>
      <c r="AK60" s="384">
        <v>0.75</v>
      </c>
      <c r="AL60" s="330">
        <f t="shared" si="155"/>
        <v>0.48587499999999983</v>
      </c>
      <c r="AM60" s="934">
        <f t="shared" si="155"/>
        <v>0.75</v>
      </c>
      <c r="AN60" s="934">
        <f t="shared" si="155"/>
        <v>0.5723719262295085</v>
      </c>
      <c r="AO60" s="384">
        <v>0.75</v>
      </c>
      <c r="AP60" s="330">
        <f t="shared" si="156"/>
        <v>0.68032258064516171</v>
      </c>
      <c r="AQ60" s="935">
        <f t="shared" si="156"/>
        <v>0.75</v>
      </c>
      <c r="AR60" s="935">
        <f t="shared" si="156"/>
        <v>0.58733695652174067</v>
      </c>
      <c r="AS60" s="934">
        <f t="shared" si="156"/>
        <v>0.75</v>
      </c>
      <c r="AT60" s="934">
        <f t="shared" si="156"/>
        <v>0.5845409090909095</v>
      </c>
      <c r="AU60" s="384">
        <v>0.75</v>
      </c>
      <c r="AV60" s="330">
        <f t="shared" si="157"/>
        <v>0.65857526881720363</v>
      </c>
      <c r="AW60" s="934">
        <f t="shared" si="157"/>
        <v>0.75</v>
      </c>
      <c r="AX60" s="934">
        <f t="shared" si="157"/>
        <v>0.59204112200435755</v>
      </c>
      <c r="AY60" s="384">
        <v>0.75</v>
      </c>
      <c r="AZ60" s="330">
        <f t="shared" si="158"/>
        <v>0.70337797619047737</v>
      </c>
      <c r="BA60" s="934">
        <f t="shared" si="158"/>
        <v>0.75</v>
      </c>
      <c r="BB60" s="934">
        <f t="shared" si="158"/>
        <v>0.60137475049900224</v>
      </c>
      <c r="BC60" s="384">
        <v>0.75</v>
      </c>
      <c r="BD60" s="330">
        <f t="shared" si="159"/>
        <v>0.66568548387096771</v>
      </c>
      <c r="BE60" s="935">
        <f t="shared" si="159"/>
        <v>0.75</v>
      </c>
      <c r="BF60" s="935">
        <f t="shared" si="159"/>
        <v>0.6749629629629631</v>
      </c>
      <c r="BG60" s="936">
        <f t="shared" si="159"/>
        <v>0.75</v>
      </c>
      <c r="BH60" s="936">
        <f t="shared" si="159"/>
        <v>0.63066849816849901</v>
      </c>
      <c r="BI60" s="934">
        <f t="shared" si="159"/>
        <v>0.75</v>
      </c>
      <c r="BJ60" s="934">
        <f t="shared" si="159"/>
        <v>0.60683675799086789</v>
      </c>
      <c r="BK60" s="1219"/>
      <c r="BL60" s="1219"/>
      <c r="BM60" s="1219"/>
      <c r="BN60" s="1219"/>
    </row>
    <row r="61" spans="1:66" ht="15.75" x14ac:dyDescent="0.25">
      <c r="A61" s="66"/>
      <c r="B61" s="319" t="s">
        <v>125</v>
      </c>
      <c r="C61" s="37" t="s">
        <v>381</v>
      </c>
      <c r="D61" s="316">
        <f t="shared" ref="D61:E76" si="166">+((D16/1000)/D$3)/24</f>
        <v>122.30793637777781</v>
      </c>
      <c r="E61" s="316">
        <f t="shared" si="166"/>
        <v>125.68619091801072</v>
      </c>
      <c r="G61" s="912">
        <v>1.5</v>
      </c>
      <c r="H61" s="271" t="s">
        <v>1702</v>
      </c>
      <c r="I61" s="384">
        <v>1</v>
      </c>
      <c r="J61" s="330">
        <f t="shared" si="143"/>
        <v>1.060225</v>
      </c>
      <c r="K61" s="384">
        <v>1</v>
      </c>
      <c r="L61" s="330">
        <f t="shared" ref="L61" si="167">L12/1000/24/L$3</f>
        <v>1.0936501344086016</v>
      </c>
      <c r="M61" s="934">
        <f t="shared" si="145"/>
        <v>1</v>
      </c>
      <c r="N61" s="934">
        <f t="shared" si="145"/>
        <v>1.0772115437158467</v>
      </c>
      <c r="O61" s="384">
        <v>1</v>
      </c>
      <c r="P61" s="330">
        <f t="shared" si="146"/>
        <v>0.83495347222222294</v>
      </c>
      <c r="Q61" s="935">
        <f t="shared" si="147"/>
        <v>1</v>
      </c>
      <c r="R61" s="935">
        <f t="shared" si="147"/>
        <v>0.9973462454212455</v>
      </c>
      <c r="S61" s="384">
        <v>1</v>
      </c>
      <c r="T61" s="330">
        <f t="shared" si="148"/>
        <v>0.77444731182795656</v>
      </c>
      <c r="U61" s="934">
        <f t="shared" si="149"/>
        <v>1</v>
      </c>
      <c r="V61" s="934">
        <f t="shared" si="149"/>
        <v>0.94070799180327869</v>
      </c>
      <c r="W61" s="384">
        <v>1</v>
      </c>
      <c r="X61" s="330">
        <f t="shared" si="150"/>
        <v>0.77545026881720303</v>
      </c>
      <c r="Y61" s="934">
        <f t="shared" si="151"/>
        <v>1</v>
      </c>
      <c r="Z61" s="934">
        <f t="shared" si="151"/>
        <v>0.90722440087145939</v>
      </c>
      <c r="AA61" s="384">
        <v>1</v>
      </c>
      <c r="AB61" s="330">
        <f t="shared" si="152"/>
        <v>0.8017097222222227</v>
      </c>
      <c r="AC61" s="935">
        <f t="shared" si="153"/>
        <v>1</v>
      </c>
      <c r="AD61" s="935">
        <f t="shared" si="153"/>
        <v>0.78367518115942003</v>
      </c>
      <c r="AE61" s="936">
        <f t="shared" si="153"/>
        <v>1</v>
      </c>
      <c r="AF61" s="936">
        <f t="shared" si="153"/>
        <v>0.88992691256830592</v>
      </c>
      <c r="AG61" s="384">
        <v>1</v>
      </c>
      <c r="AH61" s="330">
        <f t="shared" si="154"/>
        <v>0.72432258064516186</v>
      </c>
      <c r="AI61" s="934">
        <f t="shared" si="154"/>
        <v>1</v>
      </c>
      <c r="AJ61" s="934">
        <f t="shared" si="154"/>
        <v>0.86593749999999992</v>
      </c>
      <c r="AK61" s="384">
        <v>1</v>
      </c>
      <c r="AL61" s="330">
        <f t="shared" si="155"/>
        <v>0.63158888888888798</v>
      </c>
      <c r="AM61" s="934">
        <f t="shared" si="155"/>
        <v>1</v>
      </c>
      <c r="AN61" s="934">
        <f t="shared" si="155"/>
        <v>0.83712414617486319</v>
      </c>
      <c r="AO61" s="384">
        <v>1</v>
      </c>
      <c r="AP61" s="330">
        <f t="shared" si="156"/>
        <v>0.56330107526881779</v>
      </c>
      <c r="AQ61" s="935">
        <f t="shared" si="156"/>
        <v>1</v>
      </c>
      <c r="AR61" s="935">
        <f t="shared" si="156"/>
        <v>0.63982608695652188</v>
      </c>
      <c r="AS61" s="934">
        <f t="shared" si="156"/>
        <v>1</v>
      </c>
      <c r="AT61" s="934">
        <f t="shared" si="156"/>
        <v>0.80625681818181827</v>
      </c>
      <c r="AU61" s="384">
        <v>1</v>
      </c>
      <c r="AV61" s="330">
        <f t="shared" si="157"/>
        <v>0.64669758064516103</v>
      </c>
      <c r="AW61" s="934">
        <f t="shared" si="157"/>
        <v>1</v>
      </c>
      <c r="AX61" s="934">
        <f t="shared" si="157"/>
        <v>0.79009232026143794</v>
      </c>
      <c r="AY61" s="384">
        <v>1</v>
      </c>
      <c r="AZ61" s="330">
        <f t="shared" si="158"/>
        <v>0.80024553571428636</v>
      </c>
      <c r="BA61" s="934">
        <f t="shared" si="158"/>
        <v>1</v>
      </c>
      <c r="BB61" s="934">
        <f t="shared" si="158"/>
        <v>0.7909434880239522</v>
      </c>
      <c r="BC61" s="384">
        <v>1</v>
      </c>
      <c r="BD61" s="330">
        <f t="shared" si="159"/>
        <v>0.96409005376344092</v>
      </c>
      <c r="BE61" s="935">
        <f t="shared" si="159"/>
        <v>1</v>
      </c>
      <c r="BF61" s="935">
        <f t="shared" si="159"/>
        <v>0.80379212962962976</v>
      </c>
      <c r="BG61" s="936">
        <f t="shared" si="159"/>
        <v>1</v>
      </c>
      <c r="BH61" s="936">
        <f t="shared" si="159"/>
        <v>0.72090819597069611</v>
      </c>
      <c r="BI61" s="934">
        <f t="shared" si="159"/>
        <v>1</v>
      </c>
      <c r="BJ61" s="934">
        <f t="shared" si="159"/>
        <v>0.80564908675799085</v>
      </c>
      <c r="BK61" s="1219"/>
      <c r="BL61" s="1219"/>
      <c r="BM61" s="1219"/>
      <c r="BN61" s="1219"/>
    </row>
    <row r="62" spans="1:66" ht="15.75" x14ac:dyDescent="0.25">
      <c r="A62" s="281"/>
      <c r="B62" s="22" t="s">
        <v>731</v>
      </c>
      <c r="C62" s="13" t="s">
        <v>381</v>
      </c>
      <c r="D62" s="315">
        <f t="shared" si="166"/>
        <v>1.5184583333333332</v>
      </c>
      <c r="E62" s="315">
        <f t="shared" si="166"/>
        <v>1.5746408602150537</v>
      </c>
      <c r="G62" s="915">
        <v>2</v>
      </c>
      <c r="H62" s="810" t="s">
        <v>747</v>
      </c>
      <c r="I62" s="386">
        <f>+I63+I64</f>
        <v>3</v>
      </c>
      <c r="J62" s="328">
        <f t="shared" si="143"/>
        <v>1.672414355277773</v>
      </c>
      <c r="K62" s="386">
        <f>+K63+K64</f>
        <v>3</v>
      </c>
      <c r="L62" s="328">
        <f t="shared" ref="L62" si="168">L13/1000/24/L$3</f>
        <v>1.752966202822609</v>
      </c>
      <c r="M62" s="931">
        <f t="shared" si="145"/>
        <v>3</v>
      </c>
      <c r="N62" s="931">
        <f t="shared" si="145"/>
        <v>1.7133505400956408</v>
      </c>
      <c r="O62" s="386">
        <f>+O63+O64</f>
        <v>3</v>
      </c>
      <c r="P62" s="328">
        <f t="shared" si="146"/>
        <v>1.2677359013892102</v>
      </c>
      <c r="Q62" s="932">
        <f t="shared" si="147"/>
        <v>3</v>
      </c>
      <c r="R62" s="932">
        <f t="shared" si="147"/>
        <v>1.566444615247367</v>
      </c>
      <c r="S62" s="386">
        <f>+S63+S64</f>
        <v>3</v>
      </c>
      <c r="T62" s="328">
        <f t="shared" si="148"/>
        <v>1.4625706491934896</v>
      </c>
      <c r="U62" s="931">
        <f t="shared" si="149"/>
        <v>3</v>
      </c>
      <c r="V62" s="931">
        <f t="shared" si="149"/>
        <v>1.5400504107582669</v>
      </c>
      <c r="W62" s="386">
        <f>+W63+W64</f>
        <v>3</v>
      </c>
      <c r="X62" s="328">
        <f t="shared" si="150"/>
        <v>1.5431802446236582</v>
      </c>
      <c r="Y62" s="931">
        <f t="shared" si="151"/>
        <v>3</v>
      </c>
      <c r="Z62" s="931">
        <f t="shared" si="151"/>
        <v>1.5406845601035424</v>
      </c>
      <c r="AA62" s="386">
        <f>+AA63+AA64</f>
        <v>3</v>
      </c>
      <c r="AB62" s="328">
        <f t="shared" si="152"/>
        <v>1.4058523111111121</v>
      </c>
      <c r="AC62" s="932">
        <f t="shared" si="153"/>
        <v>3</v>
      </c>
      <c r="AD62" s="932">
        <f t="shared" si="153"/>
        <v>1.4712374678441842</v>
      </c>
      <c r="AE62" s="933">
        <f t="shared" si="153"/>
        <v>3</v>
      </c>
      <c r="AF62" s="933">
        <f t="shared" si="153"/>
        <v>1.5185809127277341</v>
      </c>
      <c r="AG62" s="386">
        <f>+AG63+AG64</f>
        <v>3</v>
      </c>
      <c r="AH62" s="328">
        <f t="shared" si="154"/>
        <v>1.5783730416668589</v>
      </c>
      <c r="AI62" s="931">
        <f t="shared" si="154"/>
        <v>3</v>
      </c>
      <c r="AJ62" s="931">
        <f t="shared" si="154"/>
        <v>1.5272423893497569</v>
      </c>
      <c r="AK62" s="386">
        <f>+AK63+AK64</f>
        <v>3</v>
      </c>
      <c r="AL62" s="328">
        <f t="shared" si="155"/>
        <v>1.3511146111107715</v>
      </c>
      <c r="AM62" s="931">
        <f t="shared" si="155"/>
        <v>3</v>
      </c>
      <c r="AN62" s="931">
        <f t="shared" si="155"/>
        <v>1.5055873346482422</v>
      </c>
      <c r="AO62" s="386">
        <f>+AO63+AO64</f>
        <v>3</v>
      </c>
      <c r="AP62" s="328">
        <f t="shared" si="156"/>
        <v>1.4468527486562952</v>
      </c>
      <c r="AQ62" s="932">
        <f t="shared" si="156"/>
        <v>3</v>
      </c>
      <c r="AR62" s="932">
        <f t="shared" si="156"/>
        <v>1.4599504112319666</v>
      </c>
      <c r="AS62" s="931">
        <f t="shared" si="156"/>
        <v>3</v>
      </c>
      <c r="AT62" s="931">
        <f t="shared" si="156"/>
        <v>1.4989663449546047</v>
      </c>
      <c r="AU62" s="386">
        <f>+AU63+AU64</f>
        <v>3</v>
      </c>
      <c r="AV62" s="328">
        <f t="shared" si="157"/>
        <v>1.5172261478491227</v>
      </c>
      <c r="AW62" s="931">
        <f t="shared" si="157"/>
        <v>3</v>
      </c>
      <c r="AX62" s="931">
        <f t="shared" si="157"/>
        <v>1.5008161942674478</v>
      </c>
      <c r="AY62" s="386">
        <f>+AY63+AY64</f>
        <v>3</v>
      </c>
      <c r="AZ62" s="328">
        <f t="shared" si="158"/>
        <v>1.0286664148065792</v>
      </c>
      <c r="BA62" s="931">
        <f t="shared" si="158"/>
        <v>3</v>
      </c>
      <c r="BB62" s="931">
        <f t="shared" si="158"/>
        <v>1.4612347756300099</v>
      </c>
      <c r="BC62" s="386">
        <f>+BC63+BC64</f>
        <v>3</v>
      </c>
      <c r="BD62" s="328">
        <f t="shared" si="159"/>
        <v>0.91038617318529913</v>
      </c>
      <c r="BE62" s="932">
        <f t="shared" si="159"/>
        <v>3</v>
      </c>
      <c r="BF62" s="932">
        <f t="shared" si="159"/>
        <v>1.1562071285183477</v>
      </c>
      <c r="BG62" s="933">
        <f t="shared" si="159"/>
        <v>3</v>
      </c>
      <c r="BH62" s="933">
        <f t="shared" si="159"/>
        <v>1.3097476890109463</v>
      </c>
      <c r="BI62" s="931">
        <f t="shared" si="159"/>
        <v>3</v>
      </c>
      <c r="BJ62" s="931">
        <f t="shared" si="159"/>
        <v>1.4144503737785412</v>
      </c>
      <c r="BK62" s="1219"/>
      <c r="BL62" s="1219"/>
      <c r="BM62" s="1219"/>
      <c r="BN62" s="1219"/>
    </row>
    <row r="63" spans="1:66" x14ac:dyDescent="0.25">
      <c r="A63" s="281"/>
      <c r="B63" s="22" t="s">
        <v>723</v>
      </c>
      <c r="C63" s="13" t="s">
        <v>381</v>
      </c>
      <c r="D63" s="315">
        <f t="shared" si="166"/>
        <v>7.0703194444444506</v>
      </c>
      <c r="E63" s="315">
        <f t="shared" si="166"/>
        <v>6.5758870967741947</v>
      </c>
      <c r="G63" s="912">
        <v>2.1</v>
      </c>
      <c r="H63" s="271" t="s">
        <v>492</v>
      </c>
      <c r="I63" s="384">
        <v>0.4</v>
      </c>
      <c r="J63" s="330">
        <f t="shared" si="143"/>
        <v>0.3989109969444431</v>
      </c>
      <c r="K63" s="384">
        <v>0.4</v>
      </c>
      <c r="L63" s="330">
        <f t="shared" ref="L63" si="169">L14/1000/24/L$3</f>
        <v>0.30296465712365622</v>
      </c>
      <c r="M63" s="934">
        <f t="shared" si="145"/>
        <v>0.4</v>
      </c>
      <c r="N63" s="934">
        <f t="shared" si="145"/>
        <v>0.3501513816256826</v>
      </c>
      <c r="O63" s="384">
        <v>0.4</v>
      </c>
      <c r="P63" s="330">
        <f t="shared" si="146"/>
        <v>0.44644526250000349</v>
      </c>
      <c r="Q63" s="935">
        <f t="shared" si="147"/>
        <v>0.39999999999999997</v>
      </c>
      <c r="R63" s="935">
        <f t="shared" si="147"/>
        <v>0.38189661707875538</v>
      </c>
      <c r="S63" s="384">
        <v>0.4</v>
      </c>
      <c r="T63" s="330">
        <f t="shared" si="148"/>
        <v>0.38635129973119098</v>
      </c>
      <c r="U63" s="934">
        <f t="shared" si="149"/>
        <v>0.4</v>
      </c>
      <c r="V63" s="934">
        <f t="shared" si="149"/>
        <v>0.38302854463798081</v>
      </c>
      <c r="W63" s="384">
        <v>0.4</v>
      </c>
      <c r="X63" s="330">
        <f t="shared" si="150"/>
        <v>0.5088336586021337</v>
      </c>
      <c r="Y63" s="934">
        <f t="shared" si="151"/>
        <v>0.39999999999999997</v>
      </c>
      <c r="Z63" s="934">
        <f t="shared" si="151"/>
        <v>0.40851846968954125</v>
      </c>
      <c r="AA63" s="384">
        <v>0.4</v>
      </c>
      <c r="AB63" s="330">
        <f t="shared" si="152"/>
        <v>0.49037192222222997</v>
      </c>
      <c r="AC63" s="935">
        <f t="shared" si="153"/>
        <v>0.4</v>
      </c>
      <c r="AD63" s="935">
        <f t="shared" si="153"/>
        <v>0.4615422975543475</v>
      </c>
      <c r="AE63" s="936">
        <f t="shared" si="153"/>
        <v>0.4</v>
      </c>
      <c r="AF63" s="936">
        <f t="shared" si="153"/>
        <v>0.42193706846539186</v>
      </c>
      <c r="AG63" s="384">
        <v>0.4</v>
      </c>
      <c r="AH63" s="330">
        <f t="shared" si="154"/>
        <v>0.12747976209677414</v>
      </c>
      <c r="AI63" s="934">
        <f t="shared" si="154"/>
        <v>0.4</v>
      </c>
      <c r="AJ63" s="934">
        <f t="shared" si="154"/>
        <v>0.37928203810358274</v>
      </c>
      <c r="AK63" s="384">
        <v>0.4</v>
      </c>
      <c r="AL63" s="330">
        <f t="shared" si="155"/>
        <v>0.11026261111110605</v>
      </c>
      <c r="AM63" s="934">
        <f t="shared" si="155"/>
        <v>0.4</v>
      </c>
      <c r="AN63" s="934">
        <f t="shared" si="155"/>
        <v>0.34620587904713068</v>
      </c>
      <c r="AO63" s="384">
        <v>0.4</v>
      </c>
      <c r="AP63" s="330">
        <f t="shared" si="156"/>
        <v>0.37894683467741974</v>
      </c>
      <c r="AQ63" s="935">
        <f t="shared" si="156"/>
        <v>0.4</v>
      </c>
      <c r="AR63" s="935">
        <f t="shared" si="156"/>
        <v>0.20659894384057817</v>
      </c>
      <c r="AS63" s="934">
        <f t="shared" si="156"/>
        <v>0.4</v>
      </c>
      <c r="AT63" s="934">
        <f t="shared" si="156"/>
        <v>0.34989667768181781</v>
      </c>
      <c r="AU63" s="384">
        <v>0.4</v>
      </c>
      <c r="AV63" s="330">
        <f t="shared" si="157"/>
        <v>0.25619207258064858</v>
      </c>
      <c r="AW63" s="934">
        <f t="shared" si="157"/>
        <v>0.39999999999999997</v>
      </c>
      <c r="AX63" s="934">
        <f t="shared" si="157"/>
        <v>0.34040372749183012</v>
      </c>
      <c r="AY63" s="384">
        <v>0.4</v>
      </c>
      <c r="AZ63" s="330">
        <f t="shared" si="158"/>
        <v>0.1210869356398734</v>
      </c>
      <c r="BA63" s="934">
        <f t="shared" si="158"/>
        <v>0.39999999999999997</v>
      </c>
      <c r="BB63" s="934">
        <f t="shared" si="158"/>
        <v>0.32201788865394149</v>
      </c>
      <c r="BC63" s="384">
        <v>0.4</v>
      </c>
      <c r="BD63" s="330">
        <f t="shared" si="159"/>
        <v>0.19393925114248137</v>
      </c>
      <c r="BE63" s="935">
        <f t="shared" si="159"/>
        <v>0.4</v>
      </c>
      <c r="BF63" s="935">
        <f t="shared" si="159"/>
        <v>0.1927167248148165</v>
      </c>
      <c r="BG63" s="936">
        <f t="shared" si="159"/>
        <v>0.39999999999999997</v>
      </c>
      <c r="BH63" s="936">
        <f t="shared" si="159"/>
        <v>0.19973411025641033</v>
      </c>
      <c r="BI63" s="934">
        <f t="shared" si="159"/>
        <v>0.4</v>
      </c>
      <c r="BJ63" s="934">
        <f t="shared" si="159"/>
        <v>0.31113997697488599</v>
      </c>
      <c r="BK63" s="1219"/>
      <c r="BL63" s="1219"/>
      <c r="BM63" s="1219"/>
      <c r="BN63" s="1219"/>
    </row>
    <row r="64" spans="1:66" x14ac:dyDescent="0.25">
      <c r="A64" s="281"/>
      <c r="B64" s="22" t="s">
        <v>634</v>
      </c>
      <c r="C64" s="13" t="s">
        <v>381</v>
      </c>
      <c r="D64" s="315">
        <f t="shared" si="166"/>
        <v>2.1610277777777771</v>
      </c>
      <c r="E64" s="315">
        <f t="shared" si="166"/>
        <v>2.0229032258064517</v>
      </c>
      <c r="G64" s="912">
        <v>2.2000000000000002</v>
      </c>
      <c r="H64" s="271" t="s">
        <v>493</v>
      </c>
      <c r="I64" s="384">
        <v>2.6</v>
      </c>
      <c r="J64" s="330">
        <f t="shared" si="143"/>
        <v>1.2735033583333302</v>
      </c>
      <c r="K64" s="384">
        <v>2.6</v>
      </c>
      <c r="L64" s="330">
        <f t="shared" ref="L64" si="170">L15/1000/24/L$3</f>
        <v>1.4500015456989528</v>
      </c>
      <c r="M64" s="934">
        <f t="shared" si="145"/>
        <v>2.6</v>
      </c>
      <c r="N64" s="934">
        <f t="shared" si="145"/>
        <v>1.3631991584699581</v>
      </c>
      <c r="O64" s="384">
        <v>2.6</v>
      </c>
      <c r="P64" s="330">
        <f t="shared" si="146"/>
        <v>0.82129063888920661</v>
      </c>
      <c r="Q64" s="935">
        <f t="shared" si="147"/>
        <v>2.6</v>
      </c>
      <c r="R64" s="935">
        <f t="shared" si="147"/>
        <v>1.1845479981686116</v>
      </c>
      <c r="S64" s="384">
        <v>2.6</v>
      </c>
      <c r="T64" s="330">
        <f t="shared" si="148"/>
        <v>1.0762193494622987</v>
      </c>
      <c r="U64" s="934">
        <f t="shared" si="149"/>
        <v>2.6</v>
      </c>
      <c r="V64" s="934">
        <f t="shared" si="149"/>
        <v>1.157021866120286</v>
      </c>
      <c r="W64" s="384">
        <v>2.6</v>
      </c>
      <c r="X64" s="330">
        <f t="shared" si="150"/>
        <v>1.0343465860215246</v>
      </c>
      <c r="Y64" s="934">
        <f t="shared" si="151"/>
        <v>2.6</v>
      </c>
      <c r="Z64" s="934">
        <f t="shared" si="151"/>
        <v>1.132166090414001</v>
      </c>
      <c r="AA64" s="384">
        <v>2.6</v>
      </c>
      <c r="AB64" s="330">
        <f t="shared" si="152"/>
        <v>0.91548038888888228</v>
      </c>
      <c r="AC64" s="935">
        <f t="shared" si="153"/>
        <v>2.6</v>
      </c>
      <c r="AD64" s="935">
        <f t="shared" si="153"/>
        <v>1.0096951702898369</v>
      </c>
      <c r="AE64" s="936">
        <f t="shared" si="153"/>
        <v>2.6</v>
      </c>
      <c r="AF64" s="936">
        <f t="shared" si="153"/>
        <v>1.0966438442623423</v>
      </c>
      <c r="AG64" s="384">
        <v>2.6</v>
      </c>
      <c r="AH64" s="330">
        <f t="shared" si="154"/>
        <v>1.4508932795700846</v>
      </c>
      <c r="AI64" s="934">
        <f t="shared" si="154"/>
        <v>2.6</v>
      </c>
      <c r="AJ64" s="934">
        <f t="shared" si="154"/>
        <v>1.1479603512461742</v>
      </c>
      <c r="AK64" s="384">
        <v>2.6</v>
      </c>
      <c r="AL64" s="330">
        <f t="shared" si="155"/>
        <v>1.2408519999996657</v>
      </c>
      <c r="AM64" s="934">
        <f t="shared" si="155"/>
        <v>2.6</v>
      </c>
      <c r="AN64" s="934">
        <f t="shared" si="155"/>
        <v>1.1593814556011117</v>
      </c>
      <c r="AO64" s="384">
        <v>2.6</v>
      </c>
      <c r="AP64" s="330">
        <f t="shared" si="156"/>
        <v>1.0679059139788751</v>
      </c>
      <c r="AQ64" s="935">
        <f t="shared" si="156"/>
        <v>2.6</v>
      </c>
      <c r="AR64" s="935">
        <f t="shared" si="156"/>
        <v>1.2533514673913884</v>
      </c>
      <c r="AS64" s="934">
        <f t="shared" si="156"/>
        <v>2.6</v>
      </c>
      <c r="AT64" s="934">
        <f t="shared" si="156"/>
        <v>1.1490696672727867</v>
      </c>
      <c r="AU64" s="384">
        <v>2.6</v>
      </c>
      <c r="AV64" s="330">
        <f t="shared" si="157"/>
        <v>1.2610340752684741</v>
      </c>
      <c r="AW64" s="934">
        <f t="shared" si="157"/>
        <v>2.6</v>
      </c>
      <c r="AX64" s="934">
        <f t="shared" si="157"/>
        <v>1.1604124667756179</v>
      </c>
      <c r="AY64" s="384">
        <v>2.6</v>
      </c>
      <c r="AZ64" s="330">
        <f t="shared" si="158"/>
        <v>0.90757947916670578</v>
      </c>
      <c r="BA64" s="934">
        <f t="shared" si="158"/>
        <v>2.6</v>
      </c>
      <c r="BB64" s="934">
        <f t="shared" si="158"/>
        <v>1.1392168869760684</v>
      </c>
      <c r="BC64" s="384">
        <v>2.6</v>
      </c>
      <c r="BD64" s="330">
        <f t="shared" si="159"/>
        <v>0.71644692204281757</v>
      </c>
      <c r="BE64" s="935">
        <f t="shared" si="159"/>
        <v>2.6</v>
      </c>
      <c r="BF64" s="935">
        <f t="shared" si="159"/>
        <v>0.96349040370353123</v>
      </c>
      <c r="BG64" s="936">
        <f t="shared" si="159"/>
        <v>2.6</v>
      </c>
      <c r="BH64" s="936">
        <f t="shared" si="159"/>
        <v>1.1100135787545358</v>
      </c>
      <c r="BI64" s="934">
        <f t="shared" si="159"/>
        <v>2.6</v>
      </c>
      <c r="BJ64" s="934">
        <f t="shared" si="159"/>
        <v>1.1033103968036553</v>
      </c>
      <c r="BK64" s="1219"/>
      <c r="BL64" s="1219"/>
      <c r="BM64" s="1219"/>
      <c r="BN64" s="1219"/>
    </row>
    <row r="65" spans="1:66" ht="15.75" x14ac:dyDescent="0.25">
      <c r="A65" s="281"/>
      <c r="B65" s="22" t="s">
        <v>487</v>
      </c>
      <c r="C65" s="13" t="s">
        <v>381</v>
      </c>
      <c r="D65" s="315">
        <f t="shared" si="166"/>
        <v>11.048583333333307</v>
      </c>
      <c r="E65" s="315">
        <f t="shared" si="166"/>
        <v>10.777446236559159</v>
      </c>
      <c r="G65" s="915">
        <v>3</v>
      </c>
      <c r="H65" s="810" t="s">
        <v>748</v>
      </c>
      <c r="I65" s="327">
        <f>+I55-I62</f>
        <v>160.18436239267879</v>
      </c>
      <c r="J65" s="328">
        <f t="shared" si="143"/>
        <v>145.45017921138881</v>
      </c>
      <c r="K65" s="327">
        <f>+K55-K62</f>
        <v>160.24588093265663</v>
      </c>
      <c r="L65" s="328">
        <f t="shared" ref="L65" si="171">L16/1000/24/L$3</f>
        <v>152.76352936169351</v>
      </c>
      <c r="M65" s="931">
        <f t="shared" si="145"/>
        <v>160.21562591299539</v>
      </c>
      <c r="N65" s="931">
        <f t="shared" si="145"/>
        <v>149.16679977957645</v>
      </c>
      <c r="O65" s="327">
        <f>+O55-O62</f>
        <v>160.17683235758588</v>
      </c>
      <c r="P65" s="328">
        <f t="shared" si="146"/>
        <v>157.02181340416649</v>
      </c>
      <c r="Q65" s="932">
        <f t="shared" si="147"/>
        <v>160.20283682879446</v>
      </c>
      <c r="R65" s="932">
        <f t="shared" si="147"/>
        <v>151.75636471075995</v>
      </c>
      <c r="S65" s="327">
        <f>+S55-S62</f>
        <v>158.99369246528286</v>
      </c>
      <c r="T65" s="328">
        <f t="shared" si="148"/>
        <v>158.23784109274206</v>
      </c>
      <c r="U65" s="931">
        <f t="shared" si="149"/>
        <v>159.89559522823004</v>
      </c>
      <c r="V65" s="931">
        <f t="shared" si="149"/>
        <v>153.40329723405048</v>
      </c>
      <c r="W65" s="327">
        <f>+W55-W62</f>
        <v>158.99369246528286</v>
      </c>
      <c r="X65" s="328">
        <f t="shared" si="150"/>
        <v>154.12190174462353</v>
      </c>
      <c r="Y65" s="931">
        <f t="shared" si="151"/>
        <v>159.71285675992047</v>
      </c>
      <c r="Z65" s="931">
        <f t="shared" si="151"/>
        <v>153.5488968407679</v>
      </c>
      <c r="AA65" s="327">
        <f>+AA55-AA62</f>
        <v>112.70643208228404</v>
      </c>
      <c r="AB65" s="328">
        <f t="shared" si="152"/>
        <v>155.99015324444446</v>
      </c>
      <c r="AC65" s="932">
        <f t="shared" ref="AC65:AF74" si="172">AC16/1000/24/AC$3</f>
        <v>143.9000206012615</v>
      </c>
      <c r="AD65" s="932">
        <f t="shared" si="172"/>
        <v>156.11800679664853</v>
      </c>
      <c r="AE65" s="933">
        <f t="shared" si="172"/>
        <v>152.00688550129155</v>
      </c>
      <c r="AF65" s="933">
        <f t="shared" si="172"/>
        <v>153.94910280858375</v>
      </c>
      <c r="AG65" s="327">
        <f>+AG55-AG62</f>
        <v>157.8259257328323</v>
      </c>
      <c r="AH65" s="328">
        <f t="shared" si="154"/>
        <v>150.17664174327933</v>
      </c>
      <c r="AI65" s="931">
        <f t="shared" si="154"/>
        <v>152.84983058156149</v>
      </c>
      <c r="AJ65" s="931">
        <f t="shared" si="154"/>
        <v>153.40262480379661</v>
      </c>
      <c r="AK65" s="327">
        <f>+AK55-AK62</f>
        <v>157.90728539382997</v>
      </c>
      <c r="AL65" s="328">
        <f t="shared" si="155"/>
        <v>67.668738611111451</v>
      </c>
      <c r="AM65" s="931">
        <f t="shared" si="155"/>
        <v>153.47164879618464</v>
      </c>
      <c r="AN65" s="931">
        <f t="shared" si="155"/>
        <v>142.86157322272877</v>
      </c>
      <c r="AO65" s="327">
        <f>+AO55-AO62</f>
        <v>157.8259257328323</v>
      </c>
      <c r="AP65" s="328">
        <f t="shared" ref="AP65:AT74" si="173">AP16/1000/24/AP$3</f>
        <v>146.3095034341394</v>
      </c>
      <c r="AQ65" s="932">
        <f t="shared" si="173"/>
        <v>157.85245605707067</v>
      </c>
      <c r="AR65" s="932">
        <f t="shared" si="173"/>
        <v>121.96883324818832</v>
      </c>
      <c r="AS65" s="931">
        <f t="shared" si="173"/>
        <v>153.96249455995221</v>
      </c>
      <c r="AT65" s="931">
        <f t="shared" si="173"/>
        <v>143.25024899201506</v>
      </c>
      <c r="AU65" s="327">
        <f>+AU55-AU62</f>
        <v>157.8259257328323</v>
      </c>
      <c r="AV65" s="328">
        <f t="shared" si="157"/>
        <v>147.38735060483907</v>
      </c>
      <c r="AW65" s="931">
        <f t="shared" si="157"/>
        <v>154.35388791406751</v>
      </c>
      <c r="AX65" s="931">
        <f t="shared" si="157"/>
        <v>143.66936712926193</v>
      </c>
      <c r="AY65" s="327">
        <f>+AY55-AY62</f>
        <v>157.50734766276881</v>
      </c>
      <c r="AZ65" s="328">
        <f t="shared" si="158"/>
        <v>150.37706870424105</v>
      </c>
      <c r="BA65" s="931">
        <f t="shared" si="158"/>
        <v>154.61824980916825</v>
      </c>
      <c r="BB65" s="931">
        <f t="shared" si="158"/>
        <v>144.23168941698475</v>
      </c>
      <c r="BC65" s="327">
        <f>+BC55-BC62</f>
        <v>158.54351871946946</v>
      </c>
      <c r="BD65" s="328">
        <f t="shared" ref="BD65:BJ74" si="174">BD16/1000/24/BD$3</f>
        <v>152.02364339670717</v>
      </c>
      <c r="BE65" s="932">
        <f t="shared" si="174"/>
        <v>157.97398347309868</v>
      </c>
      <c r="BF65" s="932">
        <f t="shared" si="174"/>
        <v>149.91443041962978</v>
      </c>
      <c r="BG65" s="933">
        <f t="shared" si="174"/>
        <v>157.91255203202957</v>
      </c>
      <c r="BH65" s="933">
        <f t="shared" si="174"/>
        <v>135.78808459670333</v>
      </c>
      <c r="BI65" s="931">
        <f t="shared" si="174"/>
        <v>154.95162881250889</v>
      </c>
      <c r="BJ65" s="931">
        <f t="shared" si="174"/>
        <v>144.89347180978311</v>
      </c>
      <c r="BK65" s="1219"/>
      <c r="BL65" s="1219"/>
      <c r="BM65" s="1219"/>
      <c r="BN65" s="1219"/>
    </row>
    <row r="66" spans="1:66" ht="15.75" x14ac:dyDescent="0.25">
      <c r="A66" s="281"/>
      <c r="B66" s="22" t="s">
        <v>724</v>
      </c>
      <c r="C66" s="13" t="s">
        <v>381</v>
      </c>
      <c r="D66" s="315">
        <f t="shared" si="166"/>
        <v>13.06251944444444</v>
      </c>
      <c r="E66" s="315">
        <f t="shared" si="166"/>
        <v>13.210962365591397</v>
      </c>
      <c r="G66" s="915">
        <v>4</v>
      </c>
      <c r="H66" s="810" t="s">
        <v>749</v>
      </c>
      <c r="I66" s="327">
        <f>+I67+I89</f>
        <v>160.18436239267879</v>
      </c>
      <c r="J66" s="328">
        <f t="shared" si="143"/>
        <v>145.45017921138881</v>
      </c>
      <c r="K66" s="327">
        <f>+K67+K89</f>
        <v>160.24588093265663</v>
      </c>
      <c r="L66" s="328">
        <f t="shared" ref="L66" si="175">L17/1000/24/L$3</f>
        <v>152.76352936169351</v>
      </c>
      <c r="M66" s="931">
        <f t="shared" si="145"/>
        <v>160.21562591299539</v>
      </c>
      <c r="N66" s="931">
        <f t="shared" si="145"/>
        <v>149.16679977957645</v>
      </c>
      <c r="O66" s="327">
        <f>+O67+O89</f>
        <v>160.17683235758588</v>
      </c>
      <c r="P66" s="328">
        <f t="shared" si="146"/>
        <v>157.02181340416649</v>
      </c>
      <c r="Q66" s="932">
        <f t="shared" si="147"/>
        <v>160.20283682879446</v>
      </c>
      <c r="R66" s="932">
        <f t="shared" si="147"/>
        <v>151.75636471075998</v>
      </c>
      <c r="S66" s="327">
        <f>+S67+S89</f>
        <v>158.99369246528286</v>
      </c>
      <c r="T66" s="328">
        <f t="shared" si="148"/>
        <v>158.23784109274203</v>
      </c>
      <c r="U66" s="931">
        <f t="shared" si="149"/>
        <v>159.89559522823004</v>
      </c>
      <c r="V66" s="931">
        <f t="shared" si="149"/>
        <v>153.40329723405051</v>
      </c>
      <c r="W66" s="327">
        <f>+W67+W89</f>
        <v>158.99369246528286</v>
      </c>
      <c r="X66" s="328">
        <f t="shared" si="150"/>
        <v>154.12190174462356</v>
      </c>
      <c r="Y66" s="931">
        <f t="shared" si="151"/>
        <v>159.71285675992047</v>
      </c>
      <c r="Z66" s="931">
        <f t="shared" si="151"/>
        <v>153.54889684076792</v>
      </c>
      <c r="AA66" s="327">
        <f>+AA67+AA89</f>
        <v>112.70643208228404</v>
      </c>
      <c r="AB66" s="328">
        <f t="shared" si="152"/>
        <v>155.99015324444443</v>
      </c>
      <c r="AC66" s="932">
        <f t="shared" si="172"/>
        <v>143.9000206012615</v>
      </c>
      <c r="AD66" s="932">
        <f t="shared" si="172"/>
        <v>156.11800679664853</v>
      </c>
      <c r="AE66" s="933">
        <f t="shared" si="172"/>
        <v>152.00688550129155</v>
      </c>
      <c r="AF66" s="933">
        <f t="shared" si="172"/>
        <v>153.94910280858375</v>
      </c>
      <c r="AG66" s="327">
        <f>+AG67+AG89</f>
        <v>157.8259257328323</v>
      </c>
      <c r="AH66" s="328">
        <f t="shared" si="154"/>
        <v>150.1766417432793</v>
      </c>
      <c r="AI66" s="931">
        <f t="shared" si="154"/>
        <v>152.84983058156149</v>
      </c>
      <c r="AJ66" s="931">
        <f t="shared" si="154"/>
        <v>153.40262480379661</v>
      </c>
      <c r="AK66" s="327">
        <f>+AK67+AK89</f>
        <v>157.90728539382997</v>
      </c>
      <c r="AL66" s="328">
        <f t="shared" si="155"/>
        <v>67.668738611111465</v>
      </c>
      <c r="AM66" s="931">
        <f t="shared" si="155"/>
        <v>153.47164879618464</v>
      </c>
      <c r="AN66" s="931">
        <f t="shared" si="155"/>
        <v>142.86157322272877</v>
      </c>
      <c r="AO66" s="327">
        <f>+AO67+AO89</f>
        <v>157.8259257328323</v>
      </c>
      <c r="AP66" s="328">
        <f t="shared" si="173"/>
        <v>146.3095034341394</v>
      </c>
      <c r="AQ66" s="932">
        <f t="shared" si="173"/>
        <v>157.85245605707064</v>
      </c>
      <c r="AR66" s="932">
        <f t="shared" si="173"/>
        <v>121.96883324818832</v>
      </c>
      <c r="AS66" s="931">
        <f t="shared" si="173"/>
        <v>153.96249455995221</v>
      </c>
      <c r="AT66" s="931">
        <f t="shared" si="173"/>
        <v>143.25024899201506</v>
      </c>
      <c r="AU66" s="327">
        <f>+AU67+AU89</f>
        <v>157.8259257328323</v>
      </c>
      <c r="AV66" s="328">
        <f t="shared" si="157"/>
        <v>147.38735060483904</v>
      </c>
      <c r="AW66" s="931">
        <f t="shared" si="157"/>
        <v>154.35388791406751</v>
      </c>
      <c r="AX66" s="931">
        <f t="shared" si="157"/>
        <v>143.66936712926193</v>
      </c>
      <c r="AY66" s="327">
        <f>+AY67+AY89</f>
        <v>157.50734766276881</v>
      </c>
      <c r="AZ66" s="328">
        <f t="shared" si="158"/>
        <v>150.37706870424103</v>
      </c>
      <c r="BA66" s="931">
        <f t="shared" si="158"/>
        <v>154.61824980916822</v>
      </c>
      <c r="BB66" s="931">
        <f t="shared" si="158"/>
        <v>144.23168941698475</v>
      </c>
      <c r="BC66" s="327">
        <f>+BC67+BC89</f>
        <v>158.54351871946946</v>
      </c>
      <c r="BD66" s="328">
        <f t="shared" si="174"/>
        <v>152.02364339670717</v>
      </c>
      <c r="BE66" s="932">
        <f t="shared" si="174"/>
        <v>157.97398347309863</v>
      </c>
      <c r="BF66" s="932">
        <f t="shared" si="174"/>
        <v>149.91443041962978</v>
      </c>
      <c r="BG66" s="933">
        <f t="shared" si="174"/>
        <v>157.91255203202954</v>
      </c>
      <c r="BH66" s="933">
        <f t="shared" si="174"/>
        <v>135.78808459670333</v>
      </c>
      <c r="BI66" s="931">
        <f t="shared" si="174"/>
        <v>154.95162881250886</v>
      </c>
      <c r="BJ66" s="931">
        <f t="shared" si="174"/>
        <v>144.89347180978311</v>
      </c>
      <c r="BK66" s="1219"/>
      <c r="BL66" s="1219"/>
      <c r="BM66" s="1219"/>
      <c r="BN66" s="1219"/>
    </row>
    <row r="67" spans="1:66" ht="15.75" x14ac:dyDescent="0.25">
      <c r="A67" s="281"/>
      <c r="B67" s="22" t="s">
        <v>725</v>
      </c>
      <c r="C67" s="13" t="s">
        <v>381</v>
      </c>
      <c r="D67" s="315">
        <f t="shared" si="166"/>
        <v>22.231472222222227</v>
      </c>
      <c r="E67" s="315">
        <f t="shared" si="166"/>
        <v>22.708427419354837</v>
      </c>
      <c r="G67" s="922">
        <v>4.0999999999999996</v>
      </c>
      <c r="H67" s="811" t="s">
        <v>743</v>
      </c>
      <c r="I67" s="331">
        <f>I68+I84</f>
        <v>146.8593623926788</v>
      </c>
      <c r="J67" s="332">
        <f t="shared" si="143"/>
        <v>133.26093189379623</v>
      </c>
      <c r="K67" s="331">
        <f>K68+K84</f>
        <v>146.92088093265664</v>
      </c>
      <c r="L67" s="332">
        <f t="shared" ref="L67" si="176">L18/1000/24/L$3</f>
        <v>139.79950967396951</v>
      </c>
      <c r="M67" s="937">
        <f t="shared" si="145"/>
        <v>146.89062591299543</v>
      </c>
      <c r="N67" s="937">
        <f t="shared" si="145"/>
        <v>136.58381568372036</v>
      </c>
      <c r="O67" s="331">
        <f>O68+O84</f>
        <v>146.85183235758589</v>
      </c>
      <c r="P67" s="332">
        <f t="shared" si="146"/>
        <v>143.45282549074054</v>
      </c>
      <c r="Q67" s="1666">
        <f t="shared" si="147"/>
        <v>146.87783682879447</v>
      </c>
      <c r="R67" s="1666">
        <f t="shared" si="147"/>
        <v>138.84832441130945</v>
      </c>
      <c r="S67" s="331">
        <f>S68+S84</f>
        <v>145.66869246528287</v>
      </c>
      <c r="T67" s="332">
        <f t="shared" si="148"/>
        <v>144.7363386137994</v>
      </c>
      <c r="U67" s="937">
        <f t="shared" si="149"/>
        <v>146.57059522823005</v>
      </c>
      <c r="V67" s="937">
        <f t="shared" si="149"/>
        <v>140.34445916767984</v>
      </c>
      <c r="W67" s="331">
        <f>W68+W84</f>
        <v>145.66869246528287</v>
      </c>
      <c r="X67" s="332">
        <f t="shared" si="150"/>
        <v>140.93425017114683</v>
      </c>
      <c r="Y67" s="937">
        <f t="shared" si="151"/>
        <v>146.38785675992048</v>
      </c>
      <c r="Z67" s="937">
        <f t="shared" si="151"/>
        <v>140.46395930563719</v>
      </c>
      <c r="AA67" s="331">
        <f>AA68+AA84</f>
        <v>99.381432082284036</v>
      </c>
      <c r="AB67" s="332">
        <f t="shared" si="152"/>
        <v>142.56274418287032</v>
      </c>
      <c r="AC67" s="1666">
        <f t="shared" si="172"/>
        <v>130.57502060126154</v>
      </c>
      <c r="AD67" s="1666">
        <f t="shared" si="172"/>
        <v>142.74641932412439</v>
      </c>
      <c r="AE67" s="1665">
        <f t="shared" si="172"/>
        <v>138.68188550129156</v>
      </c>
      <c r="AF67" s="1665">
        <f t="shared" si="172"/>
        <v>140.8080224002656</v>
      </c>
      <c r="AG67" s="331">
        <f>AG68+AG84</f>
        <v>144.50092573283231</v>
      </c>
      <c r="AH67" s="332">
        <f t="shared" si="154"/>
        <v>137.8480154404119</v>
      </c>
      <c r="AI67" s="937">
        <f t="shared" si="154"/>
        <v>139.52483058156147</v>
      </c>
      <c r="AJ67" s="937">
        <f t="shared" si="154"/>
        <v>140.37923634533351</v>
      </c>
      <c r="AK67" s="331">
        <f>AK68+AK84</f>
        <v>144.58228539382998</v>
      </c>
      <c r="AL67" s="332">
        <f t="shared" si="155"/>
        <v>60.231103444444784</v>
      </c>
      <c r="AM67" s="937">
        <f t="shared" si="155"/>
        <v>140.14664879618465</v>
      </c>
      <c r="AN67" s="937">
        <f t="shared" si="155"/>
        <v>130.52495770997834</v>
      </c>
      <c r="AO67" s="331">
        <f>AO68+AO84</f>
        <v>144.50092573283231</v>
      </c>
      <c r="AP67" s="332">
        <f t="shared" si="173"/>
        <v>135.27624357526844</v>
      </c>
      <c r="AQ67" s="1666">
        <f t="shared" si="173"/>
        <v>144.52745605707062</v>
      </c>
      <c r="AR67" s="1666">
        <f t="shared" si="173"/>
        <v>111.67157753064602</v>
      </c>
      <c r="AS67" s="2624">
        <f t="shared" si="173"/>
        <v>140.63749455995219</v>
      </c>
      <c r="AT67" s="2624">
        <f t="shared" si="173"/>
        <v>131.06055720752013</v>
      </c>
      <c r="AU67" s="331">
        <f>AU68+AU84</f>
        <v>144.50092573283231</v>
      </c>
      <c r="AV67" s="332">
        <f t="shared" si="157"/>
        <v>135.95020609319027</v>
      </c>
      <c r="AW67" s="2624">
        <f t="shared" si="157"/>
        <v>141.02888791406752</v>
      </c>
      <c r="AX67" s="2624">
        <f t="shared" si="157"/>
        <v>131.55591379397691</v>
      </c>
      <c r="AY67" s="331">
        <f>AY68+AY84</f>
        <v>144.18234766276882</v>
      </c>
      <c r="AZ67" s="332">
        <f t="shared" si="158"/>
        <v>139.21227681485612</v>
      </c>
      <c r="BA67" s="2624">
        <f t="shared" si="158"/>
        <v>141.2932498091682</v>
      </c>
      <c r="BB67" s="2624">
        <f t="shared" si="158"/>
        <v>132.19776458614643</v>
      </c>
      <c r="BC67" s="331">
        <f>BC68+BC84</f>
        <v>145.21851871946947</v>
      </c>
      <c r="BD67" s="332">
        <f t="shared" si="174"/>
        <v>140.77598359428782</v>
      </c>
      <c r="BE67" s="1666">
        <f t="shared" si="174"/>
        <v>144.64898347309864</v>
      </c>
      <c r="BF67" s="1666">
        <f t="shared" si="174"/>
        <v>138.62728479030881</v>
      </c>
      <c r="BG67" s="1665">
        <f t="shared" si="174"/>
        <v>144.58755203202952</v>
      </c>
      <c r="BH67" s="1665">
        <f t="shared" si="174"/>
        <v>125.0013228788309</v>
      </c>
      <c r="BI67" s="2624">
        <f t="shared" si="174"/>
        <v>141.62662881250887</v>
      </c>
      <c r="BJ67" s="2624">
        <f t="shared" si="174"/>
        <v>132.92632565259134</v>
      </c>
      <c r="BK67" s="1219"/>
      <c r="BL67" s="1219"/>
      <c r="BM67" s="1219"/>
      <c r="BN67" s="1219"/>
    </row>
    <row r="68" spans="1:66" x14ac:dyDescent="0.25">
      <c r="A68" s="281"/>
      <c r="B68" s="22" t="s">
        <v>82</v>
      </c>
      <c r="C68" s="13" t="s">
        <v>381</v>
      </c>
      <c r="D68" s="315">
        <f t="shared" si="166"/>
        <v>1.3352222222222243</v>
      </c>
      <c r="E68" s="315">
        <f t="shared" si="166"/>
        <v>1.3534677419354828</v>
      </c>
      <c r="G68" s="923" t="s">
        <v>750</v>
      </c>
      <c r="H68" s="838" t="s">
        <v>722</v>
      </c>
      <c r="I68" s="333">
        <f>+SUM(I69:I82)</f>
        <v>144.33780905934546</v>
      </c>
      <c r="J68" s="334">
        <f t="shared" si="143"/>
        <v>131.23587909722215</v>
      </c>
      <c r="K68" s="333">
        <f>+SUM(K69:K82)</f>
        <v>144.3993275993233</v>
      </c>
      <c r="L68" s="334">
        <f t="shared" ref="L68" si="177">L19/1000/24/L$3</f>
        <v>137.53057478494623</v>
      </c>
      <c r="M68" s="938">
        <f t="shared" si="145"/>
        <v>144.36907257966206</v>
      </c>
      <c r="N68" s="938">
        <f t="shared" si="145"/>
        <v>134.434822807377</v>
      </c>
      <c r="O68" s="333">
        <f>+SUM(O69:O82)</f>
        <v>144.39850569091922</v>
      </c>
      <c r="P68" s="334">
        <f t="shared" si="146"/>
        <v>141.2380808888887</v>
      </c>
      <c r="Q68" s="939">
        <f t="shared" si="147"/>
        <v>144.37877580315345</v>
      </c>
      <c r="R68" s="939">
        <f t="shared" si="147"/>
        <v>136.6776551419413</v>
      </c>
      <c r="S68" s="333">
        <f>+SUM(S69:S82)</f>
        <v>143.2153657986162</v>
      </c>
      <c r="T68" s="334">
        <f t="shared" si="148"/>
        <v>142.56308795698934</v>
      </c>
      <c r="U68" s="938">
        <f t="shared" si="149"/>
        <v>144.08315522823003</v>
      </c>
      <c r="V68" s="938">
        <f t="shared" si="149"/>
        <v>138.17313397199447</v>
      </c>
      <c r="W68" s="333">
        <f>+SUM(W69:W82)</f>
        <v>143.2153657986162</v>
      </c>
      <c r="X68" s="334">
        <f t="shared" si="150"/>
        <v>138.82875287634397</v>
      </c>
      <c r="Y68" s="938">
        <f t="shared" si="151"/>
        <v>143.90732861177233</v>
      </c>
      <c r="Z68" s="938">
        <f t="shared" si="151"/>
        <v>138.30597178921562</v>
      </c>
      <c r="AA68" s="333">
        <f>+SUM(AA69:AA82)</f>
        <v>96.960513082284038</v>
      </c>
      <c r="AB68" s="334">
        <f t="shared" si="152"/>
        <v>140.3709321111111</v>
      </c>
      <c r="AC68" s="939">
        <f t="shared" si="172"/>
        <v>128.13226165198617</v>
      </c>
      <c r="AD68" s="939">
        <f t="shared" si="172"/>
        <v>140.58994596920292</v>
      </c>
      <c r="AE68" s="940">
        <f t="shared" si="172"/>
        <v>136.21112934464313</v>
      </c>
      <c r="AF68" s="940">
        <f t="shared" si="172"/>
        <v>138.64448987477226</v>
      </c>
      <c r="AG68" s="333">
        <f>+SUM(AG69:AG82)</f>
        <v>141.3024777328323</v>
      </c>
      <c r="AH68" s="334">
        <f t="shared" si="154"/>
        <v>135.59988279569865</v>
      </c>
      <c r="AI68" s="938">
        <f t="shared" si="154"/>
        <v>136.94866112050229</v>
      </c>
      <c r="AJ68" s="938">
        <f t="shared" si="154"/>
        <v>138.2034486623831</v>
      </c>
      <c r="AK68" s="333">
        <f>+SUM(AK69:AK82)</f>
        <v>141.38383739382996</v>
      </c>
      <c r="AL68" s="334">
        <f t="shared" si="155"/>
        <v>58.109603555555886</v>
      </c>
      <c r="AM68" s="938">
        <f t="shared" si="155"/>
        <v>137.49396967869828</v>
      </c>
      <c r="AN68" s="938">
        <f t="shared" si="155"/>
        <v>128.355844755806</v>
      </c>
      <c r="AO68" s="333">
        <f>+SUM(AO69:AO82)</f>
        <v>141.3024777328323</v>
      </c>
      <c r="AP68" s="334">
        <f t="shared" si="173"/>
        <v>133.29877688172004</v>
      </c>
      <c r="AQ68" s="939">
        <f t="shared" si="173"/>
        <v>141.32900805707061</v>
      </c>
      <c r="AR68" s="939">
        <f t="shared" si="173"/>
        <v>109.55594083333324</v>
      </c>
      <c r="AS68" s="938">
        <f t="shared" si="173"/>
        <v>137.92329240480066</v>
      </c>
      <c r="AT68" s="938">
        <f t="shared" si="173"/>
        <v>128.91304801363631</v>
      </c>
      <c r="AU68" s="333">
        <f>+SUM(AU69:AU82)</f>
        <v>141.3024777328323</v>
      </c>
      <c r="AV68" s="334">
        <f t="shared" si="157"/>
        <v>133.99202553763473</v>
      </c>
      <c r="AW68" s="938">
        <f t="shared" si="157"/>
        <v>138.26562817332675</v>
      </c>
      <c r="AX68" s="938">
        <f t="shared" si="157"/>
        <v>129.42758495234204</v>
      </c>
      <c r="AY68" s="333">
        <f>+SUM(AY69:AY82)</f>
        <v>140.98389966276881</v>
      </c>
      <c r="AZ68" s="334">
        <f t="shared" si="158"/>
        <v>137.16587290178566</v>
      </c>
      <c r="BA68" s="938">
        <f t="shared" si="158"/>
        <v>138.49350722034586</v>
      </c>
      <c r="BB68" s="938">
        <f t="shared" si="158"/>
        <v>130.0763037025948</v>
      </c>
      <c r="BC68" s="333">
        <f>+SUM(BC69:BC82)</f>
        <v>142.02007071946946</v>
      </c>
      <c r="BD68" s="334">
        <f t="shared" si="174"/>
        <v>138.70134030913994</v>
      </c>
      <c r="BE68" s="939">
        <f t="shared" si="174"/>
        <v>141.45053547309863</v>
      </c>
      <c r="BF68" s="939">
        <f t="shared" si="174"/>
        <v>136.60154202777792</v>
      </c>
      <c r="BG68" s="940">
        <f t="shared" si="174"/>
        <v>141.38910403202954</v>
      </c>
      <c r="BH68" s="940">
        <f t="shared" si="174"/>
        <v>122.93013922619051</v>
      </c>
      <c r="BI68" s="938">
        <f t="shared" si="174"/>
        <v>138.79302357232618</v>
      </c>
      <c r="BJ68" s="938">
        <f t="shared" si="174"/>
        <v>130.80884105821917</v>
      </c>
      <c r="BK68" s="1219"/>
      <c r="BL68" s="1219"/>
      <c r="BM68" s="1219"/>
      <c r="BN68" s="1219"/>
    </row>
    <row r="69" spans="1:66" x14ac:dyDescent="0.25">
      <c r="A69" s="281"/>
      <c r="B69" s="22" t="s">
        <v>488</v>
      </c>
      <c r="C69" s="13" t="s">
        <v>381</v>
      </c>
      <c r="D69" s="315">
        <f t="shared" si="166"/>
        <v>5.1045138888889019</v>
      </c>
      <c r="E69" s="315">
        <f t="shared" si="166"/>
        <v>5.8832526881720257</v>
      </c>
      <c r="G69" s="912" t="s">
        <v>751</v>
      </c>
      <c r="H69" s="271" t="s">
        <v>723</v>
      </c>
      <c r="I69" s="329">
        <v>7.3162083750000004</v>
      </c>
      <c r="J69" s="330">
        <f t="shared" si="143"/>
        <v>7.1035774305555544</v>
      </c>
      <c r="K69" s="329">
        <v>7.3162083750000004</v>
      </c>
      <c r="L69" s="330">
        <f t="shared" ref="L69" si="178">L20/1000/24/L$3</f>
        <v>7.0301409139785012</v>
      </c>
      <c r="M69" s="934">
        <f t="shared" si="145"/>
        <v>7.3162083750000004</v>
      </c>
      <c r="N69" s="934">
        <f t="shared" si="145"/>
        <v>7.0662572336065601</v>
      </c>
      <c r="O69" s="329">
        <v>7.3162083750000004</v>
      </c>
      <c r="P69" s="330">
        <f t="shared" si="146"/>
        <v>6.9205679722222033</v>
      </c>
      <c r="Q69" s="935">
        <f t="shared" si="147"/>
        <v>7.3162083750000013</v>
      </c>
      <c r="R69" s="935">
        <f t="shared" si="147"/>
        <v>7.0182278067765518</v>
      </c>
      <c r="S69" s="329">
        <v>7.3162083750000004</v>
      </c>
      <c r="T69" s="330">
        <f t="shared" si="148"/>
        <v>6.9423149731182976</v>
      </c>
      <c r="U69" s="934">
        <f t="shared" si="149"/>
        <v>7.3162083750000004</v>
      </c>
      <c r="V69" s="934">
        <f t="shared" si="149"/>
        <v>6.9989384801912573</v>
      </c>
      <c r="W69" s="329">
        <v>7.3162083750000004</v>
      </c>
      <c r="X69" s="330">
        <f t="shared" si="150"/>
        <v>6.6769094086021372</v>
      </c>
      <c r="Y69" s="934">
        <f t="shared" si="151"/>
        <v>7.3162083749999995</v>
      </c>
      <c r="Z69" s="934">
        <f t="shared" si="151"/>
        <v>6.9336907598039197</v>
      </c>
      <c r="AA69" s="329">
        <v>6.9802600312499994</v>
      </c>
      <c r="AB69" s="330">
        <f t="shared" si="152"/>
        <v>6.5690066666666818</v>
      </c>
      <c r="AC69" s="935">
        <f t="shared" si="172"/>
        <v>7.206660002038042</v>
      </c>
      <c r="AD69" s="935">
        <f t="shared" si="172"/>
        <v>6.7311538677536307</v>
      </c>
      <c r="AE69" s="936">
        <f t="shared" si="172"/>
        <v>7.26113487602459</v>
      </c>
      <c r="AF69" s="936">
        <f t="shared" si="172"/>
        <v>6.8739064822404385</v>
      </c>
      <c r="AG69" s="329">
        <v>6.6932930624999996</v>
      </c>
      <c r="AH69" s="330">
        <f t="shared" si="154"/>
        <v>6.7215591397849161</v>
      </c>
      <c r="AI69" s="934">
        <f t="shared" si="154"/>
        <v>7.178877417056075</v>
      </c>
      <c r="AJ69" s="934">
        <f t="shared" si="154"/>
        <v>6.8518374746884696</v>
      </c>
      <c r="AK69" s="329">
        <v>6.6932930625000004</v>
      </c>
      <c r="AL69" s="330">
        <f t="shared" si="155"/>
        <v>6.2268472222222435</v>
      </c>
      <c r="AM69" s="934">
        <f t="shared" si="155"/>
        <v>7.1191744226434439</v>
      </c>
      <c r="AN69" s="934">
        <f t="shared" si="155"/>
        <v>6.7749944108606552</v>
      </c>
      <c r="AO69" s="329">
        <v>6.6932930624999996</v>
      </c>
      <c r="AP69" s="330">
        <f t="shared" si="173"/>
        <v>6.544126344086</v>
      </c>
      <c r="AQ69" s="935">
        <f t="shared" si="173"/>
        <v>6.6932930624999987</v>
      </c>
      <c r="AR69" s="935">
        <f t="shared" si="173"/>
        <v>6.500452898550714</v>
      </c>
      <c r="AS69" s="934">
        <f t="shared" si="173"/>
        <v>7.071165978409093</v>
      </c>
      <c r="AT69" s="934">
        <f t="shared" si="173"/>
        <v>6.7489692833333308</v>
      </c>
      <c r="AU69" s="329">
        <v>6.6932930624999996</v>
      </c>
      <c r="AV69" s="330">
        <f t="shared" si="157"/>
        <v>6.7925672043010925</v>
      </c>
      <c r="AW69" s="934">
        <f t="shared" si="157"/>
        <v>7.0328847352941182</v>
      </c>
      <c r="AX69" s="934">
        <f t="shared" si="157"/>
        <v>6.7533860661764695</v>
      </c>
      <c r="AY69" s="329">
        <v>6.6932930624999996</v>
      </c>
      <c r="AZ69" s="330">
        <f t="shared" si="158"/>
        <v>7.1898949255952207</v>
      </c>
      <c r="BA69" s="934">
        <f t="shared" si="158"/>
        <v>7.0044159723053907</v>
      </c>
      <c r="BB69" s="934">
        <f t="shared" si="158"/>
        <v>6.7899796232534895</v>
      </c>
      <c r="BC69" s="329">
        <v>6.6932930624999996</v>
      </c>
      <c r="BD69" s="330">
        <f t="shared" si="174"/>
        <v>7.0730585887096824</v>
      </c>
      <c r="BE69" s="935">
        <f t="shared" si="174"/>
        <v>6.6932930625000004</v>
      </c>
      <c r="BF69" s="935">
        <f t="shared" si="174"/>
        <v>7.0127939722222248</v>
      </c>
      <c r="BG69" s="936">
        <f t="shared" si="174"/>
        <v>6.6932930624999996</v>
      </c>
      <c r="BH69" s="936">
        <f t="shared" si="174"/>
        <v>6.7538083745421202</v>
      </c>
      <c r="BI69" s="934">
        <f t="shared" si="174"/>
        <v>6.9779918347602754</v>
      </c>
      <c r="BJ69" s="934">
        <f t="shared" si="174"/>
        <v>6.8140219463470304</v>
      </c>
      <c r="BK69" s="1219"/>
      <c r="BL69" s="1219"/>
      <c r="BM69" s="1219"/>
      <c r="BN69" s="1219"/>
    </row>
    <row r="70" spans="1:66" x14ac:dyDescent="0.25">
      <c r="A70" s="281"/>
      <c r="B70" s="22" t="s">
        <v>489</v>
      </c>
      <c r="C70" s="13" t="s">
        <v>381</v>
      </c>
      <c r="D70" s="315">
        <f t="shared" si="166"/>
        <v>2.9443194444444436</v>
      </c>
      <c r="E70" s="315">
        <f t="shared" si="166"/>
        <v>6.5376075268817191</v>
      </c>
      <c r="G70" s="912" t="s">
        <v>752</v>
      </c>
      <c r="H70" s="271" t="s">
        <v>634</v>
      </c>
      <c r="I70" s="329">
        <v>2.9</v>
      </c>
      <c r="J70" s="330">
        <f t="shared" si="143"/>
        <v>2.6860277777777863</v>
      </c>
      <c r="K70" s="329">
        <v>2.9</v>
      </c>
      <c r="L70" s="330">
        <f t="shared" ref="L70" si="179">L21/1000/24/L$3</f>
        <v>2.762379032258059</v>
      </c>
      <c r="M70" s="934">
        <f t="shared" si="145"/>
        <v>2.9</v>
      </c>
      <c r="N70" s="934">
        <f t="shared" si="145"/>
        <v>2.7248292349726793</v>
      </c>
      <c r="O70" s="329">
        <v>2.9</v>
      </c>
      <c r="P70" s="330">
        <f t="shared" si="146"/>
        <v>2.9379444444444447</v>
      </c>
      <c r="Q70" s="935">
        <f t="shared" si="147"/>
        <v>2.9000000000000004</v>
      </c>
      <c r="R70" s="935">
        <f t="shared" si="147"/>
        <v>2.7950869963369973</v>
      </c>
      <c r="S70" s="329">
        <v>2.9</v>
      </c>
      <c r="T70" s="330">
        <f t="shared" si="148"/>
        <v>3.2699731182795664</v>
      </c>
      <c r="U70" s="934">
        <f t="shared" si="149"/>
        <v>2.9</v>
      </c>
      <c r="V70" s="934">
        <f t="shared" si="149"/>
        <v>2.9157547814207652</v>
      </c>
      <c r="W70" s="329">
        <v>2.9</v>
      </c>
      <c r="X70" s="330">
        <f t="shared" si="150"/>
        <v>3.131885752688178</v>
      </c>
      <c r="Y70" s="934">
        <f t="shared" si="151"/>
        <v>2.9</v>
      </c>
      <c r="Z70" s="934">
        <f t="shared" si="151"/>
        <v>2.9595460239651423</v>
      </c>
      <c r="AA70" s="329">
        <v>2.0099999999999998</v>
      </c>
      <c r="AB70" s="330">
        <f t="shared" si="152"/>
        <v>3.12839861111111</v>
      </c>
      <c r="AC70" s="935">
        <f t="shared" si="172"/>
        <v>2.6097826086956522</v>
      </c>
      <c r="AD70" s="935">
        <f t="shared" si="172"/>
        <v>3.1772780797101454</v>
      </c>
      <c r="AE70" s="936">
        <f t="shared" si="172"/>
        <v>2.7540983606557377</v>
      </c>
      <c r="AF70" s="936">
        <f t="shared" si="172"/>
        <v>2.9872267759562847</v>
      </c>
      <c r="AG70" s="329">
        <v>2.9</v>
      </c>
      <c r="AH70" s="330">
        <f t="shared" si="154"/>
        <v>2.9726747311827921</v>
      </c>
      <c r="AI70" s="934">
        <f t="shared" si="154"/>
        <v>2.7752336448598132</v>
      </c>
      <c r="AJ70" s="934">
        <f t="shared" si="154"/>
        <v>2.9851187694704051</v>
      </c>
      <c r="AK70" s="329">
        <v>2.9</v>
      </c>
      <c r="AL70" s="330">
        <f t="shared" si="155"/>
        <v>1.0187638888888899</v>
      </c>
      <c r="AM70" s="934">
        <f t="shared" si="155"/>
        <v>2.790573770491803</v>
      </c>
      <c r="AN70" s="934">
        <f t="shared" si="155"/>
        <v>2.7433538251366119</v>
      </c>
      <c r="AO70" s="329">
        <v>2.9</v>
      </c>
      <c r="AP70" s="330">
        <f t="shared" si="173"/>
        <v>2.721626344086022</v>
      </c>
      <c r="AQ70" s="935">
        <f t="shared" si="173"/>
        <v>2.9</v>
      </c>
      <c r="AR70" s="935">
        <f t="shared" si="173"/>
        <v>2.2509374999999991</v>
      </c>
      <c r="AS70" s="934">
        <f t="shared" si="173"/>
        <v>2.802909090909091</v>
      </c>
      <c r="AT70" s="934">
        <f t="shared" si="173"/>
        <v>2.740904545454546</v>
      </c>
      <c r="AU70" s="329">
        <v>2.9</v>
      </c>
      <c r="AV70" s="330">
        <f t="shared" si="157"/>
        <v>2.8106451612903265</v>
      </c>
      <c r="AW70" s="934">
        <f t="shared" si="157"/>
        <v>2.8127450980392155</v>
      </c>
      <c r="AX70" s="934">
        <f t="shared" si="157"/>
        <v>2.7479697712418307</v>
      </c>
      <c r="AY70" s="329">
        <v>2.9</v>
      </c>
      <c r="AZ70" s="330">
        <f t="shared" si="158"/>
        <v>2.6406696428571386</v>
      </c>
      <c r="BA70" s="934">
        <f t="shared" si="158"/>
        <v>2.8200598802395209</v>
      </c>
      <c r="BB70" s="934">
        <f t="shared" si="158"/>
        <v>2.7389745508982037</v>
      </c>
      <c r="BC70" s="329">
        <v>2.9</v>
      </c>
      <c r="BD70" s="330">
        <f t="shared" si="174"/>
        <v>2.9049059139784918</v>
      </c>
      <c r="BE70" s="935">
        <f t="shared" si="174"/>
        <v>2.9</v>
      </c>
      <c r="BF70" s="935">
        <f t="shared" si="174"/>
        <v>2.7902314814814804</v>
      </c>
      <c r="BG70" s="936">
        <f t="shared" si="174"/>
        <v>2.9000000000000004</v>
      </c>
      <c r="BH70" s="936">
        <f t="shared" si="174"/>
        <v>2.5176213369963363</v>
      </c>
      <c r="BI70" s="934">
        <f t="shared" si="174"/>
        <v>2.8268493150684932</v>
      </c>
      <c r="BJ70" s="934">
        <f t="shared" si="174"/>
        <v>2.753067351598173</v>
      </c>
      <c r="BK70" s="1219"/>
      <c r="BL70" s="1219"/>
      <c r="BM70" s="1219"/>
      <c r="BN70" s="1219"/>
    </row>
    <row r="71" spans="1:66" x14ac:dyDescent="0.25">
      <c r="A71" s="281"/>
      <c r="B71" s="22" t="s">
        <v>490</v>
      </c>
      <c r="C71" s="13" t="s">
        <v>381</v>
      </c>
      <c r="D71" s="315">
        <f t="shared" si="166"/>
        <v>0.58881527777777698</v>
      </c>
      <c r="E71" s="315">
        <f t="shared" si="166"/>
        <v>0.73001344086021558</v>
      </c>
      <c r="G71" s="912" t="s">
        <v>753</v>
      </c>
      <c r="H71" s="271" t="s">
        <v>487</v>
      </c>
      <c r="I71" s="329">
        <v>15.992662885530034</v>
      </c>
      <c r="J71" s="330">
        <f t="shared" si="143"/>
        <v>13.449930555555529</v>
      </c>
      <c r="K71" s="329">
        <v>15.941694790989782</v>
      </c>
      <c r="L71" s="330">
        <f t="shared" ref="L71" si="180">L22/1000/24/L$3</f>
        <v>14.965631720430096</v>
      </c>
      <c r="M71" s="934">
        <f t="shared" si="145"/>
        <v>15.966761066993184</v>
      </c>
      <c r="N71" s="934">
        <f t="shared" si="145"/>
        <v>14.220204918032769</v>
      </c>
      <c r="O71" s="329">
        <v>15.992662885530034</v>
      </c>
      <c r="P71" s="330">
        <f t="shared" si="146"/>
        <v>16.30136111111111</v>
      </c>
      <c r="Q71" s="935">
        <f t="shared" si="147"/>
        <v>15.975300128049289</v>
      </c>
      <c r="R71" s="935">
        <f t="shared" si="147"/>
        <v>14.906300366300353</v>
      </c>
      <c r="S71" s="329">
        <v>15.651117130611107</v>
      </c>
      <c r="T71" s="330">
        <f t="shared" si="148"/>
        <v>16.737795698924728</v>
      </c>
      <c r="U71" s="934">
        <f t="shared" si="149"/>
        <v>15.892925759847786</v>
      </c>
      <c r="V71" s="934">
        <f t="shared" si="149"/>
        <v>15.371680327868841</v>
      </c>
      <c r="W71" s="329">
        <v>15.651117130611107</v>
      </c>
      <c r="X71" s="330">
        <f t="shared" si="150"/>
        <v>16.700591397849465</v>
      </c>
      <c r="Y71" s="934">
        <f t="shared" si="151"/>
        <v>15.843931854577608</v>
      </c>
      <c r="Z71" s="934">
        <f t="shared" si="151"/>
        <v>15.640936819172106</v>
      </c>
      <c r="AA71" s="329">
        <v>8.9230073067615141</v>
      </c>
      <c r="AB71" s="330">
        <f t="shared" si="152"/>
        <v>17.088652777777774</v>
      </c>
      <c r="AC71" s="935">
        <f t="shared" si="172"/>
        <v>13.457168275007978</v>
      </c>
      <c r="AD71" s="935">
        <f t="shared" si="172"/>
        <v>16.83966938405797</v>
      </c>
      <c r="AE71" s="936">
        <f t="shared" si="172"/>
        <v>14.709354059853659</v>
      </c>
      <c r="AF71" s="936">
        <f t="shared" si="172"/>
        <v>15.87826730418943</v>
      </c>
      <c r="AG71" s="329">
        <v>16.701711740437478</v>
      </c>
      <c r="AH71" s="330">
        <f t="shared" si="154"/>
        <v>15.500842741935436</v>
      </c>
      <c r="AI71" s="934">
        <f t="shared" si="154"/>
        <v>14.997966621059724</v>
      </c>
      <c r="AJ71" s="934">
        <f t="shared" si="154"/>
        <v>15.823593652647963</v>
      </c>
      <c r="AK71" s="329">
        <v>16.802766196901594</v>
      </c>
      <c r="AL71" s="330">
        <f t="shared" si="155"/>
        <v>2.1857361111111624</v>
      </c>
      <c r="AM71" s="934">
        <f t="shared" si="155"/>
        <v>15.219868208253397</v>
      </c>
      <c r="AN71" s="934">
        <f t="shared" si="155"/>
        <v>14.146807889344256</v>
      </c>
      <c r="AO71" s="329">
        <v>16.701711740437478</v>
      </c>
      <c r="AP71" s="330">
        <f t="shared" si="173"/>
        <v>15.406760752688117</v>
      </c>
      <c r="AQ71" s="935">
        <f t="shared" si="173"/>
        <v>16.73466428058882</v>
      </c>
      <c r="AR71" s="935">
        <f t="shared" si="173"/>
        <v>11.127258605072445</v>
      </c>
      <c r="AS71" s="934">
        <f t="shared" si="173"/>
        <v>15.386912388245056</v>
      </c>
      <c r="AT71" s="934">
        <f t="shared" si="173"/>
        <v>14.288838939393928</v>
      </c>
      <c r="AU71" s="329">
        <v>16.701711740437478</v>
      </c>
      <c r="AV71" s="330">
        <f t="shared" si="157"/>
        <v>15.195013440860267</v>
      </c>
      <c r="AW71" s="934">
        <f t="shared" si="157"/>
        <v>15.520111015427949</v>
      </c>
      <c r="AX71" s="934">
        <f t="shared" si="157"/>
        <v>14.380640931372543</v>
      </c>
      <c r="AY71" s="329">
        <v>16.77052110326925</v>
      </c>
      <c r="AZ71" s="330">
        <f t="shared" si="158"/>
        <v>15.689747023809478</v>
      </c>
      <c r="BA71" s="934">
        <f t="shared" si="158"/>
        <v>15.624935813211051</v>
      </c>
      <c r="BB71" s="934">
        <f t="shared" si="158"/>
        <v>14.490386352295401</v>
      </c>
      <c r="BC71" s="329">
        <v>16.701711740437478</v>
      </c>
      <c r="BD71" s="330">
        <f t="shared" si="174"/>
        <v>16.118346774193565</v>
      </c>
      <c r="BE71" s="935">
        <f t="shared" si="174"/>
        <v>16.723119097762918</v>
      </c>
      <c r="BF71" s="935">
        <f t="shared" si="174"/>
        <v>15.666967592592604</v>
      </c>
      <c r="BG71" s="936">
        <f t="shared" si="174"/>
        <v>16.728955124246337</v>
      </c>
      <c r="BH71" s="936">
        <f t="shared" si="174"/>
        <v>13.372169642857141</v>
      </c>
      <c r="BI71" s="934">
        <f t="shared" si="174"/>
        <v>15.716388015249459</v>
      </c>
      <c r="BJ71" s="934">
        <f t="shared" si="174"/>
        <v>14.62865148401826</v>
      </c>
      <c r="BK71" s="1219"/>
      <c r="BL71" s="1219"/>
      <c r="BM71" s="1219"/>
      <c r="BN71" s="1219"/>
    </row>
    <row r="72" spans="1:66" x14ac:dyDescent="0.25">
      <c r="A72" s="281"/>
      <c r="B72" s="22" t="s">
        <v>758</v>
      </c>
      <c r="C72" s="13" t="s">
        <v>381</v>
      </c>
      <c r="D72" s="315">
        <f t="shared" si="166"/>
        <v>0.52588749999999995</v>
      </c>
      <c r="E72" s="315">
        <f t="shared" si="166"/>
        <v>0.51527553763440859</v>
      </c>
      <c r="G72" s="912" t="s">
        <v>754</v>
      </c>
      <c r="H72" s="271" t="s">
        <v>724</v>
      </c>
      <c r="I72" s="329">
        <v>16.451903063243073</v>
      </c>
      <c r="J72" s="330">
        <f t="shared" si="143"/>
        <v>14.207894444444459</v>
      </c>
      <c r="K72" s="329">
        <v>16.426631322746537</v>
      </c>
      <c r="L72" s="330">
        <f t="shared" ref="L72" si="181">L23/1000/24/L$3</f>
        <v>16.34689247311827</v>
      </c>
      <c r="M72" s="934">
        <f t="shared" si="145"/>
        <v>16.439060047580902</v>
      </c>
      <c r="N72" s="934">
        <f t="shared" si="145"/>
        <v>15.294926229508196</v>
      </c>
      <c r="O72" s="329">
        <v>16.451903063243073</v>
      </c>
      <c r="P72" s="330">
        <f t="shared" si="146"/>
        <v>17.101988888888897</v>
      </c>
      <c r="Q72" s="935">
        <f t="shared" si="147"/>
        <v>16.443294008788214</v>
      </c>
      <c r="R72" s="935">
        <f t="shared" si="147"/>
        <v>15.890661172161174</v>
      </c>
      <c r="S72" s="329">
        <v>16.110734566539875</v>
      </c>
      <c r="T72" s="330">
        <f t="shared" si="148"/>
        <v>17.027599462365529</v>
      </c>
      <c r="U72" s="934">
        <f t="shared" si="149"/>
        <v>16.358791199692323</v>
      </c>
      <c r="V72" s="934">
        <f t="shared" si="149"/>
        <v>16.17955532786884</v>
      </c>
      <c r="W72" s="329">
        <v>16.110734566539875</v>
      </c>
      <c r="X72" s="330">
        <f t="shared" si="150"/>
        <v>16.666750000000054</v>
      </c>
      <c r="Y72" s="934">
        <f t="shared" si="151"/>
        <v>16.308531358988233</v>
      </c>
      <c r="Z72" s="934">
        <f t="shared" si="151"/>
        <v>16.278267973856209</v>
      </c>
      <c r="AA72" s="329">
        <v>11.769946146246152</v>
      </c>
      <c r="AB72" s="330">
        <f t="shared" si="152"/>
        <v>17.000072222222219</v>
      </c>
      <c r="AC72" s="935">
        <f t="shared" si="172"/>
        <v>14.695260081661488</v>
      </c>
      <c r="AD72" s="935">
        <f t="shared" si="172"/>
        <v>16.89703260869565</v>
      </c>
      <c r="AE72" s="936">
        <f t="shared" si="172"/>
        <v>15.564500996243629</v>
      </c>
      <c r="AF72" s="936">
        <f t="shared" si="172"/>
        <v>16.396596539162111</v>
      </c>
      <c r="AG72" s="329">
        <v>15.920698924731184</v>
      </c>
      <c r="AH72" s="330">
        <f t="shared" si="154"/>
        <v>15.229465053763468</v>
      </c>
      <c r="AI72" s="934">
        <f t="shared" si="154"/>
        <v>15.616099761585282</v>
      </c>
      <c r="AJ72" s="934">
        <f t="shared" si="154"/>
        <v>16.227526090342678</v>
      </c>
      <c r="AK72" s="329">
        <v>15.924944444444444</v>
      </c>
      <c r="AL72" s="330">
        <f t="shared" si="155"/>
        <v>4.1936388888888905</v>
      </c>
      <c r="AM72" s="934">
        <f t="shared" si="155"/>
        <v>15.654072468494199</v>
      </c>
      <c r="AN72" s="934">
        <f t="shared" si="155"/>
        <v>14.74794979508197</v>
      </c>
      <c r="AO72" s="329">
        <v>15.920698924731184</v>
      </c>
      <c r="AP72" s="330">
        <f t="shared" si="173"/>
        <v>16.053806451612878</v>
      </c>
      <c r="AQ72" s="935">
        <f t="shared" si="173"/>
        <v>15.922083333333333</v>
      </c>
      <c r="AR72" s="935">
        <f t="shared" si="173"/>
        <v>11.908593297101449</v>
      </c>
      <c r="AS72" s="934">
        <f t="shared" si="173"/>
        <v>15.68412854174273</v>
      </c>
      <c r="AT72" s="934">
        <f t="shared" si="173"/>
        <v>14.895155454545453</v>
      </c>
      <c r="AU72" s="329">
        <v>15.920698924731184</v>
      </c>
      <c r="AV72" s="330">
        <f t="shared" si="157"/>
        <v>14.923026881720489</v>
      </c>
      <c r="AW72" s="934">
        <f t="shared" si="157"/>
        <v>15.708094822372281</v>
      </c>
      <c r="AX72" s="934">
        <f t="shared" si="157"/>
        <v>14.897979030501096</v>
      </c>
      <c r="AY72" s="329">
        <v>15.863839285714286</v>
      </c>
      <c r="AZ72" s="330">
        <f t="shared" si="158"/>
        <v>16.94192857142853</v>
      </c>
      <c r="BA72" s="934">
        <f t="shared" si="158"/>
        <v>15.721151244448857</v>
      </c>
      <c r="BB72" s="934">
        <f t="shared" si="158"/>
        <v>15.069328093812377</v>
      </c>
      <c r="BC72" s="329">
        <v>15.920698924731184</v>
      </c>
      <c r="BD72" s="330">
        <f t="shared" si="174"/>
        <v>16.529024193548402</v>
      </c>
      <c r="BE72" s="935">
        <f t="shared" si="174"/>
        <v>15.903009259259258</v>
      </c>
      <c r="BF72" s="935">
        <f t="shared" si="174"/>
        <v>16.104306481481498</v>
      </c>
      <c r="BG72" s="936">
        <f t="shared" si="174"/>
        <v>15.912651098901101</v>
      </c>
      <c r="BH72" s="936">
        <f t="shared" si="174"/>
        <v>13.983396520146528</v>
      </c>
      <c r="BI72" s="934">
        <f t="shared" si="174"/>
        <v>15.738099129623517</v>
      </c>
      <c r="BJ72" s="934">
        <f t="shared" si="174"/>
        <v>15.193302283105027</v>
      </c>
      <c r="BK72" s="1219"/>
      <c r="BL72" s="1219"/>
      <c r="BM72" s="1219"/>
      <c r="BN72" s="1219"/>
    </row>
    <row r="73" spans="1:66" x14ac:dyDescent="0.25">
      <c r="A73" s="281"/>
      <c r="B73" s="22" t="s">
        <v>760</v>
      </c>
      <c r="C73" s="13" t="s">
        <v>381</v>
      </c>
      <c r="D73" s="315">
        <f t="shared" si="166"/>
        <v>7.5123108333333333</v>
      </c>
      <c r="E73" s="315">
        <f t="shared" si="166"/>
        <v>7.5122983870967737</v>
      </c>
      <c r="G73" s="912" t="s">
        <v>755</v>
      </c>
      <c r="H73" s="271" t="s">
        <v>725</v>
      </c>
      <c r="I73" s="329">
        <v>29.968130311614729</v>
      </c>
      <c r="J73" s="330">
        <f t="shared" si="143"/>
        <v>26.572722222222232</v>
      </c>
      <c r="K73" s="329">
        <v>29.92539624518972</v>
      </c>
      <c r="L73" s="330">
        <f t="shared" ref="L73" si="182">L24/1000/24/L$3</f>
        <v>28.031344086021509</v>
      </c>
      <c r="M73" s="934">
        <f t="shared" si="145"/>
        <v>29.946412999169226</v>
      </c>
      <c r="N73" s="934">
        <f t="shared" si="145"/>
        <v>27.313989071038261</v>
      </c>
      <c r="O73" s="329">
        <v>29.968130311614729</v>
      </c>
      <c r="P73" s="330">
        <f t="shared" si="146"/>
        <v>27.583430555555555</v>
      </c>
      <c r="Q73" s="935">
        <f t="shared" si="147"/>
        <v>29.953572552722694</v>
      </c>
      <c r="R73" s="935">
        <f t="shared" si="147"/>
        <v>27.402815934065938</v>
      </c>
      <c r="S73" s="329">
        <v>29.347908861067957</v>
      </c>
      <c r="T73" s="330">
        <f t="shared" si="148"/>
        <v>27.436129032258052</v>
      </c>
      <c r="U73" s="934">
        <f t="shared" si="149"/>
        <v>29.79967440156452</v>
      </c>
      <c r="V73" s="934">
        <f t="shared" si="149"/>
        <v>27.411280737704917</v>
      </c>
      <c r="W73" s="329">
        <v>29.347908861067957</v>
      </c>
      <c r="X73" s="330">
        <f t="shared" si="150"/>
        <v>26.852130376344096</v>
      </c>
      <c r="Y73" s="934">
        <f t="shared" si="151"/>
        <v>29.708140207084824</v>
      </c>
      <c r="Z73" s="934">
        <f t="shared" si="151"/>
        <v>27.297988834422657</v>
      </c>
      <c r="AA73" s="329">
        <v>16.964974819011644</v>
      </c>
      <c r="AB73" s="330">
        <f t="shared" si="152"/>
        <v>26.493749999999999</v>
      </c>
      <c r="AC73" s="935">
        <f t="shared" si="172"/>
        <v>25.30999558648438</v>
      </c>
      <c r="AD73" s="935">
        <f t="shared" si="172"/>
        <v>26.932049365942024</v>
      </c>
      <c r="AE73" s="936">
        <f t="shared" si="172"/>
        <v>27.619096700843318</v>
      </c>
      <c r="AF73" s="936">
        <f t="shared" si="172"/>
        <v>27.16614640255009</v>
      </c>
      <c r="AG73" s="329">
        <v>29.718023179143845</v>
      </c>
      <c r="AH73" s="330">
        <f t="shared" si="154"/>
        <v>27.687930107526871</v>
      </c>
      <c r="AI73" s="934">
        <f t="shared" si="154"/>
        <v>27.923146798167227</v>
      </c>
      <c r="AJ73" s="934">
        <f t="shared" si="154"/>
        <v>27.241731892523365</v>
      </c>
      <c r="AK73" s="329">
        <v>29.724452044025156</v>
      </c>
      <c r="AL73" s="330">
        <f t="shared" si="155"/>
        <v>3.8380138888888928</v>
      </c>
      <c r="AM73" s="934">
        <f t="shared" si="155"/>
        <v>28.144618754625167</v>
      </c>
      <c r="AN73" s="934">
        <f t="shared" si="155"/>
        <v>24.36422558060109</v>
      </c>
      <c r="AO73" s="329">
        <v>29.718023179143845</v>
      </c>
      <c r="AP73" s="330">
        <f t="shared" si="173"/>
        <v>26.872934139784935</v>
      </c>
      <c r="AQ73" s="935">
        <f t="shared" si="173"/>
        <v>29.720119548126881</v>
      </c>
      <c r="AR73" s="935">
        <f t="shared" si="173"/>
        <v>19.636165307971009</v>
      </c>
      <c r="AS73" s="934">
        <f t="shared" si="173"/>
        <v>28.321984344298183</v>
      </c>
      <c r="AT73" s="934">
        <f t="shared" si="173"/>
        <v>24.647025454545453</v>
      </c>
      <c r="AU73" s="329">
        <v>29.718023179143845</v>
      </c>
      <c r="AV73" s="330">
        <f t="shared" si="157"/>
        <v>27.422146505376343</v>
      </c>
      <c r="AW73" s="934">
        <f t="shared" si="157"/>
        <v>28.463413115148551</v>
      </c>
      <c r="AX73" s="934">
        <f t="shared" si="157"/>
        <v>24.928165168845318</v>
      </c>
      <c r="AY73" s="329">
        <v>29.606878650044923</v>
      </c>
      <c r="AZ73" s="330">
        <f t="shared" si="158"/>
        <v>27.220625000000023</v>
      </c>
      <c r="BA73" s="934">
        <f t="shared" si="158"/>
        <v>28.559272501307532</v>
      </c>
      <c r="BB73" s="934">
        <f t="shared" si="158"/>
        <v>25.12034743013972</v>
      </c>
      <c r="BC73" s="329">
        <v>29.718023179143845</v>
      </c>
      <c r="BD73" s="330">
        <f t="shared" si="174"/>
        <v>26.802419354838694</v>
      </c>
      <c r="BE73" s="935">
        <f t="shared" si="174"/>
        <v>29.683444881201957</v>
      </c>
      <c r="BF73" s="935">
        <f t="shared" si="174"/>
        <v>27.145989351851853</v>
      </c>
      <c r="BG73" s="936">
        <f t="shared" si="174"/>
        <v>29.701983723823346</v>
      </c>
      <c r="BH73" s="936">
        <f t="shared" si="174"/>
        <v>23.349814560439558</v>
      </c>
      <c r="BI73" s="934">
        <f t="shared" si="174"/>
        <v>28.657686942438836</v>
      </c>
      <c r="BJ73" s="934">
        <f t="shared" si="174"/>
        <v>25.263208333333331</v>
      </c>
      <c r="BK73" s="1219"/>
      <c r="BL73" s="1219"/>
      <c r="BM73" s="1219"/>
      <c r="BN73" s="1219"/>
    </row>
    <row r="74" spans="1:66" x14ac:dyDescent="0.25">
      <c r="A74" s="281"/>
      <c r="B74" s="22" t="s">
        <v>726</v>
      </c>
      <c r="C74" s="13" t="s">
        <v>381</v>
      </c>
      <c r="D74" s="315">
        <f t="shared" si="166"/>
        <v>34.170291666666692</v>
      </c>
      <c r="E74" s="315">
        <f t="shared" si="166"/>
        <v>33.882594086021491</v>
      </c>
      <c r="G74" s="912" t="s">
        <v>756</v>
      </c>
      <c r="H74" s="271" t="s">
        <v>82</v>
      </c>
      <c r="I74" s="329">
        <v>2</v>
      </c>
      <c r="J74" s="330">
        <f t="shared" si="143"/>
        <v>1.5971527777777765</v>
      </c>
      <c r="K74" s="329">
        <v>2</v>
      </c>
      <c r="L74" s="330">
        <f t="shared" ref="L74" si="183">L25/1000/24/L$3</f>
        <v>1.7266666666666661</v>
      </c>
      <c r="M74" s="934">
        <f t="shared" si="145"/>
        <v>2</v>
      </c>
      <c r="N74" s="934">
        <f t="shared" si="145"/>
        <v>1.662971311475409</v>
      </c>
      <c r="O74" s="329">
        <v>2</v>
      </c>
      <c r="P74" s="330">
        <f t="shared" si="146"/>
        <v>1.8484027777777736</v>
      </c>
      <c r="Q74" s="935">
        <f t="shared" si="147"/>
        <v>2</v>
      </c>
      <c r="R74" s="935">
        <f t="shared" si="147"/>
        <v>1.724102564102562</v>
      </c>
      <c r="S74" s="329">
        <v>2</v>
      </c>
      <c r="T74" s="330">
        <f t="shared" si="148"/>
        <v>1.578319892473123</v>
      </c>
      <c r="U74" s="934">
        <f t="shared" si="149"/>
        <v>2</v>
      </c>
      <c r="V74" s="934">
        <f t="shared" si="149"/>
        <v>1.687059426229508</v>
      </c>
      <c r="W74" s="329">
        <v>2</v>
      </c>
      <c r="X74" s="330">
        <f t="shared" si="150"/>
        <v>1.7245967741935484</v>
      </c>
      <c r="Y74" s="934">
        <f t="shared" si="151"/>
        <v>2</v>
      </c>
      <c r="Z74" s="934">
        <f t="shared" si="151"/>
        <v>1.6946650326797386</v>
      </c>
      <c r="AA74" s="329">
        <v>2</v>
      </c>
      <c r="AB74" s="330">
        <f t="shared" si="152"/>
        <v>1.7524305555555544</v>
      </c>
      <c r="AC74" s="935">
        <f t="shared" si="172"/>
        <v>2</v>
      </c>
      <c r="AD74" s="935">
        <f t="shared" si="172"/>
        <v>1.6843840579710159</v>
      </c>
      <c r="AE74" s="936">
        <f t="shared" si="172"/>
        <v>2</v>
      </c>
      <c r="AF74" s="936">
        <f t="shared" si="172"/>
        <v>1.7041347905282329</v>
      </c>
      <c r="AG74" s="329">
        <v>1.9</v>
      </c>
      <c r="AH74" s="330">
        <f t="shared" si="154"/>
        <v>1.8051612903225811</v>
      </c>
      <c r="AI74" s="934">
        <f t="shared" si="154"/>
        <v>1.9855140186915889</v>
      </c>
      <c r="AJ74" s="934">
        <f t="shared" si="154"/>
        <v>1.7187694704049841</v>
      </c>
      <c r="AK74" s="329">
        <v>1.9</v>
      </c>
      <c r="AL74" s="330">
        <f t="shared" si="155"/>
        <v>0.27331944444444201</v>
      </c>
      <c r="AM74" s="934">
        <f t="shared" si="155"/>
        <v>1.9750000000000001</v>
      </c>
      <c r="AN74" s="934">
        <f t="shared" si="155"/>
        <v>1.5410502049180321</v>
      </c>
      <c r="AO74" s="329">
        <v>1.9</v>
      </c>
      <c r="AP74" s="330">
        <f t="shared" si="173"/>
        <v>1.4180107526881771</v>
      </c>
      <c r="AQ74" s="935">
        <f t="shared" si="173"/>
        <v>1.9</v>
      </c>
      <c r="AR74" s="935">
        <f t="shared" si="173"/>
        <v>1.1751947463768126</v>
      </c>
      <c r="AS74" s="934">
        <f t="shared" si="173"/>
        <v>1.9665454545454548</v>
      </c>
      <c r="AT74" s="934">
        <f t="shared" si="173"/>
        <v>1.5271803030303031</v>
      </c>
      <c r="AU74" s="329">
        <v>1.9</v>
      </c>
      <c r="AV74" s="330">
        <f t="shared" si="157"/>
        <v>1.4900940860215022</v>
      </c>
      <c r="AW74" s="934">
        <f t="shared" si="157"/>
        <v>1.9598039215686271</v>
      </c>
      <c r="AX74" s="934">
        <f t="shared" si="157"/>
        <v>1.523423202614379</v>
      </c>
      <c r="AY74" s="329">
        <v>1.9</v>
      </c>
      <c r="AZ74" s="330">
        <f t="shared" si="158"/>
        <v>1.438422619047623</v>
      </c>
      <c r="BA74" s="934">
        <f t="shared" si="158"/>
        <v>1.9547904191616765</v>
      </c>
      <c r="BB74" s="934">
        <f t="shared" si="158"/>
        <v>1.5162974051896208</v>
      </c>
      <c r="BC74" s="329">
        <v>1.9</v>
      </c>
      <c r="BD74" s="330">
        <f t="shared" si="174"/>
        <v>1.8274731182795689</v>
      </c>
      <c r="BE74" s="935">
        <f t="shared" si="174"/>
        <v>1.9</v>
      </c>
      <c r="BF74" s="935">
        <f t="shared" si="174"/>
        <v>1.5902268518518519</v>
      </c>
      <c r="BG74" s="936">
        <f t="shared" si="174"/>
        <v>1.9000000000000001</v>
      </c>
      <c r="BH74" s="936">
        <f t="shared" si="174"/>
        <v>1.3804304029304035</v>
      </c>
      <c r="BI74" s="934">
        <f t="shared" si="174"/>
        <v>1.95013698630137</v>
      </c>
      <c r="BJ74" s="934">
        <f t="shared" si="174"/>
        <v>1.5427260273972603</v>
      </c>
      <c r="BK74" s="1219"/>
      <c r="BL74" s="1219"/>
      <c r="BM74" s="1219"/>
      <c r="BN74" s="1219"/>
    </row>
    <row r="75" spans="1:66" x14ac:dyDescent="0.25">
      <c r="A75" s="281"/>
      <c r="B75" s="22" t="s">
        <v>491</v>
      </c>
      <c r="C75" s="13" t="s">
        <v>381</v>
      </c>
      <c r="D75" s="315">
        <f t="shared" si="166"/>
        <v>4.9680555555555559</v>
      </c>
      <c r="E75" s="315">
        <f t="shared" si="166"/>
        <v>4.4534946236559207</v>
      </c>
      <c r="G75" s="912" t="s">
        <v>757</v>
      </c>
      <c r="H75" s="271" t="s">
        <v>488</v>
      </c>
      <c r="I75" s="329">
        <v>10.22518324061843</v>
      </c>
      <c r="J75" s="330">
        <f t="shared" si="143"/>
        <v>8.9559287037036981</v>
      </c>
      <c r="K75" s="329">
        <v>10.244585865363435</v>
      </c>
      <c r="L75" s="330">
        <f t="shared" ref="L75" si="184">L26/1000/24/L$3</f>
        <v>9.2756895161290416</v>
      </c>
      <c r="M75" s="934">
        <f t="shared" si="145"/>
        <v>10.235043590898679</v>
      </c>
      <c r="N75" s="934">
        <f t="shared" si="145"/>
        <v>9.1184301001821524</v>
      </c>
      <c r="O75" s="329">
        <v>10.22518324061843</v>
      </c>
      <c r="P75" s="330">
        <f t="shared" si="146"/>
        <v>9.6144893518518462</v>
      </c>
      <c r="Q75" s="935">
        <f t="shared" si="147"/>
        <v>10.231792925971124</v>
      </c>
      <c r="R75" s="935">
        <f t="shared" si="147"/>
        <v>9.2819661172161165</v>
      </c>
      <c r="S75" s="329">
        <v>10.244585865363435</v>
      </c>
      <c r="T75" s="330">
        <f t="shared" si="148"/>
        <v>10.539083781362036</v>
      </c>
      <c r="U75" s="934">
        <f t="shared" si="149"/>
        <v>10.235043590898679</v>
      </c>
      <c r="V75" s="934">
        <f t="shared" si="149"/>
        <v>9.6013976548269646</v>
      </c>
      <c r="W75" s="329">
        <v>10.244585865363435</v>
      </c>
      <c r="X75" s="330">
        <f t="shared" si="150"/>
        <v>9.3594233870967418</v>
      </c>
      <c r="Y75" s="934">
        <f t="shared" si="151"/>
        <v>10.236976992914414</v>
      </c>
      <c r="Z75" s="934">
        <f t="shared" si="151"/>
        <v>9.5523701888162655</v>
      </c>
      <c r="AA75" s="329">
        <v>6.3448136709520169</v>
      </c>
      <c r="AB75" s="330">
        <f t="shared" si="152"/>
        <v>9.9762902777777995</v>
      </c>
      <c r="AC75" s="935">
        <f t="shared" ref="AC75:AF82" si="185">AC26/1000/24/AC$3</f>
        <v>8.9729210193597133</v>
      </c>
      <c r="AD75" s="935">
        <f t="shared" si="185"/>
        <v>9.958069897343</v>
      </c>
      <c r="AE75" s="936">
        <f t="shared" si="185"/>
        <v>9.5989174319369717</v>
      </c>
      <c r="AF75" s="936">
        <f t="shared" si="185"/>
        <v>9.6218652853673365</v>
      </c>
      <c r="AG75" s="329">
        <v>10.008547547043012</v>
      </c>
      <c r="AH75" s="330">
        <f t="shared" si="154"/>
        <v>10.277065412186396</v>
      </c>
      <c r="AI75" s="934">
        <f t="shared" si="154"/>
        <v>9.6582563738448552</v>
      </c>
      <c r="AJ75" s="934">
        <f t="shared" si="154"/>
        <v>9.7167774532710318</v>
      </c>
      <c r="AK75" s="329">
        <v>10.00121527777778</v>
      </c>
      <c r="AL75" s="330">
        <f t="shared" si="155"/>
        <v>5.4214046296296114</v>
      </c>
      <c r="AM75" s="934">
        <f t="shared" si="155"/>
        <v>9.7004234521972652</v>
      </c>
      <c r="AN75" s="934">
        <f t="shared" si="155"/>
        <v>9.188657843806924</v>
      </c>
      <c r="AO75" s="329">
        <v>10.008547547043012</v>
      </c>
      <c r="AP75" s="330">
        <f t="shared" ref="AP75:AT82" si="186">AP26/1000/24/AP$3</f>
        <v>9.3487132616487383</v>
      </c>
      <c r="AQ75" s="935">
        <f t="shared" si="186"/>
        <v>10.006156589673914</v>
      </c>
      <c r="AR75" s="935">
        <f t="shared" si="186"/>
        <v>8.3808834541062769</v>
      </c>
      <c r="AS75" s="934">
        <f t="shared" si="186"/>
        <v>9.7351574410707844</v>
      </c>
      <c r="AT75" s="934">
        <f t="shared" si="186"/>
        <v>9.2067004545454534</v>
      </c>
      <c r="AU75" s="329">
        <v>10.008547547043012</v>
      </c>
      <c r="AV75" s="330">
        <f t="shared" si="157"/>
        <v>9.5848736559139862</v>
      </c>
      <c r="AW75" s="934">
        <f t="shared" si="157"/>
        <v>9.7628538243555525</v>
      </c>
      <c r="AX75" s="934">
        <f t="shared" si="157"/>
        <v>9.2450121187363834</v>
      </c>
      <c r="AY75" s="329">
        <v>9.8632114955357171</v>
      </c>
      <c r="AZ75" s="330">
        <f t="shared" si="158"/>
        <v>9.6489122023809539</v>
      </c>
      <c r="BA75" s="934">
        <f t="shared" si="158"/>
        <v>9.7712670422987991</v>
      </c>
      <c r="BB75" s="934">
        <f t="shared" si="158"/>
        <v>9.2788720059880223</v>
      </c>
      <c r="BC75" s="329">
        <v>10.008547547043012</v>
      </c>
      <c r="BD75" s="330">
        <f t="shared" ref="BD75:BJ82" si="187">BD26/1000/24/BD$3</f>
        <v>9.8302083333333297</v>
      </c>
      <c r="BE75" s="935">
        <f t="shared" si="187"/>
        <v>9.9633318865740765</v>
      </c>
      <c r="BF75" s="935">
        <f t="shared" si="187"/>
        <v>9.6893009259259273</v>
      </c>
      <c r="BG75" s="936">
        <f t="shared" si="187"/>
        <v>9.9849795386904781</v>
      </c>
      <c r="BH75" s="936">
        <f t="shared" si="187"/>
        <v>9.0279030830280824</v>
      </c>
      <c r="BI75" s="934">
        <f t="shared" si="187"/>
        <v>9.7914196331126924</v>
      </c>
      <c r="BJ75" s="934">
        <f t="shared" si="187"/>
        <v>9.3256978310502276</v>
      </c>
      <c r="BK75" s="1219"/>
      <c r="BL75" s="1219"/>
      <c r="BM75" s="1219"/>
      <c r="BN75" s="1219"/>
    </row>
    <row r="76" spans="1:66" x14ac:dyDescent="0.25">
      <c r="A76" s="281"/>
      <c r="B76" s="22" t="s">
        <v>764</v>
      </c>
      <c r="C76" s="13" t="s">
        <v>381</v>
      </c>
      <c r="D76" s="315">
        <f t="shared" si="166"/>
        <v>3.0618194444444473</v>
      </c>
      <c r="E76" s="315">
        <f t="shared" si="166"/>
        <v>3.1648387096774182</v>
      </c>
      <c r="G76" s="912" t="s">
        <v>759</v>
      </c>
      <c r="H76" s="271" t="s">
        <v>489</v>
      </c>
      <c r="I76" s="329">
        <v>8.6573388681951915</v>
      </c>
      <c r="J76" s="330">
        <f t="shared" si="143"/>
        <v>7.6497592592592687</v>
      </c>
      <c r="K76" s="329">
        <v>8.7087831568856551</v>
      </c>
      <c r="L76" s="330">
        <f t="shared" ref="L76" si="188">L27/1000/24/L$3</f>
        <v>8.2118077956989239</v>
      </c>
      <c r="M76" s="934">
        <f t="shared" si="145"/>
        <v>8.6834826870378858</v>
      </c>
      <c r="N76" s="934">
        <f t="shared" si="145"/>
        <v>7.9353904826958148</v>
      </c>
      <c r="O76" s="329">
        <v>8.6573388681951915</v>
      </c>
      <c r="P76" s="330">
        <f t="shared" si="146"/>
        <v>8.4746157407407203</v>
      </c>
      <c r="Q76" s="935">
        <f t="shared" si="147"/>
        <v>8.6748638456611733</v>
      </c>
      <c r="R76" s="935">
        <f t="shared" si="147"/>
        <v>8.1131570512820463</v>
      </c>
      <c r="S76" s="329">
        <v>8.7087831568856551</v>
      </c>
      <c r="T76" s="330">
        <f t="shared" si="148"/>
        <v>8.9042988351254646</v>
      </c>
      <c r="U76" s="934">
        <f t="shared" si="149"/>
        <v>8.6834826870378858</v>
      </c>
      <c r="V76" s="934">
        <f t="shared" si="149"/>
        <v>8.3141848816029142</v>
      </c>
      <c r="W76" s="329">
        <v>8.7087831568856551</v>
      </c>
      <c r="X76" s="330">
        <f t="shared" si="150"/>
        <v>8.5746774193548507</v>
      </c>
      <c r="Y76" s="934">
        <f t="shared" si="151"/>
        <v>8.6886089260266495</v>
      </c>
      <c r="Z76" s="934">
        <f t="shared" si="151"/>
        <v>8.3669644153957918</v>
      </c>
      <c r="AA76" s="329">
        <v>5.6508367926219956</v>
      </c>
      <c r="AB76" s="330">
        <f t="shared" si="152"/>
        <v>8.5853819444444142</v>
      </c>
      <c r="AC76" s="935">
        <f t="shared" si="185"/>
        <v>7.7116267337562023</v>
      </c>
      <c r="AD76" s="935">
        <f t="shared" si="185"/>
        <v>8.6892361111111107</v>
      </c>
      <c r="AE76" s="936">
        <f t="shared" si="185"/>
        <v>8.1906134943209672</v>
      </c>
      <c r="AF76" s="936">
        <f t="shared" si="185"/>
        <v>8.4027705676988447</v>
      </c>
      <c r="AG76" s="329">
        <v>8.5018663992422976</v>
      </c>
      <c r="AH76" s="330">
        <f t="shared" si="154"/>
        <v>7.7573611111111145</v>
      </c>
      <c r="AI76" s="934">
        <f t="shared" si="154"/>
        <v>8.2357015319497577</v>
      </c>
      <c r="AJ76" s="934">
        <f t="shared" si="154"/>
        <v>8.3092766744548285</v>
      </c>
      <c r="AK76" s="329">
        <v>8.5107225100748405</v>
      </c>
      <c r="AL76" s="330">
        <f t="shared" si="155"/>
        <v>1.8027615740740723</v>
      </c>
      <c r="AM76" s="934">
        <f t="shared" si="155"/>
        <v>8.2695155866372687</v>
      </c>
      <c r="AN76" s="934">
        <f t="shared" si="155"/>
        <v>7.5092953096539148</v>
      </c>
      <c r="AO76" s="329">
        <v>8.5018663992422976</v>
      </c>
      <c r="AP76" s="330">
        <f t="shared" si="186"/>
        <v>8.0168705197132599</v>
      </c>
      <c r="AQ76" s="935">
        <f t="shared" si="186"/>
        <v>8.5047542614702998</v>
      </c>
      <c r="AR76" s="935">
        <f t="shared" si="186"/>
        <v>5.9030872584541063</v>
      </c>
      <c r="AS76" s="934">
        <f t="shared" si="186"/>
        <v>8.295707860058199</v>
      </c>
      <c r="AT76" s="934">
        <f t="shared" si="186"/>
        <v>7.5665128787878775</v>
      </c>
      <c r="AU76" s="329">
        <v>8.5018663992422976</v>
      </c>
      <c r="AV76" s="330">
        <f t="shared" si="157"/>
        <v>8.0409005376343909</v>
      </c>
      <c r="AW76" s="934">
        <f t="shared" si="157"/>
        <v>8.3165932022631228</v>
      </c>
      <c r="AX76" s="934">
        <f t="shared" si="157"/>
        <v>7.614571759259257</v>
      </c>
      <c r="AY76" s="329">
        <v>8.530332469775475</v>
      </c>
      <c r="AZ76" s="330">
        <f t="shared" si="158"/>
        <v>8.0677752976190558</v>
      </c>
      <c r="BA76" s="934">
        <f t="shared" si="158"/>
        <v>8.3345114642102658</v>
      </c>
      <c r="BB76" s="934">
        <f t="shared" si="158"/>
        <v>7.6525648702594795</v>
      </c>
      <c r="BC76" s="329">
        <v>8.5018663992422976</v>
      </c>
      <c r="BD76" s="330">
        <f t="shared" si="187"/>
        <v>8.0876948924731238</v>
      </c>
      <c r="BE76" s="935">
        <f t="shared" si="187"/>
        <v>8.5107225100748405</v>
      </c>
      <c r="BF76" s="935">
        <f t="shared" si="187"/>
        <v>8.0653796296296285</v>
      </c>
      <c r="BG76" s="936">
        <f t="shared" si="187"/>
        <v>8.5077055931978212</v>
      </c>
      <c r="BH76" s="936">
        <f t="shared" si="187"/>
        <v>6.9723527167277162</v>
      </c>
      <c r="BI76" s="934">
        <f t="shared" si="187"/>
        <v>8.3487251710212043</v>
      </c>
      <c r="BJ76" s="934">
        <f t="shared" si="187"/>
        <v>7.6895211187214594</v>
      </c>
      <c r="BK76" s="1219"/>
      <c r="BL76" s="1219"/>
      <c r="BM76" s="1219"/>
      <c r="BN76" s="1219"/>
    </row>
    <row r="77" spans="1:66" x14ac:dyDescent="0.25">
      <c r="A77" s="281"/>
      <c r="B77" s="22" t="s">
        <v>767</v>
      </c>
      <c r="C77" s="13" t="s">
        <v>381</v>
      </c>
      <c r="D77" s="315">
        <f>+((D33/1000)/D$3)/24</f>
        <v>1.5425277777777777</v>
      </c>
      <c r="E77" s="315">
        <f>+((E33/1000)/E$3)/24</f>
        <v>1.5533870967741941</v>
      </c>
      <c r="G77" s="912" t="s">
        <v>761</v>
      </c>
      <c r="H77" s="271" t="s">
        <v>490</v>
      </c>
      <c r="I77" s="329">
        <v>7.5263823151439926</v>
      </c>
      <c r="J77" s="330">
        <f t="shared" si="143"/>
        <v>5.3251623148148211</v>
      </c>
      <c r="K77" s="329">
        <v>7.6360278431481712</v>
      </c>
      <c r="L77" s="330">
        <f t="shared" ref="L77" si="189">L28/1000/24/L$3</f>
        <v>5.8918709677419328</v>
      </c>
      <c r="M77" s="934">
        <f t="shared" si="145"/>
        <v>7.5821038129821821</v>
      </c>
      <c r="N77" s="934">
        <f t="shared" si="145"/>
        <v>5.613161794171222</v>
      </c>
      <c r="O77" s="329">
        <v>7.5870789467177344</v>
      </c>
      <c r="P77" s="330">
        <f t="shared" si="146"/>
        <v>5.963657407407406</v>
      </c>
      <c r="Q77" s="935">
        <f t="shared" si="147"/>
        <v>7.5837439669609354</v>
      </c>
      <c r="R77" s="935">
        <f t="shared" si="147"/>
        <v>5.7287097985347986</v>
      </c>
      <c r="S77" s="329">
        <v>7.6360278431481712</v>
      </c>
      <c r="T77" s="330">
        <f t="shared" si="148"/>
        <v>5.8258176523297385</v>
      </c>
      <c r="U77" s="934">
        <f t="shared" si="149"/>
        <v>7.59702921418884</v>
      </c>
      <c r="V77" s="934">
        <f t="shared" si="149"/>
        <v>5.7533847449908908</v>
      </c>
      <c r="W77" s="329">
        <v>7.6360278431481712</v>
      </c>
      <c r="X77" s="330">
        <f t="shared" si="150"/>
        <v>5.3259959677419406</v>
      </c>
      <c r="Y77" s="934">
        <f t="shared" si="151"/>
        <v>7.6049308971805996</v>
      </c>
      <c r="Z77" s="934">
        <f t="shared" si="151"/>
        <v>5.6667896332607119</v>
      </c>
      <c r="AA77" s="329">
        <v>4.4866743154407054</v>
      </c>
      <c r="AB77" s="330">
        <f t="shared" si="152"/>
        <v>5.6298347222222267</v>
      </c>
      <c r="AC77" s="935">
        <f t="shared" si="185"/>
        <v>6.6090647362870403</v>
      </c>
      <c r="AD77" s="935">
        <f t="shared" si="185"/>
        <v>5.5934919987922704</v>
      </c>
      <c r="AE77" s="936">
        <f t="shared" si="185"/>
        <v>7.0937412936166835</v>
      </c>
      <c r="AF77" s="936">
        <f t="shared" si="185"/>
        <v>5.6607314511232545</v>
      </c>
      <c r="AG77" s="329">
        <v>6.4583368797344454</v>
      </c>
      <c r="AH77" s="330">
        <f t="shared" si="154"/>
        <v>4.9358543906810119</v>
      </c>
      <c r="AI77" s="934">
        <f t="shared" si="154"/>
        <v>7.0016967289888807</v>
      </c>
      <c r="AJ77" s="934">
        <f t="shared" si="154"/>
        <v>5.5557258956386297</v>
      </c>
      <c r="AK77" s="329">
        <v>6.4264438581061274</v>
      </c>
      <c r="AL77" s="330">
        <f t="shared" si="155"/>
        <v>1.9346851851851787</v>
      </c>
      <c r="AM77" s="934">
        <f t="shared" si="155"/>
        <v>6.9309689169951003</v>
      </c>
      <c r="AN77" s="934">
        <f t="shared" si="155"/>
        <v>5.1105159722222222</v>
      </c>
      <c r="AO77" s="329">
        <v>6.4583368797344454</v>
      </c>
      <c r="AP77" s="330">
        <f t="shared" si="186"/>
        <v>4.4845143369175604</v>
      </c>
      <c r="AQ77" s="935">
        <f t="shared" si="186"/>
        <v>6.447936981377385</v>
      </c>
      <c r="AR77" s="935">
        <f t="shared" si="186"/>
        <v>3.8051302838164252</v>
      </c>
      <c r="AS77" s="934">
        <f t="shared" si="186"/>
        <v>6.8776903964311726</v>
      </c>
      <c r="AT77" s="934">
        <f t="shared" si="186"/>
        <v>5.0399485151515151</v>
      </c>
      <c r="AU77" s="329">
        <v>6.4583368797344454</v>
      </c>
      <c r="AV77" s="330">
        <f t="shared" si="157"/>
        <v>5.2573481182795785</v>
      </c>
      <c r="AW77" s="934">
        <f t="shared" si="157"/>
        <v>6.8352068702298698</v>
      </c>
      <c r="AX77" s="934">
        <f t="shared" si="157"/>
        <v>5.0619726579520705</v>
      </c>
      <c r="AY77" s="329">
        <v>6.3558235959291371</v>
      </c>
      <c r="AZ77" s="330">
        <f t="shared" si="158"/>
        <v>5.4483437499999985</v>
      </c>
      <c r="BA77" s="934">
        <f t="shared" si="158"/>
        <v>6.7950190508274133</v>
      </c>
      <c r="BB77" s="934">
        <f t="shared" si="158"/>
        <v>5.0943630489021965</v>
      </c>
      <c r="BC77" s="329">
        <v>7.1759298663716056</v>
      </c>
      <c r="BD77" s="330">
        <f t="shared" si="187"/>
        <v>5.8737793010752695</v>
      </c>
      <c r="BE77" s="935">
        <f t="shared" si="187"/>
        <v>6.6736147757255937</v>
      </c>
      <c r="BF77" s="935">
        <f t="shared" si="187"/>
        <v>5.5290952777777802</v>
      </c>
      <c r="BG77" s="936">
        <f t="shared" si="187"/>
        <v>6.5595358906704551</v>
      </c>
      <c r="BH77" s="936">
        <f t="shared" si="187"/>
        <v>4.6576404456654474</v>
      </c>
      <c r="BI77" s="934">
        <f t="shared" si="187"/>
        <v>6.8273703803667836</v>
      </c>
      <c r="BJ77" s="934">
        <f t="shared" si="187"/>
        <v>5.160560045662101</v>
      </c>
      <c r="BK77" s="1219"/>
      <c r="BL77" s="1219"/>
      <c r="BM77" s="1219"/>
      <c r="BN77" s="1219"/>
    </row>
    <row r="78" spans="1:66" x14ac:dyDescent="0.25">
      <c r="A78" s="281"/>
      <c r="B78" s="22" t="s">
        <v>727</v>
      </c>
      <c r="C78" s="13" t="s">
        <v>381</v>
      </c>
      <c r="D78" s="315">
        <f t="shared" ref="D78:E81" si="190">+((D35/1000)/D$3)/24</f>
        <v>0.6318055555555544</v>
      </c>
      <c r="E78" s="315">
        <f t="shared" si="190"/>
        <v>0.59745967741935579</v>
      </c>
      <c r="G78" s="912" t="s">
        <v>762</v>
      </c>
      <c r="H78" s="271" t="s">
        <v>726</v>
      </c>
      <c r="I78" s="384">
        <v>34.4</v>
      </c>
      <c r="J78" s="330">
        <f t="shared" si="143"/>
        <v>35.093465277777661</v>
      </c>
      <c r="K78" s="384">
        <v>34.4</v>
      </c>
      <c r="L78" s="330">
        <f t="shared" ref="L78" si="191">L29/1000/24/L$3</f>
        <v>34.936794354838703</v>
      </c>
      <c r="M78" s="934">
        <f t="shared" si="145"/>
        <v>34.4</v>
      </c>
      <c r="N78" s="934">
        <f t="shared" si="145"/>
        <v>35.01384562841524</v>
      </c>
      <c r="O78" s="384">
        <v>34.4</v>
      </c>
      <c r="P78" s="330">
        <f t="shared" si="146"/>
        <v>35.41569305555543</v>
      </c>
      <c r="Q78" s="935">
        <f t="shared" si="147"/>
        <v>34.4</v>
      </c>
      <c r="R78" s="935">
        <f t="shared" si="147"/>
        <v>35.146322802197716</v>
      </c>
      <c r="S78" s="384">
        <v>34.4</v>
      </c>
      <c r="T78" s="330">
        <f t="shared" si="148"/>
        <v>35.267014784946362</v>
      </c>
      <c r="U78" s="934">
        <f t="shared" si="149"/>
        <v>34.4</v>
      </c>
      <c r="V78" s="934">
        <f t="shared" si="149"/>
        <v>35.176990437158437</v>
      </c>
      <c r="W78" s="384">
        <v>34.4</v>
      </c>
      <c r="X78" s="330">
        <f t="shared" si="150"/>
        <v>35.130483870967602</v>
      </c>
      <c r="Y78" s="934">
        <f t="shared" si="151"/>
        <v>34.4</v>
      </c>
      <c r="Z78" s="934">
        <f t="shared" si="151"/>
        <v>35.167567538126306</v>
      </c>
      <c r="AA78" s="384">
        <v>22.93</v>
      </c>
      <c r="AB78" s="330">
        <f t="shared" si="152"/>
        <v>35.343843055555553</v>
      </c>
      <c r="AC78" s="935">
        <f t="shared" si="185"/>
        <v>30.659782608695654</v>
      </c>
      <c r="AD78" s="935">
        <f t="shared" si="185"/>
        <v>35.246062499999994</v>
      </c>
      <c r="AE78" s="936">
        <f t="shared" si="185"/>
        <v>32.519672131147537</v>
      </c>
      <c r="AF78" s="936">
        <f t="shared" si="185"/>
        <v>35.196465163934384</v>
      </c>
      <c r="AG78" s="384">
        <v>34.4</v>
      </c>
      <c r="AH78" s="330">
        <f t="shared" si="154"/>
        <v>34.012521505376085</v>
      </c>
      <c r="AI78" s="934">
        <f t="shared" si="154"/>
        <v>32.792056074766357</v>
      </c>
      <c r="AJ78" s="934">
        <f t="shared" si="154"/>
        <v>35.024959306853518</v>
      </c>
      <c r="AK78" s="384">
        <v>34.4</v>
      </c>
      <c r="AL78" s="330">
        <f t="shared" si="155"/>
        <v>25.946550000000265</v>
      </c>
      <c r="AM78" s="934">
        <f t="shared" si="155"/>
        <v>32.989754098360656</v>
      </c>
      <c r="AN78" s="934">
        <f t="shared" si="155"/>
        <v>33.9087614412568</v>
      </c>
      <c r="AO78" s="384">
        <v>34.4</v>
      </c>
      <c r="AP78" s="330">
        <f t="shared" si="186"/>
        <v>34.334134408601884</v>
      </c>
      <c r="AQ78" s="935">
        <f t="shared" si="186"/>
        <v>34.4</v>
      </c>
      <c r="AR78" s="935">
        <f t="shared" si="186"/>
        <v>31.490682971014408</v>
      </c>
      <c r="AS78" s="934">
        <f t="shared" si="186"/>
        <v>33.148727272727271</v>
      </c>
      <c r="AT78" s="934">
        <f t="shared" si="186"/>
        <v>33.956712575757521</v>
      </c>
      <c r="AU78" s="384">
        <v>34.4</v>
      </c>
      <c r="AV78" s="330">
        <f t="shared" si="157"/>
        <v>34.193084677419606</v>
      </c>
      <c r="AW78" s="934">
        <f t="shared" si="157"/>
        <v>33.275490196078437</v>
      </c>
      <c r="AX78" s="934">
        <f t="shared" si="157"/>
        <v>33.980658769063155</v>
      </c>
      <c r="AY78" s="384">
        <v>34.4</v>
      </c>
      <c r="AZ78" s="330">
        <f t="shared" si="158"/>
        <v>34.599572916666666</v>
      </c>
      <c r="BA78" s="934">
        <f t="shared" si="158"/>
        <v>33.369760479041915</v>
      </c>
      <c r="BB78" s="934">
        <f t="shared" si="158"/>
        <v>34.032543787425126</v>
      </c>
      <c r="BC78" s="384">
        <v>34.4</v>
      </c>
      <c r="BD78" s="330">
        <f t="shared" si="187"/>
        <v>34.946900537634541</v>
      </c>
      <c r="BE78" s="935">
        <f t="shared" si="187"/>
        <v>34.4</v>
      </c>
      <c r="BF78" s="935">
        <f t="shared" si="187"/>
        <v>34.579195370370499</v>
      </c>
      <c r="BG78" s="936">
        <f t="shared" si="187"/>
        <v>34.4</v>
      </c>
      <c r="BH78" s="936">
        <f t="shared" si="187"/>
        <v>33.017969322344342</v>
      </c>
      <c r="BI78" s="934">
        <f t="shared" si="187"/>
        <v>33.457260273972601</v>
      </c>
      <c r="BJ78" s="934">
        <f t="shared" si="187"/>
        <v>34.110201484018262</v>
      </c>
      <c r="BK78" s="1219"/>
      <c r="BL78" s="1219"/>
      <c r="BM78" s="1219"/>
      <c r="BN78" s="1219"/>
    </row>
    <row r="79" spans="1:66" x14ac:dyDescent="0.25">
      <c r="A79" s="281"/>
      <c r="B79" s="2" t="s">
        <v>732</v>
      </c>
      <c r="C79" s="13" t="s">
        <v>381</v>
      </c>
      <c r="D79" s="315">
        <f t="shared" si="190"/>
        <v>0.89579548472222215</v>
      </c>
      <c r="E79" s="315">
        <f t="shared" si="190"/>
        <v>0.86948325672043014</v>
      </c>
      <c r="G79" s="912" t="s">
        <v>763</v>
      </c>
      <c r="H79" s="271" t="s">
        <v>491</v>
      </c>
      <c r="I79" s="384">
        <v>5.4</v>
      </c>
      <c r="J79" s="330">
        <f t="shared" si="143"/>
        <v>5.3286111111111296</v>
      </c>
      <c r="K79" s="384">
        <v>5.4</v>
      </c>
      <c r="L79" s="330">
        <f t="shared" ref="L79" si="192">L30/1000/24/L$3</f>
        <v>5.4528225806451536</v>
      </c>
      <c r="M79" s="934">
        <f t="shared" si="145"/>
        <v>5.4</v>
      </c>
      <c r="N79" s="934">
        <f t="shared" si="145"/>
        <v>5.3917349726776012</v>
      </c>
      <c r="O79" s="384">
        <v>5.4</v>
      </c>
      <c r="P79" s="330">
        <f t="shared" si="146"/>
        <v>5.6149999999999833</v>
      </c>
      <c r="Q79" s="935">
        <f t="shared" si="147"/>
        <v>5.4</v>
      </c>
      <c r="R79" s="935">
        <f t="shared" si="147"/>
        <v>5.465338827838826</v>
      </c>
      <c r="S79" s="384">
        <v>5.4</v>
      </c>
      <c r="T79" s="330">
        <f t="shared" si="148"/>
        <v>5.7459677419355035</v>
      </c>
      <c r="U79" s="934">
        <f t="shared" si="149"/>
        <v>5.4</v>
      </c>
      <c r="V79" s="934">
        <f t="shared" si="149"/>
        <v>5.5366461748633924</v>
      </c>
      <c r="W79" s="384">
        <v>5.4</v>
      </c>
      <c r="X79" s="330">
        <f t="shared" si="150"/>
        <v>5.4611559139784731</v>
      </c>
      <c r="Y79" s="934">
        <f t="shared" si="151"/>
        <v>5.3999999999999995</v>
      </c>
      <c r="Z79" s="934">
        <f t="shared" si="151"/>
        <v>5.5213507625272324</v>
      </c>
      <c r="AA79" s="384">
        <v>5.4</v>
      </c>
      <c r="AB79" s="330">
        <f t="shared" si="152"/>
        <v>5.645833333333333</v>
      </c>
      <c r="AC79" s="935">
        <f t="shared" si="185"/>
        <v>5.4</v>
      </c>
      <c r="AD79" s="935">
        <f t="shared" si="185"/>
        <v>5.6173460144927541</v>
      </c>
      <c r="AE79" s="936">
        <f t="shared" si="185"/>
        <v>5.3999999999999995</v>
      </c>
      <c r="AF79" s="936">
        <f t="shared" si="185"/>
        <v>5.5417577413479044</v>
      </c>
      <c r="AG79" s="384">
        <v>4.8</v>
      </c>
      <c r="AH79" s="330">
        <f t="shared" si="154"/>
        <v>5.4294354838709875</v>
      </c>
      <c r="AI79" s="934">
        <f t="shared" si="154"/>
        <v>5.3130841121495331</v>
      </c>
      <c r="AJ79" s="934">
        <f t="shared" si="154"/>
        <v>5.5254867601246129</v>
      </c>
      <c r="AK79" s="384">
        <v>4.8</v>
      </c>
      <c r="AL79" s="330">
        <f t="shared" si="155"/>
        <v>3.0890277777777855</v>
      </c>
      <c r="AM79" s="934">
        <f t="shared" si="155"/>
        <v>5.25</v>
      </c>
      <c r="AN79" s="934">
        <f t="shared" si="155"/>
        <v>5.2259221311475441</v>
      </c>
      <c r="AO79" s="384">
        <v>4.8</v>
      </c>
      <c r="AP79" s="330">
        <f t="shared" si="186"/>
        <v>5.2395161290322543</v>
      </c>
      <c r="AQ79" s="935">
        <f t="shared" si="186"/>
        <v>4.8</v>
      </c>
      <c r="AR79" s="935">
        <f t="shared" si="186"/>
        <v>4.6022644927536325</v>
      </c>
      <c r="AS79" s="934">
        <f t="shared" si="186"/>
        <v>5.199272727272727</v>
      </c>
      <c r="AT79" s="934">
        <f t="shared" si="186"/>
        <v>5.2274545454545471</v>
      </c>
      <c r="AU79" s="384">
        <v>4.8</v>
      </c>
      <c r="AV79" s="330">
        <f t="shared" si="157"/>
        <v>5.4365591397849116</v>
      </c>
      <c r="AW79" s="934">
        <f t="shared" si="157"/>
        <v>5.158823529411765</v>
      </c>
      <c r="AX79" s="934">
        <f t="shared" si="157"/>
        <v>5.2486383442265776</v>
      </c>
      <c r="AY79" s="384">
        <v>4.8</v>
      </c>
      <c r="AZ79" s="330">
        <f t="shared" si="158"/>
        <v>5.4443452380952362</v>
      </c>
      <c r="BA79" s="934">
        <f t="shared" si="158"/>
        <v>5.1287425149700603</v>
      </c>
      <c r="BB79" s="934">
        <f t="shared" si="158"/>
        <v>5.2650449101796388</v>
      </c>
      <c r="BC79" s="384">
        <v>4.8</v>
      </c>
      <c r="BD79" s="330">
        <f t="shared" si="187"/>
        <v>5.5731182795699237</v>
      </c>
      <c r="BE79" s="935">
        <f t="shared" si="187"/>
        <v>4.8</v>
      </c>
      <c r="BF79" s="935">
        <f t="shared" si="187"/>
        <v>5.4860185185185166</v>
      </c>
      <c r="BG79" s="936">
        <f t="shared" si="187"/>
        <v>4.8</v>
      </c>
      <c r="BH79" s="936">
        <f t="shared" si="187"/>
        <v>5.0392857142857173</v>
      </c>
      <c r="BI79" s="934">
        <f t="shared" si="187"/>
        <v>5.1008219178082195</v>
      </c>
      <c r="BJ79" s="934">
        <f t="shared" si="187"/>
        <v>5.2912100456621012</v>
      </c>
      <c r="BK79" s="1219"/>
      <c r="BL79" s="1219"/>
      <c r="BM79" s="1219"/>
      <c r="BN79" s="1219"/>
    </row>
    <row r="80" spans="1:66" x14ac:dyDescent="0.25">
      <c r="A80" s="281"/>
      <c r="B80" s="2" t="s">
        <v>733</v>
      </c>
      <c r="C80" s="13" t="s">
        <v>381</v>
      </c>
      <c r="D80" s="315">
        <f t="shared" si="190"/>
        <v>0.259755010555556</v>
      </c>
      <c r="E80" s="315">
        <f t="shared" si="190"/>
        <v>0.24748231639784987</v>
      </c>
      <c r="G80" s="912" t="s">
        <v>765</v>
      </c>
      <c r="H80" s="271" t="s">
        <v>727</v>
      </c>
      <c r="I80" s="384">
        <v>0.9</v>
      </c>
      <c r="J80" s="330">
        <f t="shared" si="143"/>
        <v>0.85108333333332953</v>
      </c>
      <c r="K80" s="384">
        <v>0.9</v>
      </c>
      <c r="L80" s="330">
        <f t="shared" ref="L80" si="193">L31/1000/24/L$3</f>
        <v>0.85237903225806677</v>
      </c>
      <c r="M80" s="934">
        <f t="shared" si="145"/>
        <v>0.9</v>
      </c>
      <c r="N80" s="934">
        <f t="shared" si="145"/>
        <v>0.85174180327868776</v>
      </c>
      <c r="O80" s="384">
        <v>0.9</v>
      </c>
      <c r="P80" s="330">
        <f t="shared" si="146"/>
        <v>0.8672638888888875</v>
      </c>
      <c r="Q80" s="935">
        <f t="shared" si="147"/>
        <v>0.89999999999999991</v>
      </c>
      <c r="R80" s="935">
        <f t="shared" si="147"/>
        <v>0.8568589743589734</v>
      </c>
      <c r="S80" s="384">
        <v>0.9</v>
      </c>
      <c r="T80" s="330">
        <f t="shared" si="148"/>
        <v>0.87419354838709806</v>
      </c>
      <c r="U80" s="934">
        <f t="shared" si="149"/>
        <v>0.9</v>
      </c>
      <c r="V80" s="934">
        <f t="shared" si="149"/>
        <v>0.86126366120218556</v>
      </c>
      <c r="W80" s="384">
        <v>0.9</v>
      </c>
      <c r="X80" s="330">
        <f t="shared" si="150"/>
        <v>0.85221774193548172</v>
      </c>
      <c r="Y80" s="934">
        <f t="shared" si="151"/>
        <v>0.90000000000000013</v>
      </c>
      <c r="Z80" s="934">
        <f t="shared" si="151"/>
        <v>0.85943082788670955</v>
      </c>
      <c r="AA80" s="384">
        <v>0.9</v>
      </c>
      <c r="AB80" s="330">
        <f t="shared" si="152"/>
        <v>0.84518055555555793</v>
      </c>
      <c r="AC80" s="935">
        <f t="shared" si="185"/>
        <v>0.9</v>
      </c>
      <c r="AD80" s="935">
        <f t="shared" si="185"/>
        <v>0.85732789855072511</v>
      </c>
      <c r="AE80" s="936">
        <f t="shared" si="185"/>
        <v>0.90000000000000013</v>
      </c>
      <c r="AF80" s="936">
        <f t="shared" si="185"/>
        <v>0.85709471766848799</v>
      </c>
      <c r="AG80" s="384">
        <v>0.9</v>
      </c>
      <c r="AH80" s="330">
        <f t="shared" si="154"/>
        <v>0.80017069892473203</v>
      </c>
      <c r="AI80" s="934">
        <f t="shared" si="154"/>
        <v>0.9</v>
      </c>
      <c r="AJ80" s="934">
        <f t="shared" si="154"/>
        <v>0.84884871495327108</v>
      </c>
      <c r="AK80" s="384">
        <v>0.9</v>
      </c>
      <c r="AL80" s="330">
        <f t="shared" si="155"/>
        <v>0.5394722222222198</v>
      </c>
      <c r="AM80" s="934">
        <f t="shared" si="155"/>
        <v>0.9</v>
      </c>
      <c r="AN80" s="934">
        <f t="shared" si="155"/>
        <v>0.81081062158469919</v>
      </c>
      <c r="AO80" s="384">
        <v>0.9</v>
      </c>
      <c r="AP80" s="330">
        <f t="shared" si="186"/>
        <v>0.72225806451613028</v>
      </c>
      <c r="AQ80" s="935">
        <f t="shared" si="186"/>
        <v>0.9</v>
      </c>
      <c r="AR80" s="935">
        <f t="shared" si="186"/>
        <v>0.68890715579710149</v>
      </c>
      <c r="AS80" s="934">
        <f t="shared" si="186"/>
        <v>0.9</v>
      </c>
      <c r="AT80" s="934">
        <f t="shared" si="186"/>
        <v>0.80082833333333314</v>
      </c>
      <c r="AU80" s="384">
        <v>0.9</v>
      </c>
      <c r="AV80" s="330">
        <f t="shared" si="157"/>
        <v>0.73088709677419317</v>
      </c>
      <c r="AW80" s="934">
        <f t="shared" si="157"/>
        <v>0.90000000000000013</v>
      </c>
      <c r="AX80" s="934">
        <f t="shared" si="157"/>
        <v>0.79374278322440073</v>
      </c>
      <c r="AY80" s="384">
        <v>0.9</v>
      </c>
      <c r="AZ80" s="330">
        <f t="shared" si="158"/>
        <v>0.73002976190476232</v>
      </c>
      <c r="BA80" s="934">
        <f t="shared" si="158"/>
        <v>0.89999999999999991</v>
      </c>
      <c r="BB80" s="934">
        <f t="shared" si="158"/>
        <v>0.78840157185628734</v>
      </c>
      <c r="BC80" s="384">
        <v>0.9</v>
      </c>
      <c r="BD80" s="330">
        <f t="shared" si="187"/>
        <v>0.81115591397849462</v>
      </c>
      <c r="BE80" s="935">
        <f t="shared" si="187"/>
        <v>0.9</v>
      </c>
      <c r="BF80" s="935">
        <f t="shared" si="187"/>
        <v>0.7582685185185184</v>
      </c>
      <c r="BG80" s="936">
        <f t="shared" si="187"/>
        <v>0.89999999999999991</v>
      </c>
      <c r="BH80" s="936">
        <f t="shared" si="187"/>
        <v>0.72320673076923081</v>
      </c>
      <c r="BI80" s="934">
        <f t="shared" si="187"/>
        <v>0.9</v>
      </c>
      <c r="BJ80" s="934">
        <f t="shared" si="187"/>
        <v>0.79033413242009121</v>
      </c>
      <c r="BK80" s="1219"/>
      <c r="BL80" s="1219"/>
      <c r="BM80" s="1219"/>
      <c r="BN80" s="1219"/>
    </row>
    <row r="81" spans="1:66" ht="15.75" x14ac:dyDescent="0.25">
      <c r="A81" s="66"/>
      <c r="B81" s="2" t="s">
        <v>739</v>
      </c>
      <c r="C81" s="13" t="s">
        <v>381</v>
      </c>
      <c r="D81" s="315">
        <f t="shared" si="190"/>
        <v>0.47197477138888738</v>
      </c>
      <c r="E81" s="315">
        <f t="shared" si="190"/>
        <v>0.47029550080645333</v>
      </c>
      <c r="G81" s="912" t="s">
        <v>766</v>
      </c>
      <c r="H81" s="271" t="s">
        <v>728</v>
      </c>
      <c r="I81" s="384">
        <v>1.4</v>
      </c>
      <c r="J81" s="330">
        <f t="shared" si="143"/>
        <v>1.3067500000000007</v>
      </c>
      <c r="K81" s="384">
        <v>1.4</v>
      </c>
      <c r="L81" s="330">
        <f t="shared" ref="L81" si="194">L32/1000/24/L$3</f>
        <v>0.84927419354839617</v>
      </c>
      <c r="M81" s="934">
        <f t="shared" si="145"/>
        <v>1.4</v>
      </c>
      <c r="N81" s="934">
        <f t="shared" si="145"/>
        <v>1.074262295081972</v>
      </c>
      <c r="O81" s="384">
        <v>1.4</v>
      </c>
      <c r="P81" s="330">
        <f t="shared" si="146"/>
        <v>1.3830833333333252</v>
      </c>
      <c r="Q81" s="935">
        <f t="shared" si="147"/>
        <v>1.4</v>
      </c>
      <c r="R81" s="935">
        <f t="shared" si="147"/>
        <v>1.1760714285714291</v>
      </c>
      <c r="S81" s="384">
        <v>1.4</v>
      </c>
      <c r="T81" s="330">
        <f t="shared" si="148"/>
        <v>1.1878897849462364</v>
      </c>
      <c r="U81" s="934">
        <f t="shared" si="149"/>
        <v>1.4</v>
      </c>
      <c r="V81" s="934">
        <f t="shared" si="149"/>
        <v>1.1790744535519131</v>
      </c>
      <c r="W81" s="384">
        <v>1.4</v>
      </c>
      <c r="X81" s="330">
        <f t="shared" si="150"/>
        <v>1.190712365591396</v>
      </c>
      <c r="Y81" s="934">
        <f t="shared" si="151"/>
        <v>1.4000000000000001</v>
      </c>
      <c r="Z81" s="934">
        <f t="shared" si="151"/>
        <v>1.1814324618736385</v>
      </c>
      <c r="AA81" s="384">
        <v>1.4</v>
      </c>
      <c r="AB81" s="330">
        <f t="shared" si="152"/>
        <v>1.1422916666666667</v>
      </c>
      <c r="AC81" s="935">
        <f t="shared" si="185"/>
        <v>1.4</v>
      </c>
      <c r="AD81" s="935">
        <f t="shared" si="185"/>
        <v>1.1739719202898546</v>
      </c>
      <c r="AE81" s="936">
        <f t="shared" si="185"/>
        <v>1.4</v>
      </c>
      <c r="AF81" s="936">
        <f t="shared" si="185"/>
        <v>1.1750159380692167</v>
      </c>
      <c r="AG81" s="384">
        <v>1</v>
      </c>
      <c r="AH81" s="330">
        <f t="shared" si="154"/>
        <v>1.3350403225806489</v>
      </c>
      <c r="AI81" s="934">
        <f t="shared" si="154"/>
        <v>1.342056074766355</v>
      </c>
      <c r="AJ81" s="934">
        <f t="shared" si="154"/>
        <v>1.198197040498443</v>
      </c>
      <c r="AK81" s="384">
        <v>1</v>
      </c>
      <c r="AL81" s="330">
        <f t="shared" si="155"/>
        <v>0.83647222222222839</v>
      </c>
      <c r="AM81" s="934">
        <f t="shared" si="155"/>
        <v>1.3</v>
      </c>
      <c r="AN81" s="934">
        <f t="shared" si="155"/>
        <v>1.1537226775956295</v>
      </c>
      <c r="AO81" s="384">
        <v>1</v>
      </c>
      <c r="AP81" s="330">
        <f t="shared" si="186"/>
        <v>1.1300806451612884</v>
      </c>
      <c r="AQ81" s="935">
        <f t="shared" si="186"/>
        <v>1</v>
      </c>
      <c r="AR81" s="935">
        <f t="shared" si="186"/>
        <v>1.1034012681159446</v>
      </c>
      <c r="AS81" s="934">
        <f t="shared" si="186"/>
        <v>1.2661818181818181</v>
      </c>
      <c r="AT81" s="934">
        <f t="shared" si="186"/>
        <v>1.1510575757575767</v>
      </c>
      <c r="AU81" s="384">
        <v>1</v>
      </c>
      <c r="AV81" s="330">
        <f t="shared" si="157"/>
        <v>1.0709811827956988</v>
      </c>
      <c r="AW81" s="934">
        <f t="shared" si="157"/>
        <v>1.2392156862745098</v>
      </c>
      <c r="AX81" s="934">
        <f t="shared" si="157"/>
        <v>1.1429452614379094</v>
      </c>
      <c r="AY81" s="384">
        <v>1</v>
      </c>
      <c r="AZ81" s="330">
        <f t="shared" si="158"/>
        <v>1.0417410714285713</v>
      </c>
      <c r="BA81" s="934">
        <f t="shared" si="158"/>
        <v>1.2191616766467066</v>
      </c>
      <c r="BB81" s="934">
        <f t="shared" si="158"/>
        <v>1.134461077844312</v>
      </c>
      <c r="BC81" s="384">
        <v>1</v>
      </c>
      <c r="BD81" s="330">
        <f t="shared" si="187"/>
        <v>1.224462365591396</v>
      </c>
      <c r="BE81" s="935">
        <f t="shared" si="187"/>
        <v>1</v>
      </c>
      <c r="BF81" s="935">
        <f t="shared" si="187"/>
        <v>1.1147499999999995</v>
      </c>
      <c r="BG81" s="936">
        <f t="shared" si="187"/>
        <v>1</v>
      </c>
      <c r="BH81" s="936">
        <f t="shared" si="187"/>
        <v>1.1090132783882791</v>
      </c>
      <c r="BI81" s="934">
        <f t="shared" si="187"/>
        <v>1.2005479452054795</v>
      </c>
      <c r="BJ81" s="934">
        <f t="shared" si="187"/>
        <v>1.1421050228310508</v>
      </c>
      <c r="BK81" s="1219"/>
      <c r="BL81" s="1219"/>
      <c r="BM81" s="1219"/>
      <c r="BN81" s="1219"/>
    </row>
    <row r="82" spans="1:66" x14ac:dyDescent="0.25">
      <c r="B82" s="22" t="s">
        <v>729</v>
      </c>
      <c r="C82" s="13" t="s">
        <v>381</v>
      </c>
      <c r="D82" s="315">
        <f>+((D40/1000)/D$3)/24</f>
        <v>1.2024613888888884</v>
      </c>
      <c r="E82" s="315">
        <f>+((E40/1000)/E$3)/24</f>
        <v>1.0451474462365573</v>
      </c>
      <c r="G82" s="912" t="s">
        <v>768</v>
      </c>
      <c r="H82" s="271" t="s">
        <v>729</v>
      </c>
      <c r="I82" s="384">
        <v>1.2</v>
      </c>
      <c r="J82" s="330">
        <f t="shared" si="143"/>
        <v>1.1078138888888909</v>
      </c>
      <c r="K82" s="384">
        <v>1.2</v>
      </c>
      <c r="L82" s="330">
        <f t="shared" ref="L82" si="195">L33/1000/24/L$3</f>
        <v>1.1968814516129018</v>
      </c>
      <c r="M82" s="934">
        <f t="shared" si="145"/>
        <v>1.2</v>
      </c>
      <c r="N82" s="934">
        <f t="shared" si="145"/>
        <v>1.1530777322404373</v>
      </c>
      <c r="O82" s="384">
        <v>1.2</v>
      </c>
      <c r="P82" s="330">
        <f t="shared" si="146"/>
        <v>1.2105823611111106</v>
      </c>
      <c r="Q82" s="935">
        <f t="shared" si="147"/>
        <v>1.2</v>
      </c>
      <c r="R82" s="935">
        <f t="shared" si="147"/>
        <v>1.1720353021978021</v>
      </c>
      <c r="S82" s="384">
        <v>1.2</v>
      </c>
      <c r="T82" s="330">
        <f t="shared" si="148"/>
        <v>1.2266896505376341</v>
      </c>
      <c r="U82" s="934">
        <f t="shared" si="149"/>
        <v>1.2</v>
      </c>
      <c r="V82" s="934">
        <f t="shared" si="149"/>
        <v>1.185922882513661</v>
      </c>
      <c r="W82" s="384">
        <v>1.2</v>
      </c>
      <c r="X82" s="330">
        <f t="shared" si="150"/>
        <v>1.1812225000000025</v>
      </c>
      <c r="Y82" s="934">
        <f t="shared" si="151"/>
        <v>1.2</v>
      </c>
      <c r="Z82" s="934">
        <f t="shared" si="151"/>
        <v>1.1849705174291942</v>
      </c>
      <c r="AA82" s="384">
        <v>1.2</v>
      </c>
      <c r="AB82" s="330">
        <f t="shared" si="152"/>
        <v>1.1699657222222202</v>
      </c>
      <c r="AC82" s="935">
        <f t="shared" si="185"/>
        <v>1.2</v>
      </c>
      <c r="AD82" s="935">
        <f t="shared" si="185"/>
        <v>1.1928722644927539</v>
      </c>
      <c r="AE82" s="936">
        <f t="shared" si="185"/>
        <v>1.2</v>
      </c>
      <c r="AF82" s="936">
        <f t="shared" si="185"/>
        <v>1.1825107149362477</v>
      </c>
      <c r="AG82" s="384">
        <v>1.4</v>
      </c>
      <c r="AH82" s="330">
        <f t="shared" si="154"/>
        <v>1.1348008064516146</v>
      </c>
      <c r="AI82" s="934">
        <f t="shared" si="154"/>
        <v>1.2289719626168225</v>
      </c>
      <c r="AJ82" s="934">
        <f t="shared" si="154"/>
        <v>1.1755994665109037</v>
      </c>
      <c r="AK82" s="384">
        <v>1.4</v>
      </c>
      <c r="AL82" s="330">
        <f t="shared" si="155"/>
        <v>0.80291049999999919</v>
      </c>
      <c r="AM82" s="934">
        <f t="shared" si="155"/>
        <v>1.25</v>
      </c>
      <c r="AN82" s="934">
        <f t="shared" si="155"/>
        <v>1.1297770525956286</v>
      </c>
      <c r="AO82" s="384">
        <v>1.4</v>
      </c>
      <c r="AP82" s="330">
        <f t="shared" si="186"/>
        <v>1.005424731182796</v>
      </c>
      <c r="AQ82" s="935">
        <f t="shared" si="186"/>
        <v>1.4</v>
      </c>
      <c r="AR82" s="935">
        <f t="shared" si="186"/>
        <v>0.98298159420289888</v>
      </c>
      <c r="AS82" s="934">
        <f t="shared" si="186"/>
        <v>1.266909090909091</v>
      </c>
      <c r="AT82" s="934">
        <f t="shared" si="186"/>
        <v>1.1157591545454546</v>
      </c>
      <c r="AU82" s="384">
        <v>1.4</v>
      </c>
      <c r="AV82" s="330">
        <f t="shared" si="157"/>
        <v>1.0438978494623663</v>
      </c>
      <c r="AW82" s="934">
        <f t="shared" si="157"/>
        <v>1.2803921568627452</v>
      </c>
      <c r="AX82" s="934">
        <f t="shared" si="157"/>
        <v>1.1084790876906321</v>
      </c>
      <c r="AY82" s="384">
        <v>1.4</v>
      </c>
      <c r="AZ82" s="330">
        <f t="shared" si="158"/>
        <v>1.0638648809523803</v>
      </c>
      <c r="BA82" s="934">
        <f t="shared" si="158"/>
        <v>1.2904191616766467</v>
      </c>
      <c r="BB82" s="934">
        <f t="shared" si="158"/>
        <v>1.1047389745508982</v>
      </c>
      <c r="BC82" s="384">
        <v>1.4</v>
      </c>
      <c r="BD82" s="330">
        <f t="shared" si="187"/>
        <v>1.0987927419354826</v>
      </c>
      <c r="BE82" s="935">
        <f t="shared" si="187"/>
        <v>1.4</v>
      </c>
      <c r="BF82" s="935">
        <f t="shared" si="187"/>
        <v>1.0690180555555553</v>
      </c>
      <c r="BG82" s="936">
        <f t="shared" si="187"/>
        <v>1.4</v>
      </c>
      <c r="BH82" s="936">
        <f t="shared" si="187"/>
        <v>1.0255270970695971</v>
      </c>
      <c r="BI82" s="934">
        <f t="shared" si="187"/>
        <v>1.2997260273972604</v>
      </c>
      <c r="BJ82" s="934">
        <f t="shared" si="187"/>
        <v>1.1042339520547946</v>
      </c>
      <c r="BK82" s="1219"/>
      <c r="BL82" s="1219"/>
      <c r="BM82" s="1219"/>
      <c r="BN82" s="1219"/>
    </row>
    <row r="83" spans="1:66" s="149" customFormat="1" x14ac:dyDescent="0.25">
      <c r="B83" s="149" t="s">
        <v>773</v>
      </c>
      <c r="C83" s="149" t="s">
        <v>381</v>
      </c>
      <c r="D83" s="149">
        <f>+((D41/1000)/D$3)/24</f>
        <v>122.30793637777781</v>
      </c>
      <c r="E83" s="149">
        <f>+((E41/1000)/E$3)/24</f>
        <v>125.68636524059139</v>
      </c>
      <c r="G83" s="154"/>
      <c r="H83" s="154"/>
      <c r="M83" s="154"/>
      <c r="N83" s="154"/>
      <c r="Q83" s="154"/>
      <c r="R83" s="154"/>
      <c r="U83" s="154"/>
      <c r="V83" s="154"/>
      <c r="Y83" s="154"/>
      <c r="Z83" s="154"/>
      <c r="AC83" s="154"/>
      <c r="AD83" s="154"/>
      <c r="AE83" s="154"/>
      <c r="AF83" s="154"/>
      <c r="AI83" s="154"/>
      <c r="AJ83" s="154"/>
      <c r="AM83" s="154"/>
      <c r="AN83" s="154"/>
      <c r="AQ83" s="154"/>
      <c r="AR83" s="154"/>
      <c r="AS83" s="154"/>
      <c r="AT83" s="154"/>
      <c r="AW83" s="154"/>
      <c r="AX83" s="154"/>
      <c r="BA83" s="154"/>
      <c r="BB83" s="154"/>
      <c r="BE83" s="154"/>
      <c r="BF83" s="154"/>
      <c r="BG83" s="154"/>
      <c r="BH83" s="154"/>
      <c r="BI83" s="154"/>
      <c r="BJ83" s="154"/>
      <c r="BK83" s="1219"/>
      <c r="BL83" s="1219"/>
      <c r="BM83" s="1219"/>
      <c r="BN83" s="1219"/>
    </row>
    <row r="84" spans="1:66" ht="15.75" thickBot="1" x14ac:dyDescent="0.3">
      <c r="D84" s="316"/>
      <c r="E84" s="316"/>
      <c r="G84" s="923" t="s">
        <v>769</v>
      </c>
      <c r="H84" s="838" t="s">
        <v>730</v>
      </c>
      <c r="I84" s="385">
        <f>+SUM(I85:I88)</f>
        <v>2.5215533333333338</v>
      </c>
      <c r="J84" s="334">
        <f t="shared" ref="J84:J96" si="196">J35/1000/24/J$3</f>
        <v>2.0250527965740726</v>
      </c>
      <c r="K84" s="385">
        <f>+SUM(K85:K88)</f>
        <v>2.5215533333333333</v>
      </c>
      <c r="L84" s="334">
        <f t="shared" ref="L84" si="197">L35/1000/24/L$3</f>
        <v>2.2689348890232992</v>
      </c>
      <c r="M84" s="938">
        <f t="shared" ref="M84:N96" si="198">M35/1000/24/M$3</f>
        <v>2.5215533333333333</v>
      </c>
      <c r="N84" s="938">
        <f t="shared" si="198"/>
        <v>2.1489928763433515</v>
      </c>
      <c r="O84" s="385">
        <f>+SUM(O85:O88)</f>
        <v>2.4533266666666669</v>
      </c>
      <c r="P84" s="334">
        <f t="shared" ref="P84:P96" si="199">P35/1000/24/P$3</f>
        <v>2.2147446018518511</v>
      </c>
      <c r="Q84" s="939">
        <f t="shared" ref="Q84:R96" si="200">Q35/1000/24/Q$3</f>
        <v>2.4990610256410255</v>
      </c>
      <c r="R84" s="939">
        <f t="shared" si="200"/>
        <v>2.170669269368132</v>
      </c>
      <c r="S84" s="385">
        <f>+SUM(S85:S88)</f>
        <v>2.4533266666666669</v>
      </c>
      <c r="T84" s="334">
        <f t="shared" ref="T84:T96" si="201">T35/1000/24/T$3</f>
        <v>2.1732506568100356</v>
      </c>
      <c r="U84" s="938">
        <f t="shared" ref="U84:V96" si="202">U35/1000/24/U$3</f>
        <v>2.4874400000000003</v>
      </c>
      <c r="V84" s="938">
        <f t="shared" si="202"/>
        <v>2.1713251956853372</v>
      </c>
      <c r="W84" s="385">
        <f>+SUM(W85:W88)</f>
        <v>2.4533266666666669</v>
      </c>
      <c r="X84" s="334">
        <f t="shared" ref="X84:X96" si="203">X35/1000/24/X$3</f>
        <v>2.105497294802869</v>
      </c>
      <c r="Y84" s="938">
        <f t="shared" ref="Y84:Z96" si="204">Y35/1000/24/Y$3</f>
        <v>2.480528148148148</v>
      </c>
      <c r="Z84" s="938">
        <f t="shared" si="204"/>
        <v>2.1579875164215689</v>
      </c>
      <c r="AA84" s="385">
        <f>+SUM(AA85:AA88)</f>
        <v>2.420919</v>
      </c>
      <c r="AB84" s="334">
        <f t="shared" ref="AB84:AB96" si="205">AB35/1000/24/AB$3</f>
        <v>2.1918120717592586</v>
      </c>
      <c r="AC84" s="939">
        <f t="shared" ref="AC84:AF96" si="206">AC35/1000/24/AC$3</f>
        <v>2.4427589492753623</v>
      </c>
      <c r="AD84" s="939">
        <f t="shared" si="206"/>
        <v>2.1564733549214981</v>
      </c>
      <c r="AE84" s="940">
        <f t="shared" si="206"/>
        <v>2.4707561566484513</v>
      </c>
      <c r="AF84" s="940">
        <f t="shared" si="206"/>
        <v>2.1635325254933218</v>
      </c>
      <c r="AG84" s="385">
        <f>+SUM(AG85:AG88)</f>
        <v>3.198448</v>
      </c>
      <c r="AH84" s="4107">
        <f t="shared" ref="AH84:AJ96" si="207">AH35/1000/24/AH$3</f>
        <v>2.2481326447132624</v>
      </c>
      <c r="AI84" s="938">
        <f t="shared" si="207"/>
        <v>2.5761694610591892</v>
      </c>
      <c r="AJ84" s="938">
        <f t="shared" si="207"/>
        <v>2.1757876829504159</v>
      </c>
      <c r="AK84" s="385">
        <f>+SUM(AK85:AK88)</f>
        <v>3.198448</v>
      </c>
      <c r="AL84" s="4107">
        <f t="shared" ref="AL84:AN96" si="208">AL35/1000/24/AL$3</f>
        <v>2.1214998888888883</v>
      </c>
      <c r="AM84" s="938">
        <f t="shared" si="208"/>
        <v>2.6526791174863389</v>
      </c>
      <c r="AN84" s="938">
        <f t="shared" si="208"/>
        <v>2.1691129541723595</v>
      </c>
      <c r="AO84" s="385">
        <f>+SUM(AO85:AO88)</f>
        <v>3.198448</v>
      </c>
      <c r="AP84" s="4107">
        <f t="shared" ref="AP84:AT96" si="209">AP35/1000/24/AP$3</f>
        <v>1.9774666935483873</v>
      </c>
      <c r="AQ84" s="939">
        <f t="shared" si="209"/>
        <v>3.1984479999999995</v>
      </c>
      <c r="AR84" s="939">
        <f t="shared" si="209"/>
        <v>2.115636697312802</v>
      </c>
      <c r="AS84" s="938">
        <f t="shared" si="209"/>
        <v>2.714202155151515</v>
      </c>
      <c r="AT84" s="938">
        <f t="shared" si="209"/>
        <v>2.1475091938838387</v>
      </c>
      <c r="AU84" s="385">
        <f>+SUM(AU85:AU88)</f>
        <v>3.198448</v>
      </c>
      <c r="AV84" s="334">
        <f t="shared" ref="AV84:AX96" si="210">AV35/1000/24/AV$3</f>
        <v>1.9581805555555565</v>
      </c>
      <c r="AW84" s="938">
        <f t="shared" si="210"/>
        <v>2.76325974074074</v>
      </c>
      <c r="AX84" s="938">
        <f t="shared" si="210"/>
        <v>2.1283288416348949</v>
      </c>
      <c r="AY84" s="385">
        <f>+SUM(AY85:AY88)</f>
        <v>3.198448</v>
      </c>
      <c r="AZ84" s="334">
        <f t="shared" ref="AZ84:BB96" si="211">AZ35/1000/24/AZ$3</f>
        <v>2.0464039130704372</v>
      </c>
      <c r="BA84" s="938">
        <f t="shared" si="211"/>
        <v>2.7997425888223555</v>
      </c>
      <c r="BB84" s="938">
        <f t="shared" si="211"/>
        <v>2.1214608835516469</v>
      </c>
      <c r="BC84" s="385">
        <f>+SUM(BC85:BC88)</f>
        <v>3.198448</v>
      </c>
      <c r="BD84" s="334">
        <f t="shared" ref="BD84:BJ96" si="212">BD35/1000/24/BD$3</f>
        <v>2.0746432851478471</v>
      </c>
      <c r="BE84" s="939">
        <f t="shared" si="212"/>
        <v>3.1984480000000008</v>
      </c>
      <c r="BF84" s="939">
        <f t="shared" si="212"/>
        <v>2.0257427625308639</v>
      </c>
      <c r="BG84" s="940">
        <f t="shared" si="212"/>
        <v>3.198448</v>
      </c>
      <c r="BH84" s="940">
        <f t="shared" si="212"/>
        <v>2.071183652640415</v>
      </c>
      <c r="BI84" s="938">
        <f t="shared" si="212"/>
        <v>2.8336052401826479</v>
      </c>
      <c r="BJ84" s="938">
        <f t="shared" si="212"/>
        <v>2.1174845943721463</v>
      </c>
      <c r="BK84" s="1219"/>
      <c r="BL84" s="1219"/>
      <c r="BM84" s="1219"/>
      <c r="BN84" s="1219"/>
    </row>
    <row r="85" spans="1:66" ht="21" thickBot="1" x14ac:dyDescent="0.3">
      <c r="A85" s="274"/>
      <c r="B85" s="306" t="s">
        <v>516</v>
      </c>
      <c r="C85" s="212" t="s">
        <v>381</v>
      </c>
      <c r="D85" s="316">
        <f>+((D43/1000)/D$3)/24</f>
        <v>110.28636605083337</v>
      </c>
      <c r="E85" s="316">
        <f>+((E43/1000)/E$3)/24</f>
        <v>113.44019473978493</v>
      </c>
      <c r="G85" s="912" t="s">
        <v>770</v>
      </c>
      <c r="H85" s="271" t="s">
        <v>731</v>
      </c>
      <c r="I85" s="384">
        <v>1.6715533333333334</v>
      </c>
      <c r="J85" s="330">
        <f t="shared" si="196"/>
        <v>1.5147680555555545</v>
      </c>
      <c r="K85" s="384">
        <v>1.6715533333333332</v>
      </c>
      <c r="L85" s="330">
        <f t="shared" ref="L85" si="213">L36/1000/24/L$3</f>
        <v>1.6557514784946237</v>
      </c>
      <c r="M85" s="934">
        <f t="shared" si="198"/>
        <v>1.6715533333333337</v>
      </c>
      <c r="N85" s="934">
        <f t="shared" si="198"/>
        <v>1.5864153688524585</v>
      </c>
      <c r="O85" s="384">
        <v>1.6033266666666666</v>
      </c>
      <c r="P85" s="330">
        <f t="shared" si="199"/>
        <v>1.6648472222222233</v>
      </c>
      <c r="Q85" s="935">
        <f t="shared" si="200"/>
        <v>1.6490610256410259</v>
      </c>
      <c r="R85" s="935">
        <f t="shared" si="200"/>
        <v>1.6122720238095238</v>
      </c>
      <c r="S85" s="384">
        <v>1.6033266666666668</v>
      </c>
      <c r="T85" s="330">
        <f t="shared" si="201"/>
        <v>1.6151774193548387</v>
      </c>
      <c r="U85" s="934">
        <f t="shared" si="202"/>
        <v>1.63744</v>
      </c>
      <c r="V85" s="934">
        <f t="shared" si="202"/>
        <v>1.6130102800546449</v>
      </c>
      <c r="W85" s="384">
        <v>1.6033266666666668</v>
      </c>
      <c r="X85" s="330">
        <f t="shared" si="203"/>
        <v>1.5753266129032253</v>
      </c>
      <c r="Y85" s="934">
        <f t="shared" si="204"/>
        <v>1.6305281481481482</v>
      </c>
      <c r="Z85" s="934">
        <f t="shared" si="204"/>
        <v>1.6053750272331158</v>
      </c>
      <c r="AA85" s="384">
        <v>1.570919</v>
      </c>
      <c r="AB85" s="330">
        <f t="shared" si="205"/>
        <v>1.5514680555555551</v>
      </c>
      <c r="AC85" s="935">
        <f t="shared" si="206"/>
        <v>1.5927589492753622</v>
      </c>
      <c r="AD85" s="935">
        <f t="shared" si="206"/>
        <v>1.5809746376811591</v>
      </c>
      <c r="AE85" s="936">
        <f t="shared" si="206"/>
        <v>1.6207561566484516</v>
      </c>
      <c r="AF85" s="936">
        <f t="shared" si="206"/>
        <v>1.5965378187613843</v>
      </c>
      <c r="AG85" s="384">
        <v>1.6484480000000001</v>
      </c>
      <c r="AH85" s="330">
        <f t="shared" si="207"/>
        <v>1.658100806451613</v>
      </c>
      <c r="AI85" s="934">
        <f t="shared" si="207"/>
        <v>1.6247675919003115</v>
      </c>
      <c r="AJ85" s="934">
        <f t="shared" si="207"/>
        <v>1.6054558216510904</v>
      </c>
      <c r="AK85" s="384">
        <v>1.6484479999999999</v>
      </c>
      <c r="AL85" s="330">
        <f t="shared" si="208"/>
        <v>1.5833013888888883</v>
      </c>
      <c r="AM85" s="934">
        <f t="shared" si="208"/>
        <v>1.6276791174863388</v>
      </c>
      <c r="AN85" s="934">
        <f t="shared" si="208"/>
        <v>1.6027319159836064</v>
      </c>
      <c r="AO85" s="384">
        <v>1.6484480000000001</v>
      </c>
      <c r="AP85" s="330">
        <f t="shared" si="209"/>
        <v>1.5107620967741937</v>
      </c>
      <c r="AQ85" s="935">
        <f t="shared" si="209"/>
        <v>1.6484480000000004</v>
      </c>
      <c r="AR85" s="935">
        <f t="shared" si="209"/>
        <v>1.5840629528985504</v>
      </c>
      <c r="AS85" s="934">
        <f t="shared" si="209"/>
        <v>1.6300203369696971</v>
      </c>
      <c r="AT85" s="934">
        <f t="shared" si="209"/>
        <v>1.5923644090909088</v>
      </c>
      <c r="AU85" s="384">
        <v>1.6484480000000001</v>
      </c>
      <c r="AV85" s="330">
        <f t="shared" si="210"/>
        <v>1.4298736559139795</v>
      </c>
      <c r="AW85" s="934">
        <f t="shared" si="210"/>
        <v>1.6318871917211333</v>
      </c>
      <c r="AX85" s="934">
        <f t="shared" si="210"/>
        <v>1.5759029275599128</v>
      </c>
      <c r="AY85" s="384">
        <v>1.6484480000000001</v>
      </c>
      <c r="AZ85" s="330">
        <f t="shared" si="211"/>
        <v>1.5353080357142852</v>
      </c>
      <c r="BA85" s="934">
        <f t="shared" si="211"/>
        <v>1.6332755229540921</v>
      </c>
      <c r="BB85" s="934">
        <f t="shared" si="211"/>
        <v>1.5724997629740518</v>
      </c>
      <c r="BC85" s="384">
        <v>1.6484480000000001</v>
      </c>
      <c r="BD85" s="330">
        <f t="shared" si="212"/>
        <v>1.5654637096774195</v>
      </c>
      <c r="BE85" s="935">
        <f t="shared" si="212"/>
        <v>1.6484480000000004</v>
      </c>
      <c r="BF85" s="935">
        <f t="shared" si="212"/>
        <v>1.5093787037037039</v>
      </c>
      <c r="BG85" s="936">
        <f t="shared" si="212"/>
        <v>1.6484480000000001</v>
      </c>
      <c r="BH85" s="936">
        <f t="shared" si="212"/>
        <v>1.5471311813186814</v>
      </c>
      <c r="BI85" s="934">
        <f t="shared" si="212"/>
        <v>1.6345641442922376</v>
      </c>
      <c r="BJ85" s="934">
        <f t="shared" si="212"/>
        <v>1.5719021803652968</v>
      </c>
      <c r="BK85" s="1219"/>
      <c r="BL85" s="1219"/>
      <c r="BM85" s="1219"/>
      <c r="BN85" s="1219"/>
    </row>
    <row r="86" spans="1:66" x14ac:dyDescent="0.25">
      <c r="G86" s="912" t="s">
        <v>771</v>
      </c>
      <c r="H86" s="271" t="s">
        <v>732</v>
      </c>
      <c r="I86" s="384">
        <v>0.5</v>
      </c>
      <c r="J86" s="330">
        <f t="shared" si="196"/>
        <v>0.30725601851851897</v>
      </c>
      <c r="K86" s="384">
        <v>0.5</v>
      </c>
      <c r="L86" s="330">
        <f t="shared" ref="L86" si="214">L37/1000/24/L$3</f>
        <v>0.29523297491039441</v>
      </c>
      <c r="M86" s="934">
        <f t="shared" si="198"/>
        <v>0.5</v>
      </c>
      <c r="N86" s="934">
        <f t="shared" si="198"/>
        <v>0.30114594717668519</v>
      </c>
      <c r="O86" s="384">
        <v>0.5</v>
      </c>
      <c r="P86" s="330">
        <f t="shared" si="199"/>
        <v>0.3146699074074068</v>
      </c>
      <c r="Q86" s="935">
        <f t="shared" si="200"/>
        <v>0.5</v>
      </c>
      <c r="R86" s="935">
        <f t="shared" si="200"/>
        <v>0.30560439560439562</v>
      </c>
      <c r="S86" s="384">
        <v>0.5</v>
      </c>
      <c r="T86" s="330">
        <f t="shared" si="201"/>
        <v>0.3273006272401433</v>
      </c>
      <c r="U86" s="934">
        <f t="shared" si="202"/>
        <v>0.5</v>
      </c>
      <c r="V86" s="934">
        <f t="shared" si="202"/>
        <v>0.31111737249544624</v>
      </c>
      <c r="W86" s="384">
        <v>0.5</v>
      </c>
      <c r="X86" s="330">
        <f t="shared" si="203"/>
        <v>0.30991442652329854</v>
      </c>
      <c r="Y86" s="934">
        <f t="shared" si="204"/>
        <v>0.5</v>
      </c>
      <c r="Z86" s="934">
        <f t="shared" si="204"/>
        <v>0.31087363834422677</v>
      </c>
      <c r="AA86" s="384">
        <v>0.5</v>
      </c>
      <c r="AB86" s="330">
        <f t="shared" si="205"/>
        <v>0.36985592592592603</v>
      </c>
      <c r="AC86" s="935">
        <f t="shared" si="206"/>
        <v>0.5</v>
      </c>
      <c r="AD86" s="935">
        <f t="shared" si="206"/>
        <v>0.33531896135265732</v>
      </c>
      <c r="AE86" s="936">
        <f t="shared" si="206"/>
        <v>0.5</v>
      </c>
      <c r="AF86" s="936">
        <f t="shared" si="206"/>
        <v>0.32054286581663649</v>
      </c>
      <c r="AG86" s="384">
        <v>0.9</v>
      </c>
      <c r="AH86" s="330">
        <f t="shared" si="207"/>
        <v>0.32958691756272407</v>
      </c>
      <c r="AI86" s="934">
        <f t="shared" si="207"/>
        <v>0.55794392523364478</v>
      </c>
      <c r="AJ86" s="934">
        <f t="shared" si="207"/>
        <v>0.32185298546209778</v>
      </c>
      <c r="AK86" s="384">
        <v>0.9</v>
      </c>
      <c r="AL86" s="330">
        <f t="shared" si="208"/>
        <v>0.32082777777777793</v>
      </c>
      <c r="AM86" s="934">
        <f t="shared" si="208"/>
        <v>0.6</v>
      </c>
      <c r="AN86" s="934">
        <f t="shared" si="208"/>
        <v>0.32172693533697655</v>
      </c>
      <c r="AO86" s="384">
        <v>0.9</v>
      </c>
      <c r="AP86" s="330">
        <f t="shared" si="209"/>
        <v>0.28675672043010736</v>
      </c>
      <c r="AQ86" s="935">
        <f t="shared" si="209"/>
        <v>0.9</v>
      </c>
      <c r="AR86" s="935">
        <f t="shared" si="209"/>
        <v>0.31229876207729473</v>
      </c>
      <c r="AS86" s="934">
        <f t="shared" si="209"/>
        <v>0.63381818181818173</v>
      </c>
      <c r="AT86" s="934">
        <f t="shared" si="209"/>
        <v>0.31778483838383859</v>
      </c>
      <c r="AU86" s="384">
        <v>0.9</v>
      </c>
      <c r="AV86" s="330">
        <f t="shared" si="210"/>
        <v>0.31431362007168473</v>
      </c>
      <c r="AW86" s="934">
        <f t="shared" si="210"/>
        <v>0.66078431372549029</v>
      </c>
      <c r="AX86" s="934">
        <f t="shared" si="210"/>
        <v>0.31743317901234591</v>
      </c>
      <c r="AY86" s="384">
        <v>0.9</v>
      </c>
      <c r="AZ86" s="330">
        <f t="shared" si="211"/>
        <v>0.30220138888888909</v>
      </c>
      <c r="BA86" s="934">
        <f t="shared" si="211"/>
        <v>0.68083832335329342</v>
      </c>
      <c r="BB86" s="934">
        <f t="shared" si="211"/>
        <v>0.31615626247505013</v>
      </c>
      <c r="BC86" s="384">
        <v>0.9</v>
      </c>
      <c r="BD86" s="330">
        <f t="shared" si="212"/>
        <v>0.3065591397849447</v>
      </c>
      <c r="BE86" s="935">
        <f t="shared" si="212"/>
        <v>0.9</v>
      </c>
      <c r="BF86" s="935">
        <f t="shared" si="212"/>
        <v>0.30787438271604894</v>
      </c>
      <c r="BG86" s="936">
        <f t="shared" si="212"/>
        <v>0.89999999999999991</v>
      </c>
      <c r="BH86" s="936">
        <f t="shared" si="212"/>
        <v>0.31011088217338201</v>
      </c>
      <c r="BI86" s="934">
        <f t="shared" si="212"/>
        <v>0.69945205479452055</v>
      </c>
      <c r="BJ86" s="934">
        <f t="shared" si="212"/>
        <v>0.31534116438356175</v>
      </c>
      <c r="BK86" s="1219"/>
      <c r="BL86" s="1219"/>
      <c r="BM86" s="1219"/>
      <c r="BN86" s="1219"/>
    </row>
    <row r="87" spans="1:66" x14ac:dyDescent="0.25">
      <c r="G87" s="912" t="s">
        <v>772</v>
      </c>
      <c r="H87" s="271" t="s">
        <v>733</v>
      </c>
      <c r="I87" s="384">
        <v>0.2</v>
      </c>
      <c r="J87" s="330">
        <f t="shared" si="196"/>
        <v>0.11231511138888882</v>
      </c>
      <c r="K87" s="384">
        <v>0.2</v>
      </c>
      <c r="L87" s="330">
        <f t="shared" ref="L87" si="215">L38/1000/24/L$3</f>
        <v>0.13390204852150542</v>
      </c>
      <c r="M87" s="934">
        <f t="shared" si="198"/>
        <v>0.2</v>
      </c>
      <c r="N87" s="934">
        <f t="shared" si="198"/>
        <v>0.12328552206284155</v>
      </c>
      <c r="O87" s="384">
        <v>0.2</v>
      </c>
      <c r="P87" s="330">
        <f t="shared" si="199"/>
        <v>0.11789719444444451</v>
      </c>
      <c r="Q87" s="935">
        <f t="shared" si="200"/>
        <v>0.19999999999999998</v>
      </c>
      <c r="R87" s="935">
        <f t="shared" si="200"/>
        <v>0.12150915032051283</v>
      </c>
      <c r="S87" s="384">
        <v>0.2</v>
      </c>
      <c r="T87" s="330">
        <f t="shared" si="201"/>
        <v>0.1094425026881717</v>
      </c>
      <c r="U87" s="934">
        <f t="shared" si="202"/>
        <v>0.2</v>
      </c>
      <c r="V87" s="934">
        <f t="shared" si="202"/>
        <v>0.11844303493852448</v>
      </c>
      <c r="W87" s="384">
        <v>0.2</v>
      </c>
      <c r="X87" s="330">
        <f t="shared" si="203"/>
        <v>0.13241297580645167</v>
      </c>
      <c r="Y87" s="934">
        <f t="shared" si="204"/>
        <v>0.19999999999999998</v>
      </c>
      <c r="Z87" s="934">
        <f t="shared" si="204"/>
        <v>0.12127354583333327</v>
      </c>
      <c r="AA87" s="384">
        <v>0.2</v>
      </c>
      <c r="AB87" s="330">
        <f t="shared" si="205"/>
        <v>0.13913364583333362</v>
      </c>
      <c r="AC87" s="935">
        <f t="shared" si="206"/>
        <v>0.2</v>
      </c>
      <c r="AD87" s="935">
        <f t="shared" si="206"/>
        <v>0.12686444791666665</v>
      </c>
      <c r="AE87" s="936">
        <f t="shared" si="206"/>
        <v>0.2</v>
      </c>
      <c r="AF87" s="936">
        <f t="shared" si="206"/>
        <v>0.12420143107923498</v>
      </c>
      <c r="AG87" s="384">
        <v>0.5</v>
      </c>
      <c r="AH87" s="330">
        <f t="shared" si="207"/>
        <v>0.15005594220430132</v>
      </c>
      <c r="AI87" s="934">
        <f t="shared" si="207"/>
        <v>0.24345794392523365</v>
      </c>
      <c r="AJ87" s="934">
        <f t="shared" si="207"/>
        <v>0.12794671072819319</v>
      </c>
      <c r="AK87" s="384">
        <v>0.5</v>
      </c>
      <c r="AL87" s="330">
        <f t="shared" si="208"/>
        <v>0.12485683333333325</v>
      </c>
      <c r="AM87" s="934">
        <f t="shared" si="208"/>
        <v>0.27500000000000002</v>
      </c>
      <c r="AN87" s="934">
        <f t="shared" si="208"/>
        <v>0.12756680776980875</v>
      </c>
      <c r="AO87" s="384">
        <v>0.5</v>
      </c>
      <c r="AP87" s="330">
        <f t="shared" si="209"/>
        <v>0.11673443548387112</v>
      </c>
      <c r="AQ87" s="935">
        <f t="shared" si="209"/>
        <v>0.5</v>
      </c>
      <c r="AR87" s="935">
        <f t="shared" si="209"/>
        <v>0.13061094248188415</v>
      </c>
      <c r="AS87" s="934">
        <f t="shared" si="209"/>
        <v>0.30036363636363639</v>
      </c>
      <c r="AT87" s="934">
        <f t="shared" si="209"/>
        <v>0.12634570398484854</v>
      </c>
      <c r="AU87" s="384">
        <v>0.5</v>
      </c>
      <c r="AV87" s="330">
        <f t="shared" si="210"/>
        <v>0.12563467741935441</v>
      </c>
      <c r="AW87" s="934">
        <f t="shared" si="210"/>
        <v>0.32058823529411767</v>
      </c>
      <c r="AX87" s="934">
        <f t="shared" si="210"/>
        <v>0.12627367188180827</v>
      </c>
      <c r="AY87" s="384">
        <v>0.5</v>
      </c>
      <c r="AZ87" s="330">
        <f t="shared" si="211"/>
        <v>0.11269061941964323</v>
      </c>
      <c r="BA87" s="934">
        <f t="shared" si="211"/>
        <v>0.3356287425149701</v>
      </c>
      <c r="BB87" s="934">
        <f t="shared" si="211"/>
        <v>0.12513497287300401</v>
      </c>
      <c r="BC87" s="384">
        <v>0.5</v>
      </c>
      <c r="BD87" s="330">
        <f t="shared" si="212"/>
        <v>9.5416672244623649E-2</v>
      </c>
      <c r="BE87" s="935">
        <f t="shared" si="212"/>
        <v>0.5</v>
      </c>
      <c r="BF87" s="935">
        <f t="shared" si="212"/>
        <v>0.11119921314814811</v>
      </c>
      <c r="BG87" s="936">
        <f t="shared" si="212"/>
        <v>0.5</v>
      </c>
      <c r="BH87" s="936">
        <f t="shared" si="212"/>
        <v>0.12101173566849821</v>
      </c>
      <c r="BI87" s="934">
        <f t="shared" si="212"/>
        <v>0.34958904109589045</v>
      </c>
      <c r="BJ87" s="934">
        <f t="shared" si="212"/>
        <v>0.12261095281963472</v>
      </c>
      <c r="BK87" s="1219"/>
      <c r="BL87" s="1219"/>
      <c r="BM87" s="1219"/>
      <c r="BN87" s="1219"/>
    </row>
    <row r="88" spans="1:66" x14ac:dyDescent="0.25">
      <c r="G88" s="912" t="s">
        <v>772</v>
      </c>
      <c r="H88" s="271" t="s">
        <v>734</v>
      </c>
      <c r="I88" s="384">
        <v>0.15</v>
      </c>
      <c r="J88" s="330">
        <f t="shared" si="196"/>
        <v>9.0713611111110301E-2</v>
      </c>
      <c r="K88" s="384">
        <v>0.15</v>
      </c>
      <c r="L88" s="330">
        <f t="shared" ref="L88" si="216">L39/1000/24/L$3</f>
        <v>0.18404838709677501</v>
      </c>
      <c r="M88" s="934">
        <f t="shared" si="198"/>
        <v>0.15</v>
      </c>
      <c r="N88" s="934">
        <f t="shared" si="198"/>
        <v>0.13814603825136615</v>
      </c>
      <c r="O88" s="384">
        <v>0.15</v>
      </c>
      <c r="P88" s="330">
        <f t="shared" si="199"/>
        <v>0.11733027777777694</v>
      </c>
      <c r="Q88" s="935">
        <f t="shared" si="200"/>
        <v>0.15</v>
      </c>
      <c r="R88" s="935">
        <f t="shared" si="200"/>
        <v>0.13128369963369937</v>
      </c>
      <c r="S88" s="384">
        <v>0.15</v>
      </c>
      <c r="T88" s="330">
        <f t="shared" si="201"/>
        <v>0.12133010752688173</v>
      </c>
      <c r="U88" s="934">
        <f t="shared" si="202"/>
        <v>0.15</v>
      </c>
      <c r="V88" s="934">
        <f t="shared" si="202"/>
        <v>0.12875450819672113</v>
      </c>
      <c r="W88" s="384">
        <v>0.15</v>
      </c>
      <c r="X88" s="330">
        <f t="shared" si="203"/>
        <v>8.7843279569893157E-2</v>
      </c>
      <c r="Y88" s="934">
        <f t="shared" si="204"/>
        <v>0.15</v>
      </c>
      <c r="Z88" s="934">
        <f t="shared" si="204"/>
        <v>0.12046530501089325</v>
      </c>
      <c r="AA88" s="384">
        <v>0.15</v>
      </c>
      <c r="AB88" s="330">
        <f t="shared" si="205"/>
        <v>0.13135444444444447</v>
      </c>
      <c r="AC88" s="935">
        <f t="shared" si="206"/>
        <v>0.15</v>
      </c>
      <c r="AD88" s="935">
        <f t="shared" si="206"/>
        <v>0.11331530797101473</v>
      </c>
      <c r="AE88" s="936">
        <f t="shared" si="206"/>
        <v>0.15</v>
      </c>
      <c r="AF88" s="936">
        <f t="shared" si="206"/>
        <v>0.12225040983606558</v>
      </c>
      <c r="AG88" s="384">
        <v>0.15</v>
      </c>
      <c r="AH88" s="330">
        <f t="shared" si="207"/>
        <v>0.11038897849462366</v>
      </c>
      <c r="AI88" s="934">
        <f t="shared" si="207"/>
        <v>0.15</v>
      </c>
      <c r="AJ88" s="934">
        <f t="shared" si="207"/>
        <v>0.12053216510903429</v>
      </c>
      <c r="AK88" s="384">
        <v>0.15</v>
      </c>
      <c r="AL88" s="330">
        <f t="shared" si="208"/>
        <v>9.2513888888888882E-2</v>
      </c>
      <c r="AM88" s="934">
        <f t="shared" si="208"/>
        <v>0.15</v>
      </c>
      <c r="AN88" s="934">
        <f t="shared" si="208"/>
        <v>0.11708729508196722</v>
      </c>
      <c r="AO88" s="384">
        <v>0.15</v>
      </c>
      <c r="AP88" s="330">
        <f t="shared" si="209"/>
        <v>6.3213440860215075E-2</v>
      </c>
      <c r="AQ88" s="935">
        <f t="shared" si="209"/>
        <v>0.15</v>
      </c>
      <c r="AR88" s="935">
        <f t="shared" si="209"/>
        <v>8.8664039855072471E-2</v>
      </c>
      <c r="AS88" s="934">
        <f t="shared" si="209"/>
        <v>0.15</v>
      </c>
      <c r="AT88" s="934">
        <f t="shared" si="209"/>
        <v>0.11101424242424245</v>
      </c>
      <c r="AU88" s="384">
        <v>0.15</v>
      </c>
      <c r="AV88" s="330">
        <f t="shared" si="210"/>
        <v>8.8358602150537605E-2</v>
      </c>
      <c r="AW88" s="934">
        <f t="shared" si="210"/>
        <v>0.15</v>
      </c>
      <c r="AX88" s="934">
        <f t="shared" si="210"/>
        <v>0.1087190631808279</v>
      </c>
      <c r="AY88" s="384">
        <v>0.15</v>
      </c>
      <c r="AZ88" s="330">
        <f t="shared" si="211"/>
        <v>9.6203869047619933E-2</v>
      </c>
      <c r="BA88" s="934">
        <f t="shared" si="211"/>
        <v>0.15</v>
      </c>
      <c r="BB88" s="934">
        <f t="shared" si="211"/>
        <v>0.10766988522954099</v>
      </c>
      <c r="BC88" s="384">
        <v>0.15</v>
      </c>
      <c r="BD88" s="330">
        <f t="shared" si="212"/>
        <v>0.10720376344085944</v>
      </c>
      <c r="BE88" s="935">
        <f t="shared" si="212"/>
        <v>0.15</v>
      </c>
      <c r="BF88" s="935">
        <f t="shared" si="212"/>
        <v>9.7290462962962954E-2</v>
      </c>
      <c r="BG88" s="936">
        <f t="shared" si="212"/>
        <v>0.15</v>
      </c>
      <c r="BH88" s="936">
        <f t="shared" si="212"/>
        <v>9.2929853479853483E-2</v>
      </c>
      <c r="BI88" s="934">
        <f t="shared" si="212"/>
        <v>0.15</v>
      </c>
      <c r="BJ88" s="934">
        <f t="shared" si="212"/>
        <v>0.10763029680365296</v>
      </c>
      <c r="BK88" s="1219"/>
      <c r="BL88" s="1219"/>
      <c r="BM88" s="1219"/>
      <c r="BN88" s="1219"/>
    </row>
    <row r="89" spans="1:66" x14ac:dyDescent="0.25">
      <c r="G89" s="923">
        <v>4.2</v>
      </c>
      <c r="H89" s="838" t="s">
        <v>735</v>
      </c>
      <c r="I89" s="385">
        <f>+I90+I92</f>
        <v>13.324999999999999</v>
      </c>
      <c r="J89" s="334">
        <f t="shared" si="196"/>
        <v>12.189247317592594</v>
      </c>
      <c r="K89" s="385">
        <f>+K90+K92</f>
        <v>13.324999999999999</v>
      </c>
      <c r="L89" s="334">
        <f t="shared" ref="L89" si="217">L40/1000/24/L$3</f>
        <v>12.964019687724015</v>
      </c>
      <c r="M89" s="938">
        <f t="shared" si="198"/>
        <v>13.324999999999999</v>
      </c>
      <c r="N89" s="938">
        <f t="shared" si="198"/>
        <v>12.582984095856103</v>
      </c>
      <c r="O89" s="385">
        <f>+O90+O92</f>
        <v>13.324999999999999</v>
      </c>
      <c r="P89" s="334">
        <f t="shared" si="199"/>
        <v>13.568987913425925</v>
      </c>
      <c r="Q89" s="939">
        <f t="shared" si="200"/>
        <v>13.325000000000001</v>
      </c>
      <c r="R89" s="939">
        <f t="shared" si="200"/>
        <v>12.908040299450549</v>
      </c>
      <c r="S89" s="385">
        <f>+S90+S92</f>
        <v>13.324999999999999</v>
      </c>
      <c r="T89" s="334">
        <f t="shared" si="201"/>
        <v>13.501502478942644</v>
      </c>
      <c r="U89" s="938">
        <f t="shared" si="202"/>
        <v>13.324999999999999</v>
      </c>
      <c r="V89" s="938">
        <f t="shared" si="202"/>
        <v>13.058838066370672</v>
      </c>
      <c r="W89" s="385">
        <f>+W90+W92</f>
        <v>13.324999999999999</v>
      </c>
      <c r="X89" s="334">
        <f t="shared" si="203"/>
        <v>13.187651573476717</v>
      </c>
      <c r="Y89" s="938">
        <f t="shared" si="204"/>
        <v>13.325000000000001</v>
      </c>
      <c r="Z89" s="938">
        <f t="shared" si="204"/>
        <v>13.084937535130722</v>
      </c>
      <c r="AA89" s="385">
        <f>+AA90+AA92</f>
        <v>13.324999999999999</v>
      </c>
      <c r="AB89" s="334">
        <f t="shared" si="205"/>
        <v>13.427409061574066</v>
      </c>
      <c r="AC89" s="939">
        <f t="shared" si="206"/>
        <v>13.324999999999999</v>
      </c>
      <c r="AD89" s="939">
        <f t="shared" si="206"/>
        <v>13.371587472524153</v>
      </c>
      <c r="AE89" s="940">
        <f t="shared" si="206"/>
        <v>13.324999999999999</v>
      </c>
      <c r="AF89" s="940">
        <f t="shared" si="206"/>
        <v>13.141080408318155</v>
      </c>
      <c r="AG89" s="385">
        <f>+AG90+AG92</f>
        <v>13.324999999999999</v>
      </c>
      <c r="AH89" s="334">
        <f t="shared" si="207"/>
        <v>12.328626302867379</v>
      </c>
      <c r="AI89" s="938">
        <f t="shared" si="207"/>
        <v>13.324999999999999</v>
      </c>
      <c r="AJ89" s="938">
        <f t="shared" si="207"/>
        <v>13.023388458463137</v>
      </c>
      <c r="AK89" s="385">
        <f>+AK90+AK92</f>
        <v>13.324999999999999</v>
      </c>
      <c r="AL89" s="334">
        <f t="shared" si="208"/>
        <v>7.4376351666666727</v>
      </c>
      <c r="AM89" s="938">
        <f t="shared" si="208"/>
        <v>13.324999999999999</v>
      </c>
      <c r="AN89" s="938">
        <f t="shared" si="208"/>
        <v>12.336615512750454</v>
      </c>
      <c r="AO89" s="385">
        <f>+AO90+AO92</f>
        <v>13.324999999999999</v>
      </c>
      <c r="AP89" s="334">
        <f t="shared" si="209"/>
        <v>11.033259858870966</v>
      </c>
      <c r="AQ89" s="939">
        <f t="shared" si="209"/>
        <v>13.324999999999999</v>
      </c>
      <c r="AR89" s="939">
        <f t="shared" si="209"/>
        <v>10.297255717542271</v>
      </c>
      <c r="AS89" s="938">
        <f t="shared" si="209"/>
        <v>13.324999999999999</v>
      </c>
      <c r="AT89" s="938">
        <f t="shared" si="209"/>
        <v>12.189691784494949</v>
      </c>
      <c r="AU89" s="385">
        <f>+AU90+AU92</f>
        <v>13.324999999999999</v>
      </c>
      <c r="AV89" s="334">
        <f t="shared" si="210"/>
        <v>11.437144511648739</v>
      </c>
      <c r="AW89" s="938">
        <f t="shared" si="210"/>
        <v>13.325000000000001</v>
      </c>
      <c r="AX89" s="938">
        <f t="shared" si="210"/>
        <v>12.113453335285039</v>
      </c>
      <c r="AY89" s="385">
        <f>+AY90+AY92</f>
        <v>13.324999999999999</v>
      </c>
      <c r="AZ89" s="334">
        <f t="shared" si="211"/>
        <v>11.164791889384928</v>
      </c>
      <c r="BA89" s="938">
        <f t="shared" si="211"/>
        <v>13.325000000000001</v>
      </c>
      <c r="BB89" s="938">
        <f t="shared" si="211"/>
        <v>12.033924830838323</v>
      </c>
      <c r="BC89" s="385">
        <f>+BC90+BC92</f>
        <v>13.324999999999999</v>
      </c>
      <c r="BD89" s="334">
        <f t="shared" si="212"/>
        <v>11.24765980241934</v>
      </c>
      <c r="BE89" s="939">
        <f t="shared" si="212"/>
        <v>13.324999999999999</v>
      </c>
      <c r="BF89" s="939">
        <f t="shared" si="212"/>
        <v>11.287145629320984</v>
      </c>
      <c r="BG89" s="940">
        <f t="shared" si="212"/>
        <v>13.325000000000001</v>
      </c>
      <c r="BH89" s="940">
        <f t="shared" si="212"/>
        <v>10.786761717872404</v>
      </c>
      <c r="BI89" s="938">
        <f t="shared" si="212"/>
        <v>13.324999999999999</v>
      </c>
      <c r="BJ89" s="938">
        <f t="shared" si="212"/>
        <v>11.967146157191779</v>
      </c>
      <c r="BK89" s="1219"/>
      <c r="BL89" s="1219"/>
      <c r="BM89" s="1219"/>
      <c r="BN89" s="1219"/>
    </row>
    <row r="90" spans="1:66" x14ac:dyDescent="0.25">
      <c r="G90" s="923" t="s">
        <v>774</v>
      </c>
      <c r="H90" s="838" t="s">
        <v>736</v>
      </c>
      <c r="I90" s="385">
        <f>+I91</f>
        <v>7.8</v>
      </c>
      <c r="J90" s="334">
        <f t="shared" si="196"/>
        <v>7.3698055555555557</v>
      </c>
      <c r="K90" s="385">
        <f>+K91</f>
        <v>7.8</v>
      </c>
      <c r="L90" s="334">
        <f t="shared" ref="L90" si="218">L41/1000/24/L$3</f>
        <v>7.6252688172043008</v>
      </c>
      <c r="M90" s="938">
        <f t="shared" si="198"/>
        <v>7.8</v>
      </c>
      <c r="N90" s="938">
        <f t="shared" si="198"/>
        <v>7.4996311475409829</v>
      </c>
      <c r="O90" s="385">
        <f>+O91</f>
        <v>7.8</v>
      </c>
      <c r="P90" s="334">
        <f t="shared" si="199"/>
        <v>8.2266916666666656</v>
      </c>
      <c r="Q90" s="939">
        <f t="shared" si="200"/>
        <v>7.8000000000000007</v>
      </c>
      <c r="R90" s="939">
        <f t="shared" si="200"/>
        <v>7.7393214285714285</v>
      </c>
      <c r="S90" s="385">
        <f>+S91</f>
        <v>7.8</v>
      </c>
      <c r="T90" s="334">
        <f t="shared" si="201"/>
        <v>8.3788759408602136</v>
      </c>
      <c r="U90" s="938">
        <f t="shared" si="202"/>
        <v>7.8</v>
      </c>
      <c r="V90" s="938">
        <f t="shared" si="202"/>
        <v>7.9018311816939892</v>
      </c>
      <c r="W90" s="385">
        <f>+W91</f>
        <v>7.8</v>
      </c>
      <c r="X90" s="334">
        <f t="shared" si="203"/>
        <v>8.1978494623655909</v>
      </c>
      <c r="Y90" s="938">
        <f t="shared" si="204"/>
        <v>7.7999999999999989</v>
      </c>
      <c r="Z90" s="938">
        <f t="shared" si="204"/>
        <v>7.9618087418300654</v>
      </c>
      <c r="AA90" s="385">
        <f>+AA91</f>
        <v>7.8</v>
      </c>
      <c r="AB90" s="334">
        <f t="shared" si="205"/>
        <v>8.2190277777777769</v>
      </c>
      <c r="AC90" s="939">
        <f t="shared" si="206"/>
        <v>7.8</v>
      </c>
      <c r="AD90" s="939">
        <f t="shared" si="206"/>
        <v>8.2657534873188414</v>
      </c>
      <c r="AE90" s="940">
        <f t="shared" si="206"/>
        <v>7.7999999999999989</v>
      </c>
      <c r="AF90" s="940">
        <f t="shared" si="206"/>
        <v>8.0039757969034611</v>
      </c>
      <c r="AG90" s="385">
        <f>+AG91</f>
        <v>7.8</v>
      </c>
      <c r="AH90" s="334">
        <f t="shared" si="207"/>
        <v>7.5479779569892438</v>
      </c>
      <c r="AI90" s="938">
        <f t="shared" si="207"/>
        <v>7.8</v>
      </c>
      <c r="AJ90" s="938">
        <f t="shared" si="207"/>
        <v>7.9379200350467292</v>
      </c>
      <c r="AK90" s="385">
        <f>+AK91</f>
        <v>7.8</v>
      </c>
      <c r="AL90" s="334">
        <f t="shared" si="208"/>
        <v>3.5978749999999997</v>
      </c>
      <c r="AM90" s="938">
        <f t="shared" si="208"/>
        <v>7.8</v>
      </c>
      <c r="AN90" s="938">
        <f t="shared" si="208"/>
        <v>7.4043079405737702</v>
      </c>
      <c r="AO90" s="385">
        <f>+AO91</f>
        <v>7.8</v>
      </c>
      <c r="AP90" s="334">
        <f t="shared" si="209"/>
        <v>7.16127688172043</v>
      </c>
      <c r="AQ90" s="939">
        <f t="shared" si="209"/>
        <v>7.8</v>
      </c>
      <c r="AR90" s="939">
        <f t="shared" si="209"/>
        <v>6.1295994565217384</v>
      </c>
      <c r="AS90" s="938">
        <f t="shared" si="209"/>
        <v>7.8</v>
      </c>
      <c r="AT90" s="938">
        <f t="shared" si="209"/>
        <v>7.3769117121212116</v>
      </c>
      <c r="AU90" s="385">
        <f>+AU91</f>
        <v>7.8</v>
      </c>
      <c r="AV90" s="334">
        <f t="shared" si="210"/>
        <v>7.3520161290322577</v>
      </c>
      <c r="AW90" s="938">
        <f t="shared" si="210"/>
        <v>7.7999999999999989</v>
      </c>
      <c r="AX90" s="938">
        <f t="shared" si="210"/>
        <v>7.3743896105664479</v>
      </c>
      <c r="AY90" s="385">
        <f>+AY91</f>
        <v>7.8</v>
      </c>
      <c r="AZ90" s="334">
        <f t="shared" si="211"/>
        <v>7.3056547619047612</v>
      </c>
      <c r="BA90" s="938">
        <f t="shared" si="211"/>
        <v>7.8000000000000007</v>
      </c>
      <c r="BB90" s="938">
        <f t="shared" si="211"/>
        <v>7.3686274076846301</v>
      </c>
      <c r="BC90" s="385">
        <f>+BC91</f>
        <v>7.8</v>
      </c>
      <c r="BD90" s="334">
        <f t="shared" si="212"/>
        <v>7.2372813172042951</v>
      </c>
      <c r="BE90" s="939">
        <f t="shared" si="212"/>
        <v>7.8</v>
      </c>
      <c r="BF90" s="939">
        <f t="shared" si="212"/>
        <v>7.2980728240740724</v>
      </c>
      <c r="BG90" s="940">
        <f t="shared" si="212"/>
        <v>7.8000000000000007</v>
      </c>
      <c r="BH90" s="940">
        <f t="shared" si="212"/>
        <v>6.7074159569597054</v>
      </c>
      <c r="BI90" s="938">
        <f t="shared" si="212"/>
        <v>7.8</v>
      </c>
      <c r="BJ90" s="938">
        <f t="shared" si="212"/>
        <v>7.3574719863013689</v>
      </c>
      <c r="BK90" s="1219"/>
      <c r="BL90" s="1219"/>
      <c r="BM90" s="1219"/>
      <c r="BN90" s="1219"/>
    </row>
    <row r="91" spans="1:66" x14ac:dyDescent="0.25">
      <c r="G91" s="912" t="s">
        <v>775</v>
      </c>
      <c r="H91" s="271" t="s">
        <v>737</v>
      </c>
      <c r="I91" s="329">
        <v>7.8</v>
      </c>
      <c r="J91" s="330">
        <f t="shared" si="196"/>
        <v>7.3698055555555557</v>
      </c>
      <c r="K91" s="329">
        <v>7.8</v>
      </c>
      <c r="L91" s="330">
        <f t="shared" ref="L91" si="219">L42/1000/24/L$3</f>
        <v>7.6252688172043008</v>
      </c>
      <c r="M91" s="934">
        <f t="shared" si="198"/>
        <v>7.8</v>
      </c>
      <c r="N91" s="934">
        <f t="shared" si="198"/>
        <v>7.4996311475409829</v>
      </c>
      <c r="O91" s="329">
        <v>7.8</v>
      </c>
      <c r="P91" s="330">
        <f t="shared" si="199"/>
        <v>8.2266916666666656</v>
      </c>
      <c r="Q91" s="935">
        <f t="shared" si="200"/>
        <v>7.8000000000000007</v>
      </c>
      <c r="R91" s="935">
        <f t="shared" si="200"/>
        <v>7.7393214285714285</v>
      </c>
      <c r="S91" s="329">
        <v>7.8</v>
      </c>
      <c r="T91" s="330">
        <f t="shared" si="201"/>
        <v>8.3788759408602136</v>
      </c>
      <c r="U91" s="934">
        <f t="shared" si="202"/>
        <v>7.8</v>
      </c>
      <c r="V91" s="934">
        <f t="shared" si="202"/>
        <v>7.9018311816939892</v>
      </c>
      <c r="W91" s="329">
        <v>7.8</v>
      </c>
      <c r="X91" s="330">
        <f t="shared" si="203"/>
        <v>8.1978494623655909</v>
      </c>
      <c r="Y91" s="934">
        <f t="shared" si="204"/>
        <v>7.7999999999999989</v>
      </c>
      <c r="Z91" s="934">
        <f t="shared" si="204"/>
        <v>7.9618087418300654</v>
      </c>
      <c r="AA91" s="329">
        <v>7.8</v>
      </c>
      <c r="AB91" s="330">
        <f t="shared" si="205"/>
        <v>8.2190277777777769</v>
      </c>
      <c r="AC91" s="935">
        <f t="shared" si="206"/>
        <v>7.8</v>
      </c>
      <c r="AD91" s="935">
        <f t="shared" si="206"/>
        <v>8.2657534873188414</v>
      </c>
      <c r="AE91" s="936">
        <f t="shared" si="206"/>
        <v>7.7999999999999989</v>
      </c>
      <c r="AF91" s="936">
        <f t="shared" si="206"/>
        <v>8.0039757969034611</v>
      </c>
      <c r="AG91" s="329">
        <v>7.8</v>
      </c>
      <c r="AH91" s="330">
        <f t="shared" si="207"/>
        <v>7.5479779569892438</v>
      </c>
      <c r="AI91" s="934">
        <f t="shared" si="207"/>
        <v>7.8</v>
      </c>
      <c r="AJ91" s="934">
        <f t="shared" si="207"/>
        <v>7.9379200350467292</v>
      </c>
      <c r="AK91" s="329">
        <v>7.8</v>
      </c>
      <c r="AL91" s="330">
        <f t="shared" si="208"/>
        <v>3.5978749999999997</v>
      </c>
      <c r="AM91" s="934">
        <f t="shared" si="208"/>
        <v>7.8</v>
      </c>
      <c r="AN91" s="934">
        <f t="shared" si="208"/>
        <v>7.4043079405737702</v>
      </c>
      <c r="AO91" s="329">
        <v>7.8</v>
      </c>
      <c r="AP91" s="330">
        <f t="shared" si="209"/>
        <v>7.16127688172043</v>
      </c>
      <c r="AQ91" s="935">
        <f t="shared" si="209"/>
        <v>7.8</v>
      </c>
      <c r="AR91" s="935">
        <f t="shared" si="209"/>
        <v>6.1295994565217384</v>
      </c>
      <c r="AS91" s="934">
        <f t="shared" si="209"/>
        <v>7.8</v>
      </c>
      <c r="AT91" s="934">
        <f t="shared" si="209"/>
        <v>7.3769117121212116</v>
      </c>
      <c r="AU91" s="329">
        <v>7.8</v>
      </c>
      <c r="AV91" s="330">
        <f t="shared" si="210"/>
        <v>7.3520161290322577</v>
      </c>
      <c r="AW91" s="934">
        <f t="shared" si="210"/>
        <v>7.7999999999999989</v>
      </c>
      <c r="AX91" s="934">
        <f t="shared" si="210"/>
        <v>7.3743896105664479</v>
      </c>
      <c r="AY91" s="329">
        <v>7.8</v>
      </c>
      <c r="AZ91" s="330">
        <f t="shared" si="211"/>
        <v>7.3056547619047612</v>
      </c>
      <c r="BA91" s="934">
        <f t="shared" si="211"/>
        <v>7.8000000000000007</v>
      </c>
      <c r="BB91" s="934">
        <f t="shared" si="211"/>
        <v>7.3686274076846301</v>
      </c>
      <c r="BC91" s="329">
        <v>7.8</v>
      </c>
      <c r="BD91" s="330">
        <f t="shared" si="212"/>
        <v>7.2372813172042951</v>
      </c>
      <c r="BE91" s="935">
        <f t="shared" si="212"/>
        <v>7.8</v>
      </c>
      <c r="BF91" s="935">
        <f t="shared" si="212"/>
        <v>7.2980728240740724</v>
      </c>
      <c r="BG91" s="936">
        <f t="shared" si="212"/>
        <v>7.8000000000000007</v>
      </c>
      <c r="BH91" s="936">
        <f t="shared" si="212"/>
        <v>6.7074159569597054</v>
      </c>
      <c r="BI91" s="934">
        <f t="shared" si="212"/>
        <v>7.8</v>
      </c>
      <c r="BJ91" s="934">
        <f t="shared" si="212"/>
        <v>7.3574719863013689</v>
      </c>
      <c r="BK91" s="1219"/>
      <c r="BL91" s="1219"/>
      <c r="BM91" s="1219"/>
      <c r="BN91" s="1219"/>
    </row>
    <row r="92" spans="1:66" x14ac:dyDescent="0.25">
      <c r="G92" s="923" t="s">
        <v>776</v>
      </c>
      <c r="H92" s="838" t="s">
        <v>738</v>
      </c>
      <c r="I92" s="333">
        <f>+SUM(I93:I96)</f>
        <v>5.5250000000000004</v>
      </c>
      <c r="J92" s="334">
        <f t="shared" si="196"/>
        <v>4.81944176203704</v>
      </c>
      <c r="K92" s="333">
        <f>+SUM(K93:K96)</f>
        <v>5.5250000000000004</v>
      </c>
      <c r="L92" s="334">
        <f t="shared" ref="L92" si="220">L43/1000/24/L$3</f>
        <v>5.3387508705197115</v>
      </c>
      <c r="M92" s="938">
        <f t="shared" si="198"/>
        <v>5.5250000000000004</v>
      </c>
      <c r="N92" s="938">
        <f t="shared" si="198"/>
        <v>5.0833529483151185</v>
      </c>
      <c r="O92" s="333">
        <f>+SUM(O93:O96)</f>
        <v>5.5250000000000004</v>
      </c>
      <c r="P92" s="334">
        <f t="shared" si="199"/>
        <v>5.3422962467592567</v>
      </c>
      <c r="Q92" s="939">
        <f t="shared" si="200"/>
        <v>5.5250000000000004</v>
      </c>
      <c r="R92" s="939">
        <f t="shared" si="200"/>
        <v>5.1687188708791201</v>
      </c>
      <c r="S92" s="333">
        <f>+SUM(S93:S96)</f>
        <v>5.5250000000000004</v>
      </c>
      <c r="T92" s="334">
        <f t="shared" si="201"/>
        <v>5.1226265380824296</v>
      </c>
      <c r="U92" s="938">
        <f t="shared" si="202"/>
        <v>5.5250000000000004</v>
      </c>
      <c r="V92" s="938">
        <f t="shared" si="202"/>
        <v>5.1570068846766821</v>
      </c>
      <c r="W92" s="333">
        <f>+SUM(W93:W96)</f>
        <v>5.5250000000000004</v>
      </c>
      <c r="X92" s="334">
        <f t="shared" si="203"/>
        <v>4.9898021111111266</v>
      </c>
      <c r="Y92" s="938">
        <f t="shared" si="204"/>
        <v>5.5249999999999995</v>
      </c>
      <c r="Z92" s="938">
        <f t="shared" si="204"/>
        <v>5.1231287933006548</v>
      </c>
      <c r="AA92" s="333">
        <f>+SUM(AA93:AA96)</f>
        <v>5.5250000000000004</v>
      </c>
      <c r="AB92" s="334">
        <f t="shared" si="205"/>
        <v>5.2083812837962897</v>
      </c>
      <c r="AC92" s="939">
        <f t="shared" si="206"/>
        <v>5.5250000000000004</v>
      </c>
      <c r="AD92" s="939">
        <f t="shared" si="206"/>
        <v>5.1058339852053143</v>
      </c>
      <c r="AE92" s="940">
        <f t="shared" si="206"/>
        <v>5.5249999999999995</v>
      </c>
      <c r="AF92" s="940">
        <f t="shared" si="206"/>
        <v>5.1371046114146939</v>
      </c>
      <c r="AG92" s="333">
        <f>+SUM(AG93:AG96)</f>
        <v>5.5250000000000004</v>
      </c>
      <c r="AH92" s="334">
        <f t="shared" si="207"/>
        <v>4.780648345878137</v>
      </c>
      <c r="AI92" s="938">
        <f t="shared" si="207"/>
        <v>5.5250000000000004</v>
      </c>
      <c r="AJ92" s="938">
        <f t="shared" si="207"/>
        <v>5.0854684234164074</v>
      </c>
      <c r="AK92" s="333">
        <f>+SUM(AK93:AK96)</f>
        <v>5.5250000000000004</v>
      </c>
      <c r="AL92" s="334">
        <f t="shared" si="208"/>
        <v>3.8397601666666725</v>
      </c>
      <c r="AM92" s="938">
        <f t="shared" si="208"/>
        <v>5.5250000000000004</v>
      </c>
      <c r="AN92" s="938">
        <f t="shared" si="208"/>
        <v>4.9323075721766854</v>
      </c>
      <c r="AO92" s="333">
        <f>+SUM(AO93:AO96)</f>
        <v>5.5250000000000004</v>
      </c>
      <c r="AP92" s="334">
        <f t="shared" si="209"/>
        <v>3.8719829771505374</v>
      </c>
      <c r="AQ92" s="939">
        <f t="shared" si="209"/>
        <v>5.5250000000000004</v>
      </c>
      <c r="AR92" s="939">
        <f t="shared" si="209"/>
        <v>4.1676562610205341</v>
      </c>
      <c r="AS92" s="938">
        <f t="shared" si="209"/>
        <v>5.5250000000000004</v>
      </c>
      <c r="AT92" s="938">
        <f t="shared" si="209"/>
        <v>4.8127800723737391</v>
      </c>
      <c r="AU92" s="333">
        <f>+SUM(AU93:AU96)</f>
        <v>5.5250000000000004</v>
      </c>
      <c r="AV92" s="334">
        <f t="shared" si="210"/>
        <v>4.0851283826164826</v>
      </c>
      <c r="AW92" s="938">
        <f t="shared" si="210"/>
        <v>5.5249999999999995</v>
      </c>
      <c r="AX92" s="938">
        <f t="shared" si="210"/>
        <v>4.7390637247185916</v>
      </c>
      <c r="AY92" s="333">
        <f>+SUM(AY93:AY96)</f>
        <v>5.5250000000000004</v>
      </c>
      <c r="AZ92" s="334">
        <f t="shared" si="211"/>
        <v>3.8591371274801651</v>
      </c>
      <c r="BA92" s="938">
        <f t="shared" si="211"/>
        <v>5.5250000000000004</v>
      </c>
      <c r="BB92" s="938">
        <f t="shared" si="211"/>
        <v>4.6652974231536932</v>
      </c>
      <c r="BC92" s="333">
        <f>+SUM(BC93:BC96)</f>
        <v>5.5250000000000004</v>
      </c>
      <c r="BD92" s="334">
        <f t="shared" si="212"/>
        <v>4.010378485215047</v>
      </c>
      <c r="BE92" s="939">
        <f t="shared" si="212"/>
        <v>5.5250000000000004</v>
      </c>
      <c r="BF92" s="939">
        <f t="shared" si="212"/>
        <v>3.9890728052469115</v>
      </c>
      <c r="BG92" s="940">
        <f t="shared" si="212"/>
        <v>5.5250000000000004</v>
      </c>
      <c r="BH92" s="940">
        <f t="shared" si="212"/>
        <v>4.0793457609126991</v>
      </c>
      <c r="BI92" s="938">
        <f t="shared" si="212"/>
        <v>5.5250000000000004</v>
      </c>
      <c r="BJ92" s="938">
        <f t="shared" si="212"/>
        <v>4.6096741708904112</v>
      </c>
      <c r="BK92" s="1219"/>
      <c r="BL92" s="1219"/>
      <c r="BM92" s="1219"/>
      <c r="BN92" s="1219"/>
    </row>
    <row r="93" spans="1:66" x14ac:dyDescent="0.25">
      <c r="G93" s="912" t="s">
        <v>777</v>
      </c>
      <c r="H93" s="271" t="s">
        <v>739</v>
      </c>
      <c r="I93" s="384">
        <v>0.52500000000000002</v>
      </c>
      <c r="J93" s="330">
        <f t="shared" si="196"/>
        <v>0.56164401898148075</v>
      </c>
      <c r="K93" s="384">
        <v>0.52500000000000002</v>
      </c>
      <c r="L93" s="330">
        <f t="shared" ref="L93" si="221">L44/1000/24/L$3</f>
        <v>0.54312207750895913</v>
      </c>
      <c r="M93" s="934">
        <f t="shared" si="198"/>
        <v>0.52500000000000002</v>
      </c>
      <c r="N93" s="934">
        <f t="shared" si="198"/>
        <v>0.55223122905282229</v>
      </c>
      <c r="O93" s="384">
        <v>0.52500000000000002</v>
      </c>
      <c r="P93" s="330">
        <f t="shared" si="199"/>
        <v>0.55911638148148191</v>
      </c>
      <c r="Q93" s="935">
        <f t="shared" si="200"/>
        <v>0.52500000000000002</v>
      </c>
      <c r="R93" s="935">
        <f t="shared" si="200"/>
        <v>0.55450105952380901</v>
      </c>
      <c r="S93" s="384">
        <v>0.52500000000000002</v>
      </c>
      <c r="T93" s="330">
        <f t="shared" si="201"/>
        <v>0.54146180689964152</v>
      </c>
      <c r="U93" s="934">
        <f t="shared" si="202"/>
        <v>0.52500000000000002</v>
      </c>
      <c r="V93" s="934">
        <f t="shared" si="202"/>
        <v>0.55118780680783197</v>
      </c>
      <c r="W93" s="384">
        <v>0.52500000000000002</v>
      </c>
      <c r="X93" s="330">
        <f t="shared" si="203"/>
        <v>0.55513426836917734</v>
      </c>
      <c r="Y93" s="934">
        <f t="shared" si="204"/>
        <v>0.52500000000000002</v>
      </c>
      <c r="Z93" s="934">
        <f t="shared" si="204"/>
        <v>0.55198741666666673</v>
      </c>
      <c r="AA93" s="384">
        <v>0.52500000000000002</v>
      </c>
      <c r="AB93" s="330">
        <f t="shared" si="205"/>
        <v>0.57793101990740792</v>
      </c>
      <c r="AC93" s="935">
        <f t="shared" si="206"/>
        <v>0.52500000000000002</v>
      </c>
      <c r="AD93" s="935">
        <f t="shared" si="206"/>
        <v>0.55796096663647421</v>
      </c>
      <c r="AE93" s="936">
        <f t="shared" si="206"/>
        <v>0.52500000000000002</v>
      </c>
      <c r="AF93" s="936">
        <f t="shared" si="206"/>
        <v>0.55624046637826363</v>
      </c>
      <c r="AG93" s="384">
        <v>0.52500000000000002</v>
      </c>
      <c r="AH93" s="330">
        <f t="shared" si="207"/>
        <v>0.51780188620071776</v>
      </c>
      <c r="AI93" s="934">
        <f t="shared" si="207"/>
        <v>0.52500000000000002</v>
      </c>
      <c r="AJ93" s="934">
        <f t="shared" si="207"/>
        <v>0.55067226083852572</v>
      </c>
      <c r="AK93" s="384">
        <v>0.52500000000000002</v>
      </c>
      <c r="AL93" s="330">
        <f t="shared" si="208"/>
        <v>0.4026753972222209</v>
      </c>
      <c r="AM93" s="934">
        <f t="shared" si="208"/>
        <v>0.52500000000000002</v>
      </c>
      <c r="AN93" s="934">
        <f t="shared" si="208"/>
        <v>0.53247592514799635</v>
      </c>
      <c r="AO93" s="384">
        <v>0.52500000000000002</v>
      </c>
      <c r="AP93" s="330">
        <f t="shared" si="209"/>
        <v>0.37950253091397956</v>
      </c>
      <c r="AQ93" s="935">
        <f t="shared" si="209"/>
        <v>0.52500000000000002</v>
      </c>
      <c r="AR93" s="935">
        <f t="shared" si="209"/>
        <v>0.43365977007850259</v>
      </c>
      <c r="AS93" s="934">
        <f t="shared" si="209"/>
        <v>0.52500000000000002</v>
      </c>
      <c r="AT93" s="934">
        <f t="shared" si="209"/>
        <v>0.5152316516161618</v>
      </c>
      <c r="AU93" s="384">
        <v>0.52500000000000002</v>
      </c>
      <c r="AV93" s="330">
        <f t="shared" si="210"/>
        <v>0.37687671191756245</v>
      </c>
      <c r="AW93" s="934">
        <f t="shared" si="210"/>
        <v>0.52500000000000002</v>
      </c>
      <c r="AX93" s="934">
        <f t="shared" si="210"/>
        <v>0.50121530151597682</v>
      </c>
      <c r="AY93" s="384">
        <v>0.52500000000000002</v>
      </c>
      <c r="AZ93" s="330">
        <f t="shared" si="211"/>
        <v>0.39729567956349049</v>
      </c>
      <c r="BA93" s="934">
        <f t="shared" si="211"/>
        <v>0.52500000000000002</v>
      </c>
      <c r="BB93" s="934">
        <f t="shared" si="211"/>
        <v>0.49250347692115765</v>
      </c>
      <c r="BC93" s="384">
        <v>0.52500000000000002</v>
      </c>
      <c r="BD93" s="330">
        <f t="shared" si="212"/>
        <v>0.45876710349462485</v>
      </c>
      <c r="BE93" s="935">
        <f t="shared" si="212"/>
        <v>0.52500000000000002</v>
      </c>
      <c r="BF93" s="935">
        <f t="shared" si="212"/>
        <v>0.41143597006172822</v>
      </c>
      <c r="BG93" s="936">
        <f t="shared" si="212"/>
        <v>0.52500000000000002</v>
      </c>
      <c r="BH93" s="936">
        <f t="shared" si="212"/>
        <v>0.42266997886141638</v>
      </c>
      <c r="BI93" s="934">
        <f t="shared" si="212"/>
        <v>0.52500000000000002</v>
      </c>
      <c r="BJ93" s="934">
        <f t="shared" si="212"/>
        <v>0.48963819589041102</v>
      </c>
      <c r="BK93" s="1219"/>
      <c r="BL93" s="1219"/>
      <c r="BM93" s="1219"/>
      <c r="BN93" s="1219"/>
    </row>
    <row r="94" spans="1:66" x14ac:dyDescent="0.25">
      <c r="G94" s="912" t="s">
        <v>778</v>
      </c>
      <c r="H94" s="271" t="s">
        <v>740</v>
      </c>
      <c r="I94" s="384">
        <v>3.5</v>
      </c>
      <c r="J94" s="330">
        <f t="shared" si="196"/>
        <v>3.2660460763888954</v>
      </c>
      <c r="K94" s="384">
        <v>3.5</v>
      </c>
      <c r="L94" s="330">
        <f t="shared" ref="L94" si="222">L45/1000/24/L$3</f>
        <v>3.5180064811827929</v>
      </c>
      <c r="M94" s="934">
        <f t="shared" si="198"/>
        <v>3.5</v>
      </c>
      <c r="N94" s="934">
        <f t="shared" si="198"/>
        <v>3.394091528005466</v>
      </c>
      <c r="O94" s="384">
        <v>3.5</v>
      </c>
      <c r="P94" s="330">
        <f t="shared" si="199"/>
        <v>3.7419615319444448</v>
      </c>
      <c r="Q94" s="935">
        <f t="shared" si="200"/>
        <v>3.5</v>
      </c>
      <c r="R94" s="935">
        <f t="shared" si="200"/>
        <v>3.5087739468864481</v>
      </c>
      <c r="S94" s="384">
        <v>3.5</v>
      </c>
      <c r="T94" s="330">
        <f t="shared" si="201"/>
        <v>3.5824975268817134</v>
      </c>
      <c r="U94" s="934">
        <f t="shared" si="202"/>
        <v>3.5</v>
      </c>
      <c r="V94" s="934">
        <f t="shared" si="202"/>
        <v>3.5275069877049168</v>
      </c>
      <c r="W94" s="384">
        <v>3.5</v>
      </c>
      <c r="X94" s="330">
        <f t="shared" si="203"/>
        <v>3.5530406922043105</v>
      </c>
      <c r="Y94" s="934">
        <f t="shared" si="204"/>
        <v>3.5</v>
      </c>
      <c r="Z94" s="934">
        <f t="shared" si="204"/>
        <v>3.5326804833878014</v>
      </c>
      <c r="AA94" s="384">
        <v>3.5</v>
      </c>
      <c r="AB94" s="330">
        <f t="shared" si="205"/>
        <v>3.5388672083333268</v>
      </c>
      <c r="AC94" s="935">
        <f t="shared" si="206"/>
        <v>3.5</v>
      </c>
      <c r="AD94" s="935">
        <f t="shared" si="206"/>
        <v>3.5583445765398536</v>
      </c>
      <c r="AE94" s="936">
        <f t="shared" si="206"/>
        <v>3.5</v>
      </c>
      <c r="AF94" s="936">
        <f t="shared" si="206"/>
        <v>3.5336947005919854</v>
      </c>
      <c r="AG94" s="384">
        <v>3.5</v>
      </c>
      <c r="AH94" s="330">
        <f t="shared" si="207"/>
        <v>3.2852045241935479</v>
      </c>
      <c r="AI94" s="934">
        <f t="shared" si="207"/>
        <v>3.5</v>
      </c>
      <c r="AJ94" s="934">
        <f t="shared" si="207"/>
        <v>3.4976984600856702</v>
      </c>
      <c r="AK94" s="384">
        <v>3.5</v>
      </c>
      <c r="AL94" s="330">
        <f t="shared" si="208"/>
        <v>2.4712750472222291</v>
      </c>
      <c r="AM94" s="934">
        <f t="shared" si="208"/>
        <v>3.5</v>
      </c>
      <c r="AN94" s="934">
        <f t="shared" si="208"/>
        <v>3.3714988601434439</v>
      </c>
      <c r="AO94" s="384">
        <v>3.5</v>
      </c>
      <c r="AP94" s="330">
        <f t="shared" si="209"/>
        <v>2.6255460376344071</v>
      </c>
      <c r="AQ94" s="935">
        <f t="shared" si="209"/>
        <v>3.5</v>
      </c>
      <c r="AR94" s="935">
        <f t="shared" si="209"/>
        <v>2.7975165090579726</v>
      </c>
      <c r="AS94" s="934">
        <f t="shared" si="209"/>
        <v>3.5</v>
      </c>
      <c r="AT94" s="934">
        <f t="shared" si="209"/>
        <v>3.2874096328787892</v>
      </c>
      <c r="AU94" s="384">
        <v>3.5</v>
      </c>
      <c r="AV94" s="330">
        <f t="shared" si="210"/>
        <v>2.7783481760752653</v>
      </c>
      <c r="AW94" s="934">
        <f t="shared" si="210"/>
        <v>3.5</v>
      </c>
      <c r="AX94" s="934">
        <f t="shared" si="210"/>
        <v>3.2358380473856219</v>
      </c>
      <c r="AY94" s="384">
        <v>3.5</v>
      </c>
      <c r="AZ94" s="330">
        <f t="shared" si="211"/>
        <v>2.3632253764881002</v>
      </c>
      <c r="BA94" s="934">
        <f t="shared" si="211"/>
        <v>3.5</v>
      </c>
      <c r="BB94" s="934">
        <f t="shared" si="211"/>
        <v>3.1626848893463082</v>
      </c>
      <c r="BC94" s="384">
        <v>3.5</v>
      </c>
      <c r="BD94" s="330">
        <f t="shared" si="212"/>
        <v>2.5554092311827912</v>
      </c>
      <c r="BE94" s="935">
        <f t="shared" si="212"/>
        <v>3.5</v>
      </c>
      <c r="BF94" s="935">
        <f t="shared" si="212"/>
        <v>2.5724087796296282</v>
      </c>
      <c r="BG94" s="936">
        <f t="shared" si="212"/>
        <v>3.5</v>
      </c>
      <c r="BH94" s="936">
        <f t="shared" si="212"/>
        <v>2.6861994999999999</v>
      </c>
      <c r="BI94" s="934">
        <f t="shared" si="212"/>
        <v>3.5</v>
      </c>
      <c r="BJ94" s="934">
        <f t="shared" si="212"/>
        <v>3.1111080526255708</v>
      </c>
      <c r="BK94" s="1219"/>
      <c r="BL94" s="1219"/>
      <c r="BM94" s="1219"/>
      <c r="BN94" s="1219"/>
    </row>
    <row r="95" spans="1:66" x14ac:dyDescent="0.25">
      <c r="G95" s="912" t="s">
        <v>779</v>
      </c>
      <c r="H95" s="271" t="s">
        <v>741</v>
      </c>
      <c r="I95" s="384">
        <v>0.6</v>
      </c>
      <c r="J95" s="330">
        <f t="shared" si="196"/>
        <v>0.3628544444444412</v>
      </c>
      <c r="K95" s="384">
        <v>0.6</v>
      </c>
      <c r="L95" s="330">
        <f t="shared" ref="L95" si="223">L46/1000/24/L$3</f>
        <v>0.73619354838710005</v>
      </c>
      <c r="M95" s="934">
        <f t="shared" si="198"/>
        <v>0.6</v>
      </c>
      <c r="N95" s="934">
        <f t="shared" si="198"/>
        <v>0.5525841530054646</v>
      </c>
      <c r="O95" s="384">
        <v>0.6</v>
      </c>
      <c r="P95" s="330">
        <f t="shared" si="199"/>
        <v>0.46932111111110775</v>
      </c>
      <c r="Q95" s="935">
        <f t="shared" si="200"/>
        <v>0.6</v>
      </c>
      <c r="R95" s="935">
        <f t="shared" si="200"/>
        <v>0.5251347985347975</v>
      </c>
      <c r="S95" s="384">
        <v>0.6</v>
      </c>
      <c r="T95" s="330">
        <f t="shared" si="201"/>
        <v>0.4853204301075269</v>
      </c>
      <c r="U95" s="934">
        <f t="shared" si="202"/>
        <v>0.6</v>
      </c>
      <c r="V95" s="934">
        <f t="shared" si="202"/>
        <v>0.51501803278688452</v>
      </c>
      <c r="W95" s="384">
        <v>0.6</v>
      </c>
      <c r="X95" s="330">
        <f t="shared" si="203"/>
        <v>0.35137311827957263</v>
      </c>
      <c r="Y95" s="934">
        <f t="shared" si="204"/>
        <v>0.6</v>
      </c>
      <c r="Z95" s="934">
        <f t="shared" si="204"/>
        <v>0.48186122004357301</v>
      </c>
      <c r="AA95" s="384">
        <v>0.6</v>
      </c>
      <c r="AB95" s="330">
        <f t="shared" si="205"/>
        <v>0.52541777777777787</v>
      </c>
      <c r="AC95" s="935">
        <f t="shared" si="206"/>
        <v>0.6</v>
      </c>
      <c r="AD95" s="935">
        <f t="shared" si="206"/>
        <v>0.45326123188405892</v>
      </c>
      <c r="AE95" s="936">
        <f t="shared" si="206"/>
        <v>0.6</v>
      </c>
      <c r="AF95" s="936">
        <f t="shared" si="206"/>
        <v>0.48900163934426233</v>
      </c>
      <c r="AG95" s="384">
        <v>0.6</v>
      </c>
      <c r="AH95" s="330">
        <f t="shared" si="207"/>
        <v>0.44155591397849464</v>
      </c>
      <c r="AI95" s="934">
        <f t="shared" si="207"/>
        <v>0.6</v>
      </c>
      <c r="AJ95" s="934">
        <f t="shared" si="207"/>
        <v>0.48212866043613717</v>
      </c>
      <c r="AK95" s="384">
        <v>0.6</v>
      </c>
      <c r="AL95" s="330">
        <f t="shared" si="208"/>
        <v>0.37005555555555553</v>
      </c>
      <c r="AM95" s="934">
        <f t="shared" si="208"/>
        <v>0.6</v>
      </c>
      <c r="AN95" s="934">
        <f t="shared" si="208"/>
        <v>0.46834918032786887</v>
      </c>
      <c r="AO95" s="384">
        <v>0.6</v>
      </c>
      <c r="AP95" s="330">
        <f t="shared" si="209"/>
        <v>0.2528537634408603</v>
      </c>
      <c r="AQ95" s="935">
        <f t="shared" si="209"/>
        <v>0.6</v>
      </c>
      <c r="AR95" s="935">
        <f t="shared" si="209"/>
        <v>0.35465615942028988</v>
      </c>
      <c r="AS95" s="934">
        <f t="shared" si="209"/>
        <v>0.6</v>
      </c>
      <c r="AT95" s="934">
        <f t="shared" si="209"/>
        <v>0.44405696969696978</v>
      </c>
      <c r="AU95" s="384">
        <v>0.6</v>
      </c>
      <c r="AV95" s="330">
        <f t="shared" si="210"/>
        <v>0.35343440860215042</v>
      </c>
      <c r="AW95" s="934">
        <f t="shared" si="210"/>
        <v>0.6</v>
      </c>
      <c r="AX95" s="934">
        <f t="shared" si="210"/>
        <v>0.4348762527233116</v>
      </c>
      <c r="AY95" s="384">
        <v>0.6</v>
      </c>
      <c r="AZ95" s="330">
        <f t="shared" si="211"/>
        <v>0.38481547619047973</v>
      </c>
      <c r="BA95" s="934">
        <f t="shared" si="211"/>
        <v>0.6</v>
      </c>
      <c r="BB95" s="934">
        <f t="shared" si="211"/>
        <v>0.43067954091816396</v>
      </c>
      <c r="BC95" s="384">
        <v>0.6</v>
      </c>
      <c r="BD95" s="330">
        <f t="shared" si="212"/>
        <v>0.42881505376343776</v>
      </c>
      <c r="BE95" s="935">
        <f t="shared" si="212"/>
        <v>0.6</v>
      </c>
      <c r="BF95" s="935">
        <f t="shared" si="212"/>
        <v>0.38916185185185181</v>
      </c>
      <c r="BG95" s="936">
        <f t="shared" si="212"/>
        <v>0.6</v>
      </c>
      <c r="BH95" s="936">
        <f t="shared" si="212"/>
        <v>0.37171941391941393</v>
      </c>
      <c r="BI95" s="934">
        <f t="shared" si="212"/>
        <v>0.6</v>
      </c>
      <c r="BJ95" s="934">
        <f t="shared" si="212"/>
        <v>0.43052118721461186</v>
      </c>
      <c r="BK95" s="1219"/>
      <c r="BL95" s="1219"/>
      <c r="BM95" s="1219"/>
      <c r="BN95" s="1219"/>
    </row>
    <row r="96" spans="1:66" ht="15.75" thickBot="1" x14ac:dyDescent="0.3">
      <c r="G96" s="912" t="s">
        <v>780</v>
      </c>
      <c r="H96" s="271" t="s">
        <v>742</v>
      </c>
      <c r="I96" s="387">
        <v>0.9</v>
      </c>
      <c r="J96" s="335">
        <f t="shared" si="196"/>
        <v>0.62889722222222211</v>
      </c>
      <c r="K96" s="387">
        <v>0.9</v>
      </c>
      <c r="L96" s="335">
        <f t="shared" ref="L96" si="224">L47/1000/24/L$3</f>
        <v>0.54142876344086011</v>
      </c>
      <c r="M96" s="941">
        <f t="shared" si="198"/>
        <v>0.9</v>
      </c>
      <c r="N96" s="941">
        <f t="shared" si="198"/>
        <v>0.58444603825136621</v>
      </c>
      <c r="O96" s="387">
        <v>0.9</v>
      </c>
      <c r="P96" s="335">
        <f t="shared" si="199"/>
        <v>0.57189722222222217</v>
      </c>
      <c r="Q96" s="942">
        <f t="shared" si="200"/>
        <v>0.89999999999999991</v>
      </c>
      <c r="R96" s="942">
        <f t="shared" si="200"/>
        <v>0.58030906593406595</v>
      </c>
      <c r="S96" s="387">
        <v>0.9</v>
      </c>
      <c r="T96" s="335">
        <f t="shared" si="201"/>
        <v>0.51334677419354746</v>
      </c>
      <c r="U96" s="941">
        <f t="shared" si="202"/>
        <v>0.9</v>
      </c>
      <c r="V96" s="941">
        <f t="shared" si="202"/>
        <v>0.56329405737704896</v>
      </c>
      <c r="W96" s="387">
        <v>0.9</v>
      </c>
      <c r="X96" s="335">
        <f t="shared" si="203"/>
        <v>0.53025403225806567</v>
      </c>
      <c r="Y96" s="941">
        <f t="shared" si="204"/>
        <v>0.90000000000000013</v>
      </c>
      <c r="Z96" s="941">
        <f t="shared" si="204"/>
        <v>0.5565996732026145</v>
      </c>
      <c r="AA96" s="387">
        <v>0.9</v>
      </c>
      <c r="AB96" s="335">
        <f t="shared" si="205"/>
        <v>0.56616527777777714</v>
      </c>
      <c r="AC96" s="942">
        <f t="shared" si="206"/>
        <v>0.9</v>
      </c>
      <c r="AD96" s="942">
        <f t="shared" si="206"/>
        <v>0.5362672101449274</v>
      </c>
      <c r="AE96" s="943">
        <f t="shared" si="206"/>
        <v>0.90000000000000013</v>
      </c>
      <c r="AF96" s="943">
        <f t="shared" si="206"/>
        <v>0.55816780510018216</v>
      </c>
      <c r="AG96" s="387">
        <v>0.9</v>
      </c>
      <c r="AH96" s="335">
        <f t="shared" si="207"/>
        <v>0.53608602150537632</v>
      </c>
      <c r="AI96" s="941">
        <f t="shared" si="207"/>
        <v>0.9</v>
      </c>
      <c r="AJ96" s="941">
        <f t="shared" si="207"/>
        <v>0.55496904205607478</v>
      </c>
      <c r="AK96" s="387">
        <v>0.9</v>
      </c>
      <c r="AL96" s="335">
        <f t="shared" si="208"/>
        <v>0.59575416666666625</v>
      </c>
      <c r="AM96" s="941">
        <f t="shared" si="208"/>
        <v>0.9</v>
      </c>
      <c r="AN96" s="941">
        <f t="shared" si="208"/>
        <v>0.559983606557377</v>
      </c>
      <c r="AO96" s="387">
        <v>0.9</v>
      </c>
      <c r="AP96" s="335">
        <f t="shared" si="209"/>
        <v>0.61408064516129068</v>
      </c>
      <c r="AQ96" s="942">
        <f t="shared" si="209"/>
        <v>0.9</v>
      </c>
      <c r="AR96" s="942">
        <f t="shared" si="209"/>
        <v>0.58182382246376807</v>
      </c>
      <c r="AS96" s="941">
        <f t="shared" si="209"/>
        <v>0.9</v>
      </c>
      <c r="AT96" s="941">
        <f t="shared" si="209"/>
        <v>0.56608181818181813</v>
      </c>
      <c r="AU96" s="387">
        <v>0.9</v>
      </c>
      <c r="AV96" s="335">
        <f t="shared" si="210"/>
        <v>0.57646908602150482</v>
      </c>
      <c r="AW96" s="941">
        <f t="shared" si="210"/>
        <v>0.90000000000000013</v>
      </c>
      <c r="AX96" s="941">
        <f t="shared" si="210"/>
        <v>0.56713412309368183</v>
      </c>
      <c r="AY96" s="387">
        <v>0.9</v>
      </c>
      <c r="AZ96" s="335">
        <f t="shared" si="211"/>
        <v>0.71380059523809536</v>
      </c>
      <c r="BA96" s="941">
        <f t="shared" si="211"/>
        <v>0.89999999999999991</v>
      </c>
      <c r="BB96" s="941">
        <f t="shared" si="211"/>
        <v>0.57942951596806391</v>
      </c>
      <c r="BC96" s="387">
        <v>0.9</v>
      </c>
      <c r="BD96" s="335">
        <f t="shared" si="212"/>
        <v>0.5673870967741943</v>
      </c>
      <c r="BE96" s="942">
        <f t="shared" si="212"/>
        <v>0.9</v>
      </c>
      <c r="BF96" s="942">
        <f t="shared" si="212"/>
        <v>0.61606620370370391</v>
      </c>
      <c r="BG96" s="943">
        <f t="shared" si="212"/>
        <v>0.89999999999999991</v>
      </c>
      <c r="BH96" s="943">
        <f t="shared" si="212"/>
        <v>0.59875686813186824</v>
      </c>
      <c r="BI96" s="941">
        <f t="shared" si="212"/>
        <v>0.9</v>
      </c>
      <c r="BJ96" s="941">
        <f t="shared" si="212"/>
        <v>0.57840673515981744</v>
      </c>
      <c r="BK96" s="1219"/>
      <c r="BL96" s="1219"/>
      <c r="BM96" s="1219"/>
      <c r="BN96" s="1219"/>
    </row>
    <row r="97" spans="9:64" x14ac:dyDescent="0.25">
      <c r="O97"/>
      <c r="AA97" s="149"/>
      <c r="BL97" s="1219"/>
    </row>
    <row r="98" spans="9:64" x14ac:dyDescent="0.25">
      <c r="I98" s="1219">
        <f>+I65-I66</f>
        <v>0</v>
      </c>
      <c r="J98" s="1219">
        <f t="shared" ref="J98:BJ98" si="225">+J65-J66</f>
        <v>0</v>
      </c>
      <c r="K98" s="1219">
        <f>+K65-K66</f>
        <v>0</v>
      </c>
      <c r="L98" s="1219">
        <f t="shared" ref="L98" si="226">+L65-L66</f>
        <v>0</v>
      </c>
      <c r="M98" s="1219">
        <f t="shared" si="225"/>
        <v>0</v>
      </c>
      <c r="N98" s="1219">
        <f t="shared" si="225"/>
        <v>0</v>
      </c>
      <c r="O98" s="1219">
        <f>+O65-O66</f>
        <v>0</v>
      </c>
      <c r="P98" s="1219">
        <f t="shared" ref="P98" si="227">+P65-P66</f>
        <v>0</v>
      </c>
      <c r="Q98" s="1219">
        <f t="shared" si="225"/>
        <v>0</v>
      </c>
      <c r="R98" s="1219">
        <f t="shared" si="225"/>
        <v>0</v>
      </c>
      <c r="S98" s="1219">
        <f t="shared" si="225"/>
        <v>0</v>
      </c>
      <c r="T98" s="1219">
        <f t="shared" si="225"/>
        <v>0</v>
      </c>
      <c r="U98" s="1219">
        <f t="shared" si="225"/>
        <v>0</v>
      </c>
      <c r="V98" s="1219">
        <f t="shared" si="225"/>
        <v>0</v>
      </c>
      <c r="W98" s="1219">
        <f t="shared" ref="W98:X98" si="228">+W65-W66</f>
        <v>0</v>
      </c>
      <c r="X98" s="1219">
        <f t="shared" si="228"/>
        <v>0</v>
      </c>
      <c r="Y98" s="1219">
        <f t="shared" si="225"/>
        <v>0</v>
      </c>
      <c r="Z98" s="1219">
        <f t="shared" si="225"/>
        <v>0</v>
      </c>
      <c r="AA98" s="1219">
        <f t="shared" si="225"/>
        <v>0</v>
      </c>
      <c r="AB98" s="1219">
        <f t="shared" si="225"/>
        <v>0</v>
      </c>
      <c r="AC98" s="1219">
        <f t="shared" si="225"/>
        <v>0</v>
      </c>
      <c r="AD98" s="1219">
        <f t="shared" si="225"/>
        <v>0</v>
      </c>
      <c r="AE98" s="1219">
        <f t="shared" si="225"/>
        <v>0</v>
      </c>
      <c r="AF98" s="1219">
        <f t="shared" si="225"/>
        <v>0</v>
      </c>
      <c r="AG98" s="1219">
        <f t="shared" si="225"/>
        <v>0</v>
      </c>
      <c r="AH98" s="1219">
        <f t="shared" si="225"/>
        <v>0</v>
      </c>
      <c r="AI98" s="1219">
        <f t="shared" si="225"/>
        <v>0</v>
      </c>
      <c r="AJ98" s="1219">
        <f t="shared" si="225"/>
        <v>0</v>
      </c>
      <c r="AK98" s="1219">
        <f t="shared" si="225"/>
        <v>0</v>
      </c>
      <c r="AL98" s="1219">
        <f t="shared" si="225"/>
        <v>0</v>
      </c>
      <c r="AM98" s="1219">
        <f t="shared" si="225"/>
        <v>0</v>
      </c>
      <c r="AN98" s="1219">
        <f t="shared" si="225"/>
        <v>0</v>
      </c>
      <c r="AO98" s="1219">
        <f t="shared" si="225"/>
        <v>0</v>
      </c>
      <c r="AP98" s="1219">
        <f t="shared" si="225"/>
        <v>0</v>
      </c>
      <c r="AQ98" s="1219">
        <f t="shared" si="225"/>
        <v>0</v>
      </c>
      <c r="AR98" s="1219">
        <f t="shared" si="225"/>
        <v>0</v>
      </c>
      <c r="AS98" s="1219">
        <f t="shared" si="225"/>
        <v>0</v>
      </c>
      <c r="AT98" s="1219">
        <f t="shared" si="225"/>
        <v>0</v>
      </c>
      <c r="AU98" s="1219">
        <f t="shared" si="225"/>
        <v>0</v>
      </c>
      <c r="AV98" s="1219">
        <f t="shared" si="225"/>
        <v>0</v>
      </c>
      <c r="AW98" s="1219">
        <f t="shared" si="225"/>
        <v>0</v>
      </c>
      <c r="AX98" s="1219">
        <f t="shared" si="225"/>
        <v>0</v>
      </c>
      <c r="AY98" s="1219">
        <f t="shared" si="225"/>
        <v>0</v>
      </c>
      <c r="AZ98" s="1219">
        <f t="shared" si="225"/>
        <v>0</v>
      </c>
      <c r="BA98" s="1219">
        <f t="shared" si="225"/>
        <v>0</v>
      </c>
      <c r="BB98" s="1219">
        <f t="shared" si="225"/>
        <v>0</v>
      </c>
      <c r="BC98" s="1219">
        <f t="shared" ref="BC98:BD98" si="229">+BC65-BC66</f>
        <v>0</v>
      </c>
      <c r="BD98" s="1219">
        <f t="shared" si="229"/>
        <v>0</v>
      </c>
      <c r="BE98" s="1219">
        <f t="shared" si="225"/>
        <v>0</v>
      </c>
      <c r="BF98" s="1219">
        <f t="shared" si="225"/>
        <v>0</v>
      </c>
      <c r="BG98" s="1219">
        <f t="shared" si="225"/>
        <v>0</v>
      </c>
      <c r="BH98" s="1219">
        <f t="shared" si="225"/>
        <v>0</v>
      </c>
      <c r="BI98" s="1219">
        <f t="shared" si="225"/>
        <v>0</v>
      </c>
      <c r="BJ98" s="1219">
        <f t="shared" si="225"/>
        <v>0</v>
      </c>
    </row>
    <row r="108" spans="9:64" x14ac:dyDescent="0.25">
      <c r="S108" s="154"/>
      <c r="T108" s="93"/>
      <c r="W108" s="154"/>
      <c r="X108" s="93"/>
    </row>
  </sheetData>
  <mergeCells count="56"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G4:AH4"/>
    <mergeCell ref="AI4:AJ4"/>
    <mergeCell ref="AG53:AH53"/>
    <mergeCell ref="AI53:AJ53"/>
    <mergeCell ref="AE4:AF4"/>
    <mergeCell ref="AE53:AF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BC4:BD4"/>
    <mergeCell ref="BI4:BJ4"/>
    <mergeCell ref="BC53:BD53"/>
    <mergeCell ref="BI53:BJ53"/>
    <mergeCell ref="BE4:BF4"/>
    <mergeCell ref="BG4:BH4"/>
    <mergeCell ref="BE53:BF53"/>
    <mergeCell ref="BG53:BH53"/>
  </mergeCells>
  <pageMargins left="0.45" right="0.45" top="0.5" bottom="0.5" header="0.3" footer="0.3"/>
  <pageSetup scale="31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660033"/>
    <pageSetUpPr fitToPage="1"/>
  </sheetPr>
  <dimension ref="A1:BP119"/>
  <sheetViews>
    <sheetView zoomScaleNormal="100" workbookViewId="0">
      <pane xSplit="3" topLeftCell="N1" activePane="topRight" state="frozen"/>
      <selection pane="topRight" activeCell="X14" sqref="X14"/>
    </sheetView>
  </sheetViews>
  <sheetFormatPr defaultColWidth="11.140625" defaultRowHeight="15" x14ac:dyDescent="0.25"/>
  <cols>
    <col min="1" max="1" width="5.42578125" customWidth="1"/>
    <col min="2" max="2" width="74.85546875" bestFit="1" customWidth="1"/>
    <col min="3" max="3" width="23.85546875" customWidth="1"/>
    <col min="4" max="5" width="9.85546875" bestFit="1" customWidth="1"/>
    <col min="6" max="7" width="9.85546875" customWidth="1"/>
    <col min="8" max="9" width="9.85546875" hidden="1" customWidth="1"/>
    <col min="10" max="15" width="11.140625" customWidth="1"/>
    <col min="16" max="17" width="11.140625" hidden="1" customWidth="1"/>
    <col min="18" max="19" width="11.140625" customWidth="1"/>
    <col min="20" max="21" width="11.140625" hidden="1" customWidth="1"/>
    <col min="22" max="27" width="11.140625" customWidth="1"/>
    <col min="28" max="57" width="11.140625" hidden="1" customWidth="1"/>
    <col min="58" max="58" width="11.140625" customWidth="1"/>
  </cols>
  <sheetData>
    <row r="1" spans="1:62" ht="22.9" x14ac:dyDescent="0.4">
      <c r="B1" s="389" t="s">
        <v>1096</v>
      </c>
      <c r="C1" s="45"/>
      <c r="D1" s="527"/>
      <c r="E1" s="45"/>
      <c r="F1" s="45"/>
      <c r="G1" s="45"/>
      <c r="H1" s="45"/>
      <c r="I1" s="45"/>
      <c r="J1" s="154"/>
      <c r="K1" s="154"/>
      <c r="L1" s="93"/>
      <c r="M1" s="93"/>
      <c r="N1" s="154"/>
      <c r="O1" s="154"/>
      <c r="P1" s="93"/>
      <c r="Q1" s="93"/>
      <c r="R1" s="154"/>
      <c r="S1" s="154"/>
      <c r="T1" s="93"/>
      <c r="U1" s="93"/>
      <c r="V1" s="93"/>
      <c r="W1" s="93"/>
      <c r="X1" s="93"/>
      <c r="Y1" s="93"/>
      <c r="Z1" s="93"/>
      <c r="AA1" s="93"/>
    </row>
    <row r="2" spans="1:62" ht="22.9" hidden="1" x14ac:dyDescent="0.4">
      <c r="B2" s="389"/>
      <c r="C2" s="45" t="s">
        <v>2131</v>
      </c>
      <c r="D2" s="2553">
        <f>+'B-FCE'!E50</f>
        <v>29</v>
      </c>
      <c r="E2" s="2553">
        <f>+'B-FCE'!F50</f>
        <v>26.666666666666664</v>
      </c>
      <c r="F2" s="2553">
        <f>+'B-FCE'!G50</f>
        <v>30.000000000000004</v>
      </c>
      <c r="G2" s="2553">
        <f>+'B-FCE'!H50</f>
        <v>29.791666666666664</v>
      </c>
      <c r="H2" s="2553">
        <f>+'B-FCE'!I50</f>
        <v>59</v>
      </c>
      <c r="I2" s="2553">
        <f>+'B-FCE'!J50</f>
        <v>56.458333333333329</v>
      </c>
      <c r="J2" s="2553">
        <f>+'B-FCE'!K50</f>
        <v>29</v>
      </c>
      <c r="K2" s="2553">
        <f>+'B-FCE'!L50</f>
        <v>29.611111111111111</v>
      </c>
      <c r="L2" s="2553">
        <f>+'B-FCE'!M50</f>
        <v>88</v>
      </c>
      <c r="M2" s="2553">
        <f>+'B-FCE'!N50</f>
        <v>86.069444444444429</v>
      </c>
      <c r="N2" s="2553">
        <f>+'B-FCE'!O50</f>
        <v>30</v>
      </c>
      <c r="O2" s="2553">
        <f>+'B-FCE'!P50</f>
        <v>30.999999999999996</v>
      </c>
      <c r="P2" s="2553">
        <f>+'B-FCE'!Q50</f>
        <v>118</v>
      </c>
      <c r="Q2" s="2553">
        <f>+'B-FCE'!R50</f>
        <v>117.06944444444443</v>
      </c>
      <c r="R2" s="2553">
        <f>+'B-FCE'!S50</f>
        <v>30</v>
      </c>
      <c r="S2" s="2553">
        <f>+'B-FCE'!T50</f>
        <v>30.024305555555554</v>
      </c>
      <c r="T2" s="2553">
        <f>+'B-FCE'!U50</f>
        <v>148</v>
      </c>
      <c r="U2" s="2553">
        <f>+'B-FCE'!V50</f>
        <v>147.09374999999997</v>
      </c>
      <c r="V2" s="2553">
        <f>+'B-FCE'!W50</f>
        <v>17.016867469879518</v>
      </c>
      <c r="W2" s="2553">
        <f>+'B-FCE'!X50</f>
        <v>29.673611111111111</v>
      </c>
      <c r="X2" s="2553">
        <f>+'B-FCE'!Y50</f>
        <v>77.016867469879514</v>
      </c>
      <c r="Y2" s="2553">
        <f>+'B-FCE'!Z50</f>
        <v>90.697916666666657</v>
      </c>
      <c r="Z2" s="2553">
        <f>+'B-FCE'!AA50</f>
        <v>165.01686746987951</v>
      </c>
      <c r="AA2" s="2553">
        <f>+'B-FCE'!AB50</f>
        <v>176.76736111111109</v>
      </c>
      <c r="AB2" s="2553">
        <f>+'B-FCE'!AC50</f>
        <v>29.999999999999996</v>
      </c>
      <c r="AC2" s="2553">
        <f>+'B-FCE'!AD50</f>
        <v>29.965277777777771</v>
      </c>
      <c r="AD2" s="2553">
        <f>+'B-FCE'!AE50</f>
        <v>195.01686746987951</v>
      </c>
      <c r="AE2" s="2553">
        <f>+'B-FCE'!AF50</f>
        <v>206.73263888888886</v>
      </c>
      <c r="AF2" s="2553">
        <f>+'B-FCE'!AG50</f>
        <v>29</v>
      </c>
      <c r="AG2" s="2553">
        <f>+'B-FCE'!AH50</f>
        <v>2.8778901789705245</v>
      </c>
      <c r="AH2" s="2553">
        <f>+'B-FCE'!AI50</f>
        <v>224.01686746987951</v>
      </c>
      <c r="AI2" s="2553">
        <f>+'B-FCE'!AJ50</f>
        <v>209.61052906785937</v>
      </c>
      <c r="AJ2" s="2553">
        <f>+'B-FCE'!AK50</f>
        <v>29.999999999999996</v>
      </c>
      <c r="AK2" s="2553">
        <f>+'B-FCE'!AL50</f>
        <v>30.753472222222221</v>
      </c>
      <c r="AL2" s="2553">
        <f>+'B-FCE'!AM50</f>
        <v>89</v>
      </c>
      <c r="AM2" s="2553">
        <f>+'B-FCE'!AN50</f>
        <v>63.596640178970517</v>
      </c>
      <c r="AN2" s="2553">
        <f>+'B-FCE'!AO50</f>
        <v>254.01686746987951</v>
      </c>
      <c r="AO2" s="2553">
        <f>+'B-FCE'!AP50</f>
        <v>240.3640012900816</v>
      </c>
      <c r="AP2" s="2553">
        <f>+'B-FCE'!AQ50</f>
        <v>29.999999999999996</v>
      </c>
      <c r="AQ2" s="2553">
        <f>+'B-FCE'!AR50</f>
        <v>29.628472222222221</v>
      </c>
      <c r="AR2" s="2553">
        <f>+'B-FCE'!AS50</f>
        <v>284.01686746987951</v>
      </c>
      <c r="AS2" s="2553">
        <f>+'B-FCE'!AT50</f>
        <v>269.99247351230383</v>
      </c>
      <c r="AT2" s="2553">
        <f>+'B-FCE'!AU50</f>
        <v>26.999999999999996</v>
      </c>
      <c r="AU2" s="2553">
        <f>+'B-FCE'!AV50</f>
        <v>27.1875</v>
      </c>
      <c r="AV2" s="2553">
        <f>+'B-FCE'!AW50</f>
        <v>311.01686746987951</v>
      </c>
      <c r="AW2" s="2553">
        <f>+'B-FCE'!AX50</f>
        <v>297.17997351230383</v>
      </c>
      <c r="AX2" s="2553">
        <f>+'B-FCE'!AY50</f>
        <v>29.999999999999996</v>
      </c>
      <c r="AY2" s="2553">
        <f>+'B-FCE'!AZ50</f>
        <v>30.22569444444445</v>
      </c>
      <c r="AZ2" s="2553">
        <f>+'B-FCE'!BA50</f>
        <v>86.999999999999986</v>
      </c>
      <c r="BA2" s="2553">
        <f>+'B-FCE'!BB50</f>
        <v>87.041666666666671</v>
      </c>
      <c r="BB2" s="2553">
        <f>+'B-FCE'!BC50</f>
        <v>176</v>
      </c>
      <c r="BC2" s="2553">
        <f>+'B-FCE'!BD50</f>
        <v>150.6383068456372</v>
      </c>
      <c r="BD2" s="2553">
        <f>+'B-FCE'!BE50</f>
        <v>341.01686746987951</v>
      </c>
      <c r="BE2" s="2553">
        <f>+'B-FCE'!BF50</f>
        <v>327.40566795674829</v>
      </c>
    </row>
    <row r="3" spans="1:62" thickBot="1" x14ac:dyDescent="0.35">
      <c r="B3" s="45"/>
      <c r="C3" s="45" t="s">
        <v>500</v>
      </c>
      <c r="D3" s="2553">
        <v>30</v>
      </c>
      <c r="E3" s="2553">
        <v>30</v>
      </c>
      <c r="F3" s="2553">
        <v>31</v>
      </c>
      <c r="G3" s="2553">
        <v>31</v>
      </c>
      <c r="H3" s="2553">
        <f>+D3+F3</f>
        <v>61</v>
      </c>
      <c r="I3" s="2553">
        <f>+E3+G3</f>
        <v>61</v>
      </c>
      <c r="J3" s="2553">
        <v>30</v>
      </c>
      <c r="K3" s="2553">
        <v>30</v>
      </c>
      <c r="L3" s="2553">
        <f>+H3+J3</f>
        <v>91</v>
      </c>
      <c r="M3" s="2553">
        <f>+I3+K3</f>
        <v>91</v>
      </c>
      <c r="N3" s="2553">
        <v>31</v>
      </c>
      <c r="O3" s="2553">
        <v>31</v>
      </c>
      <c r="P3" s="2553">
        <f>+L3+N3</f>
        <v>122</v>
      </c>
      <c r="Q3" s="2553">
        <f>+M3+O3</f>
        <v>122</v>
      </c>
      <c r="R3" s="2553">
        <v>31</v>
      </c>
      <c r="S3" s="2553">
        <v>31</v>
      </c>
      <c r="T3" s="2553">
        <f>+P3+R3</f>
        <v>153</v>
      </c>
      <c r="U3" s="2553">
        <f>+Q3+S3</f>
        <v>153</v>
      </c>
      <c r="V3" s="2553">
        <v>30</v>
      </c>
      <c r="W3" s="2553">
        <v>30</v>
      </c>
      <c r="X3" s="2553">
        <f>+N3+R3+V3</f>
        <v>92</v>
      </c>
      <c r="Y3" s="2553">
        <f>+O3+S3+W3</f>
        <v>92</v>
      </c>
      <c r="Z3" s="2553">
        <f>+T3+V3</f>
        <v>183</v>
      </c>
      <c r="AA3" s="2553">
        <f>+U3+W3</f>
        <v>183</v>
      </c>
      <c r="AB3" s="2553">
        <v>31</v>
      </c>
      <c r="AC3" s="2553">
        <v>31</v>
      </c>
      <c r="AD3" s="2553">
        <f>+Z3+AB3</f>
        <v>214</v>
      </c>
      <c r="AE3" s="2553">
        <f>+AA3+AC3</f>
        <v>214</v>
      </c>
      <c r="AF3" s="2553">
        <v>30</v>
      </c>
      <c r="AG3" s="2553">
        <v>30</v>
      </c>
      <c r="AH3" s="2553">
        <f>+AD3+AF3</f>
        <v>244</v>
      </c>
      <c r="AI3" s="2553">
        <f>+AE3+AG3</f>
        <v>244</v>
      </c>
      <c r="AJ3" s="2553">
        <v>31</v>
      </c>
      <c r="AK3" s="2553">
        <v>31</v>
      </c>
      <c r="AL3" s="2553">
        <f>+AB3+AF3+AJ3</f>
        <v>92</v>
      </c>
      <c r="AM3" s="2553">
        <f>+AC3+AG3+AK3</f>
        <v>92</v>
      </c>
      <c r="AN3" s="2553">
        <f>+AH3+AJ3</f>
        <v>275</v>
      </c>
      <c r="AO3" s="2553">
        <f>+AI3+AK3</f>
        <v>275</v>
      </c>
      <c r="AP3" s="2553">
        <v>31</v>
      </c>
      <c r="AQ3" s="2553">
        <v>31</v>
      </c>
      <c r="AR3" s="2553">
        <f>+AN3+AP3</f>
        <v>306</v>
      </c>
      <c r="AS3" s="2553">
        <f>+AO3+AQ3</f>
        <v>306</v>
      </c>
      <c r="AT3" s="2553">
        <v>28</v>
      </c>
      <c r="AU3" s="2553">
        <v>28</v>
      </c>
      <c r="AV3" s="2553">
        <f>+AR3+AT3</f>
        <v>334</v>
      </c>
      <c r="AW3" s="2553">
        <f>+AS3+AU3</f>
        <v>334</v>
      </c>
      <c r="AX3" s="2553">
        <v>31</v>
      </c>
      <c r="AY3" s="2553">
        <v>31</v>
      </c>
      <c r="AZ3" s="2553">
        <f>+AP3+AT3+AX3</f>
        <v>90</v>
      </c>
      <c r="BA3" s="2553">
        <f>+AQ3+AU3+AY3</f>
        <v>90</v>
      </c>
      <c r="BB3" s="2553">
        <f>AZ3+AL3</f>
        <v>182</v>
      </c>
      <c r="BC3" s="2553">
        <f>BA3+AM3</f>
        <v>182</v>
      </c>
      <c r="BD3" s="2553">
        <f>+AV3+AX3</f>
        <v>365</v>
      </c>
      <c r="BE3" s="2553">
        <f>+AW3+AY3</f>
        <v>365</v>
      </c>
    </row>
    <row r="4" spans="1:62" ht="16.5" thickTop="1" thickBot="1" x14ac:dyDescent="0.3">
      <c r="B4" s="6242" t="s">
        <v>171</v>
      </c>
      <c r="C4" s="6247" t="s">
        <v>172</v>
      </c>
      <c r="D4" s="5760" t="s">
        <v>2190</v>
      </c>
      <c r="E4" s="5849"/>
      <c r="F4" s="5760" t="s">
        <v>2242</v>
      </c>
      <c r="G4" s="5760"/>
      <c r="H4" s="5758" t="s">
        <v>14</v>
      </c>
      <c r="I4" s="5759"/>
      <c r="J4" s="5774" t="s">
        <v>2273</v>
      </c>
      <c r="K4" s="5771"/>
      <c r="L4" s="5775" t="s">
        <v>637</v>
      </c>
      <c r="M4" s="6244"/>
      <c r="N4" s="5774" t="s">
        <v>2296</v>
      </c>
      <c r="O4" s="5771"/>
      <c r="P4" s="6226" t="s">
        <v>17</v>
      </c>
      <c r="Q4" s="6227"/>
      <c r="R4" s="5774" t="s">
        <v>2299</v>
      </c>
      <c r="S4" s="5771"/>
      <c r="T4" s="6226" t="s">
        <v>18</v>
      </c>
      <c r="U4" s="6227"/>
      <c r="V4" s="5774" t="s">
        <v>2344</v>
      </c>
      <c r="W4" s="5771"/>
      <c r="X4" s="5775" t="s">
        <v>660</v>
      </c>
      <c r="Y4" s="5764"/>
      <c r="Z4" s="5825" t="s">
        <v>657</v>
      </c>
      <c r="AA4" s="5766"/>
      <c r="AB4" s="5774" t="s">
        <v>1954</v>
      </c>
      <c r="AC4" s="5771"/>
      <c r="AD4" s="6226" t="s">
        <v>24</v>
      </c>
      <c r="AE4" s="6227"/>
      <c r="AF4" s="5774" t="s">
        <v>1970</v>
      </c>
      <c r="AG4" s="5771"/>
      <c r="AH4" s="6226" t="s">
        <v>27</v>
      </c>
      <c r="AI4" s="6227"/>
      <c r="AJ4" s="5774" t="s">
        <v>1985</v>
      </c>
      <c r="AK4" s="5771"/>
      <c r="AL4" s="5775" t="s">
        <v>662</v>
      </c>
      <c r="AM4" s="5764"/>
      <c r="AN4" s="6226" t="s">
        <v>1666</v>
      </c>
      <c r="AO4" s="6227"/>
      <c r="AP4" s="5774" t="s">
        <v>2085</v>
      </c>
      <c r="AQ4" s="5771"/>
      <c r="AR4" s="6226" t="s">
        <v>28</v>
      </c>
      <c r="AS4" s="6227"/>
      <c r="AT4" s="5774" t="s">
        <v>2099</v>
      </c>
      <c r="AU4" s="5771"/>
      <c r="AV4" s="6226" t="s">
        <v>30</v>
      </c>
      <c r="AW4" s="6227"/>
      <c r="AX4" s="5774" t="s">
        <v>2111</v>
      </c>
      <c r="AY4" s="5771"/>
      <c r="AZ4" s="5775" t="s">
        <v>663</v>
      </c>
      <c r="BA4" s="5764"/>
      <c r="BB4" s="5825" t="s">
        <v>671</v>
      </c>
      <c r="BC4" s="5766"/>
      <c r="BD4" s="6226" t="s">
        <v>1745</v>
      </c>
      <c r="BE4" s="6227"/>
    </row>
    <row r="5" spans="1:62" ht="15.75" thickBot="1" x14ac:dyDescent="0.3">
      <c r="B5" s="6243"/>
      <c r="C5" s="5770"/>
      <c r="D5" s="232" t="s">
        <v>173</v>
      </c>
      <c r="E5" s="157" t="s">
        <v>174</v>
      </c>
      <c r="F5" s="546" t="s">
        <v>173</v>
      </c>
      <c r="G5" s="178" t="s">
        <v>174</v>
      </c>
      <c r="H5" s="146" t="s">
        <v>173</v>
      </c>
      <c r="I5" s="217" t="s">
        <v>174</v>
      </c>
      <c r="J5" s="1562" t="s">
        <v>173</v>
      </c>
      <c r="K5" s="400" t="s">
        <v>174</v>
      </c>
      <c r="L5" s="704" t="s">
        <v>173</v>
      </c>
      <c r="M5" s="696" t="s">
        <v>174</v>
      </c>
      <c r="N5" s="1562" t="s">
        <v>173</v>
      </c>
      <c r="O5" s="400" t="s">
        <v>174</v>
      </c>
      <c r="P5" s="1595" t="s">
        <v>173</v>
      </c>
      <c r="Q5" s="1596" t="s">
        <v>174</v>
      </c>
      <c r="R5" s="1562" t="s">
        <v>173</v>
      </c>
      <c r="S5" s="400" t="s">
        <v>174</v>
      </c>
      <c r="T5" s="1595" t="s">
        <v>173</v>
      </c>
      <c r="U5" s="1596" t="s">
        <v>174</v>
      </c>
      <c r="V5" s="1562" t="s">
        <v>173</v>
      </c>
      <c r="W5" s="178" t="s">
        <v>174</v>
      </c>
      <c r="X5" s="704" t="s">
        <v>173</v>
      </c>
      <c r="Y5" s="170" t="s">
        <v>174</v>
      </c>
      <c r="Z5" s="705" t="s">
        <v>173</v>
      </c>
      <c r="AA5" s="499" t="s">
        <v>174</v>
      </c>
      <c r="AB5" s="1562" t="s">
        <v>173</v>
      </c>
      <c r="AC5" s="178" t="s">
        <v>174</v>
      </c>
      <c r="AD5" s="1595" t="s">
        <v>173</v>
      </c>
      <c r="AE5" s="1596" t="s">
        <v>174</v>
      </c>
      <c r="AF5" s="1562" t="s">
        <v>173</v>
      </c>
      <c r="AG5" s="178" t="s">
        <v>174</v>
      </c>
      <c r="AH5" s="1595" t="s">
        <v>173</v>
      </c>
      <c r="AI5" s="1596" t="s">
        <v>174</v>
      </c>
      <c r="AJ5" s="1562" t="s">
        <v>173</v>
      </c>
      <c r="AK5" s="178" t="s">
        <v>174</v>
      </c>
      <c r="AL5" s="704" t="s">
        <v>173</v>
      </c>
      <c r="AM5" s="170" t="s">
        <v>174</v>
      </c>
      <c r="AN5" s="1595" t="s">
        <v>173</v>
      </c>
      <c r="AO5" s="1596" t="s">
        <v>174</v>
      </c>
      <c r="AP5" s="1562" t="s">
        <v>173</v>
      </c>
      <c r="AQ5" s="178" t="s">
        <v>174</v>
      </c>
      <c r="AR5" s="1595" t="s">
        <v>173</v>
      </c>
      <c r="AS5" s="1596" t="s">
        <v>174</v>
      </c>
      <c r="AT5" s="1562" t="s">
        <v>173</v>
      </c>
      <c r="AU5" s="178" t="s">
        <v>174</v>
      </c>
      <c r="AV5" s="1595" t="s">
        <v>173</v>
      </c>
      <c r="AW5" s="1596" t="s">
        <v>174</v>
      </c>
      <c r="AX5" s="1562" t="s">
        <v>173</v>
      </c>
      <c r="AY5" s="178" t="s">
        <v>174</v>
      </c>
      <c r="AZ5" s="704" t="s">
        <v>173</v>
      </c>
      <c r="BA5" s="170" t="s">
        <v>174</v>
      </c>
      <c r="BB5" s="705" t="s">
        <v>173</v>
      </c>
      <c r="BC5" s="499" t="s">
        <v>174</v>
      </c>
      <c r="BD5" s="1595" t="s">
        <v>173</v>
      </c>
      <c r="BE5" s="1596" t="s">
        <v>174</v>
      </c>
    </row>
    <row r="6" spans="1:62" ht="22.7" customHeight="1" x14ac:dyDescent="0.4">
      <c r="B6" s="3165" t="s">
        <v>456</v>
      </c>
      <c r="C6" s="128"/>
      <c r="D6" s="1563"/>
      <c r="E6" s="128"/>
      <c r="F6" s="128"/>
      <c r="G6" s="128"/>
      <c r="H6" s="128"/>
      <c r="I6" s="3166"/>
      <c r="J6" s="1563"/>
      <c r="K6" s="1563"/>
      <c r="L6" s="128"/>
      <c r="M6" s="128"/>
      <c r="N6" s="1563"/>
      <c r="O6" s="1563"/>
      <c r="P6" s="128"/>
      <c r="Q6" s="128"/>
      <c r="R6" s="1563"/>
      <c r="S6" s="1563"/>
      <c r="T6" s="128"/>
      <c r="U6" s="128"/>
      <c r="V6" s="1563"/>
      <c r="W6" s="128"/>
      <c r="X6" s="128"/>
      <c r="Y6" s="128"/>
      <c r="Z6" s="128"/>
      <c r="AA6" s="128"/>
      <c r="AB6" s="1563"/>
      <c r="AC6" s="128"/>
      <c r="AD6" s="128"/>
      <c r="AE6" s="128"/>
      <c r="AF6" s="1563"/>
      <c r="AG6" s="128"/>
      <c r="AH6" s="128"/>
      <c r="AI6" s="128"/>
      <c r="AJ6" s="1563"/>
      <c r="AK6" s="128"/>
      <c r="AL6" s="128"/>
      <c r="AM6" s="128"/>
      <c r="AN6" s="128"/>
      <c r="AO6" s="128"/>
      <c r="AP6" s="1563"/>
      <c r="AQ6" s="128"/>
      <c r="AR6" s="128"/>
      <c r="AS6" s="128"/>
      <c r="AT6" s="1563"/>
      <c r="AU6" s="128"/>
      <c r="AV6" s="128"/>
      <c r="AW6" s="128"/>
      <c r="AX6" s="1563"/>
      <c r="AY6" s="128"/>
      <c r="AZ6" s="128"/>
      <c r="BA6" s="128"/>
      <c r="BB6" s="128"/>
      <c r="BC6" s="128"/>
      <c r="BD6" s="128"/>
      <c r="BE6" s="128"/>
    </row>
    <row r="7" spans="1:62" ht="16.149999999999999" thickBot="1" x14ac:dyDescent="0.35">
      <c r="B7" s="3167" t="s">
        <v>664</v>
      </c>
      <c r="C7" s="3168"/>
      <c r="D7" s="3032"/>
      <c r="E7" s="3168"/>
      <c r="F7" s="3032"/>
      <c r="G7" s="3168"/>
      <c r="H7" s="3168"/>
      <c r="I7" s="3169"/>
      <c r="J7" s="3032"/>
      <c r="K7" s="2335"/>
      <c r="L7" s="1603"/>
      <c r="M7" s="1603"/>
      <c r="N7" s="2335"/>
      <c r="O7" s="2335"/>
      <c r="P7" s="1603"/>
      <c r="Q7" s="1603"/>
      <c r="R7" s="2335"/>
      <c r="S7" s="2335"/>
      <c r="T7" s="1603"/>
      <c r="U7" s="1603"/>
      <c r="V7" s="2335"/>
      <c r="W7" s="1603"/>
      <c r="X7" s="1603"/>
      <c r="Y7" s="1603"/>
      <c r="Z7" s="1603"/>
      <c r="AA7" s="1603"/>
      <c r="AB7" s="2335"/>
      <c r="AC7" s="1603"/>
      <c r="AD7" s="1603"/>
      <c r="AE7" s="1603"/>
      <c r="AF7" s="2335"/>
      <c r="AG7" s="1603"/>
      <c r="AH7" s="1603"/>
      <c r="AI7" s="1603"/>
      <c r="AJ7" s="2335"/>
      <c r="AK7" s="1603"/>
      <c r="AL7" s="1603"/>
      <c r="AM7" s="1603"/>
      <c r="AN7" s="1603"/>
      <c r="AO7" s="1603"/>
      <c r="AP7" s="2335"/>
      <c r="AQ7" s="1603"/>
      <c r="AR7" s="1603"/>
      <c r="AS7" s="1603"/>
      <c r="AT7" s="2335"/>
      <c r="AU7" s="1603"/>
      <c r="AV7" s="1603"/>
      <c r="AW7" s="1603"/>
      <c r="AX7" s="2335"/>
      <c r="AY7" s="1603"/>
      <c r="AZ7" s="1603"/>
      <c r="BA7" s="1603"/>
      <c r="BB7" s="1603"/>
      <c r="BC7" s="1603"/>
      <c r="BD7" s="1603"/>
      <c r="BE7" s="1603"/>
    </row>
    <row r="8" spans="1:62" thickBot="1" x14ac:dyDescent="0.35">
      <c r="B8" s="2143" t="s">
        <v>374</v>
      </c>
      <c r="C8" s="865" t="s">
        <v>393</v>
      </c>
      <c r="D8" s="954">
        <v>0</v>
      </c>
      <c r="E8" s="88">
        <v>0</v>
      </c>
      <c r="F8" s="954">
        <v>0</v>
      </c>
      <c r="G8" s="88">
        <v>0</v>
      </c>
      <c r="H8" s="2052">
        <f t="shared" ref="H8:I10" si="0">+D8+F8</f>
        <v>0</v>
      </c>
      <c r="I8" s="3170">
        <f t="shared" si="0"/>
        <v>0</v>
      </c>
      <c r="J8" s="954">
        <v>0</v>
      </c>
      <c r="K8" s="88">
        <v>0</v>
      </c>
      <c r="L8" s="713">
        <f t="shared" ref="L8" si="1">+H8+J8</f>
        <v>0</v>
      </c>
      <c r="M8" s="713">
        <f>E8+G8+K8</f>
        <v>0</v>
      </c>
      <c r="N8" s="954">
        <v>0</v>
      </c>
      <c r="O8" s="88">
        <v>0</v>
      </c>
      <c r="P8" s="822">
        <f t="shared" ref="P8:Q10" si="2">+L8+N8</f>
        <v>0</v>
      </c>
      <c r="Q8" s="2336">
        <f t="shared" si="2"/>
        <v>0</v>
      </c>
      <c r="R8" s="954">
        <v>0</v>
      </c>
      <c r="S8" s="88">
        <v>0</v>
      </c>
      <c r="T8" s="822">
        <f t="shared" ref="T8:T10" si="3">+P8+R8</f>
        <v>0</v>
      </c>
      <c r="U8" s="2336">
        <f t="shared" ref="U8:U10" si="4">+Q8+S8</f>
        <v>0</v>
      </c>
      <c r="V8" s="954">
        <v>0</v>
      </c>
      <c r="W8" s="88">
        <v>0</v>
      </c>
      <c r="X8" s="716">
        <f t="shared" ref="X8" si="5">+V8+R8+N8</f>
        <v>0</v>
      </c>
      <c r="Y8" s="1606">
        <f>+O8+S8+W8</f>
        <v>0</v>
      </c>
      <c r="Z8" s="714">
        <f t="shared" ref="Z8" si="6">+T8+V8</f>
        <v>0</v>
      </c>
      <c r="AA8" s="458">
        <f>M8+Y8</f>
        <v>0</v>
      </c>
      <c r="AB8" s="954">
        <v>0</v>
      </c>
      <c r="AC8" s="88">
        <v>0</v>
      </c>
      <c r="AD8" s="2052">
        <f t="shared" ref="AD8:AD10" si="7">+Z8+AB8</f>
        <v>0</v>
      </c>
      <c r="AE8" s="2336">
        <f t="shared" ref="AE8:AE10" si="8">+AA8+AC8</f>
        <v>0</v>
      </c>
      <c r="AF8" s="954">
        <v>0</v>
      </c>
      <c r="AG8" s="88">
        <v>0</v>
      </c>
      <c r="AH8" s="2052">
        <f t="shared" ref="AH8:AH10" si="9">+AD8+AF8</f>
        <v>0</v>
      </c>
      <c r="AI8" s="2336">
        <f t="shared" ref="AI8:AI10" si="10">+AE8+AG8</f>
        <v>0</v>
      </c>
      <c r="AJ8" s="954">
        <v>0</v>
      </c>
      <c r="AK8" s="88">
        <v>0</v>
      </c>
      <c r="AL8" s="716">
        <f t="shared" ref="AL8" si="11">+AJ8+AF8+AB8</f>
        <v>0</v>
      </c>
      <c r="AM8" s="1606">
        <f>+AC8+AG8+AK8</f>
        <v>0</v>
      </c>
      <c r="AN8" s="2052">
        <f t="shared" ref="AN8:AO10" si="12">+AH8+AJ8</f>
        <v>0</v>
      </c>
      <c r="AO8" s="2336">
        <f t="shared" si="12"/>
        <v>0</v>
      </c>
      <c r="AP8" s="954">
        <v>0</v>
      </c>
      <c r="AQ8" s="88">
        <v>0</v>
      </c>
      <c r="AR8" s="2052">
        <f t="shared" ref="AR8:AR10" si="13">+AN8+AP8</f>
        <v>0</v>
      </c>
      <c r="AS8" s="2336">
        <f t="shared" ref="AS8:AS10" si="14">+AO8+AQ8</f>
        <v>0</v>
      </c>
      <c r="AT8" s="954">
        <v>0</v>
      </c>
      <c r="AU8" s="88">
        <v>0</v>
      </c>
      <c r="AV8" s="2052">
        <f t="shared" ref="AV8:AV10" si="15">+AR8+AT8</f>
        <v>0</v>
      </c>
      <c r="AW8" s="2336">
        <f t="shared" ref="AW8:AW10" si="16">+AS8+AU8</f>
        <v>0</v>
      </c>
      <c r="AX8" s="954">
        <v>0</v>
      </c>
      <c r="AY8" s="88">
        <v>0</v>
      </c>
      <c r="AZ8" s="716">
        <f t="shared" ref="AZ8" si="17">+AX8+AT8+AP8</f>
        <v>0</v>
      </c>
      <c r="BA8" s="1606">
        <f>+AQ8+AU8+AY8</f>
        <v>0</v>
      </c>
      <c r="BB8" s="714">
        <f>+AL8+AZ8</f>
        <v>0</v>
      </c>
      <c r="BC8" s="714">
        <f>+AM8+BA8</f>
        <v>0</v>
      </c>
      <c r="BD8" s="2052">
        <f t="shared" ref="BD8:BD10" si="18">+AV8+AX8</f>
        <v>0</v>
      </c>
      <c r="BE8" s="2336">
        <f t="shared" ref="BE8:BE10" si="19">+AW8+AY8</f>
        <v>0</v>
      </c>
      <c r="BF8" s="26"/>
      <c r="BG8" s="26"/>
      <c r="BH8" s="26"/>
      <c r="BI8" s="26"/>
      <c r="BJ8" s="26"/>
    </row>
    <row r="9" spans="1:62" thickBot="1" x14ac:dyDescent="0.35">
      <c r="B9" s="2891" t="s">
        <v>373</v>
      </c>
      <c r="C9" s="13" t="s">
        <v>393</v>
      </c>
      <c r="D9" s="155">
        <f>D13*D3*24</f>
        <v>3600</v>
      </c>
      <c r="E9" s="18">
        <f>+'POWER DISTRIBUTION'!J9/1000</f>
        <v>2652.6023679999998</v>
      </c>
      <c r="F9" s="155">
        <f>F13*F3*24</f>
        <v>3720</v>
      </c>
      <c r="G9" s="18">
        <f>+'POWER DISTRIBUTION'!L9/1000</f>
        <v>3582.8009999999999</v>
      </c>
      <c r="H9" s="2648">
        <f t="shared" si="0"/>
        <v>7320</v>
      </c>
      <c r="I9" s="39">
        <f t="shared" si="0"/>
        <v>6235.4033679999993</v>
      </c>
      <c r="J9" s="155">
        <f>J13*J3*24</f>
        <v>3600</v>
      </c>
      <c r="K9" s="18">
        <f>+'POWER DISTRIBUTION'!P9/1000</f>
        <v>3381.2</v>
      </c>
      <c r="L9" s="72">
        <f>D9+F9+J9</f>
        <v>10920</v>
      </c>
      <c r="M9" s="72">
        <f>E9+G9+K9</f>
        <v>9616.603368</v>
      </c>
      <c r="N9" s="155">
        <f>N13*N3*24</f>
        <v>3720</v>
      </c>
      <c r="O9" s="18">
        <f>+'POWER DISTRIBUTION'!T9/1000</f>
        <v>2712.598528</v>
      </c>
      <c r="P9" s="437">
        <f t="shared" si="2"/>
        <v>14640</v>
      </c>
      <c r="Q9" s="782">
        <f t="shared" si="2"/>
        <v>12329.201896</v>
      </c>
      <c r="R9" s="155">
        <f>R13*R3*24</f>
        <v>3720</v>
      </c>
      <c r="S9" s="18">
        <f>+'POWER DISTRIBUTION'!X9/1000</f>
        <v>3125.7049999999999</v>
      </c>
      <c r="T9" s="437">
        <f t="shared" si="3"/>
        <v>18360</v>
      </c>
      <c r="U9" s="782">
        <f t="shared" si="4"/>
        <v>15454.906896</v>
      </c>
      <c r="V9" s="155">
        <f>V13*V3*24</f>
        <v>3600</v>
      </c>
      <c r="W9" s="18">
        <f>+'POWER DISTRIBUTION'!AB9/1000</f>
        <v>3614.598</v>
      </c>
      <c r="X9" s="72">
        <f>+N9+R9+V9</f>
        <v>11040</v>
      </c>
      <c r="Y9" s="529">
        <f>+O9+S9+W9</f>
        <v>9452.9015280000003</v>
      </c>
      <c r="Z9" s="640">
        <f>L9+X9</f>
        <v>21960</v>
      </c>
      <c r="AA9" s="454">
        <f>M9+Y9</f>
        <v>19069.504895999999</v>
      </c>
      <c r="AB9" s="155">
        <f>AB13*AB3*24</f>
        <v>3720</v>
      </c>
      <c r="AC9" s="18">
        <f>+'POWER DISTRIBUTION'!AH9/1000</f>
        <v>3311.7</v>
      </c>
      <c r="AD9" s="437">
        <f t="shared" si="7"/>
        <v>25680</v>
      </c>
      <c r="AE9" s="782">
        <f t="shared" si="8"/>
        <v>22381.204895999999</v>
      </c>
      <c r="AF9" s="155">
        <f>AF13*AF3*24</f>
        <v>3600</v>
      </c>
      <c r="AG9" s="18">
        <f>+'POWER DISTRIBUTION'!AL9/1000</f>
        <v>2611.0003199999996</v>
      </c>
      <c r="AH9" s="437">
        <f t="shared" si="9"/>
        <v>29280</v>
      </c>
      <c r="AI9" s="782">
        <f t="shared" si="10"/>
        <v>24992.205215999998</v>
      </c>
      <c r="AJ9" s="155">
        <f>AJ13*AJ3*24</f>
        <v>3720</v>
      </c>
      <c r="AK9" s="18">
        <f>+'POWER DISTRIBUTION'!AP9/1000</f>
        <v>2794.1019999999999</v>
      </c>
      <c r="AL9" s="72">
        <f>+AB9+AF9+AJ9</f>
        <v>11040</v>
      </c>
      <c r="AM9" s="529">
        <f>+AC9+AG9+AK9</f>
        <v>8716.8023199999989</v>
      </c>
      <c r="AN9" s="437">
        <f t="shared" si="12"/>
        <v>33000</v>
      </c>
      <c r="AO9" s="782">
        <f t="shared" si="12"/>
        <v>27786.307215999997</v>
      </c>
      <c r="AP9" s="155">
        <f>AP13*AP3*24</f>
        <v>3720</v>
      </c>
      <c r="AQ9" s="18">
        <f>+'POWER DISTRIBUTION'!AV9/1000</f>
        <v>2852.299</v>
      </c>
      <c r="AR9" s="437">
        <f t="shared" si="13"/>
        <v>36720</v>
      </c>
      <c r="AS9" s="782">
        <f t="shared" si="14"/>
        <v>30638.606215999996</v>
      </c>
      <c r="AT9" s="155">
        <f>AT13*AT3*24</f>
        <v>3360</v>
      </c>
      <c r="AU9" s="18">
        <f>+'POWER DISTRIBUTION'!AZ9/1000</f>
        <v>2358.998</v>
      </c>
      <c r="AV9" s="437">
        <f t="shared" si="15"/>
        <v>40080</v>
      </c>
      <c r="AW9" s="782">
        <f t="shared" si="16"/>
        <v>32997.604216</v>
      </c>
      <c r="AX9" s="155">
        <f>AX13*AX3*24</f>
        <v>3720</v>
      </c>
      <c r="AY9" s="18">
        <f>+'POWER DISTRIBUTION'!BD9/1000</f>
        <v>2285.9969999999998</v>
      </c>
      <c r="AZ9" s="72">
        <f>+AP9+AT9+AX9</f>
        <v>10800</v>
      </c>
      <c r="BA9" s="529">
        <f>+AQ9+AU9+AY9</f>
        <v>7497.2939999999999</v>
      </c>
      <c r="BB9" s="714">
        <f t="shared" ref="BB9:BB10" si="20">+AL9+AZ9</f>
        <v>21840</v>
      </c>
      <c r="BC9" s="714">
        <f t="shared" ref="BC9:BC10" si="21">+AM9+BA9</f>
        <v>16214.096319999999</v>
      </c>
      <c r="BD9" s="437">
        <f t="shared" si="18"/>
        <v>43800</v>
      </c>
      <c r="BE9" s="782">
        <f t="shared" si="19"/>
        <v>35283.601216000003</v>
      </c>
      <c r="BF9" s="26"/>
      <c r="BG9" s="26"/>
      <c r="BH9" s="26"/>
      <c r="BI9" s="26"/>
      <c r="BJ9" s="26"/>
    </row>
    <row r="10" spans="1:62" ht="15.75" customHeight="1" thickBot="1" x14ac:dyDescent="0.35">
      <c r="B10" s="2892" t="s">
        <v>609</v>
      </c>
      <c r="C10" s="730" t="s">
        <v>393</v>
      </c>
      <c r="D10" s="1759"/>
      <c r="E10" s="38"/>
      <c r="F10" s="1759"/>
      <c r="G10" s="38"/>
      <c r="H10" s="589">
        <f t="shared" si="0"/>
        <v>0</v>
      </c>
      <c r="I10" s="44">
        <f t="shared" si="0"/>
        <v>0</v>
      </c>
      <c r="J10" s="1759"/>
      <c r="K10" s="38"/>
      <c r="L10" s="1541">
        <f>D10+F10+J10</f>
        <v>0</v>
      </c>
      <c r="M10" s="1541">
        <f>E10+G10+K10</f>
        <v>0</v>
      </c>
      <c r="N10" s="1759"/>
      <c r="O10" s="38"/>
      <c r="P10" s="721">
        <f t="shared" si="2"/>
        <v>0</v>
      </c>
      <c r="Q10" s="589">
        <f t="shared" si="2"/>
        <v>0</v>
      </c>
      <c r="R10" s="1759"/>
      <c r="S10" s="38"/>
      <c r="T10" s="721">
        <f t="shared" si="3"/>
        <v>0</v>
      </c>
      <c r="U10" s="589">
        <f t="shared" si="4"/>
        <v>0</v>
      </c>
      <c r="V10" s="1759"/>
      <c r="W10" s="38"/>
      <c r="X10" s="1541">
        <f>+N10+R10+V10</f>
        <v>0</v>
      </c>
      <c r="Y10" s="2339">
        <f>+O10+S10+W10</f>
        <v>0</v>
      </c>
      <c r="Z10" s="723">
        <f>L10+X10</f>
        <v>0</v>
      </c>
      <c r="AA10" s="459">
        <f>M10+Y10</f>
        <v>0</v>
      </c>
      <c r="AB10" s="1759"/>
      <c r="AC10" s="38">
        <v>2012.558</v>
      </c>
      <c r="AD10" s="721">
        <f t="shared" si="7"/>
        <v>0</v>
      </c>
      <c r="AE10" s="589">
        <f t="shared" si="8"/>
        <v>2012.558</v>
      </c>
      <c r="AF10" s="1759"/>
      <c r="AG10" s="38">
        <v>1760.4960000000001</v>
      </c>
      <c r="AH10" s="721">
        <f t="shared" si="9"/>
        <v>0</v>
      </c>
      <c r="AI10" s="589">
        <f t="shared" si="10"/>
        <v>3773.0540000000001</v>
      </c>
      <c r="AJ10" s="1759"/>
      <c r="AK10" s="38">
        <v>1839.825</v>
      </c>
      <c r="AL10" s="1541">
        <f>+AB10+AF10+AJ10</f>
        <v>0</v>
      </c>
      <c r="AM10" s="2339">
        <f>+AC10+AG10+AK10</f>
        <v>5612.8789999999999</v>
      </c>
      <c r="AN10" s="721">
        <f t="shared" si="12"/>
        <v>0</v>
      </c>
      <c r="AO10" s="589">
        <f t="shared" si="12"/>
        <v>5612.8789999999999</v>
      </c>
      <c r="AP10" s="1759"/>
      <c r="AQ10" s="38">
        <v>1834.53</v>
      </c>
      <c r="AR10" s="721">
        <f t="shared" si="13"/>
        <v>0</v>
      </c>
      <c r="AS10" s="589">
        <f t="shared" si="14"/>
        <v>7447.4089999999997</v>
      </c>
      <c r="AT10" s="1759"/>
      <c r="AU10" s="38">
        <v>1690.896</v>
      </c>
      <c r="AV10" s="721">
        <f t="shared" si="15"/>
        <v>0</v>
      </c>
      <c r="AW10" s="589">
        <f t="shared" si="16"/>
        <v>9138.3050000000003</v>
      </c>
      <c r="AX10" s="1759"/>
      <c r="AY10" s="38">
        <v>2385.5500000000002</v>
      </c>
      <c r="AZ10" s="1541">
        <f>+AP10+AT10+AX10</f>
        <v>0</v>
      </c>
      <c r="BA10" s="2339">
        <f>+AQ10+AU10+AY10</f>
        <v>5910.9760000000006</v>
      </c>
      <c r="BB10" s="714">
        <f t="shared" si="20"/>
        <v>0</v>
      </c>
      <c r="BC10" s="714">
        <f t="shared" si="21"/>
        <v>11523.855</v>
      </c>
      <c r="BD10" s="721">
        <f t="shared" si="18"/>
        <v>0</v>
      </c>
      <c r="BE10" s="589">
        <f t="shared" si="19"/>
        <v>11523.855</v>
      </c>
      <c r="BF10" s="26"/>
      <c r="BG10" s="26"/>
      <c r="BH10" s="26"/>
      <c r="BI10" s="26"/>
      <c r="BJ10" s="26"/>
    </row>
    <row r="11" spans="1:62" ht="15" customHeight="1" thickBot="1" x14ac:dyDescent="0.35">
      <c r="B11" s="2340" t="s">
        <v>455</v>
      </c>
      <c r="C11" s="2341" t="s">
        <v>393</v>
      </c>
      <c r="D11" s="1400">
        <f t="shared" ref="D11:I11" si="22">SUM(D8:D10)</f>
        <v>3600</v>
      </c>
      <c r="E11" s="577">
        <f t="shared" si="22"/>
        <v>2652.6023679999998</v>
      </c>
      <c r="F11" s="1400">
        <f t="shared" ref="F11:G11" si="23">SUM(F8:F10)</f>
        <v>3720</v>
      </c>
      <c r="G11" s="577">
        <f t="shared" si="23"/>
        <v>3582.8009999999999</v>
      </c>
      <c r="H11" s="2342">
        <f t="shared" si="22"/>
        <v>7320</v>
      </c>
      <c r="I11" s="576">
        <f t="shared" si="22"/>
        <v>6235.4033679999993</v>
      </c>
      <c r="J11" s="1400">
        <f t="shared" ref="J11:K11" si="24">SUM(J8:J10)</f>
        <v>3600</v>
      </c>
      <c r="K11" s="577">
        <f t="shared" si="24"/>
        <v>3381.2</v>
      </c>
      <c r="L11" s="1584">
        <f t="shared" ref="L11:Q11" si="25">SUM(L8:L10)</f>
        <v>10920</v>
      </c>
      <c r="M11" s="2343">
        <f t="shared" si="25"/>
        <v>9616.603368</v>
      </c>
      <c r="N11" s="1400">
        <f t="shared" si="25"/>
        <v>3720</v>
      </c>
      <c r="O11" s="577">
        <f t="shared" si="25"/>
        <v>2712.598528</v>
      </c>
      <c r="P11" s="886">
        <f t="shared" si="25"/>
        <v>14640</v>
      </c>
      <c r="Q11" s="576">
        <f t="shared" si="25"/>
        <v>12329.201896</v>
      </c>
      <c r="R11" s="1400">
        <f t="shared" ref="R11:S11" si="26">SUM(R8:R10)</f>
        <v>3720</v>
      </c>
      <c r="S11" s="577">
        <f t="shared" si="26"/>
        <v>3125.7049999999999</v>
      </c>
      <c r="T11" s="886">
        <f t="shared" ref="T11:W11" si="27">SUM(T8:T10)</f>
        <v>18360</v>
      </c>
      <c r="U11" s="576">
        <f t="shared" si="27"/>
        <v>15454.906896</v>
      </c>
      <c r="V11" s="1400">
        <f t="shared" si="27"/>
        <v>3600</v>
      </c>
      <c r="W11" s="577">
        <f t="shared" si="27"/>
        <v>3614.598</v>
      </c>
      <c r="X11" s="1584">
        <f t="shared" ref="X11:Y11" si="28">SUM(X8:X10)</f>
        <v>11040</v>
      </c>
      <c r="Y11" s="2343">
        <f t="shared" si="28"/>
        <v>9452.9015280000003</v>
      </c>
      <c r="Z11" s="2344">
        <f t="shared" ref="Z11:AE11" si="29">SUM(Z8:Z10)</f>
        <v>21960</v>
      </c>
      <c r="AA11" s="2345">
        <f t="shared" si="29"/>
        <v>19069.504895999999</v>
      </c>
      <c r="AB11" s="1400">
        <f t="shared" si="29"/>
        <v>3720</v>
      </c>
      <c r="AC11" s="577">
        <f t="shared" si="29"/>
        <v>5324.2579999999998</v>
      </c>
      <c r="AD11" s="886">
        <f t="shared" si="29"/>
        <v>25680</v>
      </c>
      <c r="AE11" s="576">
        <f t="shared" si="29"/>
        <v>24393.762896</v>
      </c>
      <c r="AF11" s="1400">
        <f t="shared" ref="AF11:AI11" si="30">SUM(AF8:AF10)</f>
        <v>3600</v>
      </c>
      <c r="AG11" s="577">
        <f t="shared" si="30"/>
        <v>4371.4963200000002</v>
      </c>
      <c r="AH11" s="886">
        <f t="shared" si="30"/>
        <v>29280</v>
      </c>
      <c r="AI11" s="576">
        <f t="shared" si="30"/>
        <v>28765.259215999999</v>
      </c>
      <c r="AJ11" s="1400">
        <f t="shared" ref="AJ11:AK11" si="31">SUM(AJ8:AJ10)</f>
        <v>3720</v>
      </c>
      <c r="AK11" s="577">
        <f t="shared" si="31"/>
        <v>4633.9269999999997</v>
      </c>
      <c r="AL11" s="1584">
        <f t="shared" ref="AL11:AS11" si="32">SUM(AL8:AL10)</f>
        <v>11040</v>
      </c>
      <c r="AM11" s="2343">
        <f t="shared" si="32"/>
        <v>14329.68132</v>
      </c>
      <c r="AN11" s="886">
        <f t="shared" si="32"/>
        <v>33000</v>
      </c>
      <c r="AO11" s="576">
        <f t="shared" si="32"/>
        <v>33399.186215999995</v>
      </c>
      <c r="AP11" s="1400">
        <f t="shared" si="32"/>
        <v>3720</v>
      </c>
      <c r="AQ11" s="577">
        <f t="shared" si="32"/>
        <v>4686.8289999999997</v>
      </c>
      <c r="AR11" s="886">
        <f t="shared" si="32"/>
        <v>36720</v>
      </c>
      <c r="AS11" s="576">
        <f t="shared" si="32"/>
        <v>38086.015216</v>
      </c>
      <c r="AT11" s="1400">
        <f t="shared" ref="AT11:AW11" si="33">SUM(AT8:AT10)</f>
        <v>3360</v>
      </c>
      <c r="AU11" s="577">
        <f t="shared" si="33"/>
        <v>4049.8940000000002</v>
      </c>
      <c r="AV11" s="886">
        <f t="shared" si="33"/>
        <v>40080</v>
      </c>
      <c r="AW11" s="576">
        <f t="shared" si="33"/>
        <v>42135.909216</v>
      </c>
      <c r="AX11" s="1400">
        <f t="shared" ref="AX11:AY11" si="34">SUM(AX8:AX10)</f>
        <v>3720</v>
      </c>
      <c r="AY11" s="577">
        <f t="shared" si="34"/>
        <v>4671.5470000000005</v>
      </c>
      <c r="AZ11" s="1584">
        <f t="shared" ref="AZ11:BE11" si="35">SUM(AZ8:AZ10)</f>
        <v>10800</v>
      </c>
      <c r="BA11" s="2343">
        <f t="shared" si="35"/>
        <v>13408.27</v>
      </c>
      <c r="BB11" s="2344">
        <f t="shared" si="35"/>
        <v>21840</v>
      </c>
      <c r="BC11" s="2345">
        <f t="shared" si="35"/>
        <v>27737.95132</v>
      </c>
      <c r="BD11" s="886">
        <f t="shared" si="35"/>
        <v>43800</v>
      </c>
      <c r="BE11" s="576">
        <f t="shared" si="35"/>
        <v>46807.456216000006</v>
      </c>
      <c r="BF11" s="26"/>
      <c r="BG11" s="26"/>
      <c r="BH11" s="26"/>
      <c r="BI11" s="26"/>
      <c r="BJ11" s="26"/>
    </row>
    <row r="12" spans="1:62" ht="12.75" customHeight="1" thickBot="1" x14ac:dyDescent="0.35">
      <c r="B12" s="2350" t="s">
        <v>458</v>
      </c>
      <c r="C12" s="1993" t="s">
        <v>381</v>
      </c>
      <c r="D12" s="1813">
        <v>0</v>
      </c>
      <c r="E12" s="2351">
        <f>+E8/(E3*24)</f>
        <v>0</v>
      </c>
      <c r="F12" s="1813">
        <v>0</v>
      </c>
      <c r="G12" s="2351">
        <f>+G8/(G3*24)</f>
        <v>0</v>
      </c>
      <c r="H12" s="2352">
        <v>0</v>
      </c>
      <c r="I12" s="1816">
        <f>+I8/(I3*24)</f>
        <v>0</v>
      </c>
      <c r="J12" s="1813">
        <v>0</v>
      </c>
      <c r="K12" s="2351">
        <f>+K8/(K3*24)</f>
        <v>0</v>
      </c>
      <c r="L12" s="2346">
        <v>0</v>
      </c>
      <c r="M12" s="2004">
        <f>+M8/(M3*24)</f>
        <v>0</v>
      </c>
      <c r="N12" s="1813"/>
      <c r="O12" s="2351">
        <f>+O8/(O3*24)</f>
        <v>0</v>
      </c>
      <c r="P12" s="2352">
        <v>0</v>
      </c>
      <c r="Q12" s="2353">
        <f>+Q8/(Q3*24)</f>
        <v>0</v>
      </c>
      <c r="R12" s="1813"/>
      <c r="S12" s="2351">
        <f>+S8/(S3*24)</f>
        <v>0</v>
      </c>
      <c r="T12" s="2352">
        <v>0</v>
      </c>
      <c r="U12" s="2353">
        <f>+U8/(U3*24)</f>
        <v>0</v>
      </c>
      <c r="V12" s="1813"/>
      <c r="W12" s="2351">
        <f>+W8/(W3*24)</f>
        <v>0</v>
      </c>
      <c r="X12" s="2346">
        <v>0</v>
      </c>
      <c r="Y12" s="2004">
        <f>+Y8/(Y3*24)</f>
        <v>0</v>
      </c>
      <c r="Z12" s="2354">
        <v>0</v>
      </c>
      <c r="AA12" s="2355">
        <f>+AA8/(AA3*24)</f>
        <v>0</v>
      </c>
      <c r="AB12" s="1813"/>
      <c r="AC12" s="2351">
        <f>+AC8/(AC3*24)</f>
        <v>0</v>
      </c>
      <c r="AD12" s="2352">
        <v>0</v>
      </c>
      <c r="AE12" s="2353">
        <f>+AE8/(AE3*24)</f>
        <v>0</v>
      </c>
      <c r="AF12" s="1813"/>
      <c r="AG12" s="2351">
        <f>+AG8/(AG3*24)</f>
        <v>0</v>
      </c>
      <c r="AH12" s="2352">
        <v>0</v>
      </c>
      <c r="AI12" s="2353">
        <f>+AI8/(AI3*24)</f>
        <v>0</v>
      </c>
      <c r="AJ12" s="1813"/>
      <c r="AK12" s="2351">
        <f>+AK8/(AK3*24)</f>
        <v>0</v>
      </c>
      <c r="AL12" s="2346">
        <v>0</v>
      </c>
      <c r="AM12" s="2004">
        <f>+AM8/(AM3*24)</f>
        <v>0</v>
      </c>
      <c r="AN12" s="2352">
        <v>0</v>
      </c>
      <c r="AO12" s="2353">
        <f>+AO8/(AO3*24)</f>
        <v>0</v>
      </c>
      <c r="AP12" s="1813"/>
      <c r="AQ12" s="2351">
        <f>+AQ8/(AQ3*24)</f>
        <v>0</v>
      </c>
      <c r="AR12" s="2352">
        <v>0</v>
      </c>
      <c r="AS12" s="2353">
        <f>+AS8/(AS3*24)</f>
        <v>0</v>
      </c>
      <c r="AT12" s="1813"/>
      <c r="AU12" s="2351">
        <f>+AU8/(AU3*24)</f>
        <v>0</v>
      </c>
      <c r="AV12" s="2352">
        <v>0</v>
      </c>
      <c r="AW12" s="2353">
        <f>+AW8/(AW3*24)</f>
        <v>0</v>
      </c>
      <c r="AX12" s="1813"/>
      <c r="AY12" s="2351">
        <f>+AY8/(AY3*24)</f>
        <v>0</v>
      </c>
      <c r="AZ12" s="2346">
        <v>0</v>
      </c>
      <c r="BA12" s="2004">
        <f>+BA8/(BA3*24)</f>
        <v>0</v>
      </c>
      <c r="BB12" s="2354">
        <v>0</v>
      </c>
      <c r="BC12" s="2355">
        <f>+BC8/(BC3*24)</f>
        <v>0</v>
      </c>
      <c r="BD12" s="2352">
        <v>0</v>
      </c>
      <c r="BE12" s="2353">
        <f>+BE8/(BE3*24)</f>
        <v>0</v>
      </c>
      <c r="BF12" s="26"/>
      <c r="BG12" s="26"/>
      <c r="BH12" s="26"/>
      <c r="BI12" s="26"/>
      <c r="BJ12" s="26"/>
    </row>
    <row r="13" spans="1:62" ht="14.45" x14ac:dyDescent="0.3">
      <c r="B13" s="2349" t="s">
        <v>638</v>
      </c>
      <c r="C13" s="792" t="s">
        <v>381</v>
      </c>
      <c r="D13" s="1146">
        <v>5</v>
      </c>
      <c r="E13" s="103">
        <f>+E9/(E3*24)</f>
        <v>3.6841699555555554</v>
      </c>
      <c r="F13" s="1146">
        <v>5</v>
      </c>
      <c r="G13" s="103">
        <f>+G9/(G3*24)</f>
        <v>4.8155927419354834</v>
      </c>
      <c r="H13" s="348">
        <f>+((D13*D3)+(F13*F3))/H3</f>
        <v>5</v>
      </c>
      <c r="I13" s="98">
        <f>+I9/(I3*24)</f>
        <v>4.2591553060109284</v>
      </c>
      <c r="J13" s="1146">
        <v>5</v>
      </c>
      <c r="K13" s="103">
        <f>+K9/(K3*24)</f>
        <v>4.6961111111111107</v>
      </c>
      <c r="L13" s="452">
        <f>+((D13*D3)+(F13*F3)+(J13*J3))/L3</f>
        <v>5</v>
      </c>
      <c r="M13" s="90">
        <f>+M9/(M3*24)</f>
        <v>4.4032066703296699</v>
      </c>
      <c r="N13" s="1146">
        <v>5</v>
      </c>
      <c r="O13" s="103">
        <f>+O9/(O3*24)</f>
        <v>3.6459657634408602</v>
      </c>
      <c r="P13" s="348">
        <f>+((L13*L3)+(N13*N3))/P3</f>
        <v>5</v>
      </c>
      <c r="Q13" s="98">
        <f>+Q9/(Q3*24)</f>
        <v>4.2107929972677596</v>
      </c>
      <c r="R13" s="1146">
        <v>5</v>
      </c>
      <c r="S13" s="103">
        <f>+S9/(S3*24)</f>
        <v>4.2012163978494623</v>
      </c>
      <c r="T13" s="348">
        <f>+((P13*P3)+(R13*R3))/T3</f>
        <v>5</v>
      </c>
      <c r="U13" s="98">
        <f>+U9/(U3*24)</f>
        <v>4.2088526405228759</v>
      </c>
      <c r="V13" s="1146">
        <v>5</v>
      </c>
      <c r="W13" s="103">
        <f>+W9/(W3*24)</f>
        <v>5.0202749999999998</v>
      </c>
      <c r="X13" s="452">
        <f>+((N13*N3)+(R13*R3)+(V13*V3))/X3</f>
        <v>5</v>
      </c>
      <c r="Y13" s="90">
        <f>+Y9/(Y3*24)</f>
        <v>4.2812054021739128</v>
      </c>
      <c r="Z13" s="462">
        <f>+((L13*L3)+(X13*X3))/Z3</f>
        <v>5</v>
      </c>
      <c r="AA13" s="475">
        <f>+AA9/(AA3*24)</f>
        <v>4.3418726994535515</v>
      </c>
      <c r="AB13" s="1146">
        <v>5</v>
      </c>
      <c r="AC13" s="103">
        <f>+AC9/(AC3*24)</f>
        <v>4.4512096774193548</v>
      </c>
      <c r="AD13" s="348">
        <f>+((Z13*Z3)+(AB13*AB3))/AD3</f>
        <v>5</v>
      </c>
      <c r="AE13" s="98">
        <f>+AE9/(AE3*24)</f>
        <v>4.35771123364486</v>
      </c>
      <c r="AF13" s="1146">
        <v>5</v>
      </c>
      <c r="AG13" s="103">
        <f>+AG9/(AG3*24)</f>
        <v>3.626389333333333</v>
      </c>
      <c r="AH13" s="348">
        <f>+((AD13*AD3)+(AF13*AF3))/AH3</f>
        <v>5</v>
      </c>
      <c r="AI13" s="98">
        <f>+AI9/(AI3*24)</f>
        <v>4.2677946065573771</v>
      </c>
      <c r="AJ13" s="1146">
        <v>5</v>
      </c>
      <c r="AK13" s="103">
        <f>+AK9/(AK3*24)</f>
        <v>3.7555134408602147</v>
      </c>
      <c r="AL13" s="452">
        <f>+((AB13*AB3)+(AF13*AF3)+(AJ13*AJ3))/AL3</f>
        <v>5</v>
      </c>
      <c r="AM13" s="90">
        <f>+AM9/(AM3*24)</f>
        <v>3.9478271376811591</v>
      </c>
      <c r="AN13" s="348">
        <f>+((AH13*AH3)+(AJ13*AJ3))/AN3</f>
        <v>5</v>
      </c>
      <c r="AO13" s="98">
        <f>+AO9/(AO3*24)</f>
        <v>4.2100465478787878</v>
      </c>
      <c r="AP13" s="1146">
        <v>5</v>
      </c>
      <c r="AQ13" s="103">
        <f>+AQ9/(AQ3*24)</f>
        <v>3.8337352150537636</v>
      </c>
      <c r="AR13" s="348">
        <f>+((AN13*AN3)+(AP13*AP3))/AR3</f>
        <v>5</v>
      </c>
      <c r="AS13" s="98">
        <f>+AS9/(AS3*24)</f>
        <v>4.1719235043572978</v>
      </c>
      <c r="AT13" s="1146">
        <v>5</v>
      </c>
      <c r="AU13" s="103">
        <f>+AU9/(AU3*24)</f>
        <v>3.5104136904761907</v>
      </c>
      <c r="AV13" s="348">
        <f>+((AR13*AR3)+(AT13*AT3))/AV3</f>
        <v>5</v>
      </c>
      <c r="AW13" s="98">
        <f>+AW9/(AW3*24)</f>
        <v>4.1164675918163676</v>
      </c>
      <c r="AX13" s="1146">
        <v>5</v>
      </c>
      <c r="AY13" s="103">
        <f>+AY9/(AY3*24)</f>
        <v>3.0725766129032257</v>
      </c>
      <c r="AZ13" s="452">
        <f>+((AP13*AP3)+(AT13*AT3)+(AX13*AX3))/AZ3</f>
        <v>5</v>
      </c>
      <c r="BA13" s="90">
        <f>+BA9/(BA3*24)</f>
        <v>3.4709694444444446</v>
      </c>
      <c r="BB13" s="462">
        <f>+((AL13*AL3)+(AZ13*AZ3))/BB3</f>
        <v>5</v>
      </c>
      <c r="BC13" s="475">
        <f>+BC9/(BC3*24)</f>
        <v>3.7120183882783881</v>
      </c>
      <c r="BD13" s="348">
        <f>+((AV13*AV3)+(AX13*AX3))/BD3</f>
        <v>5</v>
      </c>
      <c r="BE13" s="98">
        <f>+BE9/(BE3*24)</f>
        <v>4.0278083579908683</v>
      </c>
      <c r="BF13" s="26"/>
      <c r="BG13" s="26"/>
      <c r="BH13" s="26"/>
      <c r="BI13" s="26"/>
      <c r="BJ13" s="26"/>
    </row>
    <row r="14" spans="1:62" ht="15.75" customHeight="1" thickBot="1" x14ac:dyDescent="0.35">
      <c r="B14" s="1446" t="s">
        <v>610</v>
      </c>
      <c r="C14" s="893" t="s">
        <v>381</v>
      </c>
      <c r="D14" s="234">
        <v>0</v>
      </c>
      <c r="E14" s="1451">
        <f>+E10/(E3*24)</f>
        <v>0</v>
      </c>
      <c r="F14" s="234">
        <v>0</v>
      </c>
      <c r="G14" s="1451">
        <f>+G10/(G3*24)</f>
        <v>0</v>
      </c>
      <c r="H14" s="593">
        <f>+H10/(H3*24)</f>
        <v>0</v>
      </c>
      <c r="I14" s="131">
        <f>+I10/(I3*24)</f>
        <v>0</v>
      </c>
      <c r="J14" s="234">
        <v>0</v>
      </c>
      <c r="K14" s="1451">
        <f>+K10/(K3*24)</f>
        <v>0</v>
      </c>
      <c r="L14" s="594">
        <f>+L10/(L3*24)</f>
        <v>0</v>
      </c>
      <c r="M14" s="171">
        <f>+M10/(M3*24)</f>
        <v>0</v>
      </c>
      <c r="N14" s="234">
        <v>0</v>
      </c>
      <c r="O14" s="1451">
        <f>+O10/(O3*24)</f>
        <v>0</v>
      </c>
      <c r="P14" s="593">
        <f>+P10/(P3*24)</f>
        <v>0</v>
      </c>
      <c r="Q14" s="131">
        <f>+Q10/(Q3*24)</f>
        <v>0</v>
      </c>
      <c r="R14" s="234">
        <v>0</v>
      </c>
      <c r="S14" s="1451">
        <f>+S10/(S3*24)</f>
        <v>0</v>
      </c>
      <c r="T14" s="593">
        <f>+T10/(T3*24)</f>
        <v>0</v>
      </c>
      <c r="U14" s="131">
        <f>+U10/(U3*24)</f>
        <v>0</v>
      </c>
      <c r="V14" s="234">
        <v>0</v>
      </c>
      <c r="W14" s="1451">
        <f>+W10/(W3*24)</f>
        <v>0</v>
      </c>
      <c r="X14" s="594">
        <f>+X10/(X3*24)</f>
        <v>0</v>
      </c>
      <c r="Y14" s="171">
        <f>+Y10/(Y3*24)</f>
        <v>0</v>
      </c>
      <c r="Z14" s="953">
        <f>+Z10/(Z3*24)</f>
        <v>0</v>
      </c>
      <c r="AA14" s="2347">
        <f>+AA10/(AA3*24)</f>
        <v>0</v>
      </c>
      <c r="AB14" s="234"/>
      <c r="AC14" s="1451">
        <f>+AC10/(AC3*24)</f>
        <v>2.7050510752688171</v>
      </c>
      <c r="AD14" s="593">
        <f>+AD10/(AD3*24)</f>
        <v>0</v>
      </c>
      <c r="AE14" s="131">
        <f>+AE10/(AE3*24)</f>
        <v>0.39185319314641742</v>
      </c>
      <c r="AF14" s="234"/>
      <c r="AG14" s="1451">
        <f>+AG10/(AG3*24)</f>
        <v>2.4451333333333336</v>
      </c>
      <c r="AH14" s="593">
        <f>+AH10/(AH3*24)</f>
        <v>0</v>
      </c>
      <c r="AI14" s="131">
        <f>+AI10/(AI3*24)</f>
        <v>0.6443056693989071</v>
      </c>
      <c r="AJ14" s="234"/>
      <c r="AK14" s="1451">
        <f>+AK10/(AK3*24)</f>
        <v>2.4728830645161293</v>
      </c>
      <c r="AL14" s="594">
        <f>+AL10/(AL3*24)</f>
        <v>0</v>
      </c>
      <c r="AM14" s="171">
        <f>+AM10/(AM3*24)</f>
        <v>2.5420647644927534</v>
      </c>
      <c r="AN14" s="593">
        <f>+AN10/(AN3*24)</f>
        <v>0</v>
      </c>
      <c r="AO14" s="131">
        <f>+AO10/(AO3*24)</f>
        <v>0.85043621212121212</v>
      </c>
      <c r="AP14" s="234">
        <v>0</v>
      </c>
      <c r="AQ14" s="1451">
        <f>+AQ10/(AQ3*24)</f>
        <v>2.4657661290322581</v>
      </c>
      <c r="AR14" s="593">
        <f>+AR10/(AR3*24)</f>
        <v>0</v>
      </c>
      <c r="AS14" s="131">
        <f>+AS10/(AS3*24)</f>
        <v>1.0140807461873638</v>
      </c>
      <c r="AT14" s="234"/>
      <c r="AU14" s="1451">
        <f>+AU10/(AU3*24)</f>
        <v>2.5162142857142857</v>
      </c>
      <c r="AV14" s="593">
        <f>+AV10/(AV3*24)</f>
        <v>0</v>
      </c>
      <c r="AW14" s="131">
        <f>+AW10/(AW3*24)</f>
        <v>1.1400081087824352</v>
      </c>
      <c r="AX14" s="234"/>
      <c r="AY14" s="1451">
        <f>+AY10/(AY3*24)</f>
        <v>3.2063844086021507</v>
      </c>
      <c r="AZ14" s="594">
        <f t="shared" ref="AZ14:BE14" si="36">+AZ10/(AZ3*24)</f>
        <v>0</v>
      </c>
      <c r="BA14" s="171">
        <f t="shared" si="36"/>
        <v>2.7365629629629633</v>
      </c>
      <c r="BB14" s="953">
        <f t="shared" si="36"/>
        <v>0</v>
      </c>
      <c r="BC14" s="2347">
        <f t="shared" si="36"/>
        <v>2.6382451923076924</v>
      </c>
      <c r="BD14" s="593">
        <f t="shared" si="36"/>
        <v>0</v>
      </c>
      <c r="BE14" s="131">
        <f t="shared" si="36"/>
        <v>1.3155085616438356</v>
      </c>
      <c r="BF14" s="26"/>
      <c r="BG14" s="26"/>
      <c r="BH14" s="26"/>
      <c r="BI14" s="26"/>
      <c r="BJ14" s="26"/>
    </row>
    <row r="15" spans="1:62" ht="16.149999999999999" thickBot="1" x14ac:dyDescent="0.35">
      <c r="B15" s="778" t="s">
        <v>383</v>
      </c>
      <c r="C15" s="36" t="s">
        <v>381</v>
      </c>
      <c r="D15" s="3226">
        <f t="shared" ref="D15:I15" si="37">SUM(D12:D14)</f>
        <v>5</v>
      </c>
      <c r="E15" s="3227">
        <f t="shared" si="37"/>
        <v>3.6841699555555554</v>
      </c>
      <c r="F15" s="3226">
        <f t="shared" ref="F15:G15" si="38">SUM(F12:F14)</f>
        <v>5</v>
      </c>
      <c r="G15" s="3227">
        <f t="shared" si="38"/>
        <v>4.8155927419354834</v>
      </c>
      <c r="H15" s="3228">
        <f t="shared" si="37"/>
        <v>5</v>
      </c>
      <c r="I15" s="3171">
        <f t="shared" si="37"/>
        <v>4.2591553060109284</v>
      </c>
      <c r="J15" s="3226">
        <f t="shared" ref="J15:K15" si="39">SUM(J12:J14)</f>
        <v>5</v>
      </c>
      <c r="K15" s="3227">
        <f t="shared" si="39"/>
        <v>4.6961111111111107</v>
      </c>
      <c r="L15" s="1534">
        <f t="shared" ref="L15:Q15" si="40">SUM(L12:L14)</f>
        <v>5</v>
      </c>
      <c r="M15" s="1535">
        <f t="shared" si="40"/>
        <v>4.4032066703296699</v>
      </c>
      <c r="N15" s="3226">
        <f t="shared" si="40"/>
        <v>5</v>
      </c>
      <c r="O15" s="3227">
        <f t="shared" si="40"/>
        <v>3.6459657634408602</v>
      </c>
      <c r="P15" s="1447">
        <f t="shared" si="40"/>
        <v>5</v>
      </c>
      <c r="Q15" s="1448">
        <f t="shared" si="40"/>
        <v>4.2107929972677596</v>
      </c>
      <c r="R15" s="3226">
        <f t="shared" ref="R15:S15" si="41">SUM(R12:R14)</f>
        <v>5</v>
      </c>
      <c r="S15" s="3227">
        <f t="shared" si="41"/>
        <v>4.2012163978494623</v>
      </c>
      <c r="T15" s="1447">
        <f t="shared" ref="T15:W15" si="42">SUM(T12:T14)</f>
        <v>5</v>
      </c>
      <c r="U15" s="1448">
        <f t="shared" si="42"/>
        <v>4.2088526405228759</v>
      </c>
      <c r="V15" s="3226">
        <f t="shared" si="42"/>
        <v>5</v>
      </c>
      <c r="W15" s="3227">
        <f t="shared" si="42"/>
        <v>5.0202749999999998</v>
      </c>
      <c r="X15" s="1534">
        <f t="shared" ref="X15:Y15" si="43">SUM(X12:X14)</f>
        <v>5</v>
      </c>
      <c r="Y15" s="1535">
        <f t="shared" si="43"/>
        <v>4.2812054021739128</v>
      </c>
      <c r="Z15" s="773">
        <f t="shared" ref="Z15:AE15" si="44">SUM(Z12:Z14)</f>
        <v>5</v>
      </c>
      <c r="AA15" s="2348">
        <f t="shared" si="44"/>
        <v>4.3418726994535515</v>
      </c>
      <c r="AB15" s="3226">
        <f t="shared" si="44"/>
        <v>5</v>
      </c>
      <c r="AC15" s="3227">
        <f t="shared" si="44"/>
        <v>7.1562607526881719</v>
      </c>
      <c r="AD15" s="1447">
        <f t="shared" si="44"/>
        <v>5</v>
      </c>
      <c r="AE15" s="1448">
        <f t="shared" si="44"/>
        <v>4.7495644267912773</v>
      </c>
      <c r="AF15" s="3226">
        <f t="shared" ref="AF15:AI15" si="45">SUM(AF12:AF14)</f>
        <v>5</v>
      </c>
      <c r="AG15" s="3227">
        <f t="shared" si="45"/>
        <v>6.0715226666666666</v>
      </c>
      <c r="AH15" s="1447">
        <f t="shared" si="45"/>
        <v>5</v>
      </c>
      <c r="AI15" s="1448">
        <f t="shared" si="45"/>
        <v>4.9121002759562842</v>
      </c>
      <c r="AJ15" s="3226">
        <f t="shared" ref="AJ15:AK15" si="46">SUM(AJ12:AJ14)</f>
        <v>5</v>
      </c>
      <c r="AK15" s="3227">
        <f t="shared" si="46"/>
        <v>6.2283965053763435</v>
      </c>
      <c r="AL15" s="1534">
        <f t="shared" ref="AL15:AS15" si="47">SUM(AL12:AL14)</f>
        <v>5</v>
      </c>
      <c r="AM15" s="1535">
        <f t="shared" si="47"/>
        <v>6.4898919021739125</v>
      </c>
      <c r="AN15" s="1447">
        <f t="shared" si="47"/>
        <v>5</v>
      </c>
      <c r="AO15" s="1448">
        <f t="shared" si="47"/>
        <v>5.0604827600000002</v>
      </c>
      <c r="AP15" s="3226">
        <f t="shared" si="47"/>
        <v>5</v>
      </c>
      <c r="AQ15" s="3227">
        <f t="shared" si="47"/>
        <v>6.2995013440860212</v>
      </c>
      <c r="AR15" s="1447">
        <f t="shared" si="47"/>
        <v>5</v>
      </c>
      <c r="AS15" s="1448">
        <f t="shared" si="47"/>
        <v>5.1860042505446611</v>
      </c>
      <c r="AT15" s="3226">
        <f t="shared" ref="AT15:AW15" si="48">SUM(AT12:AT14)</f>
        <v>5</v>
      </c>
      <c r="AU15" s="3227">
        <f t="shared" si="48"/>
        <v>6.0266279761904764</v>
      </c>
      <c r="AV15" s="1447">
        <f t="shared" si="48"/>
        <v>5</v>
      </c>
      <c r="AW15" s="1448">
        <f t="shared" si="48"/>
        <v>5.256475700598803</v>
      </c>
      <c r="AX15" s="3226">
        <f t="shared" ref="AX15:AY15" si="49">SUM(AX12:AX14)</f>
        <v>5</v>
      </c>
      <c r="AY15" s="3227">
        <f t="shared" si="49"/>
        <v>6.2789610215053759</v>
      </c>
      <c r="AZ15" s="1534">
        <f t="shared" ref="AZ15:BE15" si="50">SUM(AZ12:AZ14)</f>
        <v>5</v>
      </c>
      <c r="BA15" s="1535">
        <f t="shared" si="50"/>
        <v>6.2075324074074079</v>
      </c>
      <c r="BB15" s="773">
        <f t="shared" si="50"/>
        <v>5</v>
      </c>
      <c r="BC15" s="2348">
        <f t="shared" si="50"/>
        <v>6.3502635805860805</v>
      </c>
      <c r="BD15" s="1447">
        <f t="shared" si="50"/>
        <v>5</v>
      </c>
      <c r="BE15" s="1448">
        <f t="shared" si="50"/>
        <v>5.3433169196347041</v>
      </c>
      <c r="BF15" s="26"/>
      <c r="BG15" s="26"/>
      <c r="BH15" s="26"/>
      <c r="BI15" s="26"/>
      <c r="BJ15" s="26"/>
    </row>
    <row r="16" spans="1:62" ht="15.6" x14ac:dyDescent="0.3">
      <c r="A16" s="4090">
        <f>SUM(A18:A19)</f>
        <v>26</v>
      </c>
      <c r="B16" s="3172" t="s">
        <v>375</v>
      </c>
      <c r="C16" s="16" t="s">
        <v>66</v>
      </c>
      <c r="D16" s="954">
        <f>26*D3*24</f>
        <v>18720</v>
      </c>
      <c r="E16" s="29">
        <f>+E22</f>
        <v>18720</v>
      </c>
      <c r="F16" s="954">
        <f>26*F3*24</f>
        <v>19344</v>
      </c>
      <c r="G16" s="29">
        <f>+G22</f>
        <v>19344</v>
      </c>
      <c r="H16" s="951">
        <f>+D16+F16</f>
        <v>38064</v>
      </c>
      <c r="I16" s="62">
        <f>+E16+G16</f>
        <v>38064</v>
      </c>
      <c r="J16" s="954">
        <f>26*J3*24</f>
        <v>18720</v>
      </c>
      <c r="K16" s="29">
        <f>+K22</f>
        <v>18720</v>
      </c>
      <c r="L16" s="952">
        <f>D16+F16+J16</f>
        <v>56784</v>
      </c>
      <c r="M16" s="121">
        <f>E16+G16+K16</f>
        <v>56784</v>
      </c>
      <c r="N16" s="954">
        <f>26*N3*24</f>
        <v>19344</v>
      </c>
      <c r="O16" s="29">
        <f>+O22</f>
        <v>19344</v>
      </c>
      <c r="P16" s="951">
        <f>+L16+N16</f>
        <v>76128</v>
      </c>
      <c r="Q16" s="221">
        <f>+M16+O16</f>
        <v>76128</v>
      </c>
      <c r="R16" s="954">
        <f>26*R3*24</f>
        <v>19344</v>
      </c>
      <c r="S16" s="29">
        <f>+S22</f>
        <v>19344</v>
      </c>
      <c r="T16" s="951">
        <f>+P16+R16</f>
        <v>95472</v>
      </c>
      <c r="U16" s="221">
        <f>+Q16+S16</f>
        <v>95472</v>
      </c>
      <c r="V16" s="954">
        <f>26*V3*24</f>
        <v>18720</v>
      </c>
      <c r="W16" s="29">
        <f>+W22</f>
        <v>18720</v>
      </c>
      <c r="X16" s="952">
        <f>+N16+R16+V16</f>
        <v>57408</v>
      </c>
      <c r="Y16" s="121">
        <f>+O16+S16+W16</f>
        <v>57408</v>
      </c>
      <c r="Z16" s="640">
        <f>L16+X16</f>
        <v>114192</v>
      </c>
      <c r="AA16" s="655">
        <f>M16+Y16</f>
        <v>114192</v>
      </c>
      <c r="AB16" s="954">
        <f>26*AB3*24</f>
        <v>19344</v>
      </c>
      <c r="AC16" s="29">
        <f>+AC22</f>
        <v>19344</v>
      </c>
      <c r="AD16" s="951">
        <f>+Z16+AB16</f>
        <v>133536</v>
      </c>
      <c r="AE16" s="221">
        <f>+AA16+AC16</f>
        <v>133536</v>
      </c>
      <c r="AF16" s="954">
        <f>26*AF3*24</f>
        <v>18720</v>
      </c>
      <c r="AG16" s="29">
        <f>+AG22</f>
        <v>18720</v>
      </c>
      <c r="AH16" s="951">
        <f>+AD16+AF16</f>
        <v>152256</v>
      </c>
      <c r="AI16" s="221">
        <f>+AE16+AG16</f>
        <v>152256</v>
      </c>
      <c r="AJ16" s="954">
        <f>26*AJ3*24</f>
        <v>19344</v>
      </c>
      <c r="AK16" s="29">
        <f>+AK22</f>
        <v>19344</v>
      </c>
      <c r="AL16" s="952">
        <f>+AB16+AF16+AJ16</f>
        <v>57408</v>
      </c>
      <c r="AM16" s="121">
        <f>+AC16+AG16+AK16</f>
        <v>57408</v>
      </c>
      <c r="AN16" s="951">
        <f>+AH16+AJ16</f>
        <v>171600</v>
      </c>
      <c r="AO16" s="221">
        <f>+AI16+AK16</f>
        <v>171600</v>
      </c>
      <c r="AP16" s="954">
        <f>26*AP3*24</f>
        <v>19344</v>
      </c>
      <c r="AQ16" s="29">
        <f>+AQ22</f>
        <v>19344</v>
      </c>
      <c r="AR16" s="951">
        <f>+AN16+AP16</f>
        <v>190944</v>
      </c>
      <c r="AS16" s="221">
        <f>+AO16+AQ16</f>
        <v>190944</v>
      </c>
      <c r="AT16" s="954">
        <f>26*AT3*24</f>
        <v>17472</v>
      </c>
      <c r="AU16" s="29">
        <f>+AU22</f>
        <v>17472</v>
      </c>
      <c r="AV16" s="951">
        <f>+AR16+AT16</f>
        <v>208416</v>
      </c>
      <c r="AW16" s="221">
        <f>+AS16+AU16</f>
        <v>208416</v>
      </c>
      <c r="AX16" s="954">
        <f>26*AX3*24</f>
        <v>19344</v>
      </c>
      <c r="AY16" s="29">
        <f>+AY22</f>
        <v>19344</v>
      </c>
      <c r="AZ16" s="952">
        <f>+AP16+AT16+AX16</f>
        <v>56160</v>
      </c>
      <c r="BA16" s="121">
        <f>+AQ16+AU16+AY16</f>
        <v>56160</v>
      </c>
      <c r="BB16" s="714">
        <f>+AL16+AZ16</f>
        <v>113568</v>
      </c>
      <c r="BC16" s="714">
        <f>+AM16+BA16</f>
        <v>113568</v>
      </c>
      <c r="BD16" s="951">
        <f>+AV16+AX16</f>
        <v>227760</v>
      </c>
      <c r="BE16" s="221">
        <f>+AW16+AY16</f>
        <v>227760</v>
      </c>
      <c r="BF16" s="26"/>
      <c r="BG16" s="26"/>
      <c r="BH16" s="26"/>
      <c r="BI16" s="26"/>
      <c r="BJ16" s="26"/>
    </row>
    <row r="17" spans="1:62" ht="18" thickBot="1" x14ac:dyDescent="0.35">
      <c r="A17" s="150"/>
      <c r="B17" s="955" t="s">
        <v>376</v>
      </c>
      <c r="C17" s="506"/>
      <c r="D17" s="955"/>
      <c r="E17" s="677"/>
      <c r="F17" s="955"/>
      <c r="G17" s="677"/>
      <c r="H17" s="506"/>
      <c r="I17" s="677"/>
      <c r="J17" s="955"/>
      <c r="K17" s="677"/>
      <c r="L17" s="506"/>
      <c r="M17" s="506"/>
      <c r="N17" s="955"/>
      <c r="O17" s="677"/>
      <c r="P17" s="506"/>
      <c r="Q17" s="506"/>
      <c r="R17" s="955"/>
      <c r="S17" s="677"/>
      <c r="T17" s="506"/>
      <c r="U17" s="506"/>
      <c r="V17" s="955"/>
      <c r="W17" s="677"/>
      <c r="X17" s="506"/>
      <c r="Y17" s="506"/>
      <c r="Z17" s="506"/>
      <c r="AA17" s="506"/>
      <c r="AB17" s="955"/>
      <c r="AC17" s="677"/>
      <c r="AD17" s="506"/>
      <c r="AE17" s="506"/>
      <c r="AF17" s="955"/>
      <c r="AG17" s="677"/>
      <c r="AH17" s="506"/>
      <c r="AI17" s="506"/>
      <c r="AJ17" s="955"/>
      <c r="AK17" s="677"/>
      <c r="AL17" s="506"/>
      <c r="AM17" s="506"/>
      <c r="AN17" s="506"/>
      <c r="AO17" s="506"/>
      <c r="AP17" s="955"/>
      <c r="AQ17" s="677"/>
      <c r="AR17" s="506"/>
      <c r="AS17" s="506"/>
      <c r="AT17" s="955"/>
      <c r="AU17" s="677"/>
      <c r="AV17" s="506"/>
      <c r="AW17" s="506"/>
      <c r="AX17" s="955"/>
      <c r="AY17" s="677"/>
      <c r="AZ17" s="506"/>
      <c r="BA17" s="506"/>
      <c r="BB17" s="506"/>
      <c r="BC17" s="506"/>
      <c r="BD17" s="506"/>
      <c r="BE17" s="506"/>
      <c r="BF17" s="26"/>
      <c r="BG17" s="26"/>
      <c r="BH17" s="26"/>
      <c r="BI17" s="26"/>
      <c r="BJ17" s="26"/>
    </row>
    <row r="18" spans="1:62" thickBot="1" x14ac:dyDescent="0.35">
      <c r="A18" s="1543">
        <v>17.5</v>
      </c>
      <c r="B18" s="3173" t="s">
        <v>377</v>
      </c>
      <c r="C18" s="13" t="s">
        <v>66</v>
      </c>
      <c r="D18" s="2906">
        <f>$A$18*D3*24</f>
        <v>12600</v>
      </c>
      <c r="E18" s="254">
        <v>12545.5</v>
      </c>
      <c r="F18" s="2906">
        <f>$A$18*F3*24</f>
        <v>13020</v>
      </c>
      <c r="G18" s="254">
        <v>12957.4</v>
      </c>
      <c r="H18" s="718">
        <f>+D18+F18</f>
        <v>25620</v>
      </c>
      <c r="I18" s="62">
        <f>+E18+G18</f>
        <v>25502.9</v>
      </c>
      <c r="J18" s="2906">
        <f>$A$18*J3*24</f>
        <v>12600</v>
      </c>
      <c r="K18" s="254">
        <v>12576.7</v>
      </c>
      <c r="L18" s="72">
        <f>D18+F18+J18</f>
        <v>38220</v>
      </c>
      <c r="M18" s="72">
        <f>E18+G18+K18</f>
        <v>38079.600000000006</v>
      </c>
      <c r="N18" s="2906">
        <f>$A$18*N3*24</f>
        <v>13020</v>
      </c>
      <c r="O18" s="254">
        <v>12971.8</v>
      </c>
      <c r="P18" s="718">
        <f>+L18+N18</f>
        <v>51240</v>
      </c>
      <c r="Q18" s="221">
        <f>+M18+O18</f>
        <v>51051.400000000009</v>
      </c>
      <c r="R18" s="2906">
        <f>$A$18*R3*24</f>
        <v>13020</v>
      </c>
      <c r="S18" s="254">
        <v>12971.8</v>
      </c>
      <c r="T18" s="718">
        <f>+P18+R18</f>
        <v>64260</v>
      </c>
      <c r="U18" s="221">
        <f>+Q18+S18</f>
        <v>64023.200000000012</v>
      </c>
      <c r="V18" s="2906">
        <f>$A$18*V3*24</f>
        <v>12600</v>
      </c>
      <c r="W18" s="254">
        <v>12552.7</v>
      </c>
      <c r="X18" s="72">
        <f>+N18+R18+V18</f>
        <v>38640</v>
      </c>
      <c r="Y18" s="529">
        <f>+O18+S18+W18</f>
        <v>38496.300000000003</v>
      </c>
      <c r="Z18" s="465">
        <f>L18+X18</f>
        <v>76860</v>
      </c>
      <c r="AA18" s="465">
        <f>M18+Y18</f>
        <v>76575.900000000009</v>
      </c>
      <c r="AB18" s="2906">
        <f>$A$18*AB3*24</f>
        <v>13020</v>
      </c>
      <c r="AC18" s="254">
        <v>12945.4</v>
      </c>
      <c r="AD18" s="718">
        <f>+Z18+AB18</f>
        <v>89880</v>
      </c>
      <c r="AE18" s="221">
        <f>+AA18+AC18</f>
        <v>89521.3</v>
      </c>
      <c r="AF18" s="2906">
        <f>$A$18*AF3*24</f>
        <v>12600</v>
      </c>
      <c r="AG18" s="254">
        <v>12557.5</v>
      </c>
      <c r="AH18" s="718">
        <f>+AD18+AF18</f>
        <v>102480</v>
      </c>
      <c r="AI18" s="221">
        <f>+AE18+AG18</f>
        <v>102078.8</v>
      </c>
      <c r="AJ18" s="2906">
        <f>$A$18*AJ3*24</f>
        <v>13020</v>
      </c>
      <c r="AK18" s="254">
        <v>12945.4</v>
      </c>
      <c r="AL18" s="72">
        <f>+AB18+AF18+AJ18</f>
        <v>38640</v>
      </c>
      <c r="AM18" s="529">
        <f>+AC18+AG18+AK18</f>
        <v>38448.300000000003</v>
      </c>
      <c r="AN18" s="718">
        <f>+AH18+AJ18</f>
        <v>115500</v>
      </c>
      <c r="AO18" s="221">
        <f>+AI18+AK18</f>
        <v>115024.2</v>
      </c>
      <c r="AP18" s="2906">
        <f>$A$18*AP3*24</f>
        <v>13020</v>
      </c>
      <c r="AQ18" s="254">
        <v>12962.2</v>
      </c>
      <c r="AR18" s="718">
        <f>+AN18+AP18</f>
        <v>128520</v>
      </c>
      <c r="AS18" s="221">
        <f>+AO18+AQ18</f>
        <v>127986.4</v>
      </c>
      <c r="AT18" s="2906">
        <f>$A$18*AT3*24</f>
        <v>11760</v>
      </c>
      <c r="AU18" s="254">
        <v>11717</v>
      </c>
      <c r="AV18" s="718">
        <f>+AR18+AT18</f>
        <v>140280</v>
      </c>
      <c r="AW18" s="221">
        <f>+AS18+AU18</f>
        <v>139703.4</v>
      </c>
      <c r="AX18" s="2906">
        <f>$A$18*AX3*24</f>
        <v>13020</v>
      </c>
      <c r="AY18" s="254">
        <v>12969.4</v>
      </c>
      <c r="AZ18" s="72">
        <f>+AP18+AT18+AX18</f>
        <v>37800</v>
      </c>
      <c r="BA18" s="529">
        <f>+AQ18+AU18+AY18</f>
        <v>37648.6</v>
      </c>
      <c r="BB18" s="714">
        <f>+AL18+AZ18</f>
        <v>76440</v>
      </c>
      <c r="BC18" s="714">
        <f>+AM18+BA18</f>
        <v>76096.899999999994</v>
      </c>
      <c r="BD18" s="718">
        <f>+AV18+AX18</f>
        <v>153300</v>
      </c>
      <c r="BE18" s="221">
        <f>+AW18+AY18</f>
        <v>152672.79999999999</v>
      </c>
      <c r="BF18" s="26"/>
      <c r="BG18" s="26"/>
      <c r="BH18" s="26"/>
      <c r="BI18" s="26"/>
      <c r="BJ18" s="26"/>
    </row>
    <row r="19" spans="1:62" ht="15.75" thickBot="1" x14ac:dyDescent="0.3">
      <c r="A19" s="1683">
        <v>8.5</v>
      </c>
      <c r="B19" s="3173" t="s">
        <v>379</v>
      </c>
      <c r="C19" s="13" t="s">
        <v>66</v>
      </c>
      <c r="D19" s="6002">
        <f>$A$19*D3*24</f>
        <v>6120</v>
      </c>
      <c r="E19" s="181">
        <v>6146.4</v>
      </c>
      <c r="F19" s="6002">
        <f>$A$19*F3*24</f>
        <v>6324</v>
      </c>
      <c r="G19" s="181">
        <v>6357.6</v>
      </c>
      <c r="H19" s="5710">
        <f>+D19+F19</f>
        <v>12444</v>
      </c>
      <c r="I19" s="39">
        <f>+E19+G19</f>
        <v>12504</v>
      </c>
      <c r="J19" s="6002">
        <f>$A$19*J3*24</f>
        <v>6120</v>
      </c>
      <c r="K19" s="181">
        <v>6115.2</v>
      </c>
      <c r="L19" s="5728">
        <f>D19+F19+J19</f>
        <v>18564</v>
      </c>
      <c r="M19" s="72">
        <f t="shared" ref="M19:M20" si="51">E19+G19+K19</f>
        <v>18619.2</v>
      </c>
      <c r="N19" s="6002">
        <f>$A$19*N3*24</f>
        <v>6324</v>
      </c>
      <c r="O19" s="181">
        <v>6343.2</v>
      </c>
      <c r="P19" s="5710">
        <f>+L19+N19</f>
        <v>24888</v>
      </c>
      <c r="Q19" s="219">
        <f>+M19+O19</f>
        <v>24962.400000000001</v>
      </c>
      <c r="R19" s="6002">
        <f>$A$19*R3*24</f>
        <v>6324</v>
      </c>
      <c r="S19" s="181">
        <v>6343.2</v>
      </c>
      <c r="T19" s="5710">
        <f>+P19+R19</f>
        <v>31212</v>
      </c>
      <c r="U19" s="219">
        <f>+Q19+S19</f>
        <v>31305.600000000002</v>
      </c>
      <c r="V19" s="6002">
        <f>$A$19*V3*24</f>
        <v>6120</v>
      </c>
      <c r="W19" s="181">
        <v>6139.2</v>
      </c>
      <c r="X19" s="5728">
        <f>N19+R19+V19</f>
        <v>18768</v>
      </c>
      <c r="Y19" s="529">
        <f t="shared" ref="Y19:Y20" si="52">+O19+S19+W19</f>
        <v>18825.599999999999</v>
      </c>
      <c r="Z19" s="5727">
        <f>L19+X19</f>
        <v>37332</v>
      </c>
      <c r="AA19" s="465">
        <f t="shared" ref="Z19:AA21" si="53">M19+Y19</f>
        <v>37444.800000000003</v>
      </c>
      <c r="AB19" s="6002">
        <f>$A$19*AB3*24</f>
        <v>6324</v>
      </c>
      <c r="AC19" s="181">
        <v>6369.6</v>
      </c>
      <c r="AD19" s="5710">
        <f>+Z19+AB19</f>
        <v>43656</v>
      </c>
      <c r="AE19" s="219">
        <f>+AA19+AC19</f>
        <v>43814.400000000001</v>
      </c>
      <c r="AF19" s="6002">
        <f>$A$19*AF3*24</f>
        <v>6120</v>
      </c>
      <c r="AG19" s="181">
        <v>6134.4</v>
      </c>
      <c r="AH19" s="5710">
        <f>+AD19+AF19</f>
        <v>49776</v>
      </c>
      <c r="AI19" s="219">
        <f>+AE19+AG19</f>
        <v>49948.800000000003</v>
      </c>
      <c r="AJ19" s="6002">
        <f>$A$19*AJ3*24</f>
        <v>6324</v>
      </c>
      <c r="AK19" s="181">
        <v>6369.6</v>
      </c>
      <c r="AL19" s="5728">
        <f>AB19+AF19+AJ19</f>
        <v>18768</v>
      </c>
      <c r="AM19" s="529">
        <f t="shared" ref="AM19:AM20" si="54">+AC19+AG19+AK19</f>
        <v>18873.599999999999</v>
      </c>
      <c r="AN19" s="5710">
        <f>+AH19+AJ19</f>
        <v>56100</v>
      </c>
      <c r="AO19" s="219">
        <f>+AI19+AK19</f>
        <v>56318.400000000001</v>
      </c>
      <c r="AP19" s="6002">
        <f>$A$19*AP3*24</f>
        <v>6324</v>
      </c>
      <c r="AQ19" s="181">
        <v>6352.8</v>
      </c>
      <c r="AR19" s="5710">
        <f>+AN19+AP19</f>
        <v>62424</v>
      </c>
      <c r="AS19" s="219">
        <f>+AO19+AQ19</f>
        <v>62671.200000000004</v>
      </c>
      <c r="AT19" s="6002">
        <f>$A$19*AT3*24</f>
        <v>5712</v>
      </c>
      <c r="AU19" s="181">
        <v>5728.8</v>
      </c>
      <c r="AV19" s="5710">
        <f>+AR19+AT19</f>
        <v>68136</v>
      </c>
      <c r="AW19" s="219">
        <f>+AS19+AU19</f>
        <v>68400</v>
      </c>
      <c r="AX19" s="6002">
        <f>$A$19*AX3*24</f>
        <v>6324</v>
      </c>
      <c r="AY19" s="181">
        <v>6345.6</v>
      </c>
      <c r="AZ19" s="5728">
        <f>AP19+AT19+AX19</f>
        <v>18360</v>
      </c>
      <c r="BA19" s="529">
        <f t="shared" ref="BA19:BA20" si="55">+AQ19+AU19+AY19</f>
        <v>18427.2</v>
      </c>
      <c r="BB19" s="5727">
        <f>AL19+AZ19</f>
        <v>37128</v>
      </c>
      <c r="BC19" s="714">
        <f t="shared" ref="BC19:BC21" si="56">+AM19+BA19</f>
        <v>37300.800000000003</v>
      </c>
      <c r="BD19" s="5710">
        <f>+AV19+AX19</f>
        <v>74460</v>
      </c>
      <c r="BE19" s="219">
        <f>+AW19+AY19</f>
        <v>74745.600000000006</v>
      </c>
      <c r="BF19" s="26"/>
      <c r="BG19" s="26"/>
      <c r="BH19" s="26"/>
      <c r="BI19" s="26"/>
      <c r="BJ19" s="26"/>
    </row>
    <row r="20" spans="1:62" ht="15" customHeight="1" thickBot="1" x14ac:dyDescent="0.3">
      <c r="A20" s="1543">
        <v>0</v>
      </c>
      <c r="B20" s="3173" t="s">
        <v>380</v>
      </c>
      <c r="C20" s="13" t="s">
        <v>66</v>
      </c>
      <c r="D20" s="6001"/>
      <c r="E20" s="181">
        <v>0</v>
      </c>
      <c r="F20" s="6001"/>
      <c r="G20" s="181">
        <v>0</v>
      </c>
      <c r="H20" s="6228"/>
      <c r="I20" s="39">
        <f>+E20+G20</f>
        <v>0</v>
      </c>
      <c r="J20" s="6001"/>
      <c r="K20" s="181">
        <v>0</v>
      </c>
      <c r="L20" s="6234"/>
      <c r="M20" s="72">
        <f t="shared" si="51"/>
        <v>0</v>
      </c>
      <c r="N20" s="6001"/>
      <c r="O20" s="181">
        <v>0</v>
      </c>
      <c r="P20" s="6228"/>
      <c r="Q20" s="219">
        <f>+M20+O20</f>
        <v>0</v>
      </c>
      <c r="R20" s="6001"/>
      <c r="S20" s="181">
        <v>0</v>
      </c>
      <c r="T20" s="6228"/>
      <c r="U20" s="219">
        <f>+Q20+S20</f>
        <v>0</v>
      </c>
      <c r="V20" s="6001"/>
      <c r="W20" s="181">
        <v>0</v>
      </c>
      <c r="X20" s="6234">
        <f t="shared" ref="X20" si="57">+N20+R20+V20</f>
        <v>0</v>
      </c>
      <c r="Y20" s="529">
        <f t="shared" si="52"/>
        <v>0</v>
      </c>
      <c r="Z20" s="6239"/>
      <c r="AA20" s="465">
        <f t="shared" si="53"/>
        <v>0</v>
      </c>
      <c r="AB20" s="6001"/>
      <c r="AC20" s="181"/>
      <c r="AD20" s="6228"/>
      <c r="AE20" s="219">
        <f>+AA20+AC20</f>
        <v>0</v>
      </c>
      <c r="AF20" s="6001"/>
      <c r="AG20" s="181"/>
      <c r="AH20" s="6228"/>
      <c r="AI20" s="219">
        <f>+AE20+AG20</f>
        <v>0</v>
      </c>
      <c r="AJ20" s="6001"/>
      <c r="AK20" s="181"/>
      <c r="AL20" s="6234">
        <f t="shared" ref="AL20" si="58">+AB20+AF20+AJ20</f>
        <v>0</v>
      </c>
      <c r="AM20" s="529">
        <f t="shared" si="54"/>
        <v>0</v>
      </c>
      <c r="AN20" s="6228"/>
      <c r="AO20" s="219">
        <f>+AI20+AK20</f>
        <v>0</v>
      </c>
      <c r="AP20" s="6001"/>
      <c r="AQ20" s="181"/>
      <c r="AR20" s="6228"/>
      <c r="AS20" s="219">
        <f>+AO20+AQ20</f>
        <v>0</v>
      </c>
      <c r="AT20" s="6001"/>
      <c r="AU20" s="181"/>
      <c r="AV20" s="6228"/>
      <c r="AW20" s="219">
        <f>+AS20+AU20</f>
        <v>0</v>
      </c>
      <c r="AX20" s="6001"/>
      <c r="AY20" s="181"/>
      <c r="AZ20" s="6234">
        <f t="shared" ref="AZ20" si="59">+AP20+AT20+AX20</f>
        <v>0</v>
      </c>
      <c r="BA20" s="529">
        <f t="shared" si="55"/>
        <v>0</v>
      </c>
      <c r="BB20" s="6239"/>
      <c r="BC20" s="714">
        <f t="shared" si="56"/>
        <v>0</v>
      </c>
      <c r="BD20" s="6228"/>
      <c r="BE20" s="219">
        <f>+AW20+AY20</f>
        <v>0</v>
      </c>
      <c r="BF20" s="26"/>
      <c r="BG20" s="26"/>
      <c r="BH20" s="26"/>
      <c r="BI20" s="26"/>
      <c r="BJ20" s="26"/>
    </row>
    <row r="21" spans="1:62" thickBot="1" x14ac:dyDescent="0.35">
      <c r="B21" s="3174" t="s">
        <v>378</v>
      </c>
      <c r="C21" s="14" t="s">
        <v>66</v>
      </c>
      <c r="D21" s="950">
        <f>+$A$20</f>
        <v>0</v>
      </c>
      <c r="E21" s="371">
        <v>28.1</v>
      </c>
      <c r="F21" s="950">
        <f>+$A$20</f>
        <v>0</v>
      </c>
      <c r="G21" s="371">
        <v>29</v>
      </c>
      <c r="H21" s="956">
        <f>+D21+F21</f>
        <v>0</v>
      </c>
      <c r="I21" s="39">
        <f>+E21+G21</f>
        <v>57.1</v>
      </c>
      <c r="J21" s="950">
        <f>+$A$20</f>
        <v>0</v>
      </c>
      <c r="K21" s="371">
        <v>28.1</v>
      </c>
      <c r="L21" s="72">
        <f>D21+F21+J21</f>
        <v>0</v>
      </c>
      <c r="M21" s="72">
        <f>E21+G21+K21</f>
        <v>85.2</v>
      </c>
      <c r="N21" s="950">
        <f>+$A$20</f>
        <v>0</v>
      </c>
      <c r="O21" s="371">
        <v>29</v>
      </c>
      <c r="P21" s="956">
        <f>+L21+N21</f>
        <v>0</v>
      </c>
      <c r="Q21" s="219">
        <f>+M21+O21</f>
        <v>114.2</v>
      </c>
      <c r="R21" s="950">
        <f>+$A$20</f>
        <v>0</v>
      </c>
      <c r="S21" s="371">
        <v>29</v>
      </c>
      <c r="T21" s="956">
        <f>+P21+R21</f>
        <v>0</v>
      </c>
      <c r="U21" s="219">
        <f>+Q21+S21</f>
        <v>143.19999999999999</v>
      </c>
      <c r="V21" s="950">
        <f>+$A$20</f>
        <v>0</v>
      </c>
      <c r="W21" s="371">
        <v>28.1</v>
      </c>
      <c r="X21" s="72">
        <f>+N21+R21+V21</f>
        <v>0</v>
      </c>
      <c r="Y21" s="529">
        <f>+O21+S21+W21</f>
        <v>86.1</v>
      </c>
      <c r="Z21" s="2261">
        <f t="shared" si="53"/>
        <v>0</v>
      </c>
      <c r="AA21" s="2261">
        <f t="shared" si="53"/>
        <v>171.3</v>
      </c>
      <c r="AB21" s="950">
        <f>+$A$20</f>
        <v>0</v>
      </c>
      <c r="AC21" s="371">
        <v>29</v>
      </c>
      <c r="AD21" s="956">
        <f>+Z21+AB21</f>
        <v>0</v>
      </c>
      <c r="AE21" s="219">
        <f>+AA21+AC21</f>
        <v>200.3</v>
      </c>
      <c r="AF21" s="950">
        <f>+$A$20</f>
        <v>0</v>
      </c>
      <c r="AG21" s="371">
        <v>28.1</v>
      </c>
      <c r="AH21" s="956">
        <f>+AD21+AF21</f>
        <v>0</v>
      </c>
      <c r="AI21" s="219">
        <f>+AE21+AG21</f>
        <v>228.4</v>
      </c>
      <c r="AJ21" s="950">
        <f>+$A$20</f>
        <v>0</v>
      </c>
      <c r="AK21" s="371">
        <v>29</v>
      </c>
      <c r="AL21" s="72">
        <f>+AB21+AF21+AJ21</f>
        <v>0</v>
      </c>
      <c r="AM21" s="529">
        <f>+AC21+AG21+AK21</f>
        <v>86.1</v>
      </c>
      <c r="AN21" s="956">
        <f>+AH21+AJ21</f>
        <v>0</v>
      </c>
      <c r="AO21" s="219">
        <f>+AI21+AK21</f>
        <v>257.39999999999998</v>
      </c>
      <c r="AP21" s="950">
        <f>+$A$20</f>
        <v>0</v>
      </c>
      <c r="AQ21" s="371">
        <v>29</v>
      </c>
      <c r="AR21" s="956">
        <f>+AN21+AP21</f>
        <v>0</v>
      </c>
      <c r="AS21" s="219">
        <f>+AO21+AQ21</f>
        <v>286.39999999999998</v>
      </c>
      <c r="AT21" s="950">
        <f>+$A$20</f>
        <v>0</v>
      </c>
      <c r="AU21" s="371">
        <v>26.2</v>
      </c>
      <c r="AV21" s="956">
        <f>+AR21+AT21</f>
        <v>0</v>
      </c>
      <c r="AW21" s="219">
        <f>+AS21+AU21</f>
        <v>312.59999999999997</v>
      </c>
      <c r="AX21" s="950">
        <f>+$A$20</f>
        <v>0</v>
      </c>
      <c r="AY21" s="371">
        <v>29</v>
      </c>
      <c r="AZ21" s="72">
        <f>+AP21+AT21+AX21</f>
        <v>0</v>
      </c>
      <c r="BA21" s="529">
        <f>+AQ21+AU21+AY21</f>
        <v>84.2</v>
      </c>
      <c r="BB21" s="2261">
        <f>AL21+AZ21</f>
        <v>0</v>
      </c>
      <c r="BC21" s="714">
        <f t="shared" si="56"/>
        <v>170.3</v>
      </c>
      <c r="BD21" s="956">
        <f>+AV21+AX21</f>
        <v>0</v>
      </c>
      <c r="BE21" s="219">
        <f>+AW21+AY21</f>
        <v>341.59999999999997</v>
      </c>
      <c r="BF21" s="26"/>
      <c r="BG21" s="26"/>
      <c r="BH21" s="26"/>
      <c r="BI21" s="26"/>
      <c r="BJ21" s="26"/>
    </row>
    <row r="22" spans="1:62" ht="16.149999999999999" thickBot="1" x14ac:dyDescent="0.35">
      <c r="B22" s="3175" t="s">
        <v>2</v>
      </c>
      <c r="C22" s="15" t="s">
        <v>66</v>
      </c>
      <c r="D22" s="957">
        <f t="shared" ref="D22:I22" si="60">SUM(D18:D21)</f>
        <v>18720</v>
      </c>
      <c r="E22" s="30">
        <f t="shared" si="60"/>
        <v>18720</v>
      </c>
      <c r="F22" s="957">
        <f t="shared" ref="F22:G22" si="61">SUM(F18:F21)</f>
        <v>19344</v>
      </c>
      <c r="G22" s="30">
        <f t="shared" si="61"/>
        <v>19344</v>
      </c>
      <c r="H22" s="40">
        <f t="shared" si="60"/>
        <v>38064</v>
      </c>
      <c r="I22" s="41">
        <f t="shared" si="60"/>
        <v>38064</v>
      </c>
      <c r="J22" s="957">
        <f t="shared" ref="J22:K22" si="62">SUM(J18:J21)</f>
        <v>18720</v>
      </c>
      <c r="K22" s="30">
        <f t="shared" si="62"/>
        <v>18720</v>
      </c>
      <c r="L22" s="354">
        <f t="shared" ref="L22:Q22" si="63">SUM(L18:L21)</f>
        <v>56784</v>
      </c>
      <c r="M22" s="122">
        <f t="shared" si="63"/>
        <v>56784</v>
      </c>
      <c r="N22" s="957">
        <f t="shared" si="63"/>
        <v>19344</v>
      </c>
      <c r="O22" s="30">
        <f t="shared" si="63"/>
        <v>19344</v>
      </c>
      <c r="P22" s="40">
        <f t="shared" si="63"/>
        <v>76128</v>
      </c>
      <c r="Q22" s="220">
        <f t="shared" si="63"/>
        <v>76128.000000000015</v>
      </c>
      <c r="R22" s="957">
        <f t="shared" ref="R22:S22" si="64">SUM(R18:R21)</f>
        <v>19344</v>
      </c>
      <c r="S22" s="30">
        <f t="shared" si="64"/>
        <v>19344</v>
      </c>
      <c r="T22" s="40">
        <f t="shared" ref="T22:W22" si="65">SUM(T18:T21)</f>
        <v>95472</v>
      </c>
      <c r="U22" s="220">
        <f t="shared" si="65"/>
        <v>95472.000000000015</v>
      </c>
      <c r="V22" s="957">
        <f t="shared" si="65"/>
        <v>18720</v>
      </c>
      <c r="W22" s="30">
        <f t="shared" si="65"/>
        <v>18720</v>
      </c>
      <c r="X22" s="354">
        <f t="shared" ref="X22:Y22" si="66">SUM(X18:X21)</f>
        <v>57408</v>
      </c>
      <c r="Y22" s="1607">
        <f t="shared" si="66"/>
        <v>57408</v>
      </c>
      <c r="Z22" s="463">
        <f t="shared" ref="Z22:AE22" si="67">SUM(Z18:Z21)</f>
        <v>114192</v>
      </c>
      <c r="AA22" s="460">
        <f t="shared" si="67"/>
        <v>114192.00000000001</v>
      </c>
      <c r="AB22" s="957">
        <f t="shared" si="67"/>
        <v>19344</v>
      </c>
      <c r="AC22" s="30">
        <f t="shared" si="67"/>
        <v>19344</v>
      </c>
      <c r="AD22" s="40">
        <f t="shared" si="67"/>
        <v>133536</v>
      </c>
      <c r="AE22" s="220">
        <f t="shared" si="67"/>
        <v>133536</v>
      </c>
      <c r="AF22" s="957">
        <f t="shared" ref="AF22:AI22" si="68">SUM(AF18:AF21)</f>
        <v>18720</v>
      </c>
      <c r="AG22" s="30">
        <f t="shared" si="68"/>
        <v>18720</v>
      </c>
      <c r="AH22" s="40">
        <f t="shared" si="68"/>
        <v>152256</v>
      </c>
      <c r="AI22" s="220">
        <f t="shared" si="68"/>
        <v>152256</v>
      </c>
      <c r="AJ22" s="957">
        <f t="shared" ref="AJ22:AK22" si="69">SUM(AJ18:AJ21)</f>
        <v>19344</v>
      </c>
      <c r="AK22" s="30">
        <f t="shared" si="69"/>
        <v>19344</v>
      </c>
      <c r="AL22" s="354">
        <f t="shared" ref="AL22:AS22" si="70">SUM(AL18:AL21)</f>
        <v>57408</v>
      </c>
      <c r="AM22" s="1607">
        <f t="shared" si="70"/>
        <v>57408</v>
      </c>
      <c r="AN22" s="40">
        <f t="shared" si="70"/>
        <v>171600</v>
      </c>
      <c r="AO22" s="220">
        <f t="shared" si="70"/>
        <v>171600</v>
      </c>
      <c r="AP22" s="957">
        <f t="shared" si="70"/>
        <v>19344</v>
      </c>
      <c r="AQ22" s="30">
        <f t="shared" si="70"/>
        <v>19344</v>
      </c>
      <c r="AR22" s="40">
        <f t="shared" si="70"/>
        <v>190944</v>
      </c>
      <c r="AS22" s="220">
        <f t="shared" si="70"/>
        <v>190944</v>
      </c>
      <c r="AT22" s="957">
        <f t="shared" ref="AT22:AW22" si="71">SUM(AT18:AT21)</f>
        <v>17472</v>
      </c>
      <c r="AU22" s="30">
        <f t="shared" si="71"/>
        <v>17472</v>
      </c>
      <c r="AV22" s="40">
        <f t="shared" si="71"/>
        <v>208416</v>
      </c>
      <c r="AW22" s="220">
        <f t="shared" si="71"/>
        <v>208416</v>
      </c>
      <c r="AX22" s="957">
        <f t="shared" ref="AX22:AY22" si="72">SUM(AX18:AX21)</f>
        <v>19344</v>
      </c>
      <c r="AY22" s="30">
        <f t="shared" si="72"/>
        <v>19344</v>
      </c>
      <c r="AZ22" s="354">
        <f t="shared" ref="AZ22:BE22" si="73">SUM(AZ18:AZ21)</f>
        <v>56160</v>
      </c>
      <c r="BA22" s="1607">
        <f t="shared" si="73"/>
        <v>56160</v>
      </c>
      <c r="BB22" s="463">
        <f t="shared" si="73"/>
        <v>113568</v>
      </c>
      <c r="BC22" s="460">
        <f t="shared" si="73"/>
        <v>113568</v>
      </c>
      <c r="BD22" s="40">
        <f t="shared" si="73"/>
        <v>227760</v>
      </c>
      <c r="BE22" s="220">
        <f t="shared" si="73"/>
        <v>227760</v>
      </c>
      <c r="BF22" s="26"/>
      <c r="BG22" s="26"/>
      <c r="BH22" s="26"/>
      <c r="BI22" s="26"/>
      <c r="BJ22" s="26"/>
    </row>
    <row r="23" spans="1:62" ht="16.149999999999999" thickBot="1" x14ac:dyDescent="0.35">
      <c r="A23" s="149"/>
      <c r="B23" s="750" t="s">
        <v>453</v>
      </c>
      <c r="C23" s="505"/>
      <c r="D23" s="958"/>
      <c r="E23" s="678"/>
      <c r="F23" s="958"/>
      <c r="G23" s="678"/>
      <c r="H23" s="505"/>
      <c r="I23" s="678"/>
      <c r="J23" s="958"/>
      <c r="K23" s="678"/>
      <c r="L23" s="505"/>
      <c r="M23" s="505"/>
      <c r="N23" s="958"/>
      <c r="O23" s="678"/>
      <c r="P23" s="505"/>
      <c r="Q23" s="505"/>
      <c r="R23" s="958"/>
      <c r="S23" s="678"/>
      <c r="T23" s="505"/>
      <c r="U23" s="505"/>
      <c r="V23" s="958"/>
      <c r="W23" s="678"/>
      <c r="X23" s="505"/>
      <c r="Y23" s="505"/>
      <c r="Z23" s="505"/>
      <c r="AA23" s="505"/>
      <c r="AB23" s="958"/>
      <c r="AC23" s="678"/>
      <c r="AD23" s="505"/>
      <c r="AE23" s="505"/>
      <c r="AF23" s="958"/>
      <c r="AG23" s="678"/>
      <c r="AH23" s="505"/>
      <c r="AI23" s="505"/>
      <c r="AJ23" s="958"/>
      <c r="AK23" s="678"/>
      <c r="AL23" s="505"/>
      <c r="AM23" s="505"/>
      <c r="AN23" s="505"/>
      <c r="AO23" s="505"/>
      <c r="AP23" s="958"/>
      <c r="AQ23" s="678"/>
      <c r="AR23" s="505"/>
      <c r="AS23" s="505"/>
      <c r="AT23" s="958"/>
      <c r="AU23" s="678"/>
      <c r="AV23" s="505"/>
      <c r="AW23" s="505"/>
      <c r="AX23" s="958"/>
      <c r="AY23" s="678"/>
      <c r="AZ23" s="505"/>
      <c r="BA23" s="505"/>
      <c r="BB23" s="505"/>
      <c r="BC23" s="505"/>
      <c r="BD23" s="505"/>
      <c r="BE23" s="505"/>
      <c r="BF23" s="26"/>
      <c r="BG23" s="26"/>
      <c r="BH23" s="26"/>
      <c r="BI23" s="26"/>
      <c r="BJ23" s="26"/>
    </row>
    <row r="24" spans="1:62" thickBot="1" x14ac:dyDescent="0.35">
      <c r="B24" s="8" t="s">
        <v>555</v>
      </c>
      <c r="C24" s="13" t="s">
        <v>50</v>
      </c>
      <c r="D24" s="2906">
        <v>2250</v>
      </c>
      <c r="E24" s="521">
        <v>2227</v>
      </c>
      <c r="F24" s="2906">
        <v>0</v>
      </c>
      <c r="G24" s="521">
        <v>2302</v>
      </c>
      <c r="H24" s="718">
        <f t="shared" ref="H24:I27" si="74">+D24+F24</f>
        <v>2250</v>
      </c>
      <c r="I24" s="1668">
        <f t="shared" si="74"/>
        <v>4529</v>
      </c>
      <c r="J24" s="2906">
        <v>0</v>
      </c>
      <c r="K24" s="521">
        <v>2230</v>
      </c>
      <c r="L24" s="72">
        <f t="shared" ref="L24:M27" si="75">D24+F24+J24</f>
        <v>2250</v>
      </c>
      <c r="M24" s="72">
        <f t="shared" si="75"/>
        <v>6759</v>
      </c>
      <c r="N24" s="2906">
        <v>0</v>
      </c>
      <c r="O24" s="521">
        <v>2340</v>
      </c>
      <c r="P24" s="718">
        <f t="shared" ref="P24:Q27" si="76">+L24+N24</f>
        <v>2250</v>
      </c>
      <c r="Q24" s="222">
        <f t="shared" si="76"/>
        <v>9099</v>
      </c>
      <c r="R24" s="2906">
        <v>0</v>
      </c>
      <c r="S24" s="521">
        <v>2302</v>
      </c>
      <c r="T24" s="718">
        <f t="shared" ref="T24:T27" si="77">+P24+R24</f>
        <v>2250</v>
      </c>
      <c r="U24" s="222">
        <f t="shared" ref="U24:U27" si="78">+Q24+S24</f>
        <v>11401</v>
      </c>
      <c r="V24" s="2906">
        <v>0</v>
      </c>
      <c r="W24" s="521">
        <v>2228</v>
      </c>
      <c r="X24" s="72">
        <f t="shared" ref="X24:X27" si="79">+N24+R24+V24</f>
        <v>0</v>
      </c>
      <c r="Y24" s="529">
        <f t="shared" ref="Y24:Y27" si="80">+O24+S24+W24</f>
        <v>6870</v>
      </c>
      <c r="Z24" s="796">
        <f>L24+X24</f>
        <v>2250</v>
      </c>
      <c r="AA24" s="500">
        <f>M24+Y24</f>
        <v>13629</v>
      </c>
      <c r="AB24" s="2906">
        <v>2480</v>
      </c>
      <c r="AC24" s="521">
        <v>2309</v>
      </c>
      <c r="AD24" s="718">
        <f t="shared" ref="AD24:AD27" si="81">+Z24+AB24</f>
        <v>4730</v>
      </c>
      <c r="AE24" s="222">
        <f t="shared" ref="AE24:AE27" si="82">+AA24+AC24</f>
        <v>15938</v>
      </c>
      <c r="AF24" s="2906">
        <v>2400</v>
      </c>
      <c r="AG24" s="521">
        <v>2264</v>
      </c>
      <c r="AH24" s="718">
        <f t="shared" ref="AH24:AH27" si="83">+AD24+AF24</f>
        <v>7130</v>
      </c>
      <c r="AI24" s="222">
        <f t="shared" ref="AI24:AI27" si="84">+AE24+AG24</f>
        <v>18202</v>
      </c>
      <c r="AJ24" s="2906">
        <v>2480</v>
      </c>
      <c r="AK24" s="521">
        <v>2301</v>
      </c>
      <c r="AL24" s="72">
        <f t="shared" ref="AL24:AL27" si="85">+AB24+AF24+AJ24</f>
        <v>7360</v>
      </c>
      <c r="AM24" s="529">
        <f t="shared" ref="AM24:AM27" si="86">+AC24+AG24+AK24</f>
        <v>6874</v>
      </c>
      <c r="AN24" s="718">
        <f t="shared" ref="AN24:AO27" si="87">+AH24+AJ24</f>
        <v>9610</v>
      </c>
      <c r="AO24" s="222">
        <f t="shared" si="87"/>
        <v>20503</v>
      </c>
      <c r="AP24" s="2906">
        <v>2480</v>
      </c>
      <c r="AQ24" s="521">
        <v>2302</v>
      </c>
      <c r="AR24" s="718">
        <f t="shared" ref="AR24:AR27" si="88">+AN24+AP24</f>
        <v>12090</v>
      </c>
      <c r="AS24" s="222">
        <f t="shared" ref="AS24:AS27" si="89">+AO24+AQ24</f>
        <v>22805</v>
      </c>
      <c r="AT24" s="2906">
        <v>2240</v>
      </c>
      <c r="AU24" s="521">
        <v>2079</v>
      </c>
      <c r="AV24" s="718">
        <f t="shared" ref="AV24:AV27" si="90">+AR24+AT24</f>
        <v>14330</v>
      </c>
      <c r="AW24" s="222">
        <f t="shared" ref="AW24:AW27" si="91">+AS24+AU24</f>
        <v>24884</v>
      </c>
      <c r="AX24" s="2906">
        <v>2480</v>
      </c>
      <c r="AY24" s="521">
        <v>2332</v>
      </c>
      <c r="AZ24" s="72">
        <f t="shared" ref="AZ24:AZ27" si="92">+AP24+AT24+AX24</f>
        <v>7200</v>
      </c>
      <c r="BA24" s="529">
        <f t="shared" ref="BA24:BA27" si="93">+AQ24+AU24+AY24</f>
        <v>6713</v>
      </c>
      <c r="BB24" s="2261">
        <f t="shared" ref="BB24:BB27" si="94">AL24+AZ24</f>
        <v>14560</v>
      </c>
      <c r="BC24" s="714">
        <f t="shared" ref="BC24:BC27" si="95">+AM24+BA24</f>
        <v>13587</v>
      </c>
      <c r="BD24" s="718">
        <f t="shared" ref="BD24:BD27" si="96">+AV24+AX24</f>
        <v>16810</v>
      </c>
      <c r="BE24" s="222">
        <f t="shared" ref="BE24:BE27" si="97">+AW24+AY24</f>
        <v>27216</v>
      </c>
      <c r="BF24" s="26"/>
      <c r="BG24" s="26"/>
      <c r="BH24" s="26"/>
      <c r="BI24" s="26"/>
      <c r="BJ24" s="26"/>
    </row>
    <row r="25" spans="1:62" ht="15" customHeight="1" thickBot="1" x14ac:dyDescent="0.3">
      <c r="A25" s="150" t="s">
        <v>470</v>
      </c>
      <c r="B25" s="3176" t="s">
        <v>389</v>
      </c>
      <c r="C25" s="13" t="s">
        <v>1097</v>
      </c>
      <c r="D25" s="155">
        <v>0</v>
      </c>
      <c r="E25" s="18"/>
      <c r="F25" s="155">
        <v>0</v>
      </c>
      <c r="G25" s="18"/>
      <c r="H25" s="61">
        <f t="shared" si="74"/>
        <v>0</v>
      </c>
      <c r="I25" s="89">
        <f t="shared" si="74"/>
        <v>0</v>
      </c>
      <c r="J25" s="155">
        <v>0</v>
      </c>
      <c r="K25" s="18">
        <v>0</v>
      </c>
      <c r="L25" s="72">
        <f t="shared" si="75"/>
        <v>0</v>
      </c>
      <c r="M25" s="72">
        <f t="shared" si="75"/>
        <v>0</v>
      </c>
      <c r="N25" s="155">
        <v>0</v>
      </c>
      <c r="O25" s="18">
        <v>0</v>
      </c>
      <c r="P25" s="61">
        <f t="shared" si="76"/>
        <v>0</v>
      </c>
      <c r="Q25" s="223">
        <f t="shared" si="76"/>
        <v>0</v>
      </c>
      <c r="R25" s="155">
        <v>0</v>
      </c>
      <c r="S25" s="18">
        <v>0</v>
      </c>
      <c r="T25" s="61">
        <f t="shared" si="77"/>
        <v>0</v>
      </c>
      <c r="U25" s="223">
        <f t="shared" si="78"/>
        <v>0</v>
      </c>
      <c r="V25" s="155">
        <v>0</v>
      </c>
      <c r="W25" s="18">
        <v>0</v>
      </c>
      <c r="X25" s="72">
        <f t="shared" si="79"/>
        <v>0</v>
      </c>
      <c r="Y25" s="529">
        <f t="shared" si="80"/>
        <v>0</v>
      </c>
      <c r="Z25" s="796">
        <f t="shared" ref="Z25:Z27" si="98">L25+X25</f>
        <v>0</v>
      </c>
      <c r="AA25" s="500">
        <f t="shared" ref="AA25:AA27" si="99">M25+Y25</f>
        <v>0</v>
      </c>
      <c r="AB25" s="155"/>
      <c r="AC25" s="18"/>
      <c r="AD25" s="61">
        <f t="shared" si="81"/>
        <v>0</v>
      </c>
      <c r="AE25" s="223">
        <f t="shared" si="82"/>
        <v>0</v>
      </c>
      <c r="AF25" s="155"/>
      <c r="AG25" s="18"/>
      <c r="AH25" s="61">
        <f t="shared" si="83"/>
        <v>0</v>
      </c>
      <c r="AI25" s="223">
        <f t="shared" si="84"/>
        <v>0</v>
      </c>
      <c r="AJ25" s="155"/>
      <c r="AK25" s="18"/>
      <c r="AL25" s="72">
        <f t="shared" si="85"/>
        <v>0</v>
      </c>
      <c r="AM25" s="529">
        <f t="shared" si="86"/>
        <v>0</v>
      </c>
      <c r="AN25" s="61">
        <f t="shared" si="87"/>
        <v>0</v>
      </c>
      <c r="AO25" s="223">
        <f t="shared" si="87"/>
        <v>0</v>
      </c>
      <c r="AP25" s="155"/>
      <c r="AQ25" s="18"/>
      <c r="AR25" s="61">
        <f t="shared" si="88"/>
        <v>0</v>
      </c>
      <c r="AS25" s="223">
        <f t="shared" si="89"/>
        <v>0</v>
      </c>
      <c r="AT25" s="155"/>
      <c r="AU25" s="18"/>
      <c r="AV25" s="61">
        <f t="shared" si="90"/>
        <v>0</v>
      </c>
      <c r="AW25" s="223">
        <f t="shared" si="91"/>
        <v>0</v>
      </c>
      <c r="AX25" s="155"/>
      <c r="AY25" s="18"/>
      <c r="AZ25" s="72">
        <f t="shared" si="92"/>
        <v>0</v>
      </c>
      <c r="BA25" s="529">
        <f t="shared" si="93"/>
        <v>0</v>
      </c>
      <c r="BB25" s="2261">
        <f t="shared" si="94"/>
        <v>0</v>
      </c>
      <c r="BC25" s="714">
        <f t="shared" si="95"/>
        <v>0</v>
      </c>
      <c r="BD25" s="61">
        <f t="shared" si="96"/>
        <v>0</v>
      </c>
      <c r="BE25" s="223">
        <f t="shared" si="97"/>
        <v>0</v>
      </c>
      <c r="BF25" s="26"/>
      <c r="BG25" s="26"/>
      <c r="BH25" s="26"/>
      <c r="BI25" s="26"/>
      <c r="BJ25" s="26"/>
    </row>
    <row r="26" spans="1:62" ht="15.75" thickBot="1" x14ac:dyDescent="0.3">
      <c r="A26" s="150" t="s">
        <v>470</v>
      </c>
      <c r="B26" s="3176" t="s">
        <v>390</v>
      </c>
      <c r="C26" s="13" t="s">
        <v>454</v>
      </c>
      <c r="D26" s="155">
        <f>+EMD!D27</f>
        <v>2160</v>
      </c>
      <c r="E26" s="85">
        <f>+EMD!E27</f>
        <v>2849.78</v>
      </c>
      <c r="F26" s="155">
        <f>+EMD!F27</f>
        <v>0</v>
      </c>
      <c r="G26" s="85">
        <f>+EMD!G27</f>
        <v>2860.0800000000004</v>
      </c>
      <c r="H26" s="61">
        <f t="shared" si="74"/>
        <v>2160</v>
      </c>
      <c r="I26" s="89">
        <f t="shared" si="74"/>
        <v>5709.8600000000006</v>
      </c>
      <c r="J26" s="155">
        <f>+EMD!J27</f>
        <v>0</v>
      </c>
      <c r="K26" s="85">
        <f>+EMD!K27</f>
        <v>2740.2558358915053</v>
      </c>
      <c r="L26" s="72">
        <f t="shared" si="75"/>
        <v>2160</v>
      </c>
      <c r="M26" s="72">
        <f t="shared" si="75"/>
        <v>8450.1158358915054</v>
      </c>
      <c r="N26" s="155">
        <f>+EMD!N27</f>
        <v>0</v>
      </c>
      <c r="O26" s="85">
        <f>+EMD!O27</f>
        <v>2835.84</v>
      </c>
      <c r="P26" s="61">
        <f t="shared" si="76"/>
        <v>2160</v>
      </c>
      <c r="Q26" s="223">
        <f t="shared" si="76"/>
        <v>11285.955835891506</v>
      </c>
      <c r="R26" s="155">
        <f>+EMD!R27</f>
        <v>0</v>
      </c>
      <c r="S26" s="85">
        <f>+EMD!S27</f>
        <v>2743.2</v>
      </c>
      <c r="T26" s="61">
        <f t="shared" si="77"/>
        <v>2160</v>
      </c>
      <c r="U26" s="223">
        <f t="shared" si="78"/>
        <v>14029.155835891506</v>
      </c>
      <c r="V26" s="155">
        <f>+EMD!V27</f>
        <v>0</v>
      </c>
      <c r="W26" s="85">
        <f>+EMD!W27</f>
        <v>2809.67</v>
      </c>
      <c r="X26" s="72">
        <f t="shared" si="79"/>
        <v>0</v>
      </c>
      <c r="Y26" s="529">
        <f t="shared" si="80"/>
        <v>8388.7099999999991</v>
      </c>
      <c r="Z26" s="796">
        <f t="shared" si="98"/>
        <v>2160</v>
      </c>
      <c r="AA26" s="500">
        <f t="shared" si="99"/>
        <v>16838.825835891505</v>
      </c>
      <c r="AB26" s="155">
        <f>+EMD!AB27</f>
        <v>2827.2</v>
      </c>
      <c r="AC26" s="85">
        <f>+EMD!AC27</f>
        <v>3161.9019915347162</v>
      </c>
      <c r="AD26" s="61">
        <f t="shared" si="81"/>
        <v>4987.2</v>
      </c>
      <c r="AE26" s="223">
        <f t="shared" si="82"/>
        <v>20000.727827426221</v>
      </c>
      <c r="AF26" s="155">
        <f>+EMD!AF27</f>
        <v>2736</v>
      </c>
      <c r="AG26" s="85">
        <f>+EMD!AG27</f>
        <v>2126.0799999999986</v>
      </c>
      <c r="AH26" s="61">
        <f t="shared" si="83"/>
        <v>7723.2</v>
      </c>
      <c r="AI26" s="223">
        <f t="shared" si="84"/>
        <v>22126.807827426219</v>
      </c>
      <c r="AJ26" s="155">
        <f>+EMD!AJ27</f>
        <v>2827.2</v>
      </c>
      <c r="AK26" s="85">
        <f>+EMD!AK27</f>
        <v>3144.7247738404553</v>
      </c>
      <c r="AL26" s="72">
        <f t="shared" si="85"/>
        <v>8390.4</v>
      </c>
      <c r="AM26" s="529">
        <f t="shared" si="86"/>
        <v>8432.7067653751692</v>
      </c>
      <c r="AN26" s="61">
        <f t="shared" si="87"/>
        <v>10550.4</v>
      </c>
      <c r="AO26" s="223">
        <f t="shared" si="87"/>
        <v>25271.532601266674</v>
      </c>
      <c r="AP26" s="155">
        <f>+EMD!AP27</f>
        <v>2827.2</v>
      </c>
      <c r="AQ26" s="85">
        <f>+EMD!AQ27</f>
        <v>3428.53</v>
      </c>
      <c r="AR26" s="61">
        <f t="shared" si="88"/>
        <v>13377.599999999999</v>
      </c>
      <c r="AS26" s="223">
        <f t="shared" si="89"/>
        <v>28700.062601266673</v>
      </c>
      <c r="AT26" s="155">
        <f>+EMD!AT27</f>
        <v>2553.6</v>
      </c>
      <c r="AU26" s="85">
        <f>+EMD!AU27</f>
        <v>2666.4360493833824</v>
      </c>
      <c r="AV26" s="61">
        <f t="shared" si="90"/>
        <v>15931.199999999999</v>
      </c>
      <c r="AW26" s="223">
        <f t="shared" si="91"/>
        <v>31366.498650650054</v>
      </c>
      <c r="AX26" s="155">
        <f>+EMD!AX27</f>
        <v>2827.2</v>
      </c>
      <c r="AY26" s="85">
        <f>+EMD!AY27</f>
        <v>2809.4399999999996</v>
      </c>
      <c r="AZ26" s="72">
        <f t="shared" si="92"/>
        <v>8208</v>
      </c>
      <c r="BA26" s="529">
        <f t="shared" si="93"/>
        <v>8904.4060493833822</v>
      </c>
      <c r="BB26" s="2261">
        <f t="shared" si="94"/>
        <v>16598.400000000001</v>
      </c>
      <c r="BC26" s="714">
        <f t="shared" si="95"/>
        <v>17337.112814758551</v>
      </c>
      <c r="BD26" s="61">
        <f t="shared" si="96"/>
        <v>18758.399999999998</v>
      </c>
      <c r="BE26" s="223">
        <f t="shared" si="97"/>
        <v>34175.938650650052</v>
      </c>
      <c r="BF26" s="26"/>
      <c r="BG26" s="26"/>
      <c r="BH26" s="26"/>
      <c r="BI26" s="26"/>
      <c r="BJ26" s="26"/>
    </row>
    <row r="27" spans="1:62" ht="15.75" customHeight="1" thickBot="1" x14ac:dyDescent="0.35">
      <c r="A27" s="150" t="s">
        <v>470</v>
      </c>
      <c r="B27" s="3176" t="s">
        <v>391</v>
      </c>
      <c r="C27" s="13" t="s">
        <v>405</v>
      </c>
      <c r="D27" s="720">
        <v>0</v>
      </c>
      <c r="E27" s="156">
        <v>0</v>
      </c>
      <c r="F27" s="720">
        <v>0</v>
      </c>
      <c r="G27" s="156">
        <v>0</v>
      </c>
      <c r="H27" s="722">
        <f t="shared" si="74"/>
        <v>0</v>
      </c>
      <c r="I27" s="3177">
        <f t="shared" si="74"/>
        <v>0</v>
      </c>
      <c r="J27" s="720">
        <v>0</v>
      </c>
      <c r="K27" s="156">
        <v>0</v>
      </c>
      <c r="L27" s="72">
        <f t="shared" si="75"/>
        <v>0</v>
      </c>
      <c r="M27" s="72">
        <f t="shared" si="75"/>
        <v>0</v>
      </c>
      <c r="N27" s="720">
        <v>0</v>
      </c>
      <c r="O27" s="156">
        <v>0</v>
      </c>
      <c r="P27" s="722">
        <f t="shared" si="76"/>
        <v>0</v>
      </c>
      <c r="Q27" s="224">
        <f t="shared" si="76"/>
        <v>0</v>
      </c>
      <c r="R27" s="720">
        <v>0</v>
      </c>
      <c r="S27" s="156">
        <v>0</v>
      </c>
      <c r="T27" s="722">
        <f t="shared" si="77"/>
        <v>0</v>
      </c>
      <c r="U27" s="224">
        <f t="shared" si="78"/>
        <v>0</v>
      </c>
      <c r="V27" s="720">
        <v>0</v>
      </c>
      <c r="W27" s="156">
        <v>0</v>
      </c>
      <c r="X27" s="72">
        <f t="shared" si="79"/>
        <v>0</v>
      </c>
      <c r="Y27" s="529">
        <f t="shared" si="80"/>
        <v>0</v>
      </c>
      <c r="Z27" s="796">
        <f t="shared" si="98"/>
        <v>0</v>
      </c>
      <c r="AA27" s="500">
        <f t="shared" si="99"/>
        <v>0</v>
      </c>
      <c r="AB27" s="720">
        <v>0</v>
      </c>
      <c r="AC27" s="156">
        <v>0</v>
      </c>
      <c r="AD27" s="722">
        <f t="shared" si="81"/>
        <v>0</v>
      </c>
      <c r="AE27" s="224">
        <f t="shared" si="82"/>
        <v>0</v>
      </c>
      <c r="AF27" s="720">
        <v>0</v>
      </c>
      <c r="AG27" s="156">
        <v>0</v>
      </c>
      <c r="AH27" s="722">
        <f t="shared" si="83"/>
        <v>0</v>
      </c>
      <c r="AI27" s="224">
        <f t="shared" si="84"/>
        <v>0</v>
      </c>
      <c r="AJ27" s="720">
        <v>0</v>
      </c>
      <c r="AK27" s="156">
        <v>0</v>
      </c>
      <c r="AL27" s="72">
        <f t="shared" si="85"/>
        <v>0</v>
      </c>
      <c r="AM27" s="529">
        <f t="shared" si="86"/>
        <v>0</v>
      </c>
      <c r="AN27" s="722">
        <f t="shared" si="87"/>
        <v>0</v>
      </c>
      <c r="AO27" s="224">
        <f t="shared" si="87"/>
        <v>0</v>
      </c>
      <c r="AP27" s="720">
        <v>0</v>
      </c>
      <c r="AQ27" s="156">
        <v>0</v>
      </c>
      <c r="AR27" s="722">
        <f t="shared" si="88"/>
        <v>0</v>
      </c>
      <c r="AS27" s="224">
        <f t="shared" si="89"/>
        <v>0</v>
      </c>
      <c r="AT27" s="720"/>
      <c r="AU27" s="156">
        <v>0</v>
      </c>
      <c r="AV27" s="722">
        <f t="shared" si="90"/>
        <v>0</v>
      </c>
      <c r="AW27" s="224">
        <f t="shared" si="91"/>
        <v>0</v>
      </c>
      <c r="AX27" s="720"/>
      <c r="AY27" s="156">
        <v>0</v>
      </c>
      <c r="AZ27" s="72">
        <f t="shared" si="92"/>
        <v>0</v>
      </c>
      <c r="BA27" s="529">
        <f t="shared" si="93"/>
        <v>0</v>
      </c>
      <c r="BB27" s="2261">
        <f t="shared" si="94"/>
        <v>0</v>
      </c>
      <c r="BC27" s="714">
        <f t="shared" si="95"/>
        <v>0</v>
      </c>
      <c r="BD27" s="722">
        <f t="shared" si="96"/>
        <v>0</v>
      </c>
      <c r="BE27" s="224">
        <f t="shared" si="97"/>
        <v>0</v>
      </c>
      <c r="BF27" s="26"/>
      <c r="BG27" s="26"/>
      <c r="BH27" s="26"/>
      <c r="BI27" s="26"/>
      <c r="BJ27" s="26"/>
    </row>
    <row r="28" spans="1:62" ht="16.149999999999999" thickBot="1" x14ac:dyDescent="0.35">
      <c r="B28" s="3178"/>
      <c r="C28" s="959"/>
      <c r="D28" s="960"/>
      <c r="E28" s="679"/>
      <c r="F28" s="960"/>
      <c r="G28" s="679"/>
      <c r="H28" s="119"/>
      <c r="I28" s="679"/>
      <c r="J28" s="960"/>
      <c r="K28" s="679"/>
      <c r="L28" s="119"/>
      <c r="M28" s="119"/>
      <c r="N28" s="960"/>
      <c r="O28" s="679"/>
      <c r="P28" s="119"/>
      <c r="Q28" s="119"/>
      <c r="R28" s="960"/>
      <c r="S28" s="679"/>
      <c r="T28" s="119"/>
      <c r="U28" s="119"/>
      <c r="V28" s="960"/>
      <c r="W28" s="679"/>
      <c r="X28" s="119"/>
      <c r="Y28" s="119"/>
      <c r="Z28" s="119"/>
      <c r="AA28" s="119"/>
      <c r="AB28" s="960"/>
      <c r="AC28" s="679"/>
      <c r="AD28" s="119"/>
      <c r="AE28" s="119"/>
      <c r="AF28" s="960"/>
      <c r="AG28" s="679"/>
      <c r="AH28" s="119"/>
      <c r="AI28" s="119"/>
      <c r="AJ28" s="960"/>
      <c r="AK28" s="679"/>
      <c r="AL28" s="119"/>
      <c r="AM28" s="119"/>
      <c r="AN28" s="119"/>
      <c r="AO28" s="119"/>
      <c r="AP28" s="960"/>
      <c r="AQ28" s="679"/>
      <c r="AR28" s="119"/>
      <c r="AS28" s="119"/>
      <c r="AT28" s="960"/>
      <c r="AU28" s="679"/>
      <c r="AV28" s="119"/>
      <c r="AW28" s="119"/>
      <c r="AX28" s="960"/>
      <c r="AY28" s="679"/>
      <c r="AZ28" s="119"/>
      <c r="BA28" s="119"/>
      <c r="BB28" s="119"/>
      <c r="BC28" s="119"/>
      <c r="BD28" s="119"/>
      <c r="BE28" s="119"/>
      <c r="BF28" s="26"/>
      <c r="BG28" s="26"/>
      <c r="BH28" s="26"/>
      <c r="BI28" s="26"/>
      <c r="BJ28" s="26"/>
    </row>
    <row r="29" spans="1:62" ht="15.6" x14ac:dyDescent="0.3">
      <c r="B29" s="3179" t="s">
        <v>382</v>
      </c>
      <c r="C29" s="118"/>
      <c r="D29" s="961"/>
      <c r="E29" s="680"/>
      <c r="F29" s="961"/>
      <c r="G29" s="680"/>
      <c r="H29" s="118"/>
      <c r="I29" s="680"/>
      <c r="J29" s="961"/>
      <c r="K29" s="680"/>
      <c r="L29" s="118"/>
      <c r="M29" s="118"/>
      <c r="N29" s="961"/>
      <c r="O29" s="680"/>
      <c r="P29" s="118"/>
      <c r="Q29" s="118"/>
      <c r="R29" s="961"/>
      <c r="S29" s="680"/>
      <c r="T29" s="118"/>
      <c r="U29" s="118"/>
      <c r="V29" s="961"/>
      <c r="W29" s="680"/>
      <c r="X29" s="118"/>
      <c r="Y29" s="118"/>
      <c r="Z29" s="118"/>
      <c r="AA29" s="118"/>
      <c r="AB29" s="961"/>
      <c r="AC29" s="680"/>
      <c r="AD29" s="118"/>
      <c r="AE29" s="118"/>
      <c r="AF29" s="961"/>
      <c r="AG29" s="680"/>
      <c r="AH29" s="118"/>
      <c r="AI29" s="118"/>
      <c r="AJ29" s="961"/>
      <c r="AK29" s="680"/>
      <c r="AL29" s="118"/>
      <c r="AM29" s="118"/>
      <c r="AN29" s="118"/>
      <c r="AO29" s="118"/>
      <c r="AP29" s="961"/>
      <c r="AQ29" s="680"/>
      <c r="AR29" s="118"/>
      <c r="AS29" s="118"/>
      <c r="AT29" s="961"/>
      <c r="AU29" s="680"/>
      <c r="AV29" s="118"/>
      <c r="AW29" s="118"/>
      <c r="AX29" s="961"/>
      <c r="AY29" s="680"/>
      <c r="AZ29" s="118"/>
      <c r="BA29" s="118"/>
      <c r="BB29" s="118"/>
      <c r="BC29" s="118"/>
      <c r="BD29" s="118"/>
      <c r="BE29" s="118"/>
      <c r="BF29" s="26"/>
      <c r="BG29" s="26"/>
      <c r="BH29" s="26"/>
      <c r="BI29" s="26"/>
      <c r="BJ29" s="26"/>
    </row>
    <row r="30" spans="1:62" ht="14.25" customHeight="1" x14ac:dyDescent="0.3">
      <c r="B30" s="8" t="s">
        <v>388</v>
      </c>
      <c r="C30" s="13" t="s">
        <v>384</v>
      </c>
      <c r="D30" s="962">
        <f t="shared" ref="D30:K30" si="100">+D16/(D3*24)</f>
        <v>26</v>
      </c>
      <c r="E30" s="120">
        <f t="shared" si="100"/>
        <v>26</v>
      </c>
      <c r="F30" s="962">
        <f t="shared" ref="F30:G30" si="101">+F16/(F3*24)</f>
        <v>26</v>
      </c>
      <c r="G30" s="120">
        <f t="shared" si="101"/>
        <v>26</v>
      </c>
      <c r="H30" s="54">
        <f t="shared" si="100"/>
        <v>26</v>
      </c>
      <c r="I30" s="167">
        <f t="shared" si="100"/>
        <v>26</v>
      </c>
      <c r="J30" s="962">
        <f t="shared" si="100"/>
        <v>26</v>
      </c>
      <c r="K30" s="120">
        <f t="shared" si="100"/>
        <v>26</v>
      </c>
      <c r="L30" s="241">
        <f t="shared" ref="L30:Q30" si="102">+L16/(L3*24)</f>
        <v>26</v>
      </c>
      <c r="M30" s="436">
        <f t="shared" si="102"/>
        <v>26</v>
      </c>
      <c r="N30" s="962">
        <f t="shared" si="102"/>
        <v>26</v>
      </c>
      <c r="O30" s="120">
        <f t="shared" si="102"/>
        <v>26</v>
      </c>
      <c r="P30" s="54">
        <f t="shared" si="102"/>
        <v>26</v>
      </c>
      <c r="Q30" s="435">
        <f t="shared" si="102"/>
        <v>26</v>
      </c>
      <c r="R30" s="962">
        <f t="shared" ref="R30:S30" si="103">+R16/(R3*24)</f>
        <v>26</v>
      </c>
      <c r="S30" s="120">
        <f t="shared" si="103"/>
        <v>26</v>
      </c>
      <c r="T30" s="54">
        <f t="shared" ref="T30:W30" si="104">+T16/(T3*24)</f>
        <v>26</v>
      </c>
      <c r="U30" s="435">
        <f t="shared" si="104"/>
        <v>26</v>
      </c>
      <c r="V30" s="962">
        <f t="shared" si="104"/>
        <v>26</v>
      </c>
      <c r="W30" s="120">
        <f t="shared" si="104"/>
        <v>26</v>
      </c>
      <c r="X30" s="241">
        <f t="shared" ref="X30:Y30" si="105">+X16/(X3*24)</f>
        <v>26</v>
      </c>
      <c r="Y30" s="436">
        <f t="shared" si="105"/>
        <v>26</v>
      </c>
      <c r="Z30" s="462">
        <f t="shared" ref="Z30:AE30" si="106">+Z16/(Z3*24)</f>
        <v>26</v>
      </c>
      <c r="AA30" s="504">
        <f t="shared" si="106"/>
        <v>26</v>
      </c>
      <c r="AB30" s="962">
        <f t="shared" si="106"/>
        <v>26</v>
      </c>
      <c r="AC30" s="120">
        <f t="shared" si="106"/>
        <v>26</v>
      </c>
      <c r="AD30" s="54">
        <f t="shared" si="106"/>
        <v>26</v>
      </c>
      <c r="AE30" s="435">
        <f t="shared" si="106"/>
        <v>26</v>
      </c>
      <c r="AF30" s="962">
        <f t="shared" ref="AF30:AI30" si="107">+AF16/(AF3*24)</f>
        <v>26</v>
      </c>
      <c r="AG30" s="120">
        <f t="shared" si="107"/>
        <v>26</v>
      </c>
      <c r="AH30" s="54">
        <f t="shared" si="107"/>
        <v>26</v>
      </c>
      <c r="AI30" s="435">
        <f t="shared" si="107"/>
        <v>26</v>
      </c>
      <c r="AJ30" s="962">
        <f t="shared" ref="AJ30:AK30" si="108">+AJ16/(AJ3*24)</f>
        <v>26</v>
      </c>
      <c r="AK30" s="120">
        <f t="shared" si="108"/>
        <v>26</v>
      </c>
      <c r="AL30" s="241">
        <f t="shared" ref="AL30:AS30" si="109">+AL16/(AL3*24)</f>
        <v>26</v>
      </c>
      <c r="AM30" s="436">
        <f t="shared" si="109"/>
        <v>26</v>
      </c>
      <c r="AN30" s="54">
        <f t="shared" si="109"/>
        <v>26</v>
      </c>
      <c r="AO30" s="435">
        <f t="shared" si="109"/>
        <v>26</v>
      </c>
      <c r="AP30" s="962">
        <f t="shared" si="109"/>
        <v>26</v>
      </c>
      <c r="AQ30" s="120">
        <f t="shared" si="109"/>
        <v>26</v>
      </c>
      <c r="AR30" s="54">
        <f t="shared" si="109"/>
        <v>26</v>
      </c>
      <c r="AS30" s="435">
        <f t="shared" si="109"/>
        <v>26</v>
      </c>
      <c r="AT30" s="962">
        <f t="shared" ref="AT30:AW30" si="110">+AT16/(AT3*24)</f>
        <v>26</v>
      </c>
      <c r="AU30" s="120">
        <f t="shared" si="110"/>
        <v>26</v>
      </c>
      <c r="AV30" s="54">
        <f t="shared" si="110"/>
        <v>26</v>
      </c>
      <c r="AW30" s="435">
        <f t="shared" si="110"/>
        <v>26</v>
      </c>
      <c r="AX30" s="962">
        <f t="shared" ref="AX30:AY30" si="111">+AX16/(AX3*24)</f>
        <v>26</v>
      </c>
      <c r="AY30" s="120">
        <f t="shared" si="111"/>
        <v>26</v>
      </c>
      <c r="AZ30" s="241">
        <f t="shared" ref="AZ30:BE30" si="112">+AZ16/(AZ3*24)</f>
        <v>26</v>
      </c>
      <c r="BA30" s="436">
        <f t="shared" si="112"/>
        <v>26</v>
      </c>
      <c r="BB30" s="462">
        <f t="shared" si="112"/>
        <v>26</v>
      </c>
      <c r="BC30" s="504">
        <f t="shared" si="112"/>
        <v>26</v>
      </c>
      <c r="BD30" s="54">
        <f t="shared" si="112"/>
        <v>26</v>
      </c>
      <c r="BE30" s="435">
        <f t="shared" si="112"/>
        <v>26</v>
      </c>
      <c r="BF30" s="26"/>
      <c r="BG30" s="26"/>
      <c r="BH30" s="26"/>
      <c r="BI30" s="26"/>
      <c r="BJ30" s="26"/>
    </row>
    <row r="31" spans="1:62" ht="14.25" customHeight="1" x14ac:dyDescent="0.3">
      <c r="B31" s="3176" t="s">
        <v>555</v>
      </c>
      <c r="C31" s="13" t="s">
        <v>385</v>
      </c>
      <c r="D31" s="774">
        <f>+D24/D22*1000</f>
        <v>120.19230769230769</v>
      </c>
      <c r="E31" s="101">
        <f>+(E24*1000)/E16</f>
        <v>118.96367521367522</v>
      </c>
      <c r="F31" s="774">
        <f>+F24/F22*1000</f>
        <v>0</v>
      </c>
      <c r="G31" s="101">
        <f>+(G24*1000)/G16</f>
        <v>119.00330851943755</v>
      </c>
      <c r="H31" s="53">
        <f>+H24/H$22*1000</f>
        <v>59.110970996216899</v>
      </c>
      <c r="I31" s="107">
        <f>+(I24*1000)/I16</f>
        <v>118.98381672971837</v>
      </c>
      <c r="J31" s="774">
        <f>+J24/J22*1000</f>
        <v>0</v>
      </c>
      <c r="K31" s="101">
        <f>+(K24*1000)/K16</f>
        <v>119.12393162393163</v>
      </c>
      <c r="L31" s="77">
        <f>+L24/L$22*1000</f>
        <v>39.623837700760781</v>
      </c>
      <c r="M31" s="353">
        <f>+(M24*1000)/M16</f>
        <v>119.03000845308537</v>
      </c>
      <c r="N31" s="774">
        <f>+N24/N22*1000</f>
        <v>0</v>
      </c>
      <c r="O31" s="101">
        <f>+(O24*1000)/O16</f>
        <v>120.96774193548387</v>
      </c>
      <c r="P31" s="53">
        <f>+P24/P$22*1000</f>
        <v>29.55548549810845</v>
      </c>
      <c r="Q31" s="266">
        <f>+(Q24*1000)/Q16</f>
        <v>119.52238335435057</v>
      </c>
      <c r="R31" s="774">
        <f>+R24/R22*1000</f>
        <v>0</v>
      </c>
      <c r="S31" s="101">
        <f>+(S24*1000)/S16</f>
        <v>119.00330851943755</v>
      </c>
      <c r="T31" s="53">
        <f>+T24/T$22*1000</f>
        <v>23.567119155354447</v>
      </c>
      <c r="U31" s="266">
        <f>+(U24*1000)/U16</f>
        <v>119.41721132897604</v>
      </c>
      <c r="V31" s="774">
        <f>+V24/V22*1000</f>
        <v>0</v>
      </c>
      <c r="W31" s="101">
        <f>+(W24*1000)/W16</f>
        <v>119.01709401709402</v>
      </c>
      <c r="X31" s="77">
        <f>+X24/X$22*1000</f>
        <v>0</v>
      </c>
      <c r="Y31" s="353">
        <f>+(Y24*1000)/Y16</f>
        <v>119.66973244147157</v>
      </c>
      <c r="Z31" s="466">
        <f>+Z24/Z$22*1000</f>
        <v>19.703656998738968</v>
      </c>
      <c r="AA31" s="466">
        <f>+(AA24*1000)/AA16</f>
        <v>119.35161832702816</v>
      </c>
      <c r="AB31" s="774">
        <f>+AB24/AB22*1000</f>
        <v>128.2051282051282</v>
      </c>
      <c r="AC31" s="101">
        <f>+(AC24*1000)/AC16</f>
        <v>119.36517783291977</v>
      </c>
      <c r="AD31" s="53">
        <f>+AD24/AD$22*1000</f>
        <v>35.421159837047689</v>
      </c>
      <c r="AE31" s="266">
        <f>+(AE24*1000)/AE16</f>
        <v>119.35358255451713</v>
      </c>
      <c r="AF31" s="774">
        <f>+AF24/AF22*1000</f>
        <v>128.2051282051282</v>
      </c>
      <c r="AG31" s="101">
        <f>+(AG24*1000)/AG16</f>
        <v>120.94017094017094</v>
      </c>
      <c r="AH31" s="53">
        <f>+AH24/AH$22*1000</f>
        <v>46.829024800336271</v>
      </c>
      <c r="AI31" s="266">
        <f>+(AI24*1000)/AI16</f>
        <v>119.54865489701555</v>
      </c>
      <c r="AJ31" s="774">
        <f>+AJ24/AJ22*1000</f>
        <v>128.2051282051282</v>
      </c>
      <c r="AK31" s="101">
        <f>+(AK24*1000)/AK16</f>
        <v>118.95161290322581</v>
      </c>
      <c r="AL31" s="77">
        <f>+AL24/AL$22*1000</f>
        <v>128.2051282051282</v>
      </c>
      <c r="AM31" s="353">
        <f>+(AM24*1000)/AM16</f>
        <v>119.73940914158305</v>
      </c>
      <c r="AN31" s="53">
        <f>+AN24/AN$22*1000</f>
        <v>56.002331002330997</v>
      </c>
      <c r="AO31" s="266">
        <f>+(AO24*1000)/AO16</f>
        <v>119.48135198135198</v>
      </c>
      <c r="AP31" s="774">
        <f>+AP24/AP22*1000</f>
        <v>128.2051282051282</v>
      </c>
      <c r="AQ31" s="101">
        <f>+(AQ24*1000)/AQ16</f>
        <v>119.00330851943755</v>
      </c>
      <c r="AR31" s="53">
        <f>+AR24/AR$22*1000</f>
        <v>63.316993464052288</v>
      </c>
      <c r="AS31" s="266">
        <f>+(AS24*1000)/AS16</f>
        <v>119.43292274174627</v>
      </c>
      <c r="AT31" s="774">
        <f>+AT24/AT22*1000</f>
        <v>128.2051282051282</v>
      </c>
      <c r="AU31" s="101">
        <f>+(AU24*1000)/AU16</f>
        <v>118.99038461538461</v>
      </c>
      <c r="AV31" s="53">
        <f>+AV24/AV$22*1000</f>
        <v>68.756717334561657</v>
      </c>
      <c r="AW31" s="266">
        <f>+(AW24*1000)/AW16</f>
        <v>119.3958237371411</v>
      </c>
      <c r="AX31" s="774">
        <f>+AX24/AX22*1000</f>
        <v>128.2051282051282</v>
      </c>
      <c r="AY31" s="101">
        <f>+(AY24*1000)/AY16</f>
        <v>120.55417700578991</v>
      </c>
      <c r="AZ31" s="77">
        <f>+AZ24/AZ$22*1000</f>
        <v>128.2051282051282</v>
      </c>
      <c r="BA31" s="353">
        <f>+(BA24*1000)/BA16</f>
        <v>119.53347578347578</v>
      </c>
      <c r="BB31" s="466">
        <f>+BB24/BB$22*1000</f>
        <v>128.2051282051282</v>
      </c>
      <c r="BC31" s="466">
        <f>+(BC24*1000)/BC16</f>
        <v>119.63757396449704</v>
      </c>
      <c r="BD31" s="53">
        <f>+BD24/BD$22*1000</f>
        <v>73.805760449596065</v>
      </c>
      <c r="BE31" s="266">
        <f>+(BE24*1000)/BE16</f>
        <v>119.49420442571127</v>
      </c>
      <c r="BF31" s="26"/>
      <c r="BG31" s="26"/>
      <c r="BH31" s="26"/>
      <c r="BI31" s="26"/>
      <c r="BJ31" s="26"/>
    </row>
    <row r="32" spans="1:62" ht="15" customHeight="1" x14ac:dyDescent="0.25">
      <c r="B32" s="3176" t="s">
        <v>389</v>
      </c>
      <c r="C32" s="13" t="s">
        <v>386</v>
      </c>
      <c r="D32" s="155">
        <f>+D25/D22*1000</f>
        <v>0</v>
      </c>
      <c r="E32" s="18">
        <f>+(E25*1000)/E16</f>
        <v>0</v>
      </c>
      <c r="F32" s="155">
        <f>+F25/F22*1000</f>
        <v>0</v>
      </c>
      <c r="G32" s="18">
        <f>+(G25*1000)/G16</f>
        <v>0</v>
      </c>
      <c r="H32" s="61">
        <f>+H25/H$22*1000</f>
        <v>0</v>
      </c>
      <c r="I32" s="39">
        <f>+(I25*1000)/I16</f>
        <v>0</v>
      </c>
      <c r="J32" s="155">
        <f>+J25/J22*1000</f>
        <v>0</v>
      </c>
      <c r="K32" s="18">
        <f>+(K25*1000)/K16</f>
        <v>0</v>
      </c>
      <c r="L32" s="72">
        <f>+L25/L$22*1000</f>
        <v>0</v>
      </c>
      <c r="M32" s="781">
        <f>+(M25*1000)/M16</f>
        <v>0</v>
      </c>
      <c r="N32" s="155">
        <f>+N25/N22*1000</f>
        <v>0</v>
      </c>
      <c r="O32" s="18">
        <f>+(O25*1000)/O16</f>
        <v>0</v>
      </c>
      <c r="P32" s="61">
        <f>+P25/P$22*1000</f>
        <v>0</v>
      </c>
      <c r="Q32" s="782">
        <f>+(Q25*1000)/Q16</f>
        <v>0</v>
      </c>
      <c r="R32" s="155">
        <f>+R25/R22*1000</f>
        <v>0</v>
      </c>
      <c r="S32" s="18">
        <f>+(S25*1000)/S16</f>
        <v>0</v>
      </c>
      <c r="T32" s="61">
        <f>+T25/T$22*1000</f>
        <v>0</v>
      </c>
      <c r="U32" s="782">
        <f>+(U25*1000)/U16</f>
        <v>0</v>
      </c>
      <c r="V32" s="155">
        <f>+V25/V22*1000</f>
        <v>0</v>
      </c>
      <c r="W32" s="18">
        <f>+(W25*1000)/W16</f>
        <v>0</v>
      </c>
      <c r="X32" s="72">
        <f>+X25/X$22*1000</f>
        <v>0</v>
      </c>
      <c r="Y32" s="781">
        <f>+(Y25*1000)/Y16</f>
        <v>0</v>
      </c>
      <c r="Z32" s="465">
        <f>+Z25/Z$22*1000</f>
        <v>0</v>
      </c>
      <c r="AA32" s="465">
        <f>+(AA25*1000)/AA16</f>
        <v>0</v>
      </c>
      <c r="AB32" s="155">
        <f>+AB25/AB22*1000</f>
        <v>0</v>
      </c>
      <c r="AC32" s="18">
        <f>+(AC25*1000)/AC16</f>
        <v>0</v>
      </c>
      <c r="AD32" s="61">
        <f>+AD25/AD$22*1000</f>
        <v>0</v>
      </c>
      <c r="AE32" s="782">
        <f>+(AE25*1000)/AE16</f>
        <v>0</v>
      </c>
      <c r="AF32" s="155">
        <f>+AF25/AF22*1000</f>
        <v>0</v>
      </c>
      <c r="AG32" s="18">
        <f>+(AG25*1000)/AG16</f>
        <v>0</v>
      </c>
      <c r="AH32" s="61">
        <f>+AH25/AH$22*1000</f>
        <v>0</v>
      </c>
      <c r="AI32" s="782">
        <f>+(AI25*1000)/AI16</f>
        <v>0</v>
      </c>
      <c r="AJ32" s="155">
        <f>+AJ25/AJ22*1000</f>
        <v>0</v>
      </c>
      <c r="AK32" s="18">
        <f>+(AK25*1000)/AK16</f>
        <v>0</v>
      </c>
      <c r="AL32" s="72">
        <f>+AL25/AL$22*1000</f>
        <v>0</v>
      </c>
      <c r="AM32" s="781">
        <f>+(AM25*1000)/AM16</f>
        <v>0</v>
      </c>
      <c r="AN32" s="61">
        <f>+AN25/AN$22*1000</f>
        <v>0</v>
      </c>
      <c r="AO32" s="782">
        <f>+(AO25*1000)/AO16</f>
        <v>0</v>
      </c>
      <c r="AP32" s="155">
        <f>+AP25/AP22*1000</f>
        <v>0</v>
      </c>
      <c r="AQ32" s="18">
        <f>+(AQ25*1000)/AQ16</f>
        <v>0</v>
      </c>
      <c r="AR32" s="61">
        <f>+AR25/AR$22*1000</f>
        <v>0</v>
      </c>
      <c r="AS32" s="782">
        <f>+(AS25*1000)/AS16</f>
        <v>0</v>
      </c>
      <c r="AT32" s="155">
        <f>+AT25/AT22*1000</f>
        <v>0</v>
      </c>
      <c r="AU32" s="18">
        <f>+(AU25*1000)/AU16</f>
        <v>0</v>
      </c>
      <c r="AV32" s="61">
        <f>+AV25/AV$22*1000</f>
        <v>0</v>
      </c>
      <c r="AW32" s="782">
        <f>+(AW25*1000)/AW16</f>
        <v>0</v>
      </c>
      <c r="AX32" s="155">
        <f>+AX25/AX22*1000</f>
        <v>0</v>
      </c>
      <c r="AY32" s="18">
        <f>+(AY25*1000)/AY16</f>
        <v>0</v>
      </c>
      <c r="AZ32" s="72">
        <f>+AZ25/AZ$22*1000</f>
        <v>0</v>
      </c>
      <c r="BA32" s="781">
        <f>+(BA25*1000)/BA16</f>
        <v>0</v>
      </c>
      <c r="BB32" s="465">
        <f>+BB25/BB$22*1000</f>
        <v>0</v>
      </c>
      <c r="BC32" s="465">
        <f>+(BC25*1000)/BC16</f>
        <v>0</v>
      </c>
      <c r="BD32" s="61">
        <f>+BD25/BD$22*1000</f>
        <v>0</v>
      </c>
      <c r="BE32" s="782">
        <f>+(BE25*1000)/BE16</f>
        <v>0</v>
      </c>
      <c r="BF32" s="26"/>
      <c r="BG32" s="26"/>
      <c r="BH32" s="26"/>
      <c r="BI32" s="26"/>
      <c r="BJ32" s="26"/>
    </row>
    <row r="33" spans="1:62" x14ac:dyDescent="0.25">
      <c r="B33" s="3176" t="s">
        <v>390</v>
      </c>
      <c r="C33" s="13" t="s">
        <v>386</v>
      </c>
      <c r="D33" s="774">
        <f>+D26/D22*1000</f>
        <v>115.38461538461539</v>
      </c>
      <c r="E33" s="101">
        <f>+(E26*1000)/E16</f>
        <v>152.23183760683762</v>
      </c>
      <c r="F33" s="774">
        <f>+F26/F22*1000</f>
        <v>0</v>
      </c>
      <c r="G33" s="101">
        <f>+(G26*1000)/G16</f>
        <v>147.85359801488835</v>
      </c>
      <c r="H33" s="53">
        <f>+H26/H$22*1000</f>
        <v>56.746532156368218</v>
      </c>
      <c r="I33" s="107">
        <f>+(I26*1000)/I16</f>
        <v>150.00683060109293</v>
      </c>
      <c r="J33" s="774">
        <f>+J26/J22*1000</f>
        <v>0</v>
      </c>
      <c r="K33" s="101">
        <f>+(K26*1000)/K16</f>
        <v>146.38118781471715</v>
      </c>
      <c r="L33" s="77">
        <f>+L26/L$22*1000</f>
        <v>38.03888419273035</v>
      </c>
      <c r="M33" s="353">
        <f>+(M26*1000)/M16</f>
        <v>148.81156374844156</v>
      </c>
      <c r="N33" s="774">
        <f>+N26/N22*1000</f>
        <v>0</v>
      </c>
      <c r="O33" s="101">
        <f>+(O26*1000)/O16</f>
        <v>146.60049627791562</v>
      </c>
      <c r="P33" s="53">
        <f>+P26/P$22*1000</f>
        <v>28.373266078184109</v>
      </c>
      <c r="Q33" s="266">
        <f>+(Q26*1000)/Q16</f>
        <v>148.2497351288817</v>
      </c>
      <c r="R33" s="774">
        <f>+R26/R22*1000</f>
        <v>0</v>
      </c>
      <c r="S33" s="101">
        <f>+(S26*1000)/S16</f>
        <v>141.81141439205956</v>
      </c>
      <c r="T33" s="53">
        <f>+T26/T$22*1000</f>
        <v>22.624434389140269</v>
      </c>
      <c r="U33" s="266">
        <f>+(U26*1000)/U16</f>
        <v>146.9452387704406</v>
      </c>
      <c r="V33" s="774">
        <f>+V26/V22*1000</f>
        <v>0</v>
      </c>
      <c r="W33" s="101">
        <f>+(W26*1000)/W16</f>
        <v>150.08920940170941</v>
      </c>
      <c r="X33" s="77">
        <f>+X26/X$22*1000</f>
        <v>0</v>
      </c>
      <c r="Y33" s="353">
        <f>+(Y26*1000)/Y16</f>
        <v>146.12440774804907</v>
      </c>
      <c r="Z33" s="466">
        <f>+Z26/Z$22*1000</f>
        <v>18.915510718789406</v>
      </c>
      <c r="AA33" s="466">
        <f>+(AA26*1000)/AA16</f>
        <v>147.46064379196005</v>
      </c>
      <c r="AB33" s="774">
        <f>+AB26/AB22*1000</f>
        <v>146.15384615384613</v>
      </c>
      <c r="AC33" s="101">
        <f>+(AC26*1000)/AC16</f>
        <v>163.45647185353167</v>
      </c>
      <c r="AD33" s="53">
        <f>+AD26/AD$22*1000</f>
        <v>37.347232207045295</v>
      </c>
      <c r="AE33" s="266">
        <f>+(AE26*1000)/AE16</f>
        <v>149.77779645508494</v>
      </c>
      <c r="AF33" s="774">
        <f>+AF26/AF22*1000</f>
        <v>146.15384615384616</v>
      </c>
      <c r="AG33" s="101">
        <f>+(AG26*1000)/AG16</f>
        <v>113.5726495726495</v>
      </c>
      <c r="AH33" s="53">
        <f>+AH26/AH$22*1000</f>
        <v>50.725094577553591</v>
      </c>
      <c r="AI33" s="266">
        <f>+(AI26*1000)/AI16</f>
        <v>145.32634396953958</v>
      </c>
      <c r="AJ33" s="774">
        <f>+AJ26/AJ22*1000</f>
        <v>146.15384615384613</v>
      </c>
      <c r="AK33" s="101">
        <f>+(AK26*1000)/AK16</f>
        <v>162.56848500002354</v>
      </c>
      <c r="AL33" s="77">
        <f>+AL26/AL$22*1000</f>
        <v>146.15384615384613</v>
      </c>
      <c r="AM33" s="353">
        <f>+(AM26*1000)/AM16</f>
        <v>146.89079510477927</v>
      </c>
      <c r="AN33" s="53">
        <f>+AN26/AN$22*1000</f>
        <v>61.48251748251748</v>
      </c>
      <c r="AO33" s="266">
        <f>+(AO26*1000)/AO16</f>
        <v>147.27000350388505</v>
      </c>
      <c r="AP33" s="774">
        <f>+AP26/AP22*1000</f>
        <v>146.15384615384613</v>
      </c>
      <c r="AQ33" s="101">
        <f>+(AQ26*1000)/AQ16</f>
        <v>177.23997105045493</v>
      </c>
      <c r="AR33" s="53">
        <f>+AR26/AR$22*1000</f>
        <v>70.060331825037693</v>
      </c>
      <c r="AS33" s="266">
        <f>+(AS26*1000)/AS16</f>
        <v>150.30617668670746</v>
      </c>
      <c r="AT33" s="774">
        <f>+AT26/AT22*1000</f>
        <v>146.15384615384616</v>
      </c>
      <c r="AU33" s="101">
        <f>+(AU26*1000)/AU16</f>
        <v>152.6119533758804</v>
      </c>
      <c r="AV33" s="53">
        <f>+AV26/AV$22*1000</f>
        <v>76.439428834638406</v>
      </c>
      <c r="AW33" s="266">
        <f>+(AW26*1000)/AW16</f>
        <v>150.49947533130879</v>
      </c>
      <c r="AX33" s="774">
        <f>+AX26/AX22*1000</f>
        <v>146.15384615384613</v>
      </c>
      <c r="AY33" s="101">
        <f>+(AY26*1000)/AY16</f>
        <v>145.23573200992553</v>
      </c>
      <c r="AZ33" s="77">
        <f>+AZ26/AZ$22*1000</f>
        <v>146.15384615384616</v>
      </c>
      <c r="BA33" s="353">
        <f>+(BA26*1000)/BA16</f>
        <v>158.5542387710716</v>
      </c>
      <c r="BB33" s="466">
        <f>+BB26/BB$22*1000</f>
        <v>146.15384615384616</v>
      </c>
      <c r="BC33" s="466">
        <f>+(BC26*1000)/BC16</f>
        <v>152.65843208261614</v>
      </c>
      <c r="BD33" s="53">
        <f>+BD26/BD$22*1000</f>
        <v>82.360379346680716</v>
      </c>
      <c r="BE33" s="266">
        <f>+(BE26*1000)/BE16</f>
        <v>150.0524176793557</v>
      </c>
      <c r="BF33" s="26"/>
      <c r="BG33" s="26"/>
      <c r="BH33" s="26"/>
      <c r="BI33" s="26"/>
      <c r="BJ33" s="26"/>
    </row>
    <row r="34" spans="1:62" ht="15" customHeight="1" x14ac:dyDescent="0.3">
      <c r="B34" s="3176" t="s">
        <v>391</v>
      </c>
      <c r="C34" s="13" t="s">
        <v>387</v>
      </c>
      <c r="D34" s="155">
        <f>+D27/D22*1000</f>
        <v>0</v>
      </c>
      <c r="E34" s="18">
        <f>+(E27*1000)/E16</f>
        <v>0</v>
      </c>
      <c r="F34" s="155">
        <f>+F27/F22*1000</f>
        <v>0</v>
      </c>
      <c r="G34" s="18">
        <f>+(G27*1000)/G16</f>
        <v>0</v>
      </c>
      <c r="H34" s="61">
        <f>+H27/H$22*1000</f>
        <v>0</v>
      </c>
      <c r="I34" s="39">
        <f>+(I27*1000)/I16</f>
        <v>0</v>
      </c>
      <c r="J34" s="155">
        <f>+J27/J22*1000</f>
        <v>0</v>
      </c>
      <c r="K34" s="18">
        <f>+(K27*1000)/K16</f>
        <v>0</v>
      </c>
      <c r="L34" s="383">
        <f>+L27/L$22*1000</f>
        <v>0</v>
      </c>
      <c r="M34" s="781">
        <f>+(M27*1000)/M16</f>
        <v>0</v>
      </c>
      <c r="N34" s="155">
        <f>+N27/N22*1000</f>
        <v>0</v>
      </c>
      <c r="O34" s="18">
        <f>+(O27*1000)/O16</f>
        <v>0</v>
      </c>
      <c r="P34" s="83">
        <f>+P27/P$22*1000</f>
        <v>0</v>
      </c>
      <c r="Q34" s="782">
        <f>+(Q27*1000)/Q16</f>
        <v>0</v>
      </c>
      <c r="R34" s="155">
        <f>+R27/R22*1000</f>
        <v>0</v>
      </c>
      <c r="S34" s="18">
        <f>+(S27*1000)/S16</f>
        <v>0</v>
      </c>
      <c r="T34" s="83">
        <f>+T27/T$22*1000</f>
        <v>0</v>
      </c>
      <c r="U34" s="782">
        <f>+(U27*1000)/U16</f>
        <v>0</v>
      </c>
      <c r="V34" s="155">
        <f>+V27/V22*1000</f>
        <v>0</v>
      </c>
      <c r="W34" s="18">
        <f>+(W27*1000)/W16</f>
        <v>0</v>
      </c>
      <c r="X34" s="383">
        <f>+X27/X$22*1000</f>
        <v>0</v>
      </c>
      <c r="Y34" s="781">
        <f>+(Y27*1000)/Y16</f>
        <v>0</v>
      </c>
      <c r="Z34" s="465">
        <f>+Z27/Z$22*1000</f>
        <v>0</v>
      </c>
      <c r="AA34" s="465">
        <f>+(AA27*1000)/AA16</f>
        <v>0</v>
      </c>
      <c r="AB34" s="155">
        <f>+AB27/AB22*1000</f>
        <v>0</v>
      </c>
      <c r="AC34" s="18">
        <f>+(AC27*1000)/AC16</f>
        <v>0</v>
      </c>
      <c r="AD34" s="83">
        <f>+AD27/AD$22*1000</f>
        <v>0</v>
      </c>
      <c r="AE34" s="782">
        <f>+(AE27*1000)/AE16</f>
        <v>0</v>
      </c>
      <c r="AF34" s="155">
        <f>+AF27/AF22*1000</f>
        <v>0</v>
      </c>
      <c r="AG34" s="18">
        <f>+(AG27*1000)/AG16</f>
        <v>0</v>
      </c>
      <c r="AH34" s="83">
        <f>+AH27/AH$22*1000</f>
        <v>0</v>
      </c>
      <c r="AI34" s="782">
        <f>+(AI27*1000)/AI16</f>
        <v>0</v>
      </c>
      <c r="AJ34" s="155">
        <f>+AJ27/AJ22*1000</f>
        <v>0</v>
      </c>
      <c r="AK34" s="18">
        <f>+(AK27*1000)/AK16</f>
        <v>0</v>
      </c>
      <c r="AL34" s="383">
        <f>+AL27/AL$22*1000</f>
        <v>0</v>
      </c>
      <c r="AM34" s="781">
        <f>+(AM27*1000)/AM16</f>
        <v>0</v>
      </c>
      <c r="AN34" s="83">
        <f>+AN27/AN$22*1000</f>
        <v>0</v>
      </c>
      <c r="AO34" s="782">
        <f>+(AO27*1000)/AO16</f>
        <v>0</v>
      </c>
      <c r="AP34" s="155">
        <f>+AP27/AP22*1000</f>
        <v>0</v>
      </c>
      <c r="AQ34" s="18">
        <f>+(AQ27*1000)/AQ16</f>
        <v>0</v>
      </c>
      <c r="AR34" s="83">
        <f>+AR27/AR$22*1000</f>
        <v>0</v>
      </c>
      <c r="AS34" s="782">
        <f>+(AS27*1000)/AS16</f>
        <v>0</v>
      </c>
      <c r="AT34" s="155">
        <f>+AT27/AT22*1000</f>
        <v>0</v>
      </c>
      <c r="AU34" s="18">
        <f>+(AU27*1000)/AU16</f>
        <v>0</v>
      </c>
      <c r="AV34" s="83">
        <f>+AV27/AV$22*1000</f>
        <v>0</v>
      </c>
      <c r="AW34" s="782">
        <f>+(AW27*1000)/AW16</f>
        <v>0</v>
      </c>
      <c r="AX34" s="155">
        <f>+AX27/AX22*1000</f>
        <v>0</v>
      </c>
      <c r="AY34" s="18">
        <f>+(AY27*1000)/AY16</f>
        <v>0</v>
      </c>
      <c r="AZ34" s="383">
        <f>+AZ27/AZ$22*1000</f>
        <v>0</v>
      </c>
      <c r="BA34" s="781">
        <f>+(BA27*1000)/BA16</f>
        <v>0</v>
      </c>
      <c r="BB34" s="465">
        <f>+BB27/BB$22*1000</f>
        <v>0</v>
      </c>
      <c r="BC34" s="465">
        <f>+(BC27*1000)/BC16</f>
        <v>0</v>
      </c>
      <c r="BD34" s="83">
        <f>+BD27/BD$22*1000</f>
        <v>0</v>
      </c>
      <c r="BE34" s="782">
        <f>+(BE27*1000)/BE16</f>
        <v>0</v>
      </c>
      <c r="BF34" s="26"/>
      <c r="BG34" s="26"/>
      <c r="BH34" s="26"/>
      <c r="BI34" s="26"/>
      <c r="BJ34" s="26"/>
    </row>
    <row r="35" spans="1:62" ht="15" customHeight="1" thickBot="1" x14ac:dyDescent="0.35">
      <c r="A35" s="1767">
        <v>1.125079186</v>
      </c>
      <c r="B35" s="3180" t="s">
        <v>392</v>
      </c>
      <c r="C35" s="730" t="s">
        <v>552</v>
      </c>
      <c r="D35" s="1863">
        <v>0.97424423076923072</v>
      </c>
      <c r="E35" s="5424">
        <v>1.0589999999999999</v>
      </c>
      <c r="F35" s="5521" t="s">
        <v>32</v>
      </c>
      <c r="G35" s="5424">
        <v>1.042</v>
      </c>
      <c r="H35" s="5424" t="e">
        <f>+((D35*D22)+(F35*F22))/H22</f>
        <v>#VALUE!</v>
      </c>
      <c r="I35" s="5425">
        <f>+((E35*E16)+(G35*G16))/I16</f>
        <v>1.050360655737705</v>
      </c>
      <c r="J35" s="5521" t="s">
        <v>32</v>
      </c>
      <c r="K35" s="5424">
        <v>1.0356000000000001</v>
      </c>
      <c r="L35" s="5533" t="e">
        <f>+((H35*H22)+(J35*J22))/L22</f>
        <v>#VALUE!</v>
      </c>
      <c r="M35" s="1542">
        <f>+((I35*I16)+(K35*K16))/M16</f>
        <v>1.0454945054945055</v>
      </c>
      <c r="N35" s="5521" t="s">
        <v>32</v>
      </c>
      <c r="O35" s="5424">
        <v>1.0429999999999999</v>
      </c>
      <c r="P35" s="5534" t="e">
        <f>+((L35*L22)+(N35*N22))/P22</f>
        <v>#VALUE!</v>
      </c>
      <c r="Q35" s="1768">
        <f>+((M35*M16)+(O35*O16))/Q16</f>
        <v>1.0448606557377049</v>
      </c>
      <c r="R35" s="5521" t="s">
        <v>32</v>
      </c>
      <c r="S35" s="5424">
        <v>1.0169999999999999</v>
      </c>
      <c r="T35" s="5534" t="e">
        <f>+((P35*P22)+(R35*R22))/T22</f>
        <v>#VALUE!</v>
      </c>
      <c r="U35" s="1768">
        <f>+((Q35*Q16)+(S35*S16))/U16</f>
        <v>1.0392156862745099</v>
      </c>
      <c r="V35" s="5521" t="s">
        <v>32</v>
      </c>
      <c r="W35" s="5424">
        <v>1.0509999999999999</v>
      </c>
      <c r="X35" s="5533" t="e">
        <f>+((N35*N22)+(R35*R22)+(V35*V22))/X22</f>
        <v>#VALUE!</v>
      </c>
      <c r="Y35" s="1542">
        <f>+((O35*O22)+(S35*S22)+(W35*W22))/Y22</f>
        <v>1.0368478260869565</v>
      </c>
      <c r="Z35" s="5644" t="e">
        <f>+((T35*T22)+(V35*V22))/Z22</f>
        <v>#VALUE!</v>
      </c>
      <c r="AA35" s="2321">
        <f>+((U35*U16)+(W35*W16))/AA16</f>
        <v>1.0411475409836066</v>
      </c>
      <c r="AB35" s="1863">
        <v>1.1738291859999999</v>
      </c>
      <c r="AC35" s="1863">
        <v>1.1080000000000001</v>
      </c>
      <c r="AD35" s="1768" t="e">
        <f>+((Z35*Z22)+(AB35*AB22))/AD22</f>
        <v>#VALUE!</v>
      </c>
      <c r="AE35" s="1768">
        <f>+((AA35*AA16)+(AC35*AC16))/AE16</f>
        <v>1.0508317757009347</v>
      </c>
      <c r="AF35" s="1863">
        <v>1.1738291859999999</v>
      </c>
      <c r="AG35" s="1863">
        <v>0.90200000000000002</v>
      </c>
      <c r="AH35" s="1768" t="e">
        <f>+((AD35*AD22)+(AF35*AF22))/AH22</f>
        <v>#VALUE!</v>
      </c>
      <c r="AI35" s="1768">
        <f>+((AE35*AE16)+(AG35*AG16))/AI16</f>
        <v>1.0325327868852459</v>
      </c>
      <c r="AJ35" s="1863">
        <v>1.1738291859999999</v>
      </c>
      <c r="AK35" s="1863">
        <v>1.1040000000000001</v>
      </c>
      <c r="AL35" s="1542">
        <f>+((AB35*AB22)+(AF35*AF22)+(AJ35*AJ22))/AL22</f>
        <v>1.1738291859999999</v>
      </c>
      <c r="AM35" s="1542">
        <f>+((AC35*AC22)+(AG35*AG22)+(AK35*AK22))/AM22</f>
        <v>1.0394782608695652</v>
      </c>
      <c r="AN35" s="1768" t="e">
        <f>+((AH35*AH22)+(AJ35*AJ22))/AN22</f>
        <v>#VALUE!</v>
      </c>
      <c r="AO35" s="1768">
        <f>+((AI35*AI16)+(AK35*AK16))/AO16</f>
        <v>1.0405890909090909</v>
      </c>
      <c r="AP35" s="1863">
        <v>1.1738291859999999</v>
      </c>
      <c r="AQ35" s="1863">
        <v>1.165</v>
      </c>
      <c r="AR35" s="1768" t="e">
        <f>+((AN35*AN22)+(AP35*AP22))/AR22</f>
        <v>#VALUE!</v>
      </c>
      <c r="AS35" s="1768">
        <f>+((AO35*AO16)+(AQ35*AQ16))/AS16</f>
        <v>1.0531928104575163</v>
      </c>
      <c r="AT35" s="1863">
        <v>1.1738291859999999</v>
      </c>
      <c r="AU35" s="1863">
        <v>1.0620000000000001</v>
      </c>
      <c r="AV35" s="1768" t="e">
        <f>+((AR35*AR22)+(AT35*AT22))/AV22</f>
        <v>#VALUE!</v>
      </c>
      <c r="AW35" s="1768">
        <f>+((AS35*AS16)+(AU35*AU16))/AW16</f>
        <v>1.0539311377245508</v>
      </c>
      <c r="AX35" s="1863">
        <v>1.1738291859999999</v>
      </c>
      <c r="AY35" s="1863">
        <v>1.036</v>
      </c>
      <c r="AZ35" s="1542">
        <f>+((AP35*AP22)+(AT35*AT22)+(AX35*AX22))/AZ22</f>
        <v>1.1738291860000001</v>
      </c>
      <c r="BA35" s="1542">
        <f>+((AQ35*AQ22)+(AU35*AU22)+(AY35*AY22))/BA22</f>
        <v>1.0885222222222224</v>
      </c>
      <c r="BB35" s="2321">
        <f>+((AL35*AL22)+(AZ35*AZ22))/BB22</f>
        <v>1.1738291860000001</v>
      </c>
      <c r="BC35" s="2321">
        <f>+((AM35*AM16)+(BA35*BA16))/BC16</f>
        <v>1.0637307692307694</v>
      </c>
      <c r="BD35" s="1768" t="e">
        <f>+((AV35*AV22)+(AX35*AX22))/BD22</f>
        <v>#VALUE!</v>
      </c>
      <c r="BE35" s="1768">
        <f>+((AW35*AW16)+(AY35*AY16))/BE16</f>
        <v>1.0524082191780821</v>
      </c>
      <c r="BF35" s="26"/>
      <c r="BG35" s="26"/>
      <c r="BH35" s="26"/>
      <c r="BI35" s="26"/>
      <c r="BJ35" s="26"/>
    </row>
    <row r="36" spans="1:62" ht="23.85" customHeight="1" thickTop="1" x14ac:dyDescent="0.3">
      <c r="B36" s="949" t="s">
        <v>457</v>
      </c>
      <c r="C36" s="214"/>
      <c r="D36" s="3163"/>
      <c r="E36" s="3164"/>
      <c r="F36" s="3163"/>
      <c r="G36" s="3164"/>
      <c r="H36" s="214"/>
      <c r="I36" s="214"/>
      <c r="J36" s="3163"/>
      <c r="K36" s="3164"/>
      <c r="L36" s="137"/>
      <c r="M36" s="137"/>
      <c r="N36" s="3163"/>
      <c r="O36" s="3164"/>
      <c r="P36" s="137"/>
      <c r="Q36" s="137"/>
      <c r="R36" s="3163"/>
      <c r="S36" s="3164"/>
      <c r="T36" s="137"/>
      <c r="U36" s="137"/>
      <c r="V36" s="3163"/>
      <c r="W36" s="3164"/>
      <c r="X36" s="137"/>
      <c r="Y36" s="137"/>
      <c r="Z36" s="137"/>
      <c r="AA36" s="137"/>
      <c r="AB36" s="3163"/>
      <c r="AC36" s="3164"/>
      <c r="AD36" s="137"/>
      <c r="AE36" s="137"/>
      <c r="AF36" s="3163"/>
      <c r="AG36" s="3164"/>
      <c r="AH36" s="137"/>
      <c r="AI36" s="137"/>
      <c r="AJ36" s="3163"/>
      <c r="AK36" s="3164"/>
      <c r="AL36" s="137"/>
      <c r="AM36" s="137"/>
      <c r="AN36" s="137"/>
      <c r="AO36" s="137"/>
      <c r="AP36" s="3163"/>
      <c r="AQ36" s="3164"/>
      <c r="AR36" s="137"/>
      <c r="AS36" s="137"/>
      <c r="AT36" s="3163"/>
      <c r="AU36" s="3164"/>
      <c r="AV36" s="137"/>
      <c r="AW36" s="137"/>
      <c r="AX36" s="3163"/>
      <c r="AY36" s="3164"/>
      <c r="AZ36" s="137"/>
      <c r="BA36" s="137"/>
      <c r="BB36" s="137"/>
      <c r="BC36" s="137"/>
      <c r="BD36" s="137"/>
      <c r="BE36" s="137"/>
      <c r="BF36" s="26"/>
      <c r="BG36" s="26"/>
      <c r="BH36" s="26"/>
      <c r="BI36" s="26"/>
      <c r="BJ36" s="26"/>
    </row>
    <row r="37" spans="1:62" ht="19.5" thickBot="1" x14ac:dyDescent="0.3">
      <c r="B37" s="3184" t="s">
        <v>401</v>
      </c>
      <c r="C37" s="3185"/>
      <c r="D37" s="3186"/>
      <c r="E37" s="3187"/>
      <c r="F37" s="3186"/>
      <c r="G37" s="3187"/>
      <c r="H37" s="3185"/>
      <c r="I37" s="3185"/>
      <c r="J37" s="3186"/>
      <c r="K37" s="3187"/>
      <c r="L37" s="7"/>
      <c r="M37" s="415"/>
      <c r="N37" s="3186"/>
      <c r="O37" s="3187"/>
      <c r="P37" s="7"/>
      <c r="Q37" s="415"/>
      <c r="R37" s="3186"/>
      <c r="S37" s="3187"/>
      <c r="T37" s="7"/>
      <c r="U37" s="415"/>
      <c r="V37" s="3186"/>
      <c r="W37" s="3187"/>
      <c r="X37" s="7"/>
      <c r="Y37" s="415"/>
      <c r="Z37" s="7"/>
      <c r="AA37" s="415"/>
      <c r="AB37" s="3186"/>
      <c r="AC37" s="3187"/>
      <c r="AD37" s="7"/>
      <c r="AE37" s="415"/>
      <c r="AF37" s="3186"/>
      <c r="AG37" s="3187"/>
      <c r="AH37" s="7"/>
      <c r="AI37" s="415"/>
      <c r="AJ37" s="3186"/>
      <c r="AK37" s="3187"/>
      <c r="AL37" s="7"/>
      <c r="AM37" s="415"/>
      <c r="AN37" s="7"/>
      <c r="AO37" s="415"/>
      <c r="AP37" s="3186"/>
      <c r="AQ37" s="3187"/>
      <c r="AR37" s="7"/>
      <c r="AS37" s="415"/>
      <c r="AT37" s="3186"/>
      <c r="AU37" s="3187"/>
      <c r="AV37" s="7"/>
      <c r="AW37" s="415"/>
      <c r="AX37" s="3186"/>
      <c r="AY37" s="3187"/>
      <c r="AZ37" s="7"/>
      <c r="BA37" s="415"/>
      <c r="BB37" s="7"/>
      <c r="BC37" s="415"/>
      <c r="BD37" s="7"/>
      <c r="BE37" s="415"/>
      <c r="BF37" s="26"/>
      <c r="BG37" s="26"/>
      <c r="BH37" s="26"/>
      <c r="BI37" s="26"/>
      <c r="BJ37" s="26"/>
    </row>
    <row r="38" spans="1:62" x14ac:dyDescent="0.25">
      <c r="B38" s="6259" t="s">
        <v>394</v>
      </c>
      <c r="C38" s="88" t="s">
        <v>393</v>
      </c>
      <c r="D38" s="6229"/>
      <c r="E38" s="277">
        <v>9374.7000000000007</v>
      </c>
      <c r="F38" s="6229"/>
      <c r="G38" s="277">
        <v>10154.1</v>
      </c>
      <c r="H38" s="6265"/>
      <c r="I38" s="416">
        <f>+E38+G38</f>
        <v>19528.800000000003</v>
      </c>
      <c r="J38" s="6229"/>
      <c r="K38" s="277">
        <v>11468.4</v>
      </c>
      <c r="L38" s="6235"/>
      <c r="M38" s="425">
        <f>E38+G38+K38</f>
        <v>30997.200000000004</v>
      </c>
      <c r="N38" s="6229"/>
      <c r="O38" s="277">
        <v>12012.4</v>
      </c>
      <c r="P38" s="6232"/>
      <c r="Q38" s="416">
        <f>+M38+O38</f>
        <v>43009.600000000006</v>
      </c>
      <c r="R38" s="6229"/>
      <c r="S38" s="277">
        <v>11673</v>
      </c>
      <c r="T38" s="6232"/>
      <c r="U38" s="416">
        <f>+Q38+S38</f>
        <v>54682.600000000006</v>
      </c>
      <c r="V38" s="6229"/>
      <c r="W38" s="277">
        <v>11383.6</v>
      </c>
      <c r="X38" s="6235"/>
      <c r="Y38" s="425">
        <f t="shared" ref="Y38" si="113">+O38+S38+W38</f>
        <v>35069</v>
      </c>
      <c r="Z38" s="6240"/>
      <c r="AA38" s="507">
        <f>M38+Y38</f>
        <v>66066.200000000012</v>
      </c>
      <c r="AB38" s="6229"/>
      <c r="AC38" s="277">
        <v>9620.7999999999993</v>
      </c>
      <c r="AD38" s="6232"/>
      <c r="AE38" s="416">
        <f>+AA38+AC38</f>
        <v>75687.000000000015</v>
      </c>
      <c r="AF38" s="6229"/>
      <c r="AG38" s="277">
        <v>8454.6</v>
      </c>
      <c r="AH38" s="6232"/>
      <c r="AI38" s="416">
        <f>+AE38+AG38</f>
        <v>84141.60000000002</v>
      </c>
      <c r="AJ38" s="6229"/>
      <c r="AK38" s="277">
        <v>9250.5</v>
      </c>
      <c r="AL38" s="6235"/>
      <c r="AM38" s="425">
        <f t="shared" ref="AM38" si="114">+AC38+AG38+AK38</f>
        <v>27325.9</v>
      </c>
      <c r="AN38" s="6232"/>
      <c r="AO38" s="416">
        <f>+AI38+AK38</f>
        <v>93392.10000000002</v>
      </c>
      <c r="AP38" s="6229"/>
      <c r="AQ38" s="277">
        <v>5909.5</v>
      </c>
      <c r="AR38" s="6232"/>
      <c r="AS38" s="416">
        <f>+AO38+AQ38</f>
        <v>99301.60000000002</v>
      </c>
      <c r="AT38" s="6229"/>
      <c r="AU38" s="277">
        <v>7785.7</v>
      </c>
      <c r="AV38" s="6232"/>
      <c r="AW38" s="416">
        <f>+AS38+AU38</f>
        <v>107087.30000000002</v>
      </c>
      <c r="AX38" s="6229"/>
      <c r="AY38" s="277">
        <v>9073.6</v>
      </c>
      <c r="AZ38" s="6235"/>
      <c r="BA38" s="425">
        <f t="shared" ref="BA38" si="115">+AQ38+AU38+AY38</f>
        <v>22768.800000000003</v>
      </c>
      <c r="BB38" s="6240"/>
      <c r="BC38" s="714">
        <f t="shared" ref="BC38" si="116">+AM38+BA38</f>
        <v>50094.700000000004</v>
      </c>
      <c r="BD38" s="6232"/>
      <c r="BE38" s="416">
        <f>+AW38+AY38</f>
        <v>116160.90000000002</v>
      </c>
      <c r="BF38" s="26"/>
      <c r="BG38" s="26"/>
      <c r="BH38" s="26"/>
      <c r="BI38" s="26"/>
      <c r="BJ38" s="26"/>
    </row>
    <row r="39" spans="1:62" ht="15.75" thickBot="1" x14ac:dyDescent="0.3">
      <c r="B39" s="6255"/>
      <c r="C39" s="19" t="s">
        <v>381</v>
      </c>
      <c r="D39" s="6230"/>
      <c r="E39" s="681">
        <f>+E38/E$3/24</f>
        <v>13.020416666666668</v>
      </c>
      <c r="F39" s="6230"/>
      <c r="G39" s="681">
        <f>+G38/G$3/24</f>
        <v>13.647983870967742</v>
      </c>
      <c r="H39" s="6233"/>
      <c r="I39" s="417">
        <f>+I38/I$3/24</f>
        <v>13.339344262295084</v>
      </c>
      <c r="J39" s="6230"/>
      <c r="K39" s="681">
        <f>+K38/K$3/24</f>
        <v>15.928333333333333</v>
      </c>
      <c r="L39" s="6236"/>
      <c r="M39" s="426">
        <f>+M38/M$3/24</f>
        <v>14.192857142857145</v>
      </c>
      <c r="N39" s="6230"/>
      <c r="O39" s="681">
        <f>+O38/O$3/24</f>
        <v>16.145698924731182</v>
      </c>
      <c r="P39" s="6233"/>
      <c r="Q39" s="417">
        <f>+Q38/Q$3/24</f>
        <v>14.689071038251369</v>
      </c>
      <c r="R39" s="6230"/>
      <c r="S39" s="681">
        <f>+S38/S$3/24</f>
        <v>15.689516129032258</v>
      </c>
      <c r="T39" s="6233"/>
      <c r="U39" s="417">
        <f>+U38/U$3/24</f>
        <v>14.891775599128541</v>
      </c>
      <c r="V39" s="6230"/>
      <c r="W39" s="681">
        <f>+W38/W$3/24</f>
        <v>15.810555555555554</v>
      </c>
      <c r="X39" s="6236"/>
      <c r="Y39" s="426">
        <f>+Y38/Y$3/24</f>
        <v>15.882699275362318</v>
      </c>
      <c r="Z39" s="6241"/>
      <c r="AA39" s="508">
        <f>+AA38/AA$3/24</f>
        <v>15.042395264116578</v>
      </c>
      <c r="AB39" s="6230"/>
      <c r="AC39" s="681">
        <f>+AC38/AC$3/24</f>
        <v>12.931182795698923</v>
      </c>
      <c r="AD39" s="6233"/>
      <c r="AE39" s="417">
        <f>+AE38/AE$3/24</f>
        <v>14.736565420560751</v>
      </c>
      <c r="AF39" s="6230"/>
      <c r="AG39" s="681">
        <f>+AG38/AG$3/24</f>
        <v>11.7425</v>
      </c>
      <c r="AH39" s="6233"/>
      <c r="AI39" s="417">
        <f>+AI38/AI$3/24</f>
        <v>14.368442622950823</v>
      </c>
      <c r="AJ39" s="6230"/>
      <c r="AK39" s="681">
        <f>+AK38/AK$3/24</f>
        <v>12.433467741935482</v>
      </c>
      <c r="AL39" s="6236"/>
      <c r="AM39" s="426">
        <f>+AM38/AM$3/24</f>
        <v>12.375860507246378</v>
      </c>
      <c r="AN39" s="6233"/>
      <c r="AO39" s="417">
        <f>+AO38/AO$3/24</f>
        <v>14.150318181818186</v>
      </c>
      <c r="AP39" s="6230"/>
      <c r="AQ39" s="681">
        <f>+AQ38/AQ$3/24</f>
        <v>7.9428763440860211</v>
      </c>
      <c r="AR39" s="6233"/>
      <c r="AS39" s="417">
        <f>+AS38/AS$3/24</f>
        <v>13.52145969498911</v>
      </c>
      <c r="AT39" s="6230"/>
      <c r="AU39" s="681">
        <f>+AU38/AU$3/24</f>
        <v>11.585863095238095</v>
      </c>
      <c r="AV39" s="6233"/>
      <c r="AW39" s="417">
        <f>+AW38/AW$3/24</f>
        <v>13.359194111776448</v>
      </c>
      <c r="AX39" s="6230"/>
      <c r="AY39" s="681">
        <f>+AY38/AY$3/24</f>
        <v>12.195698924731182</v>
      </c>
      <c r="AZ39" s="6236"/>
      <c r="BA39" s="426">
        <f>+BA38/BA$3/24</f>
        <v>10.541111111111112</v>
      </c>
      <c r="BB39" s="6241"/>
      <c r="BC39" s="508">
        <f>+BC38/BC$3/24</f>
        <v>11.468566849816851</v>
      </c>
      <c r="BD39" s="6233"/>
      <c r="BE39" s="417">
        <f>+BE38/BE$3/24</f>
        <v>13.260376712328769</v>
      </c>
      <c r="BF39" s="26"/>
      <c r="BG39" s="26"/>
      <c r="BH39" s="26"/>
      <c r="BI39" s="26"/>
      <c r="BJ39" s="26"/>
    </row>
    <row r="40" spans="1:62" x14ac:dyDescent="0.25">
      <c r="B40" s="6255" t="s">
        <v>395</v>
      </c>
      <c r="C40" s="18" t="s">
        <v>393</v>
      </c>
      <c r="D40" s="6230"/>
      <c r="E40" s="181">
        <v>9841.6</v>
      </c>
      <c r="F40" s="6230"/>
      <c r="G40" s="181">
        <v>10534.9</v>
      </c>
      <c r="H40" s="6233"/>
      <c r="I40" s="369">
        <f>+E40+G40</f>
        <v>20376.5</v>
      </c>
      <c r="J40" s="6230"/>
      <c r="K40" s="181">
        <v>11245.4</v>
      </c>
      <c r="L40" s="6236"/>
      <c r="M40" s="425">
        <f>E40+G40+K40</f>
        <v>31621.9</v>
      </c>
      <c r="N40" s="6230"/>
      <c r="O40" s="181">
        <v>12133.5</v>
      </c>
      <c r="P40" s="6233"/>
      <c r="Q40" s="369">
        <f>+M40+O40</f>
        <v>43755.4</v>
      </c>
      <c r="R40" s="6230"/>
      <c r="S40" s="181">
        <v>11836.7</v>
      </c>
      <c r="T40" s="6233"/>
      <c r="U40" s="369">
        <f>+Q40+S40</f>
        <v>55592.100000000006</v>
      </c>
      <c r="V40" s="6230"/>
      <c r="W40" s="181">
        <v>11243.3</v>
      </c>
      <c r="X40" s="6236"/>
      <c r="Y40" s="427">
        <f t="shared" ref="Y40" si="117">+O40+S40+W40</f>
        <v>35213.5</v>
      </c>
      <c r="Z40" s="6241"/>
      <c r="AA40" s="507">
        <f>M40+Y40</f>
        <v>66835.399999999994</v>
      </c>
      <c r="AB40" s="6230"/>
      <c r="AC40" s="181">
        <v>10359.299999999999</v>
      </c>
      <c r="AD40" s="6233"/>
      <c r="AE40" s="369">
        <f>+AA40+AC40</f>
        <v>77194.7</v>
      </c>
      <c r="AF40" s="6230"/>
      <c r="AG40" s="181">
        <v>2425.6</v>
      </c>
      <c r="AH40" s="6233"/>
      <c r="AI40" s="369">
        <f>+AE40+AG40</f>
        <v>79620.3</v>
      </c>
      <c r="AJ40" s="6230"/>
      <c r="AK40" s="181">
        <v>9377.6</v>
      </c>
      <c r="AL40" s="6236"/>
      <c r="AM40" s="427">
        <f t="shared" ref="AM40" si="118">+AC40+AG40+AK40</f>
        <v>22162.5</v>
      </c>
      <c r="AN40" s="6233"/>
      <c r="AO40" s="369">
        <f>+AI40+AK40</f>
        <v>88997.900000000009</v>
      </c>
      <c r="AP40" s="6230"/>
      <c r="AQ40" s="181">
        <v>10081.299999999999</v>
      </c>
      <c r="AR40" s="6233"/>
      <c r="AS40" s="369">
        <f>+AO40+AQ40</f>
        <v>99079.200000000012</v>
      </c>
      <c r="AT40" s="6230"/>
      <c r="AU40" s="181">
        <v>8910.9</v>
      </c>
      <c r="AV40" s="6233"/>
      <c r="AW40" s="369">
        <f>+AS40+AU40</f>
        <v>107990.1</v>
      </c>
      <c r="AX40" s="6230"/>
      <c r="AY40" s="181">
        <v>9609.6</v>
      </c>
      <c r="AZ40" s="6236"/>
      <c r="BA40" s="427">
        <f t="shared" ref="BA40" si="119">+AQ40+AU40+AY40</f>
        <v>28601.799999999996</v>
      </c>
      <c r="BB40" s="6241"/>
      <c r="BC40" s="714">
        <f t="shared" ref="BC40" si="120">+AM40+BA40</f>
        <v>50764.299999999996</v>
      </c>
      <c r="BD40" s="6233"/>
      <c r="BE40" s="369">
        <f>+AW40+AY40</f>
        <v>117599.70000000001</v>
      </c>
      <c r="BF40" s="26"/>
      <c r="BG40" s="26"/>
      <c r="BH40" s="26"/>
      <c r="BI40" s="26"/>
      <c r="BJ40" s="26"/>
    </row>
    <row r="41" spans="1:62" ht="15.75" thickBot="1" x14ac:dyDescent="0.3">
      <c r="B41" s="6255"/>
      <c r="C41" s="19" t="s">
        <v>381</v>
      </c>
      <c r="D41" s="6230"/>
      <c r="E41" s="681">
        <f>+E40/E$3/24</f>
        <v>13.668888888888889</v>
      </c>
      <c r="F41" s="6230"/>
      <c r="G41" s="681">
        <f>+G40/G$3/24</f>
        <v>14.159811827956988</v>
      </c>
      <c r="H41" s="6233"/>
      <c r="I41" s="417">
        <f>+I40/I$3/24</f>
        <v>13.918374316939891</v>
      </c>
      <c r="J41" s="6230"/>
      <c r="K41" s="681">
        <f>+K40/K$3/24</f>
        <v>15.618611111111109</v>
      </c>
      <c r="L41" s="6236"/>
      <c r="M41" s="426">
        <f>+M40/M$3/24</f>
        <v>14.478891941391943</v>
      </c>
      <c r="N41" s="6230"/>
      <c r="O41" s="681">
        <f>+O40/O$3/24</f>
        <v>16.308467741935484</v>
      </c>
      <c r="P41" s="6233"/>
      <c r="Q41" s="417">
        <f>+Q40/Q$3/24</f>
        <v>14.943784153005465</v>
      </c>
      <c r="R41" s="6230"/>
      <c r="S41" s="681">
        <f>+S40/S$3/24</f>
        <v>15.909543010752691</v>
      </c>
      <c r="T41" s="6233"/>
      <c r="U41" s="417">
        <f>+U40/U$3/24</f>
        <v>15.139460784313727</v>
      </c>
      <c r="V41" s="6230"/>
      <c r="W41" s="681">
        <f>+W40/W$3/24</f>
        <v>15.615694444444443</v>
      </c>
      <c r="X41" s="6236"/>
      <c r="Y41" s="426">
        <f>+Y40/Y$3/24</f>
        <v>15.948143115942029</v>
      </c>
      <c r="Z41" s="6241"/>
      <c r="AA41" s="508">
        <f>+AA40/AA$3/24</f>
        <v>15.217531876138432</v>
      </c>
      <c r="AB41" s="6230"/>
      <c r="AC41" s="681">
        <f>+AC40/AC$3/24</f>
        <v>13.923790322580643</v>
      </c>
      <c r="AD41" s="6233"/>
      <c r="AE41" s="417">
        <f>+AE40/AE$3/24</f>
        <v>15.030120716510902</v>
      </c>
      <c r="AF41" s="6230"/>
      <c r="AG41" s="681">
        <f>+AG40/AG$3/24</f>
        <v>3.3688888888888884</v>
      </c>
      <c r="AH41" s="6233"/>
      <c r="AI41" s="417">
        <f>+AI40/AI$3/24</f>
        <v>13.596362704918034</v>
      </c>
      <c r="AJ41" s="6230"/>
      <c r="AK41" s="681">
        <f>+AK40/AK$3/24</f>
        <v>12.604301075268816</v>
      </c>
      <c r="AL41" s="6236"/>
      <c r="AM41" s="426">
        <f>+AM40/AM$3/24</f>
        <v>10.037364130434783</v>
      </c>
      <c r="AN41" s="6233"/>
      <c r="AO41" s="417">
        <f>+AO40/AO$3/24</f>
        <v>13.484530303030304</v>
      </c>
      <c r="AP41" s="6230"/>
      <c r="AQ41" s="681">
        <f>+AQ40/AQ$3/24</f>
        <v>13.550134408602149</v>
      </c>
      <c r="AR41" s="6233"/>
      <c r="AS41" s="417">
        <f>+AS40/AS$3/24</f>
        <v>13.491176470588236</v>
      </c>
      <c r="AT41" s="6230"/>
      <c r="AU41" s="681">
        <f>+AU40/AU$3/24</f>
        <v>13.260267857142857</v>
      </c>
      <c r="AV41" s="6233"/>
      <c r="AW41" s="417">
        <f>+AW40/AW$3/24</f>
        <v>13.47181886227545</v>
      </c>
      <c r="AX41" s="6230"/>
      <c r="AY41" s="681">
        <f>+AY40/AY$3/24</f>
        <v>12.916129032258064</v>
      </c>
      <c r="AZ41" s="6236"/>
      <c r="BA41" s="426">
        <f>+BA40/BA$3/24</f>
        <v>13.241574074074073</v>
      </c>
      <c r="BB41" s="6241"/>
      <c r="BC41" s="508">
        <f>+BC40/BC$3/24</f>
        <v>11.621863553113551</v>
      </c>
      <c r="BD41" s="6233"/>
      <c r="BE41" s="417">
        <f>+BE40/BE$3/24</f>
        <v>13.424623287671233</v>
      </c>
      <c r="BF41" s="26"/>
      <c r="BG41" s="26"/>
      <c r="BH41" s="26"/>
      <c r="BI41" s="26"/>
      <c r="BJ41" s="26"/>
    </row>
    <row r="42" spans="1:62" x14ac:dyDescent="0.25">
      <c r="B42" s="6255" t="s">
        <v>396</v>
      </c>
      <c r="C42" s="18" t="s">
        <v>393</v>
      </c>
      <c r="D42" s="6230"/>
      <c r="E42" s="181">
        <v>164.9</v>
      </c>
      <c r="F42" s="6230"/>
      <c r="G42" s="181">
        <v>3121.7</v>
      </c>
      <c r="H42" s="6233"/>
      <c r="I42" s="369">
        <f>+E42+G42</f>
        <v>3286.6</v>
      </c>
      <c r="J42" s="6230"/>
      <c r="K42" s="181">
        <v>5106.3</v>
      </c>
      <c r="L42" s="6236"/>
      <c r="M42" s="425">
        <f>E42+G42+K42</f>
        <v>8392.9</v>
      </c>
      <c r="N42" s="6230"/>
      <c r="O42" s="181">
        <v>6393.4</v>
      </c>
      <c r="P42" s="6233"/>
      <c r="Q42" s="369">
        <f>+M42+O42</f>
        <v>14786.3</v>
      </c>
      <c r="R42" s="6230"/>
      <c r="S42" s="181">
        <v>6200.4</v>
      </c>
      <c r="T42" s="6233"/>
      <c r="U42" s="369">
        <f>+Q42+S42</f>
        <v>20986.699999999997</v>
      </c>
      <c r="V42" s="6230"/>
      <c r="W42" s="181">
        <v>5223.8999999999996</v>
      </c>
      <c r="X42" s="6236"/>
      <c r="Y42" s="427">
        <f t="shared" ref="Y42" si="121">+O42+S42+W42</f>
        <v>17817.699999999997</v>
      </c>
      <c r="Z42" s="6241"/>
      <c r="AA42" s="507">
        <f>M42+Y42</f>
        <v>26210.6</v>
      </c>
      <c r="AB42" s="6230"/>
      <c r="AC42" s="181">
        <v>820.2</v>
      </c>
      <c r="AD42" s="6233"/>
      <c r="AE42" s="369">
        <f>+AA42+AC42</f>
        <v>27030.799999999999</v>
      </c>
      <c r="AF42" s="6230"/>
      <c r="AG42" s="181">
        <v>0</v>
      </c>
      <c r="AH42" s="6233"/>
      <c r="AI42" s="369">
        <f>+AE42+AG42</f>
        <v>27030.799999999999</v>
      </c>
      <c r="AJ42" s="6230"/>
      <c r="AK42" s="181">
        <v>8279.7000000000007</v>
      </c>
      <c r="AL42" s="6236"/>
      <c r="AM42" s="427">
        <f t="shared" ref="AM42" si="122">+AC42+AG42+AK42</f>
        <v>9099.9000000000015</v>
      </c>
      <c r="AN42" s="6233"/>
      <c r="AO42" s="369">
        <f>+AI42+AK42</f>
        <v>35310.5</v>
      </c>
      <c r="AP42" s="6230"/>
      <c r="AQ42" s="181">
        <v>8910.6</v>
      </c>
      <c r="AR42" s="6233"/>
      <c r="AS42" s="369">
        <f>+AO42+AQ42</f>
        <v>44221.1</v>
      </c>
      <c r="AT42" s="6230"/>
      <c r="AU42" s="181">
        <v>5229.1000000000004</v>
      </c>
      <c r="AV42" s="6233"/>
      <c r="AW42" s="369">
        <f>+AS42+AU42</f>
        <v>49450.2</v>
      </c>
      <c r="AX42" s="6230"/>
      <c r="AY42" s="181">
        <v>3884.9</v>
      </c>
      <c r="AZ42" s="6236"/>
      <c r="BA42" s="427">
        <f t="shared" ref="BA42" si="123">+AQ42+AU42+AY42</f>
        <v>18024.600000000002</v>
      </c>
      <c r="BB42" s="6241"/>
      <c r="BC42" s="714">
        <f t="shared" ref="BC42" si="124">+AM42+BA42</f>
        <v>27124.500000000004</v>
      </c>
      <c r="BD42" s="6233"/>
      <c r="BE42" s="369">
        <f>+AW42+AY42</f>
        <v>53335.1</v>
      </c>
      <c r="BF42" s="26"/>
      <c r="BG42" s="26"/>
      <c r="BH42" s="26"/>
      <c r="BI42" s="26"/>
      <c r="BJ42" s="26"/>
    </row>
    <row r="43" spans="1:62" ht="15.75" thickBot="1" x14ac:dyDescent="0.3">
      <c r="B43" s="6256"/>
      <c r="C43" s="20" t="s">
        <v>381</v>
      </c>
      <c r="D43" s="6231"/>
      <c r="E43" s="681">
        <f>+E42/E$3/24</f>
        <v>0.2290277777777778</v>
      </c>
      <c r="F43" s="6231"/>
      <c r="G43" s="681">
        <f>+G42/G$3/24</f>
        <v>4.1958333333333329</v>
      </c>
      <c r="H43" s="6233"/>
      <c r="I43" s="417">
        <f>+I42/I$3/24</f>
        <v>2.2449453551912568</v>
      </c>
      <c r="J43" s="6231"/>
      <c r="K43" s="681">
        <f>+K42/K$3/24</f>
        <v>7.092083333333334</v>
      </c>
      <c r="L43" s="6236"/>
      <c r="M43" s="426">
        <f>+M42/M$3/24</f>
        <v>3.8429029304029303</v>
      </c>
      <c r="N43" s="6231"/>
      <c r="O43" s="681">
        <f>+O42/O$3/24</f>
        <v>8.5932795698924718</v>
      </c>
      <c r="P43" s="6233"/>
      <c r="Q43" s="417">
        <f>+Q42/Q$3/24</f>
        <v>5.0499658469945352</v>
      </c>
      <c r="R43" s="6231"/>
      <c r="S43" s="681">
        <f>+S42/S$3/24</f>
        <v>8.3338709677419356</v>
      </c>
      <c r="T43" s="6233"/>
      <c r="U43" s="417">
        <f>+U42/U$3/24</f>
        <v>5.7153322440087138</v>
      </c>
      <c r="V43" s="6231"/>
      <c r="W43" s="681">
        <f>+W42/W$3/24</f>
        <v>7.2554166666666662</v>
      </c>
      <c r="X43" s="6236"/>
      <c r="Y43" s="426">
        <f>+Y42/Y$3/24</f>
        <v>8.0696105072463755</v>
      </c>
      <c r="Z43" s="6241"/>
      <c r="AA43" s="508">
        <f>+AA42/AA$3/24</f>
        <v>5.9678051001821482</v>
      </c>
      <c r="AB43" s="6231"/>
      <c r="AC43" s="681">
        <f>+AC42/AC$3/24</f>
        <v>1.1024193548387098</v>
      </c>
      <c r="AD43" s="6233"/>
      <c r="AE43" s="417">
        <f>+AE42/AE$3/24</f>
        <v>5.2630062305295953</v>
      </c>
      <c r="AF43" s="6231"/>
      <c r="AG43" s="681">
        <f>+AG42/AG$3/24</f>
        <v>0</v>
      </c>
      <c r="AH43" s="6233"/>
      <c r="AI43" s="417">
        <f>+AI42/AI$3/24</f>
        <v>4.6159153005464484</v>
      </c>
      <c r="AJ43" s="6231"/>
      <c r="AK43" s="681">
        <f>+AK42/AK$3/24</f>
        <v>11.128629032258067</v>
      </c>
      <c r="AL43" s="6236"/>
      <c r="AM43" s="426">
        <f>+AM42/AM$3/24</f>
        <v>4.1213315217391306</v>
      </c>
      <c r="AN43" s="6233"/>
      <c r="AO43" s="417">
        <f>+AO42/AO$3/24</f>
        <v>5.350075757575758</v>
      </c>
      <c r="AP43" s="6231"/>
      <c r="AQ43" s="681">
        <f>+AQ42/AQ$3/24</f>
        <v>11.976612903225806</v>
      </c>
      <c r="AR43" s="6233"/>
      <c r="AS43" s="417">
        <f>+AS42/AS$3/24</f>
        <v>6.0213916122004356</v>
      </c>
      <c r="AT43" s="6231"/>
      <c r="AU43" s="681">
        <f>+AU42/AU$3/24</f>
        <v>7.78139880952381</v>
      </c>
      <c r="AV43" s="6233"/>
      <c r="AW43" s="417">
        <f>+AW42/AW$3/24</f>
        <v>6.1689371257485028</v>
      </c>
      <c r="AX43" s="6231"/>
      <c r="AY43" s="681">
        <f>+AY42/AY$3/24</f>
        <v>5.2216397849462366</v>
      </c>
      <c r="AZ43" s="6236"/>
      <c r="BA43" s="426">
        <f>+BA42/BA$3/24</f>
        <v>8.3447222222222237</v>
      </c>
      <c r="BB43" s="6241"/>
      <c r="BC43" s="508">
        <f>+BC42/BC$3/24</f>
        <v>6.2098214285714297</v>
      </c>
      <c r="BD43" s="6233"/>
      <c r="BE43" s="417">
        <f>+BE42/BE$3/24</f>
        <v>6.0884817351598173</v>
      </c>
      <c r="BF43" s="26"/>
      <c r="BG43" s="26"/>
      <c r="BH43" s="26"/>
      <c r="BI43" s="26"/>
      <c r="BJ43" s="26"/>
    </row>
    <row r="44" spans="1:62" ht="18.75" x14ac:dyDescent="0.25">
      <c r="B44" s="6261" t="s">
        <v>459</v>
      </c>
      <c r="C44" s="35" t="s">
        <v>393</v>
      </c>
      <c r="D44" s="963">
        <f>+D45*D3*24</f>
        <v>23630.129918861181</v>
      </c>
      <c r="E44" s="409">
        <f>+E38+E40+E42</f>
        <v>19381.200000000004</v>
      </c>
      <c r="F44" s="963">
        <f>+F45*F3*24</f>
        <v>26950.27880564905</v>
      </c>
      <c r="G44" s="409">
        <f>+G38+G40+G42</f>
        <v>23810.7</v>
      </c>
      <c r="H44" s="674">
        <f>+D44+F44</f>
        <v>50580.408724510227</v>
      </c>
      <c r="I44" s="418">
        <f>+E44+G44</f>
        <v>43191.900000000009</v>
      </c>
      <c r="J44" s="963">
        <f>+J45*J3*24</f>
        <v>25981.979727601378</v>
      </c>
      <c r="K44" s="409">
        <f>+K38+K40+K42</f>
        <v>27820.1</v>
      </c>
      <c r="L44" s="697">
        <f>D44+F44+J44</f>
        <v>76562.388452111598</v>
      </c>
      <c r="M44" s="428">
        <f>M38+M40+M42</f>
        <v>71012</v>
      </c>
      <c r="N44" s="963">
        <f>+N45*N3*24</f>
        <v>27117.180038833758</v>
      </c>
      <c r="O44" s="409">
        <f>+O38+O40+O42</f>
        <v>30539.300000000003</v>
      </c>
      <c r="P44" s="674">
        <f>+L44+N44</f>
        <v>103679.56849094536</v>
      </c>
      <c r="Q44" s="418">
        <f>+M44+O44</f>
        <v>101551.3</v>
      </c>
      <c r="R44" s="963">
        <f>+R45*R3*24</f>
        <v>26603.2684598864</v>
      </c>
      <c r="S44" s="409">
        <f>+S38+S40+S42</f>
        <v>29710.1</v>
      </c>
      <c r="T44" s="674">
        <f>+P44+R44</f>
        <v>130282.83695083176</v>
      </c>
      <c r="U44" s="418">
        <f>+Q44+S44</f>
        <v>131261.4</v>
      </c>
      <c r="V44" s="963">
        <f>+V45*V3*24</f>
        <v>21383.789432978727</v>
      </c>
      <c r="W44" s="409">
        <f>+W38+W40+W42</f>
        <v>27850.800000000003</v>
      </c>
      <c r="X44" s="697">
        <f t="shared" ref="X44" si="125">+N44+R44+V44</f>
        <v>75104.237931698881</v>
      </c>
      <c r="Y44" s="428">
        <f>Y38+Y40+Y42</f>
        <v>88100.2</v>
      </c>
      <c r="Z44" s="964">
        <f>L44+X44</f>
        <v>151666.62638381048</v>
      </c>
      <c r="AA44" s="510">
        <f>M44+Y44</f>
        <v>159112.20000000001</v>
      </c>
      <c r="AB44" s="963">
        <f>+AB45*AB3*24</f>
        <v>29544.810663188662</v>
      </c>
      <c r="AC44" s="409">
        <f>+AC38+AC40+AC42</f>
        <v>20800.3</v>
      </c>
      <c r="AD44" s="674">
        <f>+Z44+AB44</f>
        <v>181211.43704699914</v>
      </c>
      <c r="AE44" s="418">
        <f>+AA44+AC44</f>
        <v>179912.5</v>
      </c>
      <c r="AF44" s="963">
        <f>+AF45*AF3*24</f>
        <v>28684.29294395844</v>
      </c>
      <c r="AG44" s="409">
        <f>+AG38+AG40+AG42</f>
        <v>10880.2</v>
      </c>
      <c r="AH44" s="674">
        <f>+AD44+AF44</f>
        <v>209895.7299909576</v>
      </c>
      <c r="AI44" s="418">
        <f>+AE44+AG44</f>
        <v>190792.7</v>
      </c>
      <c r="AJ44" s="963">
        <f>+AJ45*AJ3*24</f>
        <v>29788.968025758415</v>
      </c>
      <c r="AK44" s="409">
        <f>+AK38+AK40+AK42</f>
        <v>26907.8</v>
      </c>
      <c r="AL44" s="697">
        <f t="shared" ref="AL44" si="126">+AB44+AF44+AJ44</f>
        <v>88018.071632905514</v>
      </c>
      <c r="AM44" s="428">
        <f>AM38+AM40+AM42</f>
        <v>58588.3</v>
      </c>
      <c r="AN44" s="674">
        <f>+AH44+AJ44</f>
        <v>239684.69801671602</v>
      </c>
      <c r="AO44" s="418">
        <f>+AI44+AK44</f>
        <v>217700.5</v>
      </c>
      <c r="AP44" s="963">
        <f>+AP45*AP3*24</f>
        <v>29806.632587161919</v>
      </c>
      <c r="AQ44" s="409">
        <f>+AQ38+AQ40+AQ42</f>
        <v>24901.4</v>
      </c>
      <c r="AR44" s="674">
        <f>+AN44+AP44</f>
        <v>269491.33060387796</v>
      </c>
      <c r="AS44" s="418">
        <f>+AO44+AQ44</f>
        <v>242601.9</v>
      </c>
      <c r="AT44" s="963">
        <f>+AT45*AT3*24</f>
        <v>27089.372947786858</v>
      </c>
      <c r="AU44" s="409">
        <f>+AU38+AU40+AU42</f>
        <v>21925.699999999997</v>
      </c>
      <c r="AV44" s="674">
        <f>+AR44+AT44</f>
        <v>296580.70355166483</v>
      </c>
      <c r="AW44" s="418">
        <f>+AS44+AU44</f>
        <v>264527.59999999998</v>
      </c>
      <c r="AX44" s="963">
        <f>+AX45*AX3*24</f>
        <v>29603.279850205523</v>
      </c>
      <c r="AY44" s="409">
        <f>+AY38+AY40+AY42</f>
        <v>22568.100000000002</v>
      </c>
      <c r="AZ44" s="697">
        <f t="shared" ref="AZ44" si="127">+AP44+AT44+AX44</f>
        <v>86499.285385154304</v>
      </c>
      <c r="BA44" s="428">
        <f>BA38+BA40+BA42</f>
        <v>69395.199999999997</v>
      </c>
      <c r="BB44" s="964">
        <f>AL44+AZ44</f>
        <v>174517.35701805982</v>
      </c>
      <c r="BC44" s="510">
        <f>AM44+BA44</f>
        <v>127983.5</v>
      </c>
      <c r="BD44" s="674">
        <f>+AV44+AX44</f>
        <v>326183.98340187036</v>
      </c>
      <c r="BE44" s="418">
        <f>+AW44+AY44</f>
        <v>287095.69999999995</v>
      </c>
      <c r="BF44" s="26"/>
      <c r="BG44" s="26"/>
      <c r="BH44" s="26"/>
      <c r="BI44" s="26"/>
      <c r="BJ44" s="26"/>
    </row>
    <row r="45" spans="1:62" ht="19.5" thickBot="1" x14ac:dyDescent="0.3">
      <c r="B45" s="6262"/>
      <c r="C45" s="21" t="s">
        <v>381</v>
      </c>
      <c r="D45" s="967">
        <v>32.819624887307199</v>
      </c>
      <c r="E45" s="408">
        <f>+E44/E$3/24</f>
        <v>26.91833333333334</v>
      </c>
      <c r="F45" s="967">
        <v>36.223493018345501</v>
      </c>
      <c r="G45" s="408">
        <f>+G44/G$3/24</f>
        <v>32.003629032258068</v>
      </c>
      <c r="H45" s="965">
        <f>+H44/(H3*24)</f>
        <v>34.549459511277476</v>
      </c>
      <c r="I45" s="419">
        <f>+I44/I$3/24</f>
        <v>29.502663934426238</v>
      </c>
      <c r="J45" s="967">
        <v>36.086082955001913</v>
      </c>
      <c r="K45" s="408">
        <f>+K44/K$3/24</f>
        <v>38.639027777777777</v>
      </c>
      <c r="L45" s="966">
        <f>+L44/(L3*24)</f>
        <v>35.056038668549263</v>
      </c>
      <c r="M45" s="429">
        <f>+M44/M$3/24</f>
        <v>32.514652014652015</v>
      </c>
      <c r="N45" s="967">
        <v>36.447822632841074</v>
      </c>
      <c r="O45" s="408">
        <f>+O44/O$3/24</f>
        <v>41.047446236559146</v>
      </c>
      <c r="P45" s="965">
        <f>+P44/(P3*24)</f>
        <v>35.409688692262755</v>
      </c>
      <c r="Q45" s="419">
        <f>+Q44/Q$3/24</f>
        <v>34.682821038251369</v>
      </c>
      <c r="R45" s="967">
        <v>35.757081263288171</v>
      </c>
      <c r="S45" s="408">
        <f>+S44/S$3/24</f>
        <v>39.932930107526879</v>
      </c>
      <c r="T45" s="965">
        <f>+T44/(T3*24)</f>
        <v>35.480075422339802</v>
      </c>
      <c r="U45" s="419">
        <f>+U44/U$3/24</f>
        <v>35.746568627450976</v>
      </c>
      <c r="V45" s="967">
        <v>29.699707545803786</v>
      </c>
      <c r="W45" s="408">
        <f>+W44/W$3/24</f>
        <v>38.681666666666672</v>
      </c>
      <c r="X45" s="966">
        <f>+X44/(X3*24)</f>
        <v>34.014600512544781</v>
      </c>
      <c r="Y45" s="429">
        <f>+Y44/(Y3*24)</f>
        <v>39.900452898550725</v>
      </c>
      <c r="Z45" s="968">
        <f>+Z44/(Z3*24)</f>
        <v>34.532474131104387</v>
      </c>
      <c r="AA45" s="511">
        <f>+AA44/AA$3/24</f>
        <v>36.227732240437163</v>
      </c>
      <c r="AB45" s="967">
        <v>39.710767020414863</v>
      </c>
      <c r="AC45" s="408">
        <f>+AC44/AC$3/24</f>
        <v>27.957392473118279</v>
      </c>
      <c r="AD45" s="965">
        <f>+AD44/(AD3*24)</f>
        <v>35.282600671144692</v>
      </c>
      <c r="AE45" s="419">
        <f>+AE44/AE$3/24</f>
        <v>35.02969236760125</v>
      </c>
      <c r="AF45" s="967">
        <v>39.83929575549783</v>
      </c>
      <c r="AG45" s="408">
        <f>+AG44/AG$3/24</f>
        <v>15.111388888888889</v>
      </c>
      <c r="AH45" s="965">
        <f>+AH44/(AH3*24)</f>
        <v>35.842850066761883</v>
      </c>
      <c r="AI45" s="419">
        <f>+AI44/AI$3/24</f>
        <v>32.5807206284153</v>
      </c>
      <c r="AJ45" s="967">
        <v>40.038935518492494</v>
      </c>
      <c r="AK45" s="408">
        <f>+AK44/AK$3/24</f>
        <v>36.166397849462363</v>
      </c>
      <c r="AL45" s="966">
        <f>+AL44/(AL3*24)</f>
        <v>39.863257080120249</v>
      </c>
      <c r="AM45" s="429">
        <f>+AM44/(AM3*24)</f>
        <v>26.534556159420291</v>
      </c>
      <c r="AN45" s="965">
        <f>+AN44/(AN3*24)</f>
        <v>36.315863335866062</v>
      </c>
      <c r="AO45" s="419">
        <f>+AO44/AO$3/24</f>
        <v>32.984924242424242</v>
      </c>
      <c r="AP45" s="967">
        <v>40.06267820855097</v>
      </c>
      <c r="AQ45" s="408">
        <f>+AQ44/AQ$3/24</f>
        <v>33.469623655913985</v>
      </c>
      <c r="AR45" s="965">
        <f>+AR44/(AR3*24)</f>
        <v>36.695442620353752</v>
      </c>
      <c r="AS45" s="419">
        <f>+AS44/AS$3/24</f>
        <v>33.034027777777773</v>
      </c>
      <c r="AT45" s="967">
        <v>40.311566886587585</v>
      </c>
      <c r="AU45" s="408">
        <f>+AU44/AU$3/24</f>
        <v>32.627529761904761</v>
      </c>
      <c r="AV45" s="965">
        <f>+AV44/(AV3*24)</f>
        <v>36.998590762433238</v>
      </c>
      <c r="AW45" s="2724">
        <f>+AW44/AW$3/24</f>
        <v>32.999950099800394</v>
      </c>
      <c r="AX45" s="967">
        <v>39.789354637373016</v>
      </c>
      <c r="AY45" s="408">
        <f>+AY44/AY$3/24</f>
        <v>30.33346774193549</v>
      </c>
      <c r="AZ45" s="966">
        <f>+AZ44/(AZ3*24)</f>
        <v>40.045965456089952</v>
      </c>
      <c r="BA45" s="429">
        <f>+BA44/(BA3*24)</f>
        <v>32.127407407407404</v>
      </c>
      <c r="BB45" s="968">
        <f>+BB44/(BB3*24)</f>
        <v>39.953607375929444</v>
      </c>
      <c r="BC45" s="511">
        <f>+BC44/BC$3/24</f>
        <v>29.300251831501829</v>
      </c>
      <c r="BD45" s="4848">
        <f>+BD44/(BD3*24)</f>
        <v>37.235614543592504</v>
      </c>
      <c r="BE45" s="2724">
        <f>+BE44/BE$3/24</f>
        <v>32.773481735159812</v>
      </c>
      <c r="BF45" s="26"/>
      <c r="BG45" s="26"/>
      <c r="BH45" s="26"/>
      <c r="BI45" s="26"/>
      <c r="BJ45" s="26"/>
    </row>
    <row r="46" spans="1:62" ht="15" customHeight="1" x14ac:dyDescent="0.25">
      <c r="B46" s="6260" t="s">
        <v>397</v>
      </c>
      <c r="C46" s="29" t="s">
        <v>393</v>
      </c>
      <c r="D46" s="969">
        <f>+D47*D3*24</f>
        <v>2400</v>
      </c>
      <c r="E46" s="410">
        <v>0</v>
      </c>
      <c r="F46" s="969">
        <f>+F47*F3*24</f>
        <v>2480</v>
      </c>
      <c r="G46" s="410">
        <v>1.8</v>
      </c>
      <c r="H46" s="760">
        <f>+D46+F46</f>
        <v>4880</v>
      </c>
      <c r="I46" s="369">
        <f>+E46+G46</f>
        <v>1.8</v>
      </c>
      <c r="J46" s="969">
        <f>+J47*J3*24</f>
        <v>2400</v>
      </c>
      <c r="K46" s="410">
        <v>0</v>
      </c>
      <c r="L46" s="761">
        <f>+H46+J46</f>
        <v>7280</v>
      </c>
      <c r="M46" s="427">
        <f>+I46+K46</f>
        <v>1.8</v>
      </c>
      <c r="N46" s="969">
        <f>+N47*N3*24</f>
        <v>2480</v>
      </c>
      <c r="O46" s="410">
        <v>0</v>
      </c>
      <c r="P46" s="760">
        <f>+L46+N46</f>
        <v>9760</v>
      </c>
      <c r="Q46" s="369">
        <f>+M46+O46</f>
        <v>1.8</v>
      </c>
      <c r="R46" s="969">
        <f>+R47*R3*24</f>
        <v>2480</v>
      </c>
      <c r="S46" s="410">
        <v>0</v>
      </c>
      <c r="T46" s="760">
        <f>+P46+R46</f>
        <v>12240</v>
      </c>
      <c r="U46" s="369">
        <f>+Q46+S46</f>
        <v>1.8</v>
      </c>
      <c r="V46" s="969">
        <f>+V47*V3*24</f>
        <v>2448</v>
      </c>
      <c r="W46" s="410">
        <v>0</v>
      </c>
      <c r="X46" s="761">
        <f t="shared" ref="X46" si="128">+N46+R46+V46</f>
        <v>7408</v>
      </c>
      <c r="Y46" s="427">
        <f t="shared" ref="Y46" si="129">+O46+S46+W46</f>
        <v>0</v>
      </c>
      <c r="Z46" s="763">
        <f>L46+X46</f>
        <v>14688</v>
      </c>
      <c r="AA46" s="509">
        <f>M46+Y46</f>
        <v>1.8</v>
      </c>
      <c r="AB46" s="969">
        <f>+AB47*AB3*24</f>
        <v>0</v>
      </c>
      <c r="AC46" s="410">
        <v>0</v>
      </c>
      <c r="AD46" s="760">
        <f>+Z46+AB46</f>
        <v>14688</v>
      </c>
      <c r="AE46" s="369">
        <f>+AA46+AC46</f>
        <v>1.8</v>
      </c>
      <c r="AF46" s="969">
        <f>+AF47*AF3*24</f>
        <v>0</v>
      </c>
      <c r="AG46" s="410">
        <v>0</v>
      </c>
      <c r="AH46" s="760">
        <f>+AD46+AF46</f>
        <v>14688</v>
      </c>
      <c r="AI46" s="369">
        <f>+AE46+AG46</f>
        <v>1.8</v>
      </c>
      <c r="AJ46" s="969">
        <f>+AJ47*AJ3*24</f>
        <v>0</v>
      </c>
      <c r="AK46" s="410">
        <v>0</v>
      </c>
      <c r="AL46" s="761">
        <f t="shared" ref="AL46" si="130">+AB46+AF46+AJ46</f>
        <v>0</v>
      </c>
      <c r="AM46" s="427">
        <f t="shared" ref="AM46" si="131">+AC46+AG46+AK46</f>
        <v>0</v>
      </c>
      <c r="AN46" s="760">
        <f>+AH46+AJ46</f>
        <v>14688</v>
      </c>
      <c r="AO46" s="369">
        <f>+AI46+AK46</f>
        <v>1.8</v>
      </c>
      <c r="AP46" s="969">
        <f>+AP47*AP3*24</f>
        <v>0</v>
      </c>
      <c r="AQ46" s="410">
        <v>0</v>
      </c>
      <c r="AR46" s="760">
        <f>+AN46+AP46</f>
        <v>14688</v>
      </c>
      <c r="AS46" s="369">
        <f>+AO46+AQ46</f>
        <v>1.8</v>
      </c>
      <c r="AT46" s="969">
        <f>+AT47*AT3*24</f>
        <v>0</v>
      </c>
      <c r="AU46" s="410">
        <v>0</v>
      </c>
      <c r="AV46" s="760">
        <f>+AR46+AT46</f>
        <v>14688</v>
      </c>
      <c r="AW46" s="369">
        <f>+AS46+AU46</f>
        <v>1.8</v>
      </c>
      <c r="AX46" s="969">
        <f>+AX47*AX3*24</f>
        <v>0</v>
      </c>
      <c r="AY46" s="410">
        <v>0</v>
      </c>
      <c r="AZ46" s="761">
        <f t="shared" ref="AZ46" si="132">+AP46+AT46+AX46</f>
        <v>0</v>
      </c>
      <c r="BA46" s="427">
        <f t="shared" ref="BA46" si="133">+AQ46+AU46+AY46</f>
        <v>0</v>
      </c>
      <c r="BB46" s="763">
        <f>AL46+AZ46</f>
        <v>0</v>
      </c>
      <c r="BC46" s="509">
        <f>AM46+BA46</f>
        <v>0</v>
      </c>
      <c r="BD46" s="760">
        <f>+AV46+AX46</f>
        <v>14688</v>
      </c>
      <c r="BE46" s="369">
        <f>+AW46+AY46</f>
        <v>1.8</v>
      </c>
      <c r="BF46" s="26"/>
      <c r="BG46" s="26"/>
      <c r="BH46" s="26"/>
      <c r="BI46" s="26"/>
      <c r="BJ46" s="26"/>
    </row>
    <row r="47" spans="1:62" ht="15" customHeight="1" thickBot="1" x14ac:dyDescent="0.3">
      <c r="B47" s="6255"/>
      <c r="C47" s="19" t="s">
        <v>381</v>
      </c>
      <c r="D47" s="970">
        <v>3.3333333333333335</v>
      </c>
      <c r="E47" s="682">
        <f>+E46/E$3/24</f>
        <v>0</v>
      </c>
      <c r="F47" s="970">
        <v>3.3333333333333335</v>
      </c>
      <c r="G47" s="682">
        <f>+G46/G$3/24</f>
        <v>2.4193548387096775E-3</v>
      </c>
      <c r="H47" s="676">
        <f>+H46/(H$3*24)</f>
        <v>3.3333333333333335</v>
      </c>
      <c r="I47" s="420">
        <f>+I46/I$3/24</f>
        <v>1.2295081967213116E-3</v>
      </c>
      <c r="J47" s="970">
        <v>3.3333333333333335</v>
      </c>
      <c r="K47" s="682">
        <f>+K46/K$3/24</f>
        <v>0</v>
      </c>
      <c r="L47" s="698">
        <f>+L46/(L$3*24)</f>
        <v>3.3333333333333335</v>
      </c>
      <c r="M47" s="430">
        <f>+M46/M$3/24</f>
        <v>8.2417582417582418E-4</v>
      </c>
      <c r="N47" s="970">
        <v>3.3333333333333335</v>
      </c>
      <c r="O47" s="682">
        <f>+O46/O$3/24</f>
        <v>0</v>
      </c>
      <c r="P47" s="676">
        <f>+P46/(P$3*24)</f>
        <v>3.3333333333333335</v>
      </c>
      <c r="Q47" s="420">
        <f>+Q46/Q$3/24</f>
        <v>6.1475409836065579E-4</v>
      </c>
      <c r="R47" s="970">
        <v>3.3333333333333335</v>
      </c>
      <c r="S47" s="682">
        <f>+S46/S$3/24</f>
        <v>0</v>
      </c>
      <c r="T47" s="676">
        <f>+T46/(T$3*24)</f>
        <v>3.3333333333333335</v>
      </c>
      <c r="U47" s="420">
        <f>+U46/U$3/24</f>
        <v>4.9019607843137254E-4</v>
      </c>
      <c r="V47" s="970">
        <v>3.4</v>
      </c>
      <c r="W47" s="682">
        <f>+W46/W$3/24</f>
        <v>0</v>
      </c>
      <c r="X47" s="698">
        <f>+X46/(X$3*24)</f>
        <v>3.3550724637681157</v>
      </c>
      <c r="Y47" s="430">
        <f>+Y46/Y$3/24</f>
        <v>0</v>
      </c>
      <c r="Z47" s="971">
        <f>+Z46/(Z$3*24)</f>
        <v>3.3442622950819674</v>
      </c>
      <c r="AA47" s="512">
        <f>+AA46/AA$3/24</f>
        <v>4.0983606557377055E-4</v>
      </c>
      <c r="AB47" s="970">
        <v>0</v>
      </c>
      <c r="AC47" s="682">
        <f>+AC46/AC$3/24</f>
        <v>0</v>
      </c>
      <c r="AD47" s="676">
        <f>+AD46/(AD$3*24)</f>
        <v>2.8598130841121496</v>
      </c>
      <c r="AE47" s="420">
        <f>+AE46/AE$3/24</f>
        <v>3.504672897196262E-4</v>
      </c>
      <c r="AF47" s="970">
        <v>0</v>
      </c>
      <c r="AG47" s="682">
        <f>+AG46/AG$3/24</f>
        <v>0</v>
      </c>
      <c r="AH47" s="676">
        <f>+AH46/(AH$3*24)</f>
        <v>2.5081967213114753</v>
      </c>
      <c r="AI47" s="420">
        <f>+AI46/AI$3/24</f>
        <v>3.073770491803279E-4</v>
      </c>
      <c r="AJ47" s="970">
        <v>0</v>
      </c>
      <c r="AK47" s="682">
        <f>+AK46/AK$3/24</f>
        <v>0</v>
      </c>
      <c r="AL47" s="698">
        <f>+AL46/(AL$3*24)</f>
        <v>0</v>
      </c>
      <c r="AM47" s="430">
        <f>+AM46/AM$3/24</f>
        <v>0</v>
      </c>
      <c r="AN47" s="676">
        <f>+AN46/(AN$3*24)</f>
        <v>2.2254545454545456</v>
      </c>
      <c r="AO47" s="420">
        <f>+AO46/AO$3/24</f>
        <v>2.7272727272727274E-4</v>
      </c>
      <c r="AP47" s="970">
        <v>0</v>
      </c>
      <c r="AQ47" s="682">
        <f>+AQ46/AQ$3/24</f>
        <v>0</v>
      </c>
      <c r="AR47" s="676">
        <f>+AR46/(AR$3*24)</f>
        <v>2</v>
      </c>
      <c r="AS47" s="420">
        <f>+AS46/AS$3/24</f>
        <v>2.4509803921568627E-4</v>
      </c>
      <c r="AT47" s="970">
        <v>0</v>
      </c>
      <c r="AU47" s="682">
        <f>+AU46/AU$3/24</f>
        <v>0</v>
      </c>
      <c r="AV47" s="676">
        <f>+AV46/(AV$3*24)</f>
        <v>1.8323353293413174</v>
      </c>
      <c r="AW47" s="420">
        <f>+AW46/AW$3/24</f>
        <v>2.2455089820359281E-4</v>
      </c>
      <c r="AX47" s="970">
        <v>0</v>
      </c>
      <c r="AY47" s="682">
        <f>+AY46/AY$3/24</f>
        <v>0</v>
      </c>
      <c r="AZ47" s="698">
        <f>+AZ46/(AZ$3*24)</f>
        <v>0</v>
      </c>
      <c r="BA47" s="430">
        <f>+BA46/BA$3/24</f>
        <v>0</v>
      </c>
      <c r="BB47" s="971">
        <f>+BB46/(BB$3*24)</f>
        <v>0</v>
      </c>
      <c r="BC47" s="512">
        <f>+BC46/BC$3/24</f>
        <v>0</v>
      </c>
      <c r="BD47" s="676">
        <f>+BD46/(BD$3*24)</f>
        <v>1.6767123287671233</v>
      </c>
      <c r="BE47" s="420">
        <f>+BE46/BE$3/24</f>
        <v>2.0547945205479451E-4</v>
      </c>
      <c r="BF47" s="26"/>
      <c r="BG47" s="26"/>
      <c r="BH47" s="26"/>
      <c r="BI47" s="26"/>
      <c r="BJ47" s="26"/>
    </row>
    <row r="48" spans="1:62" x14ac:dyDescent="0.25">
      <c r="B48" s="6255" t="s">
        <v>398</v>
      </c>
      <c r="C48" s="18" t="s">
        <v>393</v>
      </c>
      <c r="D48" s="972">
        <f>+D49*D3*24</f>
        <v>10061.333333333332</v>
      </c>
      <c r="E48" s="254">
        <v>9038</v>
      </c>
      <c r="F48" s="972">
        <f>+F49*F3*24</f>
        <v>10414.444444444445</v>
      </c>
      <c r="G48" s="254">
        <v>10878.5</v>
      </c>
      <c r="H48" s="760">
        <f>+D48+F48</f>
        <v>20475.777777777777</v>
      </c>
      <c r="I48" s="369">
        <f>+E48+G48</f>
        <v>19916.5</v>
      </c>
      <c r="J48" s="972">
        <f>+J49*J3*24</f>
        <v>10061.333333333332</v>
      </c>
      <c r="K48" s="254">
        <v>11480.3</v>
      </c>
      <c r="L48" s="761">
        <f>+H48+J48</f>
        <v>30537.111111111109</v>
      </c>
      <c r="M48" s="425">
        <f>E48+G48+K48</f>
        <v>31396.799999999999</v>
      </c>
      <c r="N48" s="972">
        <f>+N49*N3*24</f>
        <v>10313.333333333332</v>
      </c>
      <c r="O48" s="254">
        <v>12224.4</v>
      </c>
      <c r="P48" s="760">
        <f>+L48+N48</f>
        <v>40850.444444444438</v>
      </c>
      <c r="Q48" s="369">
        <f>+M48+O48</f>
        <v>43621.2</v>
      </c>
      <c r="R48" s="972">
        <f>+R49*R3*24</f>
        <v>10247.222222222221</v>
      </c>
      <c r="S48" s="254">
        <v>11328.8</v>
      </c>
      <c r="T48" s="760">
        <f>+P48+R48</f>
        <v>51097.666666666657</v>
      </c>
      <c r="U48" s="369">
        <f>+Q48+S48</f>
        <v>54950</v>
      </c>
      <c r="V48" s="972">
        <f>+V49*V3*24</f>
        <v>5625.9259259259252</v>
      </c>
      <c r="W48" s="254">
        <v>10414.6</v>
      </c>
      <c r="X48" s="761">
        <f t="shared" ref="X48:Y48" si="134">+N48+R48+V48</f>
        <v>26186.481481481482</v>
      </c>
      <c r="Y48" s="427">
        <f t="shared" si="134"/>
        <v>33967.799999999996</v>
      </c>
      <c r="Z48" s="763">
        <f>L48+X48</f>
        <v>56723.592592592591</v>
      </c>
      <c r="AA48" s="509">
        <f>M48+Y48</f>
        <v>65364.599999999991</v>
      </c>
      <c r="AB48" s="972">
        <f>+AB49*AB3*24</f>
        <v>10046.296296296297</v>
      </c>
      <c r="AC48" s="254">
        <v>9678</v>
      </c>
      <c r="AD48" s="760">
        <f>+Z48+AB48</f>
        <v>66769.888888888891</v>
      </c>
      <c r="AE48" s="369">
        <f>+AA48+AC48</f>
        <v>75042.599999999991</v>
      </c>
      <c r="AF48" s="972">
        <f>+AF49*AF3*24</f>
        <v>9805.1851851851843</v>
      </c>
      <c r="AG48" s="254">
        <v>247.5</v>
      </c>
      <c r="AH48" s="760">
        <f>+AD48+AF48</f>
        <v>76575.074074074073</v>
      </c>
      <c r="AI48" s="369">
        <f>+AE48+AG48</f>
        <v>75290.099999999991</v>
      </c>
      <c r="AJ48" s="972">
        <f>+AJ49*AJ3*24</f>
        <v>10166.851851851852</v>
      </c>
      <c r="AK48" s="254">
        <v>8937.6</v>
      </c>
      <c r="AL48" s="761">
        <f t="shared" ref="AL48" si="135">+AB48+AF48+AJ48</f>
        <v>30018.333333333336</v>
      </c>
      <c r="AM48" s="427">
        <f t="shared" ref="AM48" si="136">+AC48+AG48+AK48</f>
        <v>18863.099999999999</v>
      </c>
      <c r="AN48" s="760">
        <f>+AH48+AJ48</f>
        <v>86741.925925925927</v>
      </c>
      <c r="AO48" s="369">
        <f>+AI48+AK48</f>
        <v>84227.7</v>
      </c>
      <c r="AP48" s="972">
        <f>+AP49*AP3*24</f>
        <v>10166.851851851852</v>
      </c>
      <c r="AQ48" s="254">
        <v>10180.200000000001</v>
      </c>
      <c r="AR48" s="760">
        <f>+AN48+AP48</f>
        <v>96908.777777777781</v>
      </c>
      <c r="AS48" s="369">
        <f>+AO48+AQ48</f>
        <v>94407.9</v>
      </c>
      <c r="AT48" s="972">
        <f>+AT49*AT3*24</f>
        <v>9202.4074074074069</v>
      </c>
      <c r="AU48" s="254">
        <v>9299.5</v>
      </c>
      <c r="AV48" s="760">
        <f>+AR48+AT48</f>
        <v>106111.18518518518</v>
      </c>
      <c r="AW48" s="369">
        <f>+AS48+AU48</f>
        <v>103707.4</v>
      </c>
      <c r="AX48" s="972">
        <f>+AX49*AX3*24</f>
        <v>10223.111111111109</v>
      </c>
      <c r="AY48" s="254">
        <v>10889.3</v>
      </c>
      <c r="AZ48" s="761">
        <f t="shared" ref="AZ48" si="137">+AP48+AT48+AX48</f>
        <v>29592.370370370369</v>
      </c>
      <c r="BA48" s="427">
        <f t="shared" ref="BA48" si="138">+AQ48+AU48+AY48</f>
        <v>30369</v>
      </c>
      <c r="BB48" s="763">
        <f>AL48+AZ48</f>
        <v>59610.703703703708</v>
      </c>
      <c r="BC48" s="509">
        <f>AM48+BA48</f>
        <v>49232.1</v>
      </c>
      <c r="BD48" s="760">
        <f>+AV48+AX48</f>
        <v>116334.29629629629</v>
      </c>
      <c r="BE48" s="369">
        <f>+AW48+AY48</f>
        <v>114596.7</v>
      </c>
      <c r="BF48" s="26"/>
      <c r="BG48" s="26"/>
      <c r="BH48" s="26"/>
      <c r="BI48" s="26"/>
      <c r="BJ48" s="26"/>
    </row>
    <row r="49" spans="1:62" ht="15.75" thickBot="1" x14ac:dyDescent="0.3">
      <c r="B49" s="6256"/>
      <c r="C49" s="20" t="s">
        <v>381</v>
      </c>
      <c r="D49" s="973">
        <v>13.974074074074073</v>
      </c>
      <c r="E49" s="682">
        <f>+E48/E$3/24</f>
        <v>12.552777777777777</v>
      </c>
      <c r="F49" s="973">
        <v>13.997909199522104</v>
      </c>
      <c r="G49" s="682">
        <f>+G48/G$3/24</f>
        <v>14.621639784946238</v>
      </c>
      <c r="H49" s="676">
        <f>+H48/(H$3*24)</f>
        <v>13.98618700667881</v>
      </c>
      <c r="I49" s="420">
        <f>+I48/I$3/24</f>
        <v>13.604166666666666</v>
      </c>
      <c r="J49" s="973">
        <v>13.974074074074073</v>
      </c>
      <c r="K49" s="682">
        <f>+K48/K$3/24</f>
        <v>15.944861111111109</v>
      </c>
      <c r="L49" s="698">
        <f>+L48/(L$3*24)</f>
        <v>13.982193732193732</v>
      </c>
      <c r="M49" s="430">
        <f>+M48/M$3/24</f>
        <v>14.375824175824176</v>
      </c>
      <c r="N49" s="973">
        <v>13.86200716845878</v>
      </c>
      <c r="O49" s="682">
        <f>+O48/O$3/24</f>
        <v>16.430645161290322</v>
      </c>
      <c r="P49" s="676">
        <f>+P48/(P$3*24)</f>
        <v>13.951654523375833</v>
      </c>
      <c r="Q49" s="420">
        <f>+Q48/Q$3/24</f>
        <v>14.897950819672131</v>
      </c>
      <c r="R49" s="973">
        <v>13.773148148148147</v>
      </c>
      <c r="S49" s="682">
        <f>+S48/S$3/24</f>
        <v>15.226881720430107</v>
      </c>
      <c r="T49" s="676">
        <f>+T48/(T$3*24)</f>
        <v>13.915486564996366</v>
      </c>
      <c r="U49" s="420">
        <f>+U48/U$3/24</f>
        <v>14.964596949891067</v>
      </c>
      <c r="V49" s="973">
        <v>7.8137860082304513</v>
      </c>
      <c r="W49" s="682">
        <f>+W48/W$3/24</f>
        <v>14.464722222222223</v>
      </c>
      <c r="X49" s="698">
        <f>+X48/(X$3*24)</f>
        <v>11.859819511540525</v>
      </c>
      <c r="Y49" s="430">
        <f>+Y48/Y$3/24</f>
        <v>15.383967391304346</v>
      </c>
      <c r="Z49" s="971">
        <f>+Z48/(Z$3*24)</f>
        <v>12.915207785198678</v>
      </c>
      <c r="AA49" s="512">
        <f>+AA48/AA$3/24</f>
        <v>14.882650273224042</v>
      </c>
      <c r="AB49" s="973">
        <v>13.503086419753087</v>
      </c>
      <c r="AC49" s="682">
        <f>+AC48/AC$3/24</f>
        <v>13.008064516129032</v>
      </c>
      <c r="AD49" s="676">
        <f>+AD48/(AD$3*24)</f>
        <v>13.000367774316373</v>
      </c>
      <c r="AE49" s="420">
        <f>+AE48/AE$3/24</f>
        <v>14.611098130841119</v>
      </c>
      <c r="AF49" s="973">
        <v>13.618312757201645</v>
      </c>
      <c r="AG49" s="682">
        <f>+AG48/AG$3/24</f>
        <v>0.34375</v>
      </c>
      <c r="AH49" s="676">
        <f>+AH48/(AH$3*24)</f>
        <v>13.076344616474397</v>
      </c>
      <c r="AI49" s="420">
        <f>+AI48/AI$3/24</f>
        <v>12.856915983606555</v>
      </c>
      <c r="AJ49" s="973">
        <v>13.665123456790123</v>
      </c>
      <c r="AK49" s="682">
        <f>+AK48/AK$3/24</f>
        <v>12.012903225806452</v>
      </c>
      <c r="AL49" s="698">
        <f>+AL48/(AL$3*24)</f>
        <v>13.595259661835749</v>
      </c>
      <c r="AM49" s="430">
        <f>+AM48/AM$3/24</f>
        <v>8.5430706521739115</v>
      </c>
      <c r="AN49" s="676">
        <f>+AN48/(AN$3*24)</f>
        <v>13.142716049382717</v>
      </c>
      <c r="AO49" s="420">
        <f>+AO48/AO$3/24</f>
        <v>12.761772727272728</v>
      </c>
      <c r="AP49" s="973">
        <v>13.665123456790123</v>
      </c>
      <c r="AQ49" s="682">
        <f>+AQ48/AQ$3/24</f>
        <v>13.683064516129035</v>
      </c>
      <c r="AR49" s="676">
        <f>+AR48/(AR$3*24)</f>
        <v>13.195639675623337</v>
      </c>
      <c r="AS49" s="420">
        <f>+AS48/AS$3/24</f>
        <v>12.855106209150327</v>
      </c>
      <c r="AT49" s="973">
        <v>13.694058641975307</v>
      </c>
      <c r="AU49" s="682">
        <f>+AU48/AU$3/24</f>
        <v>13.838541666666666</v>
      </c>
      <c r="AV49" s="676">
        <f>+AV48/(AV$3*24)</f>
        <v>13.237423301545057</v>
      </c>
      <c r="AW49" s="420">
        <f>+AW48/AW$3/24</f>
        <v>12.937549900199599</v>
      </c>
      <c r="AX49" s="973">
        <v>13.74074074074074</v>
      </c>
      <c r="AY49" s="682">
        <f>+AY48/AY$3/24</f>
        <v>14.636155913978493</v>
      </c>
      <c r="AZ49" s="698">
        <f>+AZ48/(AZ$3*24)</f>
        <v>13.70017146776406</v>
      </c>
      <c r="BA49" s="430">
        <f>+BA48/BA$3/24</f>
        <v>14.059722222222222</v>
      </c>
      <c r="BB49" s="971">
        <f>+BB48/(BB$3*24)</f>
        <v>13.647139126305794</v>
      </c>
      <c r="BC49" s="512">
        <f>+BC48/BC$3/24</f>
        <v>11.271085164835164</v>
      </c>
      <c r="BD49" s="676">
        <f>+BD48/(BD$3*24)</f>
        <v>13.280170810079486</v>
      </c>
      <c r="BE49" s="420">
        <f>+BE48/BE$3/24</f>
        <v>13.08181506849315</v>
      </c>
      <c r="BF49" s="26"/>
      <c r="BG49" s="26"/>
      <c r="BH49" s="26"/>
      <c r="BI49" s="26"/>
      <c r="BJ49" s="26"/>
    </row>
    <row r="50" spans="1:62" ht="15.75" x14ac:dyDescent="0.25">
      <c r="B50" s="6253" t="s">
        <v>402</v>
      </c>
      <c r="C50" s="130" t="s">
        <v>393</v>
      </c>
      <c r="D50" s="606">
        <f>+D44+D46+D48</f>
        <v>36091.463252194517</v>
      </c>
      <c r="E50" s="683">
        <f>+E44+E46+E48</f>
        <v>28419.200000000004</v>
      </c>
      <c r="F50" s="606">
        <f>+F44+F46+F48</f>
        <v>39844.723250093492</v>
      </c>
      <c r="G50" s="683">
        <f>+G44+G46+G48</f>
        <v>34691</v>
      </c>
      <c r="H50" s="606">
        <f t="shared" ref="H50:I51" si="139">+H44+H46+H48</f>
        <v>75936.186502288008</v>
      </c>
      <c r="I50" s="683">
        <f t="shared" si="139"/>
        <v>63110.200000000012</v>
      </c>
      <c r="J50" s="606">
        <f>+J44+J46+J48</f>
        <v>38443.313060934714</v>
      </c>
      <c r="K50" s="683">
        <f>+K44+K46+K48</f>
        <v>39300.399999999994</v>
      </c>
      <c r="L50" s="1598">
        <f t="shared" ref="L50:Q50" si="140">+L44+L46+L48</f>
        <v>114379.49956322271</v>
      </c>
      <c r="M50" s="1598">
        <f t="shared" si="140"/>
        <v>102410.6</v>
      </c>
      <c r="N50" s="606">
        <f>+N44+N46+N48</f>
        <v>39910.513372167086</v>
      </c>
      <c r="O50" s="683">
        <f>+O44+O46+O48</f>
        <v>42763.700000000004</v>
      </c>
      <c r="P50" s="606">
        <f t="shared" si="140"/>
        <v>154290.01293538979</v>
      </c>
      <c r="Q50" s="606">
        <f t="shared" si="140"/>
        <v>145174.29999999999</v>
      </c>
      <c r="R50" s="606">
        <f>+R44+R46+R48</f>
        <v>39330.490682108619</v>
      </c>
      <c r="S50" s="683">
        <f>+S44+S46+S48</f>
        <v>41038.899999999994</v>
      </c>
      <c r="T50" s="606">
        <f t="shared" ref="T50:U50" si="141">+T44+T46+T48</f>
        <v>193620.50361749841</v>
      </c>
      <c r="U50" s="606">
        <f t="shared" si="141"/>
        <v>186213.19999999998</v>
      </c>
      <c r="V50" s="606">
        <f>+V44+V46+V48</f>
        <v>29457.71535890465</v>
      </c>
      <c r="W50" s="683">
        <f>+W44+W46+W48</f>
        <v>38265.4</v>
      </c>
      <c r="X50" s="1598">
        <f t="shared" ref="X50:Y50" si="142">+X44+X46+X48</f>
        <v>108698.71941318037</v>
      </c>
      <c r="Y50" s="1598">
        <f t="shared" si="142"/>
        <v>122068</v>
      </c>
      <c r="Z50" s="2319">
        <f t="shared" ref="Z50:AE50" si="143">+Z44+Z46+Z48</f>
        <v>223078.21897640306</v>
      </c>
      <c r="AA50" s="2319">
        <f t="shared" si="143"/>
        <v>224478.59999999998</v>
      </c>
      <c r="AB50" s="606">
        <f>+AB44+AB46+AB48</f>
        <v>39591.106959484961</v>
      </c>
      <c r="AC50" s="683">
        <f>+AC44+AC46+AC48</f>
        <v>30478.3</v>
      </c>
      <c r="AD50" s="606">
        <f t="shared" si="143"/>
        <v>262669.32593588805</v>
      </c>
      <c r="AE50" s="606">
        <f t="shared" si="143"/>
        <v>254956.89999999997</v>
      </c>
      <c r="AF50" s="606">
        <f>+AF44+AF46+AF48</f>
        <v>38489.478129143623</v>
      </c>
      <c r="AG50" s="683">
        <f>+AG44+AG46+AG48</f>
        <v>11127.7</v>
      </c>
      <c r="AH50" s="606">
        <f t="shared" ref="AH50:AI51" si="144">+AH44+AH46+AH48</f>
        <v>301158.8040650317</v>
      </c>
      <c r="AI50" s="606">
        <f t="shared" si="144"/>
        <v>266084.59999999998</v>
      </c>
      <c r="AJ50" s="606">
        <f>+AJ44+AJ46+AJ48</f>
        <v>39955.819877610265</v>
      </c>
      <c r="AK50" s="683">
        <f>+AK44+AK46+AK48</f>
        <v>35845.4</v>
      </c>
      <c r="AL50" s="1598">
        <f t="shared" ref="AL50:AO50" si="145">+AL44+AL46+AL48</f>
        <v>118036.40496623886</v>
      </c>
      <c r="AM50" s="1598">
        <f t="shared" si="145"/>
        <v>77451.399999999994</v>
      </c>
      <c r="AN50" s="606">
        <f t="shared" si="145"/>
        <v>341114.62394264195</v>
      </c>
      <c r="AO50" s="606">
        <f t="shared" si="145"/>
        <v>301930</v>
      </c>
      <c r="AP50" s="606">
        <f>+AP44+AP46+AP48</f>
        <v>39973.484439013773</v>
      </c>
      <c r="AQ50" s="683">
        <f>+AQ44+AQ46+AQ48</f>
        <v>35081.600000000006</v>
      </c>
      <c r="AR50" s="606">
        <f t="shared" ref="AR50:AS50" si="146">+AR44+AR46+AR48</f>
        <v>381088.10838165577</v>
      </c>
      <c r="AS50" s="606">
        <f t="shared" si="146"/>
        <v>337011.6</v>
      </c>
      <c r="AT50" s="606">
        <f>+AT44+AT46+AT48</f>
        <v>36291.780355194263</v>
      </c>
      <c r="AU50" s="683">
        <f>+AU44+AU46+AU48</f>
        <v>31225.199999999997</v>
      </c>
      <c r="AV50" s="606">
        <f t="shared" ref="AV50:AW51" si="147">+AV44+AV46+AV48</f>
        <v>417379.88873685</v>
      </c>
      <c r="AW50" s="606">
        <f t="shared" si="147"/>
        <v>368236.79999999993</v>
      </c>
      <c r="AX50" s="606">
        <f>+AX44+AX46+AX48</f>
        <v>39826.390961316632</v>
      </c>
      <c r="AY50" s="683">
        <f>+AY44+AY46+AY48</f>
        <v>33457.4</v>
      </c>
      <c r="AZ50" s="1598">
        <f t="shared" ref="AZ50:BE50" si="148">+AZ44+AZ46+AZ48</f>
        <v>116091.65575552467</v>
      </c>
      <c r="BA50" s="1598">
        <f t="shared" si="148"/>
        <v>99764.2</v>
      </c>
      <c r="BB50" s="2319">
        <f t="shared" si="148"/>
        <v>234128.06072176353</v>
      </c>
      <c r="BC50" s="2319">
        <f t="shared" si="148"/>
        <v>177215.6</v>
      </c>
      <c r="BD50" s="606">
        <f t="shared" si="148"/>
        <v>457206.27969816665</v>
      </c>
      <c r="BE50" s="606">
        <f t="shared" si="148"/>
        <v>401694.19999999995</v>
      </c>
      <c r="BF50" s="26"/>
      <c r="BG50" s="26"/>
      <c r="BH50" s="26"/>
      <c r="BI50" s="26"/>
      <c r="BJ50" s="26"/>
    </row>
    <row r="51" spans="1:62" ht="16.5" thickBot="1" x14ac:dyDescent="0.3">
      <c r="B51" s="6254"/>
      <c r="C51" s="412" t="s">
        <v>381</v>
      </c>
      <c r="D51" s="3222">
        <v>50.127032294714631</v>
      </c>
      <c r="E51" s="3223">
        <f>+E50/E$3/24</f>
        <v>39.471111111111121</v>
      </c>
      <c r="F51" s="3222">
        <v>53.554735551200942</v>
      </c>
      <c r="G51" s="3223">
        <f>+G50/G$3/24</f>
        <v>46.627688172043008</v>
      </c>
      <c r="H51" s="3224">
        <f t="shared" si="139"/>
        <v>51.868979851289623</v>
      </c>
      <c r="I51" s="3225">
        <f>+I50/I$3/24</f>
        <v>43.108060109289625</v>
      </c>
      <c r="J51" s="3222">
        <v>53.393490362409324</v>
      </c>
      <c r="K51" s="3223">
        <f>+K50/K$3/24</f>
        <v>54.583888888888879</v>
      </c>
      <c r="L51" s="975">
        <f>+L45+L47+L49</f>
        <v>52.371565734076327</v>
      </c>
      <c r="M51" s="431">
        <f>+M50/M$3/24</f>
        <v>46.891300366300364</v>
      </c>
      <c r="N51" s="3222">
        <v>53.643163134633191</v>
      </c>
      <c r="O51" s="3223">
        <f>+O50/O$3/24</f>
        <v>57.478091397849475</v>
      </c>
      <c r="P51" s="974">
        <f>+P45+P47+P49</f>
        <v>52.694676548971927</v>
      </c>
      <c r="Q51" s="421">
        <f>+Q50/Q$3/24</f>
        <v>49.581386612021852</v>
      </c>
      <c r="R51" s="3222">
        <v>52.863562744769652</v>
      </c>
      <c r="S51" s="3223">
        <f>+S50/S$3/24</f>
        <v>55.159811827956986</v>
      </c>
      <c r="T51" s="974">
        <f>+T45+T47+T49</f>
        <v>52.728895320669501</v>
      </c>
      <c r="U51" s="421">
        <f>+U50/U$3/24</f>
        <v>50.711655773420468</v>
      </c>
      <c r="V51" s="3222">
        <v>40.91349355403424</v>
      </c>
      <c r="W51" s="3223">
        <f>+W50/W$3/24</f>
        <v>53.146388888888886</v>
      </c>
      <c r="X51" s="975">
        <f>+X45+X47+X49</f>
        <v>49.22949248785342</v>
      </c>
      <c r="Y51" s="431">
        <f>+Y50/Y$3/24</f>
        <v>55.284420289855071</v>
      </c>
      <c r="Z51" s="976">
        <f>+Z45+Z47+Z49</f>
        <v>50.791944211385029</v>
      </c>
      <c r="AA51" s="513">
        <f>+AA50/AA$3/24</f>
        <v>51.110792349726772</v>
      </c>
      <c r="AB51" s="3222">
        <v>53.213853440167952</v>
      </c>
      <c r="AC51" s="3223">
        <f>+AC50/AC$3/24</f>
        <v>40.965456989247308</v>
      </c>
      <c r="AD51" s="974">
        <f t="shared" ref="AD51" si="149">+AD45+AD47+AD49</f>
        <v>51.142781529573213</v>
      </c>
      <c r="AE51" s="421">
        <f>+AE50/AE$3/24</f>
        <v>49.641140965732085</v>
      </c>
      <c r="AF51" s="3222">
        <v>53.457608512699473</v>
      </c>
      <c r="AG51" s="3223">
        <f>+AG50/AG$3/24</f>
        <v>15.455138888888889</v>
      </c>
      <c r="AH51" s="974">
        <f t="shared" si="144"/>
        <v>51.427391404547762</v>
      </c>
      <c r="AI51" s="421">
        <f>+AI50/AI$3/24</f>
        <v>45.437943989071037</v>
      </c>
      <c r="AJ51" s="3222">
        <v>53.704058975282621</v>
      </c>
      <c r="AK51" s="3223">
        <f>+AK50/AK$3/24</f>
        <v>48.179301075268818</v>
      </c>
      <c r="AL51" s="975">
        <f>+AL45+AL47+AL49</f>
        <v>53.458516741955997</v>
      </c>
      <c r="AM51" s="431">
        <f>+AM50/AM$3/24</f>
        <v>35.0776268115942</v>
      </c>
      <c r="AN51" s="974">
        <f t="shared" ref="AN51" si="150">+AN45+AN47+AN49</f>
        <v>51.684033930703322</v>
      </c>
      <c r="AO51" s="421">
        <f>+AO50/AO$3/24</f>
        <v>45.7469696969697</v>
      </c>
      <c r="AP51" s="3222">
        <v>53.72780166534109</v>
      </c>
      <c r="AQ51" s="3223">
        <f>+AQ50/AQ$3/24</f>
        <v>47.152688172043014</v>
      </c>
      <c r="AR51" s="974">
        <f t="shared" ref="AR51" si="151">+AR45+AR47+AR49</f>
        <v>51.891082295977085</v>
      </c>
      <c r="AS51" s="421">
        <f>+AS50/AS$3/24</f>
        <v>45.889379084967317</v>
      </c>
      <c r="AT51" s="3222">
        <v>54.005625528562888</v>
      </c>
      <c r="AU51" s="3223">
        <f>+AU50/AU$3/24</f>
        <v>46.466071428571418</v>
      </c>
      <c r="AV51" s="974">
        <f t="shared" si="147"/>
        <v>52.068349393319615</v>
      </c>
      <c r="AW51" s="421">
        <f>+AW50/AW$3/24</f>
        <v>45.937724550898196</v>
      </c>
      <c r="AX51" s="4849">
        <v>53.530095378113757</v>
      </c>
      <c r="AY51" s="3223">
        <f>+AY50/AY$3/24</f>
        <v>44.969623655913978</v>
      </c>
      <c r="AZ51" s="975">
        <f>+AZ45+AZ47+AZ49</f>
        <v>53.74613692385401</v>
      </c>
      <c r="BA51" s="431">
        <f>+BA50/BA$3/24</f>
        <v>46.187129629629624</v>
      </c>
      <c r="BB51" s="976">
        <f>+BB45+BB47+BB49</f>
        <v>53.600746502235239</v>
      </c>
      <c r="BC51" s="513">
        <f>+BC50/BC$3/24</f>
        <v>40.571336996336996</v>
      </c>
      <c r="BD51" s="974">
        <f t="shared" ref="BD51" si="152">+BD45+BD47+BD49</f>
        <v>52.192497682439111</v>
      </c>
      <c r="BE51" s="421">
        <f>+BE50/BE$3/24</f>
        <v>45.855502283105018</v>
      </c>
      <c r="BF51" s="26"/>
      <c r="BG51" s="26"/>
      <c r="BH51" s="26"/>
      <c r="BI51" s="26"/>
      <c r="BJ51" s="26"/>
    </row>
    <row r="52" spans="1:62" ht="15.75" x14ac:dyDescent="0.25">
      <c r="B52" s="3192" t="s">
        <v>399</v>
      </c>
      <c r="C52" s="216" t="s">
        <v>393</v>
      </c>
      <c r="D52" s="977">
        <f>+D53*D3*24</f>
        <v>76541.277670534197</v>
      </c>
      <c r="E52" s="411">
        <f>+'POWER DISTRIBUTION'!J10/1000</f>
        <v>73610.002999999997</v>
      </c>
      <c r="F52" s="977">
        <f>+F53*F3*24</f>
        <v>76588.212163803051</v>
      </c>
      <c r="G52" s="411">
        <f>+'POWER DISTRIBUTION'!L10/1000</f>
        <v>75383.046000000002</v>
      </c>
      <c r="H52" s="760">
        <f>+D52+F52</f>
        <v>153129.48983433726</v>
      </c>
      <c r="I52" s="422">
        <f>+E52+G52</f>
        <v>148993.049</v>
      </c>
      <c r="J52" s="977">
        <f>+J53*J3*24</f>
        <v>74184.006236527115</v>
      </c>
      <c r="K52" s="411">
        <f>+'POWER DISTRIBUTION'!P10/1000</f>
        <v>70355.058999999994</v>
      </c>
      <c r="L52" s="761">
        <f>+H52+J52</f>
        <v>227313.49607086438</v>
      </c>
      <c r="M52" s="432">
        <f>E52+G52+K52</f>
        <v>219348.10800000001</v>
      </c>
      <c r="N52" s="977">
        <f>+N53*N3*24</f>
        <v>75590.793822003354</v>
      </c>
      <c r="O52" s="411">
        <f>+'POWER DISTRIBUTION'!T10/1000</f>
        <v>72496.939008000001</v>
      </c>
      <c r="P52" s="760">
        <f>+L52+N52</f>
        <v>302904.28989286773</v>
      </c>
      <c r="Q52" s="422">
        <f>+M52+O52</f>
        <v>291845.04700800002</v>
      </c>
      <c r="R52" s="977">
        <f>+R53*R3*24</f>
        <v>76170.816512061836</v>
      </c>
      <c r="S52" s="411">
        <f>+'POWER DISTRIBUTION'!X10/1000</f>
        <v>70569.001000000004</v>
      </c>
      <c r="T52" s="760">
        <f>+P52+R52</f>
        <v>379075.10640492954</v>
      </c>
      <c r="U52" s="422">
        <f>+Q52+S52</f>
        <v>362414.04800800001</v>
      </c>
      <c r="V52" s="977">
        <f>+V53*V3*24</f>
        <v>48990.915740339857</v>
      </c>
      <c r="W52" s="411">
        <f>+'POWER DISTRIBUTION'!AB10/1000</f>
        <v>70384.024999999994</v>
      </c>
      <c r="X52" s="761">
        <f t="shared" ref="X52:Y52" si="153">+N52+R52+V52</f>
        <v>200752.52607440506</v>
      </c>
      <c r="Y52" s="432">
        <f t="shared" si="153"/>
        <v>213449.965008</v>
      </c>
      <c r="Z52" s="763">
        <f>L52+X52</f>
        <v>428066.02214526944</v>
      </c>
      <c r="AA52" s="514">
        <f>M52+Y52</f>
        <v>432798.07300800004</v>
      </c>
      <c r="AB52" s="977">
        <f>+AB53*AB3*24</f>
        <v>75041.381785742269</v>
      </c>
      <c r="AC52" s="411">
        <f>+'POWER DISTRIBUTION'!AH10/1000</f>
        <v>78135.985000000001</v>
      </c>
      <c r="AD52" s="760">
        <f>+Z52+AB52</f>
        <v>503107.40393101168</v>
      </c>
      <c r="AE52" s="422">
        <f>+AA52+AC52</f>
        <v>510934.05800800002</v>
      </c>
      <c r="AF52" s="977">
        <f>+AF53*AF3*24</f>
        <v>72503.767354413954</v>
      </c>
      <c r="AG52" s="411">
        <f>+'POWER DISTRIBUTION'!AL10/1000</f>
        <v>35151.019999999997</v>
      </c>
      <c r="AH52" s="760">
        <f>+AD52+AF52</f>
        <v>575611.17128542566</v>
      </c>
      <c r="AI52" s="422">
        <f>+AE52+AG52</f>
        <v>546085.07800800004</v>
      </c>
      <c r="AJ52" s="977">
        <f>+AJ53*AJ3*24</f>
        <v>74676.668867616972</v>
      </c>
      <c r="AK52" s="411">
        <f>+'POWER DISTRIBUTION'!AP10/1000</f>
        <v>70365.971000000005</v>
      </c>
      <c r="AL52" s="761">
        <f t="shared" ref="AL52" si="154">+AB52+AF52+AJ52</f>
        <v>222221.8180077732</v>
      </c>
      <c r="AM52" s="432">
        <f t="shared" ref="AM52" si="155">+AC52+AG52+AK52</f>
        <v>183652.97600000002</v>
      </c>
      <c r="AN52" s="760">
        <f>+AH52+AJ52</f>
        <v>650287.84015304269</v>
      </c>
      <c r="AO52" s="422">
        <f>+AI52+AK52</f>
        <v>616451.04900800006</v>
      </c>
      <c r="AP52" s="977">
        <f>+AP53*AP3*24</f>
        <v>74659.004306213465</v>
      </c>
      <c r="AQ52" s="411">
        <f>+'POWER DISTRIBUTION'!AV10/1000</f>
        <v>71879.983103999999</v>
      </c>
      <c r="AR52" s="760">
        <f>+AN52+AP52</f>
        <v>724946.84445925616</v>
      </c>
      <c r="AS52" s="422">
        <f>+AO52+AQ52</f>
        <v>688331.03211200004</v>
      </c>
      <c r="AT52" s="977">
        <f>+AT53*AT3*24</f>
        <v>67033.157274186378</v>
      </c>
      <c r="AU52" s="411">
        <f>+'POWER DISTRIBUTION'!AZ10/1000</f>
        <v>67150.020999999993</v>
      </c>
      <c r="AV52" s="760">
        <f>+AR52+AT52</f>
        <v>791980.00173344254</v>
      </c>
      <c r="AW52" s="422">
        <f>+AS52+AU52</f>
        <v>755481.05311199999</v>
      </c>
      <c r="AX52" s="977">
        <f>+AX53*AX3*24</f>
        <v>75339.986965968652</v>
      </c>
      <c r="AY52" s="411">
        <f>+'POWER DISTRIBUTION'!BD10/1000</f>
        <v>76826.967999999993</v>
      </c>
      <c r="AZ52" s="761">
        <f t="shared" ref="AZ52" si="156">+AP52+AT52+AX52</f>
        <v>217032.14854636849</v>
      </c>
      <c r="BA52" s="432">
        <f t="shared" ref="BA52" si="157">+AQ52+AU52+AY52</f>
        <v>215856.97210399999</v>
      </c>
      <c r="BB52" s="763">
        <f>AL52+AZ52</f>
        <v>439253.96655414172</v>
      </c>
      <c r="BC52" s="514">
        <f>AM52+BA52</f>
        <v>399509.94810400001</v>
      </c>
      <c r="BD52" s="760">
        <f>+AV52+AX52</f>
        <v>867319.98869941116</v>
      </c>
      <c r="BE52" s="422">
        <f>+AW52+AY52</f>
        <v>832308.02111199999</v>
      </c>
      <c r="BF52" s="26"/>
      <c r="BG52" s="26"/>
      <c r="BH52" s="26"/>
      <c r="BI52" s="26"/>
      <c r="BJ52" s="26"/>
    </row>
    <row r="53" spans="1:62" ht="16.5" thickBot="1" x14ac:dyDescent="0.3">
      <c r="B53" s="2907" t="s">
        <v>400</v>
      </c>
      <c r="C53" s="413" t="s">
        <v>381</v>
      </c>
      <c r="D53" s="978">
        <v>106.30733009796415</v>
      </c>
      <c r="E53" s="364">
        <f>+E52/E$3/24</f>
        <v>102.23611527777778</v>
      </c>
      <c r="F53" s="978">
        <v>102.9411453814557</v>
      </c>
      <c r="G53" s="364">
        <f>+G52/G$3/24</f>
        <v>101.32129838709677</v>
      </c>
      <c r="H53" s="423">
        <f>+H52/H$3/24</f>
        <v>104.59664606170578</v>
      </c>
      <c r="I53" s="423">
        <f>+I52/I$3/24</f>
        <v>101.77120833333333</v>
      </c>
      <c r="J53" s="978">
        <v>103.03334199517656</v>
      </c>
      <c r="K53" s="364">
        <f>+K52/K$3/24</f>
        <v>97.715359722222217</v>
      </c>
      <c r="L53" s="433">
        <f>+L52/L$3/24</f>
        <v>104.08127109471813</v>
      </c>
      <c r="M53" s="433">
        <f>+M52/M$3/24</f>
        <v>100.43411538461538</v>
      </c>
      <c r="N53" s="978">
        <v>101.60052933064966</v>
      </c>
      <c r="O53" s="364">
        <f>+O52/O$3/24</f>
        <v>97.442122322580644</v>
      </c>
      <c r="P53" s="423">
        <f>+P52/P$3/24</f>
        <v>103.45091867925811</v>
      </c>
      <c r="Q53" s="423">
        <f>+Q52/Q$3/24</f>
        <v>99.67385485245903</v>
      </c>
      <c r="R53" s="978">
        <v>102.38012972051321</v>
      </c>
      <c r="S53" s="364">
        <f>+S52/S$3/24</f>
        <v>94.850807795698927</v>
      </c>
      <c r="T53" s="423">
        <f>+T52/T$3/24</f>
        <v>103.23396143925096</v>
      </c>
      <c r="U53" s="423">
        <f>+U52/U$3/24</f>
        <v>98.696636167755983</v>
      </c>
      <c r="V53" s="978">
        <v>68.042938528249806</v>
      </c>
      <c r="W53" s="364">
        <f>+W52/W$3/24</f>
        <v>97.755590277777756</v>
      </c>
      <c r="X53" s="433">
        <f>+X52/X$3/24</f>
        <v>90.920528113408082</v>
      </c>
      <c r="Y53" s="433">
        <f>+Y52/Y$3/24</f>
        <v>96.67117980434783</v>
      </c>
      <c r="Z53" s="515">
        <f>+Z52/Z$3/24</f>
        <v>97.46494128990652</v>
      </c>
      <c r="AA53" s="515">
        <f>+AA52/AA$3/24</f>
        <v>98.542366349726777</v>
      </c>
      <c r="AB53" s="978">
        <v>100.86207229266435</v>
      </c>
      <c r="AC53" s="364">
        <f>+AC52/AC$3/24</f>
        <v>105.02148521505376</v>
      </c>
      <c r="AD53" s="423">
        <f>+AD52/AD$3/24</f>
        <v>97.95704905198825</v>
      </c>
      <c r="AE53" s="423">
        <f>+AE52/AE$3/24</f>
        <v>99.480930297507783</v>
      </c>
      <c r="AF53" s="978">
        <v>100.6996768811305</v>
      </c>
      <c r="AG53" s="364">
        <f>+AG52/AG$3/24</f>
        <v>48.820861111111107</v>
      </c>
      <c r="AH53" s="423">
        <f>+AH52/AH$3/24</f>
        <v>98.294257391636904</v>
      </c>
      <c r="AI53" s="423">
        <f>+AI52/AI$3/24</f>
        <v>93.252233266393446</v>
      </c>
      <c r="AJ53" s="978">
        <v>100.37186675754968</v>
      </c>
      <c r="AK53" s="364">
        <f>+AK52/AK$3/24</f>
        <v>94.577918010752697</v>
      </c>
      <c r="AL53" s="433">
        <f>+AL52/AL$3/24</f>
        <v>100.64393931511466</v>
      </c>
      <c r="AM53" s="433">
        <f>+AM52/AM$3/24</f>
        <v>83.176166666666674</v>
      </c>
      <c r="AN53" s="423">
        <f>+AN52/AN$3/24</f>
        <v>98.528460629248897</v>
      </c>
      <c r="AO53" s="423">
        <f>+AO52/AO$3/24</f>
        <v>93.401674092121212</v>
      </c>
      <c r="AP53" s="978">
        <v>100.34812406749121</v>
      </c>
      <c r="AQ53" s="364">
        <f>+AQ52/AQ$3/24</f>
        <v>96.612880516129039</v>
      </c>
      <c r="AR53" s="423">
        <f>+AR52/AR$3/24</f>
        <v>98.712805618090442</v>
      </c>
      <c r="AS53" s="423">
        <f>+AS52/AS$3/24</f>
        <v>93.726992389978207</v>
      </c>
      <c r="AT53" s="978">
        <v>99.75172213420592</v>
      </c>
      <c r="AU53" s="364">
        <f>+AU52/AU$3/24</f>
        <v>99.925626488095233</v>
      </c>
      <c r="AV53" s="423">
        <f>+AV52/AV$3/24</f>
        <v>98.799900415848626</v>
      </c>
      <c r="AW53" s="423">
        <f>+AW52/AW$3/24</f>
        <v>94.246638362275448</v>
      </c>
      <c r="AX53" s="978">
        <v>101.2634233413557</v>
      </c>
      <c r="AY53" s="364">
        <f>+AY52/AY$3/24</f>
        <v>103.26205376344086</v>
      </c>
      <c r="AZ53" s="433">
        <f t="shared" ref="AZ53:BE53" si="158">+AZ52/AZ$3/24</f>
        <v>100.47784654924466</v>
      </c>
      <c r="BA53" s="433">
        <f t="shared" si="158"/>
        <v>99.933783381481476</v>
      </c>
      <c r="BB53" s="515">
        <f t="shared" si="158"/>
        <v>100.56180552979436</v>
      </c>
      <c r="BC53" s="515">
        <f t="shared" si="158"/>
        <v>91.462900206959716</v>
      </c>
      <c r="BD53" s="423">
        <f t="shared" si="158"/>
        <v>99.009131130069761</v>
      </c>
      <c r="BE53" s="423">
        <f t="shared" si="158"/>
        <v>95.012331177168946</v>
      </c>
      <c r="BF53" s="26"/>
      <c r="BG53" s="26"/>
      <c r="BH53" s="26"/>
      <c r="BI53" s="26"/>
      <c r="BJ53" s="26"/>
    </row>
    <row r="54" spans="1:62" ht="18.75" x14ac:dyDescent="0.25">
      <c r="B54" s="3193" t="s">
        <v>461</v>
      </c>
      <c r="C54" s="129" t="s">
        <v>393</v>
      </c>
      <c r="D54" s="607">
        <f t="shared" ref="D54:K54" si="159">+D50+D52</f>
        <v>112632.74092272871</v>
      </c>
      <c r="E54" s="684">
        <f t="shared" si="159"/>
        <v>102029.20300000001</v>
      </c>
      <c r="F54" s="607">
        <f t="shared" ref="F54:G54" si="160">+F50+F52</f>
        <v>116432.93541389654</v>
      </c>
      <c r="G54" s="684">
        <f t="shared" si="160"/>
        <v>110074.046</v>
      </c>
      <c r="H54" s="607">
        <f t="shared" si="159"/>
        <v>229065.67633662527</v>
      </c>
      <c r="I54" s="684">
        <f t="shared" si="159"/>
        <v>212103.24900000001</v>
      </c>
      <c r="J54" s="607">
        <f t="shared" si="159"/>
        <v>112627.31929746183</v>
      </c>
      <c r="K54" s="684">
        <f t="shared" si="159"/>
        <v>109655.45899999999</v>
      </c>
      <c r="L54" s="1597">
        <f t="shared" ref="L54:O55" si="161">+L50+L52</f>
        <v>341692.99563408707</v>
      </c>
      <c r="M54" s="1597">
        <f t="shared" si="161"/>
        <v>321758.70799999998</v>
      </c>
      <c r="N54" s="607">
        <f t="shared" si="161"/>
        <v>115501.30719417044</v>
      </c>
      <c r="O54" s="684">
        <f t="shared" si="161"/>
        <v>115260.639008</v>
      </c>
      <c r="P54" s="607">
        <f t="shared" ref="P54:S55" si="162">+P50+P52</f>
        <v>457194.30282825755</v>
      </c>
      <c r="Q54" s="607">
        <f t="shared" si="162"/>
        <v>437019.34700800001</v>
      </c>
      <c r="R54" s="607">
        <f t="shared" si="162"/>
        <v>115501.30719417045</v>
      </c>
      <c r="S54" s="684">
        <f t="shared" si="162"/>
        <v>111607.901</v>
      </c>
      <c r="T54" s="607">
        <f t="shared" ref="T54:W54" si="163">+T50+T52</f>
        <v>572695.61002242798</v>
      </c>
      <c r="U54" s="607">
        <f t="shared" si="163"/>
        <v>548627.24800799997</v>
      </c>
      <c r="V54" s="607">
        <f t="shared" si="163"/>
        <v>78448.631099244507</v>
      </c>
      <c r="W54" s="684">
        <f t="shared" si="163"/>
        <v>108649.42499999999</v>
      </c>
      <c r="X54" s="1597">
        <f t="shared" ref="X54:Y54" si="164">+X50+X52</f>
        <v>309451.24548758543</v>
      </c>
      <c r="Y54" s="1597">
        <f t="shared" si="164"/>
        <v>335517.96500800003</v>
      </c>
      <c r="Z54" s="2320">
        <f t="shared" ref="Z54:AC54" si="165">+Z50+Z52</f>
        <v>651144.24112167256</v>
      </c>
      <c r="AA54" s="2320">
        <f t="shared" si="165"/>
        <v>657276.67300800001</v>
      </c>
      <c r="AB54" s="607">
        <f t="shared" si="165"/>
        <v>114632.48874522722</v>
      </c>
      <c r="AC54" s="684">
        <f t="shared" si="165"/>
        <v>108614.285</v>
      </c>
      <c r="AD54" s="607">
        <f t="shared" ref="AD54:AG54" si="166">+AD50+AD52</f>
        <v>765776.72986689978</v>
      </c>
      <c r="AE54" s="607">
        <f t="shared" si="166"/>
        <v>765890.95800799993</v>
      </c>
      <c r="AF54" s="607">
        <f t="shared" si="166"/>
        <v>110993.24548355758</v>
      </c>
      <c r="AG54" s="684">
        <f t="shared" si="166"/>
        <v>46278.720000000001</v>
      </c>
      <c r="AH54" s="607">
        <f t="shared" ref="AH54:AK54" si="167">+AH50+AH52</f>
        <v>876769.97535045736</v>
      </c>
      <c r="AI54" s="607">
        <f t="shared" si="167"/>
        <v>812169.67800800002</v>
      </c>
      <c r="AJ54" s="607">
        <f t="shared" si="167"/>
        <v>114632.48874522724</v>
      </c>
      <c r="AK54" s="684">
        <f t="shared" si="167"/>
        <v>106211.37100000001</v>
      </c>
      <c r="AL54" s="1597">
        <f t="shared" ref="AL54:AS55" si="168">+AL50+AL52</f>
        <v>340258.22297401202</v>
      </c>
      <c r="AM54" s="1597">
        <f t="shared" si="168"/>
        <v>261104.37600000002</v>
      </c>
      <c r="AN54" s="607">
        <f t="shared" si="168"/>
        <v>991402.4640956847</v>
      </c>
      <c r="AO54" s="607">
        <f t="shared" si="168"/>
        <v>918381.04900800006</v>
      </c>
      <c r="AP54" s="607">
        <f t="shared" si="168"/>
        <v>114632.48874522724</v>
      </c>
      <c r="AQ54" s="684">
        <f t="shared" si="168"/>
        <v>106961.583104</v>
      </c>
      <c r="AR54" s="607">
        <f t="shared" si="168"/>
        <v>1106034.9528409119</v>
      </c>
      <c r="AS54" s="607">
        <f t="shared" si="168"/>
        <v>1025342.632112</v>
      </c>
      <c r="AT54" s="607">
        <f t="shared" ref="AT54:AW54" si="169">+AT50+AT52</f>
        <v>103324.93762938064</v>
      </c>
      <c r="AU54" s="684">
        <f t="shared" si="169"/>
        <v>98375.22099999999</v>
      </c>
      <c r="AV54" s="607">
        <f t="shared" si="169"/>
        <v>1209359.8904702924</v>
      </c>
      <c r="AW54" s="607">
        <f t="shared" si="169"/>
        <v>1123717.853112</v>
      </c>
      <c r="AX54" s="607">
        <f t="shared" ref="AX54:AY54" si="170">+AX50+AX52</f>
        <v>115166.37792728528</v>
      </c>
      <c r="AY54" s="684">
        <f t="shared" si="170"/>
        <v>110284.36799999999</v>
      </c>
      <c r="AZ54" s="1597">
        <f t="shared" ref="AZ54:BE54" si="171">+AZ50+AZ52</f>
        <v>333123.80430189316</v>
      </c>
      <c r="BA54" s="1597">
        <f t="shared" si="171"/>
        <v>315621.172104</v>
      </c>
      <c r="BB54" s="2320">
        <f t="shared" si="171"/>
        <v>673382.02727590525</v>
      </c>
      <c r="BC54" s="2320">
        <f t="shared" si="171"/>
        <v>576725.54810400004</v>
      </c>
      <c r="BD54" s="607">
        <f t="shared" si="171"/>
        <v>1324526.2683975778</v>
      </c>
      <c r="BE54" s="607">
        <f t="shared" si="171"/>
        <v>1234002.2211119998</v>
      </c>
      <c r="BF54" s="26"/>
      <c r="BG54" s="26"/>
      <c r="BH54" s="26"/>
      <c r="BI54" s="26"/>
      <c r="BJ54" s="26"/>
    </row>
    <row r="55" spans="1:62" ht="19.5" thickBot="1" x14ac:dyDescent="0.3">
      <c r="B55" s="2904" t="s">
        <v>462</v>
      </c>
      <c r="C55" s="21" t="s">
        <v>381</v>
      </c>
      <c r="D55" s="719">
        <f>+D51+D53</f>
        <v>156.43436239267879</v>
      </c>
      <c r="E55" s="719">
        <f>+E51+E53</f>
        <v>141.7072263888889</v>
      </c>
      <c r="F55" s="719">
        <f>+F51+F53</f>
        <v>156.49588093265663</v>
      </c>
      <c r="G55" s="719">
        <f>+G51+G53</f>
        <v>147.94898655913977</v>
      </c>
      <c r="H55" s="675">
        <f>+H51+H53</f>
        <v>156.46562591299539</v>
      </c>
      <c r="I55" s="424">
        <f>+I54/I$3/24</f>
        <v>144.87926844262296</v>
      </c>
      <c r="J55" s="719">
        <f>+J51+J53</f>
        <v>156.42683235758588</v>
      </c>
      <c r="K55" s="719">
        <f>+K51+K53</f>
        <v>152.2992486111111</v>
      </c>
      <c r="L55" s="2322">
        <f t="shared" si="161"/>
        <v>156.45283682879446</v>
      </c>
      <c r="M55" s="434">
        <f>+M54/M$3/24</f>
        <v>147.32541575091574</v>
      </c>
      <c r="N55" s="719">
        <f>+N51+N53</f>
        <v>155.24369246528286</v>
      </c>
      <c r="O55" s="719">
        <f>+O51+O53</f>
        <v>154.92021372043013</v>
      </c>
      <c r="P55" s="675">
        <f t="shared" si="162"/>
        <v>156.14559522823004</v>
      </c>
      <c r="Q55" s="424">
        <f>+Q54/Q$3/24</f>
        <v>149.25524146448086</v>
      </c>
      <c r="R55" s="719">
        <f>+R51+R53</f>
        <v>155.24369246528286</v>
      </c>
      <c r="S55" s="719">
        <f>+S51+S53</f>
        <v>150.01061962365591</v>
      </c>
      <c r="T55" s="675">
        <f t="shared" ref="T55" si="172">+T51+T53</f>
        <v>155.96285675992047</v>
      </c>
      <c r="U55" s="424">
        <f>+U54/U$3/24</f>
        <v>149.40829194117646</v>
      </c>
      <c r="V55" s="719">
        <f>+V51+V53</f>
        <v>108.95643208228404</v>
      </c>
      <c r="W55" s="719">
        <f>+W51+W53</f>
        <v>150.90197916666665</v>
      </c>
      <c r="X55" s="2322">
        <f t="shared" ref="X55" si="173">+X51+X53</f>
        <v>140.1500206012615</v>
      </c>
      <c r="Y55" s="434">
        <f>+Y54/Y$3/24</f>
        <v>151.95560009420291</v>
      </c>
      <c r="Z55" s="2323">
        <f>+Z51+Z53</f>
        <v>148.25688550129155</v>
      </c>
      <c r="AA55" s="516">
        <f>+AA54/AA$3/24</f>
        <v>149.65315869945354</v>
      </c>
      <c r="AB55" s="1006">
        <f>+AB51+AB53</f>
        <v>154.0759257328323</v>
      </c>
      <c r="AC55" s="719">
        <f>+AC51+AC53</f>
        <v>145.98694220430107</v>
      </c>
      <c r="AD55" s="675">
        <f>+AD51+AD53</f>
        <v>149.09983058156146</v>
      </c>
      <c r="AE55" s="424">
        <f>+AE54/AE$3/24</f>
        <v>149.12207126323986</v>
      </c>
      <c r="AF55" s="1006">
        <f>+AF51+AF53</f>
        <v>154.15728539382997</v>
      </c>
      <c r="AG55" s="719">
        <f>+AG51+AG53</f>
        <v>64.275999999999996</v>
      </c>
      <c r="AH55" s="675">
        <f>+AH51+AH53</f>
        <v>149.72164879618467</v>
      </c>
      <c r="AI55" s="424">
        <f>+AI54/AI$3/24</f>
        <v>138.69017725546448</v>
      </c>
      <c r="AJ55" s="1006">
        <f>+AJ51+AJ53</f>
        <v>154.0759257328323</v>
      </c>
      <c r="AK55" s="719">
        <f>+AK51+AK53</f>
        <v>142.75721908602151</v>
      </c>
      <c r="AL55" s="2322">
        <f t="shared" si="168"/>
        <v>154.10245605707067</v>
      </c>
      <c r="AM55" s="434">
        <f>+AM54/AM$3/24</f>
        <v>118.25379347826087</v>
      </c>
      <c r="AN55" s="675">
        <f>+AN51+AN53</f>
        <v>150.21249455995223</v>
      </c>
      <c r="AO55" s="424">
        <f>+AO54/AO$3/24</f>
        <v>139.14864378909093</v>
      </c>
      <c r="AP55" s="1006">
        <f>+AP51+AP53</f>
        <v>154.0759257328323</v>
      </c>
      <c r="AQ55" s="719">
        <f>+AQ51+AQ53</f>
        <v>143.76556868817204</v>
      </c>
      <c r="AR55" s="675">
        <f>+AR51+AR53</f>
        <v>150.60388791406751</v>
      </c>
      <c r="AS55" s="424">
        <f>+AS54/AS$3/24</f>
        <v>139.61637147494554</v>
      </c>
      <c r="AT55" s="1006">
        <f>+AT51+AT53</f>
        <v>153.75734766276881</v>
      </c>
      <c r="AU55" s="719">
        <f>+AU51+AU53</f>
        <v>146.39169791666666</v>
      </c>
      <c r="AV55" s="675">
        <f>+AV51+AV53</f>
        <v>150.86824980916825</v>
      </c>
      <c r="AW55" s="424">
        <f>+AW54/AW$3/24</f>
        <v>140.18436291317366</v>
      </c>
      <c r="AX55" s="1006">
        <f>+AX51+AX53</f>
        <v>154.79351871946946</v>
      </c>
      <c r="AY55" s="719">
        <f>+AY51+AY53</f>
        <v>148.23167741935484</v>
      </c>
      <c r="AZ55" s="2725">
        <f t="shared" ref="AZ55" si="174">+AZ51+AZ53</f>
        <v>154.22398347309866</v>
      </c>
      <c r="BA55" s="2726">
        <f>+BA54/BA$3/24</f>
        <v>146.12091301111113</v>
      </c>
      <c r="BB55" s="2727">
        <f>+BB51+BB53</f>
        <v>154.16255203202959</v>
      </c>
      <c r="BC55" s="2728">
        <f>+BC54/BC$3/24</f>
        <v>132.03423720329673</v>
      </c>
      <c r="BD55" s="2729">
        <f>+BD51+BD53</f>
        <v>151.20162881250889</v>
      </c>
      <c r="BE55" s="2724">
        <f>+BE54/BE$3/24</f>
        <v>140.86783346027394</v>
      </c>
      <c r="BF55" s="26"/>
      <c r="BG55" s="26"/>
      <c r="BH55" s="26"/>
      <c r="BI55" s="26"/>
      <c r="BJ55" s="26"/>
    </row>
    <row r="56" spans="1:62" ht="15.75" thickBot="1" x14ac:dyDescent="0.3">
      <c r="B56" s="3194" t="s">
        <v>403</v>
      </c>
      <c r="C56" s="6"/>
      <c r="D56" s="980"/>
      <c r="E56" s="685"/>
      <c r="F56" s="980"/>
      <c r="G56" s="685"/>
      <c r="H56" s="6"/>
      <c r="I56" s="685"/>
      <c r="J56" s="980"/>
      <c r="K56" s="685"/>
      <c r="L56" s="6"/>
      <c r="M56" s="6"/>
      <c r="N56" s="980"/>
      <c r="O56" s="685"/>
      <c r="P56" s="6"/>
      <c r="Q56" s="6"/>
      <c r="R56" s="980"/>
      <c r="S56" s="685"/>
      <c r="T56" s="6"/>
      <c r="U56" s="6"/>
      <c r="V56" s="980"/>
      <c r="W56" s="685"/>
      <c r="X56" s="6"/>
      <c r="Y56" s="6"/>
      <c r="Z56" s="2326"/>
      <c r="AA56" s="2326"/>
      <c r="AB56" s="980"/>
      <c r="AC56" s="685"/>
      <c r="AD56" s="6"/>
      <c r="AE56" s="6"/>
      <c r="AF56" s="980"/>
      <c r="AG56" s="685"/>
      <c r="AH56" s="6"/>
      <c r="AI56" s="6"/>
      <c r="AJ56" s="980"/>
      <c r="AK56" s="685"/>
      <c r="AL56" s="6"/>
      <c r="AM56" s="6"/>
      <c r="AN56" s="6"/>
      <c r="AO56" s="6"/>
      <c r="AP56" s="980"/>
      <c r="AQ56" s="685"/>
      <c r="AR56" s="6"/>
      <c r="AS56" s="6"/>
      <c r="AT56" s="980"/>
      <c r="AU56" s="685"/>
      <c r="AV56" s="6"/>
      <c r="AW56" s="6"/>
      <c r="AX56" s="980"/>
      <c r="AY56" s="685"/>
      <c r="AZ56" s="6"/>
      <c r="BA56" s="6"/>
      <c r="BB56" s="2326"/>
      <c r="BC56" s="2326"/>
      <c r="BD56" s="6"/>
      <c r="BE56" s="6"/>
      <c r="BF56" s="26"/>
      <c r="BG56" s="26"/>
      <c r="BH56" s="26"/>
      <c r="BI56" s="26"/>
      <c r="BJ56" s="26"/>
    </row>
    <row r="57" spans="1:62" x14ac:dyDescent="0.25">
      <c r="B57" s="8" t="s">
        <v>63</v>
      </c>
      <c r="C57" s="13" t="s">
        <v>66</v>
      </c>
      <c r="D57" s="155">
        <f>D65*D3*24</f>
        <v>208507.11711459071</v>
      </c>
      <c r="E57" s="18">
        <v>165311.72</v>
      </c>
      <c r="F57" s="155">
        <f>F65*F3*24</f>
        <v>227486.624326833</v>
      </c>
      <c r="G57" s="18">
        <v>189017.32</v>
      </c>
      <c r="H57" s="61">
        <f>+D57+F57</f>
        <v>435993.74144142371</v>
      </c>
      <c r="I57" s="39">
        <f>+E57+G57</f>
        <v>354329.04000000004</v>
      </c>
      <c r="J57" s="155">
        <f>J65*J3*24</f>
        <v>219678.40370610653</v>
      </c>
      <c r="K57" s="18">
        <v>206451.84000000003</v>
      </c>
      <c r="L57" s="761">
        <f t="shared" ref="L57:L58" si="175">+H57+J57</f>
        <v>655672.14514753025</v>
      </c>
      <c r="M57" s="427">
        <f t="shared" ref="M57:M58" si="176">+I57+K57</f>
        <v>560780.88000000012</v>
      </c>
      <c r="N57" s="155">
        <f>N65*N3*24</f>
        <v>228279.40518446034</v>
      </c>
      <c r="O57" s="18">
        <v>218006.16</v>
      </c>
      <c r="P57" s="61">
        <f>+L57+N57</f>
        <v>883951.55033199058</v>
      </c>
      <c r="Q57" s="219">
        <f>+M57+O57</f>
        <v>778787.04000000015</v>
      </c>
      <c r="R57" s="155">
        <f>R65*R3*24</f>
        <v>225838.32518446038</v>
      </c>
      <c r="S57" s="18">
        <v>209120.88</v>
      </c>
      <c r="T57" s="61">
        <f>+P57+R57</f>
        <v>1109789.875516451</v>
      </c>
      <c r="U57" s="219">
        <f>+Q57+S57</f>
        <v>987907.92000000016</v>
      </c>
      <c r="V57" s="155">
        <f>V65*V3*24</f>
        <v>163918.51348963828</v>
      </c>
      <c r="W57" s="18">
        <v>199066.56000000003</v>
      </c>
      <c r="X57" s="72">
        <f t="shared" ref="X57:Y58" si="177">+N57+R57+V57</f>
        <v>618036.24385855906</v>
      </c>
      <c r="Y57" s="529">
        <f t="shared" si="177"/>
        <v>626193.60000000009</v>
      </c>
      <c r="Z57" s="714">
        <f>L57+X57</f>
        <v>1273708.3890060894</v>
      </c>
      <c r="AA57" s="458">
        <f>M57+Y57</f>
        <v>1186974.4800000002</v>
      </c>
      <c r="AB57" s="155">
        <f>AB65*AB3*24</f>
        <v>222921.85065014614</v>
      </c>
      <c r="AC57" s="18">
        <v>169052.4</v>
      </c>
      <c r="AD57" s="61">
        <f>+Z57+AB57</f>
        <v>1496630.2396562356</v>
      </c>
      <c r="AE57" s="219">
        <f>+AA57+AC57</f>
        <v>1356026.8800000001</v>
      </c>
      <c r="AF57" s="155">
        <f>AF65*AF3*24</f>
        <v>217610.39148380258</v>
      </c>
      <c r="AG57" s="18">
        <v>49039.839999999997</v>
      </c>
      <c r="AH57" s="61">
        <f>+AD57+AF57</f>
        <v>1714240.6311400381</v>
      </c>
      <c r="AI57" s="219">
        <f>+AE57+AG57</f>
        <v>1405066.7200000002</v>
      </c>
      <c r="AJ57" s="155">
        <f>AJ65*AJ3*24</f>
        <v>225569.5981223525</v>
      </c>
      <c r="AK57" s="18">
        <v>188703.6</v>
      </c>
      <c r="AL57" s="72">
        <f t="shared" ref="AL57:AL58" si="178">+AB57+AF57+AJ57</f>
        <v>666101.84025630122</v>
      </c>
      <c r="AM57" s="529">
        <f t="shared" ref="AM57:AM58" si="179">+AC57+AG57+AK57</f>
        <v>406795.83999999997</v>
      </c>
      <c r="AN57" s="61">
        <f>+AH57+AJ57</f>
        <v>1939810.2292623906</v>
      </c>
      <c r="AO57" s="219">
        <f>+AI57+AK57</f>
        <v>1593770.3200000003</v>
      </c>
      <c r="AP57" s="155">
        <f>AP65*AP3*24</f>
        <v>225653.50478901912</v>
      </c>
      <c r="AQ57" s="18">
        <v>186682.55999999997</v>
      </c>
      <c r="AR57" s="61">
        <f>+AN57+AP57</f>
        <v>2165463.7340514096</v>
      </c>
      <c r="AS57" s="219">
        <f>+AO57+AQ57</f>
        <v>1780452.8800000004</v>
      </c>
      <c r="AT57" s="155">
        <f>AT65*AT3*24</f>
        <v>204610.52150198753</v>
      </c>
      <c r="AU57" s="18">
        <v>170227.36</v>
      </c>
      <c r="AV57" s="61">
        <f>+AR57+AT57</f>
        <v>2370074.2555533974</v>
      </c>
      <c r="AW57" s="219">
        <f>+AS57+AU57</f>
        <v>1950680.2400000002</v>
      </c>
      <c r="AX57" s="155">
        <f>AX65*AX3*24</f>
        <v>224687.5792884762</v>
      </c>
      <c r="AY57" s="18">
        <v>190041.24</v>
      </c>
      <c r="AZ57" s="72">
        <f t="shared" ref="AZ57:AZ58" si="180">+AP57+AT57+AX57</f>
        <v>654951.60557948286</v>
      </c>
      <c r="BA57" s="529">
        <f t="shared" ref="BA57:BA58" si="181">+AQ57+AU57+AY57</f>
        <v>546951.15999999992</v>
      </c>
      <c r="BB57" s="714">
        <f>AL57+AZ57</f>
        <v>1321053.4458357841</v>
      </c>
      <c r="BC57" s="458">
        <f>AM57+BA57</f>
        <v>953746.99999999988</v>
      </c>
      <c r="BD57" s="61">
        <f>+AV57+AX57</f>
        <v>2594761.8348418735</v>
      </c>
      <c r="BE57" s="219">
        <f>+AW57+AY57</f>
        <v>2140721.4800000004</v>
      </c>
      <c r="BF57" s="26"/>
      <c r="BG57" s="26"/>
      <c r="BH57" s="26"/>
      <c r="BI57" s="26"/>
      <c r="BJ57" s="26"/>
    </row>
    <row r="58" spans="1:62" ht="15.75" thickBot="1" x14ac:dyDescent="0.3">
      <c r="B58" s="3195" t="s">
        <v>56</v>
      </c>
      <c r="C58" s="14" t="s">
        <v>66</v>
      </c>
      <c r="D58" s="1311">
        <f>D66*D3*24</f>
        <v>45360</v>
      </c>
      <c r="E58" s="18">
        <v>39576</v>
      </c>
      <c r="F58" s="1311">
        <f>F66*F3*24</f>
        <v>46872</v>
      </c>
      <c r="G58" s="18">
        <v>48268</v>
      </c>
      <c r="H58" s="61">
        <f>+D58+F58</f>
        <v>92232</v>
      </c>
      <c r="I58" s="39">
        <f>+E58+G58</f>
        <v>87844</v>
      </c>
      <c r="J58" s="1311">
        <f>J66*J3*24</f>
        <v>45360</v>
      </c>
      <c r="K58" s="18">
        <v>46415.839999999989</v>
      </c>
      <c r="L58" s="761">
        <f t="shared" si="175"/>
        <v>137592</v>
      </c>
      <c r="M58" s="427">
        <f t="shared" si="176"/>
        <v>134259.84</v>
      </c>
      <c r="N58" s="1311">
        <f>N66*N3*24</f>
        <v>46872</v>
      </c>
      <c r="O58" s="18">
        <v>48772.800000000003</v>
      </c>
      <c r="P58" s="61">
        <f>+L58+N58</f>
        <v>184464</v>
      </c>
      <c r="Q58" s="219">
        <f>+M58+O58</f>
        <v>183032.64</v>
      </c>
      <c r="R58" s="1311">
        <f>R66*R3*24</f>
        <v>46872</v>
      </c>
      <c r="S58" s="18">
        <v>50068</v>
      </c>
      <c r="T58" s="61">
        <f>+P58+R58</f>
        <v>231336</v>
      </c>
      <c r="U58" s="219">
        <f>+Q58+S58</f>
        <v>233100.64</v>
      </c>
      <c r="V58" s="1311">
        <f>V66*V3*24</f>
        <v>45360</v>
      </c>
      <c r="W58" s="18">
        <v>45636.799999999988</v>
      </c>
      <c r="X58" s="72">
        <f t="shared" si="177"/>
        <v>139104</v>
      </c>
      <c r="Y58" s="529">
        <f t="shared" si="177"/>
        <v>144477.59999999998</v>
      </c>
      <c r="Z58" s="723">
        <f>L58+X58</f>
        <v>276696</v>
      </c>
      <c r="AA58" s="459">
        <f>M58+Y58</f>
        <v>278737.43999999994</v>
      </c>
      <c r="AB58" s="1311">
        <f>AB66*AB3*24</f>
        <v>46872</v>
      </c>
      <c r="AC58" s="18">
        <v>48817.919999999998</v>
      </c>
      <c r="AD58" s="61">
        <f>+Z58+AB58</f>
        <v>323568</v>
      </c>
      <c r="AE58" s="219">
        <f>+AA58+AC58</f>
        <v>327555.35999999993</v>
      </c>
      <c r="AF58" s="1311">
        <f>AF66*AF3*24</f>
        <v>45360</v>
      </c>
      <c r="AG58" s="18">
        <v>38546.800000000003</v>
      </c>
      <c r="AH58" s="61">
        <f>+AD58+AF58</f>
        <v>368928</v>
      </c>
      <c r="AI58" s="219">
        <f>+AE58+AG58</f>
        <v>366102.15999999992</v>
      </c>
      <c r="AJ58" s="1311">
        <f>AJ66*AJ3*24</f>
        <v>46872</v>
      </c>
      <c r="AK58" s="18">
        <v>48806.239999999998</v>
      </c>
      <c r="AL58" s="72">
        <f t="shared" si="178"/>
        <v>139104</v>
      </c>
      <c r="AM58" s="529">
        <f t="shared" si="179"/>
        <v>136170.96</v>
      </c>
      <c r="AN58" s="61">
        <f>+AH58+AJ58</f>
        <v>415800</v>
      </c>
      <c r="AO58" s="219">
        <f>+AI58+AK58</f>
        <v>414908.39999999991</v>
      </c>
      <c r="AP58" s="1311">
        <f>AP66*AP3*24</f>
        <v>46872</v>
      </c>
      <c r="AQ58" s="18">
        <v>47572.399999999994</v>
      </c>
      <c r="AR58" s="61">
        <f>+AN58+AP58</f>
        <v>462672</v>
      </c>
      <c r="AS58" s="219">
        <f>+AO58+AQ58</f>
        <v>462480.79999999993</v>
      </c>
      <c r="AT58" s="1311">
        <f>AT66*AT3*24</f>
        <v>42336</v>
      </c>
      <c r="AU58" s="18">
        <v>41827.68</v>
      </c>
      <c r="AV58" s="61">
        <f>+AR58+AT58</f>
        <v>505008</v>
      </c>
      <c r="AW58" s="219">
        <f>+AS58+AU58</f>
        <v>504308.47999999992</v>
      </c>
      <c r="AX58" s="1311">
        <f>AX66*AX3*24</f>
        <v>46872</v>
      </c>
      <c r="AY58" s="18">
        <v>43118.400000000001</v>
      </c>
      <c r="AZ58" s="72">
        <f t="shared" si="180"/>
        <v>136080</v>
      </c>
      <c r="BA58" s="529">
        <f t="shared" si="181"/>
        <v>132518.47999999998</v>
      </c>
      <c r="BB58" s="723">
        <f>AL58+AZ58</f>
        <v>275184</v>
      </c>
      <c r="BC58" s="459">
        <f>AM58+BA58</f>
        <v>268689.43999999994</v>
      </c>
      <c r="BD58" s="61">
        <f>+AV58+AX58</f>
        <v>551880</v>
      </c>
      <c r="BE58" s="219">
        <f>+AW58+AY58</f>
        <v>547426.87999999989</v>
      </c>
      <c r="BF58" s="26"/>
      <c r="BG58" s="26"/>
      <c r="BH58" s="26"/>
      <c r="BI58" s="26"/>
      <c r="BJ58" s="26"/>
    </row>
    <row r="59" spans="1:62" ht="15.75" x14ac:dyDescent="0.25">
      <c r="B59" s="6257" t="s">
        <v>2</v>
      </c>
      <c r="C59" s="37" t="s">
        <v>66</v>
      </c>
      <c r="D59" s="981">
        <f t="shared" ref="D59:I59" si="182">SUM(D57:D58)</f>
        <v>253867.11711459071</v>
      </c>
      <c r="E59" s="130">
        <f t="shared" si="182"/>
        <v>204887.72</v>
      </c>
      <c r="F59" s="981">
        <f t="shared" ref="F59:G59" si="183">SUM(F57:F58)</f>
        <v>274358.624326833</v>
      </c>
      <c r="G59" s="130">
        <f t="shared" si="183"/>
        <v>237285.32</v>
      </c>
      <c r="H59" s="945">
        <f t="shared" si="182"/>
        <v>528225.74144142377</v>
      </c>
      <c r="I59" s="3196">
        <f t="shared" si="182"/>
        <v>442173.04000000004</v>
      </c>
      <c r="J59" s="981">
        <f t="shared" ref="J59:K59" si="184">SUM(J57:J58)</f>
        <v>265038.40370610653</v>
      </c>
      <c r="K59" s="130">
        <f t="shared" si="184"/>
        <v>252867.68000000002</v>
      </c>
      <c r="L59" s="982">
        <f t="shared" ref="L59:Q59" si="185">SUM(L57:L58)</f>
        <v>793264.14514753025</v>
      </c>
      <c r="M59" s="242">
        <f t="shared" si="185"/>
        <v>695040.72000000009</v>
      </c>
      <c r="N59" s="981">
        <f t="shared" si="185"/>
        <v>275151.40518446034</v>
      </c>
      <c r="O59" s="130">
        <f t="shared" si="185"/>
        <v>266778.96000000002</v>
      </c>
      <c r="P59" s="945">
        <f t="shared" si="185"/>
        <v>1068415.5503319907</v>
      </c>
      <c r="Q59" s="225">
        <f t="shared" si="185"/>
        <v>961819.68000000017</v>
      </c>
      <c r="R59" s="981">
        <f t="shared" ref="R59:S59" si="186">SUM(R57:R58)</f>
        <v>272710.32518446038</v>
      </c>
      <c r="S59" s="130">
        <f t="shared" si="186"/>
        <v>259188.88</v>
      </c>
      <c r="T59" s="945">
        <f t="shared" ref="T59:W59" si="187">SUM(T57:T58)</f>
        <v>1341125.875516451</v>
      </c>
      <c r="U59" s="225">
        <f t="shared" si="187"/>
        <v>1221008.56</v>
      </c>
      <c r="V59" s="981">
        <f t="shared" si="187"/>
        <v>209278.51348963828</v>
      </c>
      <c r="W59" s="130">
        <f t="shared" si="187"/>
        <v>244703.36000000002</v>
      </c>
      <c r="X59" s="982">
        <f t="shared" ref="X59:Y59" si="188">SUM(X57:X58)</f>
        <v>757140.24385855906</v>
      </c>
      <c r="Y59" s="242">
        <f t="shared" si="188"/>
        <v>770671.20000000007</v>
      </c>
      <c r="Z59" s="2324">
        <f t="shared" ref="Z59:AE59" si="189">SUM(Z57:Z58)</f>
        <v>1550404.3890060894</v>
      </c>
      <c r="AA59" s="2325">
        <f t="shared" si="189"/>
        <v>1465711.9200000002</v>
      </c>
      <c r="AB59" s="981">
        <f t="shared" si="189"/>
        <v>269793.85065014614</v>
      </c>
      <c r="AC59" s="130">
        <f t="shared" si="189"/>
        <v>217870.32</v>
      </c>
      <c r="AD59" s="945">
        <f t="shared" si="189"/>
        <v>1820198.2396562356</v>
      </c>
      <c r="AE59" s="225">
        <f t="shared" si="189"/>
        <v>1683582.24</v>
      </c>
      <c r="AF59" s="981">
        <f t="shared" ref="AF59:AI59" si="190">SUM(AF57:AF58)</f>
        <v>262970.39148380258</v>
      </c>
      <c r="AG59" s="130">
        <f t="shared" si="190"/>
        <v>87586.64</v>
      </c>
      <c r="AH59" s="945">
        <f t="shared" si="190"/>
        <v>2083168.6311400381</v>
      </c>
      <c r="AI59" s="225">
        <f t="shared" si="190"/>
        <v>1771168.8800000001</v>
      </c>
      <c r="AJ59" s="981">
        <f t="shared" ref="AJ59:AK59" si="191">SUM(AJ57:AJ58)</f>
        <v>272441.5981223525</v>
      </c>
      <c r="AK59" s="130">
        <f t="shared" si="191"/>
        <v>237509.84</v>
      </c>
      <c r="AL59" s="982">
        <f t="shared" ref="AL59:AS59" si="192">SUM(AL57:AL58)</f>
        <v>805205.84025630122</v>
      </c>
      <c r="AM59" s="242">
        <f t="shared" si="192"/>
        <v>542966.79999999993</v>
      </c>
      <c r="AN59" s="945">
        <f t="shared" si="192"/>
        <v>2355610.2292623906</v>
      </c>
      <c r="AO59" s="225">
        <f t="shared" si="192"/>
        <v>2008678.7200000002</v>
      </c>
      <c r="AP59" s="981">
        <f t="shared" si="192"/>
        <v>272525.50478901912</v>
      </c>
      <c r="AQ59" s="130">
        <f t="shared" si="192"/>
        <v>234254.95999999996</v>
      </c>
      <c r="AR59" s="945">
        <f t="shared" si="192"/>
        <v>2628135.7340514096</v>
      </c>
      <c r="AS59" s="225">
        <f t="shared" si="192"/>
        <v>2242933.6800000002</v>
      </c>
      <c r="AT59" s="981">
        <f t="shared" ref="AT59:AW59" si="193">SUM(AT57:AT58)</f>
        <v>246946.52150198753</v>
      </c>
      <c r="AU59" s="130">
        <f t="shared" si="193"/>
        <v>212055.03999999998</v>
      </c>
      <c r="AV59" s="945">
        <f t="shared" si="193"/>
        <v>2875082.2555533974</v>
      </c>
      <c r="AW59" s="225">
        <f t="shared" si="193"/>
        <v>2454988.7200000002</v>
      </c>
      <c r="AX59" s="981">
        <f t="shared" ref="AX59:AY59" si="194">SUM(AX57:AX58)</f>
        <v>271559.5792884762</v>
      </c>
      <c r="AY59" s="130">
        <f t="shared" si="194"/>
        <v>233159.63999999998</v>
      </c>
      <c r="AZ59" s="982">
        <f t="shared" ref="AZ59:BE59" si="195">SUM(AZ57:AZ58)</f>
        <v>791031.60557948286</v>
      </c>
      <c r="BA59" s="242">
        <f t="shared" si="195"/>
        <v>679469.6399999999</v>
      </c>
      <c r="BB59" s="2324">
        <f t="shared" si="195"/>
        <v>1596237.4458357841</v>
      </c>
      <c r="BC59" s="2325">
        <f t="shared" si="195"/>
        <v>1222436.44</v>
      </c>
      <c r="BD59" s="945">
        <f t="shared" si="195"/>
        <v>3146641.8348418735</v>
      </c>
      <c r="BE59" s="225">
        <f t="shared" si="195"/>
        <v>2688148.3600000003</v>
      </c>
      <c r="BF59" s="26"/>
      <c r="BG59" s="26"/>
      <c r="BH59" s="26"/>
      <c r="BI59" s="26"/>
      <c r="BJ59" s="26"/>
    </row>
    <row r="60" spans="1:62" ht="16.5" thickBot="1" x14ac:dyDescent="0.3">
      <c r="B60" s="6258"/>
      <c r="C60" s="36" t="s">
        <v>460</v>
      </c>
      <c r="D60" s="984">
        <f t="shared" ref="D60:K60" si="196">+D59/(D3*24)</f>
        <v>352.59321821470934</v>
      </c>
      <c r="E60" s="686">
        <f t="shared" si="196"/>
        <v>284.56627777777777</v>
      </c>
      <c r="F60" s="984">
        <f t="shared" ref="F60:G60" si="197">+F59/(F3*24)</f>
        <v>368.76159183714111</v>
      </c>
      <c r="G60" s="686">
        <f t="shared" si="197"/>
        <v>318.93188172043011</v>
      </c>
      <c r="H60" s="983">
        <f t="shared" si="196"/>
        <v>360.80993267856815</v>
      </c>
      <c r="I60" s="3197">
        <f t="shared" si="196"/>
        <v>302.03076502732245</v>
      </c>
      <c r="J60" s="984">
        <f t="shared" si="196"/>
        <v>368.10889403625907</v>
      </c>
      <c r="K60" s="686">
        <f t="shared" si="196"/>
        <v>351.20511111111114</v>
      </c>
      <c r="L60" s="985">
        <f t="shared" ref="L60:Q60" si="198">+L59/(L3*24)</f>
        <v>363.2161836756091</v>
      </c>
      <c r="M60" s="243">
        <f t="shared" si="198"/>
        <v>318.24208791208792</v>
      </c>
      <c r="N60" s="984">
        <f t="shared" si="198"/>
        <v>369.8271575059951</v>
      </c>
      <c r="O60" s="686">
        <f t="shared" si="198"/>
        <v>358.57387096774198</v>
      </c>
      <c r="P60" s="983">
        <f t="shared" si="198"/>
        <v>364.89602128824816</v>
      </c>
      <c r="Q60" s="226">
        <f t="shared" si="198"/>
        <v>328.49032786885249</v>
      </c>
      <c r="R60" s="984">
        <f t="shared" ref="R60:S60" si="199">+R59/(R3*24)</f>
        <v>366.54613600061879</v>
      </c>
      <c r="S60" s="686">
        <f t="shared" si="199"/>
        <v>348.37215053763441</v>
      </c>
      <c r="T60" s="983">
        <f t="shared" ref="T60:W60" si="200">+T59/(T3*24)</f>
        <v>365.23035825611407</v>
      </c>
      <c r="U60" s="226">
        <f t="shared" si="200"/>
        <v>332.51867102396517</v>
      </c>
      <c r="V60" s="984">
        <f t="shared" si="200"/>
        <v>290.66460206894203</v>
      </c>
      <c r="W60" s="686">
        <f t="shared" si="200"/>
        <v>339.86577777777779</v>
      </c>
      <c r="X60" s="985">
        <f t="shared" ref="X60:Y60" si="201">+X59/(X3*24)</f>
        <v>342.90771913884015</v>
      </c>
      <c r="Y60" s="243">
        <f t="shared" si="201"/>
        <v>349.03586956521741</v>
      </c>
      <c r="Z60" s="986">
        <f t="shared" ref="Z60:AE60" si="202">+Z59/(Z3*24)</f>
        <v>353.00646379920067</v>
      </c>
      <c r="AA60" s="517">
        <f t="shared" si="202"/>
        <v>333.72311475409839</v>
      </c>
      <c r="AB60" s="984">
        <f t="shared" si="202"/>
        <v>362.62614334697059</v>
      </c>
      <c r="AC60" s="686">
        <f t="shared" si="202"/>
        <v>292.83645161290326</v>
      </c>
      <c r="AD60" s="983">
        <f t="shared" si="202"/>
        <v>354.39996878041967</v>
      </c>
      <c r="AE60" s="226">
        <f t="shared" si="202"/>
        <v>327.80028037383175</v>
      </c>
      <c r="AF60" s="984">
        <f t="shared" ref="AF60:AI60" si="203">+AF59/(AF3*24)</f>
        <v>365.2366548386147</v>
      </c>
      <c r="AG60" s="686">
        <f t="shared" si="203"/>
        <v>121.64811111111111</v>
      </c>
      <c r="AH60" s="983">
        <f t="shared" si="203"/>
        <v>355.7323482138043</v>
      </c>
      <c r="AI60" s="226">
        <f t="shared" si="203"/>
        <v>302.45370218579239</v>
      </c>
      <c r="AJ60" s="984">
        <f t="shared" ref="AJ60:AK60" si="204">+AJ59/(AJ3*24)</f>
        <v>366.18494371283936</v>
      </c>
      <c r="AK60" s="686">
        <f t="shared" si="204"/>
        <v>319.23365591397851</v>
      </c>
      <c r="AL60" s="985">
        <f t="shared" ref="AL60:AS60" si="205">+AL59/(AL3*24)</f>
        <v>364.67655808709293</v>
      </c>
      <c r="AM60" s="243">
        <f t="shared" si="205"/>
        <v>245.90887681159418</v>
      </c>
      <c r="AN60" s="983">
        <f t="shared" si="205"/>
        <v>356.91064079733189</v>
      </c>
      <c r="AO60" s="226">
        <f t="shared" si="205"/>
        <v>304.34526060606066</v>
      </c>
      <c r="AP60" s="984">
        <f t="shared" si="205"/>
        <v>366.29772149061711</v>
      </c>
      <c r="AQ60" s="686">
        <f t="shared" si="205"/>
        <v>314.85881720430103</v>
      </c>
      <c r="AR60" s="983">
        <f t="shared" si="205"/>
        <v>357.86161956037711</v>
      </c>
      <c r="AS60" s="226">
        <f t="shared" si="205"/>
        <v>305.41035947712419</v>
      </c>
      <c r="AT60" s="984">
        <f t="shared" ref="AT60:AW60" si="206">+AT59/(AT3*24)</f>
        <v>367.47994271129096</v>
      </c>
      <c r="AU60" s="686">
        <f t="shared" si="206"/>
        <v>315.55809523809523</v>
      </c>
      <c r="AV60" s="983">
        <f t="shared" si="206"/>
        <v>358.66794605207053</v>
      </c>
      <c r="AW60" s="226">
        <f t="shared" si="206"/>
        <v>306.26106786427147</v>
      </c>
      <c r="AX60" s="984">
        <f t="shared" ref="AX60:AY60" si="207">+AX59/(AX3*24)</f>
        <v>364.99943452752177</v>
      </c>
      <c r="AY60" s="686">
        <f t="shared" si="207"/>
        <v>313.3866129032258</v>
      </c>
      <c r="AZ60" s="985">
        <f t="shared" ref="AZ60:BE60" si="208">+AZ59/(AZ3*24)</f>
        <v>366.21833591642724</v>
      </c>
      <c r="BA60" s="243">
        <f t="shared" si="208"/>
        <v>314.56927777777776</v>
      </c>
      <c r="BB60" s="986">
        <f t="shared" si="208"/>
        <v>365.43897569500552</v>
      </c>
      <c r="BC60" s="517">
        <f t="shared" si="208"/>
        <v>279.86182234432232</v>
      </c>
      <c r="BD60" s="983">
        <f t="shared" si="208"/>
        <v>359.20568890888967</v>
      </c>
      <c r="BE60" s="226">
        <f t="shared" si="208"/>
        <v>306.86625114155254</v>
      </c>
      <c r="BF60" s="26"/>
      <c r="BG60" s="26"/>
      <c r="BH60" s="26"/>
      <c r="BI60" s="26"/>
      <c r="BJ60" s="26"/>
    </row>
    <row r="61" spans="1:62" ht="16.5" thickBot="1" x14ac:dyDescent="0.3">
      <c r="B61" s="3198" t="s">
        <v>64</v>
      </c>
      <c r="C61" s="15" t="s">
        <v>66</v>
      </c>
      <c r="D61" s="455">
        <f>+D68*D3*24</f>
        <v>2160</v>
      </c>
      <c r="E61" s="30">
        <v>3519.7200000000012</v>
      </c>
      <c r="F61" s="455">
        <f>+F68*F3*24</f>
        <v>2232</v>
      </c>
      <c r="G61" s="30">
        <v>6036.0400000000081</v>
      </c>
      <c r="H61" s="40">
        <f>+D61+F61</f>
        <v>4392</v>
      </c>
      <c r="I61" s="41">
        <f>+E61+G61</f>
        <v>9555.7600000000093</v>
      </c>
      <c r="J61" s="455">
        <f>+J68*J3*24</f>
        <v>2160</v>
      </c>
      <c r="K61" s="30">
        <v>8146.4000000000233</v>
      </c>
      <c r="L61" s="354">
        <f>+H61+J61</f>
        <v>6552</v>
      </c>
      <c r="M61" s="122">
        <f t="shared" ref="M61" si="209">+I61+K61</f>
        <v>17702.160000000033</v>
      </c>
      <c r="N61" s="455">
        <f>+N68*N3*24</f>
        <v>2232</v>
      </c>
      <c r="O61" s="30">
        <v>9116.4000000000233</v>
      </c>
      <c r="P61" s="40">
        <f>+L61+N61</f>
        <v>8784</v>
      </c>
      <c r="Q61" s="220">
        <f>+M61+O61</f>
        <v>26818.560000000056</v>
      </c>
      <c r="R61" s="455">
        <f>+R68*R3*24</f>
        <v>2232</v>
      </c>
      <c r="S61" s="30">
        <v>9166.640000000014</v>
      </c>
      <c r="T61" s="40">
        <f>+P61+R61</f>
        <v>11016</v>
      </c>
      <c r="U61" s="220">
        <f>+Q61+S61</f>
        <v>35985.20000000007</v>
      </c>
      <c r="V61" s="455">
        <f>+V68*V3*24</f>
        <v>2160</v>
      </c>
      <c r="W61" s="30">
        <v>7028.4800000000105</v>
      </c>
      <c r="X61" s="354">
        <f t="shared" ref="X61:Y61" si="210">+N61+R61+V61</f>
        <v>6624</v>
      </c>
      <c r="Y61" s="122">
        <f t="shared" si="210"/>
        <v>25311.520000000048</v>
      </c>
      <c r="Z61" s="463">
        <f>L61+X61</f>
        <v>13176</v>
      </c>
      <c r="AA61" s="502">
        <f>M61+Y61</f>
        <v>43013.68000000008</v>
      </c>
      <c r="AB61" s="455">
        <f>+AB68*AB3*24</f>
        <v>0</v>
      </c>
      <c r="AC61" s="30">
        <v>5428.0800000000163</v>
      </c>
      <c r="AD61" s="40">
        <f>+Z61+AB61</f>
        <v>13176</v>
      </c>
      <c r="AE61" s="220">
        <f>+AA61+AC61</f>
        <v>48441.760000000097</v>
      </c>
      <c r="AF61" s="455">
        <f>+AF68*AF3*24</f>
        <v>0</v>
      </c>
      <c r="AG61" s="30">
        <v>1624.1599999999889</v>
      </c>
      <c r="AH61" s="40">
        <f>+AD61+AF61</f>
        <v>13176</v>
      </c>
      <c r="AI61" s="220">
        <f>+AE61+AG61</f>
        <v>50065.920000000086</v>
      </c>
      <c r="AJ61" s="455">
        <f>+AJ68*AJ3*24</f>
        <v>0</v>
      </c>
      <c r="AK61" s="30">
        <v>2114.4800000000105</v>
      </c>
      <c r="AL61" s="354">
        <f t="shared" ref="AL61" si="211">+AB61+AF61+AJ61</f>
        <v>0</v>
      </c>
      <c r="AM61" s="122">
        <f t="shared" ref="AM61" si="212">+AC61+AG61+AK61</f>
        <v>9166.7200000000157</v>
      </c>
      <c r="AN61" s="40">
        <f>+AH61+AJ61</f>
        <v>13176</v>
      </c>
      <c r="AO61" s="220">
        <f>+AI61+AK61</f>
        <v>52180.400000000096</v>
      </c>
      <c r="AP61" s="455">
        <f>+AP68*AP3*24</f>
        <v>0</v>
      </c>
      <c r="AQ61" s="30">
        <v>5028.1599999999744</v>
      </c>
      <c r="AR61" s="40">
        <f>+AN61+AP61</f>
        <v>13176</v>
      </c>
      <c r="AS61" s="220">
        <f>+AO61+AQ61</f>
        <v>57208.56000000007</v>
      </c>
      <c r="AT61" s="455">
        <f>+AT68*AT3*24</f>
        <v>0</v>
      </c>
      <c r="AU61" s="30">
        <v>3972.9</v>
      </c>
      <c r="AV61" s="40">
        <f>+AR61+AT61</f>
        <v>13176</v>
      </c>
      <c r="AW61" s="220">
        <f>+AS61+AU61</f>
        <v>61181.460000000072</v>
      </c>
      <c r="AX61" s="455">
        <f>+AX68*AX3*24</f>
        <v>0</v>
      </c>
      <c r="AY61" s="30">
        <v>4243.4799999999814</v>
      </c>
      <c r="AZ61" s="354">
        <f t="shared" ref="AZ61" si="213">+AP61+AT61+AX61</f>
        <v>0</v>
      </c>
      <c r="BA61" s="122">
        <f t="shared" ref="BA61" si="214">+AQ61+AU61+AY61</f>
        <v>13244.539999999955</v>
      </c>
      <c r="BB61" s="463">
        <f>AN61+AZ61</f>
        <v>13176</v>
      </c>
      <c r="BC61" s="502">
        <f>AM61+BA61</f>
        <v>22411.259999999973</v>
      </c>
      <c r="BD61" s="40">
        <f>+AV61+AX61</f>
        <v>13176</v>
      </c>
      <c r="BE61" s="220">
        <f>+AW61+AY61</f>
        <v>65424.940000000053</v>
      </c>
      <c r="BF61" s="26"/>
      <c r="BG61" s="26"/>
      <c r="BH61" s="26"/>
      <c r="BI61" s="26"/>
      <c r="BJ61" s="26"/>
    </row>
    <row r="62" spans="1:62" ht="19.5" thickBot="1" x14ac:dyDescent="0.3">
      <c r="B62" s="3199" t="s">
        <v>65</v>
      </c>
      <c r="C62" s="2905" t="s">
        <v>66</v>
      </c>
      <c r="D62" s="738">
        <f t="shared" ref="D62:K62" si="215">+D59-D61</f>
        <v>251707.11711459071</v>
      </c>
      <c r="E62" s="687">
        <f t="shared" si="215"/>
        <v>201368</v>
      </c>
      <c r="F62" s="738">
        <f t="shared" ref="F62:G62" si="216">+F59-F61</f>
        <v>272126.624326833</v>
      </c>
      <c r="G62" s="687">
        <f t="shared" si="216"/>
        <v>231249.28</v>
      </c>
      <c r="H62" s="987">
        <f t="shared" si="215"/>
        <v>523833.74144142377</v>
      </c>
      <c r="I62" s="3200">
        <f t="shared" si="215"/>
        <v>432617.28</v>
      </c>
      <c r="J62" s="738">
        <f t="shared" si="215"/>
        <v>262878.40370610653</v>
      </c>
      <c r="K62" s="687">
        <f t="shared" si="215"/>
        <v>244721.28</v>
      </c>
      <c r="L62" s="75">
        <f t="shared" ref="L62:Q62" si="217">+L59-L61</f>
        <v>786712.14514753025</v>
      </c>
      <c r="M62" s="76">
        <f t="shared" si="217"/>
        <v>677338.56</v>
      </c>
      <c r="N62" s="738">
        <f t="shared" si="217"/>
        <v>272919.40518446034</v>
      </c>
      <c r="O62" s="687">
        <f t="shared" si="217"/>
        <v>257662.56</v>
      </c>
      <c r="P62" s="987">
        <f t="shared" si="217"/>
        <v>1059631.5503319907</v>
      </c>
      <c r="Q62" s="51">
        <f t="shared" si="217"/>
        <v>935001.12000000011</v>
      </c>
      <c r="R62" s="738">
        <f t="shared" ref="R62:S62" si="218">+R59-R61</f>
        <v>270478.32518446038</v>
      </c>
      <c r="S62" s="687">
        <f t="shared" si="218"/>
        <v>250022.24</v>
      </c>
      <c r="T62" s="987">
        <f t="shared" ref="T62:W62" si="219">+T59-T61</f>
        <v>1330109.875516451</v>
      </c>
      <c r="U62" s="51">
        <f t="shared" si="219"/>
        <v>1185023.3599999999</v>
      </c>
      <c r="V62" s="738">
        <f t="shared" si="219"/>
        <v>207118.51348963828</v>
      </c>
      <c r="W62" s="687">
        <f t="shared" si="219"/>
        <v>237674.88</v>
      </c>
      <c r="X62" s="75">
        <f t="shared" ref="X62:Y62" si="220">+X59-X61</f>
        <v>750516.24385855906</v>
      </c>
      <c r="Y62" s="76">
        <f t="shared" si="220"/>
        <v>745359.68</v>
      </c>
      <c r="Z62" s="988">
        <f t="shared" ref="Z62:AE62" si="221">+Z59-Z61</f>
        <v>1537228.3890060894</v>
      </c>
      <c r="AA62" s="518">
        <f t="shared" si="221"/>
        <v>1422698.24</v>
      </c>
      <c r="AB62" s="738">
        <f t="shared" si="221"/>
        <v>269793.85065014614</v>
      </c>
      <c r="AC62" s="687">
        <f t="shared" si="221"/>
        <v>212442.23999999999</v>
      </c>
      <c r="AD62" s="987">
        <f t="shared" si="221"/>
        <v>1807022.2396562356</v>
      </c>
      <c r="AE62" s="51">
        <f t="shared" si="221"/>
        <v>1635140.48</v>
      </c>
      <c r="AF62" s="738">
        <f t="shared" ref="AF62:AI62" si="222">+AF59-AF61</f>
        <v>262970.39148380258</v>
      </c>
      <c r="AG62" s="687">
        <f t="shared" si="222"/>
        <v>85962.48000000001</v>
      </c>
      <c r="AH62" s="987">
        <f t="shared" si="222"/>
        <v>2069992.6311400381</v>
      </c>
      <c r="AI62" s="51">
        <f t="shared" si="222"/>
        <v>1721102.96</v>
      </c>
      <c r="AJ62" s="738">
        <f t="shared" ref="AJ62:AK62" si="223">+AJ59-AJ61</f>
        <v>272441.5981223525</v>
      </c>
      <c r="AK62" s="687">
        <f t="shared" si="223"/>
        <v>235395.36</v>
      </c>
      <c r="AL62" s="75">
        <f t="shared" ref="AL62:AS62" si="224">+AL59-AL61</f>
        <v>805205.84025630122</v>
      </c>
      <c r="AM62" s="76">
        <f t="shared" si="224"/>
        <v>533800.07999999996</v>
      </c>
      <c r="AN62" s="987">
        <f t="shared" si="224"/>
        <v>2342434.2292623906</v>
      </c>
      <c r="AO62" s="51">
        <f t="shared" si="224"/>
        <v>1956498.32</v>
      </c>
      <c r="AP62" s="738">
        <f t="shared" si="224"/>
        <v>272525.50478901912</v>
      </c>
      <c r="AQ62" s="687">
        <f t="shared" si="224"/>
        <v>229226.8</v>
      </c>
      <c r="AR62" s="987">
        <f t="shared" si="224"/>
        <v>2614959.7340514096</v>
      </c>
      <c r="AS62" s="51">
        <f t="shared" si="224"/>
        <v>2185725.12</v>
      </c>
      <c r="AT62" s="738">
        <f t="shared" ref="AT62:AW62" si="225">+AT59-AT61</f>
        <v>246946.52150198753</v>
      </c>
      <c r="AU62" s="687">
        <f t="shared" si="225"/>
        <v>208082.13999999998</v>
      </c>
      <c r="AV62" s="987">
        <f t="shared" si="225"/>
        <v>2861906.2555533974</v>
      </c>
      <c r="AW62" s="51">
        <f t="shared" si="225"/>
        <v>2393807.2600000002</v>
      </c>
      <c r="AX62" s="738">
        <f t="shared" ref="AX62:AY62" si="226">+AX59-AX61</f>
        <v>271559.5792884762</v>
      </c>
      <c r="AY62" s="687">
        <f t="shared" si="226"/>
        <v>228916.16</v>
      </c>
      <c r="AZ62" s="75">
        <f t="shared" ref="AZ62:BE62" si="227">+AZ59-AZ61</f>
        <v>791031.60557948286</v>
      </c>
      <c r="BA62" s="76">
        <f t="shared" si="227"/>
        <v>666225.1</v>
      </c>
      <c r="BB62" s="988">
        <f t="shared" si="227"/>
        <v>1583061.4458357841</v>
      </c>
      <c r="BC62" s="518">
        <f t="shared" si="227"/>
        <v>1200025.18</v>
      </c>
      <c r="BD62" s="987">
        <f t="shared" si="227"/>
        <v>3133465.8348418735</v>
      </c>
      <c r="BE62" s="51">
        <f t="shared" si="227"/>
        <v>2622723.4200000004</v>
      </c>
      <c r="BF62" s="26"/>
      <c r="BG62" s="26"/>
      <c r="BH62" s="26"/>
      <c r="BI62" s="26"/>
      <c r="BJ62" s="26"/>
    </row>
    <row r="63" spans="1:62" ht="20.25" x14ac:dyDescent="0.25">
      <c r="A63" s="3182"/>
      <c r="B63" s="989" t="s">
        <v>480</v>
      </c>
      <c r="C63" s="52"/>
      <c r="D63" s="989"/>
      <c r="E63" s="688"/>
      <c r="F63" s="989"/>
      <c r="G63" s="688"/>
      <c r="H63" s="52"/>
      <c r="I63" s="688"/>
      <c r="J63" s="989"/>
      <c r="K63" s="688"/>
      <c r="L63" s="4082"/>
      <c r="M63" s="52"/>
      <c r="N63" s="989"/>
      <c r="O63" s="688"/>
      <c r="P63" s="52"/>
      <c r="Q63" s="52"/>
      <c r="R63" s="989"/>
      <c r="S63" s="688"/>
      <c r="T63" s="52"/>
      <c r="U63" s="52"/>
      <c r="V63" s="989"/>
      <c r="W63" s="688"/>
      <c r="X63" s="52"/>
      <c r="Y63" s="52"/>
      <c r="Z63" s="52"/>
      <c r="AA63" s="52"/>
      <c r="AB63" s="989"/>
      <c r="AC63" s="688"/>
      <c r="AD63" s="52"/>
      <c r="AE63" s="52"/>
      <c r="AF63" s="989"/>
      <c r="AG63" s="688"/>
      <c r="AH63" s="52"/>
      <c r="AI63" s="52"/>
      <c r="AJ63" s="989"/>
      <c r="AK63" s="688"/>
      <c r="AL63" s="52"/>
      <c r="AM63" s="52"/>
      <c r="AN63" s="52"/>
      <c r="AO63" s="52"/>
      <c r="AP63" s="989"/>
      <c r="AQ63" s="688"/>
      <c r="AR63" s="52"/>
      <c r="AS63" s="52"/>
      <c r="AT63" s="989"/>
      <c r="AU63" s="688"/>
      <c r="AV63" s="52"/>
      <c r="AW63" s="52"/>
      <c r="AX63" s="989"/>
      <c r="AY63" s="688"/>
      <c r="AZ63" s="52"/>
      <c r="BA63" s="52"/>
      <c r="BB63" s="52"/>
      <c r="BC63" s="52"/>
      <c r="BD63" s="52"/>
      <c r="BE63" s="52"/>
      <c r="BF63" s="26"/>
      <c r="BG63" s="26"/>
      <c r="BH63" s="26"/>
      <c r="BI63" s="26"/>
      <c r="BJ63" s="26"/>
    </row>
    <row r="64" spans="1:62" ht="15.75" customHeight="1" x14ac:dyDescent="0.25">
      <c r="A64" s="3182"/>
      <c r="B64" s="990" t="s">
        <v>375</v>
      </c>
      <c r="C64" s="46"/>
      <c r="D64" s="990"/>
      <c r="E64" s="689"/>
      <c r="F64" s="990"/>
      <c r="G64" s="689"/>
      <c r="H64" s="46"/>
      <c r="I64" s="689"/>
      <c r="J64" s="990"/>
      <c r="K64" s="689"/>
      <c r="L64" s="46"/>
      <c r="M64" s="46"/>
      <c r="N64" s="990"/>
      <c r="O64" s="689"/>
      <c r="P64" s="46"/>
      <c r="Q64" s="46"/>
      <c r="R64" s="990"/>
      <c r="S64" s="689"/>
      <c r="T64" s="46"/>
      <c r="U64" s="46"/>
      <c r="V64" s="990"/>
      <c r="W64" s="689"/>
      <c r="X64" s="46"/>
      <c r="Y64" s="46"/>
      <c r="Z64" s="46"/>
      <c r="AA64" s="46"/>
      <c r="AB64" s="990"/>
      <c r="AC64" s="689"/>
      <c r="AD64" s="46"/>
      <c r="AE64" s="46"/>
      <c r="AF64" s="990"/>
      <c r="AG64" s="689"/>
      <c r="AH64" s="46"/>
      <c r="AI64" s="46"/>
      <c r="AJ64" s="990"/>
      <c r="AK64" s="689"/>
      <c r="AL64" s="46"/>
      <c r="AM64" s="46"/>
      <c r="AN64" s="46"/>
      <c r="AO64" s="46"/>
      <c r="AP64" s="990"/>
      <c r="AQ64" s="689"/>
      <c r="AR64" s="46"/>
      <c r="AS64" s="46"/>
      <c r="AT64" s="990"/>
      <c r="AU64" s="689"/>
      <c r="AV64" s="46"/>
      <c r="AW64" s="46"/>
      <c r="AX64" s="990"/>
      <c r="AY64" s="689"/>
      <c r="AZ64" s="46"/>
      <c r="BA64" s="46"/>
      <c r="BB64" s="46"/>
      <c r="BC64" s="46"/>
      <c r="BD64" s="46"/>
      <c r="BE64" s="46"/>
      <c r="BF64" s="26"/>
      <c r="BG64" s="26"/>
      <c r="BH64" s="26"/>
      <c r="BI64" s="26"/>
      <c r="BJ64" s="26"/>
    </row>
    <row r="65" spans="1:62" ht="15.75" x14ac:dyDescent="0.25">
      <c r="A65" s="3182"/>
      <c r="B65" s="3201" t="s">
        <v>471</v>
      </c>
      <c r="C65" s="2645" t="s">
        <v>481</v>
      </c>
      <c r="D65" s="155">
        <v>289.59321821470928</v>
      </c>
      <c r="E65" s="18">
        <v>229.5996111111111</v>
      </c>
      <c r="F65" s="155">
        <v>305.76159183714111</v>
      </c>
      <c r="G65" s="18">
        <v>254.05553763440861</v>
      </c>
      <c r="H65" s="3202">
        <f>+((D65*D$3)+(F$3*F65))/H$3</f>
        <v>297.80993267856809</v>
      </c>
      <c r="I65" s="107">
        <f>+((E65*E$3)+(G$3*G65))/I$3</f>
        <v>242.02803278688523</v>
      </c>
      <c r="J65" s="155">
        <v>305.10889403625907</v>
      </c>
      <c r="K65" s="18">
        <v>286.73866666666669</v>
      </c>
      <c r="L65" s="353">
        <f>+((D$3*D65)+(F$3*F65)+(J$3*J65))/L$3</f>
        <v>300.21618367560905</v>
      </c>
      <c r="M65" s="353">
        <f>+((E$3*E65)+(G$3*G65)+(K$3*K65))/M$3</f>
        <v>256.76780219780221</v>
      </c>
      <c r="N65" s="155">
        <v>306.8271575059951</v>
      </c>
      <c r="O65" s="18">
        <v>293.0190322580645</v>
      </c>
      <c r="P65" s="266">
        <f>+((L65*L$3)+(N$3*N65))/P$3</f>
        <v>301.89602128824816</v>
      </c>
      <c r="Q65" s="266">
        <f>+((M65*M$3)+(O$3*O65))/Q$3</f>
        <v>265.9791803278689</v>
      </c>
      <c r="R65" s="155">
        <v>303.54613600061879</v>
      </c>
      <c r="S65" s="18">
        <v>281.07645161290321</v>
      </c>
      <c r="T65" s="266">
        <f>+((P65*P$3)+(R$3*R65))/T$3</f>
        <v>302.23035825611407</v>
      </c>
      <c r="U65" s="266">
        <f>+((Q65*Q$3)+(S$3*S65))/U$3</f>
        <v>269.0381045751634</v>
      </c>
      <c r="V65" s="155">
        <v>227.66460206894209</v>
      </c>
      <c r="W65" s="18">
        <v>276.4813333333334</v>
      </c>
      <c r="X65" s="353">
        <f>+((N65*N$3)+(R65*R$3)+(V$3*V65))/X$3</f>
        <v>279.90771913884015</v>
      </c>
      <c r="Y65" s="353">
        <f>+((O65*O$3)+(S65*S$3)+(W$3*W65))/Y$3</f>
        <v>283.60217391304349</v>
      </c>
      <c r="Z65" s="503">
        <f>+((T65*T$3)+(V$3*V65))/Z$3</f>
        <v>290.00646379920067</v>
      </c>
      <c r="AA65" s="503">
        <f>+((M65*M$3)+(Y$3*Y65))/AA$3</f>
        <v>270.258306010929</v>
      </c>
      <c r="AB65" s="18">
        <v>299.62614334697059</v>
      </c>
      <c r="AC65" s="18">
        <v>227.22096774193548</v>
      </c>
      <c r="AD65" s="266">
        <f>+((Z65*Z$3)+(AB$3*AB65))/AD$3</f>
        <v>291.39996878041967</v>
      </c>
      <c r="AE65" s="266">
        <f>+((AA65*AA$3)+(AC$3*AC65))/AE$3</f>
        <v>264.02392523364489</v>
      </c>
      <c r="AF65" s="18">
        <v>302.2366548386147</v>
      </c>
      <c r="AG65" s="18">
        <v>68.11088888888888</v>
      </c>
      <c r="AH65" s="266">
        <f>+((AD65*AD$3)+(AF$3*AF65))/AH$3</f>
        <v>292.7323482138043</v>
      </c>
      <c r="AI65" s="266">
        <f>+((AE65*AE$3)+(AG$3*AG65))/AI$3</f>
        <v>239.93625683060111</v>
      </c>
      <c r="AJ65" s="18">
        <v>303.18494371283936</v>
      </c>
      <c r="AK65" s="18">
        <v>253.63387096774196</v>
      </c>
      <c r="AL65" s="353">
        <f>+((AB65*AB$3)+(AF65*AF$3)+(AJ$3*AJ65))/AL$3</f>
        <v>301.67655808709299</v>
      </c>
      <c r="AM65" s="353">
        <f>+((AC65*AC$3)+(AG65*AG$3)+(AK$3*AK65))/AM$3</f>
        <v>184.23724637681161</v>
      </c>
      <c r="AN65" s="266">
        <f>+((AH65*AH$3)+(AJ$3*AJ65))/AN$3</f>
        <v>293.91064079733189</v>
      </c>
      <c r="AO65" s="266">
        <f>+((AI65*AI$3)+(AK$3*AK65))/AO$3</f>
        <v>241.48035151515151</v>
      </c>
      <c r="AP65" s="18">
        <v>303.29772149061711</v>
      </c>
      <c r="AQ65" s="18">
        <v>250.91741935483867</v>
      </c>
      <c r="AR65" s="266">
        <f>+((AN65*AN$3)+(AP$3*AP65))/AR$3</f>
        <v>294.86161956037711</v>
      </c>
      <c r="AS65" s="266">
        <f>+((AO65*AO$3)+(AQ$3*AQ65))/AS$3</f>
        <v>242.43639433551198</v>
      </c>
      <c r="AT65" s="18">
        <v>304.47994271129102</v>
      </c>
      <c r="AU65" s="18">
        <v>253.31452380952379</v>
      </c>
      <c r="AV65" s="266">
        <f>+((AR65*AR$3)+(AT$3*AT65))/AV$3</f>
        <v>295.66794605207048</v>
      </c>
      <c r="AW65" s="266">
        <f>+((AS65*AS$3)+(AU$3*AU65))/AW$3</f>
        <v>243.34833333333336</v>
      </c>
      <c r="AX65" s="18">
        <v>301.99943452752183</v>
      </c>
      <c r="AY65" s="18">
        <v>255.43177419354836</v>
      </c>
      <c r="AZ65" s="353">
        <f>+((AP65*AP$3)+(AT65*AT$3)+(AX$3*AX65))/AZ$3</f>
        <v>303.21833591642724</v>
      </c>
      <c r="BA65" s="353">
        <f>+((AQ65*AQ$3)+(AU65*AU$3)+(AY$3*AY65))/BA$3</f>
        <v>253.2181296296296</v>
      </c>
      <c r="BB65" s="503">
        <f>+((AL65*AL$3)+(AZ$3*AZ65))/BB$3</f>
        <v>302.43897569500552</v>
      </c>
      <c r="BC65" s="503">
        <f>+((AM65*AM$3)+(BA$3*BA65))/BC$3</f>
        <v>218.34867216117215</v>
      </c>
      <c r="BD65" s="266">
        <f>+((AV65*AV$3)+(AX$3*AX65))/BD$3</f>
        <v>296.20568890888961</v>
      </c>
      <c r="BE65" s="266">
        <f>+((AW65*AW$3)+(AY$3*AY65))/BE$3</f>
        <v>244.37459817351598</v>
      </c>
      <c r="BF65" s="26"/>
      <c r="BG65" s="26"/>
      <c r="BH65" s="26"/>
      <c r="BI65" s="26"/>
      <c r="BJ65" s="26"/>
    </row>
    <row r="66" spans="1:62" ht="16.5" thickBot="1" x14ac:dyDescent="0.3">
      <c r="A66" s="3182"/>
      <c r="B66" s="3203" t="s">
        <v>56</v>
      </c>
      <c r="C66" s="3204" t="s">
        <v>481</v>
      </c>
      <c r="D66" s="1311">
        <v>63</v>
      </c>
      <c r="E66" s="101">
        <v>54.966666666666669</v>
      </c>
      <c r="F66" s="1311">
        <v>63</v>
      </c>
      <c r="G66" s="101">
        <v>64.876344086021504</v>
      </c>
      <c r="H66" s="3202">
        <f>+((D66*D$3)+(F$3*F66))/H$3</f>
        <v>63</v>
      </c>
      <c r="I66" s="107">
        <f>+((E66*E$3)+(G$3*G66))/I$3</f>
        <v>60.002732240437155</v>
      </c>
      <c r="J66" s="1311">
        <v>63</v>
      </c>
      <c r="K66" s="101">
        <v>64.466444444444434</v>
      </c>
      <c r="L66" s="353">
        <f>+((D$3*D66)+(F$3*F66)+(J$3*J66))/L$3</f>
        <v>63</v>
      </c>
      <c r="M66" s="353">
        <f>+((E$3*E66)+(G$3*G66)+(K$3*K66))/M$3</f>
        <v>61.474285714285713</v>
      </c>
      <c r="N66" s="1311">
        <v>63</v>
      </c>
      <c r="O66" s="101">
        <v>65.554838709677426</v>
      </c>
      <c r="P66" s="266">
        <f>+((L66*L$3)+(N$3*N66))/P$3</f>
        <v>63</v>
      </c>
      <c r="Q66" s="266">
        <f>+((M66*M$3)+(O$3*O66))/Q$3</f>
        <v>62.511147540983615</v>
      </c>
      <c r="R66" s="1311">
        <v>63</v>
      </c>
      <c r="S66" s="101">
        <v>67.295698924731184</v>
      </c>
      <c r="T66" s="266">
        <f>+((P66*P$3)+(R$3*R66))/T$3</f>
        <v>63</v>
      </c>
      <c r="U66" s="266">
        <f>+((Q66*Q$3)+(S$3*S66))/U$3</f>
        <v>63.480566448801746</v>
      </c>
      <c r="V66" s="1311">
        <v>63</v>
      </c>
      <c r="W66" s="101">
        <v>63.384444444444426</v>
      </c>
      <c r="X66" s="353">
        <f>+((N66*N$3)+(R66*R$3)+(V$3*V66))/X$3</f>
        <v>63</v>
      </c>
      <c r="Y66" s="353">
        <f>+((O66*O$3)+(S66*S$3)+(W$3*W66))/Y$3</f>
        <v>65.43369565217391</v>
      </c>
      <c r="Z66" s="503">
        <f>+((T66*T$3)+(V$3*V66))/Z$3</f>
        <v>63</v>
      </c>
      <c r="AA66" s="503">
        <f>+((M66*M$3)+(Y$3*Y66))/AA$3</f>
        <v>63.464808743169399</v>
      </c>
      <c r="AB66" s="101">
        <v>63</v>
      </c>
      <c r="AC66" s="101">
        <v>65.615483870967736</v>
      </c>
      <c r="AD66" s="266">
        <f>+((Z66*Z$3)+(AB$3*AB66))/AD$3</f>
        <v>63</v>
      </c>
      <c r="AE66" s="266">
        <f>+((AA66*AA$3)+(AC$3*AC66))/AE$3</f>
        <v>63.776355140186915</v>
      </c>
      <c r="AF66" s="101">
        <v>63</v>
      </c>
      <c r="AG66" s="101">
        <v>53.537222222222226</v>
      </c>
      <c r="AH66" s="266">
        <f>+((AD66*AD$3)+(AF$3*AF66))/AH$3</f>
        <v>63</v>
      </c>
      <c r="AI66" s="266">
        <f>+((AE66*AE$3)+(AG$3*AG66))/AI$3</f>
        <v>62.517445355191256</v>
      </c>
      <c r="AJ66" s="101">
        <v>63</v>
      </c>
      <c r="AK66" s="101">
        <v>65.599784946236554</v>
      </c>
      <c r="AL66" s="353">
        <f>+((AB66*AB$3)+(AF66*AF$3)+(AJ$3*AJ66))/AL$3</f>
        <v>63</v>
      </c>
      <c r="AM66" s="353">
        <f>+((AC66*AC$3)+(AG66*AG$3)+(AK$3*AK66))/AM$3</f>
        <v>61.671630434782607</v>
      </c>
      <c r="AN66" s="266">
        <f>+((AH66*AH$3)+(AJ$3*AJ66))/AN$3</f>
        <v>63</v>
      </c>
      <c r="AO66" s="266">
        <f>+((AI66*AI$3)+(AK$3*AK66))/AO$3</f>
        <v>62.864909090909087</v>
      </c>
      <c r="AP66" s="101">
        <v>63</v>
      </c>
      <c r="AQ66" s="101">
        <v>63.941397849462362</v>
      </c>
      <c r="AR66" s="266">
        <f>+((AN66*AN$3)+(AP$3*AP66))/AR$3</f>
        <v>63</v>
      </c>
      <c r="AS66" s="266">
        <f>+((AO66*AO$3)+(AQ$3*AQ66))/AS$3</f>
        <v>62.973965141612197</v>
      </c>
      <c r="AT66" s="101">
        <v>63</v>
      </c>
      <c r="AU66" s="101">
        <v>62.243571428571428</v>
      </c>
      <c r="AV66" s="266">
        <f>+((AR66*AR$3)+(AT$3*AT66))/AV$3</f>
        <v>63</v>
      </c>
      <c r="AW66" s="266">
        <f>+((AS66*AS$3)+(AU$3*AU66))/AW$3</f>
        <v>62.912734530938124</v>
      </c>
      <c r="AX66" s="101">
        <v>63</v>
      </c>
      <c r="AY66" s="101">
        <v>57.954838709677418</v>
      </c>
      <c r="AZ66" s="353">
        <f>+((AP66*AP$3)+(AT66*AT$3)+(AX$3*AX66))/AZ$3</f>
        <v>63</v>
      </c>
      <c r="BA66" s="353">
        <f>+((AQ66*AQ$3)+(AU66*AU$3)+(AY$3*AY66))/BA$3</f>
        <v>61.351148148148141</v>
      </c>
      <c r="BB66" s="503">
        <f>+((AL66*AL$3)+(AZ$3*AZ66))/BB$3</f>
        <v>63</v>
      </c>
      <c r="BC66" s="503">
        <f>+((AM66*AM$3)+(BA$3*BA66))/BC$3</f>
        <v>61.513150183150181</v>
      </c>
      <c r="BD66" s="266">
        <f>+((AV66*AV$3)+(AX$3*AX66))/BD$3</f>
        <v>63</v>
      </c>
      <c r="BE66" s="266">
        <f>+((AW66*AW$3)+(AY$3*AY66))/BE$3</f>
        <v>62.491652968036526</v>
      </c>
      <c r="BF66" s="26"/>
      <c r="BG66" s="26"/>
      <c r="BH66" s="26"/>
      <c r="BI66" s="26"/>
      <c r="BJ66" s="26"/>
    </row>
    <row r="67" spans="1:62" ht="19.5" thickBot="1" x14ac:dyDescent="0.3">
      <c r="A67" s="3182"/>
      <c r="B67" s="3205" t="s">
        <v>478</v>
      </c>
      <c r="C67" s="48" t="s">
        <v>481</v>
      </c>
      <c r="D67" s="598">
        <f t="shared" ref="D67:I67" si="228">SUM(D65:D66)</f>
        <v>352.59321821470928</v>
      </c>
      <c r="E67" s="140">
        <f t="shared" si="228"/>
        <v>284.56627777777777</v>
      </c>
      <c r="F67" s="598">
        <f t="shared" ref="F67:G67" si="229">SUM(F65:F66)</f>
        <v>368.76159183714111</v>
      </c>
      <c r="G67" s="140">
        <f t="shared" si="229"/>
        <v>318.93188172043011</v>
      </c>
      <c r="H67" s="845">
        <f t="shared" si="228"/>
        <v>360.80993267856809</v>
      </c>
      <c r="I67" s="3206">
        <f t="shared" si="228"/>
        <v>302.03076502732239</v>
      </c>
      <c r="J67" s="598">
        <f t="shared" ref="J67:K67" si="230">SUM(J65:J66)</f>
        <v>368.10889403625907</v>
      </c>
      <c r="K67" s="140">
        <f t="shared" si="230"/>
        <v>351.20511111111114</v>
      </c>
      <c r="L67" s="1518">
        <f t="shared" ref="L67:Q67" si="231">SUM(L65:L66)</f>
        <v>363.21618367560905</v>
      </c>
      <c r="M67" s="602">
        <f t="shared" si="231"/>
        <v>318.24208791208792</v>
      </c>
      <c r="N67" s="598">
        <f t="shared" si="231"/>
        <v>369.8271575059951</v>
      </c>
      <c r="O67" s="140">
        <f t="shared" si="231"/>
        <v>358.57387096774193</v>
      </c>
      <c r="P67" s="845">
        <f t="shared" si="231"/>
        <v>364.89602128824816</v>
      </c>
      <c r="Q67" s="601">
        <f t="shared" si="231"/>
        <v>328.49032786885255</v>
      </c>
      <c r="R67" s="598">
        <f t="shared" ref="R67:S67" si="232">SUM(R65:R66)</f>
        <v>366.54613600061879</v>
      </c>
      <c r="S67" s="140">
        <f t="shared" si="232"/>
        <v>348.37215053763441</v>
      </c>
      <c r="T67" s="845">
        <f t="shared" ref="T67:W67" si="233">SUM(T65:T66)</f>
        <v>365.23035825611407</v>
      </c>
      <c r="U67" s="601">
        <f t="shared" si="233"/>
        <v>332.51867102396517</v>
      </c>
      <c r="V67" s="598">
        <f t="shared" si="233"/>
        <v>290.66460206894209</v>
      </c>
      <c r="W67" s="140">
        <f t="shared" si="233"/>
        <v>339.86577777777779</v>
      </c>
      <c r="X67" s="1518">
        <f t="shared" ref="X67:Y67" si="234">SUM(X65:X66)</f>
        <v>342.90771913884015</v>
      </c>
      <c r="Y67" s="602">
        <f t="shared" si="234"/>
        <v>349.03586956521741</v>
      </c>
      <c r="Z67" s="991">
        <f t="shared" ref="Z67:AE67" si="235">SUM(Z65:Z66)</f>
        <v>353.00646379920067</v>
      </c>
      <c r="AA67" s="519">
        <f t="shared" si="235"/>
        <v>333.72311475409839</v>
      </c>
      <c r="AB67" s="598">
        <f t="shared" si="235"/>
        <v>362.62614334697059</v>
      </c>
      <c r="AC67" s="143">
        <f t="shared" si="235"/>
        <v>292.8364516129032</v>
      </c>
      <c r="AD67" s="845">
        <f t="shared" si="235"/>
        <v>354.39996878041967</v>
      </c>
      <c r="AE67" s="601">
        <f t="shared" si="235"/>
        <v>327.80028037383181</v>
      </c>
      <c r="AF67" s="598">
        <f t="shared" ref="AF67:AI67" si="236">SUM(AF65:AF66)</f>
        <v>365.2366548386147</v>
      </c>
      <c r="AG67" s="143">
        <f t="shared" si="236"/>
        <v>121.64811111111111</v>
      </c>
      <c r="AH67" s="845">
        <f t="shared" si="236"/>
        <v>355.7323482138043</v>
      </c>
      <c r="AI67" s="601">
        <f t="shared" si="236"/>
        <v>302.45370218579239</v>
      </c>
      <c r="AJ67" s="598">
        <f t="shared" ref="AJ67:AK67" si="237">SUM(AJ65:AJ66)</f>
        <v>366.18494371283936</v>
      </c>
      <c r="AK67" s="143">
        <f t="shared" si="237"/>
        <v>319.23365591397851</v>
      </c>
      <c r="AL67" s="1518">
        <f t="shared" ref="AL67:AS67" si="238">SUM(AL65:AL66)</f>
        <v>364.67655808709299</v>
      </c>
      <c r="AM67" s="602">
        <f t="shared" si="238"/>
        <v>245.90887681159421</v>
      </c>
      <c r="AN67" s="845">
        <f t="shared" si="238"/>
        <v>356.91064079733189</v>
      </c>
      <c r="AO67" s="601">
        <f t="shared" si="238"/>
        <v>304.34526060606061</v>
      </c>
      <c r="AP67" s="598">
        <f t="shared" si="238"/>
        <v>366.29772149061711</v>
      </c>
      <c r="AQ67" s="143">
        <f t="shared" si="238"/>
        <v>314.85881720430103</v>
      </c>
      <c r="AR67" s="845">
        <f t="shared" si="238"/>
        <v>357.86161956037711</v>
      </c>
      <c r="AS67" s="601">
        <f t="shared" si="238"/>
        <v>305.41035947712419</v>
      </c>
      <c r="AT67" s="598">
        <f t="shared" ref="AT67:AW67" si="239">SUM(AT65:AT66)</f>
        <v>367.47994271129102</v>
      </c>
      <c r="AU67" s="143">
        <f t="shared" si="239"/>
        <v>315.55809523809523</v>
      </c>
      <c r="AV67" s="845">
        <f t="shared" si="239"/>
        <v>358.66794605207048</v>
      </c>
      <c r="AW67" s="601">
        <f t="shared" si="239"/>
        <v>306.26106786427147</v>
      </c>
      <c r="AX67" s="598">
        <f t="shared" ref="AX67:AY67" si="240">SUM(AX65:AX66)</f>
        <v>364.99943452752183</v>
      </c>
      <c r="AY67" s="143">
        <f t="shared" si="240"/>
        <v>313.3866129032258</v>
      </c>
      <c r="AZ67" s="1518">
        <f t="shared" ref="AZ67:BE67" si="241">SUM(AZ65:AZ66)</f>
        <v>366.21833591642724</v>
      </c>
      <c r="BA67" s="602">
        <f t="shared" si="241"/>
        <v>314.56927777777776</v>
      </c>
      <c r="BB67" s="991">
        <f t="shared" si="241"/>
        <v>365.43897569500552</v>
      </c>
      <c r="BC67" s="519">
        <f t="shared" si="241"/>
        <v>279.86182234432232</v>
      </c>
      <c r="BD67" s="845">
        <f t="shared" si="241"/>
        <v>359.20568890888961</v>
      </c>
      <c r="BE67" s="601">
        <f t="shared" si="241"/>
        <v>306.86625114155248</v>
      </c>
      <c r="BF67" s="26"/>
      <c r="BG67" s="26"/>
      <c r="BH67" s="26"/>
      <c r="BI67" s="26"/>
      <c r="BJ67" s="26"/>
    </row>
    <row r="68" spans="1:62" ht="15.75" x14ac:dyDescent="0.25">
      <c r="A68" s="3182"/>
      <c r="B68" s="3207" t="s">
        <v>474</v>
      </c>
      <c r="C68" s="49" t="s">
        <v>481</v>
      </c>
      <c r="D68" s="2906">
        <v>3</v>
      </c>
      <c r="E68" s="550">
        <v>4.8885000000000014</v>
      </c>
      <c r="F68" s="2906">
        <v>3</v>
      </c>
      <c r="G68" s="550">
        <v>8.1129569892473228</v>
      </c>
      <c r="H68" s="54">
        <f>+((D68*D$3)+(F$3*F68))/H$3</f>
        <v>3</v>
      </c>
      <c r="I68" s="107">
        <f>+((E68*E$3)+(G$3*G68))/I$3</f>
        <v>6.5271584699453609</v>
      </c>
      <c r="J68" s="2906">
        <v>3</v>
      </c>
      <c r="K68" s="550">
        <v>11.314444444444478</v>
      </c>
      <c r="L68" s="241">
        <f>+((D$3*D68)+(F$3*F68)+(J$3*J68))/L$3</f>
        <v>3</v>
      </c>
      <c r="M68" s="78">
        <f>+((E$3*E68)+(G$3*G68)+(K$3*K68))/M$3</f>
        <v>8.1053846153846294</v>
      </c>
      <c r="N68" s="2906">
        <v>3</v>
      </c>
      <c r="O68" s="550">
        <v>12.253225806451644</v>
      </c>
      <c r="P68" s="54">
        <f>+((L68*L$3)+(N$3*N68))/P$3</f>
        <v>3</v>
      </c>
      <c r="Q68" s="56">
        <f>+((M68*M$3)+(O$3*O68))/Q$3</f>
        <v>9.1593442622951002</v>
      </c>
      <c r="R68" s="2906">
        <v>3</v>
      </c>
      <c r="S68" s="550">
        <v>12.320752688172062</v>
      </c>
      <c r="T68" s="54">
        <f>+((P68*P$3)+(R$3*R68))/T$3</f>
        <v>3</v>
      </c>
      <c r="U68" s="56">
        <f>+((Q68*Q$3)+(S$3*S68))/U$3</f>
        <v>9.7998910675381463</v>
      </c>
      <c r="V68" s="2906">
        <v>3</v>
      </c>
      <c r="W68" s="550">
        <v>9.7617777777777928</v>
      </c>
      <c r="X68" s="241">
        <f>+((N68*N$3)+(R68*R$3)+(V$3*V68))/X$3</f>
        <v>3</v>
      </c>
      <c r="Y68" s="78">
        <f>+((O68*O$3)+(S68*S$3)+(W$3*W68))/Y$3</f>
        <v>11.463550724637704</v>
      </c>
      <c r="Z68" s="796">
        <f>+((L68*L$3)+(X$3*X68))/Z$3</f>
        <v>3</v>
      </c>
      <c r="AA68" s="503">
        <f>+((M68*M$3)+(Y$3*Y68))/AA$3</f>
        <v>9.7936429872495641</v>
      </c>
      <c r="AB68" s="2906">
        <v>0</v>
      </c>
      <c r="AC68" s="550">
        <v>7.3</v>
      </c>
      <c r="AD68" s="54">
        <f>+((Z68*Z$3)+(AB$3*AB68))/AD$3</f>
        <v>2.5654205607476634</v>
      </c>
      <c r="AE68" s="56">
        <f>+((AA68*AA$3)+(AC$3*AC68))/AE$3</f>
        <v>9.4324143302180854</v>
      </c>
      <c r="AF68" s="2906">
        <v>0</v>
      </c>
      <c r="AG68" s="550">
        <v>2.2557777777777623</v>
      </c>
      <c r="AH68" s="54">
        <f>+((AD68*AD$3)+(AF$3*AF68))/AH$3</f>
        <v>2.25</v>
      </c>
      <c r="AI68" s="56">
        <f>+((AE68*AE$3)+(AG$3*AG68))/AI$3</f>
        <v>8.5500409836065714</v>
      </c>
      <c r="AJ68" s="2906">
        <v>0</v>
      </c>
      <c r="AK68" s="550">
        <v>2.8420430107527022</v>
      </c>
      <c r="AL68" s="241">
        <f>+((AB68*AB$3)+(AF68*AF$3)+(AJ$3*AJ68))/AL$3</f>
        <v>0</v>
      </c>
      <c r="AM68" s="78">
        <f>+((AC68*AC$3)+(AG68*AG$3)+(AK$3*AK68))/AM$3</f>
        <v>4.1530072463768111</v>
      </c>
      <c r="AN68" s="54">
        <f>+((AH68*AH$3)+(AJ$3*AJ68))/AN$3</f>
        <v>1.9963636363636363</v>
      </c>
      <c r="AO68" s="56">
        <f>+((AI68*AI$3)+(AK$3*AK68))/AO$3</f>
        <v>7.9065939393939528</v>
      </c>
      <c r="AP68" s="2906">
        <v>0</v>
      </c>
      <c r="AQ68" s="550">
        <v>6.7582795698924389</v>
      </c>
      <c r="AR68" s="54">
        <f>+((AN68*AN$3)+(AP$3*AP68))/AR$3</f>
        <v>1.7941176470588236</v>
      </c>
      <c r="AS68" s="56">
        <f>+((AO68*AO$3)+(AQ$3*AQ68))/AS$3</f>
        <v>7.790261437908506</v>
      </c>
      <c r="AT68" s="2906">
        <v>0</v>
      </c>
      <c r="AU68" s="550">
        <v>5.91</v>
      </c>
      <c r="AV68" s="54">
        <f>+((AR68*AR$3)+(AT$3*AT68))/AV$3</f>
        <v>1.6437125748502994</v>
      </c>
      <c r="AW68" s="56">
        <f>+((AS68*AS$3)+(AU$3*AU68))/AW$3</f>
        <v>7.632634730538931</v>
      </c>
      <c r="AX68" s="2906">
        <v>0</v>
      </c>
      <c r="AY68" s="550">
        <v>5.7036021505376091</v>
      </c>
      <c r="AZ68" s="241">
        <f>+((AP68*AP$3)+(AT68*AT$3)+(AX$3*AX68))/AZ$3</f>
        <v>0</v>
      </c>
      <c r="BA68" s="78">
        <f>+((AQ68*AQ$3)+(AU68*AU$3)+(AY$3*AY68))/BA$3</f>
        <v>6.131092592592573</v>
      </c>
      <c r="BB68" s="796">
        <f>+((AL68*AL$3)+(AZ$3*AZ68))/BB$3</f>
        <v>0</v>
      </c>
      <c r="BC68" s="503">
        <f>+((AM68*AM$3)+(BA$3*BA68))/BC$3</f>
        <v>5.1311813186813087</v>
      </c>
      <c r="BD68" s="54">
        <f>+((AV68*AV$3)+(AX$3*AX68))/BD$3</f>
        <v>1.5041095890410958</v>
      </c>
      <c r="BE68" s="56">
        <f>+((AW68*AW$3)+(AY$3*AY68))/BE$3</f>
        <v>7.468799086757997</v>
      </c>
      <c r="BF68" s="26"/>
      <c r="BG68" s="26"/>
      <c r="BH68" s="26"/>
      <c r="BI68" s="26"/>
      <c r="BJ68" s="26"/>
    </row>
    <row r="69" spans="1:62" ht="18.75" x14ac:dyDescent="0.25">
      <c r="A69" s="3182"/>
      <c r="B69" s="1362" t="s">
        <v>479</v>
      </c>
      <c r="C69" s="3208" t="s">
        <v>481</v>
      </c>
      <c r="D69" s="737">
        <f t="shared" ref="D69:K69" si="242">+D67-D68</f>
        <v>349.59321821470928</v>
      </c>
      <c r="E69" s="248">
        <f t="shared" si="242"/>
        <v>279.67777777777775</v>
      </c>
      <c r="F69" s="737">
        <f t="shared" ref="F69:G69" si="243">+F67-F68</f>
        <v>365.76159183714111</v>
      </c>
      <c r="G69" s="248">
        <f t="shared" si="243"/>
        <v>310.81892473118279</v>
      </c>
      <c r="H69" s="992">
        <f t="shared" si="242"/>
        <v>357.80993267856809</v>
      </c>
      <c r="I69" s="2591">
        <f t="shared" si="242"/>
        <v>295.50360655737705</v>
      </c>
      <c r="J69" s="737">
        <f t="shared" si="242"/>
        <v>365.10889403625907</v>
      </c>
      <c r="K69" s="248">
        <f t="shared" si="242"/>
        <v>339.89066666666668</v>
      </c>
      <c r="L69" s="79">
        <f t="shared" ref="L69:Q69" si="244">+L67-L68</f>
        <v>360.21618367560905</v>
      </c>
      <c r="M69" s="80">
        <f t="shared" si="244"/>
        <v>310.13670329670327</v>
      </c>
      <c r="N69" s="737">
        <f t="shared" si="244"/>
        <v>366.8271575059951</v>
      </c>
      <c r="O69" s="248">
        <f t="shared" si="244"/>
        <v>346.32064516129026</v>
      </c>
      <c r="P69" s="992">
        <f t="shared" si="244"/>
        <v>361.89602128824816</v>
      </c>
      <c r="Q69" s="57">
        <f t="shared" si="244"/>
        <v>319.33098360655742</v>
      </c>
      <c r="R69" s="737">
        <f t="shared" ref="R69:S69" si="245">+R67-R68</f>
        <v>363.54613600061879</v>
      </c>
      <c r="S69" s="248">
        <f t="shared" si="245"/>
        <v>336.05139784946238</v>
      </c>
      <c r="T69" s="992">
        <f t="shared" ref="T69:W69" si="246">+T67-T68</f>
        <v>362.23035825611407</v>
      </c>
      <c r="U69" s="57">
        <f t="shared" si="246"/>
        <v>322.718779956427</v>
      </c>
      <c r="V69" s="737">
        <f t="shared" si="246"/>
        <v>287.66460206894209</v>
      </c>
      <c r="W69" s="248">
        <f t="shared" si="246"/>
        <v>330.10399999999998</v>
      </c>
      <c r="X69" s="79">
        <f t="shared" ref="X69:Y69" si="247">+X67-X68</f>
        <v>339.90771913884015</v>
      </c>
      <c r="Y69" s="80">
        <f t="shared" si="247"/>
        <v>337.57231884057973</v>
      </c>
      <c r="Z69" s="993">
        <f t="shared" ref="Z69:AE69" si="248">+Z67-Z68</f>
        <v>350.00646379920067</v>
      </c>
      <c r="AA69" s="520">
        <f t="shared" si="248"/>
        <v>323.92947176684885</v>
      </c>
      <c r="AB69" s="737">
        <f t="shared" si="248"/>
        <v>362.62614334697059</v>
      </c>
      <c r="AC69" s="248">
        <f t="shared" si="248"/>
        <v>285.53645161290319</v>
      </c>
      <c r="AD69" s="992">
        <f t="shared" si="248"/>
        <v>351.834548219672</v>
      </c>
      <c r="AE69" s="57">
        <f t="shared" si="248"/>
        <v>318.36786604361373</v>
      </c>
      <c r="AF69" s="737">
        <f t="shared" ref="AF69:AI69" si="249">+AF67-AF68</f>
        <v>365.2366548386147</v>
      </c>
      <c r="AG69" s="248">
        <f t="shared" si="249"/>
        <v>119.39233333333334</v>
      </c>
      <c r="AH69" s="992">
        <f t="shared" si="249"/>
        <v>353.4823482138043</v>
      </c>
      <c r="AI69" s="57">
        <f t="shared" si="249"/>
        <v>293.90366120218584</v>
      </c>
      <c r="AJ69" s="737">
        <f t="shared" ref="AJ69:AK69" si="250">+AJ67-AJ68</f>
        <v>366.18494371283936</v>
      </c>
      <c r="AK69" s="248">
        <f t="shared" si="250"/>
        <v>316.39161290322579</v>
      </c>
      <c r="AL69" s="79">
        <f t="shared" ref="AL69:AS69" si="251">+AL67-AL68</f>
        <v>364.67655808709299</v>
      </c>
      <c r="AM69" s="80">
        <f t="shared" si="251"/>
        <v>241.75586956521741</v>
      </c>
      <c r="AN69" s="992">
        <f t="shared" si="251"/>
        <v>354.91427716096825</v>
      </c>
      <c r="AO69" s="57">
        <f t="shared" si="251"/>
        <v>296.43866666666668</v>
      </c>
      <c r="AP69" s="737">
        <f t="shared" si="251"/>
        <v>366.29772149061711</v>
      </c>
      <c r="AQ69" s="248">
        <f t="shared" si="251"/>
        <v>308.10053763440857</v>
      </c>
      <c r="AR69" s="992">
        <f t="shared" si="251"/>
        <v>356.06750191331827</v>
      </c>
      <c r="AS69" s="57">
        <f t="shared" si="251"/>
        <v>297.62009803921569</v>
      </c>
      <c r="AT69" s="737">
        <f t="shared" ref="AT69:AW69" si="252">+AT67-AT68</f>
        <v>367.47994271129102</v>
      </c>
      <c r="AU69" s="248">
        <f t="shared" si="252"/>
        <v>309.64809523809521</v>
      </c>
      <c r="AV69" s="992">
        <f t="shared" si="252"/>
        <v>357.02423347722015</v>
      </c>
      <c r="AW69" s="57">
        <f t="shared" si="252"/>
        <v>298.62843313373253</v>
      </c>
      <c r="AX69" s="737">
        <f t="shared" ref="AX69:AY69" si="253">+AX67-AX68</f>
        <v>364.99943452752183</v>
      </c>
      <c r="AY69" s="248">
        <f t="shared" si="253"/>
        <v>307.68301075268818</v>
      </c>
      <c r="AZ69" s="79">
        <f t="shared" ref="AZ69:BE69" si="254">+AZ67-AZ68</f>
        <v>366.21833591642724</v>
      </c>
      <c r="BA69" s="80">
        <f t="shared" si="254"/>
        <v>308.4381851851852</v>
      </c>
      <c r="BB69" s="993">
        <f t="shared" si="254"/>
        <v>365.43897569500552</v>
      </c>
      <c r="BC69" s="520">
        <f t="shared" si="254"/>
        <v>274.73064102564103</v>
      </c>
      <c r="BD69" s="992">
        <f t="shared" si="254"/>
        <v>357.70157931984852</v>
      </c>
      <c r="BE69" s="57">
        <f t="shared" si="254"/>
        <v>299.39745205479448</v>
      </c>
      <c r="BF69" s="26"/>
      <c r="BG69" s="26"/>
      <c r="BH69" s="26"/>
      <c r="BI69" s="26"/>
      <c r="BJ69" s="26"/>
    </row>
    <row r="70" spans="1:62" ht="18.75" x14ac:dyDescent="0.25">
      <c r="B70" s="3209" t="s">
        <v>477</v>
      </c>
      <c r="C70" s="47"/>
      <c r="D70" s="994"/>
      <c r="E70" s="691"/>
      <c r="F70" s="994"/>
      <c r="G70" s="691"/>
      <c r="H70" s="609"/>
      <c r="I70" s="691"/>
      <c r="J70" s="994"/>
      <c r="K70" s="691"/>
      <c r="L70" s="609"/>
      <c r="M70" s="609"/>
      <c r="N70" s="994"/>
      <c r="O70" s="691"/>
      <c r="P70" s="609"/>
      <c r="Q70" s="609"/>
      <c r="R70" s="994"/>
      <c r="S70" s="691"/>
      <c r="T70" s="609"/>
      <c r="U70" s="609"/>
      <c r="V70" s="994"/>
      <c r="W70" s="691"/>
      <c r="X70" s="609"/>
      <c r="Y70" s="609"/>
      <c r="Z70" s="609"/>
      <c r="AA70" s="609"/>
      <c r="AB70" s="994"/>
      <c r="AC70" s="691"/>
      <c r="AD70" s="609"/>
      <c r="AE70" s="609"/>
      <c r="AF70" s="994"/>
      <c r="AG70" s="691"/>
      <c r="AH70" s="609"/>
      <c r="AI70" s="609"/>
      <c r="AJ70" s="994"/>
      <c r="AK70" s="691"/>
      <c r="AL70" s="609"/>
      <c r="AM70" s="609"/>
      <c r="AN70" s="609"/>
      <c r="AO70" s="609"/>
      <c r="AP70" s="994"/>
      <c r="AQ70" s="691"/>
      <c r="AR70" s="609"/>
      <c r="AS70" s="609"/>
      <c r="AT70" s="994"/>
      <c r="AU70" s="691"/>
      <c r="AV70" s="609"/>
      <c r="AW70" s="609"/>
      <c r="AX70" s="994"/>
      <c r="AY70" s="691"/>
      <c r="AZ70" s="609"/>
      <c r="BA70" s="609"/>
      <c r="BB70" s="609"/>
      <c r="BC70" s="609"/>
      <c r="BD70" s="609"/>
      <c r="BE70" s="609"/>
      <c r="BF70" s="26"/>
      <c r="BG70" s="26"/>
      <c r="BH70" s="26"/>
      <c r="BI70" s="26"/>
      <c r="BJ70" s="26"/>
    </row>
    <row r="71" spans="1:62" ht="15.75" x14ac:dyDescent="0.25">
      <c r="B71" s="3201" t="s">
        <v>2234</v>
      </c>
      <c r="C71" s="2645" t="s">
        <v>481</v>
      </c>
      <c r="D71" s="774">
        <v>23</v>
      </c>
      <c r="E71" s="82">
        <v>20.690999999999999</v>
      </c>
      <c r="F71" s="774">
        <v>23</v>
      </c>
      <c r="G71" s="82">
        <v>17.47451612903226</v>
      </c>
      <c r="H71" s="3202">
        <f t="shared" ref="H71:I78" si="255">+((D71*D$3)+(F$3*F71))/H$3</f>
        <v>23</v>
      </c>
      <c r="I71" s="107">
        <f t="shared" si="255"/>
        <v>19.056393442622952</v>
      </c>
      <c r="J71" s="774">
        <v>23</v>
      </c>
      <c r="K71" s="82">
        <v>19.844333333333335</v>
      </c>
      <c r="L71" s="353">
        <f t="shared" ref="L71:L78" si="256">+((H71*H$3)+(J$3*J71))/L$3</f>
        <v>23</v>
      </c>
      <c r="M71" s="353">
        <f t="shared" ref="M71:M78" si="257">+((I71*I$3)+(K$3*K71))/M$3</f>
        <v>19.316153846153846</v>
      </c>
      <c r="N71" s="774">
        <v>23</v>
      </c>
      <c r="O71" s="82">
        <v>19.520967741935486</v>
      </c>
      <c r="P71" s="266">
        <f t="shared" ref="P71:P78" si="258">+((L71*L$3)+(N$3*N71))/P$3</f>
        <v>23</v>
      </c>
      <c r="Q71" s="266">
        <f t="shared" ref="Q71:Q78" si="259">+((M71*M$3)+(O$3*O71))/Q$3</f>
        <v>19.368196721311477</v>
      </c>
      <c r="R71" s="774">
        <v>23</v>
      </c>
      <c r="S71" s="82">
        <v>14.385806451612904</v>
      </c>
      <c r="T71" s="266">
        <f t="shared" ref="T71:T78" si="260">+((P71*P$3)+(R$3*R71))/T$3</f>
        <v>23</v>
      </c>
      <c r="U71" s="266">
        <f t="shared" ref="U71:U78" si="261">+((Q71*Q$3)+(S$3*S71))/U$3</f>
        <v>18.358692810457516</v>
      </c>
      <c r="V71" s="774">
        <v>23</v>
      </c>
      <c r="W71" s="82">
        <v>14.848666666666665</v>
      </c>
      <c r="X71" s="353">
        <f t="shared" ref="X71:Y73" si="262">+((N71*N$3)+(R71*R$3)+(V$3*V71))/X$3</f>
        <v>23</v>
      </c>
      <c r="Y71" s="353">
        <f t="shared" si="262"/>
        <v>16.267065217391306</v>
      </c>
      <c r="Z71" s="667">
        <f t="shared" ref="Z71:Z78" si="263">+((L71*L$3)+(X$3*X71))/Z$3</f>
        <v>23</v>
      </c>
      <c r="AA71" s="667">
        <f>+((M71*M$3)+(Y$3*Y71))/AA$3</f>
        <v>17.783278688524589</v>
      </c>
      <c r="AB71" s="774">
        <v>24</v>
      </c>
      <c r="AC71" s="82">
        <v>18.039032258064516</v>
      </c>
      <c r="AD71" s="266">
        <f t="shared" ref="AD71:AD78" si="264">+((Z71*Z$3)+(AB$3*AB71))/AD$3</f>
        <v>23.144859813084111</v>
      </c>
      <c r="AE71" s="266">
        <f t="shared" ref="AE71:AE78" si="265">+((AA71*AA$3)+(AC$3*AC71))/AE$3</f>
        <v>17.820327102803738</v>
      </c>
      <c r="AF71" s="774">
        <v>24</v>
      </c>
      <c r="AG71" s="82">
        <v>20.404333333333334</v>
      </c>
      <c r="AH71" s="266">
        <f t="shared" ref="AH71:AH78" si="266">+((AD71*AD$3)+(AF$3*AF71))/AH$3</f>
        <v>23.25</v>
      </c>
      <c r="AI71" s="266">
        <f t="shared" ref="AI71:AI78" si="267">+((AE71*AE$3)+(AG$3*AG71))/AI$3</f>
        <v>18.138032786885244</v>
      </c>
      <c r="AJ71" s="774">
        <v>24</v>
      </c>
      <c r="AK71" s="82">
        <v>20.479354838709675</v>
      </c>
      <c r="AL71" s="353">
        <f t="shared" ref="AL71:AL78" si="268">+((AB71*AB$3)+(AF71*AF$3)+(AJ$3*AJ71))/AL$3</f>
        <v>24</v>
      </c>
      <c r="AM71" s="353">
        <f t="shared" ref="AM71:AM78" si="269">+((AC71*AC$3)+(AG71*AG$3)+(AK$3*AK71))/AM$3</f>
        <v>19.632608695652173</v>
      </c>
      <c r="AN71" s="266">
        <f t="shared" ref="AN71:AO78" si="270">+((AH71*AH$3)+(AJ$3*AJ71))/AN$3</f>
        <v>23.334545454545456</v>
      </c>
      <c r="AO71" s="266">
        <f t="shared" si="270"/>
        <v>18.401963636363632</v>
      </c>
      <c r="AP71" s="774">
        <v>24</v>
      </c>
      <c r="AQ71" s="82">
        <v>16.14935483870968</v>
      </c>
      <c r="AR71" s="266">
        <f t="shared" ref="AR71:AR78" si="271">+((AN71*AN$3)+(AP$3*AP71))/AR$3</f>
        <v>23.401960784313726</v>
      </c>
      <c r="AS71" s="266">
        <f t="shared" ref="AS71:AS78" si="272">+((AO71*AO$3)+(AQ$3*AQ71))/AS$3</f>
        <v>18.173758169934636</v>
      </c>
      <c r="AT71" s="774">
        <v>24</v>
      </c>
      <c r="AU71" s="82">
        <v>16.311071428571431</v>
      </c>
      <c r="AV71" s="266">
        <f t="shared" ref="AV71:AV78" si="273">+((AR71*AR$3)+(AT$3*AT71))/AV$3</f>
        <v>23.452095808383234</v>
      </c>
      <c r="AW71" s="266">
        <f t="shared" ref="AW71:AW78" si="274">+((AS71*AS$3)+(AU$3*AU71))/AW$3</f>
        <v>18.01760479041916</v>
      </c>
      <c r="AX71" s="774">
        <v>24</v>
      </c>
      <c r="AY71" s="101">
        <v>20.202580645161291</v>
      </c>
      <c r="AZ71" s="353">
        <f t="shared" ref="AZ71:AZ78" si="275">+((AP71*AP$3)+(AT71*AT$3)+(AX$3*AX71))/AZ$3</f>
        <v>24</v>
      </c>
      <c r="BA71" s="353">
        <f t="shared" ref="BA71:BA78" si="276">+((AQ71*AQ$3)+(AU71*AU$3)+(AY$3*AY71))/BA$3</f>
        <v>17.59577777777778</v>
      </c>
      <c r="BB71" s="667">
        <f t="shared" ref="BB71:BC78" si="277">+((AL71*AL$3)+(AZ$3*AZ71))/BB$3</f>
        <v>24</v>
      </c>
      <c r="BC71" s="667">
        <f t="shared" si="277"/>
        <v>18.625384615384615</v>
      </c>
      <c r="BD71" s="266">
        <f t="shared" ref="BD71:BD78" si="278">+((AV71*AV$3)+(AX$3*AX71))/BD$3</f>
        <v>23.4986301369863</v>
      </c>
      <c r="BE71" s="266">
        <f t="shared" ref="BE71:BE78" si="279">+((AW71*AW$3)+(AY$3*AY71))/BE$3</f>
        <v>18.203178082191776</v>
      </c>
      <c r="BF71" s="26"/>
      <c r="BG71" s="26"/>
      <c r="BH71" s="26"/>
      <c r="BI71" s="26"/>
      <c r="BJ71" s="26"/>
    </row>
    <row r="72" spans="1:62" ht="15.75" customHeight="1" x14ac:dyDescent="0.25">
      <c r="B72" s="3201" t="s">
        <v>2235</v>
      </c>
      <c r="C72" s="2645" t="s">
        <v>481</v>
      </c>
      <c r="D72" s="774">
        <v>19</v>
      </c>
      <c r="E72" s="82">
        <v>0</v>
      </c>
      <c r="F72" s="774">
        <v>19</v>
      </c>
      <c r="G72" s="82">
        <v>0</v>
      </c>
      <c r="H72" s="3202">
        <f t="shared" si="255"/>
        <v>19</v>
      </c>
      <c r="I72" s="107">
        <f t="shared" si="255"/>
        <v>0</v>
      </c>
      <c r="J72" s="774">
        <v>19</v>
      </c>
      <c r="K72" s="82">
        <v>0</v>
      </c>
      <c r="L72" s="353">
        <f t="shared" si="256"/>
        <v>19</v>
      </c>
      <c r="M72" s="353">
        <f t="shared" si="257"/>
        <v>0</v>
      </c>
      <c r="N72" s="774">
        <v>19</v>
      </c>
      <c r="O72" s="82">
        <v>0</v>
      </c>
      <c r="P72" s="266">
        <f t="shared" si="258"/>
        <v>19</v>
      </c>
      <c r="Q72" s="266">
        <f t="shared" si="259"/>
        <v>0</v>
      </c>
      <c r="R72" s="774">
        <v>19</v>
      </c>
      <c r="S72" s="82">
        <v>0</v>
      </c>
      <c r="T72" s="266">
        <f t="shared" si="260"/>
        <v>19</v>
      </c>
      <c r="U72" s="266">
        <f t="shared" si="261"/>
        <v>0</v>
      </c>
      <c r="V72" s="774">
        <v>19</v>
      </c>
      <c r="W72" s="82">
        <v>0</v>
      </c>
      <c r="X72" s="353">
        <f t="shared" si="262"/>
        <v>19</v>
      </c>
      <c r="Y72" s="353">
        <f t="shared" si="262"/>
        <v>0</v>
      </c>
      <c r="Z72" s="667">
        <f t="shared" si="263"/>
        <v>19</v>
      </c>
      <c r="AA72" s="667">
        <f t="shared" ref="AA72:AA78" si="280">+((M72*M$3)+(Y$3*Y72))/AA$3</f>
        <v>0</v>
      </c>
      <c r="AB72" s="774">
        <v>0</v>
      </c>
      <c r="AC72" s="82">
        <v>0</v>
      </c>
      <c r="AD72" s="266">
        <f t="shared" si="264"/>
        <v>16.247663551401867</v>
      </c>
      <c r="AE72" s="266">
        <f t="shared" si="265"/>
        <v>0</v>
      </c>
      <c r="AF72" s="774">
        <v>0</v>
      </c>
      <c r="AG72" s="82">
        <v>0</v>
      </c>
      <c r="AH72" s="266">
        <f t="shared" si="266"/>
        <v>14.249999999999998</v>
      </c>
      <c r="AI72" s="266">
        <f t="shared" si="267"/>
        <v>0</v>
      </c>
      <c r="AJ72" s="774">
        <v>0</v>
      </c>
      <c r="AK72" s="82">
        <v>0</v>
      </c>
      <c r="AL72" s="353">
        <f t="shared" si="268"/>
        <v>0</v>
      </c>
      <c r="AM72" s="353">
        <f t="shared" si="269"/>
        <v>0</v>
      </c>
      <c r="AN72" s="266">
        <f t="shared" si="270"/>
        <v>12.643636363636363</v>
      </c>
      <c r="AO72" s="266">
        <f t="shared" si="270"/>
        <v>0</v>
      </c>
      <c r="AP72" s="774">
        <v>0</v>
      </c>
      <c r="AQ72" s="82">
        <v>0</v>
      </c>
      <c r="AR72" s="266">
        <f t="shared" si="271"/>
        <v>11.362745098039214</v>
      </c>
      <c r="AS72" s="266">
        <f t="shared" si="272"/>
        <v>0</v>
      </c>
      <c r="AT72" s="774">
        <v>0</v>
      </c>
      <c r="AU72" s="82">
        <v>0</v>
      </c>
      <c r="AV72" s="266">
        <f t="shared" si="273"/>
        <v>10.410179640718562</v>
      </c>
      <c r="AW72" s="266">
        <f t="shared" si="274"/>
        <v>0</v>
      </c>
      <c r="AX72" s="774">
        <v>0</v>
      </c>
      <c r="AY72" s="101">
        <v>0</v>
      </c>
      <c r="AZ72" s="353">
        <f t="shared" si="275"/>
        <v>0</v>
      </c>
      <c r="BA72" s="353">
        <f t="shared" si="276"/>
        <v>0</v>
      </c>
      <c r="BB72" s="667">
        <f t="shared" si="277"/>
        <v>0</v>
      </c>
      <c r="BC72" s="667">
        <f t="shared" si="277"/>
        <v>0</v>
      </c>
      <c r="BD72" s="266">
        <f t="shared" si="278"/>
        <v>9.5260273972602736</v>
      </c>
      <c r="BE72" s="266">
        <f t="shared" si="279"/>
        <v>0</v>
      </c>
      <c r="BF72" s="26"/>
      <c r="BG72" s="26"/>
      <c r="BH72" s="26"/>
      <c r="BI72" s="26"/>
      <c r="BJ72" s="26"/>
    </row>
    <row r="73" spans="1:62" ht="15.75" x14ac:dyDescent="0.25">
      <c r="B73" s="3201" t="s">
        <v>2236</v>
      </c>
      <c r="C73" s="2645" t="s">
        <v>481</v>
      </c>
      <c r="D73" s="774">
        <v>8</v>
      </c>
      <c r="E73" s="82">
        <v>7.8146666666666675</v>
      </c>
      <c r="F73" s="774">
        <v>8</v>
      </c>
      <c r="G73" s="82">
        <v>5.2432258064516128</v>
      </c>
      <c r="H73" s="3202">
        <f t="shared" si="255"/>
        <v>8</v>
      </c>
      <c r="I73" s="107">
        <f t="shared" si="255"/>
        <v>6.5078688524590165</v>
      </c>
      <c r="J73" s="774">
        <v>8</v>
      </c>
      <c r="K73" s="82">
        <v>5.5400000000000009</v>
      </c>
      <c r="L73" s="353">
        <f t="shared" si="256"/>
        <v>8</v>
      </c>
      <c r="M73" s="353">
        <f t="shared" si="257"/>
        <v>6.1887912087912094</v>
      </c>
      <c r="N73" s="774">
        <v>8</v>
      </c>
      <c r="O73" s="82">
        <v>6.5196774193548395</v>
      </c>
      <c r="P73" s="266">
        <f t="shared" si="258"/>
        <v>8</v>
      </c>
      <c r="Q73" s="266">
        <f t="shared" si="259"/>
        <v>6.272868852459017</v>
      </c>
      <c r="R73" s="774">
        <v>8</v>
      </c>
      <c r="S73" s="82">
        <v>7.6626881720430111</v>
      </c>
      <c r="T73" s="266">
        <f t="shared" si="260"/>
        <v>8</v>
      </c>
      <c r="U73" s="266">
        <f t="shared" si="261"/>
        <v>6.5544662309368205</v>
      </c>
      <c r="V73" s="774">
        <v>9</v>
      </c>
      <c r="W73" s="82">
        <v>8.9433333333333316</v>
      </c>
      <c r="X73" s="353">
        <f t="shared" si="262"/>
        <v>8.3260869565217384</v>
      </c>
      <c r="Y73" s="353">
        <f t="shared" si="262"/>
        <v>7.6951449275362327</v>
      </c>
      <c r="Z73" s="667">
        <f t="shared" si="263"/>
        <v>8.1639344262295079</v>
      </c>
      <c r="AA73" s="667">
        <f t="shared" si="280"/>
        <v>6.9460837887067397</v>
      </c>
      <c r="AB73" s="774">
        <v>8</v>
      </c>
      <c r="AC73" s="82">
        <v>7.1809677419354845</v>
      </c>
      <c r="AD73" s="266">
        <f t="shared" si="264"/>
        <v>8.1401869158878508</v>
      </c>
      <c r="AE73" s="266">
        <f t="shared" si="265"/>
        <v>6.9801090342679126</v>
      </c>
      <c r="AF73" s="774">
        <v>8</v>
      </c>
      <c r="AG73" s="82">
        <v>1.7733333333333332</v>
      </c>
      <c r="AH73" s="266">
        <f t="shared" si="266"/>
        <v>8.1229508196721305</v>
      </c>
      <c r="AI73" s="266">
        <f t="shared" si="267"/>
        <v>6.3399316939890715</v>
      </c>
      <c r="AJ73" s="774">
        <v>8</v>
      </c>
      <c r="AK73" s="82">
        <v>7.2032258064516128</v>
      </c>
      <c r="AL73" s="353">
        <f t="shared" si="268"/>
        <v>8</v>
      </c>
      <c r="AM73" s="353">
        <f t="shared" si="269"/>
        <v>5.4251086956521739</v>
      </c>
      <c r="AN73" s="266">
        <f t="shared" si="270"/>
        <v>8.1090909090909093</v>
      </c>
      <c r="AO73" s="266">
        <f t="shared" si="270"/>
        <v>6.4372484848484852</v>
      </c>
      <c r="AP73" s="774">
        <v>8</v>
      </c>
      <c r="AQ73" s="82">
        <v>5.3803225806451627</v>
      </c>
      <c r="AR73" s="266">
        <f t="shared" si="271"/>
        <v>8.0980392156862742</v>
      </c>
      <c r="AS73" s="266">
        <f t="shared" si="272"/>
        <v>6.3301742919389978</v>
      </c>
      <c r="AT73" s="774">
        <v>8</v>
      </c>
      <c r="AU73" s="82">
        <v>6.4292857142857134</v>
      </c>
      <c r="AV73" s="266">
        <f t="shared" si="273"/>
        <v>8.0898203592814379</v>
      </c>
      <c r="AW73" s="266">
        <f t="shared" si="274"/>
        <v>6.3384830339321354</v>
      </c>
      <c r="AX73" s="774">
        <v>8</v>
      </c>
      <c r="AY73" s="101">
        <v>7.0390322580645162</v>
      </c>
      <c r="AZ73" s="353">
        <f t="shared" si="275"/>
        <v>8</v>
      </c>
      <c r="BA73" s="353">
        <f t="shared" si="276"/>
        <v>6.2780000000000014</v>
      </c>
      <c r="BB73" s="667">
        <f t="shared" si="277"/>
        <v>8</v>
      </c>
      <c r="BC73" s="667">
        <f t="shared" si="277"/>
        <v>5.8468681318681321</v>
      </c>
      <c r="BD73" s="266">
        <f t="shared" si="278"/>
        <v>8.082191780821919</v>
      </c>
      <c r="BE73" s="266">
        <f t="shared" si="279"/>
        <v>6.3979817351598172</v>
      </c>
      <c r="BF73" s="26"/>
      <c r="BG73" s="26"/>
      <c r="BH73" s="26"/>
      <c r="BI73" s="26"/>
      <c r="BJ73" s="26"/>
    </row>
    <row r="74" spans="1:62" ht="15.75" x14ac:dyDescent="0.25">
      <c r="B74" s="5366" t="s">
        <v>2237</v>
      </c>
      <c r="C74" s="5367" t="s">
        <v>481</v>
      </c>
      <c r="D74" s="5368">
        <f t="shared" ref="D74:M74" si="281">SUM(D71:D73)</f>
        <v>50</v>
      </c>
      <c r="E74" s="5368">
        <f t="shared" si="281"/>
        <v>28.505666666666666</v>
      </c>
      <c r="F74" s="5368">
        <f t="shared" si="281"/>
        <v>50</v>
      </c>
      <c r="G74" s="5368">
        <f t="shared" si="281"/>
        <v>22.717741935483872</v>
      </c>
      <c r="H74" s="5181">
        <f t="shared" si="281"/>
        <v>50</v>
      </c>
      <c r="I74" s="5197">
        <f t="shared" si="281"/>
        <v>25.564262295081967</v>
      </c>
      <c r="J74" s="5368">
        <f t="shared" si="281"/>
        <v>50</v>
      </c>
      <c r="K74" s="5368">
        <f t="shared" si="281"/>
        <v>25.384333333333338</v>
      </c>
      <c r="L74" s="5182">
        <f t="shared" si="281"/>
        <v>50</v>
      </c>
      <c r="M74" s="5182">
        <f t="shared" si="281"/>
        <v>25.504945054945054</v>
      </c>
      <c r="N74" s="5368">
        <f t="shared" ref="N74:O74" si="282">SUM(N71:N73)</f>
        <v>50</v>
      </c>
      <c r="O74" s="5368">
        <f t="shared" si="282"/>
        <v>26.040645161290325</v>
      </c>
      <c r="P74" s="5181">
        <f t="shared" ref="P74:U74" si="283">SUM(P71:P73)</f>
        <v>50</v>
      </c>
      <c r="Q74" s="5181">
        <f t="shared" si="283"/>
        <v>25.641065573770494</v>
      </c>
      <c r="R74" s="5368">
        <f t="shared" si="283"/>
        <v>50</v>
      </c>
      <c r="S74" s="5368">
        <f t="shared" si="283"/>
        <v>22.048494623655916</v>
      </c>
      <c r="T74" s="5181">
        <f t="shared" si="283"/>
        <v>50</v>
      </c>
      <c r="U74" s="5181">
        <f t="shared" si="283"/>
        <v>24.913159041394337</v>
      </c>
      <c r="V74" s="5368">
        <f t="shared" ref="V74:W74" si="284">SUM(V71:V73)</f>
        <v>51</v>
      </c>
      <c r="W74" s="5368">
        <f t="shared" si="284"/>
        <v>23.791999999999994</v>
      </c>
      <c r="X74" s="5182">
        <f t="shared" ref="X74:AA74" si="285">SUM(X71:X73)</f>
        <v>50.326086956521735</v>
      </c>
      <c r="Y74" s="5182">
        <f t="shared" si="285"/>
        <v>23.962210144927539</v>
      </c>
      <c r="Z74" s="5364">
        <f t="shared" si="285"/>
        <v>50.16393442622951</v>
      </c>
      <c r="AA74" s="5364">
        <f t="shared" si="285"/>
        <v>24.72936247723133</v>
      </c>
      <c r="AB74" s="5362"/>
      <c r="AC74" s="5363"/>
      <c r="AD74" s="5181">
        <f t="shared" ref="AD74:AE74" si="286">SUM(AD71:AD73)</f>
        <v>47.532710280373834</v>
      </c>
      <c r="AE74" s="5181">
        <f t="shared" si="286"/>
        <v>24.80043613707165</v>
      </c>
      <c r="AF74" s="5362"/>
      <c r="AG74" s="5363"/>
      <c r="AH74" s="5181">
        <f t="shared" ref="AH74:AI74" si="287">SUM(AH71:AH73)</f>
        <v>45.622950819672127</v>
      </c>
      <c r="AI74" s="5181">
        <f t="shared" si="287"/>
        <v>24.477964480874316</v>
      </c>
      <c r="AJ74" s="5362"/>
      <c r="AK74" s="5363"/>
      <c r="AL74" s="5182">
        <f t="shared" ref="AL74:AO74" si="288">SUM(AL71:AL73)</f>
        <v>32</v>
      </c>
      <c r="AM74" s="5182">
        <f t="shared" si="288"/>
        <v>25.057717391304347</v>
      </c>
      <c r="AN74" s="5181">
        <f t="shared" si="288"/>
        <v>44.087272727272726</v>
      </c>
      <c r="AO74" s="5181">
        <f t="shared" si="288"/>
        <v>24.839212121212118</v>
      </c>
      <c r="AP74" s="5362"/>
      <c r="AQ74" s="5363"/>
      <c r="AR74" s="5181">
        <f t="shared" ref="AR74:AS74" si="289">SUM(AR71:AR73)</f>
        <v>42.862745098039213</v>
      </c>
      <c r="AS74" s="5181">
        <f t="shared" si="289"/>
        <v>24.503932461873635</v>
      </c>
      <c r="AT74" s="5362"/>
      <c r="AU74" s="5363"/>
      <c r="AV74" s="5181">
        <f t="shared" ref="AV74:AW74" si="290">SUM(AV71:AV73)</f>
        <v>41.952095808383234</v>
      </c>
      <c r="AW74" s="5181">
        <f t="shared" si="290"/>
        <v>24.356087824351295</v>
      </c>
      <c r="AX74" s="5362"/>
      <c r="AY74" s="5365"/>
      <c r="AZ74" s="5182">
        <f t="shared" ref="AZ74:BE74" si="291">SUM(AZ71:AZ73)</f>
        <v>32</v>
      </c>
      <c r="BA74" s="5182">
        <f t="shared" si="291"/>
        <v>23.873777777777782</v>
      </c>
      <c r="BB74" s="5364">
        <f t="shared" si="291"/>
        <v>32</v>
      </c>
      <c r="BC74" s="5364">
        <f t="shared" si="291"/>
        <v>24.472252747252746</v>
      </c>
      <c r="BD74" s="5181">
        <f t="shared" si="291"/>
        <v>41.106849315068487</v>
      </c>
      <c r="BE74" s="5181">
        <f t="shared" si="291"/>
        <v>24.601159817351594</v>
      </c>
      <c r="BF74" s="26"/>
      <c r="BG74" s="26"/>
      <c r="BH74" s="26"/>
      <c r="BI74" s="26"/>
      <c r="BJ74" s="26"/>
    </row>
    <row r="75" spans="1:62" ht="15.75" x14ac:dyDescent="0.25">
      <c r="B75" s="3201" t="s">
        <v>2238</v>
      </c>
      <c r="C75" s="2645" t="s">
        <v>481</v>
      </c>
      <c r="D75" s="774">
        <v>9</v>
      </c>
      <c r="E75" s="82">
        <v>6.3179999999999996</v>
      </c>
      <c r="F75" s="774">
        <v>9</v>
      </c>
      <c r="G75" s="82">
        <v>6.6790322580645158</v>
      </c>
      <c r="H75" s="3202">
        <f t="shared" si="255"/>
        <v>9</v>
      </c>
      <c r="I75" s="107">
        <f t="shared" si="255"/>
        <v>6.5014754098360648</v>
      </c>
      <c r="J75" s="774">
        <v>9</v>
      </c>
      <c r="K75" s="82">
        <v>3.8310000000000008</v>
      </c>
      <c r="L75" s="353">
        <f t="shared" si="256"/>
        <v>9</v>
      </c>
      <c r="M75" s="353">
        <f t="shared" si="257"/>
        <v>5.6210989010989012</v>
      </c>
      <c r="N75" s="774">
        <v>9</v>
      </c>
      <c r="O75" s="82">
        <v>0.54516129032258065</v>
      </c>
      <c r="P75" s="266">
        <f t="shared" si="258"/>
        <v>9</v>
      </c>
      <c r="Q75" s="266">
        <f t="shared" si="259"/>
        <v>4.3313114754098354</v>
      </c>
      <c r="R75" s="774">
        <v>9</v>
      </c>
      <c r="S75" s="82">
        <v>0.3470967741935484</v>
      </c>
      <c r="T75" s="266">
        <f t="shared" si="260"/>
        <v>9</v>
      </c>
      <c r="U75" s="266">
        <f t="shared" si="261"/>
        <v>3.5240522875816991</v>
      </c>
      <c r="V75" s="774">
        <v>6</v>
      </c>
      <c r="W75" s="82">
        <v>0.60433333333333339</v>
      </c>
      <c r="X75" s="353">
        <f t="shared" ref="X75:Y78" si="292">+((N75*N$3)+(R75*R$3)+(V$3*V75))/X$3</f>
        <v>8.0217391304347831</v>
      </c>
      <c r="Y75" s="353">
        <f t="shared" si="292"/>
        <v>0.49771739130434783</v>
      </c>
      <c r="Z75" s="667">
        <f t="shared" si="263"/>
        <v>8.5081967213114762</v>
      </c>
      <c r="AA75" s="667">
        <f t="shared" si="280"/>
        <v>3.0454098360655735</v>
      </c>
      <c r="AB75" s="774">
        <v>10</v>
      </c>
      <c r="AC75" s="82">
        <v>3.6393548387096772</v>
      </c>
      <c r="AD75" s="266">
        <f t="shared" si="264"/>
        <v>8.7242990654205617</v>
      </c>
      <c r="AE75" s="266">
        <f t="shared" si="265"/>
        <v>3.1314485981308406</v>
      </c>
      <c r="AF75" s="774">
        <v>10</v>
      </c>
      <c r="AG75" s="82">
        <v>2.6011111111111109</v>
      </c>
      <c r="AH75" s="266">
        <f t="shared" si="266"/>
        <v>8.8811475409836067</v>
      </c>
      <c r="AI75" s="266">
        <f t="shared" si="267"/>
        <v>3.0662431693989065</v>
      </c>
      <c r="AJ75" s="774">
        <v>10</v>
      </c>
      <c r="AK75" s="82">
        <v>3.6324731182795698</v>
      </c>
      <c r="AL75" s="353">
        <f t="shared" si="268"/>
        <v>10</v>
      </c>
      <c r="AM75" s="353">
        <f t="shared" si="269"/>
        <v>3.2984782608695649</v>
      </c>
      <c r="AN75" s="266">
        <f t="shared" si="270"/>
        <v>9.0072727272727278</v>
      </c>
      <c r="AO75" s="266">
        <f t="shared" si="270"/>
        <v>3.1300727272727267</v>
      </c>
      <c r="AP75" s="774">
        <v>10</v>
      </c>
      <c r="AQ75" s="82">
        <v>5.5112903225806447</v>
      </c>
      <c r="AR75" s="266">
        <f t="shared" si="271"/>
        <v>9.1078431372549016</v>
      </c>
      <c r="AS75" s="266">
        <f t="shared" si="272"/>
        <v>3.3713071895424833</v>
      </c>
      <c r="AT75" s="774">
        <v>10</v>
      </c>
      <c r="AU75" s="82">
        <v>4.9985714285714282</v>
      </c>
      <c r="AV75" s="266">
        <f t="shared" si="273"/>
        <v>9.182634730538922</v>
      </c>
      <c r="AW75" s="266">
        <f t="shared" si="274"/>
        <v>3.5077245508982036</v>
      </c>
      <c r="AX75" s="774">
        <v>10</v>
      </c>
      <c r="AY75" s="101">
        <v>4.9570967741935483</v>
      </c>
      <c r="AZ75" s="353">
        <f t="shared" si="275"/>
        <v>10</v>
      </c>
      <c r="BA75" s="353">
        <f t="shared" si="276"/>
        <v>5.1608888888888877</v>
      </c>
      <c r="BB75" s="667">
        <f t="shared" si="277"/>
        <v>10</v>
      </c>
      <c r="BC75" s="667">
        <f t="shared" si="277"/>
        <v>4.2194505494505483</v>
      </c>
      <c r="BD75" s="266">
        <f t="shared" si="278"/>
        <v>9.2520547945205482</v>
      </c>
      <c r="BE75" s="266">
        <f t="shared" si="279"/>
        <v>3.6308219178082193</v>
      </c>
      <c r="BF75" s="26"/>
      <c r="BG75" s="26"/>
      <c r="BH75" s="26"/>
      <c r="BI75" s="26"/>
      <c r="BJ75" s="26"/>
    </row>
    <row r="76" spans="1:62" ht="15.75" x14ac:dyDescent="0.25">
      <c r="B76" s="3201" t="s">
        <v>621</v>
      </c>
      <c r="C76" s="2645" t="s">
        <v>481</v>
      </c>
      <c r="D76" s="774">
        <v>13.5</v>
      </c>
      <c r="E76" s="82">
        <v>12.186333333333334</v>
      </c>
      <c r="F76" s="774">
        <v>13.5</v>
      </c>
      <c r="G76" s="82">
        <v>12.798709677419355</v>
      </c>
      <c r="H76" s="3202">
        <f t="shared" si="255"/>
        <v>13.5</v>
      </c>
      <c r="I76" s="107">
        <f t="shared" si="255"/>
        <v>12.497540983606557</v>
      </c>
      <c r="J76" s="774">
        <v>13.5</v>
      </c>
      <c r="K76" s="82">
        <v>12.927333333333333</v>
      </c>
      <c r="L76" s="353">
        <f t="shared" si="256"/>
        <v>13.5</v>
      </c>
      <c r="M76" s="353">
        <f t="shared" si="257"/>
        <v>12.639230769230769</v>
      </c>
      <c r="N76" s="774">
        <v>13.5</v>
      </c>
      <c r="O76" s="82">
        <v>12.632580645161289</v>
      </c>
      <c r="P76" s="266">
        <f t="shared" si="258"/>
        <v>13.5</v>
      </c>
      <c r="Q76" s="266">
        <f t="shared" si="259"/>
        <v>12.637540983606558</v>
      </c>
      <c r="R76" s="774">
        <v>13.5</v>
      </c>
      <c r="S76" s="82">
        <v>13.253870967741934</v>
      </c>
      <c r="T76" s="266">
        <f t="shared" si="260"/>
        <v>13.5</v>
      </c>
      <c r="U76" s="266">
        <f t="shared" si="261"/>
        <v>12.762418300653595</v>
      </c>
      <c r="V76" s="774">
        <v>10.5</v>
      </c>
      <c r="W76" s="82">
        <v>12.871333333333332</v>
      </c>
      <c r="X76" s="353">
        <f t="shared" si="292"/>
        <v>12.521739130434783</v>
      </c>
      <c r="Y76" s="353">
        <f t="shared" si="292"/>
        <v>12.919782608695652</v>
      </c>
      <c r="Z76" s="667">
        <f t="shared" si="263"/>
        <v>13.008196721311476</v>
      </c>
      <c r="AA76" s="667">
        <f t="shared" si="280"/>
        <v>12.780273224043716</v>
      </c>
      <c r="AB76" s="774">
        <v>13</v>
      </c>
      <c r="AC76" s="82">
        <v>13.028387096774194</v>
      </c>
      <c r="AD76" s="266">
        <f t="shared" si="264"/>
        <v>13.007009345794392</v>
      </c>
      <c r="AE76" s="266">
        <f t="shared" si="265"/>
        <v>12.816214953271029</v>
      </c>
      <c r="AF76" s="774">
        <v>13</v>
      </c>
      <c r="AG76" s="82">
        <v>7.6533333333333324</v>
      </c>
      <c r="AH76" s="266">
        <f t="shared" si="266"/>
        <v>13.006147540983607</v>
      </c>
      <c r="AI76" s="266">
        <f t="shared" si="267"/>
        <v>12.181434426229508</v>
      </c>
      <c r="AJ76" s="774">
        <v>13</v>
      </c>
      <c r="AK76" s="82">
        <v>12.32258064516129</v>
      </c>
      <c r="AL76" s="353">
        <f t="shared" si="268"/>
        <v>13</v>
      </c>
      <c r="AM76" s="353">
        <f t="shared" si="269"/>
        <v>11.037826086956523</v>
      </c>
      <c r="AN76" s="266">
        <f t="shared" si="270"/>
        <v>13.005454545454546</v>
      </c>
      <c r="AO76" s="266">
        <f t="shared" si="270"/>
        <v>12.197345454545454</v>
      </c>
      <c r="AP76" s="774">
        <v>13</v>
      </c>
      <c r="AQ76" s="82">
        <v>12.581612903225805</v>
      </c>
      <c r="AR76" s="266">
        <f t="shared" si="271"/>
        <v>13.004901960784315</v>
      </c>
      <c r="AS76" s="266">
        <f t="shared" si="272"/>
        <v>12.236274509803922</v>
      </c>
      <c r="AT76" s="774">
        <v>13</v>
      </c>
      <c r="AU76" s="82">
        <v>12.723214285714286</v>
      </c>
      <c r="AV76" s="266">
        <f t="shared" si="273"/>
        <v>13.004491017964073</v>
      </c>
      <c r="AW76" s="266">
        <f t="shared" si="274"/>
        <v>12.277095808383233</v>
      </c>
      <c r="AX76" s="774">
        <v>13</v>
      </c>
      <c r="AY76" s="101">
        <v>12.561935483870968</v>
      </c>
      <c r="AZ76" s="353">
        <f t="shared" si="275"/>
        <v>13</v>
      </c>
      <c r="BA76" s="353">
        <f t="shared" si="276"/>
        <v>12.61888888888889</v>
      </c>
      <c r="BB76" s="667">
        <f t="shared" si="277"/>
        <v>13</v>
      </c>
      <c r="BC76" s="667">
        <f t="shared" si="277"/>
        <v>11.81967032967033</v>
      </c>
      <c r="BD76" s="266">
        <f t="shared" si="278"/>
        <v>13.004109589041096</v>
      </c>
      <c r="BE76" s="266">
        <f t="shared" si="279"/>
        <v>12.301287671232878</v>
      </c>
      <c r="BF76" s="26"/>
      <c r="BG76" s="26"/>
      <c r="BH76" s="26"/>
      <c r="BI76" s="26"/>
      <c r="BJ76" s="26"/>
    </row>
    <row r="77" spans="1:62" ht="15.75" x14ac:dyDescent="0.25">
      <c r="B77" s="3201" t="s">
        <v>472</v>
      </c>
      <c r="C77" s="2645" t="s">
        <v>481</v>
      </c>
      <c r="D77" s="774">
        <v>110</v>
      </c>
      <c r="E77" s="82">
        <v>98.714333333333343</v>
      </c>
      <c r="F77" s="774">
        <v>110</v>
      </c>
      <c r="G77" s="82">
        <v>107.83387096774193</v>
      </c>
      <c r="H77" s="3202">
        <f t="shared" si="255"/>
        <v>110</v>
      </c>
      <c r="I77" s="107">
        <f t="shared" si="255"/>
        <v>103.3488524590164</v>
      </c>
      <c r="J77" s="774">
        <v>110</v>
      </c>
      <c r="K77" s="82">
        <v>112.11233333333332</v>
      </c>
      <c r="L77" s="353">
        <f t="shared" si="256"/>
        <v>110</v>
      </c>
      <c r="M77" s="353">
        <f t="shared" si="257"/>
        <v>106.23791208791211</v>
      </c>
      <c r="N77" s="774">
        <v>110</v>
      </c>
      <c r="O77" s="82">
        <v>111.24741935483871</v>
      </c>
      <c r="P77" s="266">
        <f t="shared" si="258"/>
        <v>110</v>
      </c>
      <c r="Q77" s="266">
        <f t="shared" si="259"/>
        <v>107.51081967213116</v>
      </c>
      <c r="R77" s="774">
        <v>110</v>
      </c>
      <c r="S77" s="82">
        <v>108.71677419354839</v>
      </c>
      <c r="T77" s="266">
        <f t="shared" si="260"/>
        <v>110</v>
      </c>
      <c r="U77" s="266">
        <f t="shared" si="261"/>
        <v>107.75516339869282</v>
      </c>
      <c r="V77" s="774">
        <v>67</v>
      </c>
      <c r="W77" s="82">
        <v>106.62566666666666</v>
      </c>
      <c r="X77" s="353">
        <f t="shared" si="292"/>
        <v>95.978260869565219</v>
      </c>
      <c r="Y77" s="353">
        <f t="shared" si="292"/>
        <v>108.88760869565218</v>
      </c>
      <c r="Z77" s="667">
        <f t="shared" si="263"/>
        <v>102.95081967213115</v>
      </c>
      <c r="AA77" s="667">
        <f t="shared" si="280"/>
        <v>107.57000000000001</v>
      </c>
      <c r="AB77" s="774">
        <v>110</v>
      </c>
      <c r="AC77" s="82">
        <v>101.85129032258065</v>
      </c>
      <c r="AD77" s="266">
        <f t="shared" si="264"/>
        <v>103.97196261682242</v>
      </c>
      <c r="AE77" s="266">
        <f t="shared" si="265"/>
        <v>106.74158878504673</v>
      </c>
      <c r="AF77" s="774">
        <v>112</v>
      </c>
      <c r="AG77" s="82">
        <v>7.8066666666666666</v>
      </c>
      <c r="AH77" s="266">
        <f t="shared" si="266"/>
        <v>104.95901639344262</v>
      </c>
      <c r="AI77" s="266">
        <f t="shared" si="267"/>
        <v>94.577459016393448</v>
      </c>
      <c r="AJ77" s="774">
        <v>112</v>
      </c>
      <c r="AK77" s="82">
        <v>95.711290322580638</v>
      </c>
      <c r="AL77" s="353">
        <f t="shared" si="268"/>
        <v>111.32608695652173</v>
      </c>
      <c r="AM77" s="353">
        <f t="shared" si="269"/>
        <v>69.115652173913034</v>
      </c>
      <c r="AN77" s="266">
        <f t="shared" si="270"/>
        <v>105.75272727272727</v>
      </c>
      <c r="AO77" s="266">
        <f t="shared" si="270"/>
        <v>94.705272727272728</v>
      </c>
      <c r="AP77" s="774">
        <v>112</v>
      </c>
      <c r="AQ77" s="82">
        <v>103.4690322580645</v>
      </c>
      <c r="AR77" s="266">
        <f t="shared" si="271"/>
        <v>106.38562091503267</v>
      </c>
      <c r="AS77" s="266">
        <f t="shared" si="272"/>
        <v>95.593104575163409</v>
      </c>
      <c r="AT77" s="774">
        <v>112</v>
      </c>
      <c r="AU77" s="82">
        <v>106.77107142857143</v>
      </c>
      <c r="AV77" s="266">
        <f t="shared" si="273"/>
        <v>106.8562874251497</v>
      </c>
      <c r="AW77" s="266">
        <f t="shared" si="274"/>
        <v>96.530179640718572</v>
      </c>
      <c r="AX77" s="774">
        <v>112</v>
      </c>
      <c r="AY77" s="101">
        <v>110.74064516129032</v>
      </c>
      <c r="AZ77" s="353">
        <f t="shared" si="275"/>
        <v>112</v>
      </c>
      <c r="BA77" s="353">
        <f t="shared" si="276"/>
        <v>107.001</v>
      </c>
      <c r="BB77" s="667">
        <f t="shared" si="277"/>
        <v>111.65934065934066</v>
      </c>
      <c r="BC77" s="667">
        <f t="shared" si="277"/>
        <v>87.850164835164833</v>
      </c>
      <c r="BD77" s="266">
        <f t="shared" si="278"/>
        <v>107.2931506849315</v>
      </c>
      <c r="BE77" s="266">
        <f t="shared" si="279"/>
        <v>97.737095890410956</v>
      </c>
      <c r="BF77" s="26"/>
      <c r="BG77" s="26"/>
      <c r="BH77" s="26"/>
      <c r="BI77" s="26"/>
      <c r="BJ77" s="26"/>
    </row>
    <row r="78" spans="1:62" ht="16.5" thickBot="1" x14ac:dyDescent="0.3">
      <c r="B78" s="3203" t="s">
        <v>473</v>
      </c>
      <c r="C78" s="3204" t="s">
        <v>481</v>
      </c>
      <c r="D78" s="774">
        <v>11.2</v>
      </c>
      <c r="E78" s="101">
        <v>8.9121111111111109</v>
      </c>
      <c r="F78" s="774">
        <v>11.2</v>
      </c>
      <c r="G78" s="101">
        <v>9.6602150537634408</v>
      </c>
      <c r="H78" s="3202">
        <f t="shared" si="255"/>
        <v>11.200000000000001</v>
      </c>
      <c r="I78" s="107">
        <f t="shared" si="255"/>
        <v>9.2922950819672128</v>
      </c>
      <c r="J78" s="774">
        <v>11.2</v>
      </c>
      <c r="K78" s="101">
        <v>9.4386666666666663</v>
      </c>
      <c r="L78" s="353">
        <f t="shared" si="256"/>
        <v>11.200000000000001</v>
      </c>
      <c r="M78" s="353">
        <f t="shared" si="257"/>
        <v>9.3405494505494495</v>
      </c>
      <c r="N78" s="774">
        <v>11.2</v>
      </c>
      <c r="O78" s="101">
        <v>9.1267741935483873</v>
      </c>
      <c r="P78" s="266">
        <f t="shared" si="258"/>
        <v>11.200000000000001</v>
      </c>
      <c r="Q78" s="266">
        <f t="shared" si="259"/>
        <v>9.2862295081967208</v>
      </c>
      <c r="R78" s="774">
        <v>11.2</v>
      </c>
      <c r="S78" s="101">
        <v>9.7677419354838726</v>
      </c>
      <c r="T78" s="266">
        <f t="shared" si="260"/>
        <v>11.200000000000001</v>
      </c>
      <c r="U78" s="266">
        <f t="shared" si="261"/>
        <v>9.3837908496732005</v>
      </c>
      <c r="V78" s="774">
        <v>11.2</v>
      </c>
      <c r="W78" s="101">
        <v>9.1474316939890699</v>
      </c>
      <c r="X78" s="353">
        <f t="shared" si="292"/>
        <v>11.200000000000001</v>
      </c>
      <c r="Y78" s="353">
        <f t="shared" si="292"/>
        <v>9.349488595866001</v>
      </c>
      <c r="Z78" s="667">
        <f t="shared" si="263"/>
        <v>11.200000000000003</v>
      </c>
      <c r="AA78" s="667">
        <f t="shared" si="280"/>
        <v>9.3450434471020323</v>
      </c>
      <c r="AB78" s="774">
        <v>9</v>
      </c>
      <c r="AC78" s="82">
        <v>9.5245161290322571</v>
      </c>
      <c r="AD78" s="266">
        <f t="shared" si="264"/>
        <v>10.881308411214954</v>
      </c>
      <c r="AE78" s="266">
        <f t="shared" si="265"/>
        <v>9.3710418262601483</v>
      </c>
      <c r="AF78" s="774">
        <v>9</v>
      </c>
      <c r="AG78" s="82">
        <v>10.108888888888888</v>
      </c>
      <c r="AH78" s="266">
        <f t="shared" si="266"/>
        <v>10.650000000000002</v>
      </c>
      <c r="AI78" s="266">
        <f t="shared" si="267"/>
        <v>9.4617607274030249</v>
      </c>
      <c r="AJ78" s="774">
        <v>9</v>
      </c>
      <c r="AK78" s="82">
        <v>9.9884946236559138</v>
      </c>
      <c r="AL78" s="353">
        <f t="shared" si="268"/>
        <v>9</v>
      </c>
      <c r="AM78" s="353">
        <f t="shared" si="269"/>
        <v>9.8714130434782597</v>
      </c>
      <c r="AN78" s="266">
        <f t="shared" si="270"/>
        <v>10.464000000000002</v>
      </c>
      <c r="AO78" s="266">
        <f t="shared" si="270"/>
        <v>9.5211380029806243</v>
      </c>
      <c r="AP78" s="774">
        <v>9</v>
      </c>
      <c r="AQ78" s="82">
        <v>9.8933333333333344</v>
      </c>
      <c r="AR78" s="266">
        <f t="shared" si="271"/>
        <v>10.315686274509806</v>
      </c>
      <c r="AS78" s="266">
        <f t="shared" si="272"/>
        <v>9.5588440658594944</v>
      </c>
      <c r="AT78" s="774">
        <v>9</v>
      </c>
      <c r="AU78" s="82">
        <v>10.262857142857143</v>
      </c>
      <c r="AV78" s="266">
        <f t="shared" si="273"/>
        <v>10.205389221556889</v>
      </c>
      <c r="AW78" s="266">
        <f t="shared" si="274"/>
        <v>9.6178631262066023</v>
      </c>
      <c r="AX78" s="774">
        <v>9</v>
      </c>
      <c r="AY78" s="101">
        <v>9.5578494623655921</v>
      </c>
      <c r="AZ78" s="353">
        <f t="shared" si="275"/>
        <v>9</v>
      </c>
      <c r="BA78" s="353">
        <f t="shared" si="276"/>
        <v>9.8927407407407415</v>
      </c>
      <c r="BB78" s="667">
        <f t="shared" si="277"/>
        <v>9</v>
      </c>
      <c r="BC78" s="667">
        <f t="shared" si="277"/>
        <v>9.8819597069597052</v>
      </c>
      <c r="BD78" s="266">
        <f t="shared" si="278"/>
        <v>10.103013698630139</v>
      </c>
      <c r="BE78" s="266">
        <f t="shared" si="279"/>
        <v>9.6127660753050375</v>
      </c>
      <c r="BF78" s="26"/>
      <c r="BG78" s="26"/>
      <c r="BH78" s="26"/>
      <c r="BI78" s="26"/>
      <c r="BJ78" s="26"/>
    </row>
    <row r="79" spans="1:62" ht="19.5" thickBot="1" x14ac:dyDescent="0.3">
      <c r="B79" s="247" t="s">
        <v>2239</v>
      </c>
      <c r="C79" s="48" t="s">
        <v>481</v>
      </c>
      <c r="D79" s="995">
        <f>SUM(D75:D78)</f>
        <v>143.69999999999999</v>
      </c>
      <c r="E79" s="995">
        <f>SUM(E75:E78)</f>
        <v>126.13077777777779</v>
      </c>
      <c r="F79" s="995">
        <f>SUM(F75:F78)</f>
        <v>143.69999999999999</v>
      </c>
      <c r="G79" s="995">
        <f>SUM(G75:G78)</f>
        <v>136.97182795698924</v>
      </c>
      <c r="H79" s="845">
        <f t="shared" ref="H79:AA79" si="293">SUM(H71:H78)</f>
        <v>243.7</v>
      </c>
      <c r="I79" s="3206">
        <f t="shared" si="293"/>
        <v>182.76868852459017</v>
      </c>
      <c r="J79" s="995">
        <f>SUM(J75:J78)</f>
        <v>143.69999999999999</v>
      </c>
      <c r="K79" s="995">
        <f>SUM(K75:K78)</f>
        <v>138.30933333333334</v>
      </c>
      <c r="L79" s="1592">
        <f t="shared" si="293"/>
        <v>243.7</v>
      </c>
      <c r="M79" s="1593">
        <f t="shared" si="293"/>
        <v>184.84868131868134</v>
      </c>
      <c r="N79" s="995">
        <f>SUM(N75:N78)</f>
        <v>143.69999999999999</v>
      </c>
      <c r="O79" s="995">
        <f>SUM(O75:O78)</f>
        <v>133.55193548387098</v>
      </c>
      <c r="P79" s="845">
        <f t="shared" ref="P79:Q79" si="294">SUM(P71:P78)</f>
        <v>243.7</v>
      </c>
      <c r="Q79" s="601">
        <f t="shared" si="294"/>
        <v>185.04803278688527</v>
      </c>
      <c r="R79" s="995">
        <f>SUM(R75:R78)</f>
        <v>143.69999999999999</v>
      </c>
      <c r="S79" s="995">
        <f>SUM(S75:S78)</f>
        <v>132.08548387096775</v>
      </c>
      <c r="T79" s="845">
        <f t="shared" ref="T79:U79" si="295">SUM(T71:T78)</f>
        <v>243.7</v>
      </c>
      <c r="U79" s="601">
        <f t="shared" si="295"/>
        <v>183.25174291938998</v>
      </c>
      <c r="V79" s="995">
        <f>SUM(V75:V78)</f>
        <v>94.7</v>
      </c>
      <c r="W79" s="995">
        <f>SUM(W75:W78)</f>
        <v>129.24876502732241</v>
      </c>
      <c r="X79" s="1592">
        <f t="shared" ref="X79:Y79" si="296">SUM(X71:X78)</f>
        <v>228.37391304347824</v>
      </c>
      <c r="Y79" s="1593">
        <f t="shared" si="296"/>
        <v>179.57901758137328</v>
      </c>
      <c r="Z79" s="991">
        <f t="shared" si="293"/>
        <v>235.99508196721314</v>
      </c>
      <c r="AA79" s="519">
        <f t="shared" si="293"/>
        <v>182.19945146167399</v>
      </c>
      <c r="AB79" s="995">
        <f t="shared" ref="AB79:AC79" si="297">SUM(AB71:AB78)</f>
        <v>174</v>
      </c>
      <c r="AC79" s="143">
        <f t="shared" si="297"/>
        <v>153.26354838709679</v>
      </c>
      <c r="AD79" s="995">
        <f t="shared" ref="AD79:AG79" si="298">SUM(AD71:AD78)</f>
        <v>231.64999999999998</v>
      </c>
      <c r="AE79" s="143">
        <f t="shared" si="298"/>
        <v>181.66116643685206</v>
      </c>
      <c r="AF79" s="995">
        <f t="shared" si="298"/>
        <v>176</v>
      </c>
      <c r="AG79" s="143">
        <f t="shared" si="298"/>
        <v>50.347666666666669</v>
      </c>
      <c r="AH79" s="995">
        <f t="shared" ref="AH79:AK79" si="299">SUM(AH71:AH78)</f>
        <v>228.74221311475409</v>
      </c>
      <c r="AI79" s="143">
        <f t="shared" si="299"/>
        <v>168.24282630117352</v>
      </c>
      <c r="AJ79" s="995">
        <f t="shared" si="299"/>
        <v>176</v>
      </c>
      <c r="AK79" s="143">
        <f t="shared" si="299"/>
        <v>149.33741935483872</v>
      </c>
      <c r="AL79" s="1592">
        <f t="shared" ref="AL79:AS79" si="300">SUM(AL71:AL78)</f>
        <v>207.32608695652175</v>
      </c>
      <c r="AM79" s="1593">
        <f t="shared" si="300"/>
        <v>143.43880434782611</v>
      </c>
      <c r="AN79" s="995">
        <f t="shared" si="300"/>
        <v>226.404</v>
      </c>
      <c r="AO79" s="143">
        <f t="shared" si="300"/>
        <v>169.23225315449577</v>
      </c>
      <c r="AP79" s="995">
        <f t="shared" si="300"/>
        <v>176</v>
      </c>
      <c r="AQ79" s="143">
        <f t="shared" si="300"/>
        <v>152.98494623655913</v>
      </c>
      <c r="AR79" s="995">
        <f t="shared" si="300"/>
        <v>224.53954248366011</v>
      </c>
      <c r="AS79" s="143">
        <f t="shared" si="300"/>
        <v>169.76739526411657</v>
      </c>
      <c r="AT79" s="995">
        <f t="shared" ref="AT79:AW79" si="301">SUM(AT71:AT78)</f>
        <v>176</v>
      </c>
      <c r="AU79" s="143">
        <f t="shared" si="301"/>
        <v>157.49607142857144</v>
      </c>
      <c r="AV79" s="995">
        <f t="shared" si="301"/>
        <v>223.15299401197606</v>
      </c>
      <c r="AW79" s="143">
        <f t="shared" si="301"/>
        <v>170.64503877490921</v>
      </c>
      <c r="AX79" s="995">
        <f t="shared" ref="AX79:AY79" si="302">SUM(AX71:AX78)</f>
        <v>176</v>
      </c>
      <c r="AY79" s="143">
        <f t="shared" si="302"/>
        <v>165.05913978494624</v>
      </c>
      <c r="AZ79" s="1592">
        <f t="shared" ref="AZ79:BE79" si="303">SUM(AZ71:AZ78)</f>
        <v>208</v>
      </c>
      <c r="BA79" s="1593">
        <f t="shared" si="303"/>
        <v>182.42107407407411</v>
      </c>
      <c r="BB79" s="991">
        <f t="shared" ref="BB79:BC79" si="304">SUM(BB71:BB78)</f>
        <v>207.65934065934067</v>
      </c>
      <c r="BC79" s="519">
        <f t="shared" si="304"/>
        <v>162.7157509157509</v>
      </c>
      <c r="BD79" s="995">
        <f t="shared" si="303"/>
        <v>221.86602739726027</v>
      </c>
      <c r="BE79" s="143">
        <f t="shared" si="303"/>
        <v>172.48429118946029</v>
      </c>
      <c r="BF79" s="26"/>
      <c r="BG79" s="26"/>
      <c r="BH79" s="26"/>
      <c r="BI79" s="26"/>
      <c r="BJ79" s="26"/>
    </row>
    <row r="80" spans="1:62" ht="18.75" x14ac:dyDescent="0.25">
      <c r="B80" s="3210" t="s">
        <v>476</v>
      </c>
      <c r="C80" s="55"/>
      <c r="D80" s="996"/>
      <c r="E80" s="692"/>
      <c r="F80" s="996"/>
      <c r="G80" s="692"/>
      <c r="H80" s="608"/>
      <c r="I80" s="692"/>
      <c r="J80" s="996"/>
      <c r="K80" s="692"/>
      <c r="L80" s="608"/>
      <c r="M80" s="608"/>
      <c r="N80" s="996"/>
      <c r="O80" s="692"/>
      <c r="P80" s="608"/>
      <c r="Q80" s="608"/>
      <c r="R80" s="996"/>
      <c r="S80" s="692"/>
      <c r="T80" s="608"/>
      <c r="U80" s="608"/>
      <c r="V80" s="996"/>
      <c r="W80" s="692"/>
      <c r="X80" s="608"/>
      <c r="Y80" s="608"/>
      <c r="Z80" s="608"/>
      <c r="AA80" s="608"/>
      <c r="AB80" s="996"/>
      <c r="AC80" s="692"/>
      <c r="AD80" s="608"/>
      <c r="AE80" s="608"/>
      <c r="AF80" s="996"/>
      <c r="AG80" s="692"/>
      <c r="AH80" s="608"/>
      <c r="AI80" s="608"/>
      <c r="AJ80" s="996"/>
      <c r="AK80" s="692"/>
      <c r="AL80" s="608"/>
      <c r="AM80" s="608"/>
      <c r="AN80" s="608"/>
      <c r="AO80" s="608"/>
      <c r="AP80" s="996"/>
      <c r="AQ80" s="692"/>
      <c r="AR80" s="608"/>
      <c r="AS80" s="608"/>
      <c r="AT80" s="996"/>
      <c r="AU80" s="692"/>
      <c r="AV80" s="608"/>
      <c r="AW80" s="608"/>
      <c r="AX80" s="996"/>
      <c r="AY80" s="692"/>
      <c r="AZ80" s="608"/>
      <c r="BA80" s="608"/>
      <c r="BB80" s="608"/>
      <c r="BC80" s="608"/>
      <c r="BD80" s="608"/>
      <c r="BE80" s="608"/>
      <c r="BF80" s="26"/>
      <c r="BG80" s="26"/>
      <c r="BH80" s="26"/>
      <c r="BI80" s="26"/>
      <c r="BJ80" s="26"/>
    </row>
    <row r="81" spans="1:68" ht="15.75" customHeight="1" x14ac:dyDescent="0.25">
      <c r="B81" s="3201" t="s">
        <v>620</v>
      </c>
      <c r="C81" s="2645" t="s">
        <v>481</v>
      </c>
      <c r="D81" s="774">
        <v>50</v>
      </c>
      <c r="E81" s="774">
        <v>0</v>
      </c>
      <c r="F81" s="774">
        <v>50</v>
      </c>
      <c r="G81" s="774">
        <v>0</v>
      </c>
      <c r="H81" s="3202">
        <f>+((D81*D$3)+(F$3*F81))/H$3</f>
        <v>50</v>
      </c>
      <c r="I81" s="107">
        <f>+((E81*E$3)+(G$3*G81))/I$3</f>
        <v>0</v>
      </c>
      <c r="J81" s="774">
        <v>50</v>
      </c>
      <c r="K81" s="774">
        <v>0</v>
      </c>
      <c r="L81" s="353">
        <f>+((H81*H$3)+(J$3*J81))/L$3</f>
        <v>50</v>
      </c>
      <c r="M81" s="353">
        <f>+((I81*I$3)+(K$3*K81))/M$3</f>
        <v>0</v>
      </c>
      <c r="N81" s="774">
        <v>50</v>
      </c>
      <c r="O81" s="774">
        <v>0</v>
      </c>
      <c r="P81" s="266">
        <f>+((L81*L$3)+(N$3*N81))/P$3</f>
        <v>50</v>
      </c>
      <c r="Q81" s="266">
        <f>+((M81*M$3)+(O$3*O81))/Q$3</f>
        <v>0</v>
      </c>
      <c r="R81" s="774">
        <v>50</v>
      </c>
      <c r="S81" s="774">
        <v>0</v>
      </c>
      <c r="T81" s="266">
        <f>+((P81*P$3)+(R$3*R81))/T$3</f>
        <v>50</v>
      </c>
      <c r="U81" s="266">
        <f>+((Q81*Q$3)+(S$3*S81))/U$3</f>
        <v>0</v>
      </c>
      <c r="V81" s="774">
        <v>51</v>
      </c>
      <c r="W81" s="774">
        <v>0</v>
      </c>
      <c r="X81" s="353">
        <f t="shared" ref="X81:Y82" si="305">+((N81*N$3)+(R81*R$3)+(V$3*V81))/X$3</f>
        <v>50.326086956521742</v>
      </c>
      <c r="Y81" s="353">
        <f t="shared" si="305"/>
        <v>0</v>
      </c>
      <c r="Z81" s="667">
        <f>+((L81*L$3)+(X$3*X81))/Z$3</f>
        <v>50.16393442622951</v>
      </c>
      <c r="AA81" s="667">
        <f>+((M81*M$3)+(Y$3*Y81))/AA$3</f>
        <v>0</v>
      </c>
      <c r="AB81" s="82">
        <v>0</v>
      </c>
      <c r="AC81" s="82">
        <v>0</v>
      </c>
      <c r="AD81" s="266">
        <f>+((Z81*Z$3)+(AB$3*AB81))/AD$3</f>
        <v>42.89719626168224</v>
      </c>
      <c r="AE81" s="266">
        <f>+((AA81*AA$3)+(AC$3*AC81))/AE$3</f>
        <v>0</v>
      </c>
      <c r="AF81" s="82">
        <v>0</v>
      </c>
      <c r="AG81" s="82">
        <v>0</v>
      </c>
      <c r="AH81" s="266">
        <f>+((AD81*AD$3)+(AF$3*AF81))/AH$3</f>
        <v>37.622950819672134</v>
      </c>
      <c r="AI81" s="266">
        <f>+((AE81*AE$3)+(AG$3*AG81))/AI$3</f>
        <v>0</v>
      </c>
      <c r="AJ81" s="82">
        <v>0</v>
      </c>
      <c r="AK81" s="82">
        <v>0</v>
      </c>
      <c r="AL81" s="353">
        <f t="shared" ref="AL81:AL82" si="306">+((AB81*AB$3)+(AF81*AF$3)+(AJ$3*AJ81))/AL$3</f>
        <v>0</v>
      </c>
      <c r="AM81" s="353">
        <f t="shared" ref="AM81:AM82" si="307">+((AC81*AC$3)+(AG81*AG$3)+(AK$3*AK81))/AM$3</f>
        <v>0</v>
      </c>
      <c r="AN81" s="266">
        <f>+((AH81*AH$3)+(AJ$3*AJ81))/AN$3</f>
        <v>33.381818181818183</v>
      </c>
      <c r="AO81" s="266">
        <f>+((AI81*AI$3)+(AK$3*AK81))/AO$3</f>
        <v>0</v>
      </c>
      <c r="AP81" s="82">
        <v>0</v>
      </c>
      <c r="AQ81" s="82">
        <v>0</v>
      </c>
      <c r="AR81" s="266">
        <f>+((AN81*AN$3)+(AP$3*AP81))/AR$3</f>
        <v>30</v>
      </c>
      <c r="AS81" s="266">
        <f>+((AO81*AO$3)+(AQ$3*AQ81))/AS$3</f>
        <v>0</v>
      </c>
      <c r="AT81" s="82">
        <v>0</v>
      </c>
      <c r="AU81" s="82">
        <v>0</v>
      </c>
      <c r="AV81" s="266">
        <f>+((AR81*AR$3)+(AT$3*AT81))/AV$3</f>
        <v>27.485029940119759</v>
      </c>
      <c r="AW81" s="266">
        <f>+((AS81*AS$3)+(AU$3*AU81))/AW$3</f>
        <v>0</v>
      </c>
      <c r="AX81" s="82">
        <v>0</v>
      </c>
      <c r="AY81" s="82">
        <v>0</v>
      </c>
      <c r="AZ81" s="353">
        <f t="shared" ref="AZ81:AZ82" si="308">+((AP81*AP$3)+(AT81*AT$3)+(AX$3*AX81))/AZ$3</f>
        <v>0</v>
      </c>
      <c r="BA81" s="353">
        <f t="shared" ref="BA81:BA82" si="309">+((AQ81*AQ$3)+(AU81*AU$3)+(AY$3*AY81))/BA$3</f>
        <v>0</v>
      </c>
      <c r="BB81" s="667">
        <f>+((AL81*AL$3)+(AZ$3*AZ81))/BB$3</f>
        <v>0</v>
      </c>
      <c r="BC81" s="667">
        <f>+((AM81*AM$3)+(BA$3*BA81))/BC$3</f>
        <v>0</v>
      </c>
      <c r="BD81" s="266">
        <f>+((AV81*AV$3)+(AX$3*AX81))/BD$3</f>
        <v>25.150684931506849</v>
      </c>
      <c r="BE81" s="266">
        <f>+((AW81*AW$3)+(AY$3*AY81))/BE$3</f>
        <v>0</v>
      </c>
      <c r="BF81" s="26"/>
      <c r="BG81" s="26"/>
      <c r="BH81" s="26"/>
      <c r="BI81" s="26"/>
      <c r="BJ81" s="26"/>
    </row>
    <row r="82" spans="1:68" ht="16.5" thickBot="1" x14ac:dyDescent="0.3">
      <c r="B82" s="3203" t="s">
        <v>475</v>
      </c>
      <c r="C82" s="3204" t="s">
        <v>481</v>
      </c>
      <c r="D82" s="1343">
        <v>155.89321821470929</v>
      </c>
      <c r="E82" s="3181">
        <v>125.04133333333333</v>
      </c>
      <c r="F82" s="1343">
        <v>172.06159183714112</v>
      </c>
      <c r="G82" s="3181">
        <v>151.12935483870967</v>
      </c>
      <c r="H82" s="3211">
        <f>+((D82*D$3)+(F$3*F82))/H$3</f>
        <v>164.10993267856807</v>
      </c>
      <c r="I82" s="108">
        <f>+((E82*E$3)+(G$3*G82))/I$3</f>
        <v>138.29918032786884</v>
      </c>
      <c r="J82" s="1343">
        <v>171.40889403625908</v>
      </c>
      <c r="K82" s="3181">
        <v>176.197</v>
      </c>
      <c r="L82" s="997">
        <f>+((H82*H$3)+(J$3*J82))/L$3</f>
        <v>166.51618367560908</v>
      </c>
      <c r="M82" s="997">
        <f>+((I82*I$3)+(K$3*K82))/M$3</f>
        <v>150.79296703296703</v>
      </c>
      <c r="N82" s="1343">
        <v>173.12715750599511</v>
      </c>
      <c r="O82" s="3181">
        <v>186.72806451612902</v>
      </c>
      <c r="P82" s="603">
        <f>+((L82*L$3)+(N$3*N82))/P$3</f>
        <v>168.19602128824818</v>
      </c>
      <c r="Q82" s="603">
        <f>+((M82*M$3)+(O$3*O82))/Q$3</f>
        <v>159.92401639344263</v>
      </c>
      <c r="R82" s="1343">
        <v>169.8461360006188</v>
      </c>
      <c r="S82" s="3181">
        <v>181.9174193548387</v>
      </c>
      <c r="T82" s="603">
        <f>+((P82*P$3)+(R$3*R82))/T$3</f>
        <v>168.53035825611411</v>
      </c>
      <c r="U82" s="603">
        <f>+((Q82*Q$3)+(S$3*S82))/U$3</f>
        <v>164.38019607843137</v>
      </c>
      <c r="V82" s="1343">
        <v>141.9646020689421</v>
      </c>
      <c r="W82" s="3181">
        <v>177.12199999999999</v>
      </c>
      <c r="X82" s="997">
        <f t="shared" si="305"/>
        <v>161.85989305188366</v>
      </c>
      <c r="Y82" s="997">
        <f t="shared" si="305"/>
        <v>181.97467391304346</v>
      </c>
      <c r="Z82" s="667">
        <f>+((L82*L$3)+(X$3*X82))/Z$3</f>
        <v>164.17531625821707</v>
      </c>
      <c r="AA82" s="667">
        <f>+((M82*M$3)+(Y$3*Y82))/AA$3</f>
        <v>166.46901639344262</v>
      </c>
      <c r="AB82" s="3181">
        <v>188.62614334697059</v>
      </c>
      <c r="AC82" s="3181">
        <v>132.27709677419355</v>
      </c>
      <c r="AD82" s="603">
        <f>+((Z82*Z$3)+(AB$3*AB82))/AD$3</f>
        <v>167.71725850004583</v>
      </c>
      <c r="AE82" s="603">
        <f>+((AA82*AA$3)+(AC$3*AC82))/AE$3</f>
        <v>161.5159813084112</v>
      </c>
      <c r="AF82" s="3181">
        <v>189.2366548386147</v>
      </c>
      <c r="AG82" s="3181">
        <v>69.044666666666672</v>
      </c>
      <c r="AH82" s="603">
        <f>+((AD82*AD$3)+(AF$3*AF82))/AH$3</f>
        <v>170.36308591872233</v>
      </c>
      <c r="AI82" s="603">
        <f>+((AE82*AE$3)+(AG$3*AG82))/AI$3</f>
        <v>150.14655737704916</v>
      </c>
      <c r="AJ82" s="3181">
        <v>190.18494371283936</v>
      </c>
      <c r="AK82" s="3181">
        <v>167.0541935483871</v>
      </c>
      <c r="AL82" s="997">
        <f t="shared" si="306"/>
        <v>189.35047113057118</v>
      </c>
      <c r="AM82" s="997">
        <f t="shared" si="307"/>
        <v>123.37619565217392</v>
      </c>
      <c r="AN82" s="603">
        <f>+((AH82*AH$3)+(AJ$3*AJ82))/AN$3</f>
        <v>172.59754988824099</v>
      </c>
      <c r="AO82" s="603">
        <f>+((AI82*AI$3)+(AK$3*AK82))/AO$3</f>
        <v>152.05250909090907</v>
      </c>
      <c r="AP82" s="3181">
        <v>190.29772149061711</v>
      </c>
      <c r="AQ82" s="3181">
        <v>155.11559139784947</v>
      </c>
      <c r="AR82" s="603">
        <f>+((AN82*AN$3)+(AP$3*AP82))/AR$3</f>
        <v>174.39070452769741</v>
      </c>
      <c r="AS82" s="603">
        <f>+((AO82*AO$3)+(AQ$3*AQ82))/AS$3</f>
        <v>152.36282135076252</v>
      </c>
      <c r="AT82" s="3181">
        <v>191.47994271129102</v>
      </c>
      <c r="AU82" s="3181">
        <v>152.15</v>
      </c>
      <c r="AV82" s="603">
        <f>+((AR82*AR$3)+(AT$3*AT82))/AV$3</f>
        <v>175.82333527362741</v>
      </c>
      <c r="AW82" s="603">
        <f>+((AS82*AS$3)+(AU$3*AU82))/AW$3</f>
        <v>152.34498003992013</v>
      </c>
      <c r="AX82" s="3181">
        <v>188.99943452752183</v>
      </c>
      <c r="AY82" s="3181">
        <v>142.62387096774194</v>
      </c>
      <c r="AZ82" s="997">
        <f t="shared" si="308"/>
        <v>190.21833591642729</v>
      </c>
      <c r="BA82" s="997">
        <f t="shared" si="309"/>
        <v>149.89025925925927</v>
      </c>
      <c r="BB82" s="667">
        <f>+((AL82*AL$3)+(AZ$3*AZ82))/BB$3</f>
        <v>189.77963503566485</v>
      </c>
      <c r="BC82" s="667">
        <f>+((AM82*AM$3)+(BA$3*BA82))/BC$3</f>
        <v>136.4875457875458</v>
      </c>
      <c r="BD82" s="603">
        <f>+((AV82*AV$3)+(AX$3*AX82))/BD$3</f>
        <v>176.94240123765681</v>
      </c>
      <c r="BE82" s="603">
        <f>+((AW82*AW$3)+(AY$3*AY82))/BE$3</f>
        <v>151.5193515981735</v>
      </c>
      <c r="BF82" s="26"/>
      <c r="BG82" s="26"/>
      <c r="BH82" s="26"/>
      <c r="BI82" s="26"/>
      <c r="BJ82" s="26"/>
    </row>
    <row r="83" spans="1:68" ht="19.5" thickBot="1" x14ac:dyDescent="0.3">
      <c r="A83" s="149"/>
      <c r="B83" s="247" t="s">
        <v>2</v>
      </c>
      <c r="C83" s="206" t="s">
        <v>481</v>
      </c>
      <c r="D83" s="995">
        <f t="shared" ref="D83:I83" si="310">SUM(D81:D82)</f>
        <v>205.89321821470929</v>
      </c>
      <c r="E83" s="143">
        <f t="shared" si="310"/>
        <v>125.04133333333333</v>
      </c>
      <c r="F83" s="995">
        <f t="shared" ref="F83:G83" si="311">SUM(F81:F82)</f>
        <v>222.06159183714112</v>
      </c>
      <c r="G83" s="143">
        <f t="shared" si="311"/>
        <v>151.12935483870967</v>
      </c>
      <c r="H83" s="604">
        <f t="shared" si="310"/>
        <v>214.10993267856807</v>
      </c>
      <c r="I83" s="169">
        <f t="shared" si="310"/>
        <v>138.29918032786884</v>
      </c>
      <c r="J83" s="995">
        <f t="shared" ref="J83:K83" si="312">SUM(J81:J82)</f>
        <v>221.40889403625908</v>
      </c>
      <c r="K83" s="143">
        <f t="shared" si="312"/>
        <v>176.197</v>
      </c>
      <c r="L83" s="2262">
        <f t="shared" ref="L83:Q83" si="313">SUM(L81:L82)</f>
        <v>216.51618367560908</v>
      </c>
      <c r="M83" s="2328">
        <f t="shared" si="313"/>
        <v>150.79296703296703</v>
      </c>
      <c r="N83" s="995">
        <f t="shared" si="313"/>
        <v>223.12715750599511</v>
      </c>
      <c r="O83" s="143">
        <f t="shared" si="313"/>
        <v>186.72806451612902</v>
      </c>
      <c r="P83" s="604">
        <f t="shared" si="313"/>
        <v>218.19602128824818</v>
      </c>
      <c r="Q83" s="604">
        <f t="shared" si="313"/>
        <v>159.92401639344263</v>
      </c>
      <c r="R83" s="995">
        <f t="shared" ref="R83:S83" si="314">SUM(R81:R82)</f>
        <v>219.8461360006188</v>
      </c>
      <c r="S83" s="143">
        <f t="shared" si="314"/>
        <v>181.9174193548387</v>
      </c>
      <c r="T83" s="604">
        <f t="shared" ref="T83:W83" si="315">SUM(T81:T82)</f>
        <v>218.53035825611411</v>
      </c>
      <c r="U83" s="604">
        <f t="shared" si="315"/>
        <v>164.38019607843137</v>
      </c>
      <c r="V83" s="995">
        <f t="shared" si="315"/>
        <v>192.9646020689421</v>
      </c>
      <c r="W83" s="143">
        <f t="shared" si="315"/>
        <v>177.12199999999999</v>
      </c>
      <c r="X83" s="2262">
        <f t="shared" ref="X83:Y83" si="316">SUM(X81:X82)</f>
        <v>212.18598000840541</v>
      </c>
      <c r="Y83" s="2328">
        <f t="shared" si="316"/>
        <v>181.97467391304346</v>
      </c>
      <c r="Z83" s="2330">
        <f t="shared" ref="Z83:AE83" si="317">SUM(Z81:Z82)</f>
        <v>214.33925068444657</v>
      </c>
      <c r="AA83" s="519">
        <f t="shared" si="317"/>
        <v>166.46901639344262</v>
      </c>
      <c r="AB83" s="995">
        <f t="shared" si="317"/>
        <v>188.62614334697059</v>
      </c>
      <c r="AC83" s="143">
        <f t="shared" si="317"/>
        <v>132.27709677419355</v>
      </c>
      <c r="AD83" s="604">
        <f t="shared" si="317"/>
        <v>210.61445476172807</v>
      </c>
      <c r="AE83" s="604">
        <f t="shared" si="317"/>
        <v>161.5159813084112</v>
      </c>
      <c r="AF83" s="995">
        <f t="shared" ref="AF83:AI83" si="318">SUM(AF81:AF82)</f>
        <v>189.2366548386147</v>
      </c>
      <c r="AG83" s="143">
        <f t="shared" si="318"/>
        <v>69.044666666666672</v>
      </c>
      <c r="AH83" s="604">
        <f t="shared" si="318"/>
        <v>207.98603673839446</v>
      </c>
      <c r="AI83" s="604">
        <f t="shared" si="318"/>
        <v>150.14655737704916</v>
      </c>
      <c r="AJ83" s="995">
        <f t="shared" ref="AJ83:AK83" si="319">SUM(AJ81:AJ82)</f>
        <v>190.18494371283936</v>
      </c>
      <c r="AK83" s="143">
        <f t="shared" si="319"/>
        <v>167.0541935483871</v>
      </c>
      <c r="AL83" s="2262">
        <f t="shared" ref="AL83:AS83" si="320">SUM(AL81:AL82)</f>
        <v>189.35047113057118</v>
      </c>
      <c r="AM83" s="2328">
        <f t="shared" si="320"/>
        <v>123.37619565217392</v>
      </c>
      <c r="AN83" s="604">
        <f t="shared" si="320"/>
        <v>205.97936807005917</v>
      </c>
      <c r="AO83" s="604">
        <f t="shared" si="320"/>
        <v>152.05250909090907</v>
      </c>
      <c r="AP83" s="995">
        <f t="shared" si="320"/>
        <v>190.29772149061711</v>
      </c>
      <c r="AQ83" s="143">
        <f t="shared" si="320"/>
        <v>155.11559139784947</v>
      </c>
      <c r="AR83" s="604">
        <f t="shared" si="320"/>
        <v>204.39070452769741</v>
      </c>
      <c r="AS83" s="604">
        <f t="shared" si="320"/>
        <v>152.36282135076252</v>
      </c>
      <c r="AT83" s="995">
        <f t="shared" ref="AT83:AW83" si="321">SUM(AT81:AT82)</f>
        <v>191.47994271129102</v>
      </c>
      <c r="AU83" s="143">
        <f t="shared" si="321"/>
        <v>152.15</v>
      </c>
      <c r="AV83" s="604">
        <f t="shared" si="321"/>
        <v>203.30836521374715</v>
      </c>
      <c r="AW83" s="604">
        <f t="shared" si="321"/>
        <v>152.34498003992013</v>
      </c>
      <c r="AX83" s="995">
        <f t="shared" ref="AX83:AY83" si="322">SUM(AX81:AX82)</f>
        <v>188.99943452752183</v>
      </c>
      <c r="AY83" s="143">
        <f t="shared" si="322"/>
        <v>142.62387096774194</v>
      </c>
      <c r="AZ83" s="2262">
        <f t="shared" ref="AZ83:BE83" si="323">SUM(AZ81:AZ82)</f>
        <v>190.21833591642729</v>
      </c>
      <c r="BA83" s="2328">
        <f t="shared" si="323"/>
        <v>149.89025925925927</v>
      </c>
      <c r="BB83" s="2330">
        <f t="shared" si="323"/>
        <v>189.77963503566485</v>
      </c>
      <c r="BC83" s="519">
        <f t="shared" si="323"/>
        <v>136.4875457875458</v>
      </c>
      <c r="BD83" s="604">
        <f t="shared" si="323"/>
        <v>202.09308616916366</v>
      </c>
      <c r="BE83" s="604">
        <f t="shared" si="323"/>
        <v>151.5193515981735</v>
      </c>
      <c r="BF83" s="26"/>
      <c r="BG83" s="26"/>
      <c r="BH83" s="26"/>
      <c r="BI83" s="26"/>
      <c r="BJ83" s="26"/>
    </row>
    <row r="84" spans="1:68" x14ac:dyDescent="0.25">
      <c r="A84" s="149"/>
      <c r="B84" s="3212" t="s">
        <v>69</v>
      </c>
      <c r="C84" s="16" t="s">
        <v>301</v>
      </c>
      <c r="D84" s="362">
        <f>+EMD!D29/(EMD!D$3*24)</f>
        <v>13.932556311116757</v>
      </c>
      <c r="E84" s="362">
        <f>+EMD!E29/(EMD!E$3*24)</f>
        <v>13.135506914203756</v>
      </c>
      <c r="F84" s="362">
        <f>+EMD!F29/(EMD!F$3*24)</f>
        <v>13.668448660781573</v>
      </c>
      <c r="G84" s="362">
        <f>+EMD!G29/(EMD!G$3*24)</f>
        <v>13.67234010585174</v>
      </c>
      <c r="H84" s="98">
        <f>+EMD!H29/(EMD!H$3*24)</f>
        <v>13.798337669143139</v>
      </c>
      <c r="I84" s="98">
        <f>+EMD!I29/(EMD!I$3*24)</f>
        <v>13.408323782090434</v>
      </c>
      <c r="J84" s="362">
        <f>+EMD!J29/(EMD!J$3*24)</f>
        <v>13.60715924968606</v>
      </c>
      <c r="K84" s="362">
        <f>+EMD!K29/(EMD!K$3*24)</f>
        <v>13.459575738063657</v>
      </c>
      <c r="L84" s="1589">
        <f>+EMD!L29/(EMD!L$3*24)</f>
        <v>13.735311816574871</v>
      </c>
      <c r="M84" s="95">
        <f>+EMD!M29/(EMD!M$3*24)</f>
        <v>13.425220031312376</v>
      </c>
      <c r="N84" s="362">
        <f>+EMD!N29/(EMD!N$3*24)</f>
        <v>14.016350297389403</v>
      </c>
      <c r="O84" s="362">
        <f>+EMD!O29/(EMD!O$3*24)</f>
        <v>13.209585987070374</v>
      </c>
      <c r="P84" s="98">
        <f>+EMD!P29/(EMD!P$3*24)</f>
        <v>13.806723233831024</v>
      </c>
      <c r="Q84" s="98">
        <f>+EMD!Q29/(EMD!Q$3*24)</f>
        <v>13.370427774168917</v>
      </c>
      <c r="R84" s="362">
        <f>+EMD!R29/(EMD!R$3*24)</f>
        <v>14.009944971945608</v>
      </c>
      <c r="S84" s="362">
        <f>+EMD!S29/(EMD!S$3*24)</f>
        <v>12.749850001262205</v>
      </c>
      <c r="T84" s="98">
        <f>+EMD!T29/(EMD!T$3*24)</f>
        <v>13.847898880115679</v>
      </c>
      <c r="U84" s="98">
        <f>+EMD!U29/(EMD!U$3*24)</f>
        <v>13.244689794037493</v>
      </c>
      <c r="V84" s="362">
        <f>+EMD!V29/(EMD!V$3*24)</f>
        <v>16.249584213170632</v>
      </c>
      <c r="W84" s="362">
        <f>+EMD!W29/(EMD!W$3*24)</f>
        <v>13.468819444444444</v>
      </c>
      <c r="X84" s="1589">
        <f>+EMD!X29/(EMD!X$3*24)</f>
        <v>14.742420432005481</v>
      </c>
      <c r="Y84" s="95">
        <f>+EMD!Y29/(EMD!Y$3*24)</f>
        <v>13.13920759751786</v>
      </c>
      <c r="Z84" s="2331">
        <f>+EMD!Z29/(EMD!Z$3*24)</f>
        <v>14.241617787173867</v>
      </c>
      <c r="AA84" s="475">
        <f>+EMD!AA29/(EMD!AA$3*24)</f>
        <v>13.281432359677975</v>
      </c>
      <c r="AB84" s="362">
        <f>+EMD!AB29/(EMD!AB$3*24)</f>
        <v>14.241616360697778</v>
      </c>
      <c r="AC84" s="362">
        <f>+EMD!AC29/(EMD!AC$3*24)</f>
        <v>13.153857526881717</v>
      </c>
      <c r="AD84" s="98">
        <f>+EMD!AD29/(EMD!AD$3*24)</f>
        <v>14.241617580534808</v>
      </c>
      <c r="AE84" s="98">
        <f>+EMD!AE29/(EMD!AE$3*24)</f>
        <v>13.262951893244873</v>
      </c>
      <c r="AF84" s="362">
        <f>+EMD!AF29/(EMD!AF$3*24)</f>
        <v>14.214125591788585</v>
      </c>
      <c r="AG84" s="362">
        <f>+EMD!AG29/(EMD!AG$3*24)</f>
        <v>8.7542083333333345</v>
      </c>
      <c r="AH84" s="98">
        <f>+EMD!AH29/(EMD!AH$3*24)</f>
        <v>14.238237417984044</v>
      </c>
      <c r="AI84" s="98">
        <f>+EMD!AI29/(EMD!AI$3*24)</f>
        <v>12.708598176862306</v>
      </c>
      <c r="AJ84" s="362">
        <f>+EMD!AJ29/(EMD!AJ$3*24)</f>
        <v>14.241616360697778</v>
      </c>
      <c r="AK84" s="362">
        <f>+EMD!AK29/(EMD!AK$3*24)</f>
        <v>15.220969277327148</v>
      </c>
      <c r="AL84" s="1589">
        <f>+EMD!AL29/(EMD!AL$3*24)</f>
        <v>14.232651979531738</v>
      </c>
      <c r="AM84" s="95">
        <f>+EMD!AM29/(EMD!AM$3*24)</f>
        <v>12.415716097070378</v>
      </c>
      <c r="AN84" s="98">
        <f>+EMD!AN29/(EMD!AN$3*24)</f>
        <v>14.238618316980865</v>
      </c>
      <c r="AO84" s="98">
        <f>+EMD!AO29/(EMD!AO$3*24)</f>
        <v>12.991810919096524</v>
      </c>
      <c r="AP84" s="362">
        <f>+EMD!AP29/(EMD!AP$3*24)</f>
        <v>14.241616360697778</v>
      </c>
      <c r="AQ84" s="362">
        <f>+EMD!AQ29/(EMD!AQ$3*24)</f>
        <v>14.394798387096774</v>
      </c>
      <c r="AR84" s="98">
        <f>+EMD!AR29/(EMD!AR$3*24)</f>
        <v>14.238922040363951</v>
      </c>
      <c r="AS84" s="98">
        <f>+EMD!AS29/(EMD!AS$3*24)</f>
        <v>13.133943636442954</v>
      </c>
      <c r="AT84" s="362">
        <f>+EMD!AT29/(EMD!AT$3*24)</f>
        <v>14.276955275508111</v>
      </c>
      <c r="AU84" s="362">
        <f>+EMD!AU29/(EMD!AU$3*24)</f>
        <v>13.919455642716425</v>
      </c>
      <c r="AV84" s="98">
        <f>+EMD!AV29/(EMD!AV$3*24)</f>
        <v>14.242110455286216</v>
      </c>
      <c r="AW84" s="98">
        <f>+EMD!AW29/(EMD!AW$3*24)</f>
        <v>13.199794942358094</v>
      </c>
      <c r="AX84" s="362">
        <f>+EMD!AX29/(EMD!AX$3*24)</f>
        <v>14.241616360697778</v>
      </c>
      <c r="AY84" s="362">
        <f>+EMD!AY29/(EMD!AY$3*24)</f>
        <v>13.631605356628043</v>
      </c>
      <c r="AZ84" s="383">
        <f>+EMD!AZ29/(EMD!AZ$3*24)</f>
        <v>14.252610689749883</v>
      </c>
      <c r="BA84" s="2329">
        <f>+EMD!BA29/(EMD!BA$3*24)</f>
        <v>13.984036378350325</v>
      </c>
      <c r="BB84" s="2331">
        <f>+EMD!BB29/(EMD!BB$3*24)</f>
        <v>14.242521671397853</v>
      </c>
      <c r="BC84" s="475">
        <f>+EMD!BC29/(EMD!BC$3*24)</f>
        <v>13.191259093307714</v>
      </c>
      <c r="BD84" s="98">
        <f>+EMD!BD29/(EMD!BD$3*24)</f>
        <v>14.242068491088293</v>
      </c>
      <c r="BE84" s="98">
        <f>+EMD!BE29/(EMD!BE$3*24)</f>
        <v>13.236469251515269</v>
      </c>
      <c r="BF84" s="26"/>
      <c r="BG84" s="26"/>
      <c r="BH84" s="26"/>
      <c r="BI84" s="26"/>
      <c r="BJ84" s="26"/>
    </row>
    <row r="85" spans="1:68" x14ac:dyDescent="0.25">
      <c r="A85" s="149"/>
      <c r="B85" s="9" t="s">
        <v>1895</v>
      </c>
      <c r="C85" s="16" t="s">
        <v>301</v>
      </c>
      <c r="D85" s="362">
        <f>EMD!D63/(EMD!D$3*24)</f>
        <v>179.15559169862769</v>
      </c>
      <c r="E85" s="362">
        <f>EMD!E63/(EMD!E$3*24)</f>
        <v>162.94527777777779</v>
      </c>
      <c r="F85" s="362">
        <f>EMD!F63/(EMD!F$3*24)</f>
        <v>175.50149435661794</v>
      </c>
      <c r="G85" s="362">
        <f>EMD!G63/(EMD!G$3*24)</f>
        <v>177.4697580645161</v>
      </c>
      <c r="H85" s="98">
        <f>EMD!H63/(EMD!H$3*24)</f>
        <v>177.29859141006537</v>
      </c>
      <c r="I85" s="98">
        <f>EMD!I63/(EMD!I$3*24)</f>
        <v>170.32657103825136</v>
      </c>
      <c r="J85" s="362">
        <f>EMD!J63/(EMD!J$3*24)</f>
        <v>174.42701023795351</v>
      </c>
      <c r="K85" s="362">
        <f>EMD!K63/(EMD!K$3*24)</f>
        <v>185.34583333333322</v>
      </c>
      <c r="L85" s="383">
        <f>EMD!L63/(EMD!L$3*24)</f>
        <v>176.35191629838013</v>
      </c>
      <c r="M85" s="2329">
        <f>EMD!M63/(EMD!M$3*24)</f>
        <v>175.27797619047612</v>
      </c>
      <c r="N85" s="362">
        <f>EMD!N63/(EMD!N$3*24)</f>
        <v>175.63226539998277</v>
      </c>
      <c r="O85" s="362">
        <f>EMD!O63/(EMD!O$3*24)</f>
        <v>189.48521505376345</v>
      </c>
      <c r="P85" s="98">
        <f>EMD!P63/(EMD!P$3*24)</f>
        <v>176.16905418485294</v>
      </c>
      <c r="Q85" s="98">
        <f>EMD!Q63/(EMD!Q$3*24)</f>
        <v>178.88801229508192</v>
      </c>
      <c r="R85" s="362">
        <f>EMD!R63/(EMD!R$3*24)</f>
        <v>172.30081378707962</v>
      </c>
      <c r="S85" s="362">
        <f>EMD!S63/(EMD!S$3*24)</f>
        <v>183.62096774193549</v>
      </c>
      <c r="T85" s="98">
        <f>EMD!T63/(EMD!T$3*24)</f>
        <v>175.38529305850673</v>
      </c>
      <c r="U85" s="98">
        <f>EMD!U63/(EMD!U$3*24)</f>
        <v>179.84697712418296</v>
      </c>
      <c r="V85" s="362">
        <f>EMD!V63/(EMD!V$3*24)</f>
        <v>94.401878197540327</v>
      </c>
      <c r="W85" s="362">
        <f>EMD!W63/(EMD!W$3*24)</f>
        <v>187.52361111111111</v>
      </c>
      <c r="X85" s="383">
        <f>EMD!X63/(EMD!X$3*24)</f>
        <v>148.02154131222983</v>
      </c>
      <c r="Y85" s="2329">
        <f>EMD!Y63/(EMD!Y$3*24)</f>
        <v>186.86956521739131</v>
      </c>
      <c r="Z85" s="2331">
        <f>EMD!Z63/(EMD!Z$3*24)</f>
        <v>162.10932340916796</v>
      </c>
      <c r="AA85" s="475">
        <f>EMD!AA63/(EMD!AA$3*24)</f>
        <v>181.10544171220397</v>
      </c>
      <c r="AB85" s="362">
        <f>EMD!AB63/(EMD!AB$3*24)</f>
        <v>162.78113333700998</v>
      </c>
      <c r="AC85" s="362">
        <f>EMD!AC63/(EMD!AC$3*24)</f>
        <v>171.43829423264899</v>
      </c>
      <c r="AD85" s="98">
        <f>EMD!AD63/(EMD!AD$3*24)</f>
        <v>162.20664166974322</v>
      </c>
      <c r="AE85" s="98">
        <f>EMD!AE63/(EMD!AE$3*24)</f>
        <v>179.70506053525909</v>
      </c>
      <c r="AF85" s="362">
        <f>EMD!AF63/(EMD!AF$3*24)</f>
        <v>162.87344178310997</v>
      </c>
      <c r="AG85" s="362">
        <f>EMD!AG63/(EMD!AG$3*24)</f>
        <v>7.8972222222222346</v>
      </c>
      <c r="AH85" s="98">
        <f>EMD!AH63/(EMD!AH$3*24)</f>
        <v>162.28862529023914</v>
      </c>
      <c r="AI85" s="98">
        <f>EMD!AI63/(EMD!AI$3*24)</f>
        <v>158.58114598857424</v>
      </c>
      <c r="AJ85" s="362">
        <f>EMD!AJ63/(EMD!AJ$3*24)</f>
        <v>162.78113333700998</v>
      </c>
      <c r="AK85" s="362">
        <f>EMD!AK63/(EMD!AK$3*24)</f>
        <v>180.75940860215053</v>
      </c>
      <c r="AL85" s="383">
        <f>EMD!AL63/(EMD!AL$3*24)</f>
        <v>162.81123391725998</v>
      </c>
      <c r="AM85" s="2329">
        <f>EMD!AM63/(EMD!AM$3*24)</f>
        <v>121.25049407114621</v>
      </c>
      <c r="AN85" s="98">
        <f>EMD!AN63/(EMD!AN$3*24)</f>
        <v>162.34414437914785</v>
      </c>
      <c r="AO85" s="98">
        <f>EMD!AO63/(EMD!AO$3*24)</f>
        <v>161.08124104683193</v>
      </c>
      <c r="AP85" s="362">
        <f>EMD!AP63/(EMD!AP$3*24)</f>
        <v>162.78113333700998</v>
      </c>
      <c r="AQ85" s="362">
        <f>EMD!AQ63/(EMD!AQ$3*24)</f>
        <v>175.93010752688173</v>
      </c>
      <c r="AR85" s="98">
        <f>EMD!AR63/(EMD!AR$3*24)</f>
        <v>162.38841450232997</v>
      </c>
      <c r="AS85" s="98">
        <f>EMD!AS63/(EMD!AS$3*24)</f>
        <v>162.58553797781735</v>
      </c>
      <c r="AT85" s="362">
        <f>EMD!AT63/(EMD!AT$3*24)</f>
        <v>162.10367314809733</v>
      </c>
      <c r="AU85" s="362">
        <f>EMD!AU63/(EMD!AU$3*24)</f>
        <v>176.8333333333332</v>
      </c>
      <c r="AV85" s="98">
        <f>EMD!AV63/(EMD!AV$3*24)</f>
        <v>162.36454396963978</v>
      </c>
      <c r="AW85" s="98">
        <f>EMD!AW63/(EMD!AW$3*24)</f>
        <v>163.77996393576481</v>
      </c>
      <c r="AX85" s="362">
        <f>EMD!AX63/(EMD!AX$3*24)</f>
        <v>162.01206604515403</v>
      </c>
      <c r="AY85" s="362">
        <f>EMD!AY63/(EMD!AY$3*24)</f>
        <v>179.48118279569886</v>
      </c>
      <c r="AZ85" s="383">
        <f>EMD!AZ63/(EMD!AZ$3*24)</f>
        <v>162.30546698882011</v>
      </c>
      <c r="BA85" s="2329">
        <f>EMD!BA63/(EMD!BA$3*24)</f>
        <v>177.43425925925919</v>
      </c>
      <c r="BB85" s="2331">
        <f>EMD!BB63/(EMD!BB$3*24)</f>
        <v>162.56112939220728</v>
      </c>
      <c r="BC85" s="475">
        <f>EMD!BC63/(EMD!BC$3*24)</f>
        <v>149.03367465867461</v>
      </c>
      <c r="BD85" s="98">
        <f>EMD!BD63/(EMD!BD$3*24)</f>
        <v>162.33460748838206</v>
      </c>
      <c r="BE85" s="98">
        <f>EMD!BE63/(EMD!BE$3*24)</f>
        <v>165.11349211290988</v>
      </c>
      <c r="BF85" s="26"/>
      <c r="BG85" s="26"/>
      <c r="BH85" s="26"/>
      <c r="BI85" s="26"/>
      <c r="BJ85" s="26"/>
      <c r="BP85">
        <v>11</v>
      </c>
    </row>
    <row r="86" spans="1:68" x14ac:dyDescent="0.25">
      <c r="A86" s="149"/>
      <c r="B86" s="9" t="s">
        <v>464</v>
      </c>
      <c r="C86" s="16" t="s">
        <v>301</v>
      </c>
      <c r="D86" s="362">
        <f>EMD!D85/(EMD!D$3*24)</f>
        <v>9.2592067988668578</v>
      </c>
      <c r="E86" s="362">
        <f>EMD!E85/(EMD!E$3*24)</f>
        <v>7.1967833333333324</v>
      </c>
      <c r="F86" s="362">
        <f>EMD!F85/(EMD!F$3*24)</f>
        <v>16.731030491333879</v>
      </c>
      <c r="G86" s="362">
        <f>EMD!G85/(EMD!G$3*24)</f>
        <v>6.0047903225806456</v>
      </c>
      <c r="H86" s="98">
        <f>EMD!H85/(EMD!H$3*24)</f>
        <v>13.056363101596</v>
      </c>
      <c r="I86" s="98">
        <f>EMD!I85/(EMD!I$3*24)</f>
        <v>6.5910163934426222</v>
      </c>
      <c r="J86" s="362">
        <f>EMD!J85/(EMD!J$3*24)</f>
        <v>16.75920679886686</v>
      </c>
      <c r="K86" s="362">
        <f>EMD!K85/(EMD!K$3*24)</f>
        <v>9.3086263888888876</v>
      </c>
      <c r="L86" s="383">
        <f>EMD!L85/(EMD!L$3*24)</f>
        <v>14.277080803992986</v>
      </c>
      <c r="M86" s="2329">
        <f>EMD!M85/(EMD!M$3*24)</f>
        <v>7.4869317765567764</v>
      </c>
      <c r="N86" s="362">
        <f>EMD!N85/(EMD!N$3*24)</f>
        <v>16.350269578726124</v>
      </c>
      <c r="O86" s="362">
        <f>EMD!O85/(EMD!O$3*24)</f>
        <v>7.1327741935483866</v>
      </c>
      <c r="P86" s="98">
        <f>EMD!P85/(EMD!P$3*24)</f>
        <v>14.803874672982554</v>
      </c>
      <c r="Q86" s="98">
        <f>EMD!Q85/(EMD!Q$3*24)</f>
        <v>7.3969409153005463</v>
      </c>
      <c r="R86" s="362">
        <f>EMD!R85/(EMD!R$3*24)</f>
        <v>16.350269578726124</v>
      </c>
      <c r="S86" s="362">
        <f>EMD!S85/(EMD!S$3*24)</f>
        <v>2.7147522225794392</v>
      </c>
      <c r="T86" s="98">
        <f>EMD!T85/(EMD!T$3*24)</f>
        <v>15.117196516629946</v>
      </c>
      <c r="U86" s="98">
        <f>EMD!U85/(EMD!U$3*24)</f>
        <v>6.4482621605662045</v>
      </c>
      <c r="V86" s="362">
        <f>EMD!V85/(EMD!V$3*24)</f>
        <v>10.49338999055713</v>
      </c>
      <c r="W86" s="362">
        <f>EMD!W85/(EMD!W$3*24)</f>
        <v>0.81486111111111115</v>
      </c>
      <c r="X86" s="383">
        <f>EMD!X85/(EMD!X$3*24)</f>
        <v>14.4404175391058</v>
      </c>
      <c r="Y86" s="2329">
        <f>EMD!Y85/(EMD!Y$3*24)</f>
        <v>3.5839038286227818</v>
      </c>
      <c r="Z86" s="2331">
        <f>EMD!Z85/(EMD!Z$3*24)</f>
        <v>14.359195446781941</v>
      </c>
      <c r="AA86" s="475">
        <f>EMD!AA85/(EMD!AA$3*24)</f>
        <v>5.5247537918030742</v>
      </c>
      <c r="AB86" s="362">
        <f>EMD!AB85/(EMD!AB$3*24)</f>
        <v>18.991174680462571</v>
      </c>
      <c r="AC86" s="362">
        <f>EMD!AC85/(EMD!AC$3*24)</f>
        <v>8.6701459543010753</v>
      </c>
      <c r="AD86" s="98">
        <f>EMD!AD85/(EMD!AD$3*24)</f>
        <v>15.030183092782407</v>
      </c>
      <c r="AE86" s="98">
        <f>EMD!AE85/(EMD!AE$3*24)</f>
        <v>5.9803947125387662</v>
      </c>
      <c r="AF86" s="362">
        <f>EMD!AF85/(EMD!AF$3*24)</f>
        <v>18.995283018867926</v>
      </c>
      <c r="AG86" s="362">
        <f>EMD!AG85/(EMD!AG$3*24)</f>
        <v>0.15431388888888889</v>
      </c>
      <c r="AH86" s="98">
        <f>EMD!AH85/(EMD!AH$3*24)</f>
        <v>15.517695378776528</v>
      </c>
      <c r="AI86" s="98">
        <f>EMD!AI85/(EMD!AI$3*24)</f>
        <v>5.2640732997949282</v>
      </c>
      <c r="AJ86" s="362">
        <f>EMD!AJ85/(EMD!AJ$3*24)</f>
        <v>18.991174680462571</v>
      </c>
      <c r="AK86" s="362">
        <f>EMD!AK85/(EMD!AK$3*24)</f>
        <v>14.613606182795703</v>
      </c>
      <c r="AL86" s="383">
        <f>EMD!AL85/(EMD!AL$3*24)</f>
        <v>18.992514356029531</v>
      </c>
      <c r="AM86" s="2329">
        <f>EMD!AM85/(EMD!AM$3*24)</f>
        <v>7.8959318795289857</v>
      </c>
      <c r="AN86" s="98">
        <f>EMD!AN85/(EMD!AN$3*24)</f>
        <v>15.909251227330229</v>
      </c>
      <c r="AO86" s="98">
        <f>EMD!AO85/(EMD!AO$3*24)</f>
        <v>6.3180206429695618</v>
      </c>
      <c r="AP86" s="362">
        <f>EMD!AP85/(EMD!AP$3*24)</f>
        <v>18.991174680462571</v>
      </c>
      <c r="AQ86" s="362">
        <f>EMD!AQ85/(EMD!AQ$3*24)</f>
        <v>13.012365591397851</v>
      </c>
      <c r="AR86" s="98">
        <f>EMD!AR85/(EMD!AR$3*24)</f>
        <v>16.221472230752134</v>
      </c>
      <c r="AS86" s="98">
        <f>EMD!AS85/(EMD!AS$3*24)</f>
        <v>6.9962059155227534</v>
      </c>
      <c r="AT86" s="362">
        <f>EMD!AT85/(EMD!AT$3*24)</f>
        <v>18.920148247978439</v>
      </c>
      <c r="AU86" s="362">
        <f>EMD!AU85/(EMD!AU$3*24)</f>
        <v>10.423392857142856</v>
      </c>
      <c r="AV86" s="98">
        <f>EMD!AV85/(EMD!AV$3*24)</f>
        <v>16.447708543573498</v>
      </c>
      <c r="AW86" s="98">
        <f>EMD!AW85/(EMD!AW$3*24)</f>
        <v>7.2835150004489897</v>
      </c>
      <c r="AX86" s="362">
        <f>EMD!AX85/(EMD!AX$3*24)</f>
        <v>18.991174680462571</v>
      </c>
      <c r="AY86" s="362">
        <f>EMD!AY85/(EMD!AY$3*24)</f>
        <v>13.234661290322578</v>
      </c>
      <c r="AZ86" s="383">
        <f>EMD!AZ85/(EMD!AZ$3*24)</f>
        <v>18.969077568134175</v>
      </c>
      <c r="BA86" s="2329">
        <f>EMD!BA85/(EMD!BA$3*24)</f>
        <v>12.283475925925925</v>
      </c>
      <c r="BB86" s="2331">
        <f>EMD!BB85/(EMD!BB$3*24)</f>
        <v>18.980924735641718</v>
      </c>
      <c r="BC86" s="475">
        <f>EMD!BC85/(EMD!BC$3*24)</f>
        <v>10.065596517857143</v>
      </c>
      <c r="BD86" s="98">
        <f>EMD!BD85/(EMD!BD$3*24)</f>
        <v>16.663728955199694</v>
      </c>
      <c r="BE86" s="98">
        <f>EMD!BE85/(EMD!BE$3*24)</f>
        <v>7.7889548223286642</v>
      </c>
      <c r="BF86" s="26"/>
      <c r="BG86" s="26"/>
      <c r="BH86" s="26"/>
      <c r="BI86" s="26"/>
      <c r="BJ86" s="26"/>
    </row>
    <row r="87" spans="1:68" x14ac:dyDescent="0.25">
      <c r="A87" s="149"/>
      <c r="B87" s="9" t="s">
        <v>105</v>
      </c>
      <c r="C87" s="13" t="s">
        <v>463</v>
      </c>
      <c r="D87" s="734">
        <f>EMD!D98/(EMD!D$3*24)</f>
        <v>0.10345663334377342</v>
      </c>
      <c r="E87" s="734">
        <f>EMD!E98/(EMD!E$3*24)</f>
        <v>0.82604546923575961</v>
      </c>
      <c r="F87" s="734">
        <f>EMD!F98/(EMD!F$3*24)</f>
        <v>0.55407779418634195</v>
      </c>
      <c r="G87" s="734">
        <f>EMD!G98/(EMD!G$3*24)</f>
        <v>0.39237824646191166</v>
      </c>
      <c r="H87" s="752">
        <f>EMD!H98/(EMD!H$3*24)</f>
        <v>0.33246082983753777</v>
      </c>
      <c r="I87" s="3213">
        <f>EMD!I98/(EMD!I$3*24)</f>
        <v>0.60565720848183691</v>
      </c>
      <c r="J87" s="734">
        <f>EMD!J98/(EMD!J$3*24)</f>
        <v>0.63203809401793165</v>
      </c>
      <c r="K87" s="734">
        <f>EMD!K98/(EMD!K$3*24)</f>
        <v>0.18054556962336044</v>
      </c>
      <c r="L87" s="383">
        <f>EMD!L98/(EMD!L$3*24)</f>
        <v>0.43122256528162373</v>
      </c>
      <c r="M87" s="2329">
        <f>EMD!M98/(EMD!M$3*24)</f>
        <v>0.46551051435266882</v>
      </c>
      <c r="N87" s="734">
        <f>EMD!N98/(EMD!N$3*24)</f>
        <v>0.56053191340348529</v>
      </c>
      <c r="O87" s="734">
        <f>EMD!O98/(EMD!O$3*24)</f>
        <v>2.7382760462842957E-2</v>
      </c>
      <c r="P87" s="752">
        <f>EMD!P98/(EMD!P$3*24)</f>
        <v>0.46407985865685086</v>
      </c>
      <c r="Q87" s="752">
        <f>EMD!Q98/(EMD!Q$3*24)</f>
        <v>0.3541829703314836</v>
      </c>
      <c r="R87" s="734">
        <f>EMD!R98/(EMD!R$3*24)</f>
        <v>0.56053191340348529</v>
      </c>
      <c r="S87" s="734">
        <f>EMD!S98/(EMD!S$3*24)</f>
        <v>0.44465578125963956</v>
      </c>
      <c r="T87" s="752">
        <f>EMD!T98/(EMD!T$3*24)</f>
        <v>0.48362243184080944</v>
      </c>
      <c r="U87" s="752">
        <f>EMD!U98/(EMD!U$3*24)</f>
        <v>0.37251406274176357</v>
      </c>
      <c r="V87" s="734">
        <f>EMD!V98/(EMD!V$3*24)</f>
        <v>2.7665566724346125</v>
      </c>
      <c r="W87" s="734">
        <f>EMD!W98/(EMD!W$3*24)</f>
        <v>0.25999166666666668</v>
      </c>
      <c r="X87" s="383">
        <f>EMD!X98/(EMD!X$3*24)</f>
        <v>1.2798878130875484</v>
      </c>
      <c r="Y87" s="2329">
        <f>EMD!Y98/(EMD!Y$3*24)</f>
        <v>0.2438363564499669</v>
      </c>
      <c r="Z87" s="2332">
        <f>EMD!Z98/(EMD!Z$3*24)</f>
        <v>0.85787394669225259</v>
      </c>
      <c r="AA87" s="753">
        <f>EMD!AA98/(EMD!AA$3*24)</f>
        <v>0.35406776830322312</v>
      </c>
      <c r="AB87" s="734">
        <f>EMD!AB98/(EMD!AB$3*24)</f>
        <v>0.88563296291688876</v>
      </c>
      <c r="AC87" s="734">
        <f>EMD!AC98/(EMD!AC$3*24)</f>
        <v>0.6185838787301905</v>
      </c>
      <c r="AD87" s="752">
        <f>EMD!AD98/(EMD!AD$3*24)</f>
        <v>0.86189511259395213</v>
      </c>
      <c r="AE87" s="752">
        <f>EMD!AE98/(EMD!AE$3*24)</f>
        <v>0.39238552261741</v>
      </c>
      <c r="AF87" s="734">
        <f>EMD!AF98/(EMD!AF$3*24)</f>
        <v>0.89394197897679284</v>
      </c>
      <c r="AG87" s="734">
        <f>EMD!AG98/(EMD!AG$3*24)</f>
        <v>3.8436383255874462</v>
      </c>
      <c r="AH87" s="752">
        <f>EMD!AH98/(EMD!AH$3*24)</f>
        <v>0.8658353010836457</v>
      </c>
      <c r="AI87" s="752">
        <f>EMD!AI98/(EMD!AI$3*24)</f>
        <v>0.81671988363831605</v>
      </c>
      <c r="AJ87" s="734">
        <f>EMD!AJ98/(EMD!AJ$3*24)</f>
        <v>0.88563296291688876</v>
      </c>
      <c r="AK87" s="734">
        <f>EMD!AK98/(EMD!AK$3*24)</f>
        <v>0.5024870252091298</v>
      </c>
      <c r="AL87" s="383">
        <f>EMD!AL98/(EMD!AL$3*24)</f>
        <v>0.88834242467555302</v>
      </c>
      <c r="AM87" s="2329">
        <f>EMD!AM98/(EMD!AM$3*24)</f>
        <v>1.6311124759754601</v>
      </c>
      <c r="AN87" s="98">
        <f>EMD!AN98/(EMD!AN$3*24)</f>
        <v>0.86806703750848402</v>
      </c>
      <c r="AO87" s="98">
        <f>EMD!AO98/(EMD!AO$3*24)</f>
        <v>0.78129727050629882</v>
      </c>
      <c r="AP87" s="734">
        <f>EMD!AP98/(EMD!AP$3*24)</f>
        <v>0.88563296291688876</v>
      </c>
      <c r="AQ87" s="734">
        <f>EMD!AQ98/(EMD!AQ$3*24)</f>
        <v>0.22023118279569892</v>
      </c>
      <c r="AR87" s="752">
        <f>EMD!AR98/(EMD!AR$3*24)</f>
        <v>0.86984659204332249</v>
      </c>
      <c r="AS87" s="752">
        <f>EMD!AS98/(EMD!AS$3*24)</f>
        <v>0.72445724201274131</v>
      </c>
      <c r="AT87" s="734">
        <f>EMD!AT98/(EMD!AT$3*24)</f>
        <v>0.93243031209426708</v>
      </c>
      <c r="AU87" s="734">
        <f>EMD!AU98/(EMD!AU$3*24)</f>
        <v>0.1715935278408286</v>
      </c>
      <c r="AV87" s="752">
        <f>EMD!AV98/(EMD!AV$3*24)</f>
        <v>0.87509313144879086</v>
      </c>
      <c r="AW87" s="752">
        <f>EMD!AW98/(EMD!AW$3*24)</f>
        <v>0.67810938573485635</v>
      </c>
      <c r="AX87" s="734">
        <f>EMD!AX98/(EMD!AX$3*24)</f>
        <v>0.66807699026574507</v>
      </c>
      <c r="AY87" s="734">
        <f>EMD!AY98/(EMD!AY$3*24)</f>
        <v>0.12676307843074683</v>
      </c>
      <c r="AZ87" s="383">
        <f>EMD!AZ98/(EMD!AZ$3*24)</f>
        <v>0.82525619208112366</v>
      </c>
      <c r="BA87" s="2329">
        <f>EMD!BA98/(EMD!BA$3*24)</f>
        <v>0.17290489863958911</v>
      </c>
      <c r="BB87" s="2331">
        <f>EMD!BB98/(EMD!BB$3*24)</f>
        <v>0.85714593602995603</v>
      </c>
      <c r="BC87" s="475">
        <f>EMD!BC98/(EMD!BC$3*24)</f>
        <v>0.91002081685332614</v>
      </c>
      <c r="BD87" s="98">
        <f>EMD!BD98/(EMD!BD$3*24)</f>
        <v>0.85751093863598427</v>
      </c>
      <c r="BE87" s="98">
        <f>EMD!BE98/(EMD!BE$3*24)</f>
        <v>0.63128271305971284</v>
      </c>
      <c r="BF87" s="26"/>
      <c r="BG87" s="26"/>
      <c r="BH87" s="26"/>
      <c r="BI87" s="26"/>
      <c r="BJ87" s="26"/>
    </row>
    <row r="88" spans="1:68" x14ac:dyDescent="0.25">
      <c r="A88" s="149"/>
      <c r="B88" s="2984" t="s">
        <v>408</v>
      </c>
      <c r="C88" s="18" t="s">
        <v>406</v>
      </c>
      <c r="D88" s="155">
        <v>8000</v>
      </c>
      <c r="E88" s="181">
        <v>8036.5</v>
      </c>
      <c r="F88" s="155">
        <v>8000</v>
      </c>
      <c r="G88" s="181">
        <v>8037.7</v>
      </c>
      <c r="H88" s="2648">
        <f>+((D88*(D87*D3*24))+(F88*(F87*24*F3)))/(H87*24*H3)</f>
        <v>7999.9999999999991</v>
      </c>
      <c r="I88" s="39">
        <f>+((E88*(E87*E3*24))+(G88*(G87*24*G3)))/(I87*24*I3)</f>
        <v>8036.8950855412713</v>
      </c>
      <c r="J88" s="155">
        <v>8000</v>
      </c>
      <c r="K88" s="181">
        <v>8037.7</v>
      </c>
      <c r="L88" s="72">
        <f>+((H88*(H87*H3*24))+(J88*(J87*24*J3)))/(L87*24*L3)</f>
        <v>7999.9999999999982</v>
      </c>
      <c r="M88" s="69">
        <f>+((E88*(E87*E3*24))+(G88*(G87*G3*24))+(K88*(K87*24*K3)))/(M87*24*M3)</f>
        <v>8036.9980024972065</v>
      </c>
      <c r="N88" s="155">
        <v>8000</v>
      </c>
      <c r="O88" s="181">
        <v>8032.4</v>
      </c>
      <c r="P88" s="782">
        <f>+((L88*(L87*L3*24))+(N88*(N87*24*N3)))/(P87*24*P3)</f>
        <v>7999.9999999999982</v>
      </c>
      <c r="Q88" s="782">
        <f>+((M88*(M87*M3*24))+(O88*(O87*24*O3)))/(Q87*24*Q3)</f>
        <v>8036.9076748667776</v>
      </c>
      <c r="R88" s="155">
        <v>8000</v>
      </c>
      <c r="S88" s="181">
        <v>8031.9</v>
      </c>
      <c r="T88" s="782">
        <f>+((P88*(P87*P3*24))+(R88*(R87*24*R3)))/(T87*24*T3)</f>
        <v>7999.9999999999982</v>
      </c>
      <c r="U88" s="782">
        <f>+((Q88*(Q87*Q3*24))+(S88*(S87*24*S3)))/(U87*24*U3)</f>
        <v>8035.6965535238351</v>
      </c>
      <c r="V88" s="155">
        <v>8000</v>
      </c>
      <c r="W88" s="181">
        <v>8032</v>
      </c>
      <c r="X88" s="72">
        <f>+((N88*(N87*N3*24))+(R88*(R87*R3*24))+(V88*(V87*24*V3)))/(X87*24*X3)</f>
        <v>8000.0000000000009</v>
      </c>
      <c r="Y88" s="69">
        <f>+((O88*(O87*O3*24))+(S88*(S87*S3*24))+(W88*(W87*24*W3)))/(Y87*24*Y3)</f>
        <v>8031.9536892413498</v>
      </c>
      <c r="Z88" s="787">
        <v>8000</v>
      </c>
      <c r="AA88" s="501">
        <f>+((M88*(M87*M3*24))+(Y88*(Y87*24*Y3)))/(AA87*24*AA3)</f>
        <v>8035.251573824421</v>
      </c>
      <c r="AB88" s="155">
        <v>8000</v>
      </c>
      <c r="AC88" s="181">
        <v>8027.5</v>
      </c>
      <c r="AD88" s="782">
        <f>+((Z88*(Z87*Z3*24))+(AB88*(AB87*24*AB3)))/(AD87*24*AD3)</f>
        <v>8000.0000000000018</v>
      </c>
      <c r="AE88" s="782">
        <f>+((AA88*(AA87*AA3*24))+(AC88*(AC87*24*AC3)))/(AE87*24*AE3)</f>
        <v>8033.4813693666347</v>
      </c>
      <c r="AF88" s="155">
        <v>8000</v>
      </c>
      <c r="AG88" s="181">
        <v>8028</v>
      </c>
      <c r="AH88" s="782">
        <f>+((AD88*(AD87*AD3*24))+(AF88*(AF87*24*AF3)))/(AH87*24*AH3)</f>
        <v>8000.0000000000018</v>
      </c>
      <c r="AI88" s="782">
        <f>+((AE88*(AE87*AE3*24))+(AG88*(AG87*24*AG3)))/(AI87*24*AI3)</f>
        <v>8030.3096855738868</v>
      </c>
      <c r="AJ88" s="155">
        <v>8000</v>
      </c>
      <c r="AK88" s="181">
        <v>8034.3</v>
      </c>
      <c r="AL88" s="72">
        <f>+((AB88*(AB87*AB3*24))+(AF88*(AF87*AF3*24))+(AJ88*(AJ87*24*AJ3)))/(AL87*24*AL3)</f>
        <v>8000.0000000000018</v>
      </c>
      <c r="AM88" s="69">
        <f>+((AC88*(AC87*AC3*24))+(AG88*(AG87*AG3*24))+(AK88*(AK87*24*AK3)))/(AM87*24*AM3)</f>
        <v>8028.5900725079082</v>
      </c>
      <c r="AN88" s="782">
        <f>+((AH88*(AH87*AH3*24))+(AJ88*(AJ87*24*AJ3)))/(AN87*24*AN3)</f>
        <v>8000.0000000000027</v>
      </c>
      <c r="AO88" s="782">
        <f>+((AI88*(AI87*AI3*24))+(AK88*(AK87*24*AK3)))/(AO87*24*AO3)</f>
        <v>8030.5989830624258</v>
      </c>
      <c r="AP88" s="155">
        <v>8000</v>
      </c>
      <c r="AQ88" s="181">
        <v>8031.9</v>
      </c>
      <c r="AR88" s="782">
        <f>+((AN88*(AN87*AN3*24))+(AP88*(AP87*24*AP3)))/(AR87*24*AR3)</f>
        <v>8000.0000000000018</v>
      </c>
      <c r="AS88" s="782">
        <f>+((AO88*(AO87*AO3*24))+(AQ88*(AQ87*24*AQ3)))/(AS87*24*AS3)</f>
        <v>8030.6390502879922</v>
      </c>
      <c r="AT88" s="155">
        <v>8000</v>
      </c>
      <c r="AU88" s="181">
        <v>8028.8</v>
      </c>
      <c r="AV88" s="782">
        <f>+((AR88*(AR87*AR3*24))+(AT88*(AT87*24*AT3)))/(AV87*24*AV3)</f>
        <v>8000.0000000000036</v>
      </c>
      <c r="AW88" s="782">
        <f>+((AS88*(AS87*AS3*24))+(AU88*(AU87*24*AU3)))/(AW87*24*AW3)</f>
        <v>8030.6000375602325</v>
      </c>
      <c r="AX88" s="155">
        <v>8000</v>
      </c>
      <c r="AY88" s="181">
        <v>8032.5</v>
      </c>
      <c r="AZ88" s="72">
        <f>+((AP88*(AP87*AP3*24))+(AT88*(AT87*AT3*24))+(AX88*(AX87*24*AX3)))/(AZ87*24*AZ3)</f>
        <v>8000</v>
      </c>
      <c r="BA88" s="69">
        <f>+((AQ88*(AQ87*AQ3*24))+(AU88*(AU87*AU3*24))+(AY88*(AY87*24*AY3)))/(BA87*24*BA3)</f>
        <v>8031.0943853363979</v>
      </c>
      <c r="BB88" s="787">
        <v>8000</v>
      </c>
      <c r="BC88" s="501">
        <f>+((AM88*(AM87*AM3*24))+(BA88*(BA87*24*BA3)))/(BC87*24*BC3)</f>
        <v>8028.8253691179707</v>
      </c>
      <c r="BD88" s="782">
        <f>+((AV88*(AV87*AV3*24))+(AX88*(AX87*24*AX3)))/(BD87*24*BD3)</f>
        <v>8000.0000000000045</v>
      </c>
      <c r="BE88" s="782">
        <f>+((AW88*(AW87*AW3*24))+(AY88*(AY87*24*AY3)))/(BE87*24*BE3)</f>
        <v>8030.6324403740537</v>
      </c>
      <c r="BF88" s="26"/>
      <c r="BG88" s="26"/>
      <c r="BH88" s="26"/>
      <c r="BI88" s="26"/>
      <c r="BJ88" s="26"/>
    </row>
    <row r="89" spans="1:68" x14ac:dyDescent="0.25">
      <c r="A89" s="149"/>
      <c r="B89" s="9" t="s">
        <v>404</v>
      </c>
      <c r="C89" s="13" t="s">
        <v>405</v>
      </c>
      <c r="D89" s="1353">
        <v>7.1999999999999993</v>
      </c>
      <c r="E89" s="2114">
        <v>41.16</v>
      </c>
      <c r="F89" s="1353">
        <v>7.4399999999999995</v>
      </c>
      <c r="G89" s="2114">
        <v>34.97</v>
      </c>
      <c r="H89" s="3012">
        <f>+D89+F89</f>
        <v>14.639999999999999</v>
      </c>
      <c r="I89" s="2945">
        <f>+E89+G89</f>
        <v>76.13</v>
      </c>
      <c r="J89" s="1353">
        <v>7.1999999999999993</v>
      </c>
      <c r="K89" s="2114">
        <v>19.22</v>
      </c>
      <c r="L89" s="383">
        <f>+H89+J89</f>
        <v>21.839999999999996</v>
      </c>
      <c r="M89" s="2329">
        <f>+I89+K89</f>
        <v>95.35</v>
      </c>
      <c r="N89" s="1353">
        <v>7.4399999999999995</v>
      </c>
      <c r="O89" s="2114">
        <v>15.46</v>
      </c>
      <c r="P89" s="375">
        <f>+L89+N89</f>
        <v>29.279999999999994</v>
      </c>
      <c r="Q89" s="375">
        <f>+M89+O89</f>
        <v>110.81</v>
      </c>
      <c r="R89" s="1353">
        <v>29.759999999999998</v>
      </c>
      <c r="S89" s="2114">
        <v>39.08</v>
      </c>
      <c r="T89" s="375">
        <f>+P89+R89</f>
        <v>59.039999999999992</v>
      </c>
      <c r="U89" s="375">
        <f>+Q89+S89</f>
        <v>149.88999999999999</v>
      </c>
      <c r="V89" s="1353">
        <v>50.400000000000006</v>
      </c>
      <c r="W89" s="2114">
        <v>25.47</v>
      </c>
      <c r="X89" s="383">
        <f t="shared" ref="X89:Y89" si="324">+N89+R89+V89</f>
        <v>87.6</v>
      </c>
      <c r="Y89" s="2329">
        <f t="shared" si="324"/>
        <v>80.009999999999991</v>
      </c>
      <c r="Z89" s="2333">
        <f>+L89+X89</f>
        <v>109.44</v>
      </c>
      <c r="AA89" s="640">
        <f>+M89+Y89</f>
        <v>175.35999999999999</v>
      </c>
      <c r="AB89" s="406">
        <v>14.879999999999999</v>
      </c>
      <c r="AC89" s="2114">
        <v>74.3</v>
      </c>
      <c r="AD89" s="375">
        <f>+Z89+AB89</f>
        <v>124.32</v>
      </c>
      <c r="AE89" s="375">
        <f>+AA89+AC89</f>
        <v>249.65999999999997</v>
      </c>
      <c r="AF89" s="406">
        <v>7.1999999999999993</v>
      </c>
      <c r="AG89" s="2114">
        <v>22.83</v>
      </c>
      <c r="AH89" s="375">
        <f>+AD89+AF89</f>
        <v>131.51999999999998</v>
      </c>
      <c r="AI89" s="375">
        <f>+AE89+AG89</f>
        <v>272.48999999999995</v>
      </c>
      <c r="AJ89" s="406">
        <v>7.4399999999999995</v>
      </c>
      <c r="AK89" s="2114">
        <v>13.969999999999999</v>
      </c>
      <c r="AL89" s="383">
        <f t="shared" ref="AL89" si="325">+AB89+AF89+AJ89</f>
        <v>29.519999999999996</v>
      </c>
      <c r="AM89" s="2329">
        <f t="shared" ref="AM89" si="326">+AC89+AG89+AK89</f>
        <v>111.1</v>
      </c>
      <c r="AN89" s="375">
        <f>+AH89+AJ89</f>
        <v>138.95999999999998</v>
      </c>
      <c r="AO89" s="375">
        <f>+AI89+AK89</f>
        <v>286.45999999999992</v>
      </c>
      <c r="AP89" s="406">
        <v>14.879999999999999</v>
      </c>
      <c r="AQ89" s="2114">
        <v>3.5</v>
      </c>
      <c r="AR89" s="375">
        <f>+AN89+AP89</f>
        <v>153.83999999999997</v>
      </c>
      <c r="AS89" s="375">
        <f>+AO89+AQ89</f>
        <v>289.95999999999992</v>
      </c>
      <c r="AT89" s="406">
        <v>6.7200000000000006</v>
      </c>
      <c r="AU89" s="2114">
        <v>38.49</v>
      </c>
      <c r="AV89" s="375">
        <f>+AR89+AT89</f>
        <v>160.55999999999997</v>
      </c>
      <c r="AW89" s="375">
        <f>+AS89+AU89</f>
        <v>328.44999999999993</v>
      </c>
      <c r="AX89" s="406">
        <v>14.879999999999999</v>
      </c>
      <c r="AY89" s="2114">
        <v>39.44</v>
      </c>
      <c r="AZ89" s="383">
        <f t="shared" ref="AZ89" si="327">+AP89+AT89+AX89</f>
        <v>36.480000000000004</v>
      </c>
      <c r="BA89" s="2329">
        <f t="shared" ref="BA89" si="328">+AQ89+AU89+AY89</f>
        <v>81.430000000000007</v>
      </c>
      <c r="BB89" s="2333">
        <f>+AL89+AZ89</f>
        <v>66</v>
      </c>
      <c r="BC89" s="640">
        <f>+AM89+BA89</f>
        <v>192.53</v>
      </c>
      <c r="BD89" s="375">
        <f>+AV89+AX89</f>
        <v>175.43999999999997</v>
      </c>
      <c r="BE89" s="375">
        <f>+AW89+AY89</f>
        <v>367.88999999999993</v>
      </c>
      <c r="BF89" s="26"/>
      <c r="BG89" s="26"/>
      <c r="BH89" s="26"/>
      <c r="BI89" s="26"/>
      <c r="BJ89" s="26"/>
    </row>
    <row r="90" spans="1:68" x14ac:dyDescent="0.25">
      <c r="A90" s="149"/>
      <c r="B90" s="2984" t="s">
        <v>409</v>
      </c>
      <c r="C90" s="18" t="s">
        <v>410</v>
      </c>
      <c r="D90" s="155">
        <v>9135</v>
      </c>
      <c r="E90" s="181">
        <v>9135</v>
      </c>
      <c r="F90" s="155">
        <v>9135</v>
      </c>
      <c r="G90" s="181">
        <v>9135</v>
      </c>
      <c r="H90" s="2648">
        <f>+AVERAGE(D90,F90)</f>
        <v>9135</v>
      </c>
      <c r="I90" s="39">
        <f>+AVERAGE(E90,G90)</f>
        <v>9135</v>
      </c>
      <c r="J90" s="155">
        <v>9135</v>
      </c>
      <c r="K90" s="181">
        <v>9135</v>
      </c>
      <c r="L90" s="72">
        <f>+AVERAGE(H90,J90)</f>
        <v>9135</v>
      </c>
      <c r="M90" s="69">
        <f>+AVERAGE(I90,K90)</f>
        <v>9135</v>
      </c>
      <c r="N90" s="155">
        <v>9135</v>
      </c>
      <c r="O90" s="181">
        <v>9135</v>
      </c>
      <c r="P90" s="782">
        <f>+AVERAGE(L90,N90)</f>
        <v>9135</v>
      </c>
      <c r="Q90" s="782">
        <f>+AVERAGE(M90,O90)</f>
        <v>9135</v>
      </c>
      <c r="R90" s="155">
        <v>9135</v>
      </c>
      <c r="S90" s="181">
        <v>9135</v>
      </c>
      <c r="T90" s="782">
        <f>+AVERAGE(P90,R90)</f>
        <v>9135</v>
      </c>
      <c r="U90" s="782">
        <f>+AVERAGE(Q90,S90)</f>
        <v>9135</v>
      </c>
      <c r="V90" s="155">
        <v>9135</v>
      </c>
      <c r="W90" s="181">
        <v>9135</v>
      </c>
      <c r="X90" s="72">
        <f>+AVERAGE(T90,V90)</f>
        <v>9135</v>
      </c>
      <c r="Y90" s="69">
        <f>+AVERAGE(U90,W90)</f>
        <v>9135</v>
      </c>
      <c r="Z90" s="787">
        <v>9135</v>
      </c>
      <c r="AA90" s="501">
        <f>+AVERAGE(M90,Y90)</f>
        <v>9135</v>
      </c>
      <c r="AB90" s="155">
        <v>9135</v>
      </c>
      <c r="AC90" s="181">
        <v>9135</v>
      </c>
      <c r="AD90" s="782">
        <f>+AVERAGE(Z90,AB90)</f>
        <v>9135</v>
      </c>
      <c r="AE90" s="782">
        <f>+AVERAGE(AA90,AC90)</f>
        <v>9135</v>
      </c>
      <c r="AF90" s="155">
        <v>9135</v>
      </c>
      <c r="AG90" s="181">
        <v>9135</v>
      </c>
      <c r="AH90" s="782">
        <f>+AVERAGE(AD90,AF90)</f>
        <v>9135</v>
      </c>
      <c r="AI90" s="782">
        <f>+AVERAGE(AE90,AG90)</f>
        <v>9135</v>
      </c>
      <c r="AJ90" s="155">
        <v>9135</v>
      </c>
      <c r="AK90" s="181">
        <v>9135</v>
      </c>
      <c r="AL90" s="72">
        <f>+AVERAGE(AH90,AJ90)</f>
        <v>9135</v>
      </c>
      <c r="AM90" s="69">
        <f>+AVERAGE(AI90,AK90)</f>
        <v>9135</v>
      </c>
      <c r="AN90" s="782">
        <f>+AVERAGE(AH90,AJ90)</f>
        <v>9135</v>
      </c>
      <c r="AO90" s="782">
        <f>+AVERAGE(AI90,AK90)</f>
        <v>9135</v>
      </c>
      <c r="AP90" s="155">
        <v>9135</v>
      </c>
      <c r="AQ90" s="2114">
        <v>9135</v>
      </c>
      <c r="AR90" s="782">
        <f>+AVERAGE(AN90,AP90)</f>
        <v>9135</v>
      </c>
      <c r="AS90" s="782">
        <f>+AVERAGE(AO90,AQ90)</f>
        <v>9135</v>
      </c>
      <c r="AT90" s="155">
        <v>9135</v>
      </c>
      <c r="AU90" s="181">
        <v>9135</v>
      </c>
      <c r="AV90" s="782">
        <f>+AVERAGE(AR90,AT90)</f>
        <v>9135</v>
      </c>
      <c r="AW90" s="782">
        <f>+AVERAGE(AS90,AU90)</f>
        <v>9135</v>
      </c>
      <c r="AX90" s="155">
        <v>9135</v>
      </c>
      <c r="AY90" s="181">
        <v>9135</v>
      </c>
      <c r="AZ90" s="72">
        <f>+AVERAGE(AV90,AX90)</f>
        <v>9135</v>
      </c>
      <c r="BA90" s="69">
        <f>+AVERAGE(AW90,AY90)</f>
        <v>9135</v>
      </c>
      <c r="BB90" s="787">
        <v>9135</v>
      </c>
      <c r="BC90" s="501">
        <f>+AVERAGE(AM90,BA90)</f>
        <v>9135</v>
      </c>
      <c r="BD90" s="782">
        <f>+AVERAGE(AV90,AX90)</f>
        <v>9135</v>
      </c>
      <c r="BE90" s="782">
        <f>+AVERAGE(AW90,AY90)</f>
        <v>9135</v>
      </c>
      <c r="BF90" s="26"/>
      <c r="BG90" s="26"/>
      <c r="BH90" s="26"/>
      <c r="BI90" s="26"/>
      <c r="BJ90" s="26"/>
    </row>
    <row r="91" spans="1:68" ht="15.75" customHeight="1" thickBot="1" x14ac:dyDescent="0.3">
      <c r="B91" s="3214" t="s">
        <v>407</v>
      </c>
      <c r="C91" s="18" t="s">
        <v>504</v>
      </c>
      <c r="D91" s="998">
        <v>0.81018790810276275</v>
      </c>
      <c r="E91" s="398">
        <v>0.98599999999999999</v>
      </c>
      <c r="F91" s="998">
        <v>0.81016705335218786</v>
      </c>
      <c r="G91" s="398">
        <v>0.92800000000000005</v>
      </c>
      <c r="H91" s="3215">
        <f>+((D91*D59)+(F59*F91))/H59</f>
        <v>0.8101770762173971</v>
      </c>
      <c r="I91" s="2944">
        <f>+((E91*E59)+(G59*G91))/I59</f>
        <v>0.95487519745663374</v>
      </c>
      <c r="J91" s="998">
        <v>0.8105300386187142</v>
      </c>
      <c r="K91" s="398">
        <v>0.86</v>
      </c>
      <c r="L91" s="395">
        <f>+((H91*H59)+(J59*J91))/L59</f>
        <v>0.81029500489473061</v>
      </c>
      <c r="M91" s="1588">
        <f>+((I91*I59)+(K59*K91))/M59</f>
        <v>0.92035798086765341</v>
      </c>
      <c r="N91" s="998">
        <v>0.8107332763866002</v>
      </c>
      <c r="O91" s="398">
        <v>0.83</v>
      </c>
      <c r="P91" s="381">
        <f>+((L91*L59)+(N59*N91))/P59</f>
        <v>0.81040787391540581</v>
      </c>
      <c r="Q91" s="381">
        <f>+((M91*M59)+(O59*O91))/Q59</f>
        <v>0.89529547833747791</v>
      </c>
      <c r="R91" s="998">
        <v>0.81065204786321643</v>
      </c>
      <c r="S91" s="398">
        <v>0.82499999999999996</v>
      </c>
      <c r="T91" s="381">
        <f>+((P91*P59)+(R59*R91))/T59</f>
        <v>0.81045752530005566</v>
      </c>
      <c r="U91" s="381">
        <f>+((Q91*Q59)+(S59*S91))/U59</f>
        <v>0.88037354666866552</v>
      </c>
      <c r="V91" s="998">
        <v>0.85209170545439683</v>
      </c>
      <c r="W91" s="398">
        <v>0.84399999999999997</v>
      </c>
      <c r="X91" s="395">
        <f>+((N91*N59)+(R91*R59)+(V59*V91))/X59</f>
        <v>0.82213575930647742</v>
      </c>
      <c r="Y91" s="1588">
        <f>+((O91*O59)+(S91*S59)+(W59*W91))/Y59</f>
        <v>0.83276369824122132</v>
      </c>
      <c r="Z91" s="2334">
        <f>+((L91*L59)+(X91*X59))/Z59</f>
        <v>0.81607743930110277</v>
      </c>
      <c r="AA91" s="2334">
        <f>+((M91*M59)+(Y91*Y59))/AA59</f>
        <v>0.87430091468451721</v>
      </c>
      <c r="AB91" s="998">
        <v>0.82042127758539973</v>
      </c>
      <c r="AC91" s="398">
        <v>1.0269999999999999</v>
      </c>
      <c r="AD91" s="381">
        <f>+((Z91*Z59)+(AB59*AB91))/AD59</f>
        <v>0.81672129271870819</v>
      </c>
      <c r="AE91" s="381">
        <f>+((AA91*AA59)+(AC59*AC91))/AE59</f>
        <v>0.8940615166859921</v>
      </c>
      <c r="AF91" s="998">
        <v>0.81316235101396284</v>
      </c>
      <c r="AG91" s="398">
        <v>1.1120000000000001</v>
      </c>
      <c r="AH91" s="381">
        <f>+((AD91*AD59)+(AF59*AF91))/AH59</f>
        <v>0.81627202698026791</v>
      </c>
      <c r="AI91" s="381">
        <f>+((AE91*AE59)+(AG59*AG91))/AI59-0.002</f>
        <v>0.9028388624804653</v>
      </c>
      <c r="AJ91" s="998">
        <v>0.81048982945356463</v>
      </c>
      <c r="AK91" s="398">
        <v>1.0369999999999999</v>
      </c>
      <c r="AL91" s="395">
        <f>+((AB91*AB59)+(AF91*AF59)+(AJ59*AJ91))/AL59</f>
        <v>0.81469029287038519</v>
      </c>
      <c r="AM91" s="1588">
        <f>+((AC91*AC59)+(AG91*AG59)+(AK59*AK91))/AM59</f>
        <v>1.0450857518360239</v>
      </c>
      <c r="AN91" s="381">
        <f>+((AH91*AH59)+(AJ59*AJ91))/AN59</f>
        <v>0.81560327834126767</v>
      </c>
      <c r="AO91" s="381">
        <f>+((AI91*AI59)+(AK59*AK91))/AO59</f>
        <v>0.91870232037903987</v>
      </c>
      <c r="AP91" s="998">
        <v>0.8104896473161024</v>
      </c>
      <c r="AQ91" s="398">
        <v>0.995</v>
      </c>
      <c r="AR91" s="381">
        <f>+((AN91*AN59)+(AP59*AP91))/AR59</f>
        <v>0.81507301848505787</v>
      </c>
      <c r="AS91" s="381">
        <f>+((AO91*AO59)+(AQ59*AQ91))/AS59</f>
        <v>0.92667095094849161</v>
      </c>
      <c r="AT91" s="998">
        <v>0.80637309958268355</v>
      </c>
      <c r="AU91" s="398">
        <v>0.96099999999999997</v>
      </c>
      <c r="AV91" s="381">
        <f>+((AR91*AR59)+(AT59*AT91))/AV59</f>
        <v>0.81432576518260325</v>
      </c>
      <c r="AW91" s="381">
        <f>+((AS91*AS59)+(AU59*AU91))/AW59-0.001</f>
        <v>0.92863619792110463</v>
      </c>
      <c r="AX91" s="998">
        <v>0.80596984131930072</v>
      </c>
      <c r="AY91" s="398">
        <v>0.97699999999999998</v>
      </c>
      <c r="AZ91" s="395">
        <f>+((AP91*AP59)+(AT91*AT59)+(AX59*AX91))/AZ59</f>
        <v>0.8076528911833587</v>
      </c>
      <c r="BA91" s="1588">
        <f>+((AQ91*AQ59)+(AU91*AU59)+(AY59*AY91))/BA59</f>
        <v>0.97821228174374353</v>
      </c>
      <c r="BB91" s="2334">
        <f>+((AL91*AL59)+(AZ91*AZ59))/BB59</f>
        <v>0.81120283731036247</v>
      </c>
      <c r="BC91" s="2334">
        <f>+((AM91*AM59)+(BA91*BA59))/BC59</f>
        <v>1.0079153181330229</v>
      </c>
      <c r="BD91" s="381">
        <f>+((AV91*AV59)+(AX59*AX91))/BD59</f>
        <v>0.81360463729834276</v>
      </c>
      <c r="BE91" s="381">
        <f>+((AW91*AW59)+(AY59*AY91))/BE59</f>
        <v>0.9328310879240308</v>
      </c>
      <c r="BF91" s="26"/>
      <c r="BG91" s="26"/>
      <c r="BH91" s="26"/>
      <c r="BI91" s="26"/>
      <c r="BJ91" s="26"/>
    </row>
    <row r="92" spans="1:68" ht="15.75" thickBot="1" x14ac:dyDescent="0.3">
      <c r="A92" s="149"/>
      <c r="B92" s="3375" t="s">
        <v>62</v>
      </c>
      <c r="C92" s="3376"/>
      <c r="D92" s="3375"/>
      <c r="E92" s="3377"/>
      <c r="F92" s="3375"/>
      <c r="G92" s="3377"/>
      <c r="H92" s="3376"/>
      <c r="I92" s="3377"/>
      <c r="J92" s="3375"/>
      <c r="K92" s="3377"/>
      <c r="L92" s="2327"/>
      <c r="M92" s="2327"/>
      <c r="N92" s="3375"/>
      <c r="O92" s="3377"/>
      <c r="P92" s="414"/>
      <c r="Q92" s="414"/>
      <c r="R92" s="3375"/>
      <c r="S92" s="3377"/>
      <c r="T92" s="414"/>
      <c r="U92" s="414"/>
      <c r="V92" s="3375"/>
      <c r="W92" s="3377"/>
      <c r="X92" s="2327"/>
      <c r="Y92" s="2327"/>
      <c r="Z92" s="414"/>
      <c r="AA92" s="414"/>
      <c r="AB92" s="3375"/>
      <c r="AC92" s="3377"/>
      <c r="AD92" s="414"/>
      <c r="AE92" s="414"/>
      <c r="AF92" s="3375"/>
      <c r="AG92" s="3377"/>
      <c r="AH92" s="414"/>
      <c r="AI92" s="414"/>
      <c r="AJ92" s="3375"/>
      <c r="AK92" s="3377"/>
      <c r="AL92" s="2327"/>
      <c r="AM92" s="2327"/>
      <c r="AN92" s="414"/>
      <c r="AO92" s="414"/>
      <c r="AP92" s="3375"/>
      <c r="AQ92" s="3377"/>
      <c r="AR92" s="414"/>
      <c r="AS92" s="414"/>
      <c r="AT92" s="3375"/>
      <c r="AU92" s="3377"/>
      <c r="AV92" s="414"/>
      <c r="AW92" s="414"/>
      <c r="AX92" s="3375"/>
      <c r="AY92" s="3377"/>
      <c r="AZ92" s="2327"/>
      <c r="BA92" s="2327"/>
      <c r="BB92" s="414"/>
      <c r="BC92" s="414"/>
      <c r="BD92" s="414"/>
      <c r="BE92" s="414"/>
      <c r="BF92" s="26"/>
      <c r="BG92" s="26"/>
      <c r="BH92" s="26"/>
      <c r="BI92" s="26"/>
      <c r="BJ92" s="26"/>
    </row>
    <row r="93" spans="1:68" x14ac:dyDescent="0.25">
      <c r="B93" s="863" t="s">
        <v>412</v>
      </c>
      <c r="C93" s="144" t="s">
        <v>354</v>
      </c>
      <c r="D93" s="3378"/>
      <c r="E93" s="144">
        <v>46.019999999999996</v>
      </c>
      <c r="F93" s="3378"/>
      <c r="G93" s="144">
        <v>42.2</v>
      </c>
      <c r="H93" s="6245"/>
      <c r="I93" s="3170">
        <f>+E93+G93</f>
        <v>88.22</v>
      </c>
      <c r="J93" s="3378"/>
      <c r="K93" s="144">
        <v>29.099999999999987</v>
      </c>
      <c r="L93" s="6237"/>
      <c r="M93" s="240">
        <f>E93+G93+K93</f>
        <v>117.32</v>
      </c>
      <c r="N93" s="3378"/>
      <c r="O93" s="144">
        <v>22.5</v>
      </c>
      <c r="P93" s="6224"/>
      <c r="Q93" s="218">
        <f>+M93+O93</f>
        <v>139.82</v>
      </c>
      <c r="R93" s="3378"/>
      <c r="S93" s="144">
        <v>21.3</v>
      </c>
      <c r="T93" s="6224"/>
      <c r="U93" s="218">
        <f>+Q93+S93</f>
        <v>161.12</v>
      </c>
      <c r="V93" s="3378"/>
      <c r="W93" s="144">
        <v>24.999999999999986</v>
      </c>
      <c r="X93" s="6237"/>
      <c r="Y93" s="244">
        <f t="shared" ref="Y93:Y112" si="329">+O93+S93+W93</f>
        <v>68.799999999999983</v>
      </c>
      <c r="Z93" s="6263"/>
      <c r="AA93" s="501">
        <f>M93+Y93</f>
        <v>186.11999999999998</v>
      </c>
      <c r="AB93" s="3378"/>
      <c r="AC93" s="88">
        <v>38.731000000000002</v>
      </c>
      <c r="AD93" s="6224"/>
      <c r="AE93" s="218">
        <f>+AA93+AC93</f>
        <v>224.85099999999997</v>
      </c>
      <c r="AF93" s="3378"/>
      <c r="AG93" s="88">
        <v>37.700000000000003</v>
      </c>
      <c r="AH93" s="6224"/>
      <c r="AI93" s="218">
        <f>+AE93+AG93</f>
        <v>262.55099999999999</v>
      </c>
      <c r="AJ93" s="3378"/>
      <c r="AK93" s="88">
        <v>41.15</v>
      </c>
      <c r="AL93" s="6237"/>
      <c r="AM93" s="244">
        <f t="shared" ref="AM93:AM112" si="330">+AC93+AG93+AK93</f>
        <v>117.58100000000002</v>
      </c>
      <c r="AN93" s="6224"/>
      <c r="AO93" s="218">
        <f t="shared" ref="AO93:AO112" si="331">+AI93+AK93</f>
        <v>303.70099999999996</v>
      </c>
      <c r="AP93" s="3378"/>
      <c r="AQ93" s="88">
        <v>48.419999999999995</v>
      </c>
      <c r="AR93" s="6224"/>
      <c r="AS93" s="219">
        <f>+AO93+AQ93</f>
        <v>352.12099999999998</v>
      </c>
      <c r="AT93" s="3378"/>
      <c r="AU93" s="88">
        <v>44.95</v>
      </c>
      <c r="AV93" s="6224"/>
      <c r="AW93" s="219">
        <f>+AS93+AU93</f>
        <v>397.07099999999997</v>
      </c>
      <c r="AX93" s="3378"/>
      <c r="AY93" s="88">
        <v>52.45</v>
      </c>
      <c r="AZ93" s="6237"/>
      <c r="BA93" s="244">
        <f t="shared" ref="BA93:BA112" si="332">+AQ93+AU93+AY93</f>
        <v>145.82</v>
      </c>
      <c r="BB93" s="6263"/>
      <c r="BC93" s="501">
        <f>AM93+BA93</f>
        <v>263.40100000000001</v>
      </c>
      <c r="BD93" s="6224"/>
      <c r="BE93" s="219">
        <f>+AW93+AY93</f>
        <v>449.52099999999996</v>
      </c>
      <c r="BF93" s="26"/>
      <c r="BG93" s="26"/>
      <c r="BH93" s="26"/>
      <c r="BI93" s="26"/>
      <c r="BJ93" s="26"/>
    </row>
    <row r="94" spans="1:68" x14ac:dyDescent="0.25">
      <c r="B94" s="9" t="s">
        <v>1167</v>
      </c>
      <c r="C94" s="101" t="s">
        <v>1176</v>
      </c>
      <c r="D94" s="1001"/>
      <c r="E94" s="18">
        <v>17.856000000000002</v>
      </c>
      <c r="F94" s="1001"/>
      <c r="G94" s="18">
        <v>16.992000000000001</v>
      </c>
      <c r="H94" s="6225"/>
      <c r="I94" s="3216">
        <f t="shared" ref="I94:I112" si="333">+E94+G94</f>
        <v>34.847999999999999</v>
      </c>
      <c r="J94" s="1001"/>
      <c r="K94" s="18">
        <v>13.44</v>
      </c>
      <c r="L94" s="6238"/>
      <c r="M94" s="240">
        <f t="shared" ref="M94:M112" si="334">E94+G94+K94</f>
        <v>48.287999999999997</v>
      </c>
      <c r="N94" s="1001"/>
      <c r="O94" s="18">
        <v>8.2560000000000002</v>
      </c>
      <c r="P94" s="6225"/>
      <c r="Q94" s="218">
        <f t="shared" ref="Q94:Q112" si="335">+M94+O94</f>
        <v>56.543999999999997</v>
      </c>
      <c r="R94" s="1001"/>
      <c r="S94" s="18">
        <v>7.2</v>
      </c>
      <c r="T94" s="6225"/>
      <c r="U94" s="218">
        <f t="shared" ref="U94:U112" si="336">+Q94+S94</f>
        <v>63.744</v>
      </c>
      <c r="V94" s="1001"/>
      <c r="W94" s="18">
        <v>8.64</v>
      </c>
      <c r="X94" s="6238"/>
      <c r="Y94" s="244">
        <f t="shared" si="329"/>
        <v>24.096</v>
      </c>
      <c r="Z94" s="6264"/>
      <c r="AA94" s="501">
        <f t="shared" ref="AA94:AA112" si="337">M94+Y94</f>
        <v>72.384</v>
      </c>
      <c r="AB94" s="1001"/>
      <c r="AC94" s="18">
        <v>16.722999999999999</v>
      </c>
      <c r="AD94" s="6225"/>
      <c r="AE94" s="218">
        <f t="shared" ref="AE94:AE112" si="338">+AA94+AC94</f>
        <v>89.106999999999999</v>
      </c>
      <c r="AF94" s="1001"/>
      <c r="AG94" s="18">
        <v>15.456</v>
      </c>
      <c r="AH94" s="6225"/>
      <c r="AI94" s="218">
        <f t="shared" ref="AI94:AI112" si="339">+AE94+AG94</f>
        <v>104.563</v>
      </c>
      <c r="AJ94" s="1001"/>
      <c r="AK94" s="18">
        <v>16.2</v>
      </c>
      <c r="AL94" s="6238"/>
      <c r="AM94" s="244">
        <f t="shared" si="330"/>
        <v>48.379000000000005</v>
      </c>
      <c r="AN94" s="6225"/>
      <c r="AO94" s="218">
        <f t="shared" si="331"/>
        <v>120.76300000000001</v>
      </c>
      <c r="AP94" s="1001"/>
      <c r="AQ94" s="18">
        <v>19.295999999999999</v>
      </c>
      <c r="AR94" s="6225"/>
      <c r="AS94" s="219">
        <f t="shared" ref="AS94:AS112" si="340">+AO94+AQ94</f>
        <v>140.059</v>
      </c>
      <c r="AT94" s="1001"/>
      <c r="AU94" s="18">
        <v>19.367999999999999</v>
      </c>
      <c r="AV94" s="6225"/>
      <c r="AW94" s="219">
        <f t="shared" ref="AW94:AW112" si="341">+AS94+AU94</f>
        <v>159.42699999999999</v>
      </c>
      <c r="AX94" s="1001"/>
      <c r="AY94" s="18">
        <v>20.712</v>
      </c>
      <c r="AZ94" s="6238"/>
      <c r="BA94" s="244">
        <f t="shared" si="332"/>
        <v>59.376000000000005</v>
      </c>
      <c r="BB94" s="6264"/>
      <c r="BC94" s="501">
        <f t="shared" ref="BC94:BC112" si="342">AM94+BA94</f>
        <v>107.75500000000001</v>
      </c>
      <c r="BD94" s="6225"/>
      <c r="BE94" s="219">
        <f t="shared" ref="BE94:BE112" si="343">+AW94+AY94</f>
        <v>180.13899999999998</v>
      </c>
      <c r="BF94" s="26"/>
      <c r="BG94" s="26"/>
      <c r="BH94" s="26"/>
      <c r="BI94" s="26"/>
      <c r="BJ94" s="26"/>
    </row>
    <row r="95" spans="1:68" x14ac:dyDescent="0.25">
      <c r="B95" s="9" t="s">
        <v>1168</v>
      </c>
      <c r="C95" s="101" t="s">
        <v>1261</v>
      </c>
      <c r="D95" s="1001"/>
      <c r="E95" s="18">
        <v>450</v>
      </c>
      <c r="F95" s="1001"/>
      <c r="G95" s="18">
        <v>465</v>
      </c>
      <c r="H95" s="6225"/>
      <c r="I95" s="3216">
        <f t="shared" si="333"/>
        <v>915</v>
      </c>
      <c r="J95" s="1001"/>
      <c r="K95" s="18">
        <v>455</v>
      </c>
      <c r="L95" s="6238"/>
      <c r="M95" s="240">
        <f t="shared" si="334"/>
        <v>1370</v>
      </c>
      <c r="N95" s="1001"/>
      <c r="O95" s="18">
        <v>465</v>
      </c>
      <c r="P95" s="6225"/>
      <c r="Q95" s="218">
        <f t="shared" si="335"/>
        <v>1835</v>
      </c>
      <c r="R95" s="1001"/>
      <c r="S95" s="18">
        <v>475</v>
      </c>
      <c r="T95" s="6225"/>
      <c r="U95" s="218">
        <f t="shared" si="336"/>
        <v>2310</v>
      </c>
      <c r="V95" s="1001"/>
      <c r="W95" s="18">
        <v>450</v>
      </c>
      <c r="X95" s="6238"/>
      <c r="Y95" s="244">
        <f t="shared" si="329"/>
        <v>1390</v>
      </c>
      <c r="Z95" s="6264"/>
      <c r="AA95" s="501">
        <f t="shared" si="337"/>
        <v>2760</v>
      </c>
      <c r="AB95" s="1001"/>
      <c r="AC95" s="18">
        <v>465</v>
      </c>
      <c r="AD95" s="6225"/>
      <c r="AE95" s="218">
        <f t="shared" si="338"/>
        <v>3225</v>
      </c>
      <c r="AF95" s="1001"/>
      <c r="AG95" s="18">
        <v>390</v>
      </c>
      <c r="AH95" s="6225"/>
      <c r="AI95" s="218">
        <f t="shared" si="339"/>
        <v>3615</v>
      </c>
      <c r="AJ95" s="1001"/>
      <c r="AK95" s="18">
        <v>470</v>
      </c>
      <c r="AL95" s="6238"/>
      <c r="AM95" s="244">
        <f t="shared" si="330"/>
        <v>1325</v>
      </c>
      <c r="AN95" s="6225"/>
      <c r="AO95" s="218">
        <f t="shared" si="331"/>
        <v>4085</v>
      </c>
      <c r="AP95" s="1001"/>
      <c r="AQ95" s="18">
        <v>465</v>
      </c>
      <c r="AR95" s="6225"/>
      <c r="AS95" s="219">
        <f t="shared" si="340"/>
        <v>4550</v>
      </c>
      <c r="AT95" s="1001"/>
      <c r="AU95" s="18">
        <v>420</v>
      </c>
      <c r="AV95" s="6225"/>
      <c r="AW95" s="219">
        <f t="shared" si="341"/>
        <v>4970</v>
      </c>
      <c r="AX95" s="1001"/>
      <c r="AY95" s="18">
        <v>485</v>
      </c>
      <c r="AZ95" s="6238"/>
      <c r="BA95" s="244">
        <f t="shared" si="332"/>
        <v>1370</v>
      </c>
      <c r="BB95" s="6264"/>
      <c r="BC95" s="501">
        <f t="shared" si="342"/>
        <v>2695</v>
      </c>
      <c r="BD95" s="6225"/>
      <c r="BE95" s="219">
        <f t="shared" si="343"/>
        <v>5455</v>
      </c>
      <c r="BF95" s="26"/>
      <c r="BG95" s="26"/>
      <c r="BH95" s="26"/>
      <c r="BI95" s="26"/>
      <c r="BJ95" s="26"/>
    </row>
    <row r="96" spans="1:68" x14ac:dyDescent="0.25">
      <c r="B96" s="9" t="s">
        <v>1169</v>
      </c>
      <c r="C96" s="101" t="s">
        <v>1177</v>
      </c>
      <c r="D96" s="1001"/>
      <c r="E96" s="18">
        <v>861</v>
      </c>
      <c r="F96" s="1001"/>
      <c r="G96" s="18">
        <v>898</v>
      </c>
      <c r="H96" s="6225"/>
      <c r="I96" s="3216">
        <f t="shared" si="333"/>
        <v>1759</v>
      </c>
      <c r="J96" s="1001"/>
      <c r="K96" s="18">
        <v>857</v>
      </c>
      <c r="L96" s="6238"/>
      <c r="M96" s="240">
        <f t="shared" si="334"/>
        <v>2616</v>
      </c>
      <c r="N96" s="1001"/>
      <c r="O96" s="18">
        <v>872</v>
      </c>
      <c r="P96" s="6225"/>
      <c r="Q96" s="218">
        <f t="shared" si="335"/>
        <v>3488</v>
      </c>
      <c r="R96" s="1001"/>
      <c r="S96" s="18">
        <v>773</v>
      </c>
      <c r="T96" s="6225"/>
      <c r="U96" s="218">
        <f t="shared" si="336"/>
        <v>4261</v>
      </c>
      <c r="V96" s="1001"/>
      <c r="W96" s="18">
        <v>756</v>
      </c>
      <c r="X96" s="6238"/>
      <c r="Y96" s="244">
        <f t="shared" si="329"/>
        <v>2401</v>
      </c>
      <c r="Z96" s="6264"/>
      <c r="AA96" s="501">
        <f t="shared" si="337"/>
        <v>5017</v>
      </c>
      <c r="AB96" s="1001"/>
      <c r="AC96" s="18">
        <v>708.52</v>
      </c>
      <c r="AD96" s="6225"/>
      <c r="AE96" s="218">
        <f t="shared" si="338"/>
        <v>5725.52</v>
      </c>
      <c r="AF96" s="1001"/>
      <c r="AG96" s="18">
        <v>511</v>
      </c>
      <c r="AH96" s="6225"/>
      <c r="AI96" s="218">
        <f t="shared" si="339"/>
        <v>6236.52</v>
      </c>
      <c r="AJ96" s="1001"/>
      <c r="AK96" s="18">
        <v>818</v>
      </c>
      <c r="AL96" s="6238"/>
      <c r="AM96" s="244">
        <f t="shared" si="330"/>
        <v>2037.52</v>
      </c>
      <c r="AN96" s="6225"/>
      <c r="AO96" s="218">
        <f t="shared" si="331"/>
        <v>7054.52</v>
      </c>
      <c r="AP96" s="1001"/>
      <c r="AQ96" s="18">
        <v>673</v>
      </c>
      <c r="AR96" s="6225"/>
      <c r="AS96" s="219">
        <f t="shared" si="340"/>
        <v>7727.52</v>
      </c>
      <c r="AT96" s="1001"/>
      <c r="AU96" s="18">
        <v>537</v>
      </c>
      <c r="AV96" s="6225"/>
      <c r="AW96" s="219">
        <f t="shared" si="341"/>
        <v>8264.52</v>
      </c>
      <c r="AX96" s="1001"/>
      <c r="AY96" s="18">
        <v>766</v>
      </c>
      <c r="AZ96" s="6238"/>
      <c r="BA96" s="244">
        <f t="shared" si="332"/>
        <v>1976</v>
      </c>
      <c r="BB96" s="6264"/>
      <c r="BC96" s="501">
        <f t="shared" si="342"/>
        <v>4013.52</v>
      </c>
      <c r="BD96" s="6225"/>
      <c r="BE96" s="219">
        <f t="shared" si="343"/>
        <v>9030.52</v>
      </c>
      <c r="BF96" s="26"/>
      <c r="BG96" s="26"/>
      <c r="BH96" s="26"/>
      <c r="BI96" s="26"/>
      <c r="BJ96" s="26"/>
    </row>
    <row r="97" spans="1:62" x14ac:dyDescent="0.25">
      <c r="B97" s="9" t="s">
        <v>1170</v>
      </c>
      <c r="C97" s="101" t="s">
        <v>1261</v>
      </c>
      <c r="D97" s="1001"/>
      <c r="E97" s="18">
        <v>225</v>
      </c>
      <c r="F97" s="1001"/>
      <c r="G97" s="18">
        <v>210</v>
      </c>
      <c r="H97" s="6225"/>
      <c r="I97" s="3216">
        <f t="shared" si="333"/>
        <v>435</v>
      </c>
      <c r="J97" s="1001"/>
      <c r="K97" s="18">
        <v>144</v>
      </c>
      <c r="L97" s="6238"/>
      <c r="M97" s="240">
        <f t="shared" si="334"/>
        <v>579</v>
      </c>
      <c r="N97" s="1001"/>
      <c r="O97" s="18">
        <v>227</v>
      </c>
      <c r="P97" s="6225"/>
      <c r="Q97" s="218">
        <f t="shared" si="335"/>
        <v>806</v>
      </c>
      <c r="R97" s="1001"/>
      <c r="S97" s="18">
        <v>183.5</v>
      </c>
      <c r="T97" s="6225"/>
      <c r="U97" s="218">
        <f t="shared" si="336"/>
        <v>989.5</v>
      </c>
      <c r="V97" s="1001"/>
      <c r="W97" s="18">
        <v>240</v>
      </c>
      <c r="X97" s="6238"/>
      <c r="Y97" s="244">
        <f t="shared" si="329"/>
        <v>650.5</v>
      </c>
      <c r="Z97" s="6264"/>
      <c r="AA97" s="501">
        <f t="shared" si="337"/>
        <v>1229.5</v>
      </c>
      <c r="AB97" s="1001"/>
      <c r="AC97" s="18">
        <v>92</v>
      </c>
      <c r="AD97" s="6225"/>
      <c r="AE97" s="218">
        <f t="shared" si="338"/>
        <v>1321.5</v>
      </c>
      <c r="AF97" s="1001"/>
      <c r="AG97" s="18">
        <v>134</v>
      </c>
      <c r="AH97" s="6225"/>
      <c r="AI97" s="218">
        <f t="shared" si="339"/>
        <v>1455.5</v>
      </c>
      <c r="AJ97" s="1001"/>
      <c r="AK97" s="18">
        <v>224</v>
      </c>
      <c r="AL97" s="6238"/>
      <c r="AM97" s="244">
        <f t="shared" si="330"/>
        <v>450</v>
      </c>
      <c r="AN97" s="6225"/>
      <c r="AO97" s="218">
        <f t="shared" si="331"/>
        <v>1679.5</v>
      </c>
      <c r="AP97" s="1001"/>
      <c r="AQ97" s="18">
        <v>207</v>
      </c>
      <c r="AR97" s="6225"/>
      <c r="AS97" s="219">
        <f t="shared" si="340"/>
        <v>1886.5</v>
      </c>
      <c r="AT97" s="1001"/>
      <c r="AU97" s="18">
        <v>90</v>
      </c>
      <c r="AV97" s="6225"/>
      <c r="AW97" s="219">
        <f t="shared" si="341"/>
        <v>1976.5</v>
      </c>
      <c r="AX97" s="1001"/>
      <c r="AY97" s="18">
        <v>112</v>
      </c>
      <c r="AZ97" s="6238"/>
      <c r="BA97" s="244">
        <f t="shared" si="332"/>
        <v>409</v>
      </c>
      <c r="BB97" s="6264"/>
      <c r="BC97" s="501">
        <f t="shared" si="342"/>
        <v>859</v>
      </c>
      <c r="BD97" s="6225"/>
      <c r="BE97" s="219">
        <f t="shared" si="343"/>
        <v>2088.5</v>
      </c>
      <c r="BF97" s="26"/>
      <c r="BG97" s="26"/>
      <c r="BH97" s="26"/>
      <c r="BI97" s="26"/>
      <c r="BJ97" s="26"/>
    </row>
    <row r="98" spans="1:62" x14ac:dyDescent="0.25">
      <c r="B98" s="9" t="s">
        <v>1171</v>
      </c>
      <c r="C98" s="101" t="s">
        <v>1261</v>
      </c>
      <c r="D98" s="1001"/>
      <c r="E98" s="18">
        <v>279</v>
      </c>
      <c r="F98" s="1001"/>
      <c r="G98" s="18">
        <v>244</v>
      </c>
      <c r="H98" s="6225"/>
      <c r="I98" s="3216">
        <f t="shared" si="333"/>
        <v>523</v>
      </c>
      <c r="J98" s="1001"/>
      <c r="K98" s="18">
        <v>247</v>
      </c>
      <c r="L98" s="6238"/>
      <c r="M98" s="240">
        <f t="shared" si="334"/>
        <v>770</v>
      </c>
      <c r="N98" s="1001"/>
      <c r="O98" s="18">
        <v>257</v>
      </c>
      <c r="P98" s="6225"/>
      <c r="Q98" s="218">
        <f t="shared" si="335"/>
        <v>1027</v>
      </c>
      <c r="R98" s="1001"/>
      <c r="S98" s="18">
        <v>234</v>
      </c>
      <c r="T98" s="6225"/>
      <c r="U98" s="218">
        <f t="shared" si="336"/>
        <v>1261</v>
      </c>
      <c r="V98" s="1001"/>
      <c r="W98" s="18">
        <v>234</v>
      </c>
      <c r="X98" s="6238"/>
      <c r="Y98" s="244">
        <f t="shared" si="329"/>
        <v>725</v>
      </c>
      <c r="Z98" s="6264"/>
      <c r="AA98" s="501">
        <f t="shared" si="337"/>
        <v>1495</v>
      </c>
      <c r="AB98" s="1001"/>
      <c r="AC98" s="18">
        <v>198</v>
      </c>
      <c r="AD98" s="6225"/>
      <c r="AE98" s="218">
        <f t="shared" si="338"/>
        <v>1693</v>
      </c>
      <c r="AF98" s="1001"/>
      <c r="AG98" s="18">
        <v>225</v>
      </c>
      <c r="AH98" s="6225"/>
      <c r="AI98" s="218">
        <f t="shared" si="339"/>
        <v>1918</v>
      </c>
      <c r="AJ98" s="1001"/>
      <c r="AK98" s="18">
        <v>259</v>
      </c>
      <c r="AL98" s="6238"/>
      <c r="AM98" s="244">
        <f t="shared" si="330"/>
        <v>682</v>
      </c>
      <c r="AN98" s="6225"/>
      <c r="AO98" s="218">
        <f t="shared" si="331"/>
        <v>2177</v>
      </c>
      <c r="AP98" s="1001"/>
      <c r="AQ98" s="18">
        <v>193</v>
      </c>
      <c r="AR98" s="6225"/>
      <c r="AS98" s="219">
        <f t="shared" si="340"/>
        <v>2370</v>
      </c>
      <c r="AT98" s="1001"/>
      <c r="AU98" s="18">
        <v>219</v>
      </c>
      <c r="AV98" s="6225"/>
      <c r="AW98" s="219">
        <f t="shared" si="341"/>
        <v>2589</v>
      </c>
      <c r="AX98" s="1001"/>
      <c r="AY98" s="18">
        <v>288</v>
      </c>
      <c r="AZ98" s="6238"/>
      <c r="BA98" s="244">
        <f t="shared" si="332"/>
        <v>700</v>
      </c>
      <c r="BB98" s="6264"/>
      <c r="BC98" s="501">
        <f t="shared" si="342"/>
        <v>1382</v>
      </c>
      <c r="BD98" s="6225"/>
      <c r="BE98" s="219">
        <f t="shared" si="343"/>
        <v>2877</v>
      </c>
      <c r="BF98" s="26"/>
      <c r="BG98" s="26"/>
      <c r="BH98" s="26"/>
      <c r="BI98" s="26"/>
      <c r="BJ98" s="26"/>
    </row>
    <row r="99" spans="1:62" x14ac:dyDescent="0.25">
      <c r="A99" s="149"/>
      <c r="B99" s="3217" t="s">
        <v>1922</v>
      </c>
      <c r="C99" s="101" t="s">
        <v>1261</v>
      </c>
      <c r="D99" s="1001"/>
      <c r="E99" s="181">
        <v>24</v>
      </c>
      <c r="F99" s="1001"/>
      <c r="G99" s="181">
        <v>0</v>
      </c>
      <c r="H99" s="6225"/>
      <c r="I99" s="3216">
        <f t="shared" si="333"/>
        <v>24</v>
      </c>
      <c r="J99" s="1001"/>
      <c r="K99" s="181">
        <v>0</v>
      </c>
      <c r="L99" s="6238"/>
      <c r="M99" s="240">
        <f t="shared" si="334"/>
        <v>24</v>
      </c>
      <c r="N99" s="1001"/>
      <c r="O99" s="181">
        <v>0</v>
      </c>
      <c r="P99" s="6225"/>
      <c r="Q99" s="218">
        <f t="shared" si="335"/>
        <v>24</v>
      </c>
      <c r="R99" s="1001"/>
      <c r="S99" s="181">
        <v>2</v>
      </c>
      <c r="T99" s="6225"/>
      <c r="U99" s="218">
        <f t="shared" si="336"/>
        <v>26</v>
      </c>
      <c r="V99" s="1001"/>
      <c r="W99" s="181"/>
      <c r="X99" s="6238"/>
      <c r="Y99" s="244">
        <f t="shared" si="329"/>
        <v>2</v>
      </c>
      <c r="Z99" s="6264"/>
      <c r="AA99" s="501">
        <f t="shared" si="337"/>
        <v>26</v>
      </c>
      <c r="AB99" s="1001"/>
      <c r="AC99" s="181">
        <v>0</v>
      </c>
      <c r="AD99" s="6225"/>
      <c r="AE99" s="218">
        <f t="shared" si="338"/>
        <v>26</v>
      </c>
      <c r="AF99" s="1001"/>
      <c r="AG99" s="181"/>
      <c r="AH99" s="6225"/>
      <c r="AI99" s="218">
        <f t="shared" si="339"/>
        <v>26</v>
      </c>
      <c r="AJ99" s="1001"/>
      <c r="AK99" s="181"/>
      <c r="AL99" s="6238"/>
      <c r="AM99" s="244">
        <f t="shared" si="330"/>
        <v>0</v>
      </c>
      <c r="AN99" s="6225"/>
      <c r="AO99" s="218">
        <f t="shared" si="331"/>
        <v>26</v>
      </c>
      <c r="AP99" s="1001"/>
      <c r="AQ99" s="181">
        <v>0</v>
      </c>
      <c r="AR99" s="6225"/>
      <c r="AS99" s="219">
        <f t="shared" si="340"/>
        <v>26</v>
      </c>
      <c r="AT99" s="1001"/>
      <c r="AU99" s="181">
        <v>0</v>
      </c>
      <c r="AV99" s="6225"/>
      <c r="AW99" s="219">
        <f t="shared" si="341"/>
        <v>26</v>
      </c>
      <c r="AX99" s="1001"/>
      <c r="AY99" s="181">
        <v>16</v>
      </c>
      <c r="AZ99" s="6238"/>
      <c r="BA99" s="244">
        <f t="shared" si="332"/>
        <v>16</v>
      </c>
      <c r="BB99" s="6264"/>
      <c r="BC99" s="501">
        <f t="shared" si="342"/>
        <v>16</v>
      </c>
      <c r="BD99" s="6225"/>
      <c r="BE99" s="219">
        <f t="shared" si="343"/>
        <v>42</v>
      </c>
      <c r="BF99" s="26"/>
      <c r="BG99" s="26"/>
      <c r="BH99" s="26"/>
      <c r="BI99" s="26"/>
      <c r="BJ99" s="26"/>
    </row>
    <row r="100" spans="1:62" x14ac:dyDescent="0.25">
      <c r="A100" s="149"/>
      <c r="B100" s="3217" t="s">
        <v>1172</v>
      </c>
      <c r="C100" s="101" t="s">
        <v>1261</v>
      </c>
      <c r="D100" s="1001"/>
      <c r="E100" s="181">
        <v>4906</v>
      </c>
      <c r="F100" s="1001"/>
      <c r="G100" s="181">
        <v>4880</v>
      </c>
      <c r="H100" s="6225"/>
      <c r="I100" s="3216">
        <f t="shared" si="333"/>
        <v>9786</v>
      </c>
      <c r="J100" s="1001"/>
      <c r="K100" s="181">
        <v>5370</v>
      </c>
      <c r="L100" s="6238"/>
      <c r="M100" s="240">
        <f t="shared" si="334"/>
        <v>15156</v>
      </c>
      <c r="N100" s="1001"/>
      <c r="O100" s="181">
        <v>5250</v>
      </c>
      <c r="P100" s="6225"/>
      <c r="Q100" s="218">
        <f t="shared" si="335"/>
        <v>20406</v>
      </c>
      <c r="R100" s="1001"/>
      <c r="S100" s="181">
        <v>4390</v>
      </c>
      <c r="T100" s="6225"/>
      <c r="U100" s="218">
        <f t="shared" si="336"/>
        <v>24796</v>
      </c>
      <c r="V100" s="1001"/>
      <c r="W100" s="181">
        <v>4790</v>
      </c>
      <c r="X100" s="6238"/>
      <c r="Y100" s="244">
        <f t="shared" si="329"/>
        <v>14430</v>
      </c>
      <c r="Z100" s="6264"/>
      <c r="AA100" s="501">
        <f t="shared" si="337"/>
        <v>29586</v>
      </c>
      <c r="AB100" s="1001"/>
      <c r="AC100" s="181">
        <v>3820</v>
      </c>
      <c r="AD100" s="6225"/>
      <c r="AE100" s="218">
        <f t="shared" si="338"/>
        <v>33406</v>
      </c>
      <c r="AF100" s="1001"/>
      <c r="AG100" s="181">
        <v>4090</v>
      </c>
      <c r="AH100" s="6225"/>
      <c r="AI100" s="218">
        <f t="shared" si="339"/>
        <v>37496</v>
      </c>
      <c r="AJ100" s="1001"/>
      <c r="AK100" s="181">
        <v>5000</v>
      </c>
      <c r="AL100" s="6238"/>
      <c r="AM100" s="244">
        <f t="shared" si="330"/>
        <v>12910</v>
      </c>
      <c r="AN100" s="6225"/>
      <c r="AO100" s="218">
        <f t="shared" si="331"/>
        <v>42496</v>
      </c>
      <c r="AP100" s="1001"/>
      <c r="AQ100" s="181">
        <v>3600</v>
      </c>
      <c r="AR100" s="6225"/>
      <c r="AS100" s="219">
        <f t="shared" si="340"/>
        <v>46096</v>
      </c>
      <c r="AT100" s="1001"/>
      <c r="AU100" s="181">
        <v>3565</v>
      </c>
      <c r="AV100" s="6225"/>
      <c r="AW100" s="219">
        <f t="shared" si="341"/>
        <v>49661</v>
      </c>
      <c r="AX100" s="1001"/>
      <c r="AY100" s="181">
        <v>4930</v>
      </c>
      <c r="AZ100" s="6238"/>
      <c r="BA100" s="244">
        <f t="shared" si="332"/>
        <v>12095</v>
      </c>
      <c r="BB100" s="6264"/>
      <c r="BC100" s="501">
        <f t="shared" si="342"/>
        <v>25005</v>
      </c>
      <c r="BD100" s="6225"/>
      <c r="BE100" s="219">
        <f t="shared" si="343"/>
        <v>54591</v>
      </c>
      <c r="BF100" s="26"/>
      <c r="BG100" s="26"/>
      <c r="BH100" s="26"/>
      <c r="BI100" s="26"/>
      <c r="BJ100" s="26"/>
    </row>
    <row r="101" spans="1:62" x14ac:dyDescent="0.25">
      <c r="A101" s="149"/>
      <c r="B101" s="3217" t="s">
        <v>1173</v>
      </c>
      <c r="C101" s="101" t="s">
        <v>1261</v>
      </c>
      <c r="D101" s="1001"/>
      <c r="E101" s="181">
        <v>11</v>
      </c>
      <c r="F101" s="1001"/>
      <c r="G101" s="181">
        <v>10</v>
      </c>
      <c r="H101" s="6225"/>
      <c r="I101" s="3216">
        <f t="shared" si="333"/>
        <v>21</v>
      </c>
      <c r="J101" s="1001"/>
      <c r="K101" s="181">
        <v>2</v>
      </c>
      <c r="L101" s="6238"/>
      <c r="M101" s="240">
        <f t="shared" si="334"/>
        <v>23</v>
      </c>
      <c r="N101" s="1001"/>
      <c r="O101" s="181">
        <v>2</v>
      </c>
      <c r="P101" s="6225"/>
      <c r="Q101" s="218">
        <f t="shared" si="335"/>
        <v>25</v>
      </c>
      <c r="R101" s="1001"/>
      <c r="S101" s="181"/>
      <c r="T101" s="6225"/>
      <c r="U101" s="218">
        <f t="shared" si="336"/>
        <v>25</v>
      </c>
      <c r="V101" s="1001"/>
      <c r="W101" s="181"/>
      <c r="X101" s="6238"/>
      <c r="Y101" s="244">
        <f t="shared" si="329"/>
        <v>2</v>
      </c>
      <c r="Z101" s="6264"/>
      <c r="AA101" s="501">
        <f t="shared" si="337"/>
        <v>25</v>
      </c>
      <c r="AB101" s="1001"/>
      <c r="AC101" s="181">
        <v>7</v>
      </c>
      <c r="AD101" s="6225"/>
      <c r="AE101" s="218">
        <f t="shared" si="338"/>
        <v>32</v>
      </c>
      <c r="AF101" s="1001"/>
      <c r="AG101" s="181">
        <v>4</v>
      </c>
      <c r="AH101" s="6225"/>
      <c r="AI101" s="218">
        <f t="shared" si="339"/>
        <v>36</v>
      </c>
      <c r="AJ101" s="1001"/>
      <c r="AK101" s="181">
        <v>4</v>
      </c>
      <c r="AL101" s="6238"/>
      <c r="AM101" s="244">
        <f t="shared" si="330"/>
        <v>15</v>
      </c>
      <c r="AN101" s="6225"/>
      <c r="AO101" s="218">
        <f t="shared" si="331"/>
        <v>40</v>
      </c>
      <c r="AP101" s="1001"/>
      <c r="AQ101" s="181">
        <v>1</v>
      </c>
      <c r="AR101" s="6225"/>
      <c r="AS101" s="219">
        <f t="shared" si="340"/>
        <v>41</v>
      </c>
      <c r="AT101" s="1001"/>
      <c r="AU101" s="181">
        <v>17</v>
      </c>
      <c r="AV101" s="6225"/>
      <c r="AW101" s="219">
        <f t="shared" si="341"/>
        <v>58</v>
      </c>
      <c r="AX101" s="1001"/>
      <c r="AY101" s="181">
        <v>3</v>
      </c>
      <c r="AZ101" s="6238"/>
      <c r="BA101" s="244">
        <f t="shared" si="332"/>
        <v>21</v>
      </c>
      <c r="BB101" s="6264"/>
      <c r="BC101" s="501">
        <f t="shared" si="342"/>
        <v>36</v>
      </c>
      <c r="BD101" s="6225"/>
      <c r="BE101" s="219">
        <f t="shared" si="343"/>
        <v>61</v>
      </c>
      <c r="BF101" s="26"/>
      <c r="BG101" s="26"/>
      <c r="BH101" s="26"/>
      <c r="BI101" s="26"/>
      <c r="BJ101" s="26"/>
    </row>
    <row r="102" spans="1:62" x14ac:dyDescent="0.25">
      <c r="A102" s="149"/>
      <c r="B102" s="3217" t="s">
        <v>1174</v>
      </c>
      <c r="C102" s="101" t="s">
        <v>1261</v>
      </c>
      <c r="D102" s="1001"/>
      <c r="E102" s="181">
        <v>840</v>
      </c>
      <c r="F102" s="1001"/>
      <c r="G102" s="181">
        <v>455</v>
      </c>
      <c r="H102" s="6225"/>
      <c r="I102" s="3216">
        <f t="shared" si="333"/>
        <v>1295</v>
      </c>
      <c r="J102" s="1001"/>
      <c r="K102" s="181">
        <v>697</v>
      </c>
      <c r="L102" s="6238"/>
      <c r="M102" s="240">
        <f t="shared" si="334"/>
        <v>1992</v>
      </c>
      <c r="N102" s="1001"/>
      <c r="O102" s="181">
        <v>493</v>
      </c>
      <c r="P102" s="6225"/>
      <c r="Q102" s="218">
        <f t="shared" si="335"/>
        <v>2485</v>
      </c>
      <c r="R102" s="1001"/>
      <c r="S102" s="181">
        <v>612</v>
      </c>
      <c r="T102" s="6225"/>
      <c r="U102" s="218">
        <f t="shared" si="336"/>
        <v>3097</v>
      </c>
      <c r="V102" s="1001"/>
      <c r="W102" s="181">
        <v>577</v>
      </c>
      <c r="X102" s="6238"/>
      <c r="Y102" s="244">
        <f t="shared" si="329"/>
        <v>1682</v>
      </c>
      <c r="Z102" s="6264"/>
      <c r="AA102" s="501">
        <f t="shared" si="337"/>
        <v>3674</v>
      </c>
      <c r="AB102" s="1001"/>
      <c r="AC102" s="181">
        <v>546</v>
      </c>
      <c r="AD102" s="6225"/>
      <c r="AE102" s="218">
        <f t="shared" si="338"/>
        <v>4220</v>
      </c>
      <c r="AF102" s="1001"/>
      <c r="AG102" s="181">
        <v>505</v>
      </c>
      <c r="AH102" s="6225"/>
      <c r="AI102" s="218">
        <f t="shared" si="339"/>
        <v>4725</v>
      </c>
      <c r="AJ102" s="1001"/>
      <c r="AK102" s="181">
        <v>490</v>
      </c>
      <c r="AL102" s="6238"/>
      <c r="AM102" s="244">
        <f t="shared" si="330"/>
        <v>1541</v>
      </c>
      <c r="AN102" s="6225"/>
      <c r="AO102" s="218">
        <f t="shared" si="331"/>
        <v>5215</v>
      </c>
      <c r="AP102" s="1001"/>
      <c r="AQ102" s="181">
        <v>560</v>
      </c>
      <c r="AR102" s="6225"/>
      <c r="AS102" s="219">
        <f t="shared" si="340"/>
        <v>5775</v>
      </c>
      <c r="AT102" s="1001"/>
      <c r="AU102" s="181">
        <v>572</v>
      </c>
      <c r="AV102" s="6225"/>
      <c r="AW102" s="219">
        <f t="shared" si="341"/>
        <v>6347</v>
      </c>
      <c r="AX102" s="1001"/>
      <c r="AY102" s="181">
        <v>970</v>
      </c>
      <c r="AZ102" s="6238"/>
      <c r="BA102" s="244">
        <f t="shared" si="332"/>
        <v>2102</v>
      </c>
      <c r="BB102" s="6264"/>
      <c r="BC102" s="501">
        <f t="shared" si="342"/>
        <v>3643</v>
      </c>
      <c r="BD102" s="6225"/>
      <c r="BE102" s="219">
        <f t="shared" si="343"/>
        <v>7317</v>
      </c>
      <c r="BF102" s="26"/>
      <c r="BG102" s="26"/>
      <c r="BH102" s="26"/>
      <c r="BI102" s="26"/>
      <c r="BJ102" s="26"/>
    </row>
    <row r="103" spans="1:62" x14ac:dyDescent="0.25">
      <c r="A103" s="149"/>
      <c r="B103" s="3217" t="s">
        <v>1175</v>
      </c>
      <c r="C103" s="101" t="s">
        <v>1261</v>
      </c>
      <c r="D103" s="1001"/>
      <c r="E103" s="181">
        <v>95</v>
      </c>
      <c r="F103" s="1001"/>
      <c r="G103" s="181">
        <v>84</v>
      </c>
      <c r="H103" s="6225"/>
      <c r="I103" s="3216">
        <f t="shared" si="333"/>
        <v>179</v>
      </c>
      <c r="J103" s="1001"/>
      <c r="K103" s="181">
        <v>99</v>
      </c>
      <c r="L103" s="6238"/>
      <c r="M103" s="240">
        <f t="shared" si="334"/>
        <v>278</v>
      </c>
      <c r="N103" s="1001"/>
      <c r="O103" s="181">
        <v>91</v>
      </c>
      <c r="P103" s="6225"/>
      <c r="Q103" s="218">
        <f t="shared" si="335"/>
        <v>369</v>
      </c>
      <c r="R103" s="1001"/>
      <c r="S103" s="181">
        <v>85</v>
      </c>
      <c r="T103" s="6225"/>
      <c r="U103" s="218">
        <f t="shared" si="336"/>
        <v>454</v>
      </c>
      <c r="V103" s="1001"/>
      <c r="W103" s="181">
        <v>83</v>
      </c>
      <c r="X103" s="6238"/>
      <c r="Y103" s="244">
        <f t="shared" si="329"/>
        <v>259</v>
      </c>
      <c r="Z103" s="6264"/>
      <c r="AA103" s="501">
        <f t="shared" si="337"/>
        <v>537</v>
      </c>
      <c r="AB103" s="1001"/>
      <c r="AC103" s="181">
        <v>83</v>
      </c>
      <c r="AD103" s="6225"/>
      <c r="AE103" s="218">
        <f t="shared" si="338"/>
        <v>620</v>
      </c>
      <c r="AF103" s="1001"/>
      <c r="AG103" s="181">
        <v>85</v>
      </c>
      <c r="AH103" s="6225"/>
      <c r="AI103" s="218">
        <f t="shared" si="339"/>
        <v>705</v>
      </c>
      <c r="AJ103" s="1001"/>
      <c r="AK103" s="181">
        <v>108</v>
      </c>
      <c r="AL103" s="6238"/>
      <c r="AM103" s="244">
        <f t="shared" si="330"/>
        <v>276</v>
      </c>
      <c r="AN103" s="6225"/>
      <c r="AO103" s="218">
        <f t="shared" si="331"/>
        <v>813</v>
      </c>
      <c r="AP103" s="1001"/>
      <c r="AQ103" s="181">
        <v>56</v>
      </c>
      <c r="AR103" s="6225"/>
      <c r="AS103" s="219">
        <f t="shared" si="340"/>
        <v>869</v>
      </c>
      <c r="AT103" s="1001"/>
      <c r="AU103" s="181">
        <v>66</v>
      </c>
      <c r="AV103" s="6225"/>
      <c r="AW103" s="219">
        <f t="shared" si="341"/>
        <v>935</v>
      </c>
      <c r="AX103" s="1001"/>
      <c r="AY103" s="181">
        <v>96</v>
      </c>
      <c r="AZ103" s="6238"/>
      <c r="BA103" s="244">
        <f t="shared" si="332"/>
        <v>218</v>
      </c>
      <c r="BB103" s="6264"/>
      <c r="BC103" s="501">
        <f t="shared" si="342"/>
        <v>494</v>
      </c>
      <c r="BD103" s="6225"/>
      <c r="BE103" s="219">
        <f t="shared" si="343"/>
        <v>1031</v>
      </c>
      <c r="BF103" s="26"/>
      <c r="BG103" s="26"/>
      <c r="BH103" s="26"/>
      <c r="BI103" s="26"/>
      <c r="BJ103" s="26"/>
    </row>
    <row r="104" spans="1:62" ht="15" customHeight="1" x14ac:dyDescent="0.25">
      <c r="A104" s="149"/>
      <c r="B104" s="3217" t="s">
        <v>1392</v>
      </c>
      <c r="C104" s="101" t="s">
        <v>1261</v>
      </c>
      <c r="D104" s="1001"/>
      <c r="E104" s="181">
        <v>228.94</v>
      </c>
      <c r="F104" s="1001"/>
      <c r="G104" s="181">
        <v>230.79</v>
      </c>
      <c r="H104" s="6225"/>
      <c r="I104" s="3216">
        <f t="shared" si="333"/>
        <v>459.73</v>
      </c>
      <c r="J104" s="1001"/>
      <c r="K104" s="181">
        <v>237</v>
      </c>
      <c r="L104" s="6238"/>
      <c r="M104" s="240">
        <f t="shared" si="334"/>
        <v>696.73</v>
      </c>
      <c r="N104" s="1001"/>
      <c r="O104" s="181">
        <v>172.55</v>
      </c>
      <c r="P104" s="6225"/>
      <c r="Q104" s="218">
        <f t="shared" si="335"/>
        <v>869.28</v>
      </c>
      <c r="R104" s="1001"/>
      <c r="S104" s="181">
        <v>57.12</v>
      </c>
      <c r="T104" s="6225"/>
      <c r="U104" s="218">
        <f t="shared" si="336"/>
        <v>926.4</v>
      </c>
      <c r="V104" s="1001"/>
      <c r="W104" s="181">
        <v>244.8</v>
      </c>
      <c r="X104" s="6238"/>
      <c r="Y104" s="244">
        <f t="shared" si="329"/>
        <v>474.47</v>
      </c>
      <c r="Z104" s="6264"/>
      <c r="AA104" s="501">
        <f t="shared" si="337"/>
        <v>1171.2</v>
      </c>
      <c r="AB104" s="1001"/>
      <c r="AC104" s="181">
        <v>253.46</v>
      </c>
      <c r="AD104" s="6225"/>
      <c r="AE104" s="218">
        <f t="shared" si="338"/>
        <v>1424.66</v>
      </c>
      <c r="AF104" s="1001"/>
      <c r="AG104" s="181">
        <v>244.79999999999998</v>
      </c>
      <c r="AH104" s="6225"/>
      <c r="AI104" s="218">
        <f t="shared" si="339"/>
        <v>1669.46</v>
      </c>
      <c r="AJ104" s="1001"/>
      <c r="AK104" s="181">
        <v>221.95999999999998</v>
      </c>
      <c r="AL104" s="6238"/>
      <c r="AM104" s="244">
        <f t="shared" si="330"/>
        <v>720.22</v>
      </c>
      <c r="AN104" s="6225"/>
      <c r="AO104" s="218">
        <f t="shared" si="331"/>
        <v>1891.42</v>
      </c>
      <c r="AP104" s="1001"/>
      <c r="AQ104" s="181">
        <v>221.95999999999998</v>
      </c>
      <c r="AR104" s="6225"/>
      <c r="AS104" s="219">
        <f t="shared" si="340"/>
        <v>2113.38</v>
      </c>
      <c r="AT104" s="1001"/>
      <c r="AU104" s="181">
        <v>204.77</v>
      </c>
      <c r="AV104" s="6225"/>
      <c r="AW104" s="219">
        <f t="shared" si="341"/>
        <v>2318.15</v>
      </c>
      <c r="AX104" s="1001"/>
      <c r="AY104" s="181">
        <v>251.42000000000002</v>
      </c>
      <c r="AZ104" s="6238"/>
      <c r="BA104" s="244">
        <f t="shared" si="332"/>
        <v>678.15000000000009</v>
      </c>
      <c r="BB104" s="6264"/>
      <c r="BC104" s="501">
        <f t="shared" si="342"/>
        <v>1398.3700000000001</v>
      </c>
      <c r="BD104" s="6225"/>
      <c r="BE104" s="219">
        <f t="shared" si="343"/>
        <v>2569.5700000000002</v>
      </c>
      <c r="BF104" s="26"/>
      <c r="BG104" s="26"/>
      <c r="BH104" s="26"/>
      <c r="BI104" s="26"/>
      <c r="BJ104" s="26"/>
    </row>
    <row r="105" spans="1:62" ht="15" customHeight="1" x14ac:dyDescent="0.25">
      <c r="A105" s="149"/>
      <c r="B105" s="3217" t="s">
        <v>1393</v>
      </c>
      <c r="C105" s="101" t="s">
        <v>1261</v>
      </c>
      <c r="D105" s="1001"/>
      <c r="E105" s="181">
        <v>163.48000000000002</v>
      </c>
      <c r="F105" s="1001"/>
      <c r="G105" s="181">
        <v>164.38</v>
      </c>
      <c r="H105" s="6225"/>
      <c r="I105" s="3216">
        <f t="shared" si="333"/>
        <v>327.86</v>
      </c>
      <c r="J105" s="1001"/>
      <c r="K105" s="181">
        <v>169.88</v>
      </c>
      <c r="L105" s="6238"/>
      <c r="M105" s="240">
        <f t="shared" si="334"/>
        <v>497.74</v>
      </c>
      <c r="N105" s="1001"/>
      <c r="O105" s="181">
        <v>123.02</v>
      </c>
      <c r="P105" s="6225"/>
      <c r="Q105" s="218">
        <f t="shared" si="335"/>
        <v>620.76</v>
      </c>
      <c r="R105" s="1001"/>
      <c r="S105" s="181"/>
      <c r="T105" s="6225"/>
      <c r="U105" s="218">
        <f t="shared" si="336"/>
        <v>620.76</v>
      </c>
      <c r="V105" s="1001"/>
      <c r="W105" s="181"/>
      <c r="X105" s="6238"/>
      <c r="Y105" s="244">
        <f t="shared" si="329"/>
        <v>123.02</v>
      </c>
      <c r="Z105" s="6264"/>
      <c r="AA105" s="501">
        <f t="shared" si="337"/>
        <v>620.76</v>
      </c>
      <c r="AB105" s="1001"/>
      <c r="AC105" s="181">
        <v>180.58</v>
      </c>
      <c r="AD105" s="6225"/>
      <c r="AE105" s="218">
        <f t="shared" si="338"/>
        <v>801.34</v>
      </c>
      <c r="AF105" s="1001"/>
      <c r="AG105" s="181">
        <v>174.89</v>
      </c>
      <c r="AH105" s="6225"/>
      <c r="AI105" s="218">
        <f t="shared" si="339"/>
        <v>976.23</v>
      </c>
      <c r="AJ105" s="1001"/>
      <c r="AK105" s="181">
        <v>158.24</v>
      </c>
      <c r="AL105" s="6238"/>
      <c r="AM105" s="244">
        <f t="shared" si="330"/>
        <v>513.71</v>
      </c>
      <c r="AN105" s="6225"/>
      <c r="AO105" s="218">
        <f t="shared" si="331"/>
        <v>1134.47</v>
      </c>
      <c r="AP105" s="1001"/>
      <c r="AQ105" s="181">
        <v>158.24</v>
      </c>
      <c r="AR105" s="6225"/>
      <c r="AS105" s="219">
        <f t="shared" si="340"/>
        <v>1292.71</v>
      </c>
      <c r="AT105" s="1001"/>
      <c r="AU105" s="181">
        <v>147.33000000000001</v>
      </c>
      <c r="AV105" s="6225"/>
      <c r="AW105" s="219">
        <f t="shared" si="341"/>
        <v>1440.04</v>
      </c>
      <c r="AX105" s="1001"/>
      <c r="AY105" s="181">
        <v>180.04</v>
      </c>
      <c r="AZ105" s="6238"/>
      <c r="BA105" s="244">
        <f t="shared" si="332"/>
        <v>485.61</v>
      </c>
      <c r="BB105" s="6264"/>
      <c r="BC105" s="501">
        <f t="shared" si="342"/>
        <v>999.32</v>
      </c>
      <c r="BD105" s="6225"/>
      <c r="BE105" s="219">
        <f t="shared" si="343"/>
        <v>1620.08</v>
      </c>
      <c r="BF105" s="26"/>
      <c r="BG105" s="26"/>
      <c r="BH105" s="26"/>
      <c r="BI105" s="26"/>
      <c r="BJ105" s="26"/>
    </row>
    <row r="106" spans="1:62" ht="15" customHeight="1" x14ac:dyDescent="0.25">
      <c r="A106" s="149"/>
      <c r="B106" s="3217" t="s">
        <v>1394</v>
      </c>
      <c r="C106" s="101" t="s">
        <v>1261</v>
      </c>
      <c r="D106" s="1001"/>
      <c r="E106" s="181">
        <v>46.67</v>
      </c>
      <c r="F106" s="1001"/>
      <c r="G106" s="181">
        <v>81.66</v>
      </c>
      <c r="H106" s="6225"/>
      <c r="I106" s="3216">
        <f t="shared" si="333"/>
        <v>128.32999999999998</v>
      </c>
      <c r="J106" s="1001"/>
      <c r="K106" s="181">
        <v>81.67</v>
      </c>
      <c r="L106" s="6238"/>
      <c r="M106" s="240">
        <f t="shared" si="334"/>
        <v>210</v>
      </c>
      <c r="N106" s="1001"/>
      <c r="O106" s="181">
        <v>40.840000000000003</v>
      </c>
      <c r="P106" s="6225"/>
      <c r="Q106" s="218">
        <f t="shared" si="335"/>
        <v>250.84</v>
      </c>
      <c r="R106" s="1001"/>
      <c r="S106" s="181"/>
      <c r="T106" s="6225"/>
      <c r="U106" s="218">
        <f t="shared" si="336"/>
        <v>250.84</v>
      </c>
      <c r="V106" s="1001"/>
      <c r="W106" s="181">
        <v>122.49</v>
      </c>
      <c r="X106" s="6238"/>
      <c r="Y106" s="244">
        <f t="shared" si="329"/>
        <v>163.32999999999998</v>
      </c>
      <c r="Z106" s="6264"/>
      <c r="AA106" s="501">
        <f t="shared" si="337"/>
        <v>373.33</v>
      </c>
      <c r="AB106" s="1001"/>
      <c r="AC106" s="181">
        <v>122.06</v>
      </c>
      <c r="AD106" s="6225"/>
      <c r="AE106" s="218">
        <f t="shared" si="338"/>
        <v>495.39</v>
      </c>
      <c r="AF106" s="1001"/>
      <c r="AG106" s="181">
        <v>81.66</v>
      </c>
      <c r="AH106" s="6225"/>
      <c r="AI106" s="218">
        <f t="shared" si="339"/>
        <v>577.04999999999995</v>
      </c>
      <c r="AJ106" s="1001"/>
      <c r="AK106" s="181">
        <v>75.83</v>
      </c>
      <c r="AL106" s="6238"/>
      <c r="AM106" s="244">
        <f t="shared" si="330"/>
        <v>279.55</v>
      </c>
      <c r="AN106" s="6225"/>
      <c r="AO106" s="218">
        <f t="shared" si="331"/>
        <v>652.88</v>
      </c>
      <c r="AP106" s="1001"/>
      <c r="AQ106" s="181">
        <v>75.83</v>
      </c>
      <c r="AR106" s="6225"/>
      <c r="AS106" s="219">
        <f t="shared" si="340"/>
        <v>728.71</v>
      </c>
      <c r="AT106" s="1001"/>
      <c r="AU106" s="181">
        <v>75.83</v>
      </c>
      <c r="AV106" s="6225"/>
      <c r="AW106" s="219">
        <f t="shared" si="341"/>
        <v>804.54000000000008</v>
      </c>
      <c r="AX106" s="1001"/>
      <c r="AY106" s="181">
        <v>75.83</v>
      </c>
      <c r="AZ106" s="6238"/>
      <c r="BA106" s="244">
        <f t="shared" si="332"/>
        <v>227.49</v>
      </c>
      <c r="BB106" s="6264"/>
      <c r="BC106" s="501">
        <f t="shared" si="342"/>
        <v>507.04</v>
      </c>
      <c r="BD106" s="6225"/>
      <c r="BE106" s="219">
        <f t="shared" si="343"/>
        <v>880.37000000000012</v>
      </c>
      <c r="BF106" s="26"/>
      <c r="BG106" s="26"/>
      <c r="BH106" s="26"/>
      <c r="BI106" s="26"/>
      <c r="BJ106" s="26"/>
    </row>
    <row r="107" spans="1:62" ht="15" customHeight="1" x14ac:dyDescent="0.25">
      <c r="B107" s="9" t="s">
        <v>1138</v>
      </c>
      <c r="C107" s="101" t="s">
        <v>1261</v>
      </c>
      <c r="D107" s="1001"/>
      <c r="E107" s="181">
        <v>2128</v>
      </c>
      <c r="F107" s="1001"/>
      <c r="G107" s="181">
        <v>2131</v>
      </c>
      <c r="H107" s="6225"/>
      <c r="I107" s="3216">
        <f t="shared" si="333"/>
        <v>4259</v>
      </c>
      <c r="J107" s="1001"/>
      <c r="K107" s="181">
        <v>2204</v>
      </c>
      <c r="L107" s="6238"/>
      <c r="M107" s="240">
        <f t="shared" si="334"/>
        <v>6463</v>
      </c>
      <c r="N107" s="1001"/>
      <c r="O107" s="181">
        <v>1597</v>
      </c>
      <c r="P107" s="6225"/>
      <c r="Q107" s="218">
        <f t="shared" si="335"/>
        <v>8060</v>
      </c>
      <c r="R107" s="1001"/>
      <c r="S107" s="181">
        <v>532</v>
      </c>
      <c r="T107" s="6225"/>
      <c r="U107" s="218">
        <f t="shared" si="336"/>
        <v>8592</v>
      </c>
      <c r="V107" s="1001"/>
      <c r="W107" s="181">
        <v>2280</v>
      </c>
      <c r="X107" s="6238"/>
      <c r="Y107" s="244">
        <f t="shared" si="329"/>
        <v>4409</v>
      </c>
      <c r="Z107" s="6264"/>
      <c r="AA107" s="501">
        <f t="shared" si="337"/>
        <v>10872</v>
      </c>
      <c r="AB107" s="1001"/>
      <c r="AC107" s="181">
        <v>2356</v>
      </c>
      <c r="AD107" s="6225"/>
      <c r="AE107" s="218">
        <f t="shared" si="338"/>
        <v>13228</v>
      </c>
      <c r="AF107" s="1001"/>
      <c r="AG107" s="181">
        <v>2280</v>
      </c>
      <c r="AH107" s="6225"/>
      <c r="AI107" s="218">
        <f t="shared" si="339"/>
        <v>15508</v>
      </c>
      <c r="AJ107" s="1001"/>
      <c r="AK107" s="181">
        <v>2054</v>
      </c>
      <c r="AL107" s="6238"/>
      <c r="AM107" s="244">
        <f t="shared" si="330"/>
        <v>6690</v>
      </c>
      <c r="AN107" s="6225"/>
      <c r="AO107" s="218">
        <f t="shared" si="331"/>
        <v>17562</v>
      </c>
      <c r="AP107" s="1001"/>
      <c r="AQ107" s="181">
        <v>2054</v>
      </c>
      <c r="AR107" s="6225"/>
      <c r="AS107" s="219">
        <f t="shared" si="340"/>
        <v>19616</v>
      </c>
      <c r="AT107" s="1001"/>
      <c r="AU107" s="181">
        <v>1901</v>
      </c>
      <c r="AV107" s="6225"/>
      <c r="AW107" s="219">
        <f t="shared" si="341"/>
        <v>21517</v>
      </c>
      <c r="AX107" s="1001"/>
      <c r="AY107" s="181">
        <v>2354</v>
      </c>
      <c r="AZ107" s="6238"/>
      <c r="BA107" s="244">
        <f t="shared" si="332"/>
        <v>6309</v>
      </c>
      <c r="BB107" s="6264"/>
      <c r="BC107" s="501">
        <f t="shared" si="342"/>
        <v>12999</v>
      </c>
      <c r="BD107" s="6225"/>
      <c r="BE107" s="219">
        <f t="shared" si="343"/>
        <v>23871</v>
      </c>
      <c r="BF107" s="26"/>
      <c r="BG107" s="26"/>
      <c r="BH107" s="26"/>
      <c r="BI107" s="26"/>
      <c r="BJ107" s="26"/>
    </row>
    <row r="108" spans="1:62" ht="15" customHeight="1" x14ac:dyDescent="0.25">
      <c r="B108" s="9" t="s">
        <v>1431</v>
      </c>
      <c r="C108" s="101" t="s">
        <v>1261</v>
      </c>
      <c r="D108" s="1001"/>
      <c r="E108" s="181">
        <v>46.68</v>
      </c>
      <c r="F108" s="1001"/>
      <c r="G108" s="181">
        <v>46.66</v>
      </c>
      <c r="H108" s="6225"/>
      <c r="I108" s="3216">
        <f t="shared" si="333"/>
        <v>93.34</v>
      </c>
      <c r="J108" s="1001"/>
      <c r="K108" s="181">
        <v>46.67</v>
      </c>
      <c r="L108" s="6238"/>
      <c r="M108" s="240">
        <f t="shared" si="334"/>
        <v>140.01</v>
      </c>
      <c r="N108" s="1001"/>
      <c r="O108" s="181">
        <v>46.68</v>
      </c>
      <c r="P108" s="6225"/>
      <c r="Q108" s="218">
        <f t="shared" si="335"/>
        <v>186.69</v>
      </c>
      <c r="R108" s="1001"/>
      <c r="S108" s="181"/>
      <c r="T108" s="6225"/>
      <c r="U108" s="218">
        <f t="shared" si="336"/>
        <v>186.69</v>
      </c>
      <c r="V108" s="1001"/>
      <c r="W108" s="181"/>
      <c r="X108" s="6238"/>
      <c r="Y108" s="244">
        <f t="shared" si="329"/>
        <v>46.68</v>
      </c>
      <c r="Z108" s="6264"/>
      <c r="AA108" s="501">
        <f t="shared" si="337"/>
        <v>186.69</v>
      </c>
      <c r="AB108" s="1001"/>
      <c r="AC108" s="181">
        <v>46.68</v>
      </c>
      <c r="AD108" s="6225"/>
      <c r="AE108" s="218">
        <f t="shared" si="338"/>
        <v>233.37</v>
      </c>
      <c r="AF108" s="1001"/>
      <c r="AG108" s="181">
        <v>46.66</v>
      </c>
      <c r="AH108" s="6225"/>
      <c r="AI108" s="218">
        <f t="shared" si="339"/>
        <v>280.02999999999997</v>
      </c>
      <c r="AJ108" s="1001"/>
      <c r="AK108" s="181">
        <v>46.66</v>
      </c>
      <c r="AL108" s="6238"/>
      <c r="AM108" s="244">
        <f t="shared" si="330"/>
        <v>140</v>
      </c>
      <c r="AN108" s="6225"/>
      <c r="AO108" s="218">
        <f t="shared" si="331"/>
        <v>326.68999999999994</v>
      </c>
      <c r="AP108" s="1001"/>
      <c r="AQ108" s="181">
        <v>46.66</v>
      </c>
      <c r="AR108" s="6225"/>
      <c r="AS108" s="219">
        <f t="shared" si="340"/>
        <v>373.34999999999991</v>
      </c>
      <c r="AT108" s="1001"/>
      <c r="AU108" s="181">
        <v>11.66</v>
      </c>
      <c r="AV108" s="6225"/>
      <c r="AW108" s="219">
        <f t="shared" si="341"/>
        <v>385.00999999999993</v>
      </c>
      <c r="AX108" s="1001"/>
      <c r="AY108" s="181">
        <v>46.66</v>
      </c>
      <c r="AZ108" s="6238"/>
      <c r="BA108" s="244">
        <f t="shared" si="332"/>
        <v>104.97999999999999</v>
      </c>
      <c r="BB108" s="6264"/>
      <c r="BC108" s="501">
        <f t="shared" si="342"/>
        <v>244.98</v>
      </c>
      <c r="BD108" s="6225"/>
      <c r="BE108" s="219">
        <f t="shared" si="343"/>
        <v>431.66999999999996</v>
      </c>
      <c r="BF108" s="26"/>
      <c r="BG108" s="26"/>
      <c r="BH108" s="26"/>
      <c r="BI108" s="26"/>
      <c r="BJ108" s="26"/>
    </row>
    <row r="109" spans="1:62" ht="15" customHeight="1" x14ac:dyDescent="0.25">
      <c r="B109" s="9" t="s">
        <v>1483</v>
      </c>
      <c r="C109" s="101" t="s">
        <v>411</v>
      </c>
      <c r="D109" s="1001"/>
      <c r="E109" s="18">
        <v>11.66</v>
      </c>
      <c r="F109" s="1001"/>
      <c r="G109" s="18">
        <v>46.66</v>
      </c>
      <c r="H109" s="6225"/>
      <c r="I109" s="3216">
        <f t="shared" si="333"/>
        <v>58.319999999999993</v>
      </c>
      <c r="J109" s="1001"/>
      <c r="K109" s="18">
        <v>46.67</v>
      </c>
      <c r="L109" s="6238"/>
      <c r="M109" s="240">
        <f t="shared" si="334"/>
        <v>104.99</v>
      </c>
      <c r="N109" s="1001"/>
      <c r="O109" s="18">
        <v>0</v>
      </c>
      <c r="P109" s="6225"/>
      <c r="Q109" s="218">
        <f t="shared" si="335"/>
        <v>104.99</v>
      </c>
      <c r="R109" s="1001"/>
      <c r="S109" s="18"/>
      <c r="T109" s="6225"/>
      <c r="U109" s="218">
        <f t="shared" si="336"/>
        <v>104.99</v>
      </c>
      <c r="V109" s="1001"/>
      <c r="W109" s="18"/>
      <c r="X109" s="6238"/>
      <c r="Y109" s="244">
        <f t="shared" si="329"/>
        <v>0</v>
      </c>
      <c r="Z109" s="6264"/>
      <c r="AA109" s="501">
        <f t="shared" si="337"/>
        <v>104.99</v>
      </c>
      <c r="AB109" s="1001"/>
      <c r="AC109" s="18">
        <v>93.34</v>
      </c>
      <c r="AD109" s="6225"/>
      <c r="AE109" s="218">
        <f t="shared" si="338"/>
        <v>198.32999999999998</v>
      </c>
      <c r="AF109" s="1001"/>
      <c r="AG109" s="18">
        <v>46.66</v>
      </c>
      <c r="AH109" s="6225"/>
      <c r="AI109" s="218">
        <f t="shared" si="339"/>
        <v>244.98999999999998</v>
      </c>
      <c r="AJ109" s="1001"/>
      <c r="AK109" s="18">
        <v>35</v>
      </c>
      <c r="AL109" s="6238"/>
      <c r="AM109" s="244">
        <f t="shared" si="330"/>
        <v>175</v>
      </c>
      <c r="AN109" s="6225"/>
      <c r="AO109" s="218">
        <f t="shared" si="331"/>
        <v>279.99</v>
      </c>
      <c r="AP109" s="1001"/>
      <c r="AQ109" s="18">
        <v>35</v>
      </c>
      <c r="AR109" s="6225"/>
      <c r="AS109" s="219">
        <f t="shared" si="340"/>
        <v>314.99</v>
      </c>
      <c r="AT109" s="1001"/>
      <c r="AU109" s="18">
        <v>35</v>
      </c>
      <c r="AV109" s="6225"/>
      <c r="AW109" s="219">
        <f t="shared" si="341"/>
        <v>349.99</v>
      </c>
      <c r="AX109" s="1001"/>
      <c r="AY109" s="18">
        <v>35</v>
      </c>
      <c r="AZ109" s="6238"/>
      <c r="BA109" s="244">
        <f t="shared" si="332"/>
        <v>105</v>
      </c>
      <c r="BB109" s="6264"/>
      <c r="BC109" s="501">
        <f t="shared" si="342"/>
        <v>280</v>
      </c>
      <c r="BD109" s="6225"/>
      <c r="BE109" s="219">
        <f t="shared" si="343"/>
        <v>384.99</v>
      </c>
      <c r="BF109" s="26"/>
      <c r="BG109" s="26"/>
      <c r="BH109" s="26"/>
      <c r="BI109" s="26"/>
      <c r="BJ109" s="26"/>
    </row>
    <row r="110" spans="1:62" ht="15" customHeight="1" x14ac:dyDescent="0.25">
      <c r="B110" s="5557" t="s">
        <v>2339</v>
      </c>
      <c r="C110" s="5558"/>
      <c r="D110" s="1001"/>
      <c r="E110" s="5481"/>
      <c r="F110" s="1001"/>
      <c r="G110" s="5481"/>
      <c r="H110" s="6225"/>
      <c r="I110" s="5559"/>
      <c r="J110" s="1001"/>
      <c r="K110" s="5481"/>
      <c r="L110" s="6238"/>
      <c r="M110" s="5560"/>
      <c r="N110" s="1001"/>
      <c r="O110" s="5481"/>
      <c r="P110" s="6225"/>
      <c r="Q110" s="5561"/>
      <c r="R110" s="1001"/>
      <c r="S110" s="5481">
        <v>40.81</v>
      </c>
      <c r="T110" s="6225"/>
      <c r="U110" s="218">
        <f t="shared" si="336"/>
        <v>40.81</v>
      </c>
      <c r="V110" s="1001"/>
      <c r="W110" s="5481">
        <v>174.8</v>
      </c>
      <c r="X110" s="6238"/>
      <c r="Y110" s="244">
        <f t="shared" si="329"/>
        <v>215.61</v>
      </c>
      <c r="Z110" s="6264"/>
      <c r="AA110" s="501">
        <f t="shared" si="337"/>
        <v>215.61</v>
      </c>
      <c r="AB110" s="1001"/>
      <c r="AC110" s="5481"/>
      <c r="AD110" s="6225"/>
      <c r="AE110" s="5561"/>
      <c r="AF110" s="1001"/>
      <c r="AG110" s="5481"/>
      <c r="AH110" s="6225"/>
      <c r="AI110" s="5561"/>
      <c r="AJ110" s="1001"/>
      <c r="AK110" s="5481"/>
      <c r="AL110" s="6238"/>
      <c r="AM110" s="5562"/>
      <c r="AN110" s="6225"/>
      <c r="AO110" s="5561"/>
      <c r="AP110" s="1001"/>
      <c r="AQ110" s="5481"/>
      <c r="AR110" s="6225"/>
      <c r="AS110" s="5564"/>
      <c r="AT110" s="1001"/>
      <c r="AU110" s="5481"/>
      <c r="AV110" s="6225"/>
      <c r="AW110" s="5564"/>
      <c r="AX110" s="1001"/>
      <c r="AY110" s="5481"/>
      <c r="AZ110" s="6238"/>
      <c r="BA110" s="5562"/>
      <c r="BB110" s="6264"/>
      <c r="BC110" s="5563"/>
      <c r="BD110" s="6225"/>
      <c r="BE110" s="5564"/>
      <c r="BF110" s="26"/>
      <c r="BG110" s="26"/>
      <c r="BH110" s="26"/>
      <c r="BI110" s="26"/>
      <c r="BJ110" s="26"/>
    </row>
    <row r="111" spans="1:62" ht="15" customHeight="1" x14ac:dyDescent="0.25">
      <c r="B111" s="5557" t="s">
        <v>2366</v>
      </c>
      <c r="C111" s="5558"/>
      <c r="D111" s="1001"/>
      <c r="E111" s="5481"/>
      <c r="F111" s="1001"/>
      <c r="G111" s="5481"/>
      <c r="H111" s="6225"/>
      <c r="I111" s="5559"/>
      <c r="J111" s="1001"/>
      <c r="K111" s="5481"/>
      <c r="L111" s="6238"/>
      <c r="M111" s="5560"/>
      <c r="N111" s="1001"/>
      <c r="O111" s="5481"/>
      <c r="P111" s="6225"/>
      <c r="Q111" s="5561"/>
      <c r="R111" s="1001"/>
      <c r="S111" s="5481"/>
      <c r="T111" s="6225"/>
      <c r="U111" s="5561"/>
      <c r="V111" s="1001"/>
      <c r="W111" s="5481">
        <v>93.32</v>
      </c>
      <c r="X111" s="6238"/>
      <c r="Y111" s="244">
        <f t="shared" si="329"/>
        <v>93.32</v>
      </c>
      <c r="Z111" s="6264"/>
      <c r="AA111" s="501">
        <f t="shared" si="337"/>
        <v>93.32</v>
      </c>
      <c r="AB111" s="1001"/>
      <c r="AC111" s="5481"/>
      <c r="AD111" s="6225"/>
      <c r="AE111" s="5561"/>
      <c r="AF111" s="1001"/>
      <c r="AG111" s="5481"/>
      <c r="AH111" s="6225"/>
      <c r="AI111" s="5561"/>
      <c r="AJ111" s="1001"/>
      <c r="AK111" s="5481"/>
      <c r="AL111" s="6238"/>
      <c r="AM111" s="5562"/>
      <c r="AN111" s="6225"/>
      <c r="AO111" s="5561"/>
      <c r="AP111" s="1001"/>
      <c r="AQ111" s="5481"/>
      <c r="AR111" s="6225"/>
      <c r="AS111" s="5564"/>
      <c r="AT111" s="1001"/>
      <c r="AU111" s="5481"/>
      <c r="AV111" s="6225"/>
      <c r="AW111" s="5564"/>
      <c r="AX111" s="1001"/>
      <c r="AY111" s="5481"/>
      <c r="AZ111" s="6238"/>
      <c r="BA111" s="5562"/>
      <c r="BB111" s="6264"/>
      <c r="BC111" s="5563"/>
      <c r="BD111" s="6225"/>
      <c r="BE111" s="5564"/>
      <c r="BF111" s="26"/>
      <c r="BG111" s="26"/>
      <c r="BH111" s="26"/>
      <c r="BI111" s="26"/>
      <c r="BJ111" s="26"/>
    </row>
    <row r="112" spans="1:62" ht="15.75" customHeight="1" thickBot="1" x14ac:dyDescent="0.3">
      <c r="B112" s="12" t="s">
        <v>2231</v>
      </c>
      <c r="C112" s="1838" t="s">
        <v>411</v>
      </c>
      <c r="D112" s="3218"/>
      <c r="E112" s="38">
        <v>1428</v>
      </c>
      <c r="F112" s="3218"/>
      <c r="G112" s="38">
        <v>1431</v>
      </c>
      <c r="H112" s="6246"/>
      <c r="I112" s="3219">
        <f t="shared" si="333"/>
        <v>2859</v>
      </c>
      <c r="J112" s="3218"/>
      <c r="K112" s="38">
        <v>1479</v>
      </c>
      <c r="L112" s="6238"/>
      <c r="M112" s="240">
        <f t="shared" si="334"/>
        <v>4338</v>
      </c>
      <c r="N112" s="3218"/>
      <c r="O112" s="38">
        <v>1072</v>
      </c>
      <c r="P112" s="6225"/>
      <c r="Q112" s="218">
        <f t="shared" si="335"/>
        <v>5410</v>
      </c>
      <c r="R112" s="3218"/>
      <c r="S112" s="38">
        <v>357</v>
      </c>
      <c r="T112" s="6225"/>
      <c r="U112" s="218">
        <f t="shared" si="336"/>
        <v>5767</v>
      </c>
      <c r="V112" s="3218"/>
      <c r="W112" s="38">
        <v>1530</v>
      </c>
      <c r="X112" s="6238"/>
      <c r="Y112" s="244">
        <f t="shared" si="329"/>
        <v>2959</v>
      </c>
      <c r="Z112" s="6264"/>
      <c r="AA112" s="501">
        <f t="shared" si="337"/>
        <v>7297</v>
      </c>
      <c r="AB112" s="3218"/>
      <c r="AC112" s="38">
        <v>1581</v>
      </c>
      <c r="AD112" s="6225"/>
      <c r="AE112" s="218">
        <f t="shared" si="338"/>
        <v>8878</v>
      </c>
      <c r="AF112" s="3218"/>
      <c r="AG112" s="38">
        <v>1530</v>
      </c>
      <c r="AH112" s="6225"/>
      <c r="AI112" s="218">
        <f t="shared" si="339"/>
        <v>10408</v>
      </c>
      <c r="AJ112" s="3218"/>
      <c r="AK112" s="38">
        <v>1379</v>
      </c>
      <c r="AL112" s="6238"/>
      <c r="AM112" s="244">
        <f t="shared" si="330"/>
        <v>4490</v>
      </c>
      <c r="AN112" s="6225"/>
      <c r="AO112" s="218">
        <f t="shared" si="331"/>
        <v>11787</v>
      </c>
      <c r="AP112" s="3218"/>
      <c r="AQ112" s="38">
        <v>1379</v>
      </c>
      <c r="AR112" s="6225"/>
      <c r="AS112" s="219">
        <f t="shared" si="340"/>
        <v>13166</v>
      </c>
      <c r="AT112" s="3218"/>
      <c r="AU112" s="38">
        <v>1276</v>
      </c>
      <c r="AV112" s="6225"/>
      <c r="AW112" s="219">
        <f t="shared" si="341"/>
        <v>14442</v>
      </c>
      <c r="AX112" s="3218"/>
      <c r="AY112" s="38">
        <v>1579</v>
      </c>
      <c r="AZ112" s="6238"/>
      <c r="BA112" s="244">
        <f t="shared" si="332"/>
        <v>4234</v>
      </c>
      <c r="BB112" s="6264"/>
      <c r="BC112" s="501">
        <f t="shared" si="342"/>
        <v>8724</v>
      </c>
      <c r="BD112" s="6225"/>
      <c r="BE112" s="219">
        <f t="shared" si="343"/>
        <v>16021</v>
      </c>
      <c r="BF112" s="26"/>
      <c r="BG112" s="26"/>
      <c r="BH112" s="26"/>
      <c r="BI112" s="26"/>
      <c r="BJ112" s="26"/>
    </row>
    <row r="113" spans="2:62" ht="24" thickTop="1" thickBot="1" x14ac:dyDescent="0.35">
      <c r="B113" s="3188" t="s">
        <v>413</v>
      </c>
      <c r="C113" s="3189"/>
      <c r="D113" s="3190"/>
      <c r="E113" s="3191"/>
      <c r="F113" s="3190"/>
      <c r="G113" s="3191"/>
      <c r="H113" s="3189"/>
      <c r="I113" s="3189"/>
      <c r="J113" s="3190"/>
      <c r="K113" s="3191"/>
      <c r="L113" s="138"/>
      <c r="M113" s="138"/>
      <c r="N113" s="3190"/>
      <c r="O113" s="3191"/>
      <c r="P113" s="138"/>
      <c r="Q113" s="138"/>
      <c r="R113" s="3190"/>
      <c r="S113" s="3191"/>
      <c r="T113" s="138"/>
      <c r="U113" s="138"/>
      <c r="V113" s="3190"/>
      <c r="W113" s="3191"/>
      <c r="X113" s="138"/>
      <c r="Y113" s="138"/>
      <c r="Z113" s="138"/>
      <c r="AA113" s="138"/>
      <c r="AB113" s="3190"/>
      <c r="AC113" s="3191"/>
      <c r="AD113" s="138"/>
      <c r="AE113" s="138"/>
      <c r="AF113" s="3190"/>
      <c r="AG113" s="3191"/>
      <c r="AH113" s="138"/>
      <c r="AI113" s="138"/>
      <c r="AJ113" s="3190"/>
      <c r="AK113" s="3191"/>
      <c r="AL113" s="138"/>
      <c r="AM113" s="138"/>
      <c r="AN113" s="138"/>
      <c r="AO113" s="138"/>
      <c r="AP113" s="3190"/>
      <c r="AQ113" s="3191"/>
      <c r="AR113" s="138"/>
      <c r="AS113" s="138"/>
      <c r="AT113" s="3190"/>
      <c r="AU113" s="3191"/>
      <c r="AV113" s="138"/>
      <c r="AW113" s="138"/>
      <c r="AX113" s="3190"/>
      <c r="AY113" s="3191"/>
      <c r="AZ113" s="138"/>
      <c r="BA113" s="138"/>
      <c r="BB113" s="138"/>
      <c r="BC113" s="138"/>
      <c r="BD113" s="138"/>
      <c r="BE113" s="138"/>
      <c r="BF113" s="26"/>
      <c r="BG113" s="26"/>
      <c r="BH113" s="26"/>
      <c r="BI113" s="26"/>
      <c r="BJ113" s="26"/>
    </row>
    <row r="114" spans="2:62" x14ac:dyDescent="0.25">
      <c r="B114" s="6249" t="s">
        <v>374</v>
      </c>
      <c r="C114" s="865" t="s">
        <v>393</v>
      </c>
      <c r="D114" s="368">
        <f t="shared" ref="D114:AE114" si="344">+D8+D50</f>
        <v>36091.463252194517</v>
      </c>
      <c r="E114" s="81">
        <f t="shared" si="344"/>
        <v>28419.200000000004</v>
      </c>
      <c r="F114" s="368">
        <f t="shared" ref="F114:G114" si="345">+F8+F50</f>
        <v>39844.723250093492</v>
      </c>
      <c r="G114" s="81">
        <f t="shared" si="345"/>
        <v>34691</v>
      </c>
      <c r="H114" s="712">
        <f t="shared" si="344"/>
        <v>75936.186502288008</v>
      </c>
      <c r="I114" s="227">
        <f t="shared" si="344"/>
        <v>63110.200000000012</v>
      </c>
      <c r="J114" s="368">
        <f t="shared" si="344"/>
        <v>38443.313060934714</v>
      </c>
      <c r="K114" s="81">
        <f t="shared" si="344"/>
        <v>39300.399999999994</v>
      </c>
      <c r="L114" s="713">
        <f t="shared" si="344"/>
        <v>114379.49956322271</v>
      </c>
      <c r="M114" s="1536">
        <f t="shared" si="344"/>
        <v>102410.6</v>
      </c>
      <c r="N114" s="368">
        <f t="shared" ref="N114:O114" si="346">+N8+N50</f>
        <v>39910.513372167086</v>
      </c>
      <c r="O114" s="81">
        <f t="shared" si="346"/>
        <v>42763.700000000004</v>
      </c>
      <c r="P114" s="712">
        <f t="shared" ref="P114:S114" si="347">+P8+P50</f>
        <v>154290.01293538979</v>
      </c>
      <c r="Q114" s="227">
        <f t="shared" si="347"/>
        <v>145174.29999999999</v>
      </c>
      <c r="R114" s="368">
        <f t="shared" si="347"/>
        <v>39330.490682108619</v>
      </c>
      <c r="S114" s="81">
        <f t="shared" si="347"/>
        <v>41038.899999999994</v>
      </c>
      <c r="T114" s="712">
        <f>+T8+T50</f>
        <v>193620.50361749841</v>
      </c>
      <c r="U114" s="227">
        <f>+U8+U50</f>
        <v>186213.19999999998</v>
      </c>
      <c r="V114" s="368">
        <f>+V8+V50</f>
        <v>29457.71535890465</v>
      </c>
      <c r="W114" s="81">
        <f>+W8+W50</f>
        <v>38265.4</v>
      </c>
      <c r="X114" s="713">
        <f t="shared" ref="X114:Y114" si="348">+X8+X50</f>
        <v>108698.71941318037</v>
      </c>
      <c r="Y114" s="1536">
        <f t="shared" si="348"/>
        <v>122068</v>
      </c>
      <c r="Z114" s="714">
        <f t="shared" ref="Z114" si="349">+Z8+Z50</f>
        <v>223078.21897640306</v>
      </c>
      <c r="AA114" s="526">
        <f t="shared" si="344"/>
        <v>224478.59999999998</v>
      </c>
      <c r="AB114" s="368">
        <f t="shared" si="344"/>
        <v>39591.106959484961</v>
      </c>
      <c r="AC114" s="81">
        <f t="shared" si="344"/>
        <v>30478.3</v>
      </c>
      <c r="AD114" s="712">
        <f t="shared" si="344"/>
        <v>262669.32593588805</v>
      </c>
      <c r="AE114" s="227">
        <f t="shared" si="344"/>
        <v>254956.89999999997</v>
      </c>
      <c r="AF114" s="368">
        <f t="shared" ref="AF114:AI114" si="350">+AF8+AF50</f>
        <v>38489.478129143623</v>
      </c>
      <c r="AG114" s="81">
        <f t="shared" si="350"/>
        <v>11127.7</v>
      </c>
      <c r="AH114" s="712">
        <f t="shared" si="350"/>
        <v>301158.8040650317</v>
      </c>
      <c r="AI114" s="227">
        <f t="shared" si="350"/>
        <v>266084.59999999998</v>
      </c>
      <c r="AJ114" s="368">
        <f t="shared" ref="AJ114:AK114" si="351">+AJ8+AJ50</f>
        <v>39955.819877610265</v>
      </c>
      <c r="AK114" s="81">
        <f t="shared" si="351"/>
        <v>35845.4</v>
      </c>
      <c r="AL114" s="713">
        <f t="shared" ref="AL114:AS114" si="352">+AL8+AL50</f>
        <v>118036.40496623886</v>
      </c>
      <c r="AM114" s="1536">
        <f t="shared" si="352"/>
        <v>77451.399999999994</v>
      </c>
      <c r="AN114" s="712">
        <f t="shared" si="352"/>
        <v>341114.62394264195</v>
      </c>
      <c r="AO114" s="227">
        <f t="shared" si="352"/>
        <v>301930</v>
      </c>
      <c r="AP114" s="368">
        <f t="shared" si="352"/>
        <v>39973.484439013773</v>
      </c>
      <c r="AQ114" s="81">
        <f t="shared" si="352"/>
        <v>35081.600000000006</v>
      </c>
      <c r="AR114" s="712">
        <f t="shared" si="352"/>
        <v>381088.10838165577</v>
      </c>
      <c r="AS114" s="227">
        <f t="shared" si="352"/>
        <v>337011.6</v>
      </c>
      <c r="AT114" s="368">
        <f t="shared" ref="AT114:AW114" si="353">+AT8+AT50</f>
        <v>36291.780355194263</v>
      </c>
      <c r="AU114" s="81">
        <f t="shared" si="353"/>
        <v>31225.199999999997</v>
      </c>
      <c r="AV114" s="712">
        <f t="shared" si="353"/>
        <v>417379.88873685</v>
      </c>
      <c r="AW114" s="227">
        <f t="shared" si="353"/>
        <v>368236.79999999993</v>
      </c>
      <c r="AX114" s="368">
        <f t="shared" ref="AX114:AY114" si="354">+AX8+AX50</f>
        <v>39826.390961316632</v>
      </c>
      <c r="AY114" s="81">
        <f t="shared" si="354"/>
        <v>33457.4</v>
      </c>
      <c r="AZ114" s="713">
        <f t="shared" ref="AZ114:BE114" si="355">+AZ8+AZ50</f>
        <v>116091.65575552467</v>
      </c>
      <c r="BA114" s="1536">
        <f t="shared" si="355"/>
        <v>99764.2</v>
      </c>
      <c r="BB114" s="714">
        <f t="shared" si="355"/>
        <v>234128.06072176353</v>
      </c>
      <c r="BC114" s="526">
        <f t="shared" si="355"/>
        <v>177215.6</v>
      </c>
      <c r="BD114" s="712">
        <f t="shared" si="355"/>
        <v>457206.27969816665</v>
      </c>
      <c r="BE114" s="227">
        <f t="shared" si="355"/>
        <v>401694.19999999995</v>
      </c>
      <c r="BF114" s="26"/>
      <c r="BG114" s="26"/>
      <c r="BH114" s="26"/>
      <c r="BI114" s="26"/>
      <c r="BJ114" s="26"/>
    </row>
    <row r="115" spans="2:62" ht="15.75" thickBot="1" x14ac:dyDescent="0.3">
      <c r="B115" s="6250"/>
      <c r="C115" s="730" t="s">
        <v>381</v>
      </c>
      <c r="D115" s="1002">
        <f t="shared" ref="D115:M115" si="356">+D12+D51</f>
        <v>50.127032294714631</v>
      </c>
      <c r="E115" s="694">
        <f t="shared" si="356"/>
        <v>39.471111111111121</v>
      </c>
      <c r="F115" s="1002">
        <f t="shared" ref="F115:G115" si="357">+F12+F51</f>
        <v>53.554735551200942</v>
      </c>
      <c r="G115" s="694">
        <f t="shared" si="357"/>
        <v>46.627688172043008</v>
      </c>
      <c r="H115" s="2048">
        <f t="shared" si="356"/>
        <v>51.868979851289623</v>
      </c>
      <c r="I115" s="2893">
        <f t="shared" si="356"/>
        <v>43.108060109289625</v>
      </c>
      <c r="J115" s="1002">
        <f t="shared" si="356"/>
        <v>53.393490362409324</v>
      </c>
      <c r="K115" s="694">
        <f t="shared" si="356"/>
        <v>54.583888888888879</v>
      </c>
      <c r="L115" s="756">
        <f t="shared" si="356"/>
        <v>52.371565734076327</v>
      </c>
      <c r="M115" s="1537">
        <f t="shared" si="356"/>
        <v>46.891300366300364</v>
      </c>
      <c r="N115" s="1002">
        <f t="shared" ref="N115:O115" si="358">+N12+N51</f>
        <v>53.643163134633191</v>
      </c>
      <c r="O115" s="694">
        <f t="shared" si="358"/>
        <v>57.478091397849475</v>
      </c>
      <c r="P115" s="755">
        <f t="shared" ref="P115:S115" si="359">+P12+P51</f>
        <v>52.694676548971927</v>
      </c>
      <c r="Q115" s="228">
        <f t="shared" si="359"/>
        <v>49.581386612021852</v>
      </c>
      <c r="R115" s="1002">
        <f t="shared" si="359"/>
        <v>52.863562744769652</v>
      </c>
      <c r="S115" s="694">
        <f t="shared" si="359"/>
        <v>55.159811827956986</v>
      </c>
      <c r="T115" s="755">
        <f>+T12+T51</f>
        <v>52.728895320669501</v>
      </c>
      <c r="U115" s="228">
        <f>+U12+U51</f>
        <v>50.711655773420468</v>
      </c>
      <c r="V115" s="1002">
        <f>+V12+V51</f>
        <v>40.91349355403424</v>
      </c>
      <c r="W115" s="694">
        <f>+W12+W51</f>
        <v>53.146388888888886</v>
      </c>
      <c r="X115" s="756">
        <f t="shared" ref="X115" si="360">+X12+X51</f>
        <v>49.22949248785342</v>
      </c>
      <c r="Y115" s="1537">
        <f>+Y12+Y51</f>
        <v>55.284420289855071</v>
      </c>
      <c r="Z115" s="757">
        <f t="shared" ref="Z115" si="361">+Z12+Z51</f>
        <v>50.791944211385029</v>
      </c>
      <c r="AA115" s="668">
        <f>+AA12+AA51</f>
        <v>51.110792349726772</v>
      </c>
      <c r="AB115" s="1002">
        <f t="shared" ref="AB115:AC115" si="362">+AB12+AB51</f>
        <v>53.213853440167952</v>
      </c>
      <c r="AC115" s="694">
        <f t="shared" si="362"/>
        <v>40.965456989247308</v>
      </c>
      <c r="AD115" s="755">
        <f t="shared" ref="AD115:AG115" si="363">+AD12+AD51</f>
        <v>51.142781529573213</v>
      </c>
      <c r="AE115" s="228">
        <f t="shared" si="363"/>
        <v>49.641140965732085</v>
      </c>
      <c r="AF115" s="1002">
        <f t="shared" si="363"/>
        <v>53.457608512699473</v>
      </c>
      <c r="AG115" s="694">
        <f t="shared" si="363"/>
        <v>15.455138888888889</v>
      </c>
      <c r="AH115" s="755">
        <f t="shared" ref="AH115:AK115" si="364">+AH12+AH51</f>
        <v>51.427391404547762</v>
      </c>
      <c r="AI115" s="228">
        <f t="shared" si="364"/>
        <v>45.437943989071037</v>
      </c>
      <c r="AJ115" s="1002">
        <f t="shared" si="364"/>
        <v>53.704058975282621</v>
      </c>
      <c r="AK115" s="694">
        <f t="shared" si="364"/>
        <v>48.179301075268818</v>
      </c>
      <c r="AL115" s="756">
        <f t="shared" ref="AL115:AS115" si="365">+AL12+AL51</f>
        <v>53.458516741955997</v>
      </c>
      <c r="AM115" s="1537">
        <f>+AM12+AM51</f>
        <v>35.0776268115942</v>
      </c>
      <c r="AN115" s="755">
        <f t="shared" si="365"/>
        <v>51.684033930703322</v>
      </c>
      <c r="AO115" s="228">
        <f t="shared" si="365"/>
        <v>45.7469696969697</v>
      </c>
      <c r="AP115" s="1002">
        <f t="shared" si="365"/>
        <v>53.72780166534109</v>
      </c>
      <c r="AQ115" s="694">
        <f t="shared" si="365"/>
        <v>47.152688172043014</v>
      </c>
      <c r="AR115" s="755">
        <f t="shared" si="365"/>
        <v>51.891082295977085</v>
      </c>
      <c r="AS115" s="2893">
        <f t="shared" si="365"/>
        <v>45.889379084967317</v>
      </c>
      <c r="AT115" s="1002">
        <f t="shared" ref="AT115:AW115" si="366">+AT12+AT51</f>
        <v>54.005625528562888</v>
      </c>
      <c r="AU115" s="694">
        <f t="shared" si="366"/>
        <v>46.466071428571418</v>
      </c>
      <c r="AV115" s="755">
        <f t="shared" si="366"/>
        <v>52.068349393319615</v>
      </c>
      <c r="AW115" s="2893">
        <f t="shared" si="366"/>
        <v>45.937724550898196</v>
      </c>
      <c r="AX115" s="1002">
        <f t="shared" ref="AX115:AY115" si="367">+AX12+AX51</f>
        <v>53.530095378113757</v>
      </c>
      <c r="AY115" s="694">
        <f t="shared" si="367"/>
        <v>44.969623655913978</v>
      </c>
      <c r="AZ115" s="756">
        <f t="shared" ref="AZ115:BE115" si="368">+AZ12+AZ51</f>
        <v>53.74613692385401</v>
      </c>
      <c r="BA115" s="1537">
        <f>+BA12+BA51</f>
        <v>46.187129629629624</v>
      </c>
      <c r="BB115" s="757">
        <f t="shared" ref="BB115" si="369">+BB12+BB51</f>
        <v>53.600746502235239</v>
      </c>
      <c r="BC115" s="668">
        <f>+BC12+BC51</f>
        <v>40.571336996336996</v>
      </c>
      <c r="BD115" s="755">
        <f t="shared" si="368"/>
        <v>52.192497682439111</v>
      </c>
      <c r="BE115" s="228">
        <f t="shared" si="368"/>
        <v>45.855502283105018</v>
      </c>
      <c r="BF115" s="26"/>
      <c r="BG115" s="26"/>
      <c r="BH115" s="26"/>
      <c r="BI115" s="26"/>
      <c r="BJ115" s="26"/>
    </row>
    <row r="116" spans="2:62" ht="15.75" customHeight="1" x14ac:dyDescent="0.25">
      <c r="B116" s="6251" t="s">
        <v>399</v>
      </c>
      <c r="C116" s="865" t="s">
        <v>393</v>
      </c>
      <c r="D116" s="368">
        <f t="shared" ref="D116:AE116" si="370">+D9+D52</f>
        <v>80141.277670534197</v>
      </c>
      <c r="E116" s="81">
        <f t="shared" si="370"/>
        <v>76262.60536799999</v>
      </c>
      <c r="F116" s="368">
        <f t="shared" ref="F116:G116" si="371">+F9+F52</f>
        <v>80308.212163803051</v>
      </c>
      <c r="G116" s="81">
        <f t="shared" si="371"/>
        <v>78965.847000000009</v>
      </c>
      <c r="H116" s="712">
        <f t="shared" si="370"/>
        <v>160449.48983433726</v>
      </c>
      <c r="I116" s="227">
        <f t="shared" si="370"/>
        <v>155228.452368</v>
      </c>
      <c r="J116" s="368">
        <f t="shared" si="370"/>
        <v>77784.006236527115</v>
      </c>
      <c r="K116" s="81">
        <f t="shared" si="370"/>
        <v>73736.258999999991</v>
      </c>
      <c r="L116" s="713">
        <f t="shared" si="370"/>
        <v>238233.49607086438</v>
      </c>
      <c r="M116" s="1536">
        <f t="shared" si="370"/>
        <v>228964.71136800002</v>
      </c>
      <c r="N116" s="368">
        <f t="shared" ref="N116:O116" si="372">+N9+N52</f>
        <v>79310.793822003354</v>
      </c>
      <c r="O116" s="81">
        <f t="shared" si="372"/>
        <v>75209.537536000003</v>
      </c>
      <c r="P116" s="712">
        <f t="shared" ref="P116:S116" si="373">+P9+P52</f>
        <v>317544.28989286773</v>
      </c>
      <c r="Q116" s="227">
        <f t="shared" si="373"/>
        <v>304174.24890400004</v>
      </c>
      <c r="R116" s="368">
        <f t="shared" si="373"/>
        <v>79890.816512061836</v>
      </c>
      <c r="S116" s="81">
        <f t="shared" si="373"/>
        <v>73694.706000000006</v>
      </c>
      <c r="T116" s="712">
        <f>+T9+T52</f>
        <v>397435.10640492954</v>
      </c>
      <c r="U116" s="227">
        <f>+U9+U52</f>
        <v>377868.95490400004</v>
      </c>
      <c r="V116" s="368">
        <f>+V9+V52</f>
        <v>52590.915740339857</v>
      </c>
      <c r="W116" s="81">
        <f>+W9+W52</f>
        <v>73998.622999999992</v>
      </c>
      <c r="X116" s="713">
        <f t="shared" ref="X116:Y116" si="374">+X9+X52</f>
        <v>211792.52607440506</v>
      </c>
      <c r="Y116" s="1536">
        <f t="shared" si="374"/>
        <v>222902.86653599999</v>
      </c>
      <c r="Z116" s="714">
        <f t="shared" ref="Z116" si="375">+Z9+Z52</f>
        <v>450026.02214526944</v>
      </c>
      <c r="AA116" s="526">
        <f t="shared" si="370"/>
        <v>451867.57790400006</v>
      </c>
      <c r="AB116" s="368">
        <f t="shared" si="370"/>
        <v>78761.381785742269</v>
      </c>
      <c r="AC116" s="81">
        <f t="shared" si="370"/>
        <v>81447.684999999998</v>
      </c>
      <c r="AD116" s="712">
        <f t="shared" si="370"/>
        <v>528787.40393101168</v>
      </c>
      <c r="AE116" s="227">
        <f t="shared" si="370"/>
        <v>533315.262904</v>
      </c>
      <c r="AF116" s="368">
        <f t="shared" ref="AF116:AI116" si="376">+AF9+AF52</f>
        <v>76103.767354413954</v>
      </c>
      <c r="AG116" s="81">
        <f t="shared" si="376"/>
        <v>37762.020319999996</v>
      </c>
      <c r="AH116" s="712">
        <f t="shared" si="376"/>
        <v>604891.17128542566</v>
      </c>
      <c r="AI116" s="227">
        <f t="shared" si="376"/>
        <v>571077.28322400001</v>
      </c>
      <c r="AJ116" s="368">
        <f t="shared" ref="AJ116:AK116" si="377">+AJ9+AJ52</f>
        <v>78396.668867616972</v>
      </c>
      <c r="AK116" s="81">
        <f t="shared" si="377"/>
        <v>73160.073000000004</v>
      </c>
      <c r="AL116" s="713">
        <f t="shared" ref="AL116:AS116" si="378">+AL9+AL52</f>
        <v>233261.8180077732</v>
      </c>
      <c r="AM116" s="1536">
        <f t="shared" si="378"/>
        <v>192369.77832000001</v>
      </c>
      <c r="AN116" s="712">
        <f t="shared" si="378"/>
        <v>683287.84015304269</v>
      </c>
      <c r="AO116" s="227">
        <f t="shared" si="378"/>
        <v>644237.3562240001</v>
      </c>
      <c r="AP116" s="368">
        <f t="shared" si="378"/>
        <v>78379.004306213465</v>
      </c>
      <c r="AQ116" s="81">
        <f t="shared" si="378"/>
        <v>74732.282103999998</v>
      </c>
      <c r="AR116" s="712">
        <f t="shared" si="378"/>
        <v>761666.84445925616</v>
      </c>
      <c r="AS116" s="227">
        <f t="shared" si="378"/>
        <v>718969.63832800009</v>
      </c>
      <c r="AT116" s="368">
        <f t="shared" ref="AT116:AW116" si="379">+AT9+AT52</f>
        <v>70393.157274186378</v>
      </c>
      <c r="AU116" s="81">
        <f t="shared" si="379"/>
        <v>69509.019</v>
      </c>
      <c r="AV116" s="712">
        <f t="shared" si="379"/>
        <v>832060.00173344254</v>
      </c>
      <c r="AW116" s="227">
        <f t="shared" si="379"/>
        <v>788478.65732799994</v>
      </c>
      <c r="AX116" s="368">
        <f t="shared" ref="AX116:AY116" si="380">+AX9+AX52</f>
        <v>79059.986965968652</v>
      </c>
      <c r="AY116" s="81">
        <f t="shared" si="380"/>
        <v>79112.964999999997</v>
      </c>
      <c r="AZ116" s="713">
        <f t="shared" ref="AZ116:BE116" si="381">+AZ9+AZ52</f>
        <v>227832.14854636849</v>
      </c>
      <c r="BA116" s="1536">
        <f t="shared" si="381"/>
        <v>223354.26610399998</v>
      </c>
      <c r="BB116" s="714">
        <f t="shared" si="381"/>
        <v>461093.96655414172</v>
      </c>
      <c r="BC116" s="526">
        <f t="shared" si="381"/>
        <v>415724.04442400002</v>
      </c>
      <c r="BD116" s="712">
        <f t="shared" si="381"/>
        <v>911119.98869941116</v>
      </c>
      <c r="BE116" s="227">
        <f t="shared" si="381"/>
        <v>867591.62232800003</v>
      </c>
      <c r="BF116" s="26"/>
      <c r="BG116" s="26"/>
      <c r="BH116" s="26"/>
      <c r="BI116" s="26"/>
      <c r="BJ116" s="26"/>
    </row>
    <row r="117" spans="2:62" ht="15.75" thickBot="1" x14ac:dyDescent="0.3">
      <c r="B117" s="6252"/>
      <c r="C117" s="730" t="s">
        <v>381</v>
      </c>
      <c r="D117" s="1002">
        <f t="shared" ref="D117:AE117" si="382">+D13+D53</f>
        <v>111.30733009796415</v>
      </c>
      <c r="E117" s="694">
        <f t="shared" si="382"/>
        <v>105.92028523333335</v>
      </c>
      <c r="F117" s="1002">
        <f t="shared" ref="F117:G117" si="383">+F13+F53</f>
        <v>107.9411453814557</v>
      </c>
      <c r="G117" s="694">
        <f t="shared" si="383"/>
        <v>106.13689112903226</v>
      </c>
      <c r="H117" s="2048">
        <f t="shared" si="382"/>
        <v>109.59664606170578</v>
      </c>
      <c r="I117" s="2893">
        <f t="shared" si="382"/>
        <v>106.03036363934426</v>
      </c>
      <c r="J117" s="1002">
        <f t="shared" si="382"/>
        <v>108.03334199517656</v>
      </c>
      <c r="K117" s="694">
        <f t="shared" si="382"/>
        <v>102.41147083333333</v>
      </c>
      <c r="L117" s="756">
        <f t="shared" si="382"/>
        <v>109.08127109471813</v>
      </c>
      <c r="M117" s="1537">
        <f t="shared" si="382"/>
        <v>104.83732205494505</v>
      </c>
      <c r="N117" s="1002">
        <f t="shared" ref="N117:O117" si="384">+N13+N53</f>
        <v>106.60052933064966</v>
      </c>
      <c r="O117" s="694">
        <f t="shared" si="384"/>
        <v>101.0880880860215</v>
      </c>
      <c r="P117" s="755">
        <f t="shared" ref="P117:S117" si="385">+P13+P53</f>
        <v>108.45091867925811</v>
      </c>
      <c r="Q117" s="228">
        <f t="shared" si="385"/>
        <v>103.88464784972679</v>
      </c>
      <c r="R117" s="1002">
        <f t="shared" si="385"/>
        <v>107.38012972051321</v>
      </c>
      <c r="S117" s="694">
        <f t="shared" si="385"/>
        <v>99.052024193548391</v>
      </c>
      <c r="T117" s="755">
        <f>+T13+T53</f>
        <v>108.23396143925096</v>
      </c>
      <c r="U117" s="228">
        <f>+U13+U53</f>
        <v>102.90548880827886</v>
      </c>
      <c r="V117" s="1002">
        <f>+V13+V53</f>
        <v>73.042938528249806</v>
      </c>
      <c r="W117" s="694">
        <f>+W13+W53</f>
        <v>102.77586527777775</v>
      </c>
      <c r="X117" s="756">
        <f t="shared" ref="X117:Y117" si="386">+X13+X53</f>
        <v>95.920528113408082</v>
      </c>
      <c r="Y117" s="1537">
        <f t="shared" si="386"/>
        <v>100.95238520652174</v>
      </c>
      <c r="Z117" s="757">
        <f t="shared" ref="Z117" si="387">+Z13+Z53</f>
        <v>102.46494128990652</v>
      </c>
      <c r="AA117" s="668">
        <f t="shared" si="382"/>
        <v>102.88423904918032</v>
      </c>
      <c r="AB117" s="1002">
        <f t="shared" si="382"/>
        <v>105.86207229266435</v>
      </c>
      <c r="AC117" s="694">
        <f t="shared" si="382"/>
        <v>109.47269489247311</v>
      </c>
      <c r="AD117" s="755">
        <f t="shared" si="382"/>
        <v>102.95704905198825</v>
      </c>
      <c r="AE117" s="228">
        <f t="shared" si="382"/>
        <v>103.83864153115265</v>
      </c>
      <c r="AF117" s="1002">
        <f t="shared" ref="AF117:AI117" si="388">+AF13+AF53</f>
        <v>105.6996768811305</v>
      </c>
      <c r="AG117" s="694">
        <f t="shared" si="388"/>
        <v>52.447250444444443</v>
      </c>
      <c r="AH117" s="755">
        <f t="shared" si="388"/>
        <v>103.2942573916369</v>
      </c>
      <c r="AI117" s="228">
        <f t="shared" si="388"/>
        <v>97.52002787295082</v>
      </c>
      <c r="AJ117" s="1002">
        <f t="shared" ref="AJ117:AK117" si="389">+AJ13+AJ53</f>
        <v>105.37186675754968</v>
      </c>
      <c r="AK117" s="694">
        <f t="shared" si="389"/>
        <v>98.33343145161291</v>
      </c>
      <c r="AL117" s="756">
        <f t="shared" ref="AL117:AS117" si="390">+AL13+AL53</f>
        <v>105.64393931511466</v>
      </c>
      <c r="AM117" s="1537">
        <f t="shared" si="390"/>
        <v>87.123993804347833</v>
      </c>
      <c r="AN117" s="755">
        <f t="shared" si="390"/>
        <v>103.5284606292489</v>
      </c>
      <c r="AO117" s="228">
        <f t="shared" si="390"/>
        <v>97.611720640000001</v>
      </c>
      <c r="AP117" s="1002">
        <f t="shared" si="390"/>
        <v>105.34812406749121</v>
      </c>
      <c r="AQ117" s="694">
        <f t="shared" si="390"/>
        <v>100.4466157311828</v>
      </c>
      <c r="AR117" s="755">
        <f t="shared" si="390"/>
        <v>103.71280561809044</v>
      </c>
      <c r="AS117" s="2893">
        <f t="shared" si="390"/>
        <v>97.898915894335502</v>
      </c>
      <c r="AT117" s="1002">
        <f t="shared" ref="AT117:AW117" si="391">+AT13+AT53</f>
        <v>104.75172213420592</v>
      </c>
      <c r="AU117" s="694">
        <f t="shared" si="391"/>
        <v>103.43604017857142</v>
      </c>
      <c r="AV117" s="755">
        <f t="shared" si="391"/>
        <v>103.79990041584863</v>
      </c>
      <c r="AW117" s="2893">
        <f t="shared" si="391"/>
        <v>98.363105954091822</v>
      </c>
      <c r="AX117" s="1002">
        <f t="shared" ref="AX117:AY117" si="392">+AX13+AX53</f>
        <v>106.2634233413557</v>
      </c>
      <c r="AY117" s="694">
        <f t="shared" si="392"/>
        <v>106.33463037634408</v>
      </c>
      <c r="AZ117" s="756">
        <f t="shared" ref="AZ117:BE117" si="393">+AZ13+AZ53</f>
        <v>105.47784654924466</v>
      </c>
      <c r="BA117" s="1537">
        <f t="shared" si="393"/>
        <v>103.40475282592593</v>
      </c>
      <c r="BB117" s="757">
        <f t="shared" si="393"/>
        <v>105.56180552979436</v>
      </c>
      <c r="BC117" s="668">
        <f t="shared" si="393"/>
        <v>95.174918595238111</v>
      </c>
      <c r="BD117" s="755">
        <f t="shared" si="393"/>
        <v>104.00913113006976</v>
      </c>
      <c r="BE117" s="228">
        <f t="shared" si="393"/>
        <v>99.04013953515981</v>
      </c>
      <c r="BF117" s="26"/>
      <c r="BG117" s="26"/>
      <c r="BH117" s="26"/>
      <c r="BI117" s="26"/>
      <c r="BJ117" s="26"/>
    </row>
    <row r="118" spans="2:62" ht="18.75" customHeight="1" x14ac:dyDescent="0.25">
      <c r="B118" s="5863" t="s">
        <v>461</v>
      </c>
      <c r="C118" s="843" t="s">
        <v>393</v>
      </c>
      <c r="D118" s="1003">
        <f t="shared" ref="D118:E119" si="394">+D114+D116</f>
        <v>116232.74092272871</v>
      </c>
      <c r="E118" s="213">
        <f t="shared" si="394"/>
        <v>104681.805368</v>
      </c>
      <c r="F118" s="1003">
        <f t="shared" ref="F118:G118" si="395">+F114+F116</f>
        <v>120152.93541389654</v>
      </c>
      <c r="G118" s="213">
        <f t="shared" si="395"/>
        <v>113656.84700000001</v>
      </c>
      <c r="H118" s="798">
        <f t="shared" ref="H118:K119" si="396">+H114+H116</f>
        <v>236385.67633662527</v>
      </c>
      <c r="I118" s="229">
        <f t="shared" si="396"/>
        <v>218338.65236800001</v>
      </c>
      <c r="J118" s="1003">
        <f t="shared" si="396"/>
        <v>116227.31929746183</v>
      </c>
      <c r="K118" s="213">
        <f t="shared" si="396"/>
        <v>113036.65899999999</v>
      </c>
      <c r="L118" s="1517">
        <f t="shared" ref="L118:Q118" si="397">+L114+L116</f>
        <v>352612.99563408707</v>
      </c>
      <c r="M118" s="1538">
        <f t="shared" si="397"/>
        <v>331375.311368</v>
      </c>
      <c r="N118" s="1003">
        <f t="shared" si="397"/>
        <v>119221.30719417044</v>
      </c>
      <c r="O118" s="213">
        <f t="shared" si="397"/>
        <v>117973.237536</v>
      </c>
      <c r="P118" s="798">
        <f t="shared" si="397"/>
        <v>471834.30282825755</v>
      </c>
      <c r="Q118" s="229">
        <f t="shared" si="397"/>
        <v>449348.54890400002</v>
      </c>
      <c r="R118" s="1003">
        <f t="shared" ref="R118:S118" si="398">+R114+R116</f>
        <v>119221.30719417045</v>
      </c>
      <c r="S118" s="213">
        <f t="shared" si="398"/>
        <v>114733.606</v>
      </c>
      <c r="T118" s="798">
        <f t="shared" ref="T118:W118" si="399">+T114+T116</f>
        <v>591055.61002242798</v>
      </c>
      <c r="U118" s="229">
        <f t="shared" si="399"/>
        <v>564082.154904</v>
      </c>
      <c r="V118" s="1003">
        <f t="shared" si="399"/>
        <v>82048.631099244507</v>
      </c>
      <c r="W118" s="213">
        <f t="shared" si="399"/>
        <v>112264.02299999999</v>
      </c>
      <c r="X118" s="1517">
        <f t="shared" ref="X118:Y118" si="400">+X114+X116</f>
        <v>320491.24548758543</v>
      </c>
      <c r="Y118" s="1538">
        <f t="shared" si="400"/>
        <v>344970.86653599999</v>
      </c>
      <c r="Z118" s="797">
        <f t="shared" ref="Z118" si="401">+Z114+Z116</f>
        <v>673104.24112167256</v>
      </c>
      <c r="AA118" s="669">
        <f t="shared" ref="AA118:AE118" si="402">+AA114+AA116</f>
        <v>676346.17790400004</v>
      </c>
      <c r="AB118" s="1003">
        <f t="shared" si="402"/>
        <v>118352.48874522722</v>
      </c>
      <c r="AC118" s="213">
        <f t="shared" si="402"/>
        <v>111925.985</v>
      </c>
      <c r="AD118" s="798">
        <f t="shared" si="402"/>
        <v>791456.72986689978</v>
      </c>
      <c r="AE118" s="229">
        <f t="shared" si="402"/>
        <v>788272.16290399991</v>
      </c>
      <c r="AF118" s="1003">
        <f t="shared" ref="AF118:AI118" si="403">+AF114+AF116</f>
        <v>114593.24548355758</v>
      </c>
      <c r="AG118" s="213">
        <f t="shared" si="403"/>
        <v>48889.720319999993</v>
      </c>
      <c r="AH118" s="798">
        <f t="shared" si="403"/>
        <v>906049.97535045736</v>
      </c>
      <c r="AI118" s="229">
        <f t="shared" si="403"/>
        <v>837161.88322399999</v>
      </c>
      <c r="AJ118" s="1003">
        <f t="shared" ref="AJ118:AK118" si="404">+AJ114+AJ116</f>
        <v>118352.48874522724</v>
      </c>
      <c r="AK118" s="213">
        <f t="shared" si="404"/>
        <v>109005.473</v>
      </c>
      <c r="AL118" s="1517">
        <f t="shared" ref="AL118:AS118" si="405">+AL114+AL116</f>
        <v>351298.22297401202</v>
      </c>
      <c r="AM118" s="1538">
        <f t="shared" si="405"/>
        <v>269821.17832000001</v>
      </c>
      <c r="AN118" s="798">
        <f t="shared" si="405"/>
        <v>1024402.4640956847</v>
      </c>
      <c r="AO118" s="229">
        <f t="shared" si="405"/>
        <v>946167.3562240001</v>
      </c>
      <c r="AP118" s="1003">
        <f t="shared" si="405"/>
        <v>118352.48874522724</v>
      </c>
      <c r="AQ118" s="213">
        <f t="shared" si="405"/>
        <v>109813.882104</v>
      </c>
      <c r="AR118" s="798">
        <f t="shared" si="405"/>
        <v>1142754.9528409119</v>
      </c>
      <c r="AS118" s="229">
        <f t="shared" si="405"/>
        <v>1055981.2383280001</v>
      </c>
      <c r="AT118" s="1003">
        <f t="shared" ref="AT118:AW118" si="406">+AT114+AT116</f>
        <v>106684.93762938064</v>
      </c>
      <c r="AU118" s="213">
        <f t="shared" si="406"/>
        <v>100734.219</v>
      </c>
      <c r="AV118" s="798">
        <f t="shared" si="406"/>
        <v>1249439.8904702924</v>
      </c>
      <c r="AW118" s="229">
        <f t="shared" si="406"/>
        <v>1156715.4573279999</v>
      </c>
      <c r="AX118" s="1003">
        <f t="shared" ref="AX118:AY118" si="407">+AX114+AX116</f>
        <v>118886.37792728528</v>
      </c>
      <c r="AY118" s="213">
        <f t="shared" si="407"/>
        <v>112570.36499999999</v>
      </c>
      <c r="AZ118" s="1517">
        <f t="shared" ref="AZ118:BE119" si="408">+AZ114+AZ116</f>
        <v>343923.80430189316</v>
      </c>
      <c r="BA118" s="1538">
        <f t="shared" si="408"/>
        <v>323118.46610399999</v>
      </c>
      <c r="BB118" s="797">
        <f t="shared" si="408"/>
        <v>695222.02727590525</v>
      </c>
      <c r="BC118" s="669">
        <f t="shared" si="408"/>
        <v>592939.64442400006</v>
      </c>
      <c r="BD118" s="798">
        <f t="shared" si="408"/>
        <v>1368326.2683975778</v>
      </c>
      <c r="BE118" s="229">
        <f t="shared" si="408"/>
        <v>1269285.8223279999</v>
      </c>
      <c r="BF118" s="26"/>
      <c r="BG118" s="26"/>
      <c r="BH118" s="26"/>
      <c r="BI118" s="26"/>
      <c r="BJ118" s="26"/>
    </row>
    <row r="119" spans="2:62" ht="19.5" thickBot="1" x14ac:dyDescent="0.3">
      <c r="B119" s="6248"/>
      <c r="C119" s="1004" t="s">
        <v>381</v>
      </c>
      <c r="D119" s="1006">
        <f t="shared" si="394"/>
        <v>161.43436239267879</v>
      </c>
      <c r="E119" s="695">
        <f t="shared" si="394"/>
        <v>145.39139634444447</v>
      </c>
      <c r="F119" s="1006">
        <f t="shared" ref="F119:G119" si="409">+F115+F117</f>
        <v>161.49588093265663</v>
      </c>
      <c r="G119" s="695">
        <f t="shared" si="409"/>
        <v>152.76457930107529</v>
      </c>
      <c r="H119" s="1005">
        <f t="shared" si="396"/>
        <v>161.46562591299539</v>
      </c>
      <c r="I119" s="2723">
        <f t="shared" si="396"/>
        <v>149.1384237486339</v>
      </c>
      <c r="J119" s="1006">
        <f t="shared" si="396"/>
        <v>161.42683235758588</v>
      </c>
      <c r="K119" s="695">
        <f t="shared" si="396"/>
        <v>156.99535972222219</v>
      </c>
      <c r="L119" s="1539">
        <f t="shared" ref="L119:Q119" si="410">+L115+L117</f>
        <v>161.45283682879446</v>
      </c>
      <c r="M119" s="1540">
        <f t="shared" si="410"/>
        <v>151.7286224212454</v>
      </c>
      <c r="N119" s="1006">
        <f t="shared" si="410"/>
        <v>160.24369246528286</v>
      </c>
      <c r="O119" s="695">
        <f t="shared" si="410"/>
        <v>158.56617948387097</v>
      </c>
      <c r="P119" s="1005">
        <f t="shared" si="410"/>
        <v>161.14559522823004</v>
      </c>
      <c r="Q119" s="670">
        <f t="shared" si="410"/>
        <v>153.46603446174865</v>
      </c>
      <c r="R119" s="1006">
        <f t="shared" ref="R119:S119" si="411">+R115+R117</f>
        <v>160.24369246528286</v>
      </c>
      <c r="S119" s="695">
        <f t="shared" si="411"/>
        <v>154.21183602150538</v>
      </c>
      <c r="T119" s="1005">
        <f t="shared" ref="T119:W119" si="412">+T115+T117</f>
        <v>160.96285675992047</v>
      </c>
      <c r="U119" s="670">
        <f t="shared" si="412"/>
        <v>153.61714458169934</v>
      </c>
      <c r="V119" s="1006">
        <f t="shared" si="412"/>
        <v>113.95643208228404</v>
      </c>
      <c r="W119" s="695">
        <f t="shared" si="412"/>
        <v>155.92225416666665</v>
      </c>
      <c r="X119" s="1539">
        <f t="shared" ref="X119:Y119" si="413">+X115+X117</f>
        <v>145.1500206012615</v>
      </c>
      <c r="Y119" s="1540">
        <f t="shared" si="413"/>
        <v>156.2368054963768</v>
      </c>
      <c r="Z119" s="1007">
        <f t="shared" ref="Z119" si="414">+Z115+Z117</f>
        <v>153.25688550129155</v>
      </c>
      <c r="AA119" s="671">
        <f t="shared" ref="AA119:AE119" si="415">+AA115+AA117</f>
        <v>153.99503139890709</v>
      </c>
      <c r="AB119" s="3221">
        <f t="shared" si="415"/>
        <v>159.0759257328323</v>
      </c>
      <c r="AC119" s="3220">
        <f t="shared" si="415"/>
        <v>150.43815188172042</v>
      </c>
      <c r="AD119" s="1005">
        <f t="shared" si="415"/>
        <v>154.09983058156146</v>
      </c>
      <c r="AE119" s="670">
        <f t="shared" si="415"/>
        <v>153.47978249688472</v>
      </c>
      <c r="AF119" s="3221">
        <f t="shared" ref="AF119:AI119" si="416">+AF115+AF117</f>
        <v>159.15728539382997</v>
      </c>
      <c r="AG119" s="3220">
        <f t="shared" si="416"/>
        <v>67.902389333333332</v>
      </c>
      <c r="AH119" s="1005">
        <f t="shared" si="416"/>
        <v>154.72164879618467</v>
      </c>
      <c r="AI119" s="670">
        <f t="shared" si="416"/>
        <v>142.95797186202185</v>
      </c>
      <c r="AJ119" s="3221">
        <f t="shared" ref="AJ119:AK119" si="417">+AJ115+AJ117</f>
        <v>159.0759257328323</v>
      </c>
      <c r="AK119" s="3220">
        <f t="shared" si="417"/>
        <v>146.51273252688173</v>
      </c>
      <c r="AL119" s="1539">
        <f t="shared" ref="AL119:AM119" si="418">+AL115+AL117</f>
        <v>159.10245605707067</v>
      </c>
      <c r="AM119" s="1540">
        <f t="shared" si="418"/>
        <v>122.20162061594203</v>
      </c>
      <c r="AN119" s="1005">
        <f>+AN115+AN117</f>
        <v>155.21249455995223</v>
      </c>
      <c r="AO119" s="670">
        <f>+AO115+AO117</f>
        <v>143.35869033696969</v>
      </c>
      <c r="AP119" s="1006">
        <f t="shared" ref="AP119:AS119" si="419">+AP115+AP117</f>
        <v>159.0759257328323</v>
      </c>
      <c r="AQ119" s="695">
        <f t="shared" si="419"/>
        <v>147.5993039032258</v>
      </c>
      <c r="AR119" s="2597">
        <f t="shared" si="419"/>
        <v>155.60388791406751</v>
      </c>
      <c r="AS119" s="2723">
        <f t="shared" si="419"/>
        <v>143.7882949793028</v>
      </c>
      <c r="AT119" s="1006">
        <f t="shared" ref="AT119:AW119" si="420">+AT115+AT117</f>
        <v>158.75734766276881</v>
      </c>
      <c r="AU119" s="695">
        <f t="shared" si="420"/>
        <v>149.90211160714284</v>
      </c>
      <c r="AV119" s="2597">
        <f t="shared" si="420"/>
        <v>155.86824980916825</v>
      </c>
      <c r="AW119" s="2723">
        <f t="shared" si="420"/>
        <v>144.30083050499002</v>
      </c>
      <c r="AX119" s="1006">
        <f t="shared" ref="AX119:AY119" si="421">+AX115+AX117</f>
        <v>159.79351871946946</v>
      </c>
      <c r="AY119" s="695">
        <f t="shared" si="421"/>
        <v>151.30425403225806</v>
      </c>
      <c r="AZ119" s="1539">
        <f t="shared" ref="AZ119:BE119" si="422">+AZ115+AZ117</f>
        <v>159.22398347309866</v>
      </c>
      <c r="BA119" s="1540">
        <f t="shared" si="422"/>
        <v>149.59188245555555</v>
      </c>
      <c r="BB119" s="2721">
        <f t="shared" si="408"/>
        <v>159.16255203202959</v>
      </c>
      <c r="BC119" s="2722">
        <f t="shared" si="408"/>
        <v>135.74625559157511</v>
      </c>
      <c r="BD119" s="2597">
        <f t="shared" si="422"/>
        <v>156.20162881250889</v>
      </c>
      <c r="BE119" s="2723">
        <f t="shared" si="422"/>
        <v>144.89564181826483</v>
      </c>
      <c r="BF119" s="26"/>
      <c r="BG119" s="26"/>
      <c r="BH119" s="26"/>
      <c r="BI119" s="26"/>
      <c r="BJ119" s="26"/>
    </row>
  </sheetData>
  <mergeCells count="109">
    <mergeCell ref="BB4:BC4"/>
    <mergeCell ref="BB19:BB20"/>
    <mergeCell ref="BB38:BB43"/>
    <mergeCell ref="BB93:BB112"/>
    <mergeCell ref="H38:H43"/>
    <mergeCell ref="L19:L20"/>
    <mergeCell ref="AX4:AY4"/>
    <mergeCell ref="P19:P20"/>
    <mergeCell ref="J4:K4"/>
    <mergeCell ref="N4:O4"/>
    <mergeCell ref="AD93:AD112"/>
    <mergeCell ref="AB4:AC4"/>
    <mergeCell ref="AD4:AE4"/>
    <mergeCell ref="AB19:AB20"/>
    <mergeCell ref="AD19:AD20"/>
    <mergeCell ref="AB38:AB43"/>
    <mergeCell ref="AD38:AD43"/>
    <mergeCell ref="Z93:Z112"/>
    <mergeCell ref="X4:Y4"/>
    <mergeCell ref="X19:X20"/>
    <mergeCell ref="X38:X43"/>
    <mergeCell ref="X93:X112"/>
    <mergeCell ref="V4:W4"/>
    <mergeCell ref="Z4:AA4"/>
    <mergeCell ref="BD4:BE4"/>
    <mergeCell ref="AX19:AX20"/>
    <mergeCell ref="BD19:BD20"/>
    <mergeCell ref="AX38:AX43"/>
    <mergeCell ref="BD38:BD43"/>
    <mergeCell ref="AR93:AR112"/>
    <mergeCell ref="AP4:AQ4"/>
    <mergeCell ref="AR4:AS4"/>
    <mergeCell ref="AP19:AP20"/>
    <mergeCell ref="AR19:AR20"/>
    <mergeCell ref="AP38:AP43"/>
    <mergeCell ref="AR38:AR43"/>
    <mergeCell ref="AV93:AV112"/>
    <mergeCell ref="AT4:AU4"/>
    <mergeCell ref="AV4:AW4"/>
    <mergeCell ref="AT19:AT20"/>
    <mergeCell ref="AV19:AV20"/>
    <mergeCell ref="AT38:AT43"/>
    <mergeCell ref="AV38:AV43"/>
    <mergeCell ref="BD93:BD112"/>
    <mergeCell ref="AZ4:BA4"/>
    <mergeCell ref="AZ19:AZ20"/>
    <mergeCell ref="AZ38:AZ43"/>
    <mergeCell ref="AZ93:AZ112"/>
    <mergeCell ref="B118:B119"/>
    <mergeCell ref="B114:B115"/>
    <mergeCell ref="B116:B117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4:B5"/>
    <mergeCell ref="L4:M4"/>
    <mergeCell ref="J19:J20"/>
    <mergeCell ref="T93:T112"/>
    <mergeCell ref="H93:H112"/>
    <mergeCell ref="C4:C5"/>
    <mergeCell ref="D4:E4"/>
    <mergeCell ref="F4:G4"/>
    <mergeCell ref="L93:L112"/>
    <mergeCell ref="P93:P112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V19:V20"/>
    <mergeCell ref="Z19:Z20"/>
    <mergeCell ref="V38:V43"/>
    <mergeCell ref="Z38:Z43"/>
    <mergeCell ref="AH93:AH112"/>
    <mergeCell ref="AF4:AG4"/>
    <mergeCell ref="AH4:AI4"/>
    <mergeCell ref="AF19:AF20"/>
    <mergeCell ref="AH19:AH20"/>
    <mergeCell ref="AF38:AF43"/>
    <mergeCell ref="AH38:AH43"/>
    <mergeCell ref="AN93:AN112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3:AL112"/>
  </mergeCells>
  <pageMargins left="1.2" right="0.7" top="0.25" bottom="0.25" header="0.3" footer="0.3"/>
  <pageSetup scale="3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FF00"/>
    <pageSetUpPr fitToPage="1"/>
  </sheetPr>
  <dimension ref="A1:CT42"/>
  <sheetViews>
    <sheetView zoomScale="115" zoomScaleNormal="115" workbookViewId="0">
      <pane xSplit="3" topLeftCell="O1" activePane="topRight" state="frozen"/>
      <selection activeCell="S123" sqref="S123"/>
      <selection pane="topRight" activeCell="Z13" sqref="Z13"/>
    </sheetView>
  </sheetViews>
  <sheetFormatPr defaultColWidth="8.85546875" defaultRowHeight="15" x14ac:dyDescent="0.25"/>
  <cols>
    <col min="2" max="2" width="51.85546875" bestFit="1" customWidth="1"/>
    <col min="3" max="3" width="10.28515625" customWidth="1"/>
    <col min="4" max="4" width="11.140625" style="87" customWidth="1"/>
    <col min="5" max="5" width="11.28515625" style="93" bestFit="1" customWidth="1"/>
    <col min="6" max="6" width="8.7109375" style="87" customWidth="1"/>
    <col min="7" max="7" width="10.42578125" style="93" customWidth="1"/>
    <col min="8" max="8" width="7.7109375" style="87" hidden="1" customWidth="1"/>
    <col min="9" max="9" width="10.140625" style="93" hidden="1" customWidth="1"/>
    <col min="10" max="10" width="10.7109375" style="87" customWidth="1"/>
    <col min="11" max="11" width="10.7109375" style="93" customWidth="1"/>
    <col min="12" max="12" width="10.7109375" style="87" customWidth="1"/>
    <col min="13" max="13" width="10.7109375" style="93" customWidth="1"/>
    <col min="14" max="14" width="7.85546875" style="87" bestFit="1" customWidth="1"/>
    <col min="15" max="15" width="7.85546875" style="93" customWidth="1"/>
    <col min="16" max="16" width="7.85546875" style="87" hidden="1" customWidth="1"/>
    <col min="17" max="17" width="10.140625" style="93" hidden="1" customWidth="1"/>
    <col min="18" max="18" width="7.85546875" customWidth="1"/>
    <col min="19" max="19" width="8.42578125" customWidth="1"/>
    <col min="20" max="21" width="10.7109375" hidden="1" customWidth="1"/>
    <col min="22" max="22" width="7.85546875" customWidth="1"/>
    <col min="23" max="23" width="8.42578125" customWidth="1"/>
    <col min="24" max="24" width="8.85546875" customWidth="1"/>
    <col min="25" max="25" width="10.140625" customWidth="1"/>
    <col min="26" max="26" width="9" customWidth="1"/>
    <col min="27" max="27" width="10.140625" customWidth="1"/>
    <col min="28" max="28" width="7.85546875" hidden="1" customWidth="1"/>
    <col min="29" max="29" width="11.28515625" hidden="1" customWidth="1"/>
    <col min="30" max="30" width="9" hidden="1" customWidth="1"/>
    <col min="31" max="31" width="10.140625" hidden="1" customWidth="1"/>
    <col min="32" max="32" width="8.85546875" hidden="1" customWidth="1"/>
    <col min="33" max="33" width="11.28515625" hidden="1" customWidth="1"/>
    <col min="34" max="34" width="8.85546875" hidden="1" customWidth="1"/>
    <col min="35" max="35" width="10.140625" hidden="1" customWidth="1"/>
    <col min="36" max="36" width="8.85546875" hidden="1" customWidth="1"/>
    <col min="37" max="37" width="11.28515625" hidden="1" customWidth="1"/>
    <col min="38" max="38" width="8.85546875" hidden="1" customWidth="1"/>
    <col min="39" max="39" width="13.140625" hidden="1" customWidth="1"/>
    <col min="40" max="40" width="8.85546875" hidden="1" customWidth="1"/>
    <col min="41" max="41" width="10.140625" hidden="1" customWidth="1"/>
    <col min="42" max="42" width="8.85546875" hidden="1" customWidth="1"/>
    <col min="43" max="43" width="11.28515625" hidden="1" customWidth="1"/>
    <col min="44" max="44" width="8.85546875" hidden="1" customWidth="1"/>
    <col min="45" max="45" width="11.28515625" hidden="1" customWidth="1"/>
    <col min="46" max="46" width="8.85546875" hidden="1" customWidth="1"/>
    <col min="47" max="47" width="11.28515625" hidden="1" customWidth="1"/>
    <col min="48" max="48" width="8.85546875" hidden="1" customWidth="1"/>
    <col min="49" max="49" width="11.28515625" hidden="1" customWidth="1"/>
    <col min="50" max="50" width="8.85546875" hidden="1" customWidth="1"/>
    <col min="51" max="51" width="13.140625" hidden="1" customWidth="1"/>
    <col min="52" max="52" width="8.85546875" hidden="1" customWidth="1"/>
    <col min="53" max="53" width="13.140625" hidden="1" customWidth="1"/>
    <col min="54" max="54" width="8.85546875" hidden="1" customWidth="1"/>
    <col min="55" max="55" width="13.140625" hidden="1" customWidth="1"/>
    <col min="56" max="56" width="8.85546875" hidden="1" customWidth="1"/>
    <col min="57" max="57" width="14.28515625" hidden="1" customWidth="1"/>
    <col min="58" max="58" width="8.85546875" hidden="1" customWidth="1"/>
    <col min="59" max="64" width="8.85546875" customWidth="1"/>
  </cols>
  <sheetData>
    <row r="1" spans="1:98" ht="15.6" x14ac:dyDescent="0.3">
      <c r="B1" s="809" t="s">
        <v>371</v>
      </c>
      <c r="C1" s="803"/>
      <c r="D1" s="803"/>
      <c r="E1" s="803"/>
      <c r="F1" s="803"/>
      <c r="G1" s="803"/>
      <c r="H1" s="803"/>
      <c r="I1" s="803"/>
      <c r="J1" s="804"/>
      <c r="K1" s="804"/>
      <c r="L1" s="804"/>
      <c r="M1" s="804"/>
      <c r="N1" s="804"/>
      <c r="O1" s="804"/>
      <c r="P1" s="804"/>
      <c r="Q1" s="804"/>
      <c r="R1" s="804"/>
      <c r="S1" s="804"/>
      <c r="T1" s="804"/>
      <c r="U1" s="804"/>
      <c r="V1" s="804"/>
      <c r="W1" s="804"/>
      <c r="X1" s="804"/>
      <c r="Y1" s="804"/>
      <c r="Z1" s="804"/>
      <c r="AA1" s="804"/>
    </row>
    <row r="2" spans="1:98" s="93" customFormat="1" ht="16.149999999999999" thickBot="1" x14ac:dyDescent="0.35">
      <c r="B2" s="1152"/>
      <c r="C2" s="1152"/>
      <c r="D2" s="1152"/>
      <c r="E2" s="1152"/>
      <c r="F2" s="1152"/>
      <c r="G2" s="1152"/>
      <c r="H2" s="1152"/>
      <c r="I2" s="1152"/>
      <c r="J2" s="1153"/>
      <c r="K2" s="1153"/>
      <c r="L2" s="1153"/>
      <c r="M2" s="1153"/>
      <c r="N2" s="1153"/>
      <c r="O2" s="1153"/>
      <c r="P2" s="1153"/>
      <c r="Q2" s="1153"/>
      <c r="R2" s="1153"/>
      <c r="S2" s="1153"/>
      <c r="T2" s="1153"/>
      <c r="U2" s="1153"/>
      <c r="V2" s="1153"/>
      <c r="W2" s="1153"/>
      <c r="X2" s="1153"/>
      <c r="Y2" s="1153"/>
      <c r="Z2" s="1153"/>
      <c r="AA2" s="1153"/>
    </row>
    <row r="3" spans="1:98" s="841" customFormat="1" ht="15.75" x14ac:dyDescent="0.25">
      <c r="B3" s="6276" t="s">
        <v>171</v>
      </c>
      <c r="C3" s="6278" t="s">
        <v>172</v>
      </c>
      <c r="D3" s="6161" t="s">
        <v>2190</v>
      </c>
      <c r="E3" s="6162"/>
      <c r="F3" s="6162" t="s">
        <v>2242</v>
      </c>
      <c r="G3" s="6162"/>
      <c r="H3" s="6280" t="s">
        <v>14</v>
      </c>
      <c r="I3" s="6280"/>
      <c r="J3" s="6162" t="s">
        <v>2273</v>
      </c>
      <c r="K3" s="6162"/>
      <c r="L3" s="6163" t="s">
        <v>637</v>
      </c>
      <c r="M3" s="6163"/>
      <c r="N3" s="6162" t="s">
        <v>2296</v>
      </c>
      <c r="O3" s="6162"/>
      <c r="P3" s="6266" t="s">
        <v>17</v>
      </c>
      <c r="Q3" s="6266"/>
      <c r="R3" s="6162" t="s">
        <v>2299</v>
      </c>
      <c r="S3" s="6162"/>
      <c r="T3" s="6266" t="s">
        <v>18</v>
      </c>
      <c r="U3" s="6266"/>
      <c r="V3" s="6162" t="s">
        <v>2344</v>
      </c>
      <c r="W3" s="6162"/>
      <c r="X3" s="6163" t="s">
        <v>660</v>
      </c>
      <c r="Y3" s="6163"/>
      <c r="Z3" s="6164" t="s">
        <v>657</v>
      </c>
      <c r="AA3" s="6164"/>
      <c r="AB3" s="6162" t="s">
        <v>1954</v>
      </c>
      <c r="AC3" s="6162"/>
      <c r="AD3" s="6266" t="s">
        <v>24</v>
      </c>
      <c r="AE3" s="6266"/>
      <c r="AF3" s="6162" t="s">
        <v>1970</v>
      </c>
      <c r="AG3" s="6162"/>
      <c r="AH3" s="6266" t="s">
        <v>27</v>
      </c>
      <c r="AI3" s="6267"/>
      <c r="AJ3" s="6282" t="s">
        <v>1985</v>
      </c>
      <c r="AK3" s="6283"/>
      <c r="AL3" s="6285" t="s">
        <v>662</v>
      </c>
      <c r="AM3" s="6285"/>
      <c r="AN3" s="6284" t="s">
        <v>1666</v>
      </c>
      <c r="AO3" s="6284"/>
      <c r="AP3" s="6283" t="s">
        <v>2085</v>
      </c>
      <c r="AQ3" s="6283"/>
      <c r="AR3" s="6284" t="s">
        <v>28</v>
      </c>
      <c r="AS3" s="6284"/>
      <c r="AT3" s="6283" t="s">
        <v>2099</v>
      </c>
      <c r="AU3" s="6283"/>
      <c r="AV3" s="6284" t="s">
        <v>30</v>
      </c>
      <c r="AW3" s="6284"/>
      <c r="AX3" s="6283" t="s">
        <v>2111</v>
      </c>
      <c r="AY3" s="6283"/>
      <c r="AZ3" s="6285" t="s">
        <v>663</v>
      </c>
      <c r="BA3" s="6285"/>
      <c r="BB3" s="6291" t="s">
        <v>671</v>
      </c>
      <c r="BC3" s="6291"/>
      <c r="BD3" s="6290" t="s">
        <v>1745</v>
      </c>
      <c r="BE3" s="6290"/>
    </row>
    <row r="4" spans="1:98" s="93" customFormat="1" ht="16.5" thickBot="1" x14ac:dyDescent="0.3">
      <c r="B4" s="6277"/>
      <c r="C4" s="6279"/>
      <c r="D4" s="4393" t="s">
        <v>173</v>
      </c>
      <c r="E4" s="4394" t="s">
        <v>174</v>
      </c>
      <c r="F4" s="4394" t="s">
        <v>173</v>
      </c>
      <c r="G4" s="4394" t="s">
        <v>174</v>
      </c>
      <c r="H4" s="4395" t="s">
        <v>173</v>
      </c>
      <c r="I4" s="4395" t="s">
        <v>174</v>
      </c>
      <c r="J4" s="4394" t="s">
        <v>173</v>
      </c>
      <c r="K4" s="4394" t="s">
        <v>174</v>
      </c>
      <c r="L4" s="4396" t="s">
        <v>173</v>
      </c>
      <c r="M4" s="4396" t="s">
        <v>174</v>
      </c>
      <c r="N4" s="4394" t="s">
        <v>173</v>
      </c>
      <c r="O4" s="4394" t="s">
        <v>174</v>
      </c>
      <c r="P4" s="4397" t="s">
        <v>173</v>
      </c>
      <c r="Q4" s="4397" t="s">
        <v>174</v>
      </c>
      <c r="R4" s="4394" t="s">
        <v>173</v>
      </c>
      <c r="S4" s="4394" t="s">
        <v>174</v>
      </c>
      <c r="T4" s="4397" t="s">
        <v>173</v>
      </c>
      <c r="U4" s="4397" t="s">
        <v>174</v>
      </c>
      <c r="V4" s="4394" t="s">
        <v>173</v>
      </c>
      <c r="W4" s="4394" t="s">
        <v>174</v>
      </c>
      <c r="X4" s="4396" t="s">
        <v>173</v>
      </c>
      <c r="Y4" s="4396" t="s">
        <v>174</v>
      </c>
      <c r="Z4" s="4398" t="s">
        <v>173</v>
      </c>
      <c r="AA4" s="4398" t="s">
        <v>174</v>
      </c>
      <c r="AB4" s="4394" t="s">
        <v>173</v>
      </c>
      <c r="AC4" s="4394" t="s">
        <v>174</v>
      </c>
      <c r="AD4" s="4397" t="s">
        <v>173</v>
      </c>
      <c r="AE4" s="4397" t="s">
        <v>174</v>
      </c>
      <c r="AF4" s="4394" t="s">
        <v>173</v>
      </c>
      <c r="AG4" s="4394" t="s">
        <v>174</v>
      </c>
      <c r="AH4" s="4397" t="s">
        <v>173</v>
      </c>
      <c r="AI4" s="4399" t="s">
        <v>174</v>
      </c>
      <c r="AJ4" s="4392" t="s">
        <v>173</v>
      </c>
      <c r="AK4" s="2755" t="s">
        <v>174</v>
      </c>
      <c r="AL4" s="2756" t="s">
        <v>173</v>
      </c>
      <c r="AM4" s="2756" t="s">
        <v>174</v>
      </c>
      <c r="AN4" s="2757" t="s">
        <v>173</v>
      </c>
      <c r="AO4" s="2757" t="s">
        <v>174</v>
      </c>
      <c r="AP4" s="2755" t="s">
        <v>173</v>
      </c>
      <c r="AQ4" s="2755" t="s">
        <v>174</v>
      </c>
      <c r="AR4" s="2757" t="s">
        <v>173</v>
      </c>
      <c r="AS4" s="2757" t="s">
        <v>174</v>
      </c>
      <c r="AT4" s="2755" t="s">
        <v>173</v>
      </c>
      <c r="AU4" s="2755" t="s">
        <v>174</v>
      </c>
      <c r="AV4" s="2757" t="s">
        <v>173</v>
      </c>
      <c r="AW4" s="2757" t="s">
        <v>174</v>
      </c>
      <c r="AX4" s="2755" t="s">
        <v>173</v>
      </c>
      <c r="AY4" s="2755" t="s">
        <v>174</v>
      </c>
      <c r="AZ4" s="2756" t="s">
        <v>173</v>
      </c>
      <c r="BA4" s="2756" t="s">
        <v>174</v>
      </c>
      <c r="BB4" s="2758" t="s">
        <v>173</v>
      </c>
      <c r="BC4" s="2758" t="s">
        <v>174</v>
      </c>
      <c r="BD4" s="4956" t="s">
        <v>173</v>
      </c>
      <c r="BE4" s="4956" t="s">
        <v>174</v>
      </c>
    </row>
    <row r="5" spans="1:98" ht="15.6" x14ac:dyDescent="0.3">
      <c r="B5" s="1709" t="s">
        <v>421</v>
      </c>
      <c r="C5" s="4388" t="s">
        <v>1164</v>
      </c>
      <c r="D5" s="406">
        <f>+'Maj Techno Summ'!E27</f>
        <v>2.850000000000001</v>
      </c>
      <c r="E5" s="4400">
        <f>+'Maj Techno Summ'!F27</f>
        <v>2.98</v>
      </c>
      <c r="F5" s="406">
        <f>+'Maj Techno Summ'!G27</f>
        <v>2.850000000000001</v>
      </c>
      <c r="G5" s="4400">
        <f>+'Maj Techno Summ'!H27</f>
        <v>2.97</v>
      </c>
      <c r="H5" s="4401">
        <f>+'Maj Techno Summ'!I27</f>
        <v>2.850000000000001</v>
      </c>
      <c r="I5" s="4401">
        <f>+'Maj Techno Summ'!J27</f>
        <v>2.9746662068530263</v>
      </c>
      <c r="J5" s="406">
        <f>+'Maj Techno Summ'!K27</f>
        <v>2.850000000000001</v>
      </c>
      <c r="K5" s="4400">
        <f>+'Maj Techno Summ'!L27</f>
        <v>2.96</v>
      </c>
      <c r="L5" s="4402">
        <f>+'Maj Techno Summ'!M27</f>
        <v>2.850000000000001</v>
      </c>
      <c r="M5" s="4402">
        <f>+'Maj Techno Summ'!N27</f>
        <v>2.9694697654381894</v>
      </c>
      <c r="N5" s="406">
        <f>+'Maj Techno Summ'!O27</f>
        <v>2.850000000000001</v>
      </c>
      <c r="O5" s="4400">
        <f>+'Maj Techno Summ'!P27</f>
        <v>2.9</v>
      </c>
      <c r="P5" s="4401">
        <f>+'Maj Techno Summ'!Q27</f>
        <v>2.850000000000001</v>
      </c>
      <c r="Q5" s="4401">
        <f>+'Maj Techno Summ'!R27</f>
        <v>2.9507385309739966</v>
      </c>
      <c r="R5" s="406">
        <f>+'Maj Techno Summ'!S27</f>
        <v>2.850000000000001</v>
      </c>
      <c r="S5" s="4400">
        <f>+'Maj Techno Summ'!T27</f>
        <v>2.9</v>
      </c>
      <c r="T5" s="4401">
        <f>+'Maj Techno Summ'!U27</f>
        <v>2.850000000000001</v>
      </c>
      <c r="U5" s="4401">
        <f>+'Maj Techno Summ'!V27</f>
        <v>2.9405071644058229</v>
      </c>
      <c r="V5" s="406">
        <f>+'Maj Techno Summ'!W27</f>
        <v>2.850000000000001</v>
      </c>
      <c r="W5" s="4400">
        <f>+'Maj Techno Summ'!X27</f>
        <v>2.9049999999999998</v>
      </c>
      <c r="X5" s="4402">
        <f>+'Maj Techno Summ'!Y27</f>
        <v>2.850000000000001</v>
      </c>
      <c r="Y5" s="4402">
        <f>+'Maj Techno Summ'!Z27</f>
        <v>2.9015794263163683</v>
      </c>
      <c r="Z5" s="4403">
        <f>+'Maj Techno Summ'!AA27</f>
        <v>2.850000000000001</v>
      </c>
      <c r="AA5" s="4403">
        <f>+'Maj Techno Summ'!AB27</f>
        <v>2.9347752735827703</v>
      </c>
      <c r="AB5" s="4400">
        <f>+'Maj Techno Summ'!AC27</f>
        <v>2.850000000000001</v>
      </c>
      <c r="AC5" s="4400">
        <f>+'Maj Techno Summ'!AD27</f>
        <v>2.99</v>
      </c>
      <c r="AD5" s="4401">
        <f>+'Maj Techno Summ'!AE27</f>
        <v>2.850000000000001</v>
      </c>
      <c r="AE5" s="4401">
        <f>+'Maj Techno Summ'!AF27</f>
        <v>2.9423134701176115</v>
      </c>
      <c r="AF5" s="4400">
        <f>+'Maj Techno Summ'!AG27</f>
        <v>2.850000000000001</v>
      </c>
      <c r="AG5" s="4400">
        <f>+'Maj Techno Summ'!AH27</f>
        <v>3.19</v>
      </c>
      <c r="AH5" s="4401">
        <f>+'Maj Techno Summ'!AI27</f>
        <v>2.850000000000001</v>
      </c>
      <c r="AI5" s="4404">
        <f>+'Maj Techno Summ'!AJ27</f>
        <v>2.9435153135634415</v>
      </c>
      <c r="AJ5" s="4400">
        <f>+'Maj Techno Summ'!AK27</f>
        <v>2.850000000000001</v>
      </c>
      <c r="AK5" s="4400">
        <f>+'Maj Techno Summ'!AL27</f>
        <v>2.87</v>
      </c>
      <c r="AL5" s="2734">
        <f>+'Maj Techno Summ'!AM27</f>
        <v>2.850000000000001</v>
      </c>
      <c r="AM5" s="2734">
        <f>+'Maj Techno Summ'!AN27</f>
        <v>2.9327861755730611</v>
      </c>
      <c r="AN5" s="2733">
        <f>+'Maj Techno Summ'!AO27</f>
        <v>2.850000000000001</v>
      </c>
      <c r="AO5" s="2733">
        <f>+'Maj Techno Summ'!AP27</f>
        <v>2.9342807199056802</v>
      </c>
      <c r="AP5" s="4400">
        <f>+'Maj Techno Summ'!AQ27</f>
        <v>2.850000000000001</v>
      </c>
      <c r="AQ5" s="4400">
        <f>+'Maj Techno Summ'!AR27</f>
        <v>2.87</v>
      </c>
      <c r="AR5" s="2733">
        <f>+'Maj Techno Summ'!AS27</f>
        <v>2.850000000000001</v>
      </c>
      <c r="AS5" s="2733">
        <f>+'Maj Techno Summ'!AT27</f>
        <v>2.9268074219682125</v>
      </c>
      <c r="AT5" s="4400">
        <f>+'Maj Techno Summ'!AU27</f>
        <v>2.850000000000001</v>
      </c>
      <c r="AU5" s="4400">
        <f>+'Maj Techno Summ'!AV27</f>
        <v>2.86</v>
      </c>
      <c r="AV5" s="2733">
        <f>+'Maj Techno Summ'!AW27</f>
        <v>2.850000000000001</v>
      </c>
      <c r="AW5" s="2733">
        <f>+'Maj Techno Summ'!AX27</f>
        <v>2.920441498730324</v>
      </c>
      <c r="AX5" s="4400">
        <f>+'Maj Techno Summ'!AY27</f>
        <v>2.850000000000001</v>
      </c>
      <c r="AY5" s="4400">
        <f>+'Maj Techno Summ'!AZ27</f>
        <v>2.88</v>
      </c>
      <c r="AZ5" s="2734">
        <f>+'Maj Techno Summ'!BA27</f>
        <v>2.850000000000001</v>
      </c>
      <c r="BA5" s="2734">
        <f>+'Maj Techno Summ'!BB27</f>
        <v>2.8702899280969336</v>
      </c>
      <c r="BB5" s="2735">
        <f>+'Maj Techno Summ'!BC27</f>
        <v>2.850000000000001</v>
      </c>
      <c r="BC5" s="2735">
        <f>+'Maj Techno Summ'!BD27</f>
        <v>2.8949703436971861</v>
      </c>
      <c r="BD5" s="2733">
        <f>+'Maj Techno Summ'!BE27</f>
        <v>2.850000000000001</v>
      </c>
      <c r="BE5" s="2733">
        <f>+'Maj Techno Summ'!BF27</f>
        <v>2.9166278595688593</v>
      </c>
      <c r="BH5" s="1219"/>
      <c r="BI5" s="1219"/>
      <c r="BJ5" s="1219"/>
      <c r="BO5" s="1219"/>
      <c r="BP5" s="1219"/>
    </row>
    <row r="6" spans="1:98" ht="15.6" x14ac:dyDescent="0.3">
      <c r="B6" s="1710" t="s">
        <v>368</v>
      </c>
      <c r="C6" s="4389" t="s">
        <v>1165</v>
      </c>
      <c r="D6" s="998">
        <f>+'Maj Techno Summ'!E28</f>
        <v>2.2695881506742244</v>
      </c>
      <c r="E6" s="4405">
        <f>+'Maj Techno Summ'!F28</f>
        <v>2.2999999999999998</v>
      </c>
      <c r="F6" s="998">
        <f>+'Maj Techno Summ'!G28</f>
        <v>2.2695881506742244</v>
      </c>
      <c r="G6" s="4405">
        <f>+'Maj Techno Summ'!H28</f>
        <v>2.2909999999999999</v>
      </c>
      <c r="H6" s="4401">
        <f>+'Maj Techno Summ'!I28</f>
        <v>2.2695881506742244</v>
      </c>
      <c r="I6" s="4401">
        <f>+'Maj Techno Summ'!J28</f>
        <v>2.2951995861677235</v>
      </c>
      <c r="J6" s="998">
        <f>+'Maj Techno Summ'!K28</f>
        <v>2.2695881506742244</v>
      </c>
      <c r="K6" s="4405">
        <f>+'Maj Techno Summ'!L28</f>
        <v>2.31</v>
      </c>
      <c r="L6" s="4402">
        <f>+'Maj Techno Summ'!M28</f>
        <v>2.2695881506742244</v>
      </c>
      <c r="M6" s="4402">
        <f>+'Maj Techno Summ'!N28</f>
        <v>2.3004435789850546</v>
      </c>
      <c r="N6" s="998">
        <f>+'Maj Techno Summ'!O28</f>
        <v>2.2695881506742244</v>
      </c>
      <c r="O6" s="4405">
        <f>+'Maj Techno Summ'!P28</f>
        <v>2.3199999999999998</v>
      </c>
      <c r="P6" s="4401">
        <f>+'Maj Techno Summ'!Q28</f>
        <v>2.2695881506742244</v>
      </c>
      <c r="Q6" s="4401">
        <f>+'Maj Techno Summ'!R28</f>
        <v>2.3057166053872717</v>
      </c>
      <c r="R6" s="998">
        <f>+'Maj Techno Summ'!S28</f>
        <v>2.2695881506742244</v>
      </c>
      <c r="S6" s="4405">
        <f>+'Maj Techno Summ'!T28</f>
        <v>2.36</v>
      </c>
      <c r="T6" s="4401">
        <f>+'Maj Techno Summ'!U28</f>
        <v>2.2695881506742244</v>
      </c>
      <c r="U6" s="4401">
        <f>+'Maj Techno Summ'!V28</f>
        <v>2.316662789641843</v>
      </c>
      <c r="V6" s="998">
        <f>+'Maj Techno Summ'!W28</f>
        <v>2.2695881506742244</v>
      </c>
      <c r="W6" s="4405">
        <f>+'Maj Techno Summ'!X28</f>
        <v>2.42</v>
      </c>
      <c r="X6" s="4402">
        <f>+'Maj Techno Summ'!Y28</f>
        <v>2.2695881506742244</v>
      </c>
      <c r="Y6" s="4402">
        <f>+'Maj Techno Summ'!Z28</f>
        <v>2.3648241059082533</v>
      </c>
      <c r="Z6" s="4403">
        <f>+'Maj Techno Summ'!AA28</f>
        <v>2.2695881506742244</v>
      </c>
      <c r="AA6" s="4403">
        <f>+'Maj Techno Summ'!AB28</f>
        <v>2.343344426084617</v>
      </c>
      <c r="AB6" s="4405">
        <f>+'Maj Techno Summ'!AC28</f>
        <v>2.2695881506742244</v>
      </c>
      <c r="AC6" s="4405">
        <f>+'Maj Techno Summ'!AD28</f>
        <v>2.36</v>
      </c>
      <c r="AD6" s="4401">
        <f>+'Maj Techno Summ'!AE28</f>
        <v>2.2695881506742244</v>
      </c>
      <c r="AE6" s="4401">
        <f>+'Maj Techno Summ'!AF28</f>
        <v>2.3456179183718611</v>
      </c>
      <c r="AF6" s="4405">
        <f>+'Maj Techno Summ'!AG28</f>
        <v>2.2695881506742244</v>
      </c>
      <c r="AG6" s="4405">
        <f>+'Maj Techno Summ'!AH28</f>
        <v>0</v>
      </c>
      <c r="AH6" s="4401">
        <f>+'Maj Techno Summ'!AI28</f>
        <v>2.2695881506742244</v>
      </c>
      <c r="AI6" s="4404">
        <f>+'Maj Techno Summ'!AJ28</f>
        <v>2.4500000000000002</v>
      </c>
      <c r="AJ6" s="4405">
        <f>+'Maj Techno Summ'!AK28</f>
        <v>2.2695881506742244</v>
      </c>
      <c r="AK6" s="4405">
        <f>+'Maj Techno Summ'!AL28</f>
        <v>2.33</v>
      </c>
      <c r="AL6" s="2734">
        <f>+'Maj Techno Summ'!AM28</f>
        <v>2.2695881506742244</v>
      </c>
      <c r="AM6" s="2737">
        <f>+'Maj Techno Summ'!AN28</f>
        <v>2.3045713253462883</v>
      </c>
      <c r="AN6" s="2733">
        <f>+'Maj Techno Summ'!AO28</f>
        <v>2.2695881506742244</v>
      </c>
      <c r="AO6" s="2733">
        <f>+'Maj Techno Summ'!AP28</f>
        <v>2.4009262529775515</v>
      </c>
      <c r="AP6" s="4405">
        <f>+'Maj Techno Summ'!AQ28</f>
        <v>2.2695881506742244</v>
      </c>
      <c r="AQ6" s="4405">
        <f>+'Maj Techno Summ'!AR28</f>
        <v>2.29</v>
      </c>
      <c r="AR6" s="2733">
        <f>+'Maj Techno Summ'!AS28</f>
        <v>2.2695881506742244</v>
      </c>
      <c r="AS6" s="2738">
        <f>+'Maj Techno Summ'!AT28</f>
        <v>2.3780299298062406</v>
      </c>
      <c r="AT6" s="4405">
        <f>+'Maj Techno Summ'!AU28</f>
        <v>2.2695881506742244</v>
      </c>
      <c r="AU6" s="4405">
        <f>+'Maj Techno Summ'!AV28</f>
        <v>2.29</v>
      </c>
      <c r="AV6" s="2733">
        <f>+'Maj Techno Summ'!AW28</f>
        <v>2.2695881506742244</v>
      </c>
      <c r="AW6" s="2738">
        <f>+'Maj Techno Summ'!AX28</f>
        <v>2.3696417633529698</v>
      </c>
      <c r="AX6" s="4405">
        <f>+'Maj Techno Summ'!AY28</f>
        <v>2.2695881506742244</v>
      </c>
      <c r="AY6" s="4405">
        <f>+'Maj Techno Summ'!AZ28</f>
        <v>2.29</v>
      </c>
      <c r="AZ6" s="2737">
        <f>+'Maj Techno Summ'!BA28</f>
        <v>2.2695881506742244</v>
      </c>
      <c r="BA6" s="2737">
        <f>+'Maj Techno Summ'!BB28</f>
        <v>2.29</v>
      </c>
      <c r="BB6" s="2739">
        <f>+'Maj Techno Summ'!BC28</f>
        <v>2.2695881506742244</v>
      </c>
      <c r="BC6" s="2739">
        <f>+'Maj Techno Summ'!BD28</f>
        <v>2.2957543673406993</v>
      </c>
      <c r="BD6" s="2738">
        <f>+'Maj Techno Summ'!BE28</f>
        <v>2.2695881506742244</v>
      </c>
      <c r="BE6" s="2738">
        <f>+'Maj Techno Summ'!BF28</f>
        <v>2.3721315335853661</v>
      </c>
      <c r="BH6" s="1219"/>
      <c r="BI6" s="1219"/>
      <c r="BJ6" s="1219"/>
      <c r="BO6" s="1219"/>
      <c r="BP6" s="1219"/>
    </row>
    <row r="7" spans="1:98" ht="15.6" x14ac:dyDescent="0.3">
      <c r="B7" s="1710" t="s">
        <v>422</v>
      </c>
      <c r="C7" s="4389" t="s">
        <v>532</v>
      </c>
      <c r="D7" s="406">
        <f>+'Maj Techno Summ'!E29</f>
        <v>0.5</v>
      </c>
      <c r="E7" s="4400">
        <f>+'Maj Techno Summ'!F29</f>
        <v>0.5</v>
      </c>
      <c r="F7" s="406">
        <f>+'Maj Techno Summ'!G29</f>
        <v>0.5</v>
      </c>
      <c r="G7" s="4400">
        <f>+'Maj Techno Summ'!H29</f>
        <v>0.49199999999999999</v>
      </c>
      <c r="H7" s="4401">
        <f>+'Maj Techno Summ'!I29</f>
        <v>0.5</v>
      </c>
      <c r="I7" s="4401">
        <f>+'Maj Techno Summ'!J29</f>
        <v>0.49573296548242118</v>
      </c>
      <c r="J7" s="406">
        <f>+'Maj Techno Summ'!K29</f>
        <v>0.5</v>
      </c>
      <c r="K7" s="4400">
        <f>+'Maj Techno Summ'!L29</f>
        <v>0.5</v>
      </c>
      <c r="L7" s="4402">
        <f>+'Maj Techno Summ'!M29</f>
        <v>0.5</v>
      </c>
      <c r="M7" s="4402">
        <f>+'Maj Techno Summ'!N29</f>
        <v>0.49724483525951413</v>
      </c>
      <c r="N7" s="406">
        <f>+'Maj Techno Summ'!O29</f>
        <v>0.5</v>
      </c>
      <c r="O7" s="4400">
        <f>+'Maj Techno Summ'!P29</f>
        <v>0.5</v>
      </c>
      <c r="P7" s="4401">
        <f>+'Maj Techno Summ'!Q29</f>
        <v>0.5</v>
      </c>
      <c r="Q7" s="4401">
        <f>+'Maj Techno Summ'!R29</f>
        <v>0.49798771435829897</v>
      </c>
      <c r="R7" s="406">
        <f>+'Maj Techno Summ'!S29</f>
        <v>0.5</v>
      </c>
      <c r="S7" s="4400">
        <f>+'Maj Techno Summ'!T29</f>
        <v>0.5</v>
      </c>
      <c r="T7" s="4401">
        <f>+'Maj Techno Summ'!U29</f>
        <v>0.5</v>
      </c>
      <c r="U7" s="4401">
        <f>+'Maj Techno Summ'!V29</f>
        <v>0.49839348944963274</v>
      </c>
      <c r="V7" s="406">
        <f>+'Maj Techno Summ'!W29</f>
        <v>0.5</v>
      </c>
      <c r="W7" s="4400">
        <f>+'Maj Techno Summ'!X29</f>
        <v>0.5</v>
      </c>
      <c r="X7" s="4402">
        <f>+'Maj Techno Summ'!Y29</f>
        <v>0.5</v>
      </c>
      <c r="Y7" s="4402">
        <f>+'Maj Techno Summ'!Z29</f>
        <v>0.5</v>
      </c>
      <c r="Z7" s="4403">
        <f>+'Maj Techno Summ'!AA29</f>
        <v>0.5</v>
      </c>
      <c r="AA7" s="4403">
        <f>+'Maj Techno Summ'!AB29</f>
        <v>0.49865282705754593</v>
      </c>
      <c r="AB7" s="4400">
        <f>+'Maj Techno Summ'!AC29</f>
        <v>0.5</v>
      </c>
      <c r="AC7" s="4400">
        <f>+'Maj Techno Summ'!AD29</f>
        <v>0.5</v>
      </c>
      <c r="AD7" s="4401">
        <f>+'Maj Techno Summ'!AE29</f>
        <v>0.5</v>
      </c>
      <c r="AE7" s="4401">
        <f>+'Maj Techno Summ'!AF29</f>
        <v>0.49883671668571566</v>
      </c>
      <c r="AF7" s="4400">
        <f>+'Maj Techno Summ'!AG29</f>
        <v>0.5</v>
      </c>
      <c r="AG7" s="4400">
        <f>+'Maj Techno Summ'!AH29</f>
        <v>0</v>
      </c>
      <c r="AH7" s="4401">
        <f>+'Maj Techno Summ'!AI29</f>
        <v>0.5</v>
      </c>
      <c r="AI7" s="4404">
        <f>+'Maj Techno Summ'!AJ29</f>
        <v>0.54</v>
      </c>
      <c r="AJ7" s="4400">
        <f>+'Maj Techno Summ'!AK29</f>
        <v>0.5</v>
      </c>
      <c r="AK7" s="4400">
        <f>+'Maj Techno Summ'!AL29</f>
        <v>0.49</v>
      </c>
      <c r="AL7" s="2734">
        <f>+'Maj Techno Summ'!AM29</f>
        <v>0.5</v>
      </c>
      <c r="AM7" s="2734">
        <f>+'Maj Techno Summ'!AN29</f>
        <v>0.48641557151244186</v>
      </c>
      <c r="AN7" s="2733">
        <f>+'Maj Techno Summ'!AO29</f>
        <v>0.5</v>
      </c>
      <c r="AO7" s="2733">
        <f>+'Maj Techno Summ'!AP29</f>
        <v>0.52371927207397961</v>
      </c>
      <c r="AP7" s="4400">
        <f>+'Maj Techno Summ'!AQ29</f>
        <v>0.5</v>
      </c>
      <c r="AQ7" s="4400">
        <f>+'Maj Techno Summ'!AR29</f>
        <v>0.46</v>
      </c>
      <c r="AR7" s="2733">
        <f>+'Maj Techno Summ'!AS29</f>
        <v>0.5</v>
      </c>
      <c r="AS7" s="2733">
        <f>+'Maj Techno Summ'!AT29</f>
        <v>0.51631124824870001</v>
      </c>
      <c r="AT7" s="4400">
        <f>+'Maj Techno Summ'!AU29</f>
        <v>0.5</v>
      </c>
      <c r="AU7" s="4400">
        <f>+'Maj Techno Summ'!AV29</f>
        <v>0.44</v>
      </c>
      <c r="AV7" s="2733">
        <f>+'Maj Techno Summ'!AW29</f>
        <v>0.5</v>
      </c>
      <c r="AW7" s="2733">
        <f>+'Maj Techno Summ'!AX29</f>
        <v>0.50903972759685023</v>
      </c>
      <c r="AX7" s="4400">
        <f>+'Maj Techno Summ'!AY29</f>
        <v>0.5</v>
      </c>
      <c r="AY7" s="4400">
        <f>+'Maj Techno Summ'!AZ29</f>
        <v>0.49</v>
      </c>
      <c r="AZ7" s="2734">
        <f>+'Maj Techno Summ'!BA29</f>
        <v>0.5</v>
      </c>
      <c r="BA7" s="2734">
        <f>+'Maj Techno Summ'!BB29</f>
        <v>0.46399819224771821</v>
      </c>
      <c r="BB7" s="2735">
        <f>+'Maj Techno Summ'!BC29</f>
        <v>0.5</v>
      </c>
      <c r="BC7" s="2735">
        <f>+'Maj Techno Summ'!BD29</f>
        <v>0.47285104756728297</v>
      </c>
      <c r="BD7" s="2733">
        <f>+'Maj Techno Summ'!BE29</f>
        <v>0.5</v>
      </c>
      <c r="BE7" s="2733">
        <f>+'Maj Techno Summ'!BF29</f>
        <v>0.49724427853915931</v>
      </c>
      <c r="BH7" s="1219"/>
      <c r="BI7" s="1219"/>
      <c r="BJ7" s="1219"/>
      <c r="BO7" s="1219"/>
      <c r="BP7" s="1219"/>
    </row>
    <row r="8" spans="1:98" ht="18.75" customHeight="1" x14ac:dyDescent="0.3">
      <c r="B8" s="1710" t="s">
        <v>602</v>
      </c>
      <c r="C8" s="4389" t="s">
        <v>354</v>
      </c>
      <c r="D8" s="155">
        <f>+'B-FCE'!E18</f>
        <v>94248</v>
      </c>
      <c r="E8" s="4354">
        <f>+'B-FCE'!F18</f>
        <v>82292.874200000006</v>
      </c>
      <c r="F8" s="155">
        <f>+'B-FCE'!G18</f>
        <v>97240</v>
      </c>
      <c r="G8" s="4354">
        <f>+'B-FCE'!H18</f>
        <v>88384.934200000003</v>
      </c>
      <c r="H8" s="4353">
        <f>+'B-FCE'!I18</f>
        <v>191488</v>
      </c>
      <c r="I8" s="4353">
        <f>+'B-FCE'!J18</f>
        <v>170677.80840000001</v>
      </c>
      <c r="J8" s="155">
        <f>+'B-FCE'!K18</f>
        <v>94248</v>
      </c>
      <c r="K8" s="4354">
        <f>+'B-FCE'!L18</f>
        <v>82876.476500000019</v>
      </c>
      <c r="L8" s="4386">
        <f>+'B-FCE'!M18</f>
        <v>285736</v>
      </c>
      <c r="M8" s="4386">
        <f>+'B-FCE'!N18</f>
        <v>253554.28490000003</v>
      </c>
      <c r="N8" s="155">
        <f>+'B-FCE'!O18</f>
        <v>95370</v>
      </c>
      <c r="O8" s="4354">
        <f>+'B-FCE'!P18</f>
        <v>93382.704500000007</v>
      </c>
      <c r="P8" s="4353">
        <f>+'B-FCE'!Q18</f>
        <v>381106</v>
      </c>
      <c r="Q8" s="4353">
        <f>+'B-FCE'!R18</f>
        <v>346936.98940000002</v>
      </c>
      <c r="R8" s="155">
        <f>+'B-FCE'!S18</f>
        <v>95370</v>
      </c>
      <c r="S8" s="4354">
        <f>+'B-FCE'!T18</f>
        <v>91267.827300000004</v>
      </c>
      <c r="T8" s="4353">
        <f>+'B-FCE'!U18</f>
        <v>476476</v>
      </c>
      <c r="U8" s="4353">
        <f>+'B-FCE'!V18</f>
        <v>438204.81670000002</v>
      </c>
      <c r="V8" s="155">
        <f>+'B-FCE'!W18</f>
        <v>52360</v>
      </c>
      <c r="W8" s="4354">
        <f>+'B-FCE'!X18</f>
        <v>85644.341079999984</v>
      </c>
      <c r="X8" s="4386">
        <f>+'B-FCE'!Y18</f>
        <v>243100</v>
      </c>
      <c r="Y8" s="4386">
        <f>+'B-FCE'!Z18</f>
        <v>270294.87287999998</v>
      </c>
      <c r="Z8" s="4387">
        <f>+'B-FCE'!AA18</f>
        <v>528836</v>
      </c>
      <c r="AA8" s="4387">
        <f>+'B-FCE'!AB18</f>
        <v>523849.15778000001</v>
      </c>
      <c r="AB8" s="4406">
        <f>+'B-FCE'!AC18</f>
        <v>95000</v>
      </c>
      <c r="AC8" s="4354">
        <f>+'B-FCE'!AD18</f>
        <v>89395.797399999996</v>
      </c>
      <c r="AD8" s="4353">
        <f>+'B-FCE'!AE18</f>
        <v>623836</v>
      </c>
      <c r="AE8" s="4353">
        <f>+'B-FCE'!AF18</f>
        <v>613244.95518000005</v>
      </c>
      <c r="AF8" s="4406">
        <f>+'B-FCE'!AG18</f>
        <v>91960</v>
      </c>
      <c r="AG8" s="4354">
        <f>+'B-FCE'!AH18</f>
        <v>3506.2129999999997</v>
      </c>
      <c r="AH8" s="4353">
        <f>+'B-FCE'!AI18</f>
        <v>715796</v>
      </c>
      <c r="AI8" s="1181">
        <f>+'B-FCE'!AJ18</f>
        <v>616751.16818000004</v>
      </c>
      <c r="AJ8" s="4406">
        <f>+'B-FCE'!AK18</f>
        <v>95000</v>
      </c>
      <c r="AK8" s="4354">
        <f>+'B-FCE'!AL18</f>
        <v>100232</v>
      </c>
      <c r="AL8" s="2650">
        <f>+'B-FCE'!AM18</f>
        <v>281960</v>
      </c>
      <c r="AM8" s="2650">
        <f>+'B-FCE'!AN18</f>
        <v>193134.0104</v>
      </c>
      <c r="AN8" s="2659">
        <f>+'B-FCE'!AO18</f>
        <v>810796</v>
      </c>
      <c r="AO8" s="2659">
        <f>+'B-FCE'!AP18</f>
        <v>716983.16818000004</v>
      </c>
      <c r="AP8" s="4406">
        <f>+'B-FCE'!AQ18</f>
        <v>95000</v>
      </c>
      <c r="AQ8" s="4354">
        <f>+'B-FCE'!AR18</f>
        <v>106187.04370000001</v>
      </c>
      <c r="AR8" s="2659">
        <f>+'B-FCE'!AS18</f>
        <v>905796</v>
      </c>
      <c r="AS8" s="2659">
        <f>+'B-FCE'!AT18</f>
        <v>823170.21188000008</v>
      </c>
      <c r="AT8" s="4406">
        <f>+'B-FCE'!AU18</f>
        <v>85500</v>
      </c>
      <c r="AU8" s="4354">
        <f>+'B-FCE'!AV18</f>
        <v>87019.843199999988</v>
      </c>
      <c r="AV8" s="2659">
        <f>+'B-FCE'!AW18</f>
        <v>991296</v>
      </c>
      <c r="AW8" s="2659">
        <f>+'B-FCE'!AX18</f>
        <v>910190.05508000008</v>
      </c>
      <c r="AX8" s="4406">
        <f>+'B-FCE'!AY18</f>
        <v>95000</v>
      </c>
      <c r="AY8" s="4354">
        <f>+'B-FCE'!AZ18</f>
        <v>102456.46079999999</v>
      </c>
      <c r="AZ8" s="2650">
        <f>+'B-FCE'!BA18</f>
        <v>275500</v>
      </c>
      <c r="BA8" s="2650">
        <f>+'B-FCE'!BB18</f>
        <v>295663.34769999998</v>
      </c>
      <c r="BB8" s="2651">
        <f>+'B-FCE'!BC18</f>
        <v>557460</v>
      </c>
      <c r="BC8" s="2651">
        <f>+'B-FCE'!BD18</f>
        <v>488797.35809999995</v>
      </c>
      <c r="BD8" s="2659">
        <f>+'B-FCE'!BE18</f>
        <v>1086296</v>
      </c>
      <c r="BE8" s="2659">
        <f>+'B-FCE'!BF18</f>
        <v>1012646.5158800001</v>
      </c>
      <c r="BF8" s="26"/>
      <c r="BG8" s="26"/>
      <c r="BH8" s="1219"/>
      <c r="BI8" s="1219"/>
      <c r="BJ8" s="1219"/>
      <c r="BM8" s="26"/>
      <c r="BN8" s="26"/>
      <c r="BO8" s="1219"/>
      <c r="BP8" s="1219"/>
    </row>
    <row r="9" spans="1:98" ht="15.6" x14ac:dyDescent="0.3">
      <c r="B9" s="1711" t="s">
        <v>605</v>
      </c>
      <c r="C9" s="4389" t="s">
        <v>354</v>
      </c>
      <c r="D9" s="155">
        <f>+'Maj Production Summ'!E28</f>
        <v>92363.04</v>
      </c>
      <c r="E9" s="4406">
        <f>+'Maj Production Summ'!F28</f>
        <v>70955.830536000009</v>
      </c>
      <c r="F9" s="155">
        <f>+'Maj Production Summ'!G28</f>
        <v>95295.2</v>
      </c>
      <c r="G9" s="4406">
        <f>+'Maj Production Summ'!H28</f>
        <v>75418.546496999988</v>
      </c>
      <c r="H9" s="4353">
        <f>+'Maj Production Summ'!I28</f>
        <v>187658.23999999999</v>
      </c>
      <c r="I9" s="4353">
        <f>+'Maj Production Summ'!J28</f>
        <v>146374.377033</v>
      </c>
      <c r="J9" s="155">
        <f>+'Maj Production Summ'!K28</f>
        <v>92363.04</v>
      </c>
      <c r="K9" s="4406">
        <f>+'Maj Production Summ'!L28</f>
        <v>72846.055192</v>
      </c>
      <c r="L9" s="4386">
        <f>+'Maj Production Summ'!M28</f>
        <v>280021.27999999997</v>
      </c>
      <c r="M9" s="4386">
        <f>+'Maj Production Summ'!N28</f>
        <v>219220.432225</v>
      </c>
      <c r="N9" s="155">
        <f>+'Maj Production Summ'!O28</f>
        <v>93462.6</v>
      </c>
      <c r="O9" s="4406">
        <f>+'Maj Production Summ'!P28</f>
        <v>75682.969600000011</v>
      </c>
      <c r="P9" s="4353">
        <f>+'Maj Production Summ'!Q28</f>
        <v>373483.88</v>
      </c>
      <c r="Q9" s="4353">
        <f>+'Maj Production Summ'!R28</f>
        <v>294903.40182500001</v>
      </c>
      <c r="R9" s="155">
        <f>+'Maj Production Summ'!S28</f>
        <v>93462.6</v>
      </c>
      <c r="S9" s="4406">
        <f>+'Maj Production Summ'!T28</f>
        <v>80832.023354799981</v>
      </c>
      <c r="T9" s="4353">
        <f>+'Maj Production Summ'!U28</f>
        <v>466946.48</v>
      </c>
      <c r="U9" s="4353">
        <f>+'Maj Production Summ'!V28</f>
        <v>375735.42517980002</v>
      </c>
      <c r="V9" s="155">
        <f>+'Maj Production Summ'!W28</f>
        <v>51312.800000000003</v>
      </c>
      <c r="W9" s="4406">
        <f>+'Maj Production Summ'!X28</f>
        <v>79584.048650599972</v>
      </c>
      <c r="X9" s="4386">
        <f>+'Maj Production Summ'!Y28</f>
        <v>238238</v>
      </c>
      <c r="Y9" s="4386">
        <f>+'Maj Production Summ'!Z28</f>
        <v>236099.04160539998</v>
      </c>
      <c r="Z9" s="4387">
        <f>+'Maj Production Summ'!AA28</f>
        <v>518259.27999999997</v>
      </c>
      <c r="AA9" s="4387">
        <f>+'Maj Production Summ'!AB28</f>
        <v>455319.47383039998</v>
      </c>
      <c r="AB9" s="4406">
        <f>+'Maj Production Summ'!AC28</f>
        <v>93198.103266596401</v>
      </c>
      <c r="AC9" s="4406">
        <f>+'Maj Production Summ'!AD28</f>
        <v>81673.877294999998</v>
      </c>
      <c r="AD9" s="4353">
        <f>+'Maj Production Summ'!AE28</f>
        <v>611457.38326659636</v>
      </c>
      <c r="AE9" s="4353">
        <f>+'Maj Production Summ'!AF28</f>
        <v>536993.35112539993</v>
      </c>
      <c r="AF9" s="4406">
        <f>+'Maj Production Summ'!AG28</f>
        <v>90215.763962065321</v>
      </c>
      <c r="AG9" s="4406">
        <f>+'Maj Production Summ'!AH28</f>
        <v>2328.2551100000001</v>
      </c>
      <c r="AH9" s="4353">
        <f>+'Maj Production Summ'!AI28</f>
        <v>701673.14722866169</v>
      </c>
      <c r="AI9" s="1181">
        <f>+'Maj Production Summ'!AJ28</f>
        <v>539321.60623539996</v>
      </c>
      <c r="AJ9" s="4406">
        <f>+'Maj Production Summ'!AK28</f>
        <v>93198.103266596401</v>
      </c>
      <c r="AK9" s="4406">
        <f>+'Maj Production Summ'!AL28</f>
        <v>92452.295552999989</v>
      </c>
      <c r="AL9" s="2650">
        <f>+'Maj Production Summ'!AM28</f>
        <v>276611.97049525811</v>
      </c>
      <c r="AM9" s="2650">
        <f>+'Maj Production Summ'!AN28</f>
        <v>176454.42795799999</v>
      </c>
      <c r="AN9" s="2659">
        <f>+'Maj Production Summ'!AO28</f>
        <v>794871.25049525814</v>
      </c>
      <c r="AO9" s="2659">
        <f>+'Maj Production Summ'!AP28</f>
        <v>631773.9017883999</v>
      </c>
      <c r="AP9" s="4406">
        <f>+'Maj Production Summ'!AQ28</f>
        <v>93198.103266596401</v>
      </c>
      <c r="AQ9" s="4406">
        <f>+'Maj Production Summ'!AR28</f>
        <v>94062.295636000024</v>
      </c>
      <c r="AR9" s="2659">
        <f>+'Maj Production Summ'!AS28</f>
        <v>888069.35376185458</v>
      </c>
      <c r="AS9" s="2659">
        <f>+'Maj Production Summ'!AT28</f>
        <v>725836.1974243999</v>
      </c>
      <c r="AT9" s="4406">
        <f>+'Maj Production Summ'!AU28</f>
        <v>83878.292939936771</v>
      </c>
      <c r="AU9" s="4406">
        <f>+'Maj Production Summ'!AV28</f>
        <v>80273.363262000028</v>
      </c>
      <c r="AV9" s="2659">
        <f>+'Maj Production Summ'!AW28</f>
        <v>971947.64670179132</v>
      </c>
      <c r="AW9" s="2659">
        <f>+'Maj Production Summ'!AX28</f>
        <v>806109.56068639993</v>
      </c>
      <c r="AX9" s="4406">
        <f>+'Maj Production Summ'!AY28</f>
        <v>93198.103266596401</v>
      </c>
      <c r="AY9" s="4406">
        <f>+'Maj Production Summ'!AZ28</f>
        <v>90266.533928000033</v>
      </c>
      <c r="AZ9" s="2650">
        <f>+'Maj Production Summ'!BA28</f>
        <v>270274.49947312957</v>
      </c>
      <c r="BA9" s="2650">
        <f>+'Maj Production Summ'!BB28</f>
        <v>264602.1928260001</v>
      </c>
      <c r="BB9" s="2651">
        <f>+'Maj Production Summ'!BC28</f>
        <v>546886.46996838762</v>
      </c>
      <c r="BC9" s="2651">
        <f>+'Maj Production Summ'!BD28</f>
        <v>441056.62078400009</v>
      </c>
      <c r="BD9" s="2659">
        <f>+'Maj Production Summ'!BE28</f>
        <v>1065145.7499683877</v>
      </c>
      <c r="BE9" s="2659">
        <f>+'Maj Production Summ'!BF28</f>
        <v>896376.09461439995</v>
      </c>
      <c r="BF9" s="26"/>
      <c r="BG9" s="26"/>
      <c r="BH9" s="1219"/>
      <c r="BI9" s="1219"/>
      <c r="BJ9" s="1219"/>
      <c r="BM9" s="26"/>
      <c r="BN9" s="26"/>
      <c r="BO9" s="1219"/>
      <c r="BP9" s="1219"/>
    </row>
    <row r="10" spans="1:98" ht="15.6" x14ac:dyDescent="0.3">
      <c r="B10" s="1711" t="s">
        <v>607</v>
      </c>
      <c r="C10" s="4389" t="s">
        <v>354</v>
      </c>
      <c r="D10" s="155">
        <v>0</v>
      </c>
      <c r="E10" s="4354">
        <f>+'Direct sales IPT details'!E113</f>
        <v>11652.96</v>
      </c>
      <c r="F10" s="155">
        <v>0</v>
      </c>
      <c r="G10" s="4354">
        <f>+'Direct sales IPT details'!G113</f>
        <v>9682.7800000000043</v>
      </c>
      <c r="H10" s="4353">
        <f t="shared" ref="H10" si="0">+D10+F10</f>
        <v>0</v>
      </c>
      <c r="I10" s="4353">
        <f t="shared" ref="I10" si="1">+E10+G10</f>
        <v>21335.740000000005</v>
      </c>
      <c r="J10" s="155">
        <v>0</v>
      </c>
      <c r="K10" s="4354">
        <f>+'Direct sales IPT details'!K113</f>
        <v>10995.34</v>
      </c>
      <c r="L10" s="4386">
        <f t="shared" ref="L10:M12" si="2">+D10+F10+J10</f>
        <v>0</v>
      </c>
      <c r="M10" s="4386">
        <f t="shared" si="2"/>
        <v>32331.080000000005</v>
      </c>
      <c r="N10" s="155">
        <v>0</v>
      </c>
      <c r="O10" s="4354">
        <f>+'Direct sales IPT details'!O113</f>
        <v>7669.560000000004</v>
      </c>
      <c r="P10" s="4353">
        <f t="shared" ref="P10:P12" si="3">+L10+N10</f>
        <v>0</v>
      </c>
      <c r="Q10" s="4353">
        <f t="shared" ref="Q10:Q12" si="4">+M10+O10</f>
        <v>40000.640000000007</v>
      </c>
      <c r="R10" s="155">
        <v>0</v>
      </c>
      <c r="S10" s="4354">
        <f>+'Direct sales IPT details'!S113</f>
        <v>9528.32</v>
      </c>
      <c r="T10" s="4353">
        <f t="shared" ref="T10:T12" si="5">+P10+R10</f>
        <v>0</v>
      </c>
      <c r="U10" s="4353">
        <f t="shared" ref="U10:U12" si="6">+Q10+S10</f>
        <v>49528.960000000006</v>
      </c>
      <c r="V10" s="155">
        <v>0</v>
      </c>
      <c r="W10" s="4354">
        <f>+'Direct sales IPT details'!W113</f>
        <v>1893.0800000000002</v>
      </c>
      <c r="X10" s="4386">
        <f t="shared" ref="X10" si="7">+P10+R10+V10</f>
        <v>0</v>
      </c>
      <c r="Y10" s="4386">
        <f>+O10+S10+W10</f>
        <v>19090.960000000006</v>
      </c>
      <c r="Z10" s="4387">
        <f>+X10+L10</f>
        <v>0</v>
      </c>
      <c r="AA10" s="4387">
        <f>+Y10+M10</f>
        <v>51422.040000000008</v>
      </c>
      <c r="AB10" s="4406">
        <v>0</v>
      </c>
      <c r="AC10" s="4354">
        <f>+'Direct sales IPT details'!AC113</f>
        <v>5560.0000000000009</v>
      </c>
      <c r="AD10" s="4353">
        <f t="shared" ref="AD10:AD12" si="8">+Z10+AB10</f>
        <v>0</v>
      </c>
      <c r="AE10" s="4353">
        <f t="shared" ref="AE10:AE12" si="9">+AA10+AC10</f>
        <v>56982.040000000008</v>
      </c>
      <c r="AF10" s="4406">
        <v>0</v>
      </c>
      <c r="AG10" s="4354">
        <f>+'Direct sales IPT details'!AG113</f>
        <v>3077.3100000000004</v>
      </c>
      <c r="AH10" s="4353">
        <f t="shared" ref="AH10:AH12" si="10">+AD10+AF10</f>
        <v>0</v>
      </c>
      <c r="AI10" s="1181">
        <f t="shared" ref="AI10:AI12" si="11">+AE10+AG10</f>
        <v>60059.350000000006</v>
      </c>
      <c r="AJ10" s="4406">
        <v>0</v>
      </c>
      <c r="AK10" s="4354">
        <f>+'Direct sales IPT details'!AK113</f>
        <v>8040.71</v>
      </c>
      <c r="AL10" s="2650">
        <f t="shared" ref="AL10" si="12">+AD10+AF10+AJ10</f>
        <v>0</v>
      </c>
      <c r="AM10" s="2650">
        <f>+AC10+AG10+AK10</f>
        <v>16678.02</v>
      </c>
      <c r="AN10" s="2659">
        <f t="shared" ref="AN10:AN12" si="13">+AH10+AJ10</f>
        <v>0</v>
      </c>
      <c r="AO10" s="2659">
        <f t="shared" ref="AO10:AO12" si="14">+AI10+AK10</f>
        <v>68100.060000000012</v>
      </c>
      <c r="AP10" s="4406">
        <v>0</v>
      </c>
      <c r="AQ10" s="4354">
        <f>+'Direct sales IPT details'!AQ113</f>
        <v>16569.02</v>
      </c>
      <c r="AR10" s="2659">
        <f t="shared" ref="AR10:AR12" si="15">+AN10+AP10</f>
        <v>0</v>
      </c>
      <c r="AS10" s="2659">
        <f t="shared" ref="AS10:AS12" si="16">+AO10+AQ10</f>
        <v>84669.080000000016</v>
      </c>
      <c r="AT10" s="4406">
        <v>0</v>
      </c>
      <c r="AU10" s="4354">
        <f>+'Direct sales IPT details'!AU113</f>
        <v>9070.67</v>
      </c>
      <c r="AV10" s="2659">
        <f t="shared" ref="AV10:AV12" si="17">+AR10+AT10</f>
        <v>0</v>
      </c>
      <c r="AW10" s="2659">
        <f t="shared" ref="AW10:AW12" si="18">+AS10+AU10</f>
        <v>93739.750000000015</v>
      </c>
      <c r="AX10" s="4406">
        <v>0</v>
      </c>
      <c r="AY10" s="4354">
        <f>+'Direct sales IPT details'!AY113</f>
        <v>5679.02</v>
      </c>
      <c r="AZ10" s="2650">
        <f>+'Direct sales IPT details'!AZ113</f>
        <v>0</v>
      </c>
      <c r="BA10" s="2650">
        <f>+'Direct sales IPT details'!BA113</f>
        <v>31318.710000000003</v>
      </c>
      <c r="BB10" s="2651">
        <f>+'Direct sales IPT details'!BB113</f>
        <v>0</v>
      </c>
      <c r="BC10" s="2651">
        <f>+'Direct sales IPT details'!BC113</f>
        <v>47996.73</v>
      </c>
      <c r="BD10" s="2659">
        <f>+'Direct sales IPT details'!BD113</f>
        <v>0</v>
      </c>
      <c r="BE10" s="2659">
        <f>+'Direct sales IPT details'!BE113</f>
        <v>99418.770000000019</v>
      </c>
      <c r="BF10" s="26"/>
      <c r="BG10" s="26"/>
      <c r="BH10" s="1219"/>
      <c r="BI10" s="1219"/>
      <c r="BJ10" s="1219"/>
      <c r="BM10" s="26"/>
      <c r="BN10" s="26"/>
      <c r="BO10" s="1219"/>
      <c r="BP10" s="1219"/>
    </row>
    <row r="11" spans="1:98" ht="15.6" x14ac:dyDescent="0.3">
      <c r="B11" s="1711" t="s">
        <v>1205</v>
      </c>
      <c r="C11" s="4389" t="s">
        <v>354</v>
      </c>
      <c r="D11" s="155">
        <f>+'Maj Production Summ'!E28</f>
        <v>92363.04</v>
      </c>
      <c r="E11" s="4406">
        <f>+'Direct sales IPT details'!E114</f>
        <v>82850.87</v>
      </c>
      <c r="F11" s="155">
        <f>+'Maj Production Summ'!G28</f>
        <v>95295.2</v>
      </c>
      <c r="G11" s="4406">
        <f>+'Direct sales IPT details'!G114</f>
        <v>83444.700000000012</v>
      </c>
      <c r="H11" s="4353">
        <f t="shared" ref="H11:I12" si="19">+D11+F11</f>
        <v>187658.23999999999</v>
      </c>
      <c r="I11" s="4353">
        <f t="shared" si="19"/>
        <v>166295.57</v>
      </c>
      <c r="J11" s="155">
        <f>+'Maj Production Summ'!K28</f>
        <v>92363.04</v>
      </c>
      <c r="K11" s="4406">
        <f>+'Direct sales IPT details'!K114</f>
        <v>77025.87</v>
      </c>
      <c r="L11" s="4386">
        <f t="shared" si="2"/>
        <v>280021.27999999997</v>
      </c>
      <c r="M11" s="4386">
        <f t="shared" si="2"/>
        <v>243321.44</v>
      </c>
      <c r="N11" s="155">
        <f>+'Maj Production Summ'!O28</f>
        <v>93462.6</v>
      </c>
      <c r="O11" s="4406">
        <f>+'Direct sales IPT details'!O114</f>
        <v>101956.98999999999</v>
      </c>
      <c r="P11" s="4353">
        <f t="shared" si="3"/>
        <v>373483.88</v>
      </c>
      <c r="Q11" s="4353">
        <f t="shared" si="4"/>
        <v>345278.43</v>
      </c>
      <c r="R11" s="155">
        <f>+'Maj Production Summ'!S28</f>
        <v>93462.6</v>
      </c>
      <c r="S11" s="4406">
        <f>+'Direct sales IPT details'!S114</f>
        <v>82745.340000000011</v>
      </c>
      <c r="T11" s="4353">
        <f t="shared" si="5"/>
        <v>466946.48</v>
      </c>
      <c r="U11" s="4353">
        <f t="shared" si="6"/>
        <v>428023.77</v>
      </c>
      <c r="V11" s="155">
        <f>+'Maj Production Summ'!W28</f>
        <v>51312.800000000003</v>
      </c>
      <c r="W11" s="4406">
        <f>+'Direct sales IPT details'!W114</f>
        <v>87643.580000000016</v>
      </c>
      <c r="X11" s="4386">
        <f>N11+R11+V11</f>
        <v>238238</v>
      </c>
      <c r="Y11" s="4386">
        <f>+O11+S11+W11</f>
        <v>272345.91000000003</v>
      </c>
      <c r="Z11" s="4387">
        <f>+X11+L11</f>
        <v>518259.27999999997</v>
      </c>
      <c r="AA11" s="4387">
        <f>+Y11+M11</f>
        <v>515667.35000000003</v>
      </c>
      <c r="AB11" s="4406">
        <f>+'Maj Production Summ'!AC28</f>
        <v>93198.103266596401</v>
      </c>
      <c r="AC11" s="4406">
        <f>+'Direct sales IPT details'!AC114</f>
        <v>69744.739999999991</v>
      </c>
      <c r="AD11" s="4353">
        <f t="shared" si="8"/>
        <v>611457.38326659636</v>
      </c>
      <c r="AE11" s="4353">
        <f t="shared" si="9"/>
        <v>585412.09000000008</v>
      </c>
      <c r="AF11" s="4406">
        <f>+'Maj Production Summ'!AG28</f>
        <v>90215.763962065321</v>
      </c>
      <c r="AG11" s="4406">
        <f>+'Direct sales IPT details'!AG114</f>
        <v>27303.190000000002</v>
      </c>
      <c r="AH11" s="4353">
        <f t="shared" si="10"/>
        <v>701673.14722866169</v>
      </c>
      <c r="AI11" s="1181">
        <f t="shared" si="11"/>
        <v>612715.28</v>
      </c>
      <c r="AJ11" s="4406">
        <f>+'Maj Production Summ'!AK28</f>
        <v>93198.103266596401</v>
      </c>
      <c r="AK11" s="4406">
        <f>+'Direct sales IPT details'!AK114</f>
        <v>61000.69</v>
      </c>
      <c r="AL11" s="2650">
        <f>AB11+AF11+AJ11</f>
        <v>276611.97049525811</v>
      </c>
      <c r="AM11" s="2650">
        <f>+AC11+AG11+AK11</f>
        <v>158048.62</v>
      </c>
      <c r="AN11" s="2659">
        <f t="shared" si="13"/>
        <v>794871.25049525814</v>
      </c>
      <c r="AO11" s="2659">
        <f t="shared" si="14"/>
        <v>673715.97</v>
      </c>
      <c r="AP11" s="4406">
        <f>+'Maj Production Summ'!AQ28</f>
        <v>93198.103266596401</v>
      </c>
      <c r="AQ11" s="4406">
        <f>+'Direct sales IPT details'!AQ114</f>
        <v>97525.18</v>
      </c>
      <c r="AR11" s="2659">
        <f t="shared" si="15"/>
        <v>888069.35376185458</v>
      </c>
      <c r="AS11" s="2659">
        <f t="shared" si="16"/>
        <v>771241.14999999991</v>
      </c>
      <c r="AT11" s="4406">
        <f>+'Maj Production Summ'!AU28</f>
        <v>83878.292939936771</v>
      </c>
      <c r="AU11" s="4406">
        <f>+'Direct sales IPT details'!AU114</f>
        <v>85055.29</v>
      </c>
      <c r="AV11" s="2659">
        <f t="shared" si="17"/>
        <v>971947.64670179132</v>
      </c>
      <c r="AW11" s="2659">
        <f t="shared" si="18"/>
        <v>856296.44</v>
      </c>
      <c r="AX11" s="4406">
        <f>+'Maj Production Summ'!AY28</f>
        <v>93198.103266596401</v>
      </c>
      <c r="AY11" s="4406">
        <f>+'Direct sales IPT details'!AY114</f>
        <v>72764.600000000006</v>
      </c>
      <c r="AZ11" s="2650">
        <f>AP11+AT11+AX11</f>
        <v>270274.49947312957</v>
      </c>
      <c r="BA11" s="2650">
        <f>+AQ11+AU11+AY11</f>
        <v>255345.06999999998</v>
      </c>
      <c r="BB11" s="2651">
        <f>+AZ11+AL11</f>
        <v>546886.46996838762</v>
      </c>
      <c r="BC11" s="2651">
        <f>+BA11+AM11</f>
        <v>413393.68999999994</v>
      </c>
      <c r="BD11" s="2659">
        <f t="shared" ref="BD11:BD12" si="20">+AV11+AX11</f>
        <v>1065145.7499683877</v>
      </c>
      <c r="BE11" s="2659">
        <f t="shared" ref="BE11:BE12" si="21">+AW11+AY11</f>
        <v>929061.03999999992</v>
      </c>
      <c r="BF11" s="26"/>
      <c r="BG11" s="26"/>
      <c r="BH11" s="1219"/>
      <c r="BI11" s="1219"/>
      <c r="BJ11" s="1219"/>
      <c r="BM11" s="26"/>
      <c r="BN11" s="26"/>
      <c r="BO11" s="1219"/>
      <c r="BP11" s="1219"/>
    </row>
    <row r="12" spans="1:98" ht="15.6" x14ac:dyDescent="0.3">
      <c r="B12" s="1711" t="s">
        <v>606</v>
      </c>
      <c r="C12" s="4389" t="s">
        <v>354</v>
      </c>
      <c r="D12" s="1600">
        <f>SUM(D10:D11)</f>
        <v>92363.04</v>
      </c>
      <c r="E12" s="4354">
        <f>SUM(E10:E11)</f>
        <v>94503.829999999987</v>
      </c>
      <c r="F12" s="1600">
        <f>SUM(F10:F11)</f>
        <v>95295.2</v>
      </c>
      <c r="G12" s="4354">
        <f>SUM(G10:G11)</f>
        <v>93127.48000000001</v>
      </c>
      <c r="H12" s="4353">
        <f t="shared" si="19"/>
        <v>187658.23999999999</v>
      </c>
      <c r="I12" s="4353">
        <f t="shared" si="19"/>
        <v>187631.31</v>
      </c>
      <c r="J12" s="1600">
        <f>SUM(J10:J11)</f>
        <v>92363.04</v>
      </c>
      <c r="K12" s="4354">
        <f>SUM(K10:K11)</f>
        <v>88021.209999999992</v>
      </c>
      <c r="L12" s="4386">
        <f t="shared" si="2"/>
        <v>280021.27999999997</v>
      </c>
      <c r="M12" s="4386">
        <f t="shared" si="2"/>
        <v>275652.52</v>
      </c>
      <c r="N12" s="1600">
        <f>SUM(N10:N11)</f>
        <v>93462.6</v>
      </c>
      <c r="O12" s="4354">
        <f>SUM(O10:O11)</f>
        <v>109626.54999999999</v>
      </c>
      <c r="P12" s="4353">
        <f t="shared" si="3"/>
        <v>373483.88</v>
      </c>
      <c r="Q12" s="4353">
        <f t="shared" si="4"/>
        <v>385279.07</v>
      </c>
      <c r="R12" s="1600">
        <f>SUM(R10:R11)</f>
        <v>93462.6</v>
      </c>
      <c r="S12" s="4354">
        <f>SUM(S10:S11)</f>
        <v>92273.66</v>
      </c>
      <c r="T12" s="4353">
        <f t="shared" si="5"/>
        <v>466946.48</v>
      </c>
      <c r="U12" s="4353">
        <f t="shared" si="6"/>
        <v>477552.73</v>
      </c>
      <c r="V12" s="1600">
        <f>SUM(V10:V11)</f>
        <v>51312.800000000003</v>
      </c>
      <c r="W12" s="4354">
        <f>SUM(W10:W11)</f>
        <v>89536.660000000018</v>
      </c>
      <c r="X12" s="4386">
        <f>SUM(X10:X11)</f>
        <v>238238</v>
      </c>
      <c r="Y12" s="4386">
        <f>+O12+S12+W12</f>
        <v>291436.87</v>
      </c>
      <c r="Z12" s="4387">
        <f t="shared" ref="Z12:AA12" si="22">SUM(Z10:Z11)</f>
        <v>518259.27999999997</v>
      </c>
      <c r="AA12" s="4387">
        <f t="shared" si="22"/>
        <v>567089.39</v>
      </c>
      <c r="AB12" s="4354">
        <f>SUM(AB10:AB11)</f>
        <v>93198.103266596401</v>
      </c>
      <c r="AC12" s="4354">
        <f>SUM(AC10:AC11)</f>
        <v>75304.739999999991</v>
      </c>
      <c r="AD12" s="4353">
        <f t="shared" si="8"/>
        <v>611457.38326659636</v>
      </c>
      <c r="AE12" s="4353">
        <f t="shared" si="9"/>
        <v>642394.13</v>
      </c>
      <c r="AF12" s="4354">
        <f>SUM(AF10:AF11)</f>
        <v>90215.763962065321</v>
      </c>
      <c r="AG12" s="4354">
        <f>SUM(AG10:AG11)</f>
        <v>30380.500000000004</v>
      </c>
      <c r="AH12" s="4353">
        <f t="shared" si="10"/>
        <v>701673.14722866169</v>
      </c>
      <c r="AI12" s="1181">
        <f t="shared" si="11"/>
        <v>672774.63</v>
      </c>
      <c r="AJ12" s="4354">
        <f>SUM(AJ10:AJ11)</f>
        <v>93198.103266596401</v>
      </c>
      <c r="AK12" s="4354">
        <f>SUM(AK10:AK11)</f>
        <v>69041.400000000009</v>
      </c>
      <c r="AL12" s="2650">
        <f>SUM(AL10:AL11)</f>
        <v>276611.97049525811</v>
      </c>
      <c r="AM12" s="2650">
        <f>+AC12+AG12+AK12</f>
        <v>174726.64</v>
      </c>
      <c r="AN12" s="2659">
        <f t="shared" si="13"/>
        <v>794871.25049525814</v>
      </c>
      <c r="AO12" s="2659">
        <f t="shared" si="14"/>
        <v>741816.03</v>
      </c>
      <c r="AP12" s="4354">
        <f>SUM(AP10:AP11)</f>
        <v>93198.103266596401</v>
      </c>
      <c r="AQ12" s="4354">
        <f>SUM(AQ10:AQ11)</f>
        <v>114094.2</v>
      </c>
      <c r="AR12" s="2659">
        <f t="shared" si="15"/>
        <v>888069.35376185458</v>
      </c>
      <c r="AS12" s="2659">
        <f t="shared" si="16"/>
        <v>855910.23</v>
      </c>
      <c r="AT12" s="4354">
        <f>SUM(AT10:AT11)</f>
        <v>83878.292939936771</v>
      </c>
      <c r="AU12" s="4354">
        <f>SUM(AU10:AU11)</f>
        <v>94125.959999999992</v>
      </c>
      <c r="AV12" s="2659">
        <f t="shared" si="17"/>
        <v>971947.64670179132</v>
      </c>
      <c r="AW12" s="2659">
        <f t="shared" si="18"/>
        <v>950036.19</v>
      </c>
      <c r="AX12" s="4354">
        <f>SUM(AX10:AX11)</f>
        <v>93198.103266596401</v>
      </c>
      <c r="AY12" s="4354">
        <f>SUM(AY10:AY11)</f>
        <v>78443.62000000001</v>
      </c>
      <c r="AZ12" s="2650">
        <f>SUM(AZ10:AZ11)</f>
        <v>270274.49947312957</v>
      </c>
      <c r="BA12" s="2650">
        <f>+AQ12+AU12+AY12</f>
        <v>286663.77999999997</v>
      </c>
      <c r="BB12" s="2651">
        <f t="shared" ref="BB12:BC12" si="23">SUM(BB10:BB11)</f>
        <v>546886.46996838762</v>
      </c>
      <c r="BC12" s="2651">
        <f t="shared" si="23"/>
        <v>461390.41999999993</v>
      </c>
      <c r="BD12" s="2659">
        <f t="shared" si="20"/>
        <v>1065145.7499683877</v>
      </c>
      <c r="BE12" s="2659">
        <f t="shared" si="21"/>
        <v>1028479.8099999999</v>
      </c>
      <c r="BF12" s="26"/>
      <c r="BG12" s="26"/>
      <c r="BH12" s="1219"/>
      <c r="BI12" s="1219"/>
      <c r="BJ12" s="1219"/>
      <c r="BM12" s="26"/>
      <c r="BN12" s="26"/>
      <c r="BO12" s="1219"/>
      <c r="BP12" s="1219"/>
    </row>
    <row r="13" spans="1:98" s="149" customFormat="1" ht="15.6" x14ac:dyDescent="0.3">
      <c r="B13" s="2731" t="s">
        <v>603</v>
      </c>
      <c r="C13" s="4390" t="s">
        <v>49</v>
      </c>
      <c r="D13" s="4407">
        <v>1</v>
      </c>
      <c r="E13" s="4408">
        <f>+E12/E8</f>
        <v>1.1483841209668186</v>
      </c>
      <c r="F13" s="4407">
        <v>1</v>
      </c>
      <c r="G13" s="4408">
        <f>+G12/G8</f>
        <v>1.0536578529239886</v>
      </c>
      <c r="H13" s="4409">
        <v>1</v>
      </c>
      <c r="I13" s="4409">
        <f>+I12/I8</f>
        <v>1.0993304387894869</v>
      </c>
      <c r="J13" s="4407">
        <v>1</v>
      </c>
      <c r="K13" s="4408">
        <f>+K12/K8</f>
        <v>1.0620771263121926</v>
      </c>
      <c r="L13" s="4410">
        <v>1</v>
      </c>
      <c r="M13" s="4410">
        <f t="shared" ref="M13:AA13" si="24">+M12/M8</f>
        <v>1.0871538617803891</v>
      </c>
      <c r="N13" s="4407">
        <v>1</v>
      </c>
      <c r="O13" s="4408">
        <f>+O12/O8</f>
        <v>1.1739491867040537</v>
      </c>
      <c r="P13" s="4409">
        <v>1</v>
      </c>
      <c r="Q13" s="4409">
        <f>+Q12/Q8</f>
        <v>1.1105159777465918</v>
      </c>
      <c r="R13" s="4407">
        <v>1</v>
      </c>
      <c r="S13" s="4408">
        <f>+S12/S8</f>
        <v>1.0110206710267551</v>
      </c>
      <c r="T13" s="4409">
        <v>1</v>
      </c>
      <c r="U13" s="4409">
        <f t="shared" ref="U13" si="25">+U12/U8</f>
        <v>1.0897934294659704</v>
      </c>
      <c r="V13" s="4407">
        <v>1</v>
      </c>
      <c r="W13" s="4408">
        <f>+W12/W8</f>
        <v>1.0454474734806383</v>
      </c>
      <c r="X13" s="4410">
        <v>1</v>
      </c>
      <c r="Y13" s="4410">
        <f t="shared" ref="Y13" si="26">+Y12/Y8</f>
        <v>1.0782182691618654</v>
      </c>
      <c r="Z13" s="4411">
        <v>1</v>
      </c>
      <c r="AA13" s="4411">
        <f t="shared" si="24"/>
        <v>1.0825432886124053</v>
      </c>
      <c r="AB13" s="4408">
        <v>1</v>
      </c>
      <c r="AC13" s="4408">
        <f>+AC12/AC8</f>
        <v>0.8423744984683138</v>
      </c>
      <c r="AD13" s="4409">
        <v>1</v>
      </c>
      <c r="AE13" s="4409">
        <f t="shared" ref="AE13" si="27">+AE12/AE8</f>
        <v>1.0475326777232827</v>
      </c>
      <c r="AF13" s="4408">
        <v>1</v>
      </c>
      <c r="AG13" s="4408">
        <f>+AG12/AG8</f>
        <v>8.6647616673601995</v>
      </c>
      <c r="AH13" s="4409">
        <v>1</v>
      </c>
      <c r="AI13" s="4412">
        <f t="shared" ref="AI13" si="28">+AI12/AI8</f>
        <v>1.0908364097393155</v>
      </c>
      <c r="AJ13" s="4408">
        <v>1</v>
      </c>
      <c r="AK13" s="4408">
        <f>+AK12/AK8</f>
        <v>0.68881594700295323</v>
      </c>
      <c r="AL13" s="2742">
        <v>1</v>
      </c>
      <c r="AM13" s="2742">
        <f t="shared" ref="AM13" si="29">+AM12/AM8</f>
        <v>0.90469120191789909</v>
      </c>
      <c r="AN13" s="2741">
        <v>1</v>
      </c>
      <c r="AO13" s="2741">
        <f t="shared" ref="AO13" si="30">+AO12/AO8</f>
        <v>1.0346352089171578</v>
      </c>
      <c r="AP13" s="4408">
        <v>1</v>
      </c>
      <c r="AQ13" s="4408">
        <f>+AQ12/AQ8</f>
        <v>1.074464416980468</v>
      </c>
      <c r="AR13" s="5046">
        <v>1</v>
      </c>
      <c r="AS13" s="5046">
        <f t="shared" ref="AS13" si="31">+AS12/AS8</f>
        <v>1.0397730841659425</v>
      </c>
      <c r="AT13" s="4408">
        <v>1</v>
      </c>
      <c r="AU13" s="4408">
        <f>+AU12/AU8</f>
        <v>1.0816608780099479</v>
      </c>
      <c r="AV13" s="5046">
        <v>1</v>
      </c>
      <c r="AW13" s="5046">
        <f t="shared" ref="AW13" si="32">+AW12/AW8</f>
        <v>1.0437778183771713</v>
      </c>
      <c r="AX13" s="4408">
        <v>1</v>
      </c>
      <c r="AY13" s="4408">
        <f>+AY12/AY8</f>
        <v>0.76562882796747966</v>
      </c>
      <c r="AZ13" s="2742">
        <v>1</v>
      </c>
      <c r="BA13" s="2742">
        <f t="shared" ref="BA13" si="33">+BA12/BA8</f>
        <v>0.96956143610627188</v>
      </c>
      <c r="BB13" s="2743">
        <v>1</v>
      </c>
      <c r="BC13" s="2743">
        <f t="shared" ref="BC13" si="34">+BC12/BC8</f>
        <v>0.94392985631810022</v>
      </c>
      <c r="BD13" s="2741">
        <v>1</v>
      </c>
      <c r="BE13" s="2741">
        <f t="shared" ref="BE13" si="35">+BE12/BE8</f>
        <v>1.015635558777626</v>
      </c>
      <c r="BF13" s="26"/>
      <c r="BG13" s="26"/>
      <c r="BH13" s="1219"/>
      <c r="BI13" s="1219"/>
      <c r="BJ13" s="1219"/>
      <c r="BK13"/>
      <c r="BL13"/>
      <c r="BM13" s="26"/>
      <c r="BN13" s="26"/>
      <c r="BO13" s="1219"/>
      <c r="BP13" s="1219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</row>
    <row r="14" spans="1:98" s="149" customFormat="1" ht="15.6" x14ac:dyDescent="0.3">
      <c r="B14" s="2731" t="s">
        <v>452</v>
      </c>
      <c r="C14" s="4390" t="s">
        <v>354</v>
      </c>
      <c r="D14" s="1600">
        <f>+(D17*D18)/1000</f>
        <v>29875.920679886651</v>
      </c>
      <c r="E14" s="4354">
        <f>+SMS!F92</f>
        <v>26838.328010000001</v>
      </c>
      <c r="F14" s="1600">
        <f>+(F17*F18)/1000</f>
        <v>30827.762039660036</v>
      </c>
      <c r="G14" s="4354">
        <f>+SMS!H92</f>
        <v>30280.43044</v>
      </c>
      <c r="H14" s="4353">
        <f>+D14+F14</f>
        <v>60703.68271954669</v>
      </c>
      <c r="I14" s="4353">
        <f>+E14+G14</f>
        <v>57118.758450000001</v>
      </c>
      <c r="J14" s="1600">
        <f>+(J17*J18)/1000</f>
        <v>29875.920679886651</v>
      </c>
      <c r="K14" s="4354">
        <f>+SMS!L92</f>
        <v>30254.303680000001</v>
      </c>
      <c r="L14" s="4386">
        <f>+D14+F14+J14</f>
        <v>90579.603399433341</v>
      </c>
      <c r="M14" s="4386">
        <f>+E14+G14+K14</f>
        <v>87373.062130000006</v>
      </c>
      <c r="N14" s="1600">
        <f>+(N17*N18)/1000</f>
        <v>30232.861189801704</v>
      </c>
      <c r="O14" s="4354">
        <f>+SMS!P92</f>
        <v>31564.151819999999</v>
      </c>
      <c r="P14" s="4353">
        <f>+L14+N14</f>
        <v>120812.46458923505</v>
      </c>
      <c r="Q14" s="4353">
        <f>+M14+O14</f>
        <v>118937.21395</v>
      </c>
      <c r="R14" s="1600">
        <f>+(R17*R18)/1000</f>
        <v>30232.861189801704</v>
      </c>
      <c r="S14" s="4354">
        <f>+SMS!T92</f>
        <v>29126.430780000002</v>
      </c>
      <c r="T14" s="4353">
        <f t="shared" ref="T14:T15" si="36">+P14+R14</f>
        <v>151045.32577903676</v>
      </c>
      <c r="U14" s="4353">
        <f t="shared" ref="U14:U15" si="37">+Q14+S14</f>
        <v>148063.64473</v>
      </c>
      <c r="V14" s="1600">
        <f>+(V17*V18)/1000</f>
        <v>15866.005665722438</v>
      </c>
      <c r="W14" s="4354">
        <f>+SMS!X92</f>
        <v>28595.071339999999</v>
      </c>
      <c r="X14" s="4386">
        <f>N14+R14+V14</f>
        <v>76331.728045325843</v>
      </c>
      <c r="Y14" s="4386">
        <f>+O14+S14+W14</f>
        <v>89285.653940000004</v>
      </c>
      <c r="Z14" s="4387">
        <f>+X14+L14</f>
        <v>166911.33144475918</v>
      </c>
      <c r="AA14" s="4387">
        <f>+Y14+M14</f>
        <v>176658.71607000002</v>
      </c>
      <c r="AB14" s="4354">
        <f>+(AB17*AB18)/1000</f>
        <v>29671.811320754732</v>
      </c>
      <c r="AC14" s="4354">
        <f>+SMS!AD92</f>
        <v>31015.537258200002</v>
      </c>
      <c r="AD14" s="4354">
        <f t="shared" ref="AD14:AD15" si="38">+Z14+AB14</f>
        <v>196583.14276551391</v>
      </c>
      <c r="AE14" s="4354">
        <f t="shared" ref="AE14:AE15" si="39">+AA14+AC14</f>
        <v>207674.25332820002</v>
      </c>
      <c r="AF14" s="4354">
        <f>+(AF17*AF18)/1000</f>
        <v>28720.867924528291</v>
      </c>
      <c r="AG14" s="4354">
        <f>+SMS!AH92</f>
        <v>1264.4207357999999</v>
      </c>
      <c r="AH14" s="4354">
        <f t="shared" ref="AH14:AH15" si="40">+AD14+AF14</f>
        <v>225304.0106900422</v>
      </c>
      <c r="AI14" s="1145">
        <f t="shared" ref="AI14:AI15" si="41">+AE14+AG14</f>
        <v>208938.67406400002</v>
      </c>
      <c r="AJ14" s="4354">
        <f>+(AJ17*AJ18)/1000</f>
        <v>29671.811320754732</v>
      </c>
      <c r="AK14" s="4354">
        <f>+SMS!AL92</f>
        <v>31783.8567473</v>
      </c>
      <c r="AL14" s="2650">
        <f>AB14+AF14+AJ14</f>
        <v>88064.490566037755</v>
      </c>
      <c r="AM14" s="2650">
        <f>+AC14+AG14+AK14</f>
        <v>64063.814741299997</v>
      </c>
      <c r="AN14" s="2659">
        <f t="shared" ref="AN14:AN15" si="42">+AH14+AJ14</f>
        <v>254975.82201079692</v>
      </c>
      <c r="AO14" s="2659">
        <f t="shared" ref="AO14:AO15" si="43">+AI14+AK14</f>
        <v>240722.53081130004</v>
      </c>
      <c r="AP14" s="4354">
        <f>+(AP17*AP18)/1000</f>
        <v>29671.811320754732</v>
      </c>
      <c r="AQ14" s="4354">
        <f>+SMS!AR92</f>
        <v>31840.665499999999</v>
      </c>
      <c r="AR14" s="2740">
        <f t="shared" ref="AR14:AR15" si="44">+AN14+AP14</f>
        <v>284647.63333155168</v>
      </c>
      <c r="AS14" s="2740">
        <f t="shared" ref="AS14:AS15" si="45">+AO14+AQ14</f>
        <v>272563.19631130004</v>
      </c>
      <c r="AT14" s="4354">
        <f>+(AT17*AT18)/1000</f>
        <v>26700.113207547111</v>
      </c>
      <c r="AU14" s="4354">
        <f>+SMS!AV92</f>
        <v>29399.024669999999</v>
      </c>
      <c r="AV14" s="2740">
        <f t="shared" ref="AV14:AV15" si="46">+AR14+AT14</f>
        <v>311347.74653909879</v>
      </c>
      <c r="AW14" s="2740">
        <f t="shared" ref="AW14:AW15" si="47">+AS14+AU14</f>
        <v>301962.22098130005</v>
      </c>
      <c r="AX14" s="4354">
        <f>+(AX17*AX18)/1000</f>
        <v>29671.811320754732</v>
      </c>
      <c r="AY14" s="4354">
        <f>+SMS!AZ92</f>
        <v>32502.837760000002</v>
      </c>
      <c r="AZ14" s="2650">
        <f>AP14+AT14+AX14</f>
        <v>86043.735849056568</v>
      </c>
      <c r="BA14" s="2650">
        <f>+AQ14+AU14+AY14</f>
        <v>93742.527930000011</v>
      </c>
      <c r="BB14" s="2651">
        <f>+AZ14+AL14</f>
        <v>174108.22641509434</v>
      </c>
      <c r="BC14" s="2651">
        <f>+BA14+AM14</f>
        <v>157806.34267129999</v>
      </c>
      <c r="BD14" s="2659">
        <f t="shared" ref="BD14:BD15" si="48">+AV14+AX14</f>
        <v>341019.55785985355</v>
      </c>
      <c r="BE14" s="2659">
        <f t="shared" ref="BE14:BE15" si="49">+AW14+AY14</f>
        <v>334465.05874130008</v>
      </c>
      <c r="BF14" s="26"/>
      <c r="BG14" s="26"/>
      <c r="BH14" s="1219"/>
      <c r="BI14" s="1219"/>
      <c r="BJ14" s="1219"/>
      <c r="BK14"/>
      <c r="BL14"/>
      <c r="BM14" s="26"/>
      <c r="BN14" s="26"/>
      <c r="BO14" s="1219"/>
      <c r="BP14" s="1219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</row>
    <row r="15" spans="1:98" s="149" customFormat="1" ht="15.6" x14ac:dyDescent="0.3">
      <c r="B15" s="2731" t="s">
        <v>423</v>
      </c>
      <c r="C15" s="4390" t="s">
        <v>354</v>
      </c>
      <c r="D15" s="1600">
        <f>+(D14*D16)</f>
        <v>29875.920679886651</v>
      </c>
      <c r="E15" s="4354">
        <f>+E35</f>
        <v>88452.62999999999</v>
      </c>
      <c r="F15" s="1600">
        <f>+(F14*F16)</f>
        <v>30827.762039660036</v>
      </c>
      <c r="G15" s="4354">
        <f>+G35</f>
        <v>113274.25</v>
      </c>
      <c r="H15" s="4353">
        <f>+D15+F15</f>
        <v>60703.68271954669</v>
      </c>
      <c r="I15" s="4353">
        <f>+E15+G15</f>
        <v>201726.88</v>
      </c>
      <c r="J15" s="1600">
        <f>+(J14*J16)</f>
        <v>29875.920679886651</v>
      </c>
      <c r="K15" s="4354">
        <f>+K35</f>
        <v>97401.08</v>
      </c>
      <c r="L15" s="4386">
        <f>+D15+F15+J15</f>
        <v>90579.603399433341</v>
      </c>
      <c r="M15" s="4386">
        <f>+E15+G15+K15</f>
        <v>299127.96000000002</v>
      </c>
      <c r="N15" s="1600">
        <f>+(N14*N16)</f>
        <v>30232.861189801704</v>
      </c>
      <c r="O15" s="4354">
        <f>+O35</f>
        <v>85433.74</v>
      </c>
      <c r="P15" s="4353">
        <f>+L15+N15</f>
        <v>120812.46458923505</v>
      </c>
      <c r="Q15" s="4353">
        <f>+M15+O15</f>
        <v>384561.7</v>
      </c>
      <c r="R15" s="1600">
        <f>+(R14*R16)</f>
        <v>30232.861189801704</v>
      </c>
      <c r="S15" s="4354">
        <f>+S35</f>
        <v>92218.72</v>
      </c>
      <c r="T15" s="4353">
        <f t="shared" si="36"/>
        <v>151045.32577903676</v>
      </c>
      <c r="U15" s="4353">
        <f t="shared" si="37"/>
        <v>476780.42000000004</v>
      </c>
      <c r="V15" s="1600">
        <f>+(V14*V16)</f>
        <v>15866.005665722438</v>
      </c>
      <c r="W15" s="4354">
        <f>+W35</f>
        <v>79249.510000000009</v>
      </c>
      <c r="X15" s="4386">
        <f>N15+R15+V15</f>
        <v>76331.728045325843</v>
      </c>
      <c r="Y15" s="4386">
        <f>+O15+S15+W15</f>
        <v>256901.97000000003</v>
      </c>
      <c r="Z15" s="4387">
        <f>+X15+L15</f>
        <v>166911.33144475918</v>
      </c>
      <c r="AA15" s="4387">
        <f>+Y15+M15</f>
        <v>556029.93000000005</v>
      </c>
      <c r="AB15" s="4354">
        <f>+(AB14*AB16)</f>
        <v>29671.811320754732</v>
      </c>
      <c r="AC15" s="4354">
        <f>+AC35</f>
        <v>58299</v>
      </c>
      <c r="AD15" s="4354">
        <f t="shared" si="38"/>
        <v>196583.14276551391</v>
      </c>
      <c r="AE15" s="4354">
        <f t="shared" si="39"/>
        <v>614328.93000000005</v>
      </c>
      <c r="AF15" s="4354">
        <f>+(AF14*AF16)</f>
        <v>28720.867924528291</v>
      </c>
      <c r="AG15" s="4354">
        <f>+AG35</f>
        <v>134577.69</v>
      </c>
      <c r="AH15" s="4354">
        <f t="shared" si="40"/>
        <v>225304.0106900422</v>
      </c>
      <c r="AI15" s="1145">
        <f t="shared" si="41"/>
        <v>748906.62000000011</v>
      </c>
      <c r="AJ15" s="4354">
        <f>+(AJ14*AJ16)</f>
        <v>29671.811320754732</v>
      </c>
      <c r="AK15" s="4354">
        <f>+AK35</f>
        <v>99419.191999999995</v>
      </c>
      <c r="AL15" s="2650">
        <f>AB15+AF15+AJ15</f>
        <v>88064.490566037755</v>
      </c>
      <c r="AM15" s="2650">
        <f>+AC15+AG15+AK15</f>
        <v>292295.88199999998</v>
      </c>
      <c r="AN15" s="2659">
        <f t="shared" si="42"/>
        <v>254975.82201079692</v>
      </c>
      <c r="AO15" s="2659">
        <f t="shared" si="43"/>
        <v>848325.81200000015</v>
      </c>
      <c r="AP15" s="4354">
        <f>+(AP14*AP16)</f>
        <v>29671.811320754732</v>
      </c>
      <c r="AQ15" s="4354">
        <f>+AQ35</f>
        <v>98812.07</v>
      </c>
      <c r="AR15" s="2740">
        <f t="shared" si="44"/>
        <v>284647.63333155168</v>
      </c>
      <c r="AS15" s="2740">
        <f t="shared" si="45"/>
        <v>947137.88200000022</v>
      </c>
      <c r="AT15" s="4354">
        <f>+(AT14*AT16)</f>
        <v>26700.113207547111</v>
      </c>
      <c r="AU15" s="4354">
        <f>+AU35</f>
        <v>88437.24</v>
      </c>
      <c r="AV15" s="2740">
        <f t="shared" si="46"/>
        <v>311347.74653909879</v>
      </c>
      <c r="AW15" s="2740">
        <f t="shared" si="47"/>
        <v>1035575.1220000002</v>
      </c>
      <c r="AX15" s="4354">
        <f>+(AX14*AX16)</f>
        <v>29671.811320754732</v>
      </c>
      <c r="AY15" s="4354">
        <f>+AY35</f>
        <v>86265</v>
      </c>
      <c r="AZ15" s="2650">
        <f>AP15+AT15+AX15</f>
        <v>86043.735849056568</v>
      </c>
      <c r="BA15" s="2650">
        <f>+AQ15+AU15+AY15</f>
        <v>273514.31</v>
      </c>
      <c r="BB15" s="2651">
        <f>+AZ15+AL15</f>
        <v>174108.22641509434</v>
      </c>
      <c r="BC15" s="2651">
        <f>+BA15+AM15</f>
        <v>565810.19200000004</v>
      </c>
      <c r="BD15" s="2659">
        <f t="shared" si="48"/>
        <v>341019.55785985355</v>
      </c>
      <c r="BE15" s="2659">
        <f t="shared" si="49"/>
        <v>1121840.1220000002</v>
      </c>
      <c r="BF15" s="26"/>
      <c r="BG15" s="26"/>
      <c r="BH15" s="1219"/>
      <c r="BI15" s="1219"/>
      <c r="BJ15" s="1219"/>
      <c r="BK15"/>
      <c r="BL15"/>
      <c r="BM15" s="26"/>
      <c r="BN15" s="26"/>
      <c r="BO15" s="1219"/>
      <c r="BP15" s="1219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</row>
    <row r="16" spans="1:98" s="96" customFormat="1" ht="15.6" x14ac:dyDescent="0.3">
      <c r="A16" s="149"/>
      <c r="B16" s="2731" t="s">
        <v>604</v>
      </c>
      <c r="C16" s="4390" t="s">
        <v>49</v>
      </c>
      <c r="D16" s="4407">
        <v>1</v>
      </c>
      <c r="E16" s="4408">
        <f>+E15/E14</f>
        <v>3.2957578418090132</v>
      </c>
      <c r="F16" s="4407">
        <v>1</v>
      </c>
      <c r="G16" s="4408">
        <f>+G15/G14</f>
        <v>3.7408401516765228</v>
      </c>
      <c r="H16" s="4413">
        <f>+H15/H14</f>
        <v>1</v>
      </c>
      <c r="I16" s="4413">
        <f>+I15/I14</f>
        <v>3.531709817827807</v>
      </c>
      <c r="J16" s="4407">
        <v>1</v>
      </c>
      <c r="K16" s="4408">
        <f>+K15/K14</f>
        <v>3.2194123860926354</v>
      </c>
      <c r="L16" s="4410">
        <v>1</v>
      </c>
      <c r="M16" s="4410">
        <f>+M15/M14</f>
        <v>3.4235718962777755</v>
      </c>
      <c r="N16" s="4407">
        <v>1</v>
      </c>
      <c r="O16" s="4408">
        <f>+O15/O14</f>
        <v>2.7066699110814252</v>
      </c>
      <c r="P16" s="4413">
        <f>+P15/P14</f>
        <v>1</v>
      </c>
      <c r="Q16" s="4413">
        <f>+Q15/Q14</f>
        <v>3.233316867180577</v>
      </c>
      <c r="R16" s="4407">
        <v>1</v>
      </c>
      <c r="S16" s="4408">
        <f>+S15/S14</f>
        <v>3.1661524440311113</v>
      </c>
      <c r="T16" s="4409">
        <v>1</v>
      </c>
      <c r="U16" s="4409">
        <f>+U15/U14</f>
        <v>3.220104576443652</v>
      </c>
      <c r="V16" s="4407">
        <v>1</v>
      </c>
      <c r="W16" s="4408">
        <f>+W15/W14</f>
        <v>2.7714394924114925</v>
      </c>
      <c r="X16" s="4410">
        <v>1</v>
      </c>
      <c r="Y16" s="4410">
        <f>+Y15/Y14</f>
        <v>2.8773040086892152</v>
      </c>
      <c r="Z16" s="4411">
        <f>+Z15/Z14</f>
        <v>1</v>
      </c>
      <c r="AA16" s="4411">
        <f>+AA15/AA14</f>
        <v>3.1474808736845814</v>
      </c>
      <c r="AB16" s="4408">
        <v>1</v>
      </c>
      <c r="AC16" s="4408">
        <f>+AC15/AC14</f>
        <v>1.8796708086875618</v>
      </c>
      <c r="AD16" s="4408">
        <v>1</v>
      </c>
      <c r="AE16" s="4408">
        <f>+AE15/AE14</f>
        <v>2.9581371795238351</v>
      </c>
      <c r="AF16" s="4408">
        <v>1</v>
      </c>
      <c r="AG16" s="4408">
        <f>+AG15/AG14</f>
        <v>106.43426368269151</v>
      </c>
      <c r="AH16" s="4408">
        <v>1</v>
      </c>
      <c r="AI16" s="5048">
        <f>+AI15/AI14</f>
        <v>3.5843369991455121</v>
      </c>
      <c r="AJ16" s="4408">
        <v>1</v>
      </c>
      <c r="AK16" s="4408">
        <f>+AK15/AK14</f>
        <v>3.1279776016623764</v>
      </c>
      <c r="AL16" s="2742">
        <v>1</v>
      </c>
      <c r="AM16" s="2742">
        <f>+AM15/AM14</f>
        <v>4.5625737895930465</v>
      </c>
      <c r="AN16" s="2759">
        <v>1</v>
      </c>
      <c r="AO16" s="2759">
        <f>+AO15/AO14</f>
        <v>3.5240814772963409</v>
      </c>
      <c r="AP16" s="4408">
        <v>1</v>
      </c>
      <c r="AQ16" s="4408">
        <f>+AQ15/AQ14</f>
        <v>3.1033292944206838</v>
      </c>
      <c r="AR16" s="5046">
        <v>1</v>
      </c>
      <c r="AS16" s="5046">
        <f>+AS15/AS14</f>
        <v>3.4749294652321825</v>
      </c>
      <c r="AT16" s="4408">
        <v>1</v>
      </c>
      <c r="AU16" s="4408">
        <f>+AU15/AU14</f>
        <v>3.0081691822329426</v>
      </c>
      <c r="AV16" s="5046">
        <v>1</v>
      </c>
      <c r="AW16" s="5046">
        <f>+AW15/AW14</f>
        <v>3.4294857106118961</v>
      </c>
      <c r="AX16" s="4408">
        <v>1</v>
      </c>
      <c r="AY16" s="4408">
        <f>+AY15/AY14</f>
        <v>2.6540759498286954</v>
      </c>
      <c r="AZ16" s="2742">
        <v>1</v>
      </c>
      <c r="BA16" s="2742">
        <f>+BA15/BA14</f>
        <v>2.9177185215683563</v>
      </c>
      <c r="BB16" s="2743">
        <f>+BB15/BB14</f>
        <v>1</v>
      </c>
      <c r="BC16" s="2743">
        <f>+BC15/BC14</f>
        <v>3.5854718031108841</v>
      </c>
      <c r="BD16" s="2741">
        <v>1</v>
      </c>
      <c r="BE16" s="2741">
        <f>+BE15/BE14</f>
        <v>3.3541324951008233</v>
      </c>
      <c r="BF16" s="26"/>
      <c r="BG16" s="26"/>
      <c r="BH16" s="1219"/>
      <c r="BI16" s="1219"/>
      <c r="BJ16" s="1219"/>
      <c r="BK16"/>
      <c r="BL16"/>
      <c r="BM16" s="26"/>
      <c r="BN16" s="26"/>
      <c r="BO16" s="1219"/>
      <c r="BP16" s="1219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</row>
    <row r="17" spans="1:98" s="149" customFormat="1" ht="15.6" x14ac:dyDescent="0.3">
      <c r="B17" s="2731" t="s">
        <v>807</v>
      </c>
      <c r="C17" s="4390" t="s">
        <v>354</v>
      </c>
      <c r="D17" s="1600">
        <f>+'Maj Production Summ'!E18</f>
        <v>237110.48158640199</v>
      </c>
      <c r="E17" s="4354">
        <f>+'Maj Production Summ'!F18</f>
        <v>207020</v>
      </c>
      <c r="F17" s="1600">
        <f>+'Maj Production Summ'!G18</f>
        <v>244664.77809253999</v>
      </c>
      <c r="G17" s="4354">
        <f>+'Maj Production Summ'!H18</f>
        <v>236638</v>
      </c>
      <c r="H17" s="4353">
        <f>+'Maj Production Summ'!I18</f>
        <v>481775.25967894198</v>
      </c>
      <c r="I17" s="4353">
        <f>+'Maj Production Summ'!J18</f>
        <v>443658</v>
      </c>
      <c r="J17" s="1600">
        <f>+'Maj Production Summ'!K18</f>
        <v>237110.48158640199</v>
      </c>
      <c r="K17" s="4354">
        <f>+'Maj Production Summ'!L18</f>
        <v>243453</v>
      </c>
      <c r="L17" s="4386">
        <f>+'Maj Production Summ'!M18</f>
        <v>718885.74126534397</v>
      </c>
      <c r="M17" s="4386">
        <f>+'Maj Production Summ'!N18</f>
        <v>687111</v>
      </c>
      <c r="N17" s="1600">
        <f>+'Maj Production Summ'!O18</f>
        <v>239943.34277620399</v>
      </c>
      <c r="O17" s="4354">
        <f>+'Maj Production Summ'!P18</f>
        <v>253662</v>
      </c>
      <c r="P17" s="4353">
        <f>+'Maj Production Summ'!Q18</f>
        <v>958829.08404154796</v>
      </c>
      <c r="Q17" s="4353">
        <f>+'Maj Production Summ'!R18</f>
        <v>940773</v>
      </c>
      <c r="R17" s="1600">
        <f>+'Maj Production Summ'!S18</f>
        <v>239943.34277620399</v>
      </c>
      <c r="S17" s="4354">
        <f>+'Maj Production Summ'!T18</f>
        <v>237622</v>
      </c>
      <c r="T17" s="4353">
        <f>+'Maj Production Summ'!U18</f>
        <v>1198772.426817752</v>
      </c>
      <c r="U17" s="4353">
        <f>+'Maj Production Summ'!V18</f>
        <v>1178395</v>
      </c>
      <c r="V17" s="1600">
        <f>+'Maj Production Summ'!W18</f>
        <v>125920.679886686</v>
      </c>
      <c r="W17" s="4354">
        <f>+'Maj Production Summ'!X18</f>
        <v>226847</v>
      </c>
      <c r="X17" s="4386">
        <f>+'Maj Production Summ'!Y18</f>
        <v>605807.36543909402</v>
      </c>
      <c r="Y17" s="4386">
        <f>+'Maj Production Summ'!Z18</f>
        <v>718131</v>
      </c>
      <c r="Z17" s="4387">
        <f>+'Maj Production Summ'!AA18</f>
        <v>1324693.1067044381</v>
      </c>
      <c r="AA17" s="4387">
        <f>+'Maj Production Summ'!AB18</f>
        <v>1405242</v>
      </c>
      <c r="AB17" s="4354">
        <f>+'Maj Production Summ'!AC18</f>
        <v>235490.56603773599</v>
      </c>
      <c r="AC17" s="4354">
        <f>+'Maj Production Summ'!AD18</f>
        <v>222138</v>
      </c>
      <c r="AD17" s="4354">
        <f>+'Maj Production Summ'!AE18</f>
        <v>1560183.672742174</v>
      </c>
      <c r="AE17" s="4354">
        <f>+'Maj Production Summ'!AF18</f>
        <v>1627380</v>
      </c>
      <c r="AF17" s="4354">
        <f>+'Maj Production Summ'!AG18</f>
        <v>227943.396226415</v>
      </c>
      <c r="AG17" s="4354">
        <f>+'Maj Production Summ'!AH18</f>
        <v>7935</v>
      </c>
      <c r="AH17" s="4354">
        <f>+'Maj Production Summ'!AI18</f>
        <v>1788127.068968589</v>
      </c>
      <c r="AI17" s="1145">
        <f>+'Maj Production Summ'!AJ18</f>
        <v>1635315</v>
      </c>
      <c r="AJ17" s="4354">
        <f>+'Maj Production Summ'!AK18</f>
        <v>235490.56603773599</v>
      </c>
      <c r="AK17" s="4354">
        <f>+'Maj Production Summ'!AL18</f>
        <v>234930</v>
      </c>
      <c r="AL17" s="2650">
        <f>+'Maj Production Summ'!AM18</f>
        <v>698924.52830188698</v>
      </c>
      <c r="AM17" s="2650">
        <f>+'Maj Production Summ'!AN18</f>
        <v>465003</v>
      </c>
      <c r="AN17" s="2659">
        <f>+'Maj Production Summ'!AO18</f>
        <v>2023617.6350063249</v>
      </c>
      <c r="AO17" s="2659">
        <f>+'Maj Production Summ'!AP18</f>
        <v>1870245</v>
      </c>
      <c r="AP17" s="4354">
        <f>+'Maj Production Summ'!AQ18</f>
        <v>235490.56603773599</v>
      </c>
      <c r="AQ17" s="4354">
        <f>+'Maj Production Summ'!AR18</f>
        <v>246040</v>
      </c>
      <c r="AR17" s="2740">
        <f>+'Maj Production Summ'!AS18</f>
        <v>2259108.2010440608</v>
      </c>
      <c r="AS17" s="2740">
        <f>+'Maj Production Summ'!AT18</f>
        <v>2116285</v>
      </c>
      <c r="AT17" s="4354">
        <f>+'Maj Production Summ'!AU18</f>
        <v>211905.660377358</v>
      </c>
      <c r="AU17" s="4354">
        <f>+'Maj Production Summ'!AV18</f>
        <v>222895</v>
      </c>
      <c r="AV17" s="2740">
        <f>+'Maj Production Summ'!AW18</f>
        <v>2471013.8614214188</v>
      </c>
      <c r="AW17" s="2740">
        <f>+'Maj Production Summ'!AX18</f>
        <v>2339180</v>
      </c>
      <c r="AX17" s="4354">
        <f>+'Maj Production Summ'!AY18</f>
        <v>235490.56603773599</v>
      </c>
      <c r="AY17" s="4354">
        <f>+'Maj Production Summ'!AZ18</f>
        <v>243552</v>
      </c>
      <c r="AZ17" s="2650">
        <f>+'Maj Production Summ'!BA18</f>
        <v>682886.79245283001</v>
      </c>
      <c r="BA17" s="2650">
        <f>+'Maj Production Summ'!BB18</f>
        <v>712487</v>
      </c>
      <c r="BB17" s="2651">
        <f>+'Maj Production Summ'!BC18</f>
        <v>1381811.3207547171</v>
      </c>
      <c r="BC17" s="2651">
        <f>+'Maj Production Summ'!BD18</f>
        <v>1177490</v>
      </c>
      <c r="BD17" s="2659">
        <f>+'Maj Production Summ'!BA18</f>
        <v>682886.79245283001</v>
      </c>
      <c r="BE17" s="2659">
        <f>+'Maj Production Summ'!BB18</f>
        <v>712487</v>
      </c>
      <c r="BF17" s="26"/>
      <c r="BG17" s="26"/>
      <c r="BH17" s="1219"/>
      <c r="BI17" s="1219"/>
      <c r="BJ17" s="1219"/>
      <c r="BK17"/>
      <c r="BL17"/>
      <c r="BM17" s="26"/>
      <c r="BN17" s="26"/>
      <c r="BO17" s="1219"/>
      <c r="BP17" s="1219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</row>
    <row r="18" spans="1:98" ht="15.6" x14ac:dyDescent="0.3">
      <c r="A18" s="149"/>
      <c r="B18" s="2870" t="s">
        <v>1455</v>
      </c>
      <c r="C18" s="4391" t="s">
        <v>1454</v>
      </c>
      <c r="D18" s="4414">
        <f>+SMS!E94</f>
        <v>126</v>
      </c>
      <c r="E18" s="4415">
        <f>+SMS!F94</f>
        <v>129.64123277944162</v>
      </c>
      <c r="F18" s="4414">
        <f>+SMS!G94</f>
        <v>126</v>
      </c>
      <c r="G18" s="4415">
        <f>+SMS!H94</f>
        <v>127.96098023140831</v>
      </c>
      <c r="H18" s="4417">
        <f>+SMS!I94</f>
        <v>126</v>
      </c>
      <c r="I18" s="4417">
        <f>+SMS!J94</f>
        <v>128.74502082685314</v>
      </c>
      <c r="J18" s="4414">
        <f>+SMS!K94</f>
        <v>126</v>
      </c>
      <c r="K18" s="4415">
        <f>+SMS!L94</f>
        <v>124.27164043983849</v>
      </c>
      <c r="L18" s="4418">
        <f>+SMS!M94</f>
        <v>126</v>
      </c>
      <c r="M18" s="4418">
        <f>+SMS!N94</f>
        <v>127.1600398334476</v>
      </c>
      <c r="N18" s="4414">
        <f>+SMS!O94</f>
        <v>126</v>
      </c>
      <c r="O18" s="4415">
        <f>+SMS!P94</f>
        <v>124.43389951983349</v>
      </c>
      <c r="P18" s="4417">
        <f>+SMS!Q94</f>
        <v>126</v>
      </c>
      <c r="Q18" s="4417">
        <f>+SMS!R94</f>
        <v>126.42498663333238</v>
      </c>
      <c r="R18" s="4414">
        <f>+SMS!S94</f>
        <v>126</v>
      </c>
      <c r="S18" s="4415">
        <f>+SMS!T94</f>
        <v>122.5746386277365</v>
      </c>
      <c r="T18" s="4417">
        <f>+SMS!U94</f>
        <v>126.00000000000003</v>
      </c>
      <c r="U18" s="4417">
        <f>+SMS!V94</f>
        <v>125.64856837478095</v>
      </c>
      <c r="V18" s="4414">
        <f>+SMS!W94</f>
        <v>126</v>
      </c>
      <c r="W18" s="4415">
        <f>+SMS!X94</f>
        <v>126.05443907126829</v>
      </c>
      <c r="X18" s="4418">
        <f>+SMS!Y94</f>
        <v>126</v>
      </c>
      <c r="Y18" s="4418">
        <f>+SMS!Z94</f>
        <v>124.33059419520951</v>
      </c>
      <c r="Z18" s="4419">
        <f>+SMS!AA94</f>
        <v>125.99999999999997</v>
      </c>
      <c r="AA18" s="4419">
        <f>+SMS!AB94</f>
        <v>125.71408773008494</v>
      </c>
      <c r="AB18" s="4416">
        <f>+SMS!AC94</f>
        <v>126</v>
      </c>
      <c r="AC18" s="4415">
        <f>+SMS!AD94</f>
        <v>139.62283471625747</v>
      </c>
      <c r="AD18" s="4415">
        <f>+SMS!AE94</f>
        <v>126</v>
      </c>
      <c r="AE18" s="4415">
        <f>+SMS!AF94</f>
        <v>127.61263707812559</v>
      </c>
      <c r="AF18" s="4416">
        <f>+SMS!AG94</f>
        <v>126</v>
      </c>
      <c r="AG18" s="4415">
        <f>+SMS!AH94</f>
        <v>159.34728869565214</v>
      </c>
      <c r="AH18" s="4415">
        <f>+SMS!AI94</f>
        <v>126</v>
      </c>
      <c r="AI18" s="5049">
        <f>+SMS!AJ94</f>
        <v>127.76662237183665</v>
      </c>
      <c r="AJ18" s="4416">
        <f>+SMS!AK94</f>
        <v>126</v>
      </c>
      <c r="AK18" s="4415">
        <f>+SMS!AL94</f>
        <v>135.29075361724767</v>
      </c>
      <c r="AL18" s="2745">
        <f>+SMS!AM94</f>
        <v>126</v>
      </c>
      <c r="AM18" s="2745">
        <f>+SMS!AN94</f>
        <v>137.77075576136068</v>
      </c>
      <c r="AN18" s="2744">
        <f>+SMS!AO94</f>
        <v>126</v>
      </c>
      <c r="AO18" s="2744">
        <f>+SMS!AP94</f>
        <v>128.71176279647855</v>
      </c>
      <c r="AP18" s="4416">
        <f>+SMS!AQ94</f>
        <v>126</v>
      </c>
      <c r="AQ18" s="4415">
        <f>+SMS!AR94</f>
        <v>129.41255690131686</v>
      </c>
      <c r="AR18" s="5047">
        <f>+SMS!AS94</f>
        <v>126</v>
      </c>
      <c r="AS18" s="5047">
        <f>+SMS!AT94</f>
        <v>128.79323735286127</v>
      </c>
      <c r="AT18" s="4416">
        <f>+SMS!AU94</f>
        <v>126</v>
      </c>
      <c r="AU18" s="4415">
        <f>+SMS!AV94</f>
        <v>131.89629498194216</v>
      </c>
      <c r="AV18" s="5047">
        <f>+SMS!AW94</f>
        <v>126</v>
      </c>
      <c r="AW18" s="5047">
        <f>+SMS!AX94</f>
        <v>129.08892046841203</v>
      </c>
      <c r="AX18" s="4416">
        <f>+SMS!AY94</f>
        <v>126</v>
      </c>
      <c r="AY18" s="4415">
        <f>+SMS!AZ94</f>
        <v>133.45338063329393</v>
      </c>
      <c r="AZ18" s="2745">
        <f>+SMS!BA94</f>
        <v>125.99999999999997</v>
      </c>
      <c r="BA18" s="2745">
        <f>+SMS!BB94</f>
        <v>131.57086084377679</v>
      </c>
      <c r="BB18" s="2746">
        <f>+SMS!BC94</f>
        <v>126</v>
      </c>
      <c r="BC18" s="2746">
        <f>+SMS!BD94</f>
        <v>134.01926357871406</v>
      </c>
      <c r="BD18" s="2744">
        <f>+SMS!BA94</f>
        <v>125.99999999999997</v>
      </c>
      <c r="BE18" s="2744">
        <f>+SMS!BB94</f>
        <v>131.57086084377679</v>
      </c>
      <c r="BF18" s="26"/>
      <c r="BG18" s="26"/>
      <c r="BH18" s="1219"/>
      <c r="BI18" s="1219"/>
      <c r="BJ18" s="1219"/>
      <c r="BM18" s="26"/>
      <c r="BN18" s="26"/>
      <c r="BO18" s="1219"/>
      <c r="BP18" s="1219"/>
    </row>
    <row r="19" spans="1:98" ht="15.6" x14ac:dyDescent="0.3">
      <c r="A19" s="149"/>
      <c r="B19" s="2871"/>
      <c r="C19" s="4391"/>
      <c r="D19" s="4414"/>
      <c r="E19" s="4415"/>
      <c r="F19" s="4414"/>
      <c r="G19" s="4415"/>
      <c r="H19" s="4417"/>
      <c r="I19" s="4417"/>
      <c r="J19" s="4414"/>
      <c r="K19" s="4415"/>
      <c r="L19" s="4418"/>
      <c r="M19" s="4418"/>
      <c r="N19" s="4414"/>
      <c r="O19" s="4415"/>
      <c r="P19" s="4417"/>
      <c r="Q19" s="4417"/>
      <c r="R19" s="4414"/>
      <c r="S19" s="4415"/>
      <c r="T19" s="4417"/>
      <c r="U19" s="4417"/>
      <c r="V19" s="4414"/>
      <c r="W19" s="4415"/>
      <c r="X19" s="4418"/>
      <c r="Y19" s="4418"/>
      <c r="Z19" s="4419"/>
      <c r="AA19" s="4419"/>
      <c r="AB19" s="4416"/>
      <c r="AC19" s="4415"/>
      <c r="AD19" s="4415"/>
      <c r="AE19" s="4415"/>
      <c r="AF19" s="4416"/>
      <c r="AG19" s="4415"/>
      <c r="AH19" s="4415"/>
      <c r="AI19" s="5049"/>
      <c r="AJ19" s="4416"/>
      <c r="AK19" s="4415"/>
      <c r="AL19" s="2745"/>
      <c r="AM19" s="2745"/>
      <c r="AN19" s="2744"/>
      <c r="AO19" s="2744"/>
      <c r="AP19" s="4416"/>
      <c r="AQ19" s="4415"/>
      <c r="AR19" s="5047"/>
      <c r="AS19" s="5047"/>
      <c r="AT19" s="4416"/>
      <c r="AU19" s="4415"/>
      <c r="AV19" s="5047"/>
      <c r="AW19" s="5047"/>
      <c r="AX19" s="4416"/>
      <c r="AY19" s="4415"/>
      <c r="AZ19" s="2745"/>
      <c r="BA19" s="2745"/>
      <c r="BB19" s="2746"/>
      <c r="BC19" s="2746"/>
      <c r="BD19" s="2744"/>
      <c r="BE19" s="2744"/>
      <c r="BF19" s="26"/>
      <c r="BG19" s="26"/>
      <c r="BH19" s="1219"/>
      <c r="BI19" s="1219"/>
      <c r="BJ19" s="1219"/>
      <c r="BM19" s="26"/>
      <c r="BN19" s="26"/>
      <c r="BO19" s="1219"/>
      <c r="BP19" s="1219"/>
    </row>
    <row r="20" spans="1:98" s="149" customFormat="1" ht="15" customHeight="1" x14ac:dyDescent="0.3">
      <c r="B20" s="5434" t="s">
        <v>1456</v>
      </c>
      <c r="C20" s="5416" t="s">
        <v>354</v>
      </c>
      <c r="D20" s="5435"/>
      <c r="E20" s="5418">
        <f>+'Direct sales IPT details'!E107</f>
        <v>0</v>
      </c>
      <c r="F20" s="5435"/>
      <c r="G20" s="5418">
        <f>+'Direct sales IPT details'!G107</f>
        <v>0</v>
      </c>
      <c r="H20" s="5412"/>
      <c r="I20" s="5412">
        <f>+G20+E20</f>
        <v>0</v>
      </c>
      <c r="J20" s="5435"/>
      <c r="K20" s="5418">
        <f>+'Direct sales IPT details'!K107</f>
        <v>0</v>
      </c>
      <c r="L20" s="4422"/>
      <c r="M20" s="4386">
        <f>+E20+G20+K20</f>
        <v>0</v>
      </c>
      <c r="N20" s="5435"/>
      <c r="O20" s="5418">
        <f>+'Direct sales IPT details'!O107</f>
        <v>3071.800000000002</v>
      </c>
      <c r="P20" s="4353"/>
      <c r="Q20" s="4353">
        <f>+O20+M20</f>
        <v>3071.800000000002</v>
      </c>
      <c r="R20" s="5435"/>
      <c r="S20" s="5418">
        <f>+'Direct sales IPT details'!S107</f>
        <v>4523.51</v>
      </c>
      <c r="T20" s="4417"/>
      <c r="U20" s="4353">
        <f>+S20+Q20</f>
        <v>7595.3100000000022</v>
      </c>
      <c r="V20" s="5435"/>
      <c r="W20" s="5418">
        <f>+'Direct sales IPT details'!W107</f>
        <v>8437.6100000000024</v>
      </c>
      <c r="X20" s="4422"/>
      <c r="Y20" s="4386">
        <f>+O20+S20+W20</f>
        <v>16032.920000000006</v>
      </c>
      <c r="Z20" s="4419"/>
      <c r="AA20" s="4387">
        <f>+Y20+M20</f>
        <v>16032.920000000006</v>
      </c>
      <c r="AB20" s="4421"/>
      <c r="AC20" s="4420">
        <f>+'Direct sales IPT details'!AC107</f>
        <v>0</v>
      </c>
      <c r="AD20" s="4417"/>
      <c r="AE20" s="4353">
        <f>+AC20+AA20</f>
        <v>16032.920000000006</v>
      </c>
      <c r="AF20" s="4421"/>
      <c r="AG20" s="4420">
        <f>+'Direct sales IPT details'!AG107</f>
        <v>0</v>
      </c>
      <c r="AH20" s="4417"/>
      <c r="AI20" s="1181">
        <f>+AG20+AE20</f>
        <v>16032.920000000006</v>
      </c>
      <c r="AJ20" s="4421"/>
      <c r="AK20" s="4420">
        <f>+'Direct sales IPT details'!AK107</f>
        <v>0</v>
      </c>
      <c r="AL20" s="2748"/>
      <c r="AM20" s="2650">
        <f>+AC20+AG20+AK20</f>
        <v>0</v>
      </c>
      <c r="AN20" s="2744"/>
      <c r="AO20" s="2659">
        <f>+AK20+AI20</f>
        <v>16032.920000000006</v>
      </c>
      <c r="AP20" s="4421"/>
      <c r="AQ20" s="4420">
        <f>+'Direct sales IPT details'!AQ107</f>
        <v>0</v>
      </c>
      <c r="AR20" s="5047"/>
      <c r="AS20" s="2740">
        <f>+AQ20+AO20</f>
        <v>16032.920000000006</v>
      </c>
      <c r="AT20" s="4421"/>
      <c r="AU20" s="4420">
        <f>+'Direct sales IPT details'!AU107</f>
        <v>0</v>
      </c>
      <c r="AV20" s="5047"/>
      <c r="AW20" s="2740">
        <f>+AU20+AS20</f>
        <v>16032.920000000006</v>
      </c>
      <c r="AX20" s="4421"/>
      <c r="AY20" s="4420">
        <f>+'Direct sales IPT details'!AY107</f>
        <v>0</v>
      </c>
      <c r="AZ20" s="2748"/>
      <c r="BA20" s="2650">
        <f>+AQ20+AU20+AY20</f>
        <v>0</v>
      </c>
      <c r="BB20" s="2746"/>
      <c r="BC20" s="2651">
        <f t="shared" ref="BC20:BC34" si="50">+BA20+AM20</f>
        <v>0</v>
      </c>
      <c r="BD20" s="2744"/>
      <c r="BE20" s="2659">
        <f>+AY20+AW20</f>
        <v>16032.920000000006</v>
      </c>
      <c r="BF20" s="26"/>
      <c r="BG20" s="26"/>
      <c r="BH20" s="1219"/>
      <c r="BI20" s="1219"/>
      <c r="BJ20" s="1219"/>
      <c r="BK20"/>
      <c r="BL20"/>
      <c r="BM20" s="26"/>
      <c r="BN20" s="26"/>
      <c r="BO20" s="1219"/>
      <c r="BP20" s="1219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</row>
    <row r="21" spans="1:98" ht="15.75" x14ac:dyDescent="0.25">
      <c r="A21" s="149"/>
      <c r="B21" s="5434" t="s">
        <v>953</v>
      </c>
      <c r="C21" s="5416" t="s">
        <v>354</v>
      </c>
      <c r="D21" s="6274">
        <v>17399.384471259</v>
      </c>
      <c r="E21" s="5436">
        <f>+'Direct sales IPT details'!E109</f>
        <v>6176.57</v>
      </c>
      <c r="F21" s="6274">
        <v>17399.384471259</v>
      </c>
      <c r="G21" s="5436">
        <f>+'Direct sales IPT details'!G109</f>
        <v>6134.4500000000007</v>
      </c>
      <c r="H21" s="6281">
        <f t="shared" ref="H21" si="51">+F21+D21</f>
        <v>34798.768942518</v>
      </c>
      <c r="I21" s="5412">
        <f t="shared" ref="I21:I34" si="52">+G21+E21</f>
        <v>12311.02</v>
      </c>
      <c r="J21" s="6274">
        <v>17399.384471259</v>
      </c>
      <c r="K21" s="5436">
        <f>+'Direct sales IPT details'!K109</f>
        <v>3441.08</v>
      </c>
      <c r="L21" s="6270">
        <f>+D21+F21+J21</f>
        <v>52198.153413777</v>
      </c>
      <c r="M21" s="4386">
        <f t="shared" ref="M21:M34" si="53">+E21+G21+K21</f>
        <v>15752.1</v>
      </c>
      <c r="N21" s="6274">
        <v>17730.0480062395</v>
      </c>
      <c r="O21" s="5436">
        <f>+'Direct sales IPT details'!O109</f>
        <v>7462.4800000000014</v>
      </c>
      <c r="P21" s="6269">
        <f t="shared" ref="P21" si="54">+N21+L21</f>
        <v>69928.201420016499</v>
      </c>
      <c r="Q21" s="4353">
        <f t="shared" ref="Q21:Q24" si="55">+O21+M21</f>
        <v>23214.58</v>
      </c>
      <c r="R21" s="6274"/>
      <c r="S21" s="5436">
        <f>+'Direct sales IPT details'!S109</f>
        <v>36.89</v>
      </c>
      <c r="T21" s="6269">
        <f>+R21+P21</f>
        <v>69928.201420016499</v>
      </c>
      <c r="U21" s="4353">
        <f t="shared" ref="U21:U34" si="56">+S21+Q21</f>
        <v>23251.47</v>
      </c>
      <c r="V21" s="6274"/>
      <c r="W21" s="5436">
        <f>+'Direct sales IPT details'!W109</f>
        <v>7271.5400000000009</v>
      </c>
      <c r="X21" s="6270">
        <f>N21+R21+V21</f>
        <v>17730.0480062395</v>
      </c>
      <c r="Y21" s="4386">
        <f t="shared" ref="Y21:Y34" si="57">+O21+S21+W21</f>
        <v>14770.910000000003</v>
      </c>
      <c r="Z21" s="6272">
        <f>+X21+L21</f>
        <v>69928.201420016499</v>
      </c>
      <c r="AA21" s="4387">
        <f t="shared" ref="AA21:AA34" si="58">+Y21+M21</f>
        <v>30523.010000000002</v>
      </c>
      <c r="AB21" s="6268">
        <v>17607.2740282825</v>
      </c>
      <c r="AC21" s="4350">
        <f>+'Direct sales IPT details'!AC109</f>
        <v>2499.8999999999996</v>
      </c>
      <c r="AD21" s="6269">
        <f>+AB21+Z21</f>
        <v>87535.475448298996</v>
      </c>
      <c r="AE21" s="4353">
        <f t="shared" ref="AE21:AE34" si="59">+AC21+AA21</f>
        <v>33022.910000000003</v>
      </c>
      <c r="AF21" s="6268">
        <v>16990.9596297875</v>
      </c>
      <c r="AG21" s="4350">
        <f>+'Direct sales IPT details'!AG109</f>
        <v>2499.2099999999991</v>
      </c>
      <c r="AH21" s="6269">
        <f>+AF21+AD21</f>
        <v>104526.43507808649</v>
      </c>
      <c r="AI21" s="1181">
        <f t="shared" ref="AI21:AI24" si="60">+AG21+AE21</f>
        <v>35522.120000000003</v>
      </c>
      <c r="AJ21" s="6268">
        <v>16990.9596297875</v>
      </c>
      <c r="AK21" s="4350">
        <f>+'Direct sales IPT details'!AK109</f>
        <v>4997.33</v>
      </c>
      <c r="AL21" s="6286">
        <f>AB21+AF21+AJ21</f>
        <v>51589.193287857503</v>
      </c>
      <c r="AM21" s="2650">
        <f t="shared" ref="AM21:AM34" si="61">+AC21+AG21+AK21</f>
        <v>9996.4399999999987</v>
      </c>
      <c r="AN21" s="6287">
        <f>+AJ21+AH21</f>
        <v>121517.39470787399</v>
      </c>
      <c r="AO21" s="2659">
        <f t="shared" ref="AO21:AO34" si="62">+AK21+AI21</f>
        <v>40519.450000000004</v>
      </c>
      <c r="AP21" s="6268">
        <v>16990.9596297875</v>
      </c>
      <c r="AQ21" s="4350">
        <f>+'Direct sales IPT details'!AQ109</f>
        <v>7499.3</v>
      </c>
      <c r="AR21" s="6287">
        <f>+AP21+AN21</f>
        <v>138508.3543376615</v>
      </c>
      <c r="AS21" s="2659">
        <f t="shared" ref="AS21:AS34" si="63">+AQ21+AO21</f>
        <v>48018.750000000007</v>
      </c>
      <c r="AT21" s="6268">
        <v>16990.9596297875</v>
      </c>
      <c r="AU21" s="4350">
        <f>+'Direct sales IPT details'!AU109</f>
        <v>4999.6899999999996</v>
      </c>
      <c r="AV21" s="6287">
        <f>+AT21+AR21</f>
        <v>155499.31396744901</v>
      </c>
      <c r="AW21" s="2659">
        <f t="shared" ref="AW21:AW24" si="64">+AU21+AS21</f>
        <v>53018.44000000001</v>
      </c>
      <c r="AX21" s="6268">
        <v>16990.9596297875</v>
      </c>
      <c r="AY21" s="4350">
        <f>+'Direct sales IPT details'!AY109</f>
        <v>4242.38</v>
      </c>
      <c r="AZ21" s="6286">
        <f>AP21+AT21+AX21</f>
        <v>50972.878889362502</v>
      </c>
      <c r="BA21" s="2650">
        <f t="shared" ref="BA21:BA34" si="65">+AQ21+AU21+AY21</f>
        <v>16741.37</v>
      </c>
      <c r="BB21" s="6292">
        <f>+AZ21+AN21</f>
        <v>172490.27359723649</v>
      </c>
      <c r="BC21" s="2651">
        <f t="shared" si="50"/>
        <v>26737.809999999998</v>
      </c>
      <c r="BD21" s="6287">
        <f>+AX21+AV21</f>
        <v>172490.27359723652</v>
      </c>
      <c r="BE21" s="2659">
        <f t="shared" ref="BE21:BE34" si="66">+AY21+AW21</f>
        <v>57260.820000000007</v>
      </c>
      <c r="BF21" s="26"/>
      <c r="BG21" s="26"/>
      <c r="BH21" s="1219"/>
      <c r="BI21" s="1219"/>
      <c r="BJ21" s="1219"/>
      <c r="BM21" s="26"/>
      <c r="BN21" s="26"/>
      <c r="BO21" s="1219"/>
      <c r="BP21" s="1219"/>
    </row>
    <row r="22" spans="1:98" s="149" customFormat="1" ht="15.75" customHeight="1" x14ac:dyDescent="0.25">
      <c r="B22" s="5434" t="s">
        <v>1274</v>
      </c>
      <c r="C22" s="5416" t="s">
        <v>354</v>
      </c>
      <c r="D22" s="6274"/>
      <c r="E22" s="5436">
        <f>+'Direct sales IPT details'!E110</f>
        <v>0</v>
      </c>
      <c r="F22" s="6274"/>
      <c r="G22" s="5436">
        <f>+'Direct sales IPT details'!G110</f>
        <v>2999.8000000000011</v>
      </c>
      <c r="H22" s="6281"/>
      <c r="I22" s="5412">
        <f t="shared" si="52"/>
        <v>2999.8000000000011</v>
      </c>
      <c r="J22" s="6274"/>
      <c r="K22" s="5436">
        <f>+'Direct sales IPT details'!K110</f>
        <v>0</v>
      </c>
      <c r="L22" s="6270"/>
      <c r="M22" s="4386">
        <f t="shared" si="53"/>
        <v>2999.8000000000011</v>
      </c>
      <c r="N22" s="6274"/>
      <c r="O22" s="5436">
        <f>+'Direct sales IPT details'!O110</f>
        <v>2456.2199999999998</v>
      </c>
      <c r="P22" s="6269"/>
      <c r="Q22" s="4353">
        <f t="shared" si="55"/>
        <v>5456.02</v>
      </c>
      <c r="R22" s="6274"/>
      <c r="S22" s="5436">
        <f>+'Direct sales IPT details'!S110</f>
        <v>42.35</v>
      </c>
      <c r="T22" s="6269"/>
      <c r="U22" s="4353">
        <f t="shared" si="56"/>
        <v>5498.3700000000008</v>
      </c>
      <c r="V22" s="6274"/>
      <c r="W22" s="5436">
        <f>+'Direct sales IPT details'!W110</f>
        <v>2499.7500000000009</v>
      </c>
      <c r="X22" s="6270"/>
      <c r="Y22" s="4386">
        <f t="shared" si="57"/>
        <v>4998.3200000000006</v>
      </c>
      <c r="Z22" s="6272"/>
      <c r="AA22" s="4387">
        <f t="shared" si="58"/>
        <v>7998.1200000000017</v>
      </c>
      <c r="AB22" s="6268"/>
      <c r="AC22" s="4350">
        <f>+'Direct sales IPT details'!AC110</f>
        <v>0</v>
      </c>
      <c r="AD22" s="6269"/>
      <c r="AE22" s="4353">
        <f t="shared" si="59"/>
        <v>7998.1200000000017</v>
      </c>
      <c r="AF22" s="6268"/>
      <c r="AG22" s="4350">
        <f>+'Direct sales IPT details'!AG110</f>
        <v>2979.7599999999998</v>
      </c>
      <c r="AH22" s="6269"/>
      <c r="AI22" s="1181">
        <f t="shared" si="60"/>
        <v>10977.880000000001</v>
      </c>
      <c r="AJ22" s="6268"/>
      <c r="AK22" s="4350">
        <f>+'Direct sales IPT details'!AK110</f>
        <v>19.97</v>
      </c>
      <c r="AL22" s="6286"/>
      <c r="AM22" s="2650">
        <f t="shared" si="61"/>
        <v>2999.7299999999996</v>
      </c>
      <c r="AN22" s="6288"/>
      <c r="AO22" s="2659">
        <f t="shared" si="62"/>
        <v>10997.85</v>
      </c>
      <c r="AP22" s="6268"/>
      <c r="AQ22" s="4350">
        <f>+'Direct sales IPT details'!AQ110</f>
        <v>2998.77</v>
      </c>
      <c r="AR22" s="6288"/>
      <c r="AS22" s="2659">
        <f t="shared" si="63"/>
        <v>13996.62</v>
      </c>
      <c r="AT22" s="6268"/>
      <c r="AU22" s="4350">
        <f>+'Direct sales IPT details'!AU110</f>
        <v>0</v>
      </c>
      <c r="AV22" s="6288"/>
      <c r="AW22" s="2659">
        <f t="shared" si="64"/>
        <v>13996.62</v>
      </c>
      <c r="AX22" s="6268"/>
      <c r="AY22" s="4350">
        <f>+'Direct sales IPT details'!AY110</f>
        <v>2498.5300000000002</v>
      </c>
      <c r="AZ22" s="6286"/>
      <c r="BA22" s="2650">
        <f t="shared" si="65"/>
        <v>5497.3</v>
      </c>
      <c r="BB22" s="6292"/>
      <c r="BC22" s="2651">
        <f t="shared" si="50"/>
        <v>8497.0299999999988</v>
      </c>
      <c r="BD22" s="6288"/>
      <c r="BE22" s="2659">
        <f t="shared" si="66"/>
        <v>16495.150000000001</v>
      </c>
      <c r="BF22" s="26"/>
      <c r="BG22" s="26"/>
      <c r="BH22" s="1219"/>
      <c r="BI22" s="1219"/>
      <c r="BJ22" s="1219"/>
      <c r="BK22"/>
      <c r="BL22"/>
      <c r="BM22" s="26"/>
      <c r="BN22" s="26"/>
      <c r="BO22" s="1219"/>
      <c r="BP22" s="1219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</row>
    <row r="23" spans="1:98" s="149" customFormat="1" ht="15.75" customHeight="1" x14ac:dyDescent="0.25">
      <c r="B23" s="5434" t="s">
        <v>1367</v>
      </c>
      <c r="C23" s="5416" t="s">
        <v>354</v>
      </c>
      <c r="D23" s="6274"/>
      <c r="E23" s="5436">
        <f>+'Direct sales IPT details'!E111</f>
        <v>1535.66</v>
      </c>
      <c r="F23" s="6274"/>
      <c r="G23" s="5436">
        <f>+'Direct sales IPT details'!G111</f>
        <v>0</v>
      </c>
      <c r="H23" s="6281"/>
      <c r="I23" s="5412">
        <f t="shared" si="52"/>
        <v>1535.66</v>
      </c>
      <c r="J23" s="6274"/>
      <c r="K23" s="5436">
        <f>+'Direct sales IPT details'!K111</f>
        <v>0</v>
      </c>
      <c r="L23" s="6270"/>
      <c r="M23" s="4386">
        <f t="shared" si="53"/>
        <v>1535.66</v>
      </c>
      <c r="N23" s="6274"/>
      <c r="O23" s="5436">
        <f>+'Direct sales IPT details'!O111</f>
        <v>2403.2400000000002</v>
      </c>
      <c r="P23" s="6269"/>
      <c r="Q23" s="4353">
        <f t="shared" si="55"/>
        <v>3938.9000000000005</v>
      </c>
      <c r="R23" s="6274"/>
      <c r="S23" s="5436">
        <f>+'Direct sales IPT details'!S111</f>
        <v>95.97</v>
      </c>
      <c r="T23" s="6269"/>
      <c r="U23" s="4353">
        <f t="shared" si="56"/>
        <v>4034.8700000000003</v>
      </c>
      <c r="V23" s="6274"/>
      <c r="W23" s="5436">
        <f>+'Direct sales IPT details'!W111</f>
        <v>999.81</v>
      </c>
      <c r="X23" s="6270"/>
      <c r="Y23" s="4386">
        <f t="shared" si="57"/>
        <v>3499.02</v>
      </c>
      <c r="Z23" s="6272"/>
      <c r="AA23" s="4387">
        <f t="shared" si="58"/>
        <v>5034.68</v>
      </c>
      <c r="AB23" s="6268"/>
      <c r="AC23" s="4350">
        <f>+'Direct sales IPT details'!AC111</f>
        <v>0</v>
      </c>
      <c r="AD23" s="4353"/>
      <c r="AE23" s="4353">
        <f t="shared" si="59"/>
        <v>5034.68</v>
      </c>
      <c r="AF23" s="6268"/>
      <c r="AG23" s="4350">
        <f>+'Direct sales IPT details'!AG111</f>
        <v>0</v>
      </c>
      <c r="AH23" s="4353"/>
      <c r="AI23" s="1181">
        <f t="shared" si="60"/>
        <v>5034.68</v>
      </c>
      <c r="AJ23" s="6268"/>
      <c r="AK23" s="4350">
        <f>+'Direct sales IPT details'!AK111</f>
        <v>2499.9</v>
      </c>
      <c r="AL23" s="6286"/>
      <c r="AM23" s="2650">
        <f t="shared" si="61"/>
        <v>2499.9</v>
      </c>
      <c r="AN23" s="6288"/>
      <c r="AO23" s="2659">
        <f t="shared" si="62"/>
        <v>7534.58</v>
      </c>
      <c r="AP23" s="6268"/>
      <c r="AQ23" s="4350">
        <f>+'Direct sales IPT details'!AQ111</f>
        <v>0</v>
      </c>
      <c r="AR23" s="6288"/>
      <c r="AS23" s="2659">
        <f t="shared" si="63"/>
        <v>7534.58</v>
      </c>
      <c r="AT23" s="6268"/>
      <c r="AU23" s="4350">
        <f>+'Direct sales IPT details'!AU111</f>
        <v>2998.55</v>
      </c>
      <c r="AV23" s="6288"/>
      <c r="AW23" s="2659">
        <f t="shared" si="64"/>
        <v>10533.130000000001</v>
      </c>
      <c r="AX23" s="6268"/>
      <c r="AY23" s="4350">
        <f>+'Direct sales IPT details'!AY111</f>
        <v>964.2</v>
      </c>
      <c r="AZ23" s="6286"/>
      <c r="BA23" s="2650">
        <f t="shared" si="65"/>
        <v>3962.75</v>
      </c>
      <c r="BB23" s="6292"/>
      <c r="BC23" s="2651">
        <f t="shared" si="50"/>
        <v>6462.65</v>
      </c>
      <c r="BD23" s="6288"/>
      <c r="BE23" s="2659">
        <f t="shared" si="66"/>
        <v>11497.330000000002</v>
      </c>
      <c r="BF23" s="26"/>
      <c r="BG23" s="26"/>
      <c r="BH23" s="1219"/>
      <c r="BI23" s="1219"/>
      <c r="BJ23" s="1219"/>
      <c r="BK23"/>
      <c r="BL23"/>
      <c r="BM23" s="26"/>
      <c r="BN23" s="26"/>
      <c r="BO23" s="1219"/>
      <c r="BP23" s="1219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</row>
    <row r="24" spans="1:98" s="149" customFormat="1" ht="15.75" hidden="1" customHeight="1" thickBot="1" x14ac:dyDescent="0.35">
      <c r="B24" s="5434" t="str">
        <f>+'Direct sales IPT details'!B112</f>
        <v>NON MAGNETIC UNSCREEN WORK THROUGH SLAG</v>
      </c>
      <c r="C24" s="5416" t="s">
        <v>354</v>
      </c>
      <c r="D24" s="6274"/>
      <c r="E24" s="5436">
        <f>+'Direct sales IPT details'!E112</f>
        <v>0</v>
      </c>
      <c r="F24" s="6274"/>
      <c r="G24" s="5436">
        <f>+'Direct sales IPT details'!G112</f>
        <v>0</v>
      </c>
      <c r="H24" s="6281"/>
      <c r="I24" s="5412">
        <f t="shared" si="52"/>
        <v>0</v>
      </c>
      <c r="J24" s="6274"/>
      <c r="K24" s="5436">
        <f>+'Direct sales IPT details'!K112</f>
        <v>0</v>
      </c>
      <c r="L24" s="6271"/>
      <c r="M24" s="4338">
        <f t="shared" si="53"/>
        <v>0</v>
      </c>
      <c r="N24" s="6274"/>
      <c r="O24" s="5436">
        <f>+'Direct sales IPT details'!O112</f>
        <v>0</v>
      </c>
      <c r="P24" s="6275"/>
      <c r="Q24" s="4423">
        <f t="shared" si="55"/>
        <v>0</v>
      </c>
      <c r="R24" s="6274"/>
      <c r="S24" s="5436">
        <f>+'Direct sales IPT details'!S112</f>
        <v>0</v>
      </c>
      <c r="T24" s="6275"/>
      <c r="U24" s="4423">
        <f t="shared" si="56"/>
        <v>0</v>
      </c>
      <c r="V24" s="6274"/>
      <c r="W24" s="5436">
        <f>+'Direct sales IPT details'!W112</f>
        <v>0</v>
      </c>
      <c r="X24" s="6271"/>
      <c r="Y24" s="4338">
        <f t="shared" si="57"/>
        <v>0</v>
      </c>
      <c r="Z24" s="6273"/>
      <c r="AA24" s="4339">
        <f t="shared" si="58"/>
        <v>0</v>
      </c>
      <c r="AB24" s="6268"/>
      <c r="AC24" s="4350">
        <f>+'Direct sales IPT details'!AC112</f>
        <v>0</v>
      </c>
      <c r="AD24" s="4527"/>
      <c r="AE24" s="4353">
        <f t="shared" si="59"/>
        <v>0</v>
      </c>
      <c r="AF24" s="6268"/>
      <c r="AG24" s="4350">
        <f>+'Direct sales IPT details'!AG112</f>
        <v>0</v>
      </c>
      <c r="AH24" s="4424"/>
      <c r="AI24" s="3242">
        <f t="shared" si="60"/>
        <v>0</v>
      </c>
      <c r="AJ24" s="6268"/>
      <c r="AK24" s="4350">
        <f>+'Direct sales IPT details'!AK112</f>
        <v>0</v>
      </c>
      <c r="AL24" s="6286"/>
      <c r="AM24" s="2650">
        <f t="shared" si="61"/>
        <v>0</v>
      </c>
      <c r="AN24" s="6289"/>
      <c r="AO24" s="2659">
        <f t="shared" si="62"/>
        <v>0</v>
      </c>
      <c r="AP24" s="6268"/>
      <c r="AQ24" s="4350">
        <f>+'Direct sales IPT details'!AQ112</f>
        <v>0</v>
      </c>
      <c r="AR24" s="6289"/>
      <c r="AS24" s="2659">
        <f t="shared" si="63"/>
        <v>0</v>
      </c>
      <c r="AT24" s="6268"/>
      <c r="AU24" s="4350">
        <f>+'Direct sales IPT details'!AU112</f>
        <v>0</v>
      </c>
      <c r="AV24" s="6289"/>
      <c r="AW24" s="2659">
        <f t="shared" si="64"/>
        <v>0</v>
      </c>
      <c r="AX24" s="6268"/>
      <c r="AY24" s="4350">
        <f>+'Direct sales IPT details'!AY112</f>
        <v>0</v>
      </c>
      <c r="AZ24" s="6286"/>
      <c r="BA24" s="2650">
        <f t="shared" si="65"/>
        <v>0</v>
      </c>
      <c r="BB24" s="6292"/>
      <c r="BC24" s="2651">
        <f t="shared" si="50"/>
        <v>0</v>
      </c>
      <c r="BD24" s="6289"/>
      <c r="BE24" s="2659">
        <f t="shared" si="66"/>
        <v>0</v>
      </c>
      <c r="BF24" s="26"/>
      <c r="BG24" s="26"/>
      <c r="BH24" s="1219"/>
      <c r="BI24" s="1219"/>
      <c r="BJ24" s="1219"/>
      <c r="BK24"/>
      <c r="BL24"/>
      <c r="BM24" s="26"/>
      <c r="BN24" s="26"/>
      <c r="BO24" s="1219"/>
      <c r="BP24" s="1219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</row>
    <row r="25" spans="1:98" s="149" customFormat="1" ht="15.6" x14ac:dyDescent="0.3">
      <c r="B25" s="5433" t="s">
        <v>423</v>
      </c>
      <c r="H25"/>
      <c r="I25"/>
      <c r="L25"/>
      <c r="M25"/>
      <c r="P25"/>
      <c r="Q25"/>
      <c r="T25"/>
      <c r="U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 s="26"/>
      <c r="BG25" s="26"/>
      <c r="BH25" s="1219"/>
      <c r="BI25" s="1219"/>
      <c r="BJ25" s="1219"/>
      <c r="BK25"/>
      <c r="BL25"/>
      <c r="BM25" s="26"/>
      <c r="BN25" s="26"/>
      <c r="BO25" s="1219"/>
      <c r="BP25" s="1219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</row>
    <row r="26" spans="1:98" ht="15.6" x14ac:dyDescent="0.3">
      <c r="B26" s="2872" t="s">
        <v>1179</v>
      </c>
      <c r="C26" s="812" t="s">
        <v>354</v>
      </c>
      <c r="D26" s="2873"/>
      <c r="E26" s="2747"/>
      <c r="F26" s="2873"/>
      <c r="G26" s="2747"/>
      <c r="H26" s="2750"/>
      <c r="I26" s="2659">
        <f t="shared" si="52"/>
        <v>0</v>
      </c>
      <c r="J26" s="2873"/>
      <c r="K26" s="2747"/>
      <c r="L26" s="2751"/>
      <c r="M26" s="2650">
        <f t="shared" si="53"/>
        <v>0</v>
      </c>
      <c r="N26" s="2873"/>
      <c r="O26" s="2747"/>
      <c r="P26" s="2750"/>
      <c r="Q26" s="2659">
        <f t="shared" ref="Q26:Q34" si="67">+O26+M26</f>
        <v>0</v>
      </c>
      <c r="R26" s="2873"/>
      <c r="S26" s="2747">
        <v>4280</v>
      </c>
      <c r="T26" s="2750"/>
      <c r="U26" s="2659">
        <f t="shared" si="56"/>
        <v>4280</v>
      </c>
      <c r="V26" s="2873"/>
      <c r="W26" s="2747">
        <v>3000.4</v>
      </c>
      <c r="X26" s="2751"/>
      <c r="Y26" s="2650">
        <f>+O26+S26+W26</f>
        <v>7280.4</v>
      </c>
      <c r="Z26" s="2752"/>
      <c r="AA26" s="2651">
        <f t="shared" si="58"/>
        <v>7280.4</v>
      </c>
      <c r="AB26" s="4117"/>
      <c r="AC26" s="2747"/>
      <c r="AD26" s="2750"/>
      <c r="AE26" s="2659">
        <f t="shared" si="59"/>
        <v>7280.4</v>
      </c>
      <c r="AF26" s="4117"/>
      <c r="AG26" s="2747"/>
      <c r="AH26" s="2750"/>
      <c r="AI26" s="2659">
        <f t="shared" ref="AI26:AI34" si="68">+AG26+AE26</f>
        <v>7280.4</v>
      </c>
      <c r="AJ26" s="4117"/>
      <c r="AK26" s="2747"/>
      <c r="AL26" s="2751"/>
      <c r="AM26" s="2650">
        <f t="shared" si="61"/>
        <v>0</v>
      </c>
      <c r="AN26" s="2750"/>
      <c r="AO26" s="2659">
        <f t="shared" si="62"/>
        <v>7280.4</v>
      </c>
      <c r="AP26" s="4117"/>
      <c r="AQ26" s="2747"/>
      <c r="AR26" s="2750"/>
      <c r="AS26" s="2659">
        <f t="shared" si="63"/>
        <v>7280.4</v>
      </c>
      <c r="AT26" s="4117"/>
      <c r="AU26" s="2747">
        <v>0</v>
      </c>
      <c r="AV26" s="2750"/>
      <c r="AW26" s="2659">
        <f t="shared" ref="AW26:AW34" si="69">+AU26+AS26</f>
        <v>7280.4</v>
      </c>
      <c r="AX26" s="4117"/>
      <c r="AY26" s="2747"/>
      <c r="AZ26" s="2751"/>
      <c r="BA26" s="2650">
        <f t="shared" si="65"/>
        <v>0</v>
      </c>
      <c r="BB26" s="2752"/>
      <c r="BC26" s="2651">
        <f t="shared" si="50"/>
        <v>0</v>
      </c>
      <c r="BD26" s="2750"/>
      <c r="BE26" s="2659">
        <f t="shared" si="66"/>
        <v>7280.4</v>
      </c>
      <c r="BF26" s="26"/>
      <c r="BG26" s="26"/>
      <c r="BH26" s="1219"/>
      <c r="BI26" s="1219"/>
      <c r="BJ26" s="1219"/>
      <c r="BM26" s="26"/>
      <c r="BN26" s="26"/>
      <c r="BO26" s="1219"/>
      <c r="BP26" s="1219"/>
    </row>
    <row r="27" spans="1:98" ht="15.6" x14ac:dyDescent="0.3">
      <c r="B27" s="2874" t="s">
        <v>1708</v>
      </c>
      <c r="C27" s="812" t="s">
        <v>354</v>
      </c>
      <c r="D27" s="2873"/>
      <c r="E27" s="2747">
        <v>80740.399999999994</v>
      </c>
      <c r="F27" s="2873"/>
      <c r="G27" s="2747">
        <v>104100</v>
      </c>
      <c r="H27" s="2750"/>
      <c r="I27" s="2659">
        <f t="shared" si="52"/>
        <v>184840.4</v>
      </c>
      <c r="J27" s="2873"/>
      <c r="K27" s="2747">
        <v>93920</v>
      </c>
      <c r="L27" s="2751"/>
      <c r="M27" s="2650">
        <f t="shared" si="53"/>
        <v>278760.40000000002</v>
      </c>
      <c r="N27" s="2873"/>
      <c r="O27" s="2747">
        <v>70000</v>
      </c>
      <c r="P27" s="2750"/>
      <c r="Q27" s="2659">
        <f t="shared" si="67"/>
        <v>348760.4</v>
      </c>
      <c r="R27" s="2873"/>
      <c r="S27" s="2747">
        <v>83200</v>
      </c>
      <c r="T27" s="2750"/>
      <c r="U27" s="2659">
        <f t="shared" si="56"/>
        <v>431960.4</v>
      </c>
      <c r="V27" s="2873"/>
      <c r="W27" s="2747">
        <v>57000.4</v>
      </c>
      <c r="X27" s="2751"/>
      <c r="Y27" s="2650">
        <f t="shared" si="57"/>
        <v>210200.4</v>
      </c>
      <c r="Z27" s="2752"/>
      <c r="AA27" s="2651">
        <f t="shared" si="58"/>
        <v>488960.80000000005</v>
      </c>
      <c r="AB27" s="4117"/>
      <c r="AC27" s="2747">
        <v>55640.1</v>
      </c>
      <c r="AD27" s="2750"/>
      <c r="AE27" s="2659">
        <f t="shared" si="59"/>
        <v>544600.9</v>
      </c>
      <c r="AF27" s="4117"/>
      <c r="AG27" s="2747">
        <v>129020</v>
      </c>
      <c r="AH27" s="2750"/>
      <c r="AI27" s="2659">
        <f t="shared" si="68"/>
        <v>673620.9</v>
      </c>
      <c r="AJ27" s="4117"/>
      <c r="AK27" s="2747">
        <v>91380</v>
      </c>
      <c r="AL27" s="2751"/>
      <c r="AM27" s="2650">
        <f t="shared" si="61"/>
        <v>276040.09999999998</v>
      </c>
      <c r="AN27" s="2750"/>
      <c r="AO27" s="2659">
        <f t="shared" si="62"/>
        <v>765000.9</v>
      </c>
      <c r="AP27" s="4117"/>
      <c r="AQ27" s="2747">
        <v>86840</v>
      </c>
      <c r="AR27" s="2750"/>
      <c r="AS27" s="2659">
        <f t="shared" si="63"/>
        <v>851840.9</v>
      </c>
      <c r="AT27" s="4117"/>
      <c r="AU27" s="2747">
        <v>79520</v>
      </c>
      <c r="AV27" s="2750"/>
      <c r="AW27" s="2659">
        <f t="shared" si="69"/>
        <v>931360.9</v>
      </c>
      <c r="AX27" s="4117"/>
      <c r="AY27" s="2747">
        <v>78559.89</v>
      </c>
      <c r="AZ27" s="2751"/>
      <c r="BA27" s="2650">
        <f t="shared" si="65"/>
        <v>244919.89</v>
      </c>
      <c r="BB27" s="2752"/>
      <c r="BC27" s="2651">
        <f t="shared" si="50"/>
        <v>520959.99</v>
      </c>
      <c r="BD27" s="2750"/>
      <c r="BE27" s="2659">
        <f t="shared" si="66"/>
        <v>1009920.79</v>
      </c>
      <c r="BF27" s="26"/>
      <c r="BG27" s="26"/>
      <c r="BH27" s="1219"/>
      <c r="BI27" s="1219"/>
      <c r="BJ27" s="1219"/>
      <c r="BM27" s="26"/>
      <c r="BN27" s="26"/>
      <c r="BO27" s="1219"/>
      <c r="BP27" s="1219"/>
    </row>
    <row r="28" spans="1:98" ht="15.6" x14ac:dyDescent="0.3">
      <c r="B28" s="2872" t="s">
        <v>1027</v>
      </c>
      <c r="C28" s="812" t="s">
        <v>354</v>
      </c>
      <c r="D28" s="2875"/>
      <c r="E28" s="2747">
        <f>+SINTER!F14</f>
        <v>0</v>
      </c>
      <c r="F28" s="2875"/>
      <c r="G28" s="2747">
        <f>+SINTER!H14</f>
        <v>0</v>
      </c>
      <c r="H28" s="2750"/>
      <c r="I28" s="2659">
        <f t="shared" si="52"/>
        <v>0</v>
      </c>
      <c r="J28" s="2875"/>
      <c r="K28" s="2747">
        <f>+SINTER!L14</f>
        <v>0</v>
      </c>
      <c r="L28" s="2751"/>
      <c r="M28" s="2650">
        <f t="shared" si="53"/>
        <v>0</v>
      </c>
      <c r="N28" s="2875"/>
      <c r="O28" s="2747">
        <f>+SINTER!P14</f>
        <v>0</v>
      </c>
      <c r="P28" s="2750"/>
      <c r="Q28" s="2659">
        <f t="shared" si="67"/>
        <v>0</v>
      </c>
      <c r="R28" s="2875"/>
      <c r="S28" s="2747">
        <f>+SINTER!T14</f>
        <v>0</v>
      </c>
      <c r="T28" s="2750"/>
      <c r="U28" s="2659">
        <f t="shared" si="56"/>
        <v>0</v>
      </c>
      <c r="V28" s="2875"/>
      <c r="W28" s="2747">
        <f>+SINTER!X14</f>
        <v>0</v>
      </c>
      <c r="X28" s="2751"/>
      <c r="Y28" s="2650">
        <f t="shared" si="57"/>
        <v>0</v>
      </c>
      <c r="Z28" s="2752"/>
      <c r="AA28" s="2651">
        <f t="shared" si="58"/>
        <v>0</v>
      </c>
      <c r="AB28" s="2753"/>
      <c r="AC28" s="2747">
        <f>+SINTER!AD14</f>
        <v>159</v>
      </c>
      <c r="AD28" s="2750"/>
      <c r="AE28" s="2659">
        <f t="shared" si="59"/>
        <v>159</v>
      </c>
      <c r="AF28" s="2753"/>
      <c r="AG28" s="2747">
        <f>+SINTER!AH14</f>
        <v>0</v>
      </c>
      <c r="AH28" s="2750"/>
      <c r="AI28" s="2659">
        <f t="shared" si="68"/>
        <v>159</v>
      </c>
      <c r="AJ28" s="2753"/>
      <c r="AK28" s="2747">
        <f>+SINTER!AL14</f>
        <v>469</v>
      </c>
      <c r="AL28" s="2751"/>
      <c r="AM28" s="2650">
        <f t="shared" si="61"/>
        <v>628</v>
      </c>
      <c r="AN28" s="2750"/>
      <c r="AO28" s="2659">
        <f t="shared" si="62"/>
        <v>628</v>
      </c>
      <c r="AP28" s="2753"/>
      <c r="AQ28" s="2747">
        <f>+SINTER!AR14</f>
        <v>1474</v>
      </c>
      <c r="AR28" s="2750"/>
      <c r="AS28" s="2659">
        <f t="shared" si="63"/>
        <v>2102</v>
      </c>
      <c r="AT28" s="2753"/>
      <c r="AU28" s="2747">
        <f>+SINTER!AV14</f>
        <v>919</v>
      </c>
      <c r="AV28" s="2750"/>
      <c r="AW28" s="2659">
        <f t="shared" si="69"/>
        <v>3021</v>
      </c>
      <c r="AX28" s="2753"/>
      <c r="AY28" s="2747">
        <f>+SINTER!AZ14</f>
        <v>0</v>
      </c>
      <c r="AZ28" s="2751"/>
      <c r="BA28" s="2650">
        <f t="shared" si="65"/>
        <v>2393</v>
      </c>
      <c r="BB28" s="2752"/>
      <c r="BC28" s="2651">
        <f t="shared" si="50"/>
        <v>3021</v>
      </c>
      <c r="BD28" s="2750"/>
      <c r="BE28" s="2659">
        <f t="shared" si="66"/>
        <v>3021</v>
      </c>
      <c r="BF28" s="26"/>
      <c r="BG28" s="26"/>
      <c r="BH28" s="1219"/>
      <c r="BI28" s="1219"/>
      <c r="BJ28" s="1219"/>
      <c r="BM28" s="26"/>
      <c r="BN28" s="26"/>
      <c r="BO28" s="1219"/>
      <c r="BP28" s="1219"/>
    </row>
    <row r="29" spans="1:98" ht="15.6" x14ac:dyDescent="0.3">
      <c r="B29" s="2872" t="s">
        <v>1028</v>
      </c>
      <c r="C29" s="812" t="s">
        <v>354</v>
      </c>
      <c r="D29" s="2875"/>
      <c r="E29" s="2747">
        <f>+'B-FCE'!F29</f>
        <v>0</v>
      </c>
      <c r="F29" s="2875"/>
      <c r="G29" s="2747">
        <f>+'B-FCE'!H29</f>
        <v>0</v>
      </c>
      <c r="H29" s="2750"/>
      <c r="I29" s="2659">
        <f t="shared" si="52"/>
        <v>0</v>
      </c>
      <c r="J29" s="2875"/>
      <c r="K29" s="2747">
        <f>+'B-FCE'!L29</f>
        <v>0</v>
      </c>
      <c r="L29" s="2751"/>
      <c r="M29" s="2650">
        <f t="shared" si="53"/>
        <v>0</v>
      </c>
      <c r="N29" s="2875"/>
      <c r="O29" s="2747">
        <f>+'B-FCE'!P29</f>
        <v>0</v>
      </c>
      <c r="P29" s="2750"/>
      <c r="Q29" s="2659">
        <f t="shared" si="67"/>
        <v>0</v>
      </c>
      <c r="R29" s="2875"/>
      <c r="S29" s="2747">
        <f>+'B-FCE'!T29</f>
        <v>0</v>
      </c>
      <c r="T29" s="2750"/>
      <c r="U29" s="2659">
        <f t="shared" si="56"/>
        <v>0</v>
      </c>
      <c r="V29" s="2875"/>
      <c r="W29" s="2747">
        <f>+'B-FCE'!X29</f>
        <v>0</v>
      </c>
      <c r="X29" s="2751"/>
      <c r="Y29" s="2650">
        <f t="shared" si="57"/>
        <v>0</v>
      </c>
      <c r="Z29" s="2752"/>
      <c r="AA29" s="2651">
        <f t="shared" si="58"/>
        <v>0</v>
      </c>
      <c r="AB29" s="2753"/>
      <c r="AC29" s="2747">
        <f>+'B-FCE'!AD29</f>
        <v>0</v>
      </c>
      <c r="AD29" s="2750"/>
      <c r="AE29" s="2659">
        <f t="shared" si="59"/>
        <v>0</v>
      </c>
      <c r="AF29" s="2753"/>
      <c r="AG29" s="2747">
        <f>+'B-FCE'!AH29</f>
        <v>78.72</v>
      </c>
      <c r="AH29" s="2750"/>
      <c r="AI29" s="2659">
        <f t="shared" si="68"/>
        <v>78.72</v>
      </c>
      <c r="AJ29" s="2753"/>
      <c r="AK29" s="2747">
        <f>+'B-FCE'!AL29</f>
        <v>52.991999999999997</v>
      </c>
      <c r="AL29" s="2751"/>
      <c r="AM29" s="2650">
        <f t="shared" si="61"/>
        <v>131.71199999999999</v>
      </c>
      <c r="AN29" s="2750"/>
      <c r="AO29" s="2659">
        <f t="shared" si="62"/>
        <v>131.71199999999999</v>
      </c>
      <c r="AP29" s="2753"/>
      <c r="AQ29" s="2747">
        <f>+'B-FCE'!AR29</f>
        <v>0</v>
      </c>
      <c r="AR29" s="2750"/>
      <c r="AS29" s="2659">
        <f t="shared" si="63"/>
        <v>131.71199999999999</v>
      </c>
      <c r="AT29" s="2753"/>
      <c r="AU29" s="2747">
        <f>+'B-FCE'!AV29</f>
        <v>0</v>
      </c>
      <c r="AV29" s="2750"/>
      <c r="AW29" s="2659">
        <f t="shared" si="69"/>
        <v>131.71199999999999</v>
      </c>
      <c r="AX29" s="2753"/>
      <c r="AY29" s="2747">
        <f>+'B-FCE'!AZ29</f>
        <v>0</v>
      </c>
      <c r="AZ29" s="2751"/>
      <c r="BA29" s="2650">
        <f t="shared" si="65"/>
        <v>0</v>
      </c>
      <c r="BB29" s="2752"/>
      <c r="BC29" s="2651">
        <f t="shared" si="50"/>
        <v>131.71199999999999</v>
      </c>
      <c r="BD29" s="2750"/>
      <c r="BE29" s="2659">
        <f t="shared" si="66"/>
        <v>131.71199999999999</v>
      </c>
      <c r="BF29" s="26"/>
      <c r="BG29" s="26"/>
      <c r="BH29" s="1219"/>
      <c r="BI29" s="1219"/>
      <c r="BJ29" s="1219"/>
      <c r="BM29" s="26"/>
      <c r="BN29" s="26"/>
      <c r="BO29" s="1219"/>
      <c r="BP29" s="1219"/>
    </row>
    <row r="30" spans="1:98" ht="15.6" x14ac:dyDescent="0.3">
      <c r="B30" s="2872" t="s">
        <v>1128</v>
      </c>
      <c r="C30" s="812" t="s">
        <v>354</v>
      </c>
      <c r="D30" s="2876"/>
      <c r="E30" s="2747">
        <f>+SMS!F122</f>
        <v>0</v>
      </c>
      <c r="F30" s="2876"/>
      <c r="G30" s="2747">
        <f>+SMS!H122</f>
        <v>0</v>
      </c>
      <c r="H30" s="2750"/>
      <c r="I30" s="2659">
        <f t="shared" si="52"/>
        <v>0</v>
      </c>
      <c r="J30" s="2876"/>
      <c r="K30" s="2747">
        <f>+SMS!L122</f>
        <v>0</v>
      </c>
      <c r="L30" s="2751"/>
      <c r="M30" s="2650">
        <f t="shared" si="53"/>
        <v>0</v>
      </c>
      <c r="N30" s="2876"/>
      <c r="O30" s="2747">
        <f>+SMS!P122</f>
        <v>0</v>
      </c>
      <c r="P30" s="2750"/>
      <c r="Q30" s="2659">
        <f t="shared" si="67"/>
        <v>0</v>
      </c>
      <c r="R30" s="2876"/>
      <c r="S30" s="2747">
        <f>+SMS!T122</f>
        <v>0</v>
      </c>
      <c r="T30" s="2749"/>
      <c r="U30" s="2659">
        <f t="shared" si="56"/>
        <v>0</v>
      </c>
      <c r="V30" s="2876"/>
      <c r="W30" s="2747">
        <f>+SMS!X122</f>
        <v>0</v>
      </c>
      <c r="X30" s="2751"/>
      <c r="Y30" s="2650">
        <f t="shared" si="57"/>
        <v>0</v>
      </c>
      <c r="Z30" s="2752"/>
      <c r="AA30" s="2651">
        <f t="shared" si="58"/>
        <v>0</v>
      </c>
      <c r="AB30" s="2754"/>
      <c r="AC30" s="2747">
        <f>+SMS!AD122</f>
        <v>0</v>
      </c>
      <c r="AD30" s="2749"/>
      <c r="AE30" s="2659">
        <f t="shared" si="59"/>
        <v>0</v>
      </c>
      <c r="AF30" s="2754"/>
      <c r="AG30" s="2747">
        <f>+SMS!AH122</f>
        <v>0</v>
      </c>
      <c r="AH30" s="2749"/>
      <c r="AI30" s="2659">
        <f t="shared" si="68"/>
        <v>0</v>
      </c>
      <c r="AJ30" s="2754"/>
      <c r="AK30" s="2747">
        <f>+SMS!AL122</f>
        <v>0</v>
      </c>
      <c r="AL30" s="2751"/>
      <c r="AM30" s="2650">
        <f t="shared" si="61"/>
        <v>0</v>
      </c>
      <c r="AN30" s="2749"/>
      <c r="AO30" s="2659">
        <f t="shared" si="62"/>
        <v>0</v>
      </c>
      <c r="AP30" s="2754"/>
      <c r="AQ30" s="2747">
        <f>+SMS!AR122</f>
        <v>0</v>
      </c>
      <c r="AR30" s="2749"/>
      <c r="AS30" s="2659">
        <f t="shared" si="63"/>
        <v>0</v>
      </c>
      <c r="AT30" s="2754"/>
      <c r="AU30" s="2747">
        <f>+SMS!AV122</f>
        <v>0</v>
      </c>
      <c r="AV30" s="2749"/>
      <c r="AW30" s="2659">
        <f t="shared" si="69"/>
        <v>0</v>
      </c>
      <c r="AX30" s="2754"/>
      <c r="AY30" s="2747">
        <f>+SMS!AZ122</f>
        <v>0</v>
      </c>
      <c r="AZ30" s="2751"/>
      <c r="BA30" s="2650">
        <f t="shared" si="65"/>
        <v>0</v>
      </c>
      <c r="BB30" s="2752"/>
      <c r="BC30" s="2651">
        <f t="shared" si="50"/>
        <v>0</v>
      </c>
      <c r="BD30" s="2749"/>
      <c r="BE30" s="2659">
        <f t="shared" si="66"/>
        <v>0</v>
      </c>
      <c r="BF30" s="26"/>
      <c r="BG30" s="26"/>
      <c r="BH30" s="1219"/>
      <c r="BI30" s="1219"/>
      <c r="BJ30" s="1219"/>
      <c r="BM30" s="26"/>
      <c r="BN30" s="26"/>
      <c r="BO30" s="1219"/>
      <c r="BP30" s="1219"/>
    </row>
    <row r="31" spans="1:98" ht="15.6" x14ac:dyDescent="0.3">
      <c r="B31" s="2872" t="s">
        <v>1045</v>
      </c>
      <c r="C31" s="812" t="s">
        <v>354</v>
      </c>
      <c r="D31" s="2873"/>
      <c r="E31" s="2747">
        <f>+E21+E22+E24+E23</f>
        <v>7712.23</v>
      </c>
      <c r="F31" s="2873"/>
      <c r="G31" s="2747">
        <f>+G21+G22+G24+G23</f>
        <v>9134.2500000000018</v>
      </c>
      <c r="H31" s="2750"/>
      <c r="I31" s="2659">
        <f t="shared" si="52"/>
        <v>16846.480000000003</v>
      </c>
      <c r="J31" s="2873"/>
      <c r="K31" s="2747">
        <f>+K21+K22+K24+K23</f>
        <v>3441.08</v>
      </c>
      <c r="L31" s="2751"/>
      <c r="M31" s="2650">
        <f t="shared" si="53"/>
        <v>20287.560000000005</v>
      </c>
      <c r="N31" s="2873"/>
      <c r="O31" s="2747">
        <f>+O21+O22+O24+O23</f>
        <v>12321.94</v>
      </c>
      <c r="P31" s="2750"/>
      <c r="Q31" s="2659">
        <f t="shared" si="67"/>
        <v>32609.500000000007</v>
      </c>
      <c r="R31" s="2873"/>
      <c r="S31" s="2747">
        <f>+S21+S22+S24+S23</f>
        <v>175.21</v>
      </c>
      <c r="T31" s="2750"/>
      <c r="U31" s="2659">
        <f t="shared" si="56"/>
        <v>32784.710000000006</v>
      </c>
      <c r="V31" s="2873"/>
      <c r="W31" s="2747">
        <f>+W21+W22+W24+W23</f>
        <v>10771.1</v>
      </c>
      <c r="X31" s="2751"/>
      <c r="Y31" s="2650">
        <f t="shared" si="57"/>
        <v>23268.25</v>
      </c>
      <c r="Z31" s="2752"/>
      <c r="AA31" s="2651">
        <f t="shared" si="58"/>
        <v>43555.810000000005</v>
      </c>
      <c r="AB31" s="4117"/>
      <c r="AC31" s="2747">
        <f>+AC21+AC22+AC24+AC23</f>
        <v>2499.8999999999996</v>
      </c>
      <c r="AD31" s="2750"/>
      <c r="AE31" s="2659">
        <f t="shared" si="59"/>
        <v>46055.710000000006</v>
      </c>
      <c r="AF31" s="4117"/>
      <c r="AG31" s="2747">
        <f>+AG21+AG22+AG24+AG23</f>
        <v>5478.9699999999993</v>
      </c>
      <c r="AH31" s="2750"/>
      <c r="AI31" s="2659">
        <f t="shared" si="68"/>
        <v>51534.680000000008</v>
      </c>
      <c r="AJ31" s="4117"/>
      <c r="AK31" s="2747">
        <f>+AK21+AK22+AK24+AK23</f>
        <v>7517.2000000000007</v>
      </c>
      <c r="AL31" s="2751"/>
      <c r="AM31" s="2650">
        <f t="shared" si="61"/>
        <v>15496.07</v>
      </c>
      <c r="AN31" s="2750"/>
      <c r="AO31" s="2659">
        <f t="shared" si="62"/>
        <v>59051.880000000005</v>
      </c>
      <c r="AP31" s="4117"/>
      <c r="AQ31" s="2747">
        <f>+AQ21+AQ22+AQ24+AQ23</f>
        <v>10498.07</v>
      </c>
      <c r="AR31" s="2750"/>
      <c r="AS31" s="2659">
        <f t="shared" si="63"/>
        <v>69549.950000000012</v>
      </c>
      <c r="AT31" s="4117"/>
      <c r="AU31" s="2747">
        <f>+AU21+AU22+AU24+AU23</f>
        <v>7998.24</v>
      </c>
      <c r="AV31" s="2750"/>
      <c r="AW31" s="2659">
        <f t="shared" si="69"/>
        <v>77548.190000000017</v>
      </c>
      <c r="AX31" s="4117"/>
      <c r="AY31" s="2747">
        <f>+AY21+AY22+AY24+AY23</f>
        <v>7705.11</v>
      </c>
      <c r="AZ31" s="2751"/>
      <c r="BA31" s="2650">
        <f t="shared" si="65"/>
        <v>26201.42</v>
      </c>
      <c r="BB31" s="2752"/>
      <c r="BC31" s="2651">
        <f t="shared" si="50"/>
        <v>41697.49</v>
      </c>
      <c r="BD31" s="2750"/>
      <c r="BE31" s="2659">
        <f t="shared" si="66"/>
        <v>85253.300000000017</v>
      </c>
      <c r="BF31" s="26"/>
      <c r="BG31" s="26"/>
      <c r="BH31" s="1219"/>
      <c r="BI31" s="1219"/>
      <c r="BJ31" s="1219"/>
      <c r="BM31" s="26"/>
      <c r="BN31" s="26"/>
      <c r="BO31" s="1219"/>
      <c r="BP31" s="1219"/>
    </row>
    <row r="32" spans="1:98" ht="15.6" x14ac:dyDescent="0.3">
      <c r="B32" s="2872" t="s">
        <v>1351</v>
      </c>
      <c r="C32" s="812" t="s">
        <v>354</v>
      </c>
      <c r="D32" s="2873"/>
      <c r="E32" s="2747"/>
      <c r="F32" s="2873"/>
      <c r="G32" s="2747"/>
      <c r="H32" s="2750"/>
      <c r="I32" s="2659">
        <f t="shared" si="52"/>
        <v>0</v>
      </c>
      <c r="J32" s="2873"/>
      <c r="K32" s="2747"/>
      <c r="L32" s="2751"/>
      <c r="M32" s="2650">
        <f t="shared" si="53"/>
        <v>0</v>
      </c>
      <c r="N32" s="2873"/>
      <c r="O32" s="2747"/>
      <c r="P32" s="2750"/>
      <c r="Q32" s="2659">
        <f t="shared" si="67"/>
        <v>0</v>
      </c>
      <c r="R32" s="2873"/>
      <c r="S32" s="2747"/>
      <c r="T32" s="2750"/>
      <c r="U32" s="2659">
        <f t="shared" si="56"/>
        <v>0</v>
      </c>
      <c r="V32" s="2873"/>
      <c r="W32" s="2747"/>
      <c r="X32" s="2751"/>
      <c r="Y32" s="2650">
        <f t="shared" si="57"/>
        <v>0</v>
      </c>
      <c r="Z32" s="2752"/>
      <c r="AA32" s="2651">
        <f t="shared" si="58"/>
        <v>0</v>
      </c>
      <c r="AB32" s="4117"/>
      <c r="AC32" s="2747"/>
      <c r="AD32" s="2750"/>
      <c r="AE32" s="2659">
        <f t="shared" si="59"/>
        <v>0</v>
      </c>
      <c r="AF32" s="4117"/>
      <c r="AG32" s="2747"/>
      <c r="AH32" s="2750"/>
      <c r="AI32" s="2659">
        <f t="shared" si="68"/>
        <v>0</v>
      </c>
      <c r="AJ32" s="4117"/>
      <c r="AK32" s="2747"/>
      <c r="AL32" s="2751"/>
      <c r="AM32" s="2650">
        <f t="shared" si="61"/>
        <v>0</v>
      </c>
      <c r="AN32" s="2750"/>
      <c r="AO32" s="2659">
        <f t="shared" si="62"/>
        <v>0</v>
      </c>
      <c r="AP32" s="4117"/>
      <c r="AQ32" s="2747"/>
      <c r="AR32" s="2750"/>
      <c r="AS32" s="2659">
        <f t="shared" si="63"/>
        <v>0</v>
      </c>
      <c r="AT32" s="4117"/>
      <c r="AU32" s="2747"/>
      <c r="AV32" s="2750"/>
      <c r="AW32" s="2659">
        <f t="shared" si="69"/>
        <v>0</v>
      </c>
      <c r="AX32" s="4117"/>
      <c r="AY32" s="2747"/>
      <c r="AZ32" s="2751"/>
      <c r="BA32" s="2650">
        <f t="shared" si="65"/>
        <v>0</v>
      </c>
      <c r="BB32" s="2752"/>
      <c r="BC32" s="2651">
        <f t="shared" si="50"/>
        <v>0</v>
      </c>
      <c r="BD32" s="2750"/>
      <c r="BE32" s="2659">
        <f t="shared" si="66"/>
        <v>0</v>
      </c>
      <c r="BF32" s="26"/>
      <c r="BG32" s="26"/>
      <c r="BH32" s="1219"/>
      <c r="BI32" s="1219"/>
      <c r="BJ32" s="1219"/>
      <c r="BM32" s="26"/>
      <c r="BN32" s="26"/>
      <c r="BO32" s="1219"/>
      <c r="BP32" s="1219"/>
    </row>
    <row r="33" spans="2:68" ht="15.75" x14ac:dyDescent="0.25">
      <c r="B33" s="5415" t="s">
        <v>2257</v>
      </c>
      <c r="C33" s="5416" t="s">
        <v>354</v>
      </c>
      <c r="D33" s="5417"/>
      <c r="E33" s="5418"/>
      <c r="F33" s="5417"/>
      <c r="G33" s="5418">
        <v>40</v>
      </c>
      <c r="H33" s="5419"/>
      <c r="I33" s="2659">
        <f t="shared" si="52"/>
        <v>40</v>
      </c>
      <c r="J33" s="5417"/>
      <c r="K33" s="5418">
        <v>40</v>
      </c>
      <c r="L33" s="5420"/>
      <c r="M33" s="2650">
        <f t="shared" ref="M33" si="70">+E33+G33+K33</f>
        <v>80</v>
      </c>
      <c r="N33" s="5417"/>
      <c r="O33" s="5418">
        <v>40</v>
      </c>
      <c r="P33" s="2750"/>
      <c r="Q33" s="2659">
        <f t="shared" ref="Q33" si="71">+O33+M33</f>
        <v>120</v>
      </c>
      <c r="R33" s="5417"/>
      <c r="S33" s="5418">
        <v>40</v>
      </c>
      <c r="T33" s="2750"/>
      <c r="U33" s="2659">
        <f t="shared" ref="U33" si="72">+S33+Q33</f>
        <v>160</v>
      </c>
      <c r="V33" s="5417"/>
      <c r="W33" s="5418">
        <v>40</v>
      </c>
      <c r="X33" s="2751"/>
      <c r="Y33" s="2650">
        <f t="shared" ref="Y33" si="73">+O33+S33+W33</f>
        <v>120</v>
      </c>
      <c r="Z33" s="2752"/>
      <c r="AA33" s="2651">
        <f t="shared" ref="AA33" si="74">+Y33+M33</f>
        <v>200</v>
      </c>
      <c r="AB33" s="4117"/>
      <c r="AC33" s="2747"/>
      <c r="AD33" s="2750"/>
      <c r="AE33" s="2659">
        <f t="shared" ref="AE33" si="75">+AC33+AA33</f>
        <v>200</v>
      </c>
      <c r="AF33" s="4117"/>
      <c r="AG33" s="2747"/>
      <c r="AH33" s="2750"/>
      <c r="AI33" s="2659">
        <f t="shared" ref="AI33" si="76">+AG33+AE33</f>
        <v>200</v>
      </c>
      <c r="AJ33" s="4117"/>
      <c r="AK33" s="2747"/>
      <c r="AL33" s="2751"/>
      <c r="AM33" s="2650">
        <f t="shared" ref="AM33" si="77">+AC33+AG33+AK33</f>
        <v>0</v>
      </c>
      <c r="AN33" s="2750"/>
      <c r="AO33" s="2659">
        <f t="shared" ref="AO33" si="78">+AK33+AI33</f>
        <v>200</v>
      </c>
      <c r="AP33" s="4117"/>
      <c r="AQ33" s="2747"/>
      <c r="AR33" s="2750"/>
      <c r="AS33" s="2659">
        <f t="shared" ref="AS33" si="79">+AQ33+AO33</f>
        <v>200</v>
      </c>
      <c r="AT33" s="4117"/>
      <c r="AU33" s="2747"/>
      <c r="AV33" s="2750"/>
      <c r="AW33" s="2659">
        <f t="shared" ref="AW33" si="80">+AU33+AS33</f>
        <v>200</v>
      </c>
      <c r="AX33" s="4117"/>
      <c r="AY33" s="2747"/>
      <c r="AZ33" s="2751"/>
      <c r="BA33" s="2650">
        <f t="shared" ref="BA33" si="81">+AQ33+AU33+AY33</f>
        <v>0</v>
      </c>
      <c r="BB33" s="2752"/>
      <c r="BC33" s="2651">
        <f t="shared" ref="BC33" si="82">+BA33+AM33</f>
        <v>0</v>
      </c>
      <c r="BD33" s="2750"/>
      <c r="BE33" s="2659">
        <f t="shared" ref="BE33" si="83">+AY33+AW33</f>
        <v>200</v>
      </c>
      <c r="BF33" s="26"/>
      <c r="BG33" s="26"/>
      <c r="BH33" s="1219"/>
      <c r="BI33" s="1219"/>
      <c r="BJ33" s="1219"/>
      <c r="BM33" s="26"/>
      <c r="BN33" s="26"/>
      <c r="BO33" s="1219"/>
      <c r="BP33" s="1219"/>
    </row>
    <row r="34" spans="2:68" ht="15.75" x14ac:dyDescent="0.25">
      <c r="B34" s="2872" t="s">
        <v>1129</v>
      </c>
      <c r="C34" s="812" t="s">
        <v>354</v>
      </c>
      <c r="D34" s="2873"/>
      <c r="E34" s="2747"/>
      <c r="F34" s="2873"/>
      <c r="G34" s="2747"/>
      <c r="H34" s="2750"/>
      <c r="I34" s="2659">
        <f t="shared" si="52"/>
        <v>0</v>
      </c>
      <c r="J34" s="2873"/>
      <c r="K34" s="2747"/>
      <c r="L34" s="2751"/>
      <c r="M34" s="2650">
        <f t="shared" si="53"/>
        <v>0</v>
      </c>
      <c r="N34" s="2873"/>
      <c r="O34" s="2747"/>
      <c r="P34" s="2750"/>
      <c r="Q34" s="2659">
        <f t="shared" si="67"/>
        <v>0</v>
      </c>
      <c r="R34" s="2873"/>
      <c r="S34" s="2747"/>
      <c r="T34" s="2750"/>
      <c r="U34" s="2659">
        <f t="shared" si="56"/>
        <v>0</v>
      </c>
      <c r="V34" s="2873"/>
      <c r="W34" s="2747"/>
      <c r="X34" s="2751"/>
      <c r="Y34" s="2650">
        <f t="shared" si="57"/>
        <v>0</v>
      </c>
      <c r="Z34" s="2752"/>
      <c r="AA34" s="2651">
        <f t="shared" si="58"/>
        <v>0</v>
      </c>
      <c r="AB34" s="4117"/>
      <c r="AC34" s="2747"/>
      <c r="AD34" s="2750"/>
      <c r="AE34" s="2659">
        <f t="shared" si="59"/>
        <v>0</v>
      </c>
      <c r="AF34" s="4117"/>
      <c r="AG34" s="2747"/>
      <c r="AH34" s="2750"/>
      <c r="AI34" s="2659">
        <f t="shared" si="68"/>
        <v>0</v>
      </c>
      <c r="AJ34" s="4117"/>
      <c r="AK34" s="2747"/>
      <c r="AL34" s="2751"/>
      <c r="AM34" s="2650">
        <f t="shared" si="61"/>
        <v>0</v>
      </c>
      <c r="AN34" s="2750"/>
      <c r="AO34" s="2659">
        <f t="shared" si="62"/>
        <v>0</v>
      </c>
      <c r="AP34" s="4117"/>
      <c r="AQ34" s="2747"/>
      <c r="AR34" s="2750"/>
      <c r="AS34" s="2659">
        <f t="shared" si="63"/>
        <v>0</v>
      </c>
      <c r="AT34" s="4117"/>
      <c r="AU34" s="2747"/>
      <c r="AV34" s="2750"/>
      <c r="AW34" s="2659">
        <f t="shared" si="69"/>
        <v>0</v>
      </c>
      <c r="AX34" s="4117"/>
      <c r="AY34" s="2747"/>
      <c r="AZ34" s="2751"/>
      <c r="BA34" s="2650">
        <f t="shared" si="65"/>
        <v>0</v>
      </c>
      <c r="BB34" s="2752"/>
      <c r="BC34" s="2651">
        <f t="shared" si="50"/>
        <v>0</v>
      </c>
      <c r="BD34" s="2750"/>
      <c r="BE34" s="2659">
        <f t="shared" si="66"/>
        <v>0</v>
      </c>
      <c r="BF34" s="26"/>
      <c r="BG34" s="26"/>
      <c r="BH34" s="1219"/>
      <c r="BI34" s="1219"/>
      <c r="BJ34" s="1219"/>
      <c r="BM34" s="26"/>
      <c r="BN34" s="26"/>
      <c r="BO34" s="1219"/>
      <c r="BP34" s="1219"/>
    </row>
    <row r="35" spans="2:68" ht="15.75" x14ac:dyDescent="0.25">
      <c r="B35" s="2872" t="s">
        <v>2</v>
      </c>
      <c r="C35" s="2877" t="s">
        <v>354</v>
      </c>
      <c r="D35" s="2878"/>
      <c r="E35" s="2747">
        <f>SUM(E26:E34)+E20</f>
        <v>88452.62999999999</v>
      </c>
      <c r="F35" s="2878"/>
      <c r="G35" s="2747">
        <f>SUM(G26:G34)+G20</f>
        <v>113274.25</v>
      </c>
      <c r="H35" s="2760"/>
      <c r="I35" s="2760">
        <f t="shared" ref="I35:BE35" si="84">SUM(I26:I34)+I20</f>
        <v>201726.88</v>
      </c>
      <c r="J35" s="2878"/>
      <c r="K35" s="2747">
        <f>SUM(K26:K34)+K20</f>
        <v>97401.08</v>
      </c>
      <c r="L35" s="2751"/>
      <c r="M35" s="2650">
        <f t="shared" si="84"/>
        <v>299127.96000000002</v>
      </c>
      <c r="N35" s="2878"/>
      <c r="O35" s="2747">
        <f>SUM(O26:O34)+O20</f>
        <v>85433.74</v>
      </c>
      <c r="P35" s="2750"/>
      <c r="Q35" s="2659">
        <f t="shared" ref="Q35" si="85">SUM(Q26:Q34)+Q20</f>
        <v>384561.7</v>
      </c>
      <c r="R35" s="2878"/>
      <c r="S35" s="2747">
        <f>SUM(S26:S34)+S20</f>
        <v>92218.72</v>
      </c>
      <c r="T35" s="2760"/>
      <c r="U35" s="2760">
        <f t="shared" si="84"/>
        <v>476780.42000000004</v>
      </c>
      <c r="V35" s="2878"/>
      <c r="W35" s="2747">
        <f>SUM(W26:W34)+W20</f>
        <v>79249.510000000009</v>
      </c>
      <c r="X35" s="2760"/>
      <c r="Y35" s="2760">
        <f t="shared" si="84"/>
        <v>256901.97</v>
      </c>
      <c r="Z35" s="2760"/>
      <c r="AA35" s="2760">
        <f t="shared" si="84"/>
        <v>556029.93000000017</v>
      </c>
      <c r="AB35" s="2760"/>
      <c r="AC35" s="2760">
        <f t="shared" ref="AC35" si="86">SUM(AC26:AC34)+AC20</f>
        <v>58299</v>
      </c>
      <c r="AD35" s="2760"/>
      <c r="AE35" s="2760">
        <f t="shared" si="84"/>
        <v>614328.93000000005</v>
      </c>
      <c r="AF35" s="2760"/>
      <c r="AG35" s="2760">
        <f t="shared" ref="AG35" si="87">SUM(AG26:AG34)+AG20</f>
        <v>134577.69</v>
      </c>
      <c r="AH35" s="2760"/>
      <c r="AI35" s="2760">
        <f t="shared" ref="AI35" si="88">SUM(AI26:AI34)+AI20</f>
        <v>748906.62000000011</v>
      </c>
      <c r="AJ35" s="2760"/>
      <c r="AK35" s="2760">
        <f t="shared" ref="AK35" si="89">SUM(AK26:AK34)+AK20</f>
        <v>99419.191999999995</v>
      </c>
      <c r="AL35" s="2760"/>
      <c r="AM35" s="2760">
        <f t="shared" si="84"/>
        <v>292295.88199999998</v>
      </c>
      <c r="AN35" s="2760"/>
      <c r="AO35" s="2760">
        <f t="shared" si="84"/>
        <v>848325.81200000015</v>
      </c>
      <c r="AP35" s="2760"/>
      <c r="AQ35" s="2760">
        <f t="shared" ref="AQ35" si="90">SUM(AQ26:AQ34)+AQ20</f>
        <v>98812.07</v>
      </c>
      <c r="AR35" s="2760"/>
      <c r="AS35" s="2760">
        <f t="shared" si="84"/>
        <v>947137.8820000001</v>
      </c>
      <c r="AT35" s="2760"/>
      <c r="AU35" s="2760">
        <f t="shared" ref="AU35" si="91">SUM(AU26:AU34)+AU20</f>
        <v>88437.24</v>
      </c>
      <c r="AV35" s="2760"/>
      <c r="AW35" s="2760">
        <f t="shared" ref="AW35" si="92">SUM(AW26:AW34)+AW20</f>
        <v>1035575.1220000002</v>
      </c>
      <c r="AX35" s="2760"/>
      <c r="AY35" s="2760">
        <f t="shared" ref="AY35" si="93">SUM(AY26:AY34)+AY20</f>
        <v>86265</v>
      </c>
      <c r="AZ35" s="2760"/>
      <c r="BA35" s="2760">
        <f t="shared" si="84"/>
        <v>273514.31</v>
      </c>
      <c r="BB35" s="2760"/>
      <c r="BC35" s="2760">
        <f t="shared" si="84"/>
        <v>565810.19200000004</v>
      </c>
      <c r="BD35" s="2760"/>
      <c r="BE35" s="2760">
        <f t="shared" si="84"/>
        <v>1121840.122</v>
      </c>
      <c r="BH35" s="1219"/>
      <c r="BI35" s="1219"/>
      <c r="BJ35" s="1219"/>
      <c r="BM35" s="26"/>
      <c r="BN35" s="26"/>
      <c r="BO35" s="1219"/>
      <c r="BP35" s="1219"/>
    </row>
    <row r="36" spans="2:68" x14ac:dyDescent="0.25">
      <c r="D36"/>
      <c r="E36"/>
      <c r="F36"/>
      <c r="G36"/>
    </row>
    <row r="37" spans="2:68" x14ac:dyDescent="0.25">
      <c r="D37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Q37" s="4526"/>
      <c r="AU37" s="4526"/>
      <c r="AY37" s="4908"/>
    </row>
    <row r="38" spans="2:68" x14ac:dyDescent="0.25">
      <c r="D38"/>
      <c r="E38"/>
      <c r="F38"/>
      <c r="G38"/>
      <c r="K38" s="117"/>
      <c r="AC38" s="26"/>
      <c r="AG38" s="4526"/>
    </row>
    <row r="39" spans="2:68" x14ac:dyDescent="0.25">
      <c r="D39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U39" s="26"/>
      <c r="AY39" s="26"/>
    </row>
    <row r="41" spans="2:68" x14ac:dyDescent="0.25">
      <c r="G41" s="117"/>
      <c r="K41" s="117"/>
    </row>
    <row r="42" spans="2:68" x14ac:dyDescent="0.25">
      <c r="AU42" s="26"/>
    </row>
  </sheetData>
  <mergeCells count="56">
    <mergeCell ref="AX3:AY3"/>
    <mergeCell ref="BD3:BE3"/>
    <mergeCell ref="AX21:AX24"/>
    <mergeCell ref="AZ3:BA3"/>
    <mergeCell ref="BB3:BC3"/>
    <mergeCell ref="AZ21:AZ24"/>
    <mergeCell ref="BB21:BB24"/>
    <mergeCell ref="BD21:BD24"/>
    <mergeCell ref="AT3:AU3"/>
    <mergeCell ref="AV3:AW3"/>
    <mergeCell ref="AT21:AT24"/>
    <mergeCell ref="AP3:AQ3"/>
    <mergeCell ref="AP21:AP24"/>
    <mergeCell ref="AR3:AS3"/>
    <mergeCell ref="AR21:AR24"/>
    <mergeCell ref="AV21:AV24"/>
    <mergeCell ref="AJ3:AK3"/>
    <mergeCell ref="AN3:AO3"/>
    <mergeCell ref="AJ21:AJ24"/>
    <mergeCell ref="AL3:AM3"/>
    <mergeCell ref="AL21:AL24"/>
    <mergeCell ref="AN21:AN24"/>
    <mergeCell ref="P21:P24"/>
    <mergeCell ref="T21:T24"/>
    <mergeCell ref="B3:B4"/>
    <mergeCell ref="C3:C4"/>
    <mergeCell ref="D3:E3"/>
    <mergeCell ref="F3:G3"/>
    <mergeCell ref="H3:I3"/>
    <mergeCell ref="D21:D24"/>
    <mergeCell ref="F21:F24"/>
    <mergeCell ref="J21:J24"/>
    <mergeCell ref="L21:L24"/>
    <mergeCell ref="N21:N24"/>
    <mergeCell ref="H21:H24"/>
    <mergeCell ref="R21:R24"/>
    <mergeCell ref="J3:K3"/>
    <mergeCell ref="L3:M3"/>
    <mergeCell ref="Z3:AA3"/>
    <mergeCell ref="X3:Y3"/>
    <mergeCell ref="X21:X24"/>
    <mergeCell ref="Z21:Z24"/>
    <mergeCell ref="V21:V24"/>
    <mergeCell ref="N3:O3"/>
    <mergeCell ref="P3:Q3"/>
    <mergeCell ref="V3:W3"/>
    <mergeCell ref="R3:S3"/>
    <mergeCell ref="T3:U3"/>
    <mergeCell ref="AF3:AG3"/>
    <mergeCell ref="AH3:AI3"/>
    <mergeCell ref="AF21:AF24"/>
    <mergeCell ref="AH21:AH22"/>
    <mergeCell ref="AB3:AC3"/>
    <mergeCell ref="AB21:AB24"/>
    <mergeCell ref="AD3:AE3"/>
    <mergeCell ref="AD21:AD22"/>
  </mergeCells>
  <conditionalFormatting sqref="AC26:AC27">
    <cfRule type="expression" dxfId="17" priority="17">
      <formula>ISBLANK($S$26)</formula>
    </cfRule>
  </conditionalFormatting>
  <conditionalFormatting sqref="AC34">
    <cfRule type="expression" dxfId="16" priority="16">
      <formula>ISBLANK($S$34)</formula>
    </cfRule>
  </conditionalFormatting>
  <conditionalFormatting sqref="AG26:AG27">
    <cfRule type="expression" dxfId="15" priority="15">
      <formula>ISBLANK($S$26)</formula>
    </cfRule>
  </conditionalFormatting>
  <conditionalFormatting sqref="AG34">
    <cfRule type="expression" dxfId="14" priority="14">
      <formula>ISBLANK($S$34)</formula>
    </cfRule>
  </conditionalFormatting>
  <conditionalFormatting sqref="AK26:AK27">
    <cfRule type="expression" dxfId="13" priority="11">
      <formula>ISBLANK($S$26)</formula>
    </cfRule>
  </conditionalFormatting>
  <conditionalFormatting sqref="AK34">
    <cfRule type="expression" dxfId="12" priority="10">
      <formula>ISBLANK($S$34)</formula>
    </cfRule>
  </conditionalFormatting>
  <conditionalFormatting sqref="AQ26:AQ27">
    <cfRule type="expression" dxfId="11" priority="8">
      <formula>ISBLANK($S$26)</formula>
    </cfRule>
  </conditionalFormatting>
  <conditionalFormatting sqref="AQ34">
    <cfRule type="expression" dxfId="10" priority="7">
      <formula>ISBLANK($S$34)</formula>
    </cfRule>
  </conditionalFormatting>
  <conditionalFormatting sqref="AU26:AU27">
    <cfRule type="expression" dxfId="9" priority="5">
      <formula>ISBLANK($S$26)</formula>
    </cfRule>
  </conditionalFormatting>
  <conditionalFormatting sqref="AU34">
    <cfRule type="expression" dxfId="8" priority="4">
      <formula>ISBLANK($S$34)</formula>
    </cfRule>
  </conditionalFormatting>
  <conditionalFormatting sqref="AY26:AY27">
    <cfRule type="expression" dxfId="7" priority="2">
      <formula>ISBLANK($S$26)</formula>
    </cfRule>
  </conditionalFormatting>
  <conditionalFormatting sqref="AY34">
    <cfRule type="expression" dxfId="6" priority="1">
      <formula>ISBLANK($S$34)</formula>
    </cfRule>
  </conditionalFormatting>
  <printOptions horizontalCentered="1" verticalCentered="1"/>
  <pageMargins left="0" right="0" top="0" bottom="0" header="0" footer="0"/>
  <pageSetup scale="71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000000"/>
    <pageSetUpPr fitToPage="1"/>
  </sheetPr>
  <dimension ref="A1:BJ182"/>
  <sheetViews>
    <sheetView zoomScale="85" zoomScaleNormal="85" workbookViewId="0">
      <pane xSplit="3" topLeftCell="F1" activePane="topRight" state="frozen"/>
      <selection activeCell="N21" sqref="N21:N24"/>
      <selection pane="topRight" activeCell="O37" sqref="O37"/>
    </sheetView>
  </sheetViews>
  <sheetFormatPr defaultRowHeight="15" x14ac:dyDescent="0.25"/>
  <cols>
    <col min="1" max="1" width="16.28515625" bestFit="1" customWidth="1"/>
    <col min="2" max="2" width="38" customWidth="1"/>
    <col min="3" max="3" width="18.85546875" customWidth="1"/>
    <col min="4" max="7" width="9.85546875" customWidth="1"/>
    <col min="8" max="9" width="9.85546875" hidden="1" customWidth="1"/>
    <col min="10" max="10" width="11" customWidth="1"/>
    <col min="11" max="11" width="9.85546875" customWidth="1"/>
    <col min="12" max="12" width="12" customWidth="1"/>
    <col min="13" max="13" width="11.28515625" bestFit="1" customWidth="1"/>
    <col min="14" max="14" width="11" customWidth="1"/>
    <col min="15" max="15" width="9.85546875" customWidth="1"/>
    <col min="16" max="17" width="11.28515625" hidden="1" customWidth="1"/>
    <col min="18" max="18" width="11" customWidth="1"/>
    <col min="19" max="19" width="9.85546875" customWidth="1"/>
    <col min="20" max="21" width="11.28515625" hidden="1" customWidth="1"/>
    <col min="22" max="22" width="11" customWidth="1"/>
    <col min="23" max="23" width="9.85546875" customWidth="1"/>
    <col min="24" max="24" width="12" customWidth="1"/>
    <col min="25" max="27" width="11.28515625" customWidth="1"/>
    <col min="28" max="28" width="11" hidden="1" customWidth="1"/>
    <col min="29" max="29" width="9.85546875" hidden="1" customWidth="1"/>
    <col min="30" max="31" width="11.28515625" hidden="1" customWidth="1"/>
    <col min="32" max="33" width="9.85546875" hidden="1" customWidth="1"/>
    <col min="34" max="35" width="11.28515625" hidden="1" customWidth="1"/>
    <col min="36" max="37" width="9.85546875" hidden="1" customWidth="1"/>
    <col min="38" max="41" width="11.28515625" hidden="1" customWidth="1"/>
    <col min="42" max="43" width="9.85546875" hidden="1" customWidth="1"/>
    <col min="44" max="45" width="11.28515625" hidden="1" customWidth="1"/>
    <col min="46" max="47" width="9.85546875" hidden="1" customWidth="1"/>
    <col min="48" max="49" width="11.28515625" hidden="1" customWidth="1"/>
    <col min="50" max="50" width="9.85546875" style="149" hidden="1" customWidth="1"/>
    <col min="51" max="51" width="9.85546875" hidden="1" customWidth="1"/>
    <col min="52" max="57" width="11.28515625" hidden="1" customWidth="1"/>
    <col min="58" max="58" width="18.5703125" hidden="1" customWidth="1"/>
    <col min="59" max="59" width="12.85546875" customWidth="1"/>
  </cols>
  <sheetData>
    <row r="1" spans="1:62" ht="22.9" x14ac:dyDescent="0.4">
      <c r="B1" s="1008" t="s">
        <v>322</v>
      </c>
      <c r="C1" s="1009"/>
      <c r="D1" s="1010"/>
      <c r="E1" s="1009"/>
      <c r="F1" s="1010"/>
      <c r="G1" s="1009"/>
      <c r="H1" s="1009"/>
      <c r="I1" s="1009"/>
      <c r="J1" s="642"/>
      <c r="K1" s="271"/>
      <c r="L1" s="271"/>
      <c r="M1" s="271"/>
      <c r="N1" s="642"/>
      <c r="O1" s="271"/>
      <c r="P1" s="271"/>
      <c r="Q1" s="271"/>
      <c r="R1" s="642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</row>
    <row r="2" spans="1:62" ht="22.9" hidden="1" x14ac:dyDescent="0.4">
      <c r="B2" s="4922"/>
      <c r="C2" s="4923" t="s">
        <v>2131</v>
      </c>
      <c r="D2" s="4857">
        <f>+'B-FCE'!E50</f>
        <v>29</v>
      </c>
      <c r="E2" s="4857">
        <f>+'B-FCE'!F50</f>
        <v>26.666666666666664</v>
      </c>
      <c r="F2" s="4857">
        <f>+'B-FCE'!G50</f>
        <v>30.000000000000004</v>
      </c>
      <c r="G2" s="4857">
        <f>+'B-FCE'!H50</f>
        <v>29.791666666666664</v>
      </c>
      <c r="H2" s="4857">
        <f>+'B-FCE'!I50</f>
        <v>59</v>
      </c>
      <c r="I2" s="4857">
        <f>+'B-FCE'!J50</f>
        <v>56.458333333333329</v>
      </c>
      <c r="J2" s="4857">
        <f>+'B-FCE'!K50</f>
        <v>29</v>
      </c>
      <c r="K2" s="4857">
        <f>+'B-FCE'!L50</f>
        <v>29.611111111111111</v>
      </c>
      <c r="L2" s="4857">
        <f>+'B-FCE'!M50</f>
        <v>88</v>
      </c>
      <c r="M2" s="4857">
        <f>+'B-FCE'!N50</f>
        <v>86.069444444444429</v>
      </c>
      <c r="N2" s="4857">
        <f>+'B-FCE'!O50</f>
        <v>30</v>
      </c>
      <c r="O2" s="4857">
        <f>+'B-FCE'!P50</f>
        <v>30.999999999999996</v>
      </c>
      <c r="P2" s="4857">
        <f>+'B-FCE'!Q50</f>
        <v>118</v>
      </c>
      <c r="Q2" s="4857">
        <f>+'B-FCE'!R50</f>
        <v>117.06944444444443</v>
      </c>
      <c r="R2" s="4857">
        <f>+'B-FCE'!S50</f>
        <v>30</v>
      </c>
      <c r="S2" s="4857">
        <f>+'B-FCE'!T50</f>
        <v>30.024305555555554</v>
      </c>
      <c r="T2" s="4857">
        <f>+'B-FCE'!U50</f>
        <v>148</v>
      </c>
      <c r="U2" s="4857">
        <f>+'B-FCE'!V50</f>
        <v>147.09374999999997</v>
      </c>
      <c r="V2" s="4857">
        <f>+'B-FCE'!W50</f>
        <v>17.016867469879518</v>
      </c>
      <c r="W2" s="4857">
        <f>+'B-FCE'!X50</f>
        <v>29.673611111111111</v>
      </c>
      <c r="X2" s="4857">
        <f>+'B-FCE'!Y50</f>
        <v>77.016867469879514</v>
      </c>
      <c r="Y2" s="4857">
        <f>+'B-FCE'!Z50</f>
        <v>90.697916666666657</v>
      </c>
      <c r="Z2" s="4857">
        <f>+'B-FCE'!AA50</f>
        <v>165.01686746987951</v>
      </c>
      <c r="AA2" s="4857">
        <f>+'B-FCE'!AB50</f>
        <v>176.76736111111109</v>
      </c>
      <c r="AB2" s="4857">
        <f>+'B-FCE'!AC50</f>
        <v>29.999999999999996</v>
      </c>
      <c r="AC2" s="4857">
        <f>+'B-FCE'!AD50</f>
        <v>29.965277777777771</v>
      </c>
      <c r="AD2" s="4857">
        <f>+'B-FCE'!AE50</f>
        <v>195.01686746987951</v>
      </c>
      <c r="AE2" s="4857">
        <f>+'B-FCE'!AF50</f>
        <v>206.73263888888886</v>
      </c>
      <c r="AF2" s="4857">
        <f>+'B-FCE'!AG50</f>
        <v>29</v>
      </c>
      <c r="AG2" s="4857">
        <f>+'B-FCE'!AH50</f>
        <v>2.8778901789705245</v>
      </c>
      <c r="AH2" s="4857">
        <f>+'B-FCE'!AI50</f>
        <v>224.01686746987951</v>
      </c>
      <c r="AI2" s="4857">
        <f>+'B-FCE'!AJ50</f>
        <v>209.61052906785937</v>
      </c>
      <c r="AJ2" s="4857">
        <f>+'B-FCE'!AK50</f>
        <v>29.999999999999996</v>
      </c>
      <c r="AK2" s="4857">
        <f>+'B-FCE'!AL50</f>
        <v>30.753472222222221</v>
      </c>
      <c r="AL2" s="4857">
        <f>+'B-FCE'!AM50</f>
        <v>89</v>
      </c>
      <c r="AM2" s="4857">
        <f>+'B-FCE'!AN50</f>
        <v>63.596640178970517</v>
      </c>
      <c r="AN2" s="4857">
        <f>+'B-FCE'!AO50</f>
        <v>254.01686746987951</v>
      </c>
      <c r="AO2" s="4857">
        <f>+'B-FCE'!AP50</f>
        <v>240.3640012900816</v>
      </c>
      <c r="AP2" s="4857">
        <f>+'B-FCE'!AQ50</f>
        <v>29.999999999999996</v>
      </c>
      <c r="AQ2" s="4857">
        <f>+'B-FCE'!AR50</f>
        <v>29.628472222222221</v>
      </c>
      <c r="AR2" s="4857">
        <f>+'B-FCE'!AS50</f>
        <v>284.01686746987951</v>
      </c>
      <c r="AS2" s="4857">
        <f>+'B-FCE'!AT50</f>
        <v>269.99247351230383</v>
      </c>
      <c r="AT2" s="4857">
        <f>+'B-FCE'!AU50</f>
        <v>26.999999999999996</v>
      </c>
      <c r="AU2" s="4857">
        <f>+'B-FCE'!AV50</f>
        <v>27.1875</v>
      </c>
      <c r="AV2" s="4857">
        <f>+'B-FCE'!AW50</f>
        <v>311.01686746987951</v>
      </c>
      <c r="AW2" s="4857">
        <f>+'B-FCE'!AX50</f>
        <v>297.17997351230383</v>
      </c>
      <c r="AX2" s="4857">
        <f>+'B-FCE'!AY50</f>
        <v>29.999999999999996</v>
      </c>
      <c r="AY2" s="4857">
        <f>+'B-FCE'!AZ50</f>
        <v>30.22569444444445</v>
      </c>
      <c r="AZ2" s="4857">
        <f>+'B-FCE'!BA50</f>
        <v>86.999999999999986</v>
      </c>
      <c r="BA2" s="4857">
        <f>+'B-FCE'!BB50</f>
        <v>87.041666666666671</v>
      </c>
      <c r="BB2" s="4857">
        <f>+'B-FCE'!BC50</f>
        <v>176</v>
      </c>
      <c r="BC2" s="4857">
        <f>+'B-FCE'!BD50</f>
        <v>150.6383068456372</v>
      </c>
      <c r="BD2" s="4857">
        <f>+'B-FCE'!BE50</f>
        <v>341.01686746987951</v>
      </c>
      <c r="BE2" s="4857">
        <f>+'B-FCE'!BF50</f>
        <v>327.40566795674829</v>
      </c>
    </row>
    <row r="3" spans="1:62" ht="14.45" x14ac:dyDescent="0.3">
      <c r="A3" s="93"/>
      <c r="B3" s="1009"/>
      <c r="C3" s="1011" t="s">
        <v>500</v>
      </c>
      <c r="D3" s="1012">
        <v>30</v>
      </c>
      <c r="E3" s="1013">
        <v>30</v>
      </c>
      <c r="F3" s="1012">
        <v>31</v>
      </c>
      <c r="G3" s="1013">
        <v>31</v>
      </c>
      <c r="H3" s="1013">
        <f>+D3+F3</f>
        <v>61</v>
      </c>
      <c r="I3" s="1013">
        <f>+E3+G3</f>
        <v>61</v>
      </c>
      <c r="J3" s="1012">
        <v>30</v>
      </c>
      <c r="K3" s="1013">
        <v>30</v>
      </c>
      <c r="L3" s="1013">
        <f>+H3+J3</f>
        <v>91</v>
      </c>
      <c r="M3" s="1013">
        <f>+I3+K3</f>
        <v>91</v>
      </c>
      <c r="N3" s="1012">
        <v>31</v>
      </c>
      <c r="O3" s="1013">
        <v>31</v>
      </c>
      <c r="P3" s="1013">
        <f>+L3+N3</f>
        <v>122</v>
      </c>
      <c r="Q3" s="1013">
        <f>+M3+O3</f>
        <v>122</v>
      </c>
      <c r="R3" s="1012">
        <v>31</v>
      </c>
      <c r="S3" s="1013">
        <v>31</v>
      </c>
      <c r="T3" s="1013">
        <f>+P3+R3</f>
        <v>153</v>
      </c>
      <c r="U3" s="1013">
        <f>+Q3+S3</f>
        <v>153</v>
      </c>
      <c r="V3" s="1012">
        <v>30</v>
      </c>
      <c r="W3" s="1013">
        <v>30</v>
      </c>
      <c r="X3" s="1013">
        <f>+N3+R3+V3</f>
        <v>92</v>
      </c>
      <c r="Y3" s="1013">
        <f>+O3+S3+W3</f>
        <v>92</v>
      </c>
      <c r="Z3" s="1013">
        <f>+T3+V3</f>
        <v>183</v>
      </c>
      <c r="AA3" s="1013">
        <f>+U3+W3</f>
        <v>183</v>
      </c>
      <c r="AB3" s="1012">
        <v>31</v>
      </c>
      <c r="AC3" s="1013">
        <v>31</v>
      </c>
      <c r="AD3" s="1013">
        <f>+Z3+AB3</f>
        <v>214</v>
      </c>
      <c r="AE3" s="1013">
        <f>+AA3+AC3</f>
        <v>214</v>
      </c>
      <c r="AF3" s="1012">
        <v>30</v>
      </c>
      <c r="AG3" s="1013">
        <v>30</v>
      </c>
      <c r="AH3" s="1013">
        <f>+AD3+AF3</f>
        <v>244</v>
      </c>
      <c r="AI3" s="1013">
        <f>+AE3+AG3</f>
        <v>244</v>
      </c>
      <c r="AJ3" s="1012">
        <v>31</v>
      </c>
      <c r="AK3" s="1013">
        <v>31</v>
      </c>
      <c r="AL3" s="1013">
        <f>+AB3+AF3+AJ3</f>
        <v>92</v>
      </c>
      <c r="AM3" s="1013">
        <f>+AC3+AG3+AK3</f>
        <v>92</v>
      </c>
      <c r="AN3" s="1013">
        <f>+AH3+AJ3</f>
        <v>275</v>
      </c>
      <c r="AO3" s="1013">
        <f>+AI3+AK3</f>
        <v>275</v>
      </c>
      <c r="AP3" s="1012">
        <v>31</v>
      </c>
      <c r="AQ3" s="1013">
        <v>31</v>
      </c>
      <c r="AR3" s="1013">
        <f>+AN3+AP3</f>
        <v>306</v>
      </c>
      <c r="AS3" s="1013">
        <f>+AO3+AQ3</f>
        <v>306</v>
      </c>
      <c r="AT3" s="1012">
        <v>28</v>
      </c>
      <c r="AU3" s="1013">
        <v>28</v>
      </c>
      <c r="AV3" s="1013">
        <f>+AR3+AT3</f>
        <v>334</v>
      </c>
      <c r="AW3" s="1013">
        <f>+AS3+AU3</f>
        <v>334</v>
      </c>
      <c r="AX3" s="1012">
        <v>31</v>
      </c>
      <c r="AY3" s="1013">
        <v>31</v>
      </c>
      <c r="AZ3" s="1013">
        <f>+AP3+AT3+AX3</f>
        <v>90</v>
      </c>
      <c r="BA3" s="1013">
        <f>+AQ3+AU3+AY3</f>
        <v>90</v>
      </c>
      <c r="BB3" s="1013">
        <f>+AL3+AZ3</f>
        <v>182</v>
      </c>
      <c r="BC3" s="1013">
        <f>+AM3+BA3</f>
        <v>182</v>
      </c>
      <c r="BD3" s="1013">
        <f>+AV3+AX3</f>
        <v>365</v>
      </c>
      <c r="BE3" s="1013">
        <f>+AW3+AY3</f>
        <v>365</v>
      </c>
    </row>
    <row r="4" spans="1:62" x14ac:dyDescent="0.25">
      <c r="A4" s="93"/>
      <c r="B4" s="5964" t="s">
        <v>171</v>
      </c>
      <c r="C4" s="5954" t="s">
        <v>172</v>
      </c>
      <c r="D4" s="5954" t="s">
        <v>2190</v>
      </c>
      <c r="E4" s="5954"/>
      <c r="F4" s="5954" t="s">
        <v>2242</v>
      </c>
      <c r="G4" s="5954"/>
      <c r="H4" s="5953" t="s">
        <v>14</v>
      </c>
      <c r="I4" s="5953"/>
      <c r="J4" s="5954" t="s">
        <v>2273</v>
      </c>
      <c r="K4" s="5954"/>
      <c r="L4" s="5926" t="s">
        <v>637</v>
      </c>
      <c r="M4" s="5926"/>
      <c r="N4" s="5954" t="s">
        <v>2296</v>
      </c>
      <c r="O4" s="5954"/>
      <c r="P4" s="5953" t="s">
        <v>17</v>
      </c>
      <c r="Q4" s="5953"/>
      <c r="R4" s="5954" t="s">
        <v>2299</v>
      </c>
      <c r="S4" s="5954"/>
      <c r="T4" s="5953" t="s">
        <v>18</v>
      </c>
      <c r="U4" s="5953"/>
      <c r="V4" s="5954" t="s">
        <v>2344</v>
      </c>
      <c r="W4" s="5954"/>
      <c r="X4" s="5926" t="s">
        <v>660</v>
      </c>
      <c r="Y4" s="5926"/>
      <c r="Z4" s="6295" t="s">
        <v>657</v>
      </c>
      <c r="AA4" s="6295"/>
      <c r="AB4" s="5954" t="s">
        <v>1954</v>
      </c>
      <c r="AC4" s="5954"/>
      <c r="AD4" s="5953" t="s">
        <v>24</v>
      </c>
      <c r="AE4" s="5953"/>
      <c r="AF4" s="5954" t="s">
        <v>1970</v>
      </c>
      <c r="AG4" s="5954"/>
      <c r="AH4" s="5953" t="s">
        <v>27</v>
      </c>
      <c r="AI4" s="5953"/>
      <c r="AJ4" s="5954" t="s">
        <v>1985</v>
      </c>
      <c r="AK4" s="5954"/>
      <c r="AL4" s="5926" t="s">
        <v>662</v>
      </c>
      <c r="AM4" s="5926"/>
      <c r="AN4" s="5953" t="s">
        <v>1666</v>
      </c>
      <c r="AO4" s="5953"/>
      <c r="AP4" s="5954" t="s">
        <v>2085</v>
      </c>
      <c r="AQ4" s="5954"/>
      <c r="AR4" s="5953" t="s">
        <v>28</v>
      </c>
      <c r="AS4" s="5953"/>
      <c r="AT4" s="5954" t="s">
        <v>2099</v>
      </c>
      <c r="AU4" s="5954"/>
      <c r="AV4" s="5953" t="s">
        <v>30</v>
      </c>
      <c r="AW4" s="5953"/>
      <c r="AX4" s="5954" t="s">
        <v>2111</v>
      </c>
      <c r="AY4" s="5954"/>
      <c r="AZ4" s="5926" t="s">
        <v>663</v>
      </c>
      <c r="BA4" s="5926"/>
      <c r="BB4" s="6295" t="s">
        <v>671</v>
      </c>
      <c r="BC4" s="6295"/>
      <c r="BD4" s="5953" t="s">
        <v>1745</v>
      </c>
      <c r="BE4" s="5953"/>
    </row>
    <row r="5" spans="1:62" ht="15.75" thickBot="1" x14ac:dyDescent="0.3">
      <c r="A5" s="93"/>
      <c r="B5" s="6293"/>
      <c r="C5" s="6294"/>
      <c r="D5" s="2994" t="s">
        <v>173</v>
      </c>
      <c r="E5" s="2995" t="s">
        <v>174</v>
      </c>
      <c r="F5" s="2994" t="s">
        <v>173</v>
      </c>
      <c r="G5" s="2995" t="s">
        <v>174</v>
      </c>
      <c r="H5" s="2996" t="s">
        <v>173</v>
      </c>
      <c r="I5" s="2996" t="s">
        <v>174</v>
      </c>
      <c r="J5" s="813" t="s">
        <v>173</v>
      </c>
      <c r="K5" s="706" t="s">
        <v>174</v>
      </c>
      <c r="L5" s="708" t="s">
        <v>173</v>
      </c>
      <c r="M5" s="708" t="s">
        <v>174</v>
      </c>
      <c r="N5" s="813" t="s">
        <v>173</v>
      </c>
      <c r="O5" s="706" t="s">
        <v>174</v>
      </c>
      <c r="P5" s="707" t="s">
        <v>173</v>
      </c>
      <c r="Q5" s="707" t="s">
        <v>174</v>
      </c>
      <c r="R5" s="813" t="s">
        <v>173</v>
      </c>
      <c r="S5" s="706" t="s">
        <v>174</v>
      </c>
      <c r="T5" s="707" t="s">
        <v>173</v>
      </c>
      <c r="U5" s="707" t="s">
        <v>174</v>
      </c>
      <c r="V5" s="813" t="s">
        <v>173</v>
      </c>
      <c r="W5" s="706" t="s">
        <v>174</v>
      </c>
      <c r="X5" s="708" t="s">
        <v>173</v>
      </c>
      <c r="Y5" s="708" t="s">
        <v>174</v>
      </c>
      <c r="Z5" s="800" t="s">
        <v>173</v>
      </c>
      <c r="AA5" s="800" t="s">
        <v>174</v>
      </c>
      <c r="AB5" s="813" t="s">
        <v>173</v>
      </c>
      <c r="AC5" s="706" t="s">
        <v>174</v>
      </c>
      <c r="AD5" s="707" t="s">
        <v>173</v>
      </c>
      <c r="AE5" s="707" t="s">
        <v>174</v>
      </c>
      <c r="AF5" s="813" t="s">
        <v>173</v>
      </c>
      <c r="AG5" s="706" t="s">
        <v>174</v>
      </c>
      <c r="AH5" s="707" t="s">
        <v>173</v>
      </c>
      <c r="AI5" s="707" t="s">
        <v>174</v>
      </c>
      <c r="AJ5" s="813" t="s">
        <v>173</v>
      </c>
      <c r="AK5" s="706" t="s">
        <v>174</v>
      </c>
      <c r="AL5" s="708" t="s">
        <v>173</v>
      </c>
      <c r="AM5" s="708" t="s">
        <v>174</v>
      </c>
      <c r="AN5" s="707" t="s">
        <v>173</v>
      </c>
      <c r="AO5" s="707" t="s">
        <v>174</v>
      </c>
      <c r="AP5" s="813" t="s">
        <v>173</v>
      </c>
      <c r="AQ5" s="706" t="s">
        <v>174</v>
      </c>
      <c r="AR5" s="707" t="s">
        <v>173</v>
      </c>
      <c r="AS5" s="707" t="s">
        <v>174</v>
      </c>
      <c r="AT5" s="813" t="s">
        <v>173</v>
      </c>
      <c r="AU5" s="706" t="s">
        <v>174</v>
      </c>
      <c r="AV5" s="707" t="s">
        <v>173</v>
      </c>
      <c r="AW5" s="707" t="s">
        <v>174</v>
      </c>
      <c r="AX5" s="813" t="s">
        <v>173</v>
      </c>
      <c r="AY5" s="706" t="s">
        <v>174</v>
      </c>
      <c r="AZ5" s="708" t="s">
        <v>173</v>
      </c>
      <c r="BA5" s="708" t="s">
        <v>174</v>
      </c>
      <c r="BB5" s="800" t="s">
        <v>173</v>
      </c>
      <c r="BC5" s="800" t="s">
        <v>174</v>
      </c>
      <c r="BD5" s="707" t="s">
        <v>173</v>
      </c>
      <c r="BE5" s="707" t="s">
        <v>174</v>
      </c>
    </row>
    <row r="6" spans="1:62" ht="20.45" x14ac:dyDescent="0.3">
      <c r="A6" s="154"/>
      <c r="B6" s="2997" t="s">
        <v>323</v>
      </c>
      <c r="C6" s="2998" t="s">
        <v>501</v>
      </c>
      <c r="D6" s="2999"/>
      <c r="E6" s="2999">
        <f>+'B-FCE'!F50</f>
        <v>26.666666666666664</v>
      </c>
      <c r="F6" s="2999"/>
      <c r="G6" s="2999">
        <f>+'B-FCE'!H50</f>
        <v>29.791666666666664</v>
      </c>
      <c r="H6" s="2999"/>
      <c r="I6" s="3000">
        <f>+'B-FCE'!J50</f>
        <v>56.458333333333329</v>
      </c>
      <c r="J6" s="2999"/>
      <c r="K6" s="2999">
        <f>+'B-FCE'!L50</f>
        <v>29.611111111111111</v>
      </c>
      <c r="L6" s="1015"/>
      <c r="M6" s="1015">
        <f>+'B-FCE'!N50</f>
        <v>86.069444444444429</v>
      </c>
      <c r="N6" s="2999"/>
      <c r="O6" s="2999">
        <f>+'B-FCE'!P50</f>
        <v>30.999999999999996</v>
      </c>
      <c r="P6" s="1015"/>
      <c r="Q6" s="1015">
        <f>+M6+O6</f>
        <v>117.06944444444443</v>
      </c>
      <c r="R6" s="2999"/>
      <c r="S6" s="2999">
        <f>+'B-FCE'!T50</f>
        <v>30.024305555555554</v>
      </c>
      <c r="T6" s="1015"/>
      <c r="U6" s="1015">
        <f>+Q6+S6</f>
        <v>147.09374999999997</v>
      </c>
      <c r="V6" s="2999"/>
      <c r="W6" s="2999">
        <f>+'B-FCE'!X50</f>
        <v>29.673611111111111</v>
      </c>
      <c r="X6" s="1015"/>
      <c r="Y6" s="1015">
        <f>+'B-FCE'!Z50</f>
        <v>90.697916666666657</v>
      </c>
      <c r="Z6" s="1015"/>
      <c r="AA6" s="1015">
        <f>+U6+W6</f>
        <v>176.76736111111109</v>
      </c>
      <c r="AB6" s="2999"/>
      <c r="AC6" s="2999">
        <f>+'B-FCE'!AD50</f>
        <v>29.965277777777771</v>
      </c>
      <c r="AD6" s="1015"/>
      <c r="AE6" s="1015">
        <f>+AA6+AC6</f>
        <v>206.73263888888886</v>
      </c>
      <c r="AF6" s="2999"/>
      <c r="AG6" s="2999">
        <f>+'B-FCE'!AH50</f>
        <v>2.8778901789705245</v>
      </c>
      <c r="AH6" s="1015"/>
      <c r="AI6" s="1015">
        <f>+AE6+AG6</f>
        <v>209.61052906785937</v>
      </c>
      <c r="AJ6" s="2999"/>
      <c r="AK6" s="2999">
        <f>+'B-FCE'!AL50</f>
        <v>30.753472222222221</v>
      </c>
      <c r="AL6" s="1015"/>
      <c r="AM6" s="1015">
        <f>+'B-FCE'!AN50</f>
        <v>63.596640178970517</v>
      </c>
      <c r="AN6" s="1015"/>
      <c r="AO6" s="1015">
        <f>+AI6+AK6</f>
        <v>240.3640012900816</v>
      </c>
      <c r="AP6" s="2999"/>
      <c r="AQ6" s="2999">
        <f>+'B-FCE'!AR50</f>
        <v>29.628472222222221</v>
      </c>
      <c r="AR6" s="1015"/>
      <c r="AS6" s="1015">
        <f>+AO6+AQ6</f>
        <v>269.99247351230383</v>
      </c>
      <c r="AT6" s="2999"/>
      <c r="AU6" s="2999">
        <f>+'B-FCE'!AV50</f>
        <v>27.1875</v>
      </c>
      <c r="AV6" s="1015"/>
      <c r="AW6" s="1015">
        <f>+AS6+AU6</f>
        <v>297.17997351230383</v>
      </c>
      <c r="AX6" s="2999"/>
      <c r="AY6" s="2999">
        <f>+'B-FCE'!AZ50</f>
        <v>30.22569444444445</v>
      </c>
      <c r="AZ6" s="1015"/>
      <c r="BA6" s="1015">
        <f>+'B-FCE'!BB50</f>
        <v>87.041666666666671</v>
      </c>
      <c r="BB6" s="1015"/>
      <c r="BC6" s="2630">
        <f>+AM6+BA6</f>
        <v>150.6383068456372</v>
      </c>
      <c r="BD6" s="1015"/>
      <c r="BE6" s="1015">
        <f>+AW6+AY6</f>
        <v>327.40566795674829</v>
      </c>
    </row>
    <row r="7" spans="1:62" thickBot="1" x14ac:dyDescent="0.35">
      <c r="A7" s="154"/>
      <c r="B7" s="2984" t="s">
        <v>330</v>
      </c>
      <c r="C7" s="2656" t="s">
        <v>329</v>
      </c>
      <c r="D7" s="3001">
        <v>4225</v>
      </c>
      <c r="E7" s="2771">
        <v>4249.6664147778565</v>
      </c>
      <c r="F7" s="3001">
        <v>4225</v>
      </c>
      <c r="G7" s="2771">
        <v>4249.6948738243291</v>
      </c>
      <c r="H7" s="2648">
        <v>4225</v>
      </c>
      <c r="I7" s="39">
        <f>+((E7*E$3*E13)+(G$3*G7*G13))/(I$3*I13)</f>
        <v>4249.680878760415</v>
      </c>
      <c r="J7" s="3001">
        <v>4225</v>
      </c>
      <c r="K7" s="2771">
        <v>4254.7899129775424</v>
      </c>
      <c r="L7" s="781">
        <v>4225</v>
      </c>
      <c r="M7" s="781">
        <f>+((I7*I$3*I13)+(K$3*K7*K13))/(M$3*M13)</f>
        <v>4251.3541963460184</v>
      </c>
      <c r="N7" s="3001">
        <v>4225</v>
      </c>
      <c r="O7" s="2771">
        <v>4252.457958941076</v>
      </c>
      <c r="P7" s="782">
        <v>4225</v>
      </c>
      <c r="Q7" s="782">
        <f>+((M7*M$3*M13)+(O$3*O7*O13))/(Q$3*Q13)</f>
        <v>4251.6327488045226</v>
      </c>
      <c r="R7" s="3001">
        <v>4225</v>
      </c>
      <c r="S7" s="2771">
        <v>4252.995935040025</v>
      </c>
      <c r="T7" s="782">
        <f>+((P7*P$3*P13)+(R$3*R7*R13))/(T$3*T13)</f>
        <v>4225.0000000000009</v>
      </c>
      <c r="U7" s="782">
        <f>+((Q7*Q$3*Q13)+(S$3*S7*S13))/(U$3*U13)</f>
        <v>4251.9054235051281</v>
      </c>
      <c r="V7" s="3001">
        <v>4225</v>
      </c>
      <c r="W7" s="2771">
        <v>4252.1400000000003</v>
      </c>
      <c r="X7" s="781">
        <v>4225</v>
      </c>
      <c r="Y7" s="781">
        <f>+((O7*O$3*O13)+(S7*S$3*S13)+(W$3*W7*W13))/(Y$3*Y13)</f>
        <v>4252.5338760567529</v>
      </c>
      <c r="Z7" s="465">
        <v>4225</v>
      </c>
      <c r="AA7" s="465">
        <f>+((M7*M$3*M13)+(Y$3*Y7*Y13))/(AA$3*AA13)</f>
        <v>4251.9438234025738</v>
      </c>
      <c r="AB7" s="3001">
        <v>4225</v>
      </c>
      <c r="AC7" s="2771">
        <v>4248.3304023727469</v>
      </c>
      <c r="AD7" s="782">
        <v>4225</v>
      </c>
      <c r="AE7" s="782">
        <f>+((AA7*AA$3*AA13)+(AC$3*AC7*AC13))/(AE$3*AE13)</f>
        <v>4251.4092211929938</v>
      </c>
      <c r="AF7" s="3001">
        <v>4225</v>
      </c>
      <c r="AG7" s="2771">
        <v>4240.0672773491769</v>
      </c>
      <c r="AH7" s="782">
        <v>4225</v>
      </c>
      <c r="AI7" s="782">
        <f>+((AE7*AE$3*AE13)+(AG$3*AG7*AG13))/(AI$3*AI13)</f>
        <v>4250.0873070980251</v>
      </c>
      <c r="AJ7" s="3001">
        <v>4225</v>
      </c>
      <c r="AK7" s="2771">
        <v>4251.5786167176348</v>
      </c>
      <c r="AL7" s="781">
        <v>4225</v>
      </c>
      <c r="AM7" s="781">
        <f>+((AC7*AC$3*AC13)+(AG7*AG$3*AG13)+(AK$3*AK7*AK13))/(AM$3*AM13)</f>
        <v>4246.9057345139272</v>
      </c>
      <c r="AN7" s="782">
        <v>4225</v>
      </c>
      <c r="AO7" s="782">
        <f>+((AI7*AI$3*AI13)+(AK$3*AK7*AK13))/(AO$3*AO13)</f>
        <v>4250.2597084430017</v>
      </c>
      <c r="AP7" s="3001">
        <v>4225</v>
      </c>
      <c r="AQ7" s="2771">
        <v>4250.05</v>
      </c>
      <c r="AR7" s="782">
        <v>4225</v>
      </c>
      <c r="AS7" s="782">
        <f>+((AO7*AO$3*AO13)+(AQ$3*AQ7*AQ13))/(AS$3*AS13)</f>
        <v>4250.2380071448661</v>
      </c>
      <c r="AT7" s="3001">
        <v>4225</v>
      </c>
      <c r="AU7" s="2771">
        <v>4250.588328855566</v>
      </c>
      <c r="AV7" s="782">
        <v>4225</v>
      </c>
      <c r="AW7" s="782">
        <f>+((AS7*AS$3*AS13)+(AU$3*AU7*AU13))/(AW$3*AW13)</f>
        <v>4250.2677795390937</v>
      </c>
      <c r="AX7" s="3001">
        <v>4225</v>
      </c>
      <c r="AY7" s="2771">
        <v>4252.3013512785337</v>
      </c>
      <c r="AZ7" s="781">
        <v>4225</v>
      </c>
      <c r="BA7" s="781">
        <f>+((AQ7*AQ$3*AQ13)+(AU7*AU$3*AU13)+(AY$3*AY7*AY13))/(BA$3*BA13)</f>
        <v>4250.9932921074751</v>
      </c>
      <c r="BB7" s="465">
        <v>4225</v>
      </c>
      <c r="BC7" s="465">
        <f>+((AM7*AM$3*AM13)+(BA$3*BA7*BA13))/(BC$3*BC13)</f>
        <v>4248.9497119384887</v>
      </c>
      <c r="BD7" s="782">
        <v>4225</v>
      </c>
      <c r="BE7" s="782">
        <f>+((AW7*AW$3*AW13)+(AY$3*AY7*AY13))/(BE$3*BE13)</f>
        <v>4250.4435200671123</v>
      </c>
      <c r="BF7" s="26"/>
      <c r="BG7" s="26"/>
      <c r="BH7" s="26"/>
      <c r="BI7" s="1219"/>
      <c r="BJ7" s="1219"/>
    </row>
    <row r="8" spans="1:62" ht="15.75" hidden="1" customHeight="1" thickBot="1" x14ac:dyDescent="0.35">
      <c r="A8" s="154"/>
      <c r="B8" s="3002" t="s">
        <v>331</v>
      </c>
      <c r="C8" s="2978" t="s">
        <v>995</v>
      </c>
      <c r="D8" s="2979">
        <v>21.772333333333332</v>
      </c>
      <c r="E8" s="2980"/>
      <c r="F8" s="2979">
        <v>21.772333333333332</v>
      </c>
      <c r="G8" s="2980"/>
      <c r="H8" s="2941"/>
      <c r="I8" s="165"/>
      <c r="J8" s="2979">
        <v>20.883666666666667</v>
      </c>
      <c r="K8" s="2980"/>
      <c r="L8" s="781"/>
      <c r="M8" s="781"/>
      <c r="N8" s="2979">
        <v>20.883666666666667</v>
      </c>
      <c r="O8" s="2980"/>
      <c r="P8" s="782"/>
      <c r="Q8" s="782"/>
      <c r="R8" s="2979">
        <v>20.883666666666667</v>
      </c>
      <c r="S8" s="2980"/>
      <c r="T8" s="782"/>
      <c r="U8" s="782"/>
      <c r="V8" s="2979">
        <v>20.461549999999999</v>
      </c>
      <c r="W8" s="2980"/>
      <c r="X8" s="781"/>
      <c r="Y8" s="781"/>
      <c r="Z8" s="465"/>
      <c r="AA8" s="465"/>
      <c r="AB8" s="2979">
        <v>21.327999999999999</v>
      </c>
      <c r="AC8" s="2980"/>
      <c r="AD8" s="782"/>
      <c r="AE8" s="782"/>
      <c r="AF8" s="2979">
        <v>21.327999999999999</v>
      </c>
      <c r="AG8" s="2980"/>
      <c r="AH8" s="782"/>
      <c r="AI8" s="782"/>
      <c r="AJ8" s="2979">
        <v>21.327999999999999</v>
      </c>
      <c r="AK8" s="2980"/>
      <c r="AL8" s="781"/>
      <c r="AM8" s="781"/>
      <c r="AN8" s="782"/>
      <c r="AO8" s="782"/>
      <c r="AP8" s="2979">
        <v>21.327999999999999</v>
      </c>
      <c r="AQ8" s="2980"/>
      <c r="AR8" s="782"/>
      <c r="AS8" s="782"/>
      <c r="AT8" s="2979">
        <v>21.327999999999999</v>
      </c>
      <c r="AU8" s="2980"/>
      <c r="AV8" s="782"/>
      <c r="AW8" s="782"/>
      <c r="AX8" s="2979">
        <v>21.327999999999999</v>
      </c>
      <c r="AY8" s="2980"/>
      <c r="AZ8" s="781"/>
      <c r="BA8" s="781"/>
      <c r="BB8" s="465"/>
      <c r="BC8" s="465"/>
      <c r="BD8" s="782"/>
      <c r="BE8" s="782"/>
      <c r="BF8" s="26"/>
      <c r="BG8" s="26"/>
      <c r="BH8" s="26"/>
      <c r="BI8" s="1219"/>
      <c r="BJ8" s="1219"/>
    </row>
    <row r="9" spans="1:62" x14ac:dyDescent="0.25">
      <c r="A9" s="154"/>
      <c r="B9" s="2982" t="s">
        <v>331</v>
      </c>
      <c r="C9" s="819" t="s">
        <v>326</v>
      </c>
      <c r="D9" s="275">
        <f>+D8*24*D3</f>
        <v>15676.079999999998</v>
      </c>
      <c r="E9" s="2983">
        <v>15580.930000000004</v>
      </c>
      <c r="F9" s="275">
        <f>+F8*24*F3</f>
        <v>16198.615999999998</v>
      </c>
      <c r="G9" s="2983">
        <v>16165.260000000002</v>
      </c>
      <c r="H9" s="373">
        <f>+D9+F9</f>
        <v>31874.695999999996</v>
      </c>
      <c r="I9" s="43">
        <f>+E9+G9</f>
        <v>31746.190000000006</v>
      </c>
      <c r="J9" s="275">
        <f>+J8*24*J3</f>
        <v>15036.24</v>
      </c>
      <c r="K9" s="2983">
        <v>15397.140000000001</v>
      </c>
      <c r="L9" s="781">
        <f>+H9+J9</f>
        <v>46910.935999999994</v>
      </c>
      <c r="M9" s="781">
        <f>+I9+K9</f>
        <v>47143.330000000009</v>
      </c>
      <c r="N9" s="275">
        <f>+N8*24*N3</f>
        <v>15537.447999999999</v>
      </c>
      <c r="O9" s="2983">
        <v>15742.000000000002</v>
      </c>
      <c r="P9" s="782">
        <f>+L9+N9</f>
        <v>62448.383999999991</v>
      </c>
      <c r="Q9" s="782">
        <f>+M9+O9</f>
        <v>62885.330000000009</v>
      </c>
      <c r="R9" s="275">
        <f>+R8*24*R3</f>
        <v>15537.447999999999</v>
      </c>
      <c r="S9" s="2983">
        <v>15956.017725097459</v>
      </c>
      <c r="T9" s="782">
        <f>+P9+R9</f>
        <v>77985.831999999995</v>
      </c>
      <c r="U9" s="782">
        <f>+Q9+S9</f>
        <v>78841.347725097468</v>
      </c>
      <c r="V9" s="275">
        <f>+V8*24*V3</f>
        <v>14732.315999999999</v>
      </c>
      <c r="W9" s="2983">
        <v>15459.72</v>
      </c>
      <c r="X9" s="781">
        <f>+V9+R9+N9</f>
        <v>45807.211999999992</v>
      </c>
      <c r="Y9" s="781">
        <f>+W9+S9+O9</f>
        <v>47157.73772509746</v>
      </c>
      <c r="Z9" s="465">
        <f>+L9+X9</f>
        <v>92718.147999999986</v>
      </c>
      <c r="AA9" s="465">
        <f>+Y9+M9</f>
        <v>94301.06772509747</v>
      </c>
      <c r="AB9" s="275">
        <f>+AB8*24*AB3</f>
        <v>15868.031999999999</v>
      </c>
      <c r="AC9" s="2983">
        <v>16240.02</v>
      </c>
      <c r="AD9" s="782">
        <f>+Z9+AB9</f>
        <v>108586.18</v>
      </c>
      <c r="AE9" s="782">
        <f>+AA9+AC9</f>
        <v>110541.08772509747</v>
      </c>
      <c r="AF9" s="275">
        <f>+AF8*24*AF3</f>
        <v>15356.159999999998</v>
      </c>
      <c r="AG9" s="2983">
        <v>14741.710000000003</v>
      </c>
      <c r="AH9" s="782">
        <f>+AD9+AF9</f>
        <v>123942.34</v>
      </c>
      <c r="AI9" s="782">
        <f>+AE9+AG9</f>
        <v>125282.79772509748</v>
      </c>
      <c r="AJ9" s="275">
        <f>+AJ8*24*AJ3</f>
        <v>15868.031999999999</v>
      </c>
      <c r="AK9" s="2983">
        <v>16225.960000000003</v>
      </c>
      <c r="AL9" s="781">
        <f>+AJ9+AF9+AB9</f>
        <v>47092.223999999995</v>
      </c>
      <c r="AM9" s="781">
        <f>+AK9+AG9+AC9</f>
        <v>47207.69</v>
      </c>
      <c r="AN9" s="782">
        <f>+AH9+AJ9</f>
        <v>139810.372</v>
      </c>
      <c r="AO9" s="782">
        <f>+AI9+AK9</f>
        <v>141508.75772509747</v>
      </c>
      <c r="AP9" s="275">
        <f>+AP8*24*AP3</f>
        <v>15868.031999999999</v>
      </c>
      <c r="AQ9" s="2983">
        <v>16214.94</v>
      </c>
      <c r="AR9" s="782">
        <f>+AN9+AP9</f>
        <v>155678.40400000001</v>
      </c>
      <c r="AS9" s="782">
        <f>+AO9+AQ9</f>
        <v>157723.69772509747</v>
      </c>
      <c r="AT9" s="275">
        <f>+AT8*24*AT3</f>
        <v>14332.415999999999</v>
      </c>
      <c r="AU9" s="2983">
        <v>14603.014000000003</v>
      </c>
      <c r="AV9" s="782">
        <f>+AR9+AT9</f>
        <v>170010.82</v>
      </c>
      <c r="AW9" s="782">
        <f>+AS9+AU9</f>
        <v>172326.71172509747</v>
      </c>
      <c r="AX9" s="275">
        <f>+AX8*24*AX3</f>
        <v>15868.031999999999</v>
      </c>
      <c r="AY9" s="2983">
        <v>16202.27</v>
      </c>
      <c r="AZ9" s="781">
        <f>+AX9+AT9+AP9</f>
        <v>46068.479999999996</v>
      </c>
      <c r="BA9" s="781">
        <f>+AY9+AU9+AQ9</f>
        <v>47020.224000000002</v>
      </c>
      <c r="BB9" s="465">
        <f>+AL9+AZ9</f>
        <v>93160.703999999998</v>
      </c>
      <c r="BC9" s="465">
        <f t="shared" ref="BC9:BC11" si="0">+AM9+BA9</f>
        <v>94227.914000000004</v>
      </c>
      <c r="BD9" s="782">
        <f>+AV9+AX9</f>
        <v>185878.85200000001</v>
      </c>
      <c r="BE9" s="782">
        <f>+AW9+AY9</f>
        <v>188528.98172509746</v>
      </c>
      <c r="BF9" s="26"/>
      <c r="BG9" s="26"/>
      <c r="BH9" s="26"/>
      <c r="BI9" s="26"/>
      <c r="BJ9" s="26"/>
    </row>
    <row r="10" spans="1:62" ht="15" hidden="1" customHeight="1" x14ac:dyDescent="0.3">
      <c r="A10" s="154"/>
      <c r="B10" s="2984" t="s">
        <v>332</v>
      </c>
      <c r="C10" s="2656" t="s">
        <v>995</v>
      </c>
      <c r="D10" s="2716">
        <v>43.801916666666671</v>
      </c>
      <c r="E10" s="2771"/>
      <c r="F10" s="2716">
        <v>43.801916666666671</v>
      </c>
      <c r="G10" s="2771"/>
      <c r="H10" s="2648"/>
      <c r="I10" s="39"/>
      <c r="J10" s="2716">
        <v>43.801916666666671</v>
      </c>
      <c r="K10" s="2771"/>
      <c r="L10" s="781"/>
      <c r="M10" s="781"/>
      <c r="N10" s="2716">
        <v>43.801916666666671</v>
      </c>
      <c r="O10" s="2771"/>
      <c r="P10" s="782"/>
      <c r="Q10" s="782"/>
      <c r="R10" s="2716">
        <v>43.801916666666671</v>
      </c>
      <c r="S10" s="2771"/>
      <c r="T10" s="782"/>
      <c r="U10" s="782"/>
      <c r="V10" s="2716">
        <v>41.790604166666675</v>
      </c>
      <c r="W10" s="2771"/>
      <c r="X10" s="781"/>
      <c r="Y10" s="781"/>
      <c r="Z10" s="465"/>
      <c r="AA10" s="465"/>
      <c r="AB10" s="2716">
        <v>44.248875000000005</v>
      </c>
      <c r="AC10" s="2771"/>
      <c r="AD10" s="782"/>
      <c r="AE10" s="782"/>
      <c r="AF10" s="2716">
        <v>44.248875000000005</v>
      </c>
      <c r="AG10" s="2771"/>
      <c r="AH10" s="782"/>
      <c r="AI10" s="782"/>
      <c r="AJ10" s="2716">
        <v>44.248875000000005</v>
      </c>
      <c r="AK10" s="2771"/>
      <c r="AL10" s="781"/>
      <c r="AM10" s="781"/>
      <c r="AN10" s="782"/>
      <c r="AO10" s="782"/>
      <c r="AP10" s="2716">
        <v>44.248875000000005</v>
      </c>
      <c r="AQ10" s="2771"/>
      <c r="AR10" s="782"/>
      <c r="AS10" s="782"/>
      <c r="AT10" s="2716">
        <v>44.248875000000005</v>
      </c>
      <c r="AU10" s="2771"/>
      <c r="AV10" s="782"/>
      <c r="AW10" s="782"/>
      <c r="AX10" s="2716">
        <v>44.248875000000005</v>
      </c>
      <c r="AY10" s="2771"/>
      <c r="AZ10" s="781"/>
      <c r="BA10" s="781"/>
      <c r="BB10" s="465">
        <f t="shared" ref="BB10:BB11" si="1">+AL10+AZ10</f>
        <v>0</v>
      </c>
      <c r="BC10" s="465">
        <f t="shared" si="0"/>
        <v>0</v>
      </c>
      <c r="BD10" s="782"/>
      <c r="BE10" s="782"/>
      <c r="BF10" s="26"/>
      <c r="BG10" s="26"/>
      <c r="BH10" s="26"/>
      <c r="BI10" s="26"/>
      <c r="BJ10" s="26"/>
    </row>
    <row r="11" spans="1:62" x14ac:dyDescent="0.25">
      <c r="A11" s="154"/>
      <c r="B11" s="2984" t="s">
        <v>332</v>
      </c>
      <c r="C11" s="2656" t="s">
        <v>326</v>
      </c>
      <c r="D11" s="2716">
        <f>+D10*D3*24</f>
        <v>31537.380000000005</v>
      </c>
      <c r="E11" s="2771">
        <v>31261.599999999999</v>
      </c>
      <c r="F11" s="2716">
        <f>+F10*F3*24</f>
        <v>32588.626</v>
      </c>
      <c r="G11" s="2771">
        <v>32246.775915850627</v>
      </c>
      <c r="H11" s="2648">
        <f>+D11+F11</f>
        <v>64126.006000000008</v>
      </c>
      <c r="I11" s="39">
        <f>+E11+G11</f>
        <v>63508.375915850629</v>
      </c>
      <c r="J11" s="2716">
        <f>+J10*J3*24</f>
        <v>31537.380000000005</v>
      </c>
      <c r="K11" s="2771">
        <v>30995.260000000002</v>
      </c>
      <c r="L11" s="781">
        <f>+H11+J11</f>
        <v>95663.386000000013</v>
      </c>
      <c r="M11" s="781">
        <f>+I11+K11</f>
        <v>94503.635915850638</v>
      </c>
      <c r="N11" s="2716">
        <f>+N10*N3*24</f>
        <v>32588.626</v>
      </c>
      <c r="O11" s="2771">
        <v>32071.409999999993</v>
      </c>
      <c r="P11" s="782">
        <f>+L11+N11</f>
        <v>128252.01200000002</v>
      </c>
      <c r="Q11" s="782">
        <f>+M11+O11</f>
        <v>126575.04591585063</v>
      </c>
      <c r="R11" s="2716">
        <f>+R10*R3*24</f>
        <v>32588.626</v>
      </c>
      <c r="S11" s="2771">
        <v>31417.21</v>
      </c>
      <c r="T11" s="782">
        <f>+P11+R11</f>
        <v>160840.63800000001</v>
      </c>
      <c r="U11" s="782">
        <f>+Q11+S11</f>
        <v>157992.25591585063</v>
      </c>
      <c r="V11" s="2716">
        <f>+V10*V3*24</f>
        <v>30089.235000000008</v>
      </c>
      <c r="W11" s="2771">
        <v>30898.44</v>
      </c>
      <c r="X11" s="781">
        <f>+V11+R11+N11</f>
        <v>95266.487000000008</v>
      </c>
      <c r="Y11" s="781">
        <f>+W11+S11+O11</f>
        <v>94387.059999999983</v>
      </c>
      <c r="Z11" s="465">
        <f>+L11+X11</f>
        <v>190929.87300000002</v>
      </c>
      <c r="AA11" s="465">
        <f>+Y11+M11</f>
        <v>188890.69591585064</v>
      </c>
      <c r="AB11" s="2716">
        <f>+AB10*AB3*24</f>
        <v>32921.163</v>
      </c>
      <c r="AC11" s="2771">
        <v>32933.039999999986</v>
      </c>
      <c r="AD11" s="782">
        <f>+Z11+AB11</f>
        <v>223851.03600000002</v>
      </c>
      <c r="AE11" s="782">
        <f>+AA11+AC11</f>
        <v>221823.73591585062</v>
      </c>
      <c r="AF11" s="2716">
        <f>+AF10*AF3*24</f>
        <v>31859.190000000002</v>
      </c>
      <c r="AG11" s="2771">
        <v>29106.238165355266</v>
      </c>
      <c r="AH11" s="782">
        <f>+AD11+AF11</f>
        <v>255710.22600000002</v>
      </c>
      <c r="AI11" s="782">
        <f>+AE11+AG11</f>
        <v>250929.97408120587</v>
      </c>
      <c r="AJ11" s="2716">
        <f>+AJ10*AJ3*24</f>
        <v>32921.163</v>
      </c>
      <c r="AK11" s="2771">
        <v>32950.763737421148</v>
      </c>
      <c r="AL11" s="781">
        <f>+AJ11+AF11+AB11</f>
        <v>97701.516000000003</v>
      </c>
      <c r="AM11" s="781">
        <f>+AK11+AG11+AC11</f>
        <v>94990.0419027764</v>
      </c>
      <c r="AN11" s="782">
        <f>+AH11+AJ11</f>
        <v>288631.38900000002</v>
      </c>
      <c r="AO11" s="782">
        <f>+AI11+AK11</f>
        <v>283880.73781862704</v>
      </c>
      <c r="AP11" s="2716">
        <f>+AP10*AP3*24</f>
        <v>32921.163</v>
      </c>
      <c r="AQ11" s="2771">
        <v>32886.94</v>
      </c>
      <c r="AR11" s="782">
        <f>+AN11+AP11</f>
        <v>321552.55200000003</v>
      </c>
      <c r="AS11" s="782">
        <f>+AO11+AQ11</f>
        <v>316767.67781862704</v>
      </c>
      <c r="AT11" s="2716">
        <f>+AT10*AT3*24</f>
        <v>29735.244000000006</v>
      </c>
      <c r="AU11" s="2771">
        <v>29467.409999999993</v>
      </c>
      <c r="AV11" s="782">
        <f>+AR11+AT11</f>
        <v>351287.79600000003</v>
      </c>
      <c r="AW11" s="782">
        <f>+AS11+AU11</f>
        <v>346235.08781862701</v>
      </c>
      <c r="AX11" s="2716">
        <f>+AX10*AX3*24</f>
        <v>32921.163</v>
      </c>
      <c r="AY11" s="2771">
        <v>32850.799999999988</v>
      </c>
      <c r="AZ11" s="781">
        <f>+AX11+AT11+AP11</f>
        <v>95577.57</v>
      </c>
      <c r="BA11" s="781">
        <f>+AY11+AU11+AQ11</f>
        <v>95205.14999999998</v>
      </c>
      <c r="BB11" s="465">
        <f t="shared" si="1"/>
        <v>193279.08600000001</v>
      </c>
      <c r="BC11" s="465">
        <f t="shared" si="0"/>
        <v>190195.19190277637</v>
      </c>
      <c r="BD11" s="782">
        <f>+AV11+AX11</f>
        <v>384208.95900000003</v>
      </c>
      <c r="BE11" s="782">
        <f>+AW11+AY11</f>
        <v>379085.887818627</v>
      </c>
      <c r="BF11" s="26"/>
      <c r="BG11" s="26"/>
      <c r="BH11" s="26"/>
      <c r="BI11" s="26"/>
      <c r="BJ11" s="26"/>
    </row>
    <row r="12" spans="1:62" ht="19.5" thickBot="1" x14ac:dyDescent="0.3">
      <c r="B12" s="2985" t="s">
        <v>333</v>
      </c>
      <c r="C12" s="2436" t="s">
        <v>326</v>
      </c>
      <c r="D12" s="2437">
        <f t="shared" ref="D12:E12" si="2">+D9+D11</f>
        <v>47213.460000000006</v>
      </c>
      <c r="E12" s="2986">
        <f t="shared" si="2"/>
        <v>46842.53</v>
      </c>
      <c r="F12" s="2437">
        <f t="shared" ref="F12:G12" si="3">+F9+F11</f>
        <v>48787.241999999998</v>
      </c>
      <c r="G12" s="2986">
        <f t="shared" si="3"/>
        <v>48412.035915850633</v>
      </c>
      <c r="H12" s="2438">
        <f t="shared" ref="H12:K12" si="4">+H9+H11</f>
        <v>96000.702000000005</v>
      </c>
      <c r="I12" s="2987">
        <f t="shared" si="4"/>
        <v>95254.565915850631</v>
      </c>
      <c r="J12" s="2437">
        <f t="shared" si="4"/>
        <v>46573.62</v>
      </c>
      <c r="K12" s="2986">
        <f t="shared" si="4"/>
        <v>46392.4</v>
      </c>
      <c r="L12" s="650">
        <f t="shared" ref="L12:Q12" si="5">+L9+L11</f>
        <v>142574.32200000001</v>
      </c>
      <c r="M12" s="650">
        <f t="shared" si="5"/>
        <v>141646.96591585065</v>
      </c>
      <c r="N12" s="2437">
        <f t="shared" si="5"/>
        <v>48126.074000000001</v>
      </c>
      <c r="O12" s="2986">
        <f t="shared" si="5"/>
        <v>47813.409999999996</v>
      </c>
      <c r="P12" s="649">
        <f t="shared" si="5"/>
        <v>190700.39600000001</v>
      </c>
      <c r="Q12" s="649">
        <f t="shared" si="5"/>
        <v>189460.37591585063</v>
      </c>
      <c r="R12" s="2437">
        <f t="shared" ref="R12:S12" si="6">+R9+R11</f>
        <v>48126.074000000001</v>
      </c>
      <c r="S12" s="2986">
        <f t="shared" si="6"/>
        <v>47373.227725097458</v>
      </c>
      <c r="T12" s="649">
        <f t="shared" ref="T12:W12" si="7">+T9+T11</f>
        <v>238826.47</v>
      </c>
      <c r="U12" s="649">
        <f t="shared" si="7"/>
        <v>236833.6036409481</v>
      </c>
      <c r="V12" s="2437">
        <f t="shared" si="7"/>
        <v>44821.551000000007</v>
      </c>
      <c r="W12" s="2986">
        <f t="shared" si="7"/>
        <v>46358.159999999996</v>
      </c>
      <c r="X12" s="621">
        <f t="shared" ref="X12:AE12" si="8">+X9+X11</f>
        <v>141073.69899999999</v>
      </c>
      <c r="Y12" s="621">
        <f t="shared" si="8"/>
        <v>141544.79772509745</v>
      </c>
      <c r="Z12" s="621">
        <f t="shared" si="8"/>
        <v>283648.02100000001</v>
      </c>
      <c r="AA12" s="621">
        <f t="shared" si="8"/>
        <v>283191.76364094811</v>
      </c>
      <c r="AB12" s="2437">
        <f t="shared" si="8"/>
        <v>48789.195</v>
      </c>
      <c r="AC12" s="2986">
        <f t="shared" si="8"/>
        <v>49173.059999999983</v>
      </c>
      <c r="AD12" s="649">
        <f t="shared" si="8"/>
        <v>332437.21600000001</v>
      </c>
      <c r="AE12" s="649">
        <f t="shared" si="8"/>
        <v>332364.8236409481</v>
      </c>
      <c r="AF12" s="2437">
        <f t="shared" ref="AF12:AI12" si="9">+AF9+AF11</f>
        <v>47215.35</v>
      </c>
      <c r="AG12" s="2986">
        <f t="shared" si="9"/>
        <v>43847.948165355265</v>
      </c>
      <c r="AH12" s="649">
        <f t="shared" si="9"/>
        <v>379652.56599999999</v>
      </c>
      <c r="AI12" s="649">
        <f t="shared" si="9"/>
        <v>376212.77180630335</v>
      </c>
      <c r="AJ12" s="2437">
        <f t="shared" ref="AJ12:AK12" si="10">+AJ9+AJ11</f>
        <v>48789.195</v>
      </c>
      <c r="AK12" s="2986">
        <f t="shared" si="10"/>
        <v>49176.723737421155</v>
      </c>
      <c r="AL12" s="621">
        <f t="shared" ref="AL12:AQ12" si="11">+AL9+AL11</f>
        <v>144793.74</v>
      </c>
      <c r="AM12" s="621">
        <f t="shared" si="11"/>
        <v>142197.7319027764</v>
      </c>
      <c r="AN12" s="649">
        <f t="shared" si="11"/>
        <v>428441.76100000006</v>
      </c>
      <c r="AO12" s="649">
        <f t="shared" si="11"/>
        <v>425389.49554372451</v>
      </c>
      <c r="AP12" s="2437">
        <f t="shared" si="11"/>
        <v>48789.195</v>
      </c>
      <c r="AQ12" s="2986">
        <f t="shared" si="11"/>
        <v>49101.880000000005</v>
      </c>
      <c r="AR12" s="649">
        <f t="shared" ref="AR12:AU12" si="12">+AR9+AR11</f>
        <v>477230.95600000001</v>
      </c>
      <c r="AS12" s="649">
        <f t="shared" si="12"/>
        <v>474491.37554372451</v>
      </c>
      <c r="AT12" s="2437">
        <f t="shared" si="12"/>
        <v>44067.66</v>
      </c>
      <c r="AU12" s="2986">
        <f t="shared" si="12"/>
        <v>44070.423999999999</v>
      </c>
      <c r="AV12" s="649">
        <f t="shared" ref="AV12:AY12" si="13">+AV9+AV11</f>
        <v>521298.61600000004</v>
      </c>
      <c r="AW12" s="649">
        <f t="shared" si="13"/>
        <v>518561.79954372451</v>
      </c>
      <c r="AX12" s="2437">
        <f t="shared" si="13"/>
        <v>48789.195</v>
      </c>
      <c r="AY12" s="2986">
        <f t="shared" si="13"/>
        <v>49053.069999999992</v>
      </c>
      <c r="AZ12" s="621">
        <f t="shared" ref="AZ12:BE12" si="14">+AZ9+AZ11</f>
        <v>141646.04999999999</v>
      </c>
      <c r="BA12" s="621">
        <f t="shared" si="14"/>
        <v>142225.37399999998</v>
      </c>
      <c r="BB12" s="621">
        <f t="shared" si="14"/>
        <v>286439.79000000004</v>
      </c>
      <c r="BC12" s="621">
        <f t="shared" si="14"/>
        <v>284423.10590277635</v>
      </c>
      <c r="BD12" s="649">
        <f t="shared" si="14"/>
        <v>570087.81099999999</v>
      </c>
      <c r="BE12" s="649">
        <f t="shared" si="14"/>
        <v>567614.86954372446</v>
      </c>
      <c r="BF12" s="26"/>
      <c r="BG12" s="26"/>
      <c r="BH12" s="26"/>
      <c r="BI12" s="26"/>
      <c r="BJ12" s="26"/>
    </row>
    <row r="13" spans="1:62" ht="15.6" x14ac:dyDescent="0.3">
      <c r="B13" s="3003" t="s">
        <v>334</v>
      </c>
      <c r="C13" s="2981" t="s">
        <v>328</v>
      </c>
      <c r="D13" s="2948">
        <f t="shared" ref="D13:E13" si="15">+D12/(D3*24)</f>
        <v>65.574250000000006</v>
      </c>
      <c r="E13" s="2948">
        <f t="shared" si="15"/>
        <v>65.059069444444447</v>
      </c>
      <c r="F13" s="2948">
        <f t="shared" ref="F13:G13" si="16">+F12/(F3*24)</f>
        <v>65.574249999999992</v>
      </c>
      <c r="G13" s="2948">
        <f t="shared" si="16"/>
        <v>65.069940747111062</v>
      </c>
      <c r="H13" s="2364">
        <f t="shared" ref="H13:K13" si="17">+H12/(H3*24)</f>
        <v>65.574250000000006</v>
      </c>
      <c r="I13" s="3004">
        <f t="shared" si="17"/>
        <v>65.064594204816004</v>
      </c>
      <c r="J13" s="2948">
        <f t="shared" si="17"/>
        <v>64.685583333333341</v>
      </c>
      <c r="K13" s="2948">
        <f t="shared" si="17"/>
        <v>64.433888888888887</v>
      </c>
      <c r="L13" s="816">
        <f t="shared" ref="L13:Q13" si="18">+L12/(L3*24)</f>
        <v>65.281282967032979</v>
      </c>
      <c r="M13" s="816">
        <f t="shared" si="18"/>
        <v>64.856669375389501</v>
      </c>
      <c r="N13" s="2948">
        <f t="shared" si="18"/>
        <v>64.685583333333341</v>
      </c>
      <c r="O13" s="2948">
        <f t="shared" si="18"/>
        <v>64.265336021505377</v>
      </c>
      <c r="P13" s="815">
        <f t="shared" si="18"/>
        <v>65.129916666666674</v>
      </c>
      <c r="Q13" s="815">
        <f t="shared" si="18"/>
        <v>64.706412539566472</v>
      </c>
      <c r="R13" s="2948">
        <f t="shared" ref="R13:S13" si="19">+R12/(R3*24)</f>
        <v>64.685583333333341</v>
      </c>
      <c r="S13" s="2948">
        <f t="shared" si="19"/>
        <v>63.673693178894432</v>
      </c>
      <c r="T13" s="815">
        <f t="shared" ref="T13:W13" si="20">+T12/(T3*24)</f>
        <v>65.039888344226583</v>
      </c>
      <c r="U13" s="815">
        <f t="shared" si="20"/>
        <v>64.497168747534886</v>
      </c>
      <c r="V13" s="2948">
        <f t="shared" si="20"/>
        <v>62.252154166666678</v>
      </c>
      <c r="W13" s="2948">
        <f t="shared" si="20"/>
        <v>64.386333333333326</v>
      </c>
      <c r="X13" s="816">
        <f t="shared" ref="X13:AE13" si="21">+X12/(X3*24)</f>
        <v>63.892073822463765</v>
      </c>
      <c r="Y13" s="816">
        <f t="shared" si="21"/>
        <v>64.105433752308628</v>
      </c>
      <c r="Z13" s="814">
        <f t="shared" si="21"/>
        <v>64.582882741347902</v>
      </c>
      <c r="AA13" s="814">
        <f t="shared" si="21"/>
        <v>64.478999007501841</v>
      </c>
      <c r="AB13" s="2948">
        <f t="shared" si="21"/>
        <v>65.576875000000001</v>
      </c>
      <c r="AC13" s="2948">
        <f t="shared" si="21"/>
        <v>66.092822580645134</v>
      </c>
      <c r="AD13" s="815">
        <f t="shared" si="21"/>
        <v>64.726872274143304</v>
      </c>
      <c r="AE13" s="815">
        <f t="shared" si="21"/>
        <v>64.712777188658123</v>
      </c>
      <c r="AF13" s="2948">
        <f t="shared" ref="AF13:AI13" si="22">+AF12/(AF3*24)</f>
        <v>65.576875000000001</v>
      </c>
      <c r="AG13" s="2948">
        <f t="shared" si="22"/>
        <v>60.899928007437865</v>
      </c>
      <c r="AH13" s="815">
        <f t="shared" si="22"/>
        <v>64.831380806010927</v>
      </c>
      <c r="AI13" s="815">
        <f t="shared" si="22"/>
        <v>64.24398425654087</v>
      </c>
      <c r="AJ13" s="2948">
        <f t="shared" ref="AJ13:AK13" si="23">+AJ12/(AJ3*24)</f>
        <v>65.576875000000001</v>
      </c>
      <c r="AK13" s="2948">
        <f t="shared" si="23"/>
        <v>66.097746958899407</v>
      </c>
      <c r="AL13" s="816">
        <f t="shared" ref="AL13:AQ13" si="24">+AL12/(AL3*24)</f>
        <v>65.576875000000001</v>
      </c>
      <c r="AM13" s="816">
        <f t="shared" si="24"/>
        <v>64.401146695098006</v>
      </c>
      <c r="AN13" s="815">
        <f t="shared" si="24"/>
        <v>64.915418333333335</v>
      </c>
      <c r="AO13" s="815">
        <f t="shared" si="24"/>
        <v>64.452953870261283</v>
      </c>
      <c r="AP13" s="2948">
        <f t="shared" si="24"/>
        <v>65.576875000000001</v>
      </c>
      <c r="AQ13" s="2948">
        <f t="shared" si="24"/>
        <v>65.997150537634411</v>
      </c>
      <c r="AR13" s="815">
        <f t="shared" ref="AR13:AU13" si="25">+AR12/(AR3*24)</f>
        <v>64.982428649237477</v>
      </c>
      <c r="AS13" s="815">
        <f t="shared" si="25"/>
        <v>64.609392094733735</v>
      </c>
      <c r="AT13" s="2948">
        <f t="shared" si="25"/>
        <v>65.576875000000001</v>
      </c>
      <c r="AU13" s="2948">
        <f t="shared" si="25"/>
        <v>65.580988095238098</v>
      </c>
      <c r="AV13" s="815">
        <f t="shared" ref="AV13:AY13" si="26">+AV12/(AV3*24)</f>
        <v>65.032262475049905</v>
      </c>
      <c r="AW13" s="815">
        <f t="shared" si="26"/>
        <v>64.690843256452652</v>
      </c>
      <c r="AX13" s="2948">
        <f t="shared" si="26"/>
        <v>65.576875000000001</v>
      </c>
      <c r="AY13" s="2948">
        <f t="shared" si="26"/>
        <v>65.931545698924722</v>
      </c>
      <c r="AZ13" s="816">
        <f t="shared" ref="AZ13:BE13" si="27">+AZ12/(AZ3*24)</f>
        <v>65.576875000000001</v>
      </c>
      <c r="BA13" s="816">
        <f t="shared" si="27"/>
        <v>65.845080555555541</v>
      </c>
      <c r="BB13" s="814">
        <f t="shared" si="27"/>
        <v>65.576875000000015</v>
      </c>
      <c r="BC13" s="814">
        <f t="shared" si="27"/>
        <v>65.115179922796784</v>
      </c>
      <c r="BD13" s="815">
        <f t="shared" si="27"/>
        <v>65.078517237442924</v>
      </c>
      <c r="BE13" s="815">
        <f t="shared" si="27"/>
        <v>64.79621798444343</v>
      </c>
      <c r="BF13" s="26"/>
      <c r="BG13" s="26"/>
      <c r="BH13" s="26"/>
      <c r="BI13" s="26"/>
      <c r="BJ13" s="26"/>
    </row>
    <row r="14" spans="1:62" ht="15.75" hidden="1" customHeight="1" x14ac:dyDescent="0.3">
      <c r="B14" s="3005" t="s">
        <v>54</v>
      </c>
      <c r="C14" s="3006" t="s">
        <v>996</v>
      </c>
      <c r="D14" s="3007">
        <v>0.52433675000000002</v>
      </c>
      <c r="E14" s="3008"/>
      <c r="F14" s="3007">
        <v>0.52433675000000002</v>
      </c>
      <c r="G14" s="3008"/>
      <c r="H14" s="3009"/>
      <c r="I14" s="1835"/>
      <c r="J14" s="3007">
        <v>0.51545008333333331</v>
      </c>
      <c r="K14" s="3008"/>
      <c r="L14" s="816"/>
      <c r="M14" s="816"/>
      <c r="N14" s="3007">
        <v>0.51545008333333331</v>
      </c>
      <c r="O14" s="3008"/>
      <c r="P14" s="815"/>
      <c r="Q14" s="815"/>
      <c r="R14" s="3007">
        <v>0.51545008333333331</v>
      </c>
      <c r="S14" s="3008"/>
      <c r="T14" s="815"/>
      <c r="U14" s="815"/>
      <c r="V14" s="3007">
        <v>0.49714972916666667</v>
      </c>
      <c r="W14" s="3008"/>
      <c r="X14" s="816"/>
      <c r="Y14" s="816"/>
      <c r="Z14" s="814"/>
      <c r="AA14" s="814"/>
      <c r="AB14" s="3007">
        <v>0.523022125</v>
      </c>
      <c r="AC14" s="3008"/>
      <c r="AD14" s="815"/>
      <c r="AE14" s="815"/>
      <c r="AF14" s="3007">
        <v>0.523022125</v>
      </c>
      <c r="AG14" s="3008"/>
      <c r="AH14" s="815"/>
      <c r="AI14" s="815"/>
      <c r="AJ14" s="3007">
        <v>0.523022125</v>
      </c>
      <c r="AK14" s="3008"/>
      <c r="AL14" s="816"/>
      <c r="AM14" s="816"/>
      <c r="AN14" s="815"/>
      <c r="AO14" s="815"/>
      <c r="AP14" s="3007">
        <v>0.523022125</v>
      </c>
      <c r="AQ14" s="3008"/>
      <c r="AR14" s="815"/>
      <c r="AS14" s="815"/>
      <c r="AT14" s="3007">
        <v>0.523022125</v>
      </c>
      <c r="AU14" s="3008"/>
      <c r="AV14" s="815"/>
      <c r="AW14" s="815"/>
      <c r="AX14" s="3007">
        <v>0.523022125</v>
      </c>
      <c r="AY14" s="3008"/>
      <c r="AZ14" s="816"/>
      <c r="BA14" s="816"/>
      <c r="BB14" s="814"/>
      <c r="BC14" s="814"/>
      <c r="BD14" s="815"/>
      <c r="BE14" s="815"/>
      <c r="BF14" s="26"/>
      <c r="BG14" s="26"/>
      <c r="BH14" s="26"/>
      <c r="BI14" s="26"/>
      <c r="BJ14" s="26"/>
    </row>
    <row r="15" spans="1:62" x14ac:dyDescent="0.25">
      <c r="B15" s="3005" t="s">
        <v>54</v>
      </c>
      <c r="C15" s="2656" t="s">
        <v>326</v>
      </c>
      <c r="D15" s="2716">
        <f>+D14*D3*24</f>
        <v>377.52246000000002</v>
      </c>
      <c r="E15" s="2774">
        <v>193.65939752789848</v>
      </c>
      <c r="F15" s="2716">
        <f>+F14*F3*24</f>
        <v>390.10654199999999</v>
      </c>
      <c r="G15" s="2774">
        <v>104.0840639053433</v>
      </c>
      <c r="H15" s="2648">
        <f>+D15+F15</f>
        <v>767.62900200000001</v>
      </c>
      <c r="I15" s="39">
        <f>+E15+G15</f>
        <v>297.74346143324181</v>
      </c>
      <c r="J15" s="2716">
        <f>+J14*J3*24</f>
        <v>371.12405999999999</v>
      </c>
      <c r="K15" s="2774">
        <v>98.058000000000007</v>
      </c>
      <c r="L15" s="781">
        <f>+H15+J15</f>
        <v>1138.753062</v>
      </c>
      <c r="M15" s="781">
        <f>+I15+K15</f>
        <v>395.8014614332418</v>
      </c>
      <c r="N15" s="2716">
        <f>+N14*N3*24</f>
        <v>383.49486200000001</v>
      </c>
      <c r="O15" s="2774">
        <v>96.962822583267354</v>
      </c>
      <c r="P15" s="782">
        <f>+L15+N15</f>
        <v>1522.247924</v>
      </c>
      <c r="Q15" s="782">
        <f>+M15+O15</f>
        <v>492.76428401650912</v>
      </c>
      <c r="R15" s="2716">
        <f>+R14*R3*24</f>
        <v>383.49486200000001</v>
      </c>
      <c r="S15" s="2774">
        <v>112.89019718109057</v>
      </c>
      <c r="T15" s="782">
        <f>+P15+R15</f>
        <v>1905.742786</v>
      </c>
      <c r="U15" s="782">
        <f>+Q15+S15</f>
        <v>605.65448119759969</v>
      </c>
      <c r="V15" s="2716">
        <f>+V14*V3*24</f>
        <v>357.94780500000002</v>
      </c>
      <c r="W15" s="2774">
        <v>101.82</v>
      </c>
      <c r="X15" s="781">
        <f>+V15+R15+N15</f>
        <v>1124.937529</v>
      </c>
      <c r="Y15" s="781">
        <f>+W15+S15+O15</f>
        <v>311.67301976435795</v>
      </c>
      <c r="Z15" s="465">
        <f>+L15+X15</f>
        <v>2263.690591</v>
      </c>
      <c r="AA15" s="465">
        <f>+Y15+M15</f>
        <v>707.47448119759974</v>
      </c>
      <c r="AB15" s="2716">
        <f>+AB14*AB3*24</f>
        <v>389.12846100000002</v>
      </c>
      <c r="AC15" s="2774">
        <v>161.76431993802242</v>
      </c>
      <c r="AD15" s="782">
        <f>+Z15+AB15</f>
        <v>2652.8190519999998</v>
      </c>
      <c r="AE15" s="782">
        <f>+AA15+AC15</f>
        <v>869.23880113562223</v>
      </c>
      <c r="AF15" s="2716">
        <f>+AF14*AF3*24</f>
        <v>376.57593000000003</v>
      </c>
      <c r="AG15" s="2774">
        <v>1791.9807181997844</v>
      </c>
      <c r="AH15" s="782">
        <f>+AD15+AF15</f>
        <v>3029.3949819999998</v>
      </c>
      <c r="AI15" s="782">
        <f>+AE15+AG15</f>
        <v>2661.2195193354064</v>
      </c>
      <c r="AJ15" s="2716">
        <f>+AJ14*AJ3*24</f>
        <v>389.12846100000002</v>
      </c>
      <c r="AK15" s="2774">
        <v>102.36601889905916</v>
      </c>
      <c r="AL15" s="781">
        <f>+AJ15+AF15+AB15</f>
        <v>1154.832852</v>
      </c>
      <c r="AM15" s="781">
        <f>+AK15+AG15+AC15</f>
        <v>2056.111057036866</v>
      </c>
      <c r="AN15" s="782">
        <f>+AH15+AJ15</f>
        <v>3418.523443</v>
      </c>
      <c r="AO15" s="782">
        <f>+AI15+AK15</f>
        <v>2763.5855382344657</v>
      </c>
      <c r="AP15" s="2716">
        <f>+AP14*AP3*24</f>
        <v>389.12846100000002</v>
      </c>
      <c r="AQ15" s="2774">
        <v>127.79</v>
      </c>
      <c r="AR15" s="782">
        <f>+AN15+AP15</f>
        <v>3807.6519040000003</v>
      </c>
      <c r="AS15" s="782">
        <f>+AO15+AQ15</f>
        <v>2891.3755382344657</v>
      </c>
      <c r="AT15" s="2716">
        <f>+AT14*AT3*24</f>
        <v>351.470868</v>
      </c>
      <c r="AU15" s="2774">
        <v>117.61388811374481</v>
      </c>
      <c r="AV15" s="782">
        <f>+AR15+AT15</f>
        <v>4159.1227720000006</v>
      </c>
      <c r="AW15" s="782">
        <f>+AS15+AU15</f>
        <v>3008.9894263482106</v>
      </c>
      <c r="AX15" s="2716">
        <f>+AX14*AX3*24</f>
        <v>389.12846100000002</v>
      </c>
      <c r="AY15" s="2774">
        <v>110.37717544814615</v>
      </c>
      <c r="AZ15" s="781">
        <f>+AX15+AT15+AP15</f>
        <v>1129.7277899999999</v>
      </c>
      <c r="BA15" s="781">
        <f>+AY15+AU15+AQ15</f>
        <v>355.78106356189096</v>
      </c>
      <c r="BB15" s="465">
        <f t="shared" ref="BB15:BB17" si="28">+AL15+AZ15</f>
        <v>2284.5606419999999</v>
      </c>
      <c r="BC15" s="465">
        <f t="shared" ref="BC15:BC17" si="29">+AM15+BA15</f>
        <v>2411.8921205987572</v>
      </c>
      <c r="BD15" s="782">
        <f>+AV15+AX15</f>
        <v>4548.2512330000009</v>
      </c>
      <c r="BE15" s="782">
        <f>+AW15+AY15</f>
        <v>3119.3666017963569</v>
      </c>
      <c r="BF15" s="26"/>
      <c r="BG15" s="26"/>
      <c r="BH15" s="26"/>
      <c r="BI15" s="26"/>
      <c r="BJ15" s="26"/>
    </row>
    <row r="16" spans="1:62" ht="15" hidden="1" customHeight="1" x14ac:dyDescent="0.3">
      <c r="B16" s="3005" t="s">
        <v>378</v>
      </c>
      <c r="C16" s="2656" t="s">
        <v>995</v>
      </c>
      <c r="D16" s="2936">
        <v>0.34912908333333331</v>
      </c>
      <c r="E16" s="2771"/>
      <c r="F16" s="2936">
        <v>0.34912908333333331</v>
      </c>
      <c r="G16" s="2771"/>
      <c r="H16" s="2648"/>
      <c r="I16" s="39"/>
      <c r="J16" s="2936">
        <v>0.34024241666666666</v>
      </c>
      <c r="K16" s="2771"/>
      <c r="L16" s="781"/>
      <c r="M16" s="781"/>
      <c r="N16" s="2936">
        <v>0.34024241666666666</v>
      </c>
      <c r="O16" s="2771"/>
      <c r="P16" s="782"/>
      <c r="Q16" s="782"/>
      <c r="R16" s="2936">
        <v>0.34024241666666666</v>
      </c>
      <c r="S16" s="2771"/>
      <c r="T16" s="782"/>
      <c r="U16" s="782"/>
      <c r="V16" s="2936">
        <v>0.32998731250000002</v>
      </c>
      <c r="W16" s="2771"/>
      <c r="X16" s="781"/>
      <c r="Y16" s="781"/>
      <c r="Z16" s="465"/>
      <c r="AA16" s="465"/>
      <c r="AB16" s="2936">
        <v>0.3902755</v>
      </c>
      <c r="AC16" s="2771"/>
      <c r="AD16" s="782"/>
      <c r="AE16" s="782"/>
      <c r="AF16" s="2936">
        <v>0.3902755</v>
      </c>
      <c r="AG16" s="2771"/>
      <c r="AH16" s="782"/>
      <c r="AI16" s="782"/>
      <c r="AJ16" s="2936">
        <v>0.3902755</v>
      </c>
      <c r="AK16" s="2771"/>
      <c r="AL16" s="781"/>
      <c r="AM16" s="781"/>
      <c r="AN16" s="782"/>
      <c r="AO16" s="782"/>
      <c r="AP16" s="2936">
        <v>0.3902755</v>
      </c>
      <c r="AQ16" s="2771"/>
      <c r="AR16" s="782"/>
      <c r="AS16" s="782"/>
      <c r="AT16" s="2936">
        <v>0.3902755</v>
      </c>
      <c r="AU16" s="2771"/>
      <c r="AV16" s="782"/>
      <c r="AW16" s="782"/>
      <c r="AX16" s="2936">
        <v>0.3902755</v>
      </c>
      <c r="AY16" s="2771"/>
      <c r="AZ16" s="781"/>
      <c r="BA16" s="781"/>
      <c r="BB16" s="465">
        <f t="shared" si="28"/>
        <v>0</v>
      </c>
      <c r="BC16" s="465">
        <f t="shared" si="29"/>
        <v>0</v>
      </c>
      <c r="BD16" s="782"/>
      <c r="BE16" s="782"/>
      <c r="BF16" s="26"/>
      <c r="BG16" s="26"/>
      <c r="BH16" s="26"/>
      <c r="BI16" s="26"/>
      <c r="BJ16" s="26"/>
    </row>
    <row r="17" spans="2:62" x14ac:dyDescent="0.25">
      <c r="B17" s="3005" t="s">
        <v>378</v>
      </c>
      <c r="C17" s="2656" t="s">
        <v>326</v>
      </c>
      <c r="D17" s="2716">
        <f>+D16*D3*24</f>
        <v>251.37293999999997</v>
      </c>
      <c r="E17" s="2771">
        <v>393.13859423176302</v>
      </c>
      <c r="F17" s="2716">
        <f>+F16*F3*24</f>
        <v>259.75203799999997</v>
      </c>
      <c r="G17" s="2771">
        <v>242.86281577913434</v>
      </c>
      <c r="H17" s="2648">
        <f>+D17+F17</f>
        <v>511.12497799999994</v>
      </c>
      <c r="I17" s="39">
        <f>+E17+G17</f>
        <v>636.00141001089742</v>
      </c>
      <c r="J17" s="2716">
        <f>+J16*J3*24</f>
        <v>244.97453999999999</v>
      </c>
      <c r="K17" s="2771">
        <v>228.80200000000005</v>
      </c>
      <c r="L17" s="781">
        <f>+H17+J17</f>
        <v>756.09951799999999</v>
      </c>
      <c r="M17" s="781">
        <f>+I17+K17</f>
        <v>864.80341001089744</v>
      </c>
      <c r="N17" s="2716">
        <f>+N16*N3*24</f>
        <v>253.14035799999999</v>
      </c>
      <c r="O17" s="2771">
        <v>226.24658602762378</v>
      </c>
      <c r="P17" s="782">
        <f>+L17+N17</f>
        <v>1009.239876</v>
      </c>
      <c r="Q17" s="782">
        <f>+M17+O17</f>
        <v>1091.0499960385212</v>
      </c>
      <c r="R17" s="2716">
        <f>+R16*R3*24</f>
        <v>253.14035799999999</v>
      </c>
      <c r="S17" s="2771">
        <v>267.077126755878</v>
      </c>
      <c r="T17" s="782">
        <f>+P17+R17</f>
        <v>1262.380234</v>
      </c>
      <c r="U17" s="782">
        <f>+Q17+S17</f>
        <v>1358.1271227943992</v>
      </c>
      <c r="V17" s="2716">
        <f>+V16*V3*24</f>
        <v>237.59086500000001</v>
      </c>
      <c r="W17" s="2771">
        <v>237.58</v>
      </c>
      <c r="X17" s="781">
        <f>+V17+R17+N17</f>
        <v>743.87158099999999</v>
      </c>
      <c r="Y17" s="781">
        <f>+W17+S17+O17</f>
        <v>730.90371278350176</v>
      </c>
      <c r="Z17" s="465">
        <f>+L17+X17</f>
        <v>1499.9710989999999</v>
      </c>
      <c r="AA17" s="465">
        <f>+Y17+M17</f>
        <v>1595.7071227943993</v>
      </c>
      <c r="AB17" s="2716">
        <f>+AB16*AB3*24</f>
        <v>290.36497200000002</v>
      </c>
      <c r="AC17" s="2771">
        <v>377.45007985538564</v>
      </c>
      <c r="AD17" s="782">
        <f>+Z17+AB17</f>
        <v>1790.3360709999999</v>
      </c>
      <c r="AE17" s="782">
        <f>+AA17+AC17</f>
        <v>1973.1572026497849</v>
      </c>
      <c r="AF17" s="2716">
        <f>+AF16*AF3*24</f>
        <v>280.99836000000005</v>
      </c>
      <c r="AG17" s="2771">
        <v>4181.2883424661632</v>
      </c>
      <c r="AH17" s="782">
        <f>+AD17+AF17</f>
        <v>2071.3344310000002</v>
      </c>
      <c r="AI17" s="782">
        <f>+AE17+AG17</f>
        <v>6154.4455451159483</v>
      </c>
      <c r="AJ17" s="2716">
        <f>+AJ16*AJ3*24</f>
        <v>290.36497200000002</v>
      </c>
      <c r="AK17" s="2771">
        <v>238.8540440978046</v>
      </c>
      <c r="AL17" s="781">
        <f>+AJ17+AF17+AB17</f>
        <v>861.72830400000021</v>
      </c>
      <c r="AM17" s="781">
        <f>+AK17+AG17+AC17</f>
        <v>4797.5924664193535</v>
      </c>
      <c r="AN17" s="782">
        <f>+AH17+AJ17</f>
        <v>2361.6994030000001</v>
      </c>
      <c r="AO17" s="782">
        <f>+AI17+AK17</f>
        <v>6393.2995892137533</v>
      </c>
      <c r="AP17" s="2716">
        <f>+AP16*AP3*24</f>
        <v>290.36497200000002</v>
      </c>
      <c r="AQ17" s="2771">
        <v>298.18</v>
      </c>
      <c r="AR17" s="782">
        <f>+AN17+AP17</f>
        <v>2652.0643749999999</v>
      </c>
      <c r="AS17" s="782">
        <f>+AO17+AQ17</f>
        <v>6691.4795892137536</v>
      </c>
      <c r="AT17" s="2716">
        <f>+AT16*AT3*24</f>
        <v>262.26513599999998</v>
      </c>
      <c r="AU17" s="2771">
        <v>274.43240559873783</v>
      </c>
      <c r="AV17" s="782">
        <f>+AR17+AT17</f>
        <v>2914.3295109999999</v>
      </c>
      <c r="AW17" s="782">
        <f>+AS17+AU17</f>
        <v>6965.9119948124917</v>
      </c>
      <c r="AX17" s="2716">
        <f>+AX16*AX3*24</f>
        <v>290.36497200000002</v>
      </c>
      <c r="AY17" s="2771">
        <v>257.54674271234103</v>
      </c>
      <c r="AZ17" s="781">
        <f>+AX17+AT17+AP17</f>
        <v>842.99508000000014</v>
      </c>
      <c r="BA17" s="781">
        <f>+AY17+AU17+AQ17</f>
        <v>830.15914831107898</v>
      </c>
      <c r="BB17" s="465">
        <f t="shared" si="28"/>
        <v>1704.7233840000004</v>
      </c>
      <c r="BC17" s="465">
        <f t="shared" si="29"/>
        <v>5627.7516147304323</v>
      </c>
      <c r="BD17" s="782">
        <f>+AV17+AX17</f>
        <v>3204.6944829999998</v>
      </c>
      <c r="BE17" s="782">
        <f>+AW17+AY17</f>
        <v>7223.4587375248329</v>
      </c>
      <c r="BF17" s="26"/>
      <c r="BG17" s="26"/>
      <c r="BH17" s="26"/>
      <c r="BI17" s="26"/>
      <c r="BJ17" s="26"/>
    </row>
    <row r="18" spans="2:62" ht="14.45" x14ac:dyDescent="0.3">
      <c r="B18" s="3010" t="s">
        <v>73</v>
      </c>
      <c r="C18" s="2656" t="s">
        <v>49</v>
      </c>
      <c r="D18" s="3011">
        <f>+(+D17)*100/D12</f>
        <v>0.5324179587770097</v>
      </c>
      <c r="E18" s="2993">
        <f>+E17/E12*100</f>
        <v>0.83927702929744197</v>
      </c>
      <c r="F18" s="3011">
        <f>+(+F17)*100/F12</f>
        <v>0.5324179587770097</v>
      </c>
      <c r="G18" s="2993">
        <f>+G17/G12*100</f>
        <v>0.50165792696939315</v>
      </c>
      <c r="H18" s="3012">
        <f>+H17/H12*100</f>
        <v>0.5324179587770097</v>
      </c>
      <c r="I18" s="2945">
        <f>+I17/I12*100</f>
        <v>0.66768600947985113</v>
      </c>
      <c r="J18" s="3011">
        <f>+(+J17)*100/J12</f>
        <v>0.5259942001502137</v>
      </c>
      <c r="K18" s="2993">
        <f>+K17/K12*100</f>
        <v>0.49318853950215991</v>
      </c>
      <c r="L18" s="377">
        <f>+L17/L12*100</f>
        <v>0.53031956062887664</v>
      </c>
      <c r="M18" s="377">
        <f>+M17/M12*100</f>
        <v>0.61053436931692429</v>
      </c>
      <c r="N18" s="3011">
        <f>+(+N17)*100/N12</f>
        <v>0.5259942001502137</v>
      </c>
      <c r="O18" s="2993">
        <f>+O17/O12*100</f>
        <v>0.47318646803820058</v>
      </c>
      <c r="P18" s="375">
        <f>+P17/P12*100</f>
        <v>0.52922799174470514</v>
      </c>
      <c r="Q18" s="375">
        <f>+Q17/Q12*100</f>
        <v>0.57587239060642115</v>
      </c>
      <c r="R18" s="3011">
        <f>+(+R17)*100/R12</f>
        <v>0.5259942001502137</v>
      </c>
      <c r="S18" s="2993">
        <f>+S17/S12*100</f>
        <v>0.56377228147869152</v>
      </c>
      <c r="T18" s="375">
        <f>+T17/T12*100</f>
        <v>0.52857634834195721</v>
      </c>
      <c r="U18" s="375">
        <f>+U17/U12*100</f>
        <v>0.57345203633070141</v>
      </c>
      <c r="V18" s="3011">
        <f>+(+V17)*100/V12</f>
        <v>0.53008175687628478</v>
      </c>
      <c r="W18" s="2993">
        <f>+W17/W12*100</f>
        <v>0.51248798485530922</v>
      </c>
      <c r="X18" s="377">
        <f>+X17/X12*100</f>
        <v>0.52729288752824155</v>
      </c>
      <c r="Y18" s="377">
        <f>+Y17/Y12*100</f>
        <v>0.51637624591688158</v>
      </c>
      <c r="Z18" s="493">
        <f>+Z17/Z12*100</f>
        <v>0.52881423029565222</v>
      </c>
      <c r="AA18" s="493">
        <f>+AA17/AA12*100</f>
        <v>0.56347229251255948</v>
      </c>
      <c r="AB18" s="3011">
        <f>+(+AB17)*100/AB12</f>
        <v>0.59514196124777219</v>
      </c>
      <c r="AC18" s="2993">
        <f>+AC17/AC12*100</f>
        <v>0.76759526426743785</v>
      </c>
      <c r="AD18" s="375">
        <f>+AD17/AD12*100</f>
        <v>0.53854862958544325</v>
      </c>
      <c r="AE18" s="375">
        <f>+AE17/AE12*100</f>
        <v>0.59367209232147133</v>
      </c>
      <c r="AF18" s="3011">
        <f>+(+AF17)*100/AF12</f>
        <v>0.5951419612477723</v>
      </c>
      <c r="AG18" s="2993">
        <f>+AG17/AG12*100</f>
        <v>9.5358814207179794</v>
      </c>
      <c r="AH18" s="375">
        <f>+AH17/AH12*100</f>
        <v>0.54558683820406484</v>
      </c>
      <c r="AI18" s="375">
        <f>+AI17/AI12*100</f>
        <v>1.6358948994651945</v>
      </c>
      <c r="AJ18" s="3011">
        <f>+(+AJ17)*100/AJ12</f>
        <v>0.59514196124777219</v>
      </c>
      <c r="AK18" s="2993">
        <f>+AK17/AK12*100</f>
        <v>0.48570548410903591</v>
      </c>
      <c r="AL18" s="377">
        <f>+AL17/AL12*100</f>
        <v>0.5951419612477723</v>
      </c>
      <c r="AM18" s="377">
        <f>+AM17/AM12*100</f>
        <v>3.3738881782584054</v>
      </c>
      <c r="AN18" s="375">
        <f>+AN17/AN12*100</f>
        <v>0.5512299728877269</v>
      </c>
      <c r="AO18" s="375">
        <f>+AO17/AO12*100</f>
        <v>1.5029284117704793</v>
      </c>
      <c r="AP18" s="3011">
        <f>+(+AP17)*100/AP12</f>
        <v>0.59514196124777219</v>
      </c>
      <c r="AQ18" s="2993">
        <f>+AQ17/AQ12*100</f>
        <v>0.60726799055351854</v>
      </c>
      <c r="AR18" s="375">
        <f>+AR17/AR12*100</f>
        <v>0.55571926792611492</v>
      </c>
      <c r="AS18" s="375">
        <f>+AS17/AS12*100</f>
        <v>1.4102426164323678</v>
      </c>
      <c r="AT18" s="3011">
        <f>+(+AT17)*100/AT12</f>
        <v>0.59514196124777208</v>
      </c>
      <c r="AU18" s="2993">
        <f>+AU17/AU12*100</f>
        <v>0.62271333173181598</v>
      </c>
      <c r="AV18" s="375">
        <f>+AV17/AV12*100</f>
        <v>0.55905184121954388</v>
      </c>
      <c r="AW18" s="375">
        <f>+AW17/AW12*100</f>
        <v>1.3433137575775351</v>
      </c>
      <c r="AX18" s="3011">
        <f>+(+AX17)*100/AX12</f>
        <v>0.59514196124777219</v>
      </c>
      <c r="AY18" s="2993">
        <f>+AY17/AY12*100</f>
        <v>0.5250369502099278</v>
      </c>
      <c r="AZ18" s="377">
        <f t="shared" ref="AZ18:BE18" si="30">+AZ17/AZ12*100</f>
        <v>0.5951419612477723</v>
      </c>
      <c r="BA18" s="377">
        <f t="shared" si="30"/>
        <v>0.58369271597842942</v>
      </c>
      <c r="BB18" s="493">
        <f t="shared" si="30"/>
        <v>0.5951419612477723</v>
      </c>
      <c r="BC18" s="493">
        <f t="shared" si="30"/>
        <v>1.97865486239861</v>
      </c>
      <c r="BD18" s="375">
        <f t="shared" si="30"/>
        <v>0.56214050207082922</v>
      </c>
      <c r="BE18" s="375">
        <f t="shared" si="30"/>
        <v>1.2725985743346344</v>
      </c>
      <c r="BF18" s="26"/>
      <c r="BG18" s="26"/>
      <c r="BH18" s="26"/>
      <c r="BI18" s="26"/>
      <c r="BJ18" s="26"/>
    </row>
    <row r="19" spans="2:62" ht="18.75" x14ac:dyDescent="0.25">
      <c r="B19" s="1362" t="s">
        <v>55</v>
      </c>
      <c r="C19" s="3013" t="s">
        <v>326</v>
      </c>
      <c r="D19" s="2658">
        <f t="shared" ref="D19:E19" si="31">+D12-D15-D17</f>
        <v>46584.564600000005</v>
      </c>
      <c r="E19" s="3014">
        <f t="shared" si="31"/>
        <v>46255.732008240338</v>
      </c>
      <c r="F19" s="2658">
        <f t="shared" ref="F19:G19" si="32">+F12-F15-F17</f>
        <v>48137.383419999998</v>
      </c>
      <c r="G19" s="3014">
        <f t="shared" si="32"/>
        <v>48065.089036166159</v>
      </c>
      <c r="H19" s="3015">
        <f t="shared" ref="H19:K19" si="33">+H12-H15-H17</f>
        <v>94721.948019999996</v>
      </c>
      <c r="I19" s="1690">
        <f t="shared" si="33"/>
        <v>94320.82104440649</v>
      </c>
      <c r="J19" s="2658">
        <f t="shared" si="33"/>
        <v>45957.521399999998</v>
      </c>
      <c r="K19" s="3014">
        <f t="shared" si="33"/>
        <v>46065.54</v>
      </c>
      <c r="L19" s="650">
        <f t="shared" ref="L19:Q19" si="34">+L12-L15-L17</f>
        <v>140679.46942000001</v>
      </c>
      <c r="M19" s="650">
        <f t="shared" si="34"/>
        <v>140386.36104440651</v>
      </c>
      <c r="N19" s="2658">
        <f t="shared" si="34"/>
        <v>47489.438780000004</v>
      </c>
      <c r="O19" s="3014">
        <f t="shared" si="34"/>
        <v>47490.200591389112</v>
      </c>
      <c r="P19" s="649">
        <f t="shared" si="34"/>
        <v>188168.90820000001</v>
      </c>
      <c r="Q19" s="649">
        <f t="shared" si="34"/>
        <v>187876.5616357956</v>
      </c>
      <c r="R19" s="2658">
        <f t="shared" ref="R19:S19" si="35">+R12-R15-R17</f>
        <v>47489.438780000004</v>
      </c>
      <c r="S19" s="3014">
        <f t="shared" si="35"/>
        <v>46993.260401160485</v>
      </c>
      <c r="T19" s="649">
        <f t="shared" ref="T19:W19" si="36">+T12-T15-T17</f>
        <v>235658.34698</v>
      </c>
      <c r="U19" s="649">
        <f t="shared" si="36"/>
        <v>234869.82203695612</v>
      </c>
      <c r="V19" s="2658">
        <f t="shared" si="36"/>
        <v>44226.012330000005</v>
      </c>
      <c r="W19" s="3014">
        <f t="shared" si="36"/>
        <v>46018.759999999995</v>
      </c>
      <c r="X19" s="621">
        <f t="shared" ref="X19:AE19" si="37">+X12-X15-X17</f>
        <v>139204.88988999999</v>
      </c>
      <c r="Y19" s="621">
        <f t="shared" si="37"/>
        <v>140502.22099254958</v>
      </c>
      <c r="Z19" s="621">
        <f t="shared" si="37"/>
        <v>279884.35930999997</v>
      </c>
      <c r="AA19" s="621">
        <f t="shared" si="37"/>
        <v>280888.5820369561</v>
      </c>
      <c r="AB19" s="2658">
        <f t="shared" si="37"/>
        <v>48109.701566999996</v>
      </c>
      <c r="AC19" s="3014">
        <f t="shared" si="37"/>
        <v>48633.845600206572</v>
      </c>
      <c r="AD19" s="649">
        <f t="shared" si="37"/>
        <v>327994.06087699998</v>
      </c>
      <c r="AE19" s="649">
        <f t="shared" si="37"/>
        <v>329522.42763716268</v>
      </c>
      <c r="AF19" s="2658">
        <f t="shared" ref="AF19:AI19" si="38">+AF12-AF15-AF17</f>
        <v>46557.775710000002</v>
      </c>
      <c r="AG19" s="3014">
        <f t="shared" si="38"/>
        <v>37874.67910468932</v>
      </c>
      <c r="AH19" s="649">
        <f t="shared" si="38"/>
        <v>374551.836587</v>
      </c>
      <c r="AI19" s="649">
        <f t="shared" si="38"/>
        <v>367397.10674185195</v>
      </c>
      <c r="AJ19" s="2658">
        <f t="shared" ref="AJ19:AK19" si="39">+AJ12-AJ15-AJ17</f>
        <v>48109.701566999996</v>
      </c>
      <c r="AK19" s="3014">
        <f t="shared" si="39"/>
        <v>48835.50367442429</v>
      </c>
      <c r="AL19" s="621">
        <f t="shared" ref="AL19:AQ19" si="40">+AL12-AL15-AL17</f>
        <v>142777.17884400001</v>
      </c>
      <c r="AM19" s="621">
        <f t="shared" si="40"/>
        <v>135344.02837932017</v>
      </c>
      <c r="AN19" s="649">
        <f t="shared" si="40"/>
        <v>422661.53815400007</v>
      </c>
      <c r="AO19" s="649">
        <f t="shared" si="40"/>
        <v>416232.61041627632</v>
      </c>
      <c r="AP19" s="2658">
        <f t="shared" si="40"/>
        <v>48109.701566999996</v>
      </c>
      <c r="AQ19" s="3014">
        <f t="shared" si="40"/>
        <v>48675.91</v>
      </c>
      <c r="AR19" s="649">
        <f t="shared" ref="AR19:AU19" si="41">+AR12-AR15-AR17</f>
        <v>470771.23972099996</v>
      </c>
      <c r="AS19" s="649">
        <f t="shared" si="41"/>
        <v>464908.5204162763</v>
      </c>
      <c r="AT19" s="2658">
        <f t="shared" si="41"/>
        <v>43453.923996000005</v>
      </c>
      <c r="AU19" s="3014">
        <f t="shared" si="41"/>
        <v>43678.377706287516</v>
      </c>
      <c r="AV19" s="649">
        <f t="shared" ref="AV19:AY19" si="42">+AV12-AV15-AV17</f>
        <v>514225.16371700005</v>
      </c>
      <c r="AW19" s="649">
        <f t="shared" si="42"/>
        <v>508586.89812256384</v>
      </c>
      <c r="AX19" s="2658">
        <f t="shared" si="42"/>
        <v>48109.701566999996</v>
      </c>
      <c r="AY19" s="3014">
        <f t="shared" si="42"/>
        <v>48685.146081839499</v>
      </c>
      <c r="AZ19" s="621">
        <f t="shared" ref="AZ19:BC19" si="43">+AZ12-AZ15-AZ17</f>
        <v>139673.32712999999</v>
      </c>
      <c r="BA19" s="621">
        <f t="shared" si="43"/>
        <v>141039.43378812703</v>
      </c>
      <c r="BB19" s="621">
        <f t="shared" si="43"/>
        <v>282450.50597400003</v>
      </c>
      <c r="BC19" s="621">
        <f t="shared" si="43"/>
        <v>276383.46216744714</v>
      </c>
      <c r="BD19" s="649">
        <f t="shared" ref="BD19:BE19" si="44">+BD12-BD15-BD17</f>
        <v>562334.86528400006</v>
      </c>
      <c r="BE19" s="649">
        <f t="shared" si="44"/>
        <v>557272.0442044033</v>
      </c>
      <c r="BF19" s="26"/>
      <c r="BG19" s="26"/>
      <c r="BH19" s="26"/>
      <c r="BI19" s="26"/>
      <c r="BJ19" s="26"/>
    </row>
    <row r="20" spans="2:62" ht="16.149999999999999" thickBot="1" x14ac:dyDescent="0.35">
      <c r="B20" s="1351" t="s">
        <v>335</v>
      </c>
      <c r="C20" s="2988"/>
      <c r="D20" s="2939"/>
      <c r="E20" s="2989"/>
      <c r="F20" s="2939"/>
      <c r="G20" s="2989"/>
      <c r="H20" s="2988"/>
      <c r="I20" s="3016"/>
      <c r="J20" s="2939"/>
      <c r="K20" s="2989"/>
      <c r="L20" s="811"/>
      <c r="M20" s="811"/>
      <c r="N20" s="2939"/>
      <c r="O20" s="2989"/>
      <c r="P20" s="811"/>
      <c r="Q20" s="811"/>
      <c r="R20" s="2939"/>
      <c r="S20" s="2989"/>
      <c r="T20" s="811"/>
      <c r="U20" s="811"/>
      <c r="V20" s="2939"/>
      <c r="W20" s="2989"/>
      <c r="X20" s="811"/>
      <c r="Y20" s="811"/>
      <c r="Z20" s="811"/>
      <c r="AA20" s="811"/>
      <c r="AB20" s="2939"/>
      <c r="AC20" s="2989"/>
      <c r="AD20" s="811"/>
      <c r="AE20" s="811"/>
      <c r="AF20" s="2939"/>
      <c r="AG20" s="2989"/>
      <c r="AH20" s="811"/>
      <c r="AI20" s="811"/>
      <c r="AJ20" s="2939"/>
      <c r="AK20" s="2989"/>
      <c r="AL20" s="811"/>
      <c r="AM20" s="811"/>
      <c r="AN20" s="811"/>
      <c r="AO20" s="811"/>
      <c r="AP20" s="2939"/>
      <c r="AQ20" s="2989"/>
      <c r="AR20" s="811"/>
      <c r="AS20" s="811"/>
      <c r="AT20" s="2939"/>
      <c r="AU20" s="2989"/>
      <c r="AV20" s="811"/>
      <c r="AW20" s="811"/>
      <c r="AX20" s="2939"/>
      <c r="AY20" s="2989"/>
      <c r="AZ20" s="811"/>
      <c r="BA20" s="811"/>
      <c r="BB20" s="811"/>
      <c r="BC20" s="811"/>
      <c r="BD20" s="811"/>
      <c r="BE20" s="811"/>
      <c r="BF20" s="26"/>
      <c r="BG20" s="26"/>
      <c r="BH20" s="26"/>
      <c r="BI20" s="26"/>
      <c r="BJ20" s="26"/>
    </row>
    <row r="21" spans="2:62" x14ac:dyDescent="0.25">
      <c r="B21" s="2992" t="s">
        <v>106</v>
      </c>
      <c r="C21" s="819" t="s">
        <v>326</v>
      </c>
      <c r="D21" s="275">
        <f>D22*D$3*24</f>
        <v>10250.5584</v>
      </c>
      <c r="E21" s="2983">
        <v>9371.7999999999993</v>
      </c>
      <c r="F21" s="275">
        <f>F22*F$3*24</f>
        <v>10592.24368</v>
      </c>
      <c r="G21" s="2983">
        <v>9732.1800000000021</v>
      </c>
      <c r="H21" s="373">
        <f t="shared" ref="H21:I43" si="45">+D21+F21</f>
        <v>20842.802080000001</v>
      </c>
      <c r="I21" s="43">
        <f t="shared" si="45"/>
        <v>19103.980000000003</v>
      </c>
      <c r="J21" s="275">
        <f>J22*J$3*24</f>
        <v>9623.5151999999998</v>
      </c>
      <c r="K21" s="2983">
        <v>9373.7900000000009</v>
      </c>
      <c r="L21" s="781">
        <f t="shared" ref="L21:L43" si="46">+H21+J21</f>
        <v>30466.317280000003</v>
      </c>
      <c r="M21" s="781">
        <f t="shared" ref="M21:M43" si="47">+I21+K21</f>
        <v>28477.770000000004</v>
      </c>
      <c r="N21" s="275">
        <f>N22*N$3*24</f>
        <v>9944.2990399999999</v>
      </c>
      <c r="O21" s="2983">
        <v>9929.1600000000035</v>
      </c>
      <c r="P21" s="782">
        <f t="shared" ref="P21:P43" si="48">+L21+N21</f>
        <v>40410.616320000001</v>
      </c>
      <c r="Q21" s="782">
        <f t="shared" ref="Q21:Q43" si="49">+M21+O21</f>
        <v>38406.930000000008</v>
      </c>
      <c r="R21" s="275">
        <f>R22*R$3*24</f>
        <v>9944.2990399999999</v>
      </c>
      <c r="S21" s="2983">
        <v>10110.750000000002</v>
      </c>
      <c r="T21" s="782">
        <f t="shared" ref="T21" si="50">+P21+R21</f>
        <v>50354.915359999999</v>
      </c>
      <c r="U21" s="782">
        <f t="shared" ref="U21" si="51">+Q21+S21</f>
        <v>48517.680000000008</v>
      </c>
      <c r="V21" s="275">
        <f>V22*V$3*24</f>
        <v>9325.6696800000009</v>
      </c>
      <c r="W21" s="2983">
        <v>9779.42</v>
      </c>
      <c r="X21" s="781">
        <f>+V21+R21+N21</f>
        <v>29214.267760000002</v>
      </c>
      <c r="Y21" s="781">
        <f>+W21+S21+O21</f>
        <v>29819.330000000005</v>
      </c>
      <c r="Z21" s="465">
        <f t="shared" ref="Z21:Z43" si="52">+L21+X21</f>
        <v>59680.585040000005</v>
      </c>
      <c r="AA21" s="465">
        <f t="shared" ref="AA21:AA43" si="53">+Y21+M21</f>
        <v>58297.100000000006</v>
      </c>
      <c r="AB21" s="275">
        <f>AB22*AB$3*24</f>
        <v>9520.8191999999981</v>
      </c>
      <c r="AC21" s="2983">
        <v>9742.59</v>
      </c>
      <c r="AD21" s="782">
        <f t="shared" ref="AD21" si="54">+Z21+AB21</f>
        <v>69201.404240000003</v>
      </c>
      <c r="AE21" s="782">
        <f t="shared" ref="AE21" si="55">+AA21+AC21</f>
        <v>68039.69</v>
      </c>
      <c r="AF21" s="275">
        <f>AF22*AF$3*24</f>
        <v>9213.6959999999999</v>
      </c>
      <c r="AG21" s="2983">
        <v>9569.0400000000009</v>
      </c>
      <c r="AH21" s="782">
        <f t="shared" ref="AH21" si="56">+AD21+AF21</f>
        <v>78415.10024</v>
      </c>
      <c r="AI21" s="782">
        <f t="shared" ref="AI21" si="57">+AE21+AG21</f>
        <v>77608.73000000001</v>
      </c>
      <c r="AJ21" s="275">
        <f>AJ22*AJ$3*24</f>
        <v>9520.8191999999981</v>
      </c>
      <c r="AK21" s="2983">
        <v>9777.25</v>
      </c>
      <c r="AL21" s="781">
        <f>+AJ21+AF21+AB21</f>
        <v>28255.334399999996</v>
      </c>
      <c r="AM21" s="781">
        <f>+AK21+AG21+AC21</f>
        <v>29088.880000000001</v>
      </c>
      <c r="AN21" s="782">
        <f t="shared" ref="AN21" si="58">+AH21+AJ21</f>
        <v>87935.919439999998</v>
      </c>
      <c r="AO21" s="782">
        <f t="shared" ref="AO21" si="59">+AI21+AK21</f>
        <v>87385.98000000001</v>
      </c>
      <c r="AP21" s="275">
        <f>AP22*AP$3*24</f>
        <v>9520.8191999999981</v>
      </c>
      <c r="AQ21" s="2983">
        <v>9798.89</v>
      </c>
      <c r="AR21" s="782">
        <f t="shared" ref="AR21" si="60">+AN21+AP21</f>
        <v>97456.738639999996</v>
      </c>
      <c r="AS21" s="782">
        <f t="shared" ref="AS21" si="61">+AO21+AQ21</f>
        <v>97184.87000000001</v>
      </c>
      <c r="AT21" s="275">
        <f>AT22*AT$3*24</f>
        <v>8599.4495999999999</v>
      </c>
      <c r="AU21" s="2983">
        <v>8783.3900000000012</v>
      </c>
      <c r="AV21" s="782">
        <f t="shared" ref="AV21" si="62">+AR21+AT21</f>
        <v>106056.18823999999</v>
      </c>
      <c r="AW21" s="782">
        <f t="shared" ref="AW21" si="63">+AS21+AU21</f>
        <v>105968.26000000001</v>
      </c>
      <c r="AX21" s="275">
        <f>AX22*AX$3*24</f>
        <v>9520.8191999999981</v>
      </c>
      <c r="AY21" s="2983">
        <v>9732.7799999999988</v>
      </c>
      <c r="AZ21" s="781">
        <f>+AX21+AT21+AP21</f>
        <v>27641.087999999996</v>
      </c>
      <c r="BA21" s="781">
        <f>+AY21+AU21+AQ21</f>
        <v>28315.059999999998</v>
      </c>
      <c r="BB21" s="465">
        <f t="shared" ref="BB21:BB43" si="64">+AL21+AZ21</f>
        <v>55896.422399999996</v>
      </c>
      <c r="BC21" s="465">
        <f t="shared" ref="BC21:BC43" si="65">+AM21+BA21</f>
        <v>57403.94</v>
      </c>
      <c r="BD21" s="782">
        <f t="shared" ref="BD21" si="66">+AV21+AX21</f>
        <v>115577.00743999999</v>
      </c>
      <c r="BE21" s="782">
        <f t="shared" ref="BE21" si="67">+AW21+AY21</f>
        <v>115701.04000000001</v>
      </c>
      <c r="BF21" s="26"/>
      <c r="BG21" s="26"/>
      <c r="BH21" s="26"/>
      <c r="BI21" s="26"/>
      <c r="BJ21" s="26"/>
    </row>
    <row r="22" spans="2:62" ht="15" hidden="1" customHeight="1" x14ac:dyDescent="0.3">
      <c r="B22" s="8"/>
      <c r="C22" s="2656"/>
      <c r="D22" s="2732">
        <v>14.236886666666667</v>
      </c>
      <c r="E22" s="2993"/>
      <c r="F22" s="2732">
        <v>14.236886666666667</v>
      </c>
      <c r="G22" s="2993"/>
      <c r="H22" s="2648"/>
      <c r="I22" s="39"/>
      <c r="J22" s="2732">
        <v>13.365993333333334</v>
      </c>
      <c r="K22" s="2993"/>
      <c r="L22" s="781"/>
      <c r="M22" s="781"/>
      <c r="N22" s="2732">
        <v>13.365993333333334</v>
      </c>
      <c r="O22" s="2993"/>
      <c r="P22" s="782"/>
      <c r="Q22" s="782"/>
      <c r="R22" s="2732">
        <v>13.365993333333334</v>
      </c>
      <c r="S22" s="2993"/>
      <c r="T22" s="782"/>
      <c r="U22" s="782"/>
      <c r="V22" s="2732">
        <v>12.952319000000001</v>
      </c>
      <c r="W22" s="2993"/>
      <c r="X22" s="781"/>
      <c r="Y22" s="781"/>
      <c r="Z22" s="465"/>
      <c r="AA22" s="465"/>
      <c r="AB22" s="2732">
        <v>12.796799999999999</v>
      </c>
      <c r="AC22" s="2993"/>
      <c r="AD22" s="782"/>
      <c r="AE22" s="782"/>
      <c r="AF22" s="2732">
        <v>12.796799999999999</v>
      </c>
      <c r="AG22" s="2993"/>
      <c r="AH22" s="782"/>
      <c r="AI22" s="782"/>
      <c r="AJ22" s="2732">
        <v>12.796799999999999</v>
      </c>
      <c r="AK22" s="2993"/>
      <c r="AL22" s="781"/>
      <c r="AM22" s="781"/>
      <c r="AN22" s="782"/>
      <c r="AO22" s="782"/>
      <c r="AP22" s="2732">
        <v>12.796799999999999</v>
      </c>
      <c r="AQ22" s="2993"/>
      <c r="AR22" s="782"/>
      <c r="AS22" s="782"/>
      <c r="AT22" s="2732">
        <v>12.796799999999999</v>
      </c>
      <c r="AU22" s="2993"/>
      <c r="AV22" s="782"/>
      <c r="AW22" s="782"/>
      <c r="AX22" s="2732">
        <v>12.796799999999999</v>
      </c>
      <c r="AY22" s="2993"/>
      <c r="AZ22" s="781"/>
      <c r="BA22" s="781"/>
      <c r="BB22" s="465">
        <f t="shared" si="64"/>
        <v>0</v>
      </c>
      <c r="BC22" s="465">
        <f t="shared" si="65"/>
        <v>0</v>
      </c>
      <c r="BD22" s="782"/>
      <c r="BE22" s="782"/>
      <c r="BF22" s="26"/>
      <c r="BG22" s="26"/>
      <c r="BH22" s="26"/>
      <c r="BI22" s="26"/>
      <c r="BJ22" s="26"/>
    </row>
    <row r="23" spans="2:62" x14ac:dyDescent="0.25">
      <c r="B23" s="8" t="s">
        <v>107</v>
      </c>
      <c r="C23" s="2656" t="s">
        <v>326</v>
      </c>
      <c r="D23" s="2716">
        <f>D24*D$3*24</f>
        <v>2176.5514792899367</v>
      </c>
      <c r="E23" s="2771">
        <v>3538.8914659252328</v>
      </c>
      <c r="F23" s="2716">
        <f>F24*F$3*24</f>
        <v>2249.1031952662674</v>
      </c>
      <c r="G23" s="2771">
        <v>2404.0740098619704</v>
      </c>
      <c r="H23" s="2648">
        <f t="shared" si="45"/>
        <v>4425.6546745562046</v>
      </c>
      <c r="I23" s="39">
        <f t="shared" si="45"/>
        <v>5942.9654757872031</v>
      </c>
      <c r="J23" s="2716">
        <f>J24*J$3*24</f>
        <v>2176.5514792899367</v>
      </c>
      <c r="K23" s="2771">
        <v>1775.5708633069646</v>
      </c>
      <c r="L23" s="781">
        <f t="shared" si="46"/>
        <v>6602.2061538461412</v>
      </c>
      <c r="M23" s="781">
        <f t="shared" si="47"/>
        <v>7718.5363390941675</v>
      </c>
      <c r="N23" s="2716">
        <f>N24*N$3*24</f>
        <v>2249.1031952662674</v>
      </c>
      <c r="O23" s="2771">
        <v>1752.1803291755632</v>
      </c>
      <c r="P23" s="782">
        <f t="shared" si="48"/>
        <v>8851.3093491124091</v>
      </c>
      <c r="Q23" s="782">
        <f t="shared" si="49"/>
        <v>9470.7166682697316</v>
      </c>
      <c r="R23" s="2716">
        <f>R24*R$3*24</f>
        <v>2253.8687573964498</v>
      </c>
      <c r="S23" s="2771">
        <v>2163.5875828678936</v>
      </c>
      <c r="T23" s="782">
        <f t="shared" ref="T23" si="68">+P23+R23</f>
        <v>11105.178106508858</v>
      </c>
      <c r="U23" s="782">
        <f t="shared" ref="U23" si="69">+Q23+S23</f>
        <v>11634.304251137626</v>
      </c>
      <c r="V23" s="2716">
        <f>V24*V$3*24</f>
        <v>7704</v>
      </c>
      <c r="W23" s="2771">
        <v>1915.71</v>
      </c>
      <c r="X23" s="781">
        <f t="shared" ref="X23:X43" si="70">+V23+R23+N23</f>
        <v>12206.971952662716</v>
      </c>
      <c r="Y23" s="781">
        <f t="shared" ref="Y23:Y43" si="71">+W23+S23+O23</f>
        <v>5831.4779120434569</v>
      </c>
      <c r="Z23" s="465">
        <f t="shared" si="52"/>
        <v>18809.178106508858</v>
      </c>
      <c r="AA23" s="465">
        <f t="shared" si="53"/>
        <v>13550.014251137625</v>
      </c>
      <c r="AB23" s="2716">
        <f>AB24*AB$3*24</f>
        <v>2253.8687573964498</v>
      </c>
      <c r="AC23" s="2771">
        <v>2228.6299999999997</v>
      </c>
      <c r="AD23" s="782">
        <f t="shared" ref="AD23" si="72">+Z23+AB23</f>
        <v>21063.046863905307</v>
      </c>
      <c r="AE23" s="782">
        <f t="shared" ref="AE23" si="73">+AA23+AC23</f>
        <v>15778.644251137624</v>
      </c>
      <c r="AF23" s="2716">
        <f>AF24*AF$3*24</f>
        <v>2181.1633136094679</v>
      </c>
      <c r="AG23" s="2771">
        <v>13079.099999999997</v>
      </c>
      <c r="AH23" s="782">
        <f t="shared" ref="AH23" si="74">+AD23+AF23</f>
        <v>23244.210177514775</v>
      </c>
      <c r="AI23" s="782">
        <f t="shared" ref="AI23" si="75">+AE23+AG23</f>
        <v>28857.744251137621</v>
      </c>
      <c r="AJ23" s="2716">
        <f>AJ24*AJ$3*24</f>
        <v>2253.8687573964498</v>
      </c>
      <c r="AK23" s="2771">
        <v>2849.8771807966314</v>
      </c>
      <c r="AL23" s="781">
        <f t="shared" ref="AL23" si="76">+AJ23+AF23+AB23</f>
        <v>6688.9008284023676</v>
      </c>
      <c r="AM23" s="781">
        <f t="shared" ref="AM23" si="77">+AK23+AG23+AC23</f>
        <v>18157.607180796629</v>
      </c>
      <c r="AN23" s="782">
        <f t="shared" ref="AN23" si="78">+AH23+AJ23</f>
        <v>25498.078934911224</v>
      </c>
      <c r="AO23" s="782">
        <f t="shared" ref="AO23" si="79">+AI23+AK23</f>
        <v>31707.621431934254</v>
      </c>
      <c r="AP23" s="2716">
        <f>AP24*AP$3*24</f>
        <v>2253.8687573964498</v>
      </c>
      <c r="AQ23" s="2771">
        <v>2582.48</v>
      </c>
      <c r="AR23" s="782">
        <f t="shared" ref="AR23" si="80">+AN23+AP23</f>
        <v>27751.947692307673</v>
      </c>
      <c r="AS23" s="782">
        <f t="shared" ref="AS23" si="81">+AO23+AQ23</f>
        <v>34290.101431934258</v>
      </c>
      <c r="AT23" s="2716">
        <f>AT24*AT$3*24</f>
        <v>2035.752426035499</v>
      </c>
      <c r="AU23" s="2771">
        <v>2389.0826815761511</v>
      </c>
      <c r="AV23" s="782">
        <f t="shared" ref="AV23" si="82">+AR23+AT23</f>
        <v>29787.700118343171</v>
      </c>
      <c r="AW23" s="782">
        <f t="shared" ref="AW23" si="83">+AS23+AU23</f>
        <v>36679.184113510411</v>
      </c>
      <c r="AX23" s="2716">
        <f>AX24*AX$3*24</f>
        <v>2253.8687573964498</v>
      </c>
      <c r="AY23" s="2771">
        <v>2469.1717970140808</v>
      </c>
      <c r="AZ23" s="781">
        <f t="shared" ref="AZ23" si="84">+AX23+AT23+AP23</f>
        <v>6543.4899408283991</v>
      </c>
      <c r="BA23" s="781">
        <f t="shared" ref="BA23" si="85">+AY23+AU23+AQ23</f>
        <v>7440.7344785902314</v>
      </c>
      <c r="BB23" s="465">
        <f t="shared" si="64"/>
        <v>13232.390769230766</v>
      </c>
      <c r="BC23" s="465">
        <f t="shared" si="65"/>
        <v>25598.341659386861</v>
      </c>
      <c r="BD23" s="782">
        <f t="shared" ref="BD23" si="86">+AV23+AX23</f>
        <v>32041.56887573962</v>
      </c>
      <c r="BE23" s="782">
        <f t="shared" ref="BE23" si="87">+AW23+AY23</f>
        <v>39148.355910524493</v>
      </c>
      <c r="BF23" s="26"/>
      <c r="BG23" s="26"/>
      <c r="BH23" s="26"/>
      <c r="BI23" s="26"/>
      <c r="BJ23" s="26"/>
    </row>
    <row r="24" spans="2:62" ht="15" hidden="1" customHeight="1" x14ac:dyDescent="0.3">
      <c r="B24" s="8"/>
      <c r="C24" s="2656"/>
      <c r="D24" s="2732">
        <v>3.0229881656804674</v>
      </c>
      <c r="E24" s="2993"/>
      <c r="F24" s="2732">
        <v>3.0229881656804674</v>
      </c>
      <c r="G24" s="2993"/>
      <c r="H24" s="2648"/>
      <c r="I24" s="39"/>
      <c r="J24" s="2732">
        <v>3.0229881656804674</v>
      </c>
      <c r="K24" s="2993"/>
      <c r="L24" s="781"/>
      <c r="M24" s="781"/>
      <c r="N24" s="2732">
        <v>3.0229881656804674</v>
      </c>
      <c r="O24" s="2993"/>
      <c r="P24" s="782"/>
      <c r="Q24" s="782"/>
      <c r="R24" s="2732">
        <v>3.029393491124261</v>
      </c>
      <c r="S24" s="2993"/>
      <c r="T24" s="782"/>
      <c r="U24" s="782"/>
      <c r="V24" s="2732">
        <v>10.7</v>
      </c>
      <c r="W24" s="2993"/>
      <c r="X24" s="781"/>
      <c r="Y24" s="781"/>
      <c r="Z24" s="465"/>
      <c r="AA24" s="465"/>
      <c r="AB24" s="2732">
        <v>3.029393491124261</v>
      </c>
      <c r="AC24" s="2993"/>
      <c r="AD24" s="782"/>
      <c r="AE24" s="782"/>
      <c r="AF24" s="2732">
        <v>3.029393491124261</v>
      </c>
      <c r="AG24" s="2993"/>
      <c r="AH24" s="782"/>
      <c r="AI24" s="782"/>
      <c r="AJ24" s="2732">
        <v>3.029393491124261</v>
      </c>
      <c r="AK24" s="2993"/>
      <c r="AL24" s="781"/>
      <c r="AM24" s="781"/>
      <c r="AN24" s="782"/>
      <c r="AO24" s="782"/>
      <c r="AP24" s="2732">
        <v>3.029393491124261</v>
      </c>
      <c r="AQ24" s="2993"/>
      <c r="AR24" s="782"/>
      <c r="AS24" s="782"/>
      <c r="AT24" s="2732">
        <v>3.0293934911242544</v>
      </c>
      <c r="AU24" s="2993"/>
      <c r="AV24" s="782"/>
      <c r="AW24" s="782"/>
      <c r="AX24" s="2732">
        <v>3.029393491124261</v>
      </c>
      <c r="AY24" s="2993"/>
      <c r="AZ24" s="781"/>
      <c r="BA24" s="781"/>
      <c r="BB24" s="465">
        <f t="shared" si="64"/>
        <v>0</v>
      </c>
      <c r="BC24" s="465">
        <f t="shared" si="65"/>
        <v>0</v>
      </c>
      <c r="BD24" s="782"/>
      <c r="BE24" s="782"/>
      <c r="BF24" s="26"/>
      <c r="BG24" s="26"/>
      <c r="BH24" s="26"/>
      <c r="BI24" s="26"/>
      <c r="BJ24" s="26"/>
    </row>
    <row r="25" spans="2:62" x14ac:dyDescent="0.25">
      <c r="B25" s="8" t="s">
        <v>80</v>
      </c>
      <c r="C25" s="2656" t="s">
        <v>326</v>
      </c>
      <c r="D25" s="2716">
        <f>D26*D$3*24</f>
        <v>4320</v>
      </c>
      <c r="E25" s="2771">
        <v>4903.0520311830642</v>
      </c>
      <c r="F25" s="2716">
        <f>F26*F$3*24</f>
        <v>4464</v>
      </c>
      <c r="G25" s="2771">
        <v>5873.498959055366</v>
      </c>
      <c r="H25" s="2648">
        <f t="shared" si="45"/>
        <v>8784</v>
      </c>
      <c r="I25" s="39">
        <f t="shared" si="45"/>
        <v>10776.550990238429</v>
      </c>
      <c r="J25" s="2716">
        <f>J26*J$3*24</f>
        <v>4320</v>
      </c>
      <c r="K25" s="2771">
        <v>5907.9616409987657</v>
      </c>
      <c r="L25" s="781">
        <f t="shared" si="46"/>
        <v>13104</v>
      </c>
      <c r="M25" s="781">
        <f t="shared" si="47"/>
        <v>16684.512631237194</v>
      </c>
      <c r="N25" s="2716">
        <f>N26*N$3*24</f>
        <v>4464</v>
      </c>
      <c r="O25" s="2771">
        <v>6376.3379167321564</v>
      </c>
      <c r="P25" s="782">
        <f t="shared" si="48"/>
        <v>17568</v>
      </c>
      <c r="Q25" s="782">
        <f t="shared" si="49"/>
        <v>23060.850547969349</v>
      </c>
      <c r="R25" s="2716">
        <f>R26*R$3*24</f>
        <v>4464</v>
      </c>
      <c r="S25" s="2771">
        <v>5864.3675446341649</v>
      </c>
      <c r="T25" s="782">
        <f t="shared" ref="T25" si="88">+P25+R25</f>
        <v>22032</v>
      </c>
      <c r="U25" s="782">
        <f t="shared" ref="U25" si="89">+Q25+S25</f>
        <v>28925.218092603514</v>
      </c>
      <c r="V25" s="2716">
        <f>V26*V$3*24</f>
        <v>3600</v>
      </c>
      <c r="W25" s="2771">
        <v>6078.68</v>
      </c>
      <c r="X25" s="781">
        <f t="shared" si="70"/>
        <v>12528</v>
      </c>
      <c r="Y25" s="781">
        <f t="shared" si="71"/>
        <v>18319.385461366321</v>
      </c>
      <c r="Z25" s="465">
        <f t="shared" si="52"/>
        <v>25632</v>
      </c>
      <c r="AA25" s="465">
        <f t="shared" si="53"/>
        <v>35003.898092603515</v>
      </c>
      <c r="AB25" s="2716">
        <f>AB26*AB$3*24</f>
        <v>5952</v>
      </c>
      <c r="AC25" s="2771">
        <v>5639.3462370586758</v>
      </c>
      <c r="AD25" s="782">
        <f t="shared" ref="AD25" si="90">+Z25+AB25</f>
        <v>31584</v>
      </c>
      <c r="AE25" s="782">
        <f t="shared" ref="AE25" si="91">+AA25+AC25</f>
        <v>40643.244329662193</v>
      </c>
      <c r="AF25" s="2716">
        <f>AF26*AF$3*24</f>
        <v>5760</v>
      </c>
      <c r="AG25" s="2771">
        <v>3666.1000000000004</v>
      </c>
      <c r="AH25" s="782">
        <f t="shared" ref="AH25" si="92">+AD25+AF25</f>
        <v>37344</v>
      </c>
      <c r="AI25" s="782">
        <f t="shared" ref="AI25" si="93">+AE25+AG25</f>
        <v>44309.344329662192</v>
      </c>
      <c r="AJ25" s="2716">
        <f>AJ26*AJ$3*24</f>
        <v>5952</v>
      </c>
      <c r="AK25" s="2771">
        <v>5597.7852298392436</v>
      </c>
      <c r="AL25" s="781">
        <f t="shared" ref="AL25" si="94">+AJ25+AF25+AB25</f>
        <v>17664</v>
      </c>
      <c r="AM25" s="781">
        <f t="shared" ref="AM25" si="95">+AK25+AG25+AC25</f>
        <v>14903.23146689792</v>
      </c>
      <c r="AN25" s="782">
        <f t="shared" ref="AN25" si="96">+AH25+AJ25</f>
        <v>43296</v>
      </c>
      <c r="AO25" s="782">
        <f t="shared" ref="AO25" si="97">+AI25+AK25</f>
        <v>49907.129559501438</v>
      </c>
      <c r="AP25" s="2716">
        <f>AP26*AP$3*24</f>
        <v>5952</v>
      </c>
      <c r="AQ25" s="2771">
        <v>5946.93</v>
      </c>
      <c r="AR25" s="782">
        <f t="shared" ref="AR25" si="98">+AN25+AP25</f>
        <v>49248</v>
      </c>
      <c r="AS25" s="782">
        <f t="shared" ref="AS25" si="99">+AO25+AQ25</f>
        <v>55854.059559501438</v>
      </c>
      <c r="AT25" s="2716">
        <f>AT26*AT$3*24</f>
        <v>5376</v>
      </c>
      <c r="AU25" s="2771">
        <v>5072.5567838810139</v>
      </c>
      <c r="AV25" s="782">
        <f t="shared" ref="AV25" si="100">+AR25+AT25</f>
        <v>54624</v>
      </c>
      <c r="AW25" s="782">
        <f t="shared" ref="AW25" si="101">+AS25+AU25</f>
        <v>60926.616343382455</v>
      </c>
      <c r="AX25" s="2716">
        <f>AX26*AX$3*24</f>
        <v>5952</v>
      </c>
      <c r="AY25" s="2771">
        <v>5270.0762620006035</v>
      </c>
      <c r="AZ25" s="781">
        <f t="shared" ref="AZ25" si="102">+AX25+AT25+AP25</f>
        <v>17280</v>
      </c>
      <c r="BA25" s="781">
        <f t="shared" ref="BA25" si="103">+AY25+AU25+AQ25</f>
        <v>16289.563045881618</v>
      </c>
      <c r="BB25" s="465">
        <f t="shared" si="64"/>
        <v>34944</v>
      </c>
      <c r="BC25" s="465">
        <f t="shared" si="65"/>
        <v>31192.794512779539</v>
      </c>
      <c r="BD25" s="782">
        <f t="shared" ref="BD25" si="104">+AV25+AX25</f>
        <v>60576</v>
      </c>
      <c r="BE25" s="782">
        <f t="shared" ref="BE25" si="105">+AW25+AY25</f>
        <v>66196.692605383054</v>
      </c>
      <c r="BF25" s="26"/>
      <c r="BG25" s="26"/>
      <c r="BH25" s="26"/>
      <c r="BI25" s="26"/>
      <c r="BJ25" s="26"/>
    </row>
    <row r="26" spans="2:62" ht="15" hidden="1" customHeight="1" x14ac:dyDescent="0.3">
      <c r="B26" s="8"/>
      <c r="C26" s="2656"/>
      <c r="D26" s="2732">
        <v>6</v>
      </c>
      <c r="E26" s="2993"/>
      <c r="F26" s="2732">
        <v>6</v>
      </c>
      <c r="G26" s="2993"/>
      <c r="H26" s="2648"/>
      <c r="I26" s="39"/>
      <c r="J26" s="2732">
        <v>6</v>
      </c>
      <c r="K26" s="2993"/>
      <c r="L26" s="781"/>
      <c r="M26" s="781"/>
      <c r="N26" s="2732">
        <v>6</v>
      </c>
      <c r="O26" s="2993"/>
      <c r="P26" s="782"/>
      <c r="Q26" s="782"/>
      <c r="R26" s="2732">
        <v>6</v>
      </c>
      <c r="S26" s="2993"/>
      <c r="T26" s="782"/>
      <c r="U26" s="782"/>
      <c r="V26" s="2732">
        <v>5</v>
      </c>
      <c r="W26" s="2993"/>
      <c r="X26" s="781"/>
      <c r="Y26" s="781"/>
      <c r="Z26" s="465"/>
      <c r="AA26" s="465"/>
      <c r="AB26" s="2732">
        <v>8</v>
      </c>
      <c r="AC26" s="2993"/>
      <c r="AD26" s="782"/>
      <c r="AE26" s="782"/>
      <c r="AF26" s="2732">
        <v>8</v>
      </c>
      <c r="AG26" s="2993"/>
      <c r="AH26" s="782"/>
      <c r="AI26" s="782"/>
      <c r="AJ26" s="2732">
        <v>8</v>
      </c>
      <c r="AK26" s="2993"/>
      <c r="AL26" s="781"/>
      <c r="AM26" s="781"/>
      <c r="AN26" s="782"/>
      <c r="AO26" s="782"/>
      <c r="AP26" s="2732">
        <v>8</v>
      </c>
      <c r="AQ26" s="2993"/>
      <c r="AR26" s="782"/>
      <c r="AS26" s="782"/>
      <c r="AT26" s="2732">
        <v>8</v>
      </c>
      <c r="AU26" s="2993"/>
      <c r="AV26" s="782"/>
      <c r="AW26" s="782"/>
      <c r="AX26" s="2732">
        <v>8</v>
      </c>
      <c r="AY26" s="2993"/>
      <c r="AZ26" s="781"/>
      <c r="BA26" s="781"/>
      <c r="BB26" s="465">
        <f t="shared" si="64"/>
        <v>0</v>
      </c>
      <c r="BC26" s="465">
        <f t="shared" si="65"/>
        <v>0</v>
      </c>
      <c r="BD26" s="782"/>
      <c r="BE26" s="782"/>
      <c r="BF26" s="26"/>
      <c r="BG26" s="26"/>
      <c r="BH26" s="26"/>
      <c r="BI26" s="26"/>
      <c r="BJ26" s="26"/>
    </row>
    <row r="27" spans="2:62" x14ac:dyDescent="0.25">
      <c r="B27" s="8" t="s">
        <v>108</v>
      </c>
      <c r="C27" s="2656" t="s">
        <v>326</v>
      </c>
      <c r="D27" s="2716">
        <f>D28*D$3*24</f>
        <v>2160</v>
      </c>
      <c r="E27" s="2771">
        <v>2849.78</v>
      </c>
      <c r="F27" s="2716">
        <f>F28*F$3*24</f>
        <v>0</v>
      </c>
      <c r="G27" s="2771">
        <v>2860.0800000000004</v>
      </c>
      <c r="H27" s="2648">
        <f t="shared" si="45"/>
        <v>2160</v>
      </c>
      <c r="I27" s="39">
        <f t="shared" si="45"/>
        <v>5709.8600000000006</v>
      </c>
      <c r="J27" s="2716">
        <f>J28*J$3*24</f>
        <v>0</v>
      </c>
      <c r="K27" s="2771">
        <v>2740.2558358915053</v>
      </c>
      <c r="L27" s="781">
        <f t="shared" si="46"/>
        <v>2160</v>
      </c>
      <c r="M27" s="781">
        <f t="shared" si="47"/>
        <v>8450.1158358915054</v>
      </c>
      <c r="N27" s="2716">
        <f>N28*N$3*24</f>
        <v>0</v>
      </c>
      <c r="O27" s="2771">
        <v>2835.84</v>
      </c>
      <c r="P27" s="782">
        <f t="shared" si="48"/>
        <v>2160</v>
      </c>
      <c r="Q27" s="782">
        <f t="shared" si="49"/>
        <v>11285.955835891506</v>
      </c>
      <c r="R27" s="2716">
        <f>R28*R$3*24</f>
        <v>0</v>
      </c>
      <c r="S27" s="2771">
        <v>2743.2</v>
      </c>
      <c r="T27" s="782">
        <f t="shared" ref="T27" si="106">+P27+R27</f>
        <v>2160</v>
      </c>
      <c r="U27" s="782">
        <f t="shared" ref="U27" si="107">+Q27+S27</f>
        <v>14029.155835891506</v>
      </c>
      <c r="V27" s="2716">
        <f>V28*V$3*24</f>
        <v>0</v>
      </c>
      <c r="W27" s="2771">
        <v>2809.67</v>
      </c>
      <c r="X27" s="781">
        <f>+V27+R27+N27</f>
        <v>0</v>
      </c>
      <c r="Y27" s="781">
        <f t="shared" si="71"/>
        <v>8388.7099999999991</v>
      </c>
      <c r="Z27" s="465">
        <f t="shared" si="52"/>
        <v>2160</v>
      </c>
      <c r="AA27" s="465">
        <f t="shared" si="53"/>
        <v>16838.825835891505</v>
      </c>
      <c r="AB27" s="2716">
        <f>AB28*AB$3*24</f>
        <v>2827.2</v>
      </c>
      <c r="AC27" s="2771">
        <v>3161.9019915347162</v>
      </c>
      <c r="AD27" s="782">
        <f t="shared" ref="AD27" si="108">+Z27+AB27</f>
        <v>4987.2</v>
      </c>
      <c r="AE27" s="782">
        <f t="shared" ref="AE27" si="109">+AA27+AC27</f>
        <v>20000.727827426221</v>
      </c>
      <c r="AF27" s="2716">
        <f>AF28*AF$3*24</f>
        <v>2736</v>
      </c>
      <c r="AG27" s="2771">
        <v>2126.0799999999986</v>
      </c>
      <c r="AH27" s="782">
        <f t="shared" ref="AH27" si="110">+AD27+AF27</f>
        <v>7723.2</v>
      </c>
      <c r="AI27" s="782">
        <f t="shared" ref="AI27" si="111">+AE27+AG27</f>
        <v>22126.807827426219</v>
      </c>
      <c r="AJ27" s="2716">
        <f>AJ28*AJ$3*24</f>
        <v>2827.2</v>
      </c>
      <c r="AK27" s="2771">
        <v>3144.7247738404553</v>
      </c>
      <c r="AL27" s="781">
        <f>+AJ27+AF27+AB27</f>
        <v>8390.4</v>
      </c>
      <c r="AM27" s="781">
        <f t="shared" ref="AM27" si="112">+AK27+AG27+AC27</f>
        <v>8432.7067653751692</v>
      </c>
      <c r="AN27" s="782">
        <f t="shared" ref="AN27" si="113">+AH27+AJ27</f>
        <v>10550.4</v>
      </c>
      <c r="AO27" s="782">
        <f t="shared" ref="AO27" si="114">+AI27+AK27</f>
        <v>25271.532601266674</v>
      </c>
      <c r="AP27" s="2716">
        <f>AP28*AP$3*24</f>
        <v>2827.2</v>
      </c>
      <c r="AQ27" s="2771">
        <v>3428.53</v>
      </c>
      <c r="AR27" s="782">
        <f t="shared" ref="AR27" si="115">+AN27+AP27</f>
        <v>13377.599999999999</v>
      </c>
      <c r="AS27" s="782">
        <f t="shared" ref="AS27" si="116">+AO27+AQ27</f>
        <v>28700.062601266673</v>
      </c>
      <c r="AT27" s="2716">
        <f>AT28*AT$3*24</f>
        <v>2553.6</v>
      </c>
      <c r="AU27" s="2771">
        <v>2666.4360493833824</v>
      </c>
      <c r="AV27" s="782">
        <f t="shared" ref="AV27" si="117">+AR27+AT27</f>
        <v>15931.199999999999</v>
      </c>
      <c r="AW27" s="782">
        <f t="shared" ref="AW27" si="118">+AS27+AU27</f>
        <v>31366.498650650054</v>
      </c>
      <c r="AX27" s="2716">
        <f>AX28*AX$3*24</f>
        <v>2827.2</v>
      </c>
      <c r="AY27" s="2771">
        <v>2809.4399999999996</v>
      </c>
      <c r="AZ27" s="781">
        <f>+AX27+AT27+AP27</f>
        <v>8208</v>
      </c>
      <c r="BA27" s="781">
        <f t="shared" ref="BA27" si="119">+AY27+AU27+AQ27</f>
        <v>8904.4060493833822</v>
      </c>
      <c r="BB27" s="465">
        <f t="shared" si="64"/>
        <v>16598.400000000001</v>
      </c>
      <c r="BC27" s="465">
        <f t="shared" si="65"/>
        <v>17337.112814758551</v>
      </c>
      <c r="BD27" s="782">
        <f t="shared" ref="BD27" si="120">+AV27+AX27</f>
        <v>18758.399999999998</v>
      </c>
      <c r="BE27" s="782">
        <f t="shared" ref="BE27" si="121">+AW27+AY27</f>
        <v>34175.938650650052</v>
      </c>
      <c r="BF27" s="26"/>
      <c r="BG27" s="26"/>
      <c r="BH27" s="26"/>
      <c r="BI27" s="26"/>
      <c r="BJ27" s="26"/>
    </row>
    <row r="28" spans="2:62" ht="15" hidden="1" customHeight="1" x14ac:dyDescent="0.3">
      <c r="B28" s="8"/>
      <c r="C28" s="2656"/>
      <c r="D28" s="2732">
        <v>3</v>
      </c>
      <c r="E28" s="2993"/>
      <c r="F28" s="2732">
        <v>0</v>
      </c>
      <c r="G28" s="2993"/>
      <c r="H28" s="2648"/>
      <c r="I28" s="39"/>
      <c r="J28" s="2732">
        <v>0</v>
      </c>
      <c r="K28" s="2993"/>
      <c r="L28" s="781"/>
      <c r="M28" s="781"/>
      <c r="N28" s="2732">
        <v>0</v>
      </c>
      <c r="O28" s="2993"/>
      <c r="P28" s="782"/>
      <c r="Q28" s="782"/>
      <c r="R28" s="2732">
        <v>0</v>
      </c>
      <c r="S28" s="2993"/>
      <c r="T28" s="782"/>
      <c r="U28" s="782"/>
      <c r="V28" s="2732">
        <v>0</v>
      </c>
      <c r="W28" s="2993"/>
      <c r="X28" s="781"/>
      <c r="Y28" s="781"/>
      <c r="Z28" s="465"/>
      <c r="AA28" s="465"/>
      <c r="AB28" s="2732">
        <v>3.8</v>
      </c>
      <c r="AC28" s="2993"/>
      <c r="AD28" s="782"/>
      <c r="AE28" s="782"/>
      <c r="AF28" s="2732">
        <v>3.8</v>
      </c>
      <c r="AG28" s="2993"/>
      <c r="AH28" s="782"/>
      <c r="AI28" s="782"/>
      <c r="AJ28" s="2732">
        <v>3.8</v>
      </c>
      <c r="AK28" s="2993"/>
      <c r="AL28" s="781"/>
      <c r="AM28" s="781"/>
      <c r="AN28" s="782"/>
      <c r="AO28" s="782"/>
      <c r="AP28" s="2732">
        <v>3.8</v>
      </c>
      <c r="AQ28" s="2993"/>
      <c r="AR28" s="782"/>
      <c r="AS28" s="782"/>
      <c r="AT28" s="2732">
        <v>3.8</v>
      </c>
      <c r="AU28" s="2993"/>
      <c r="AV28" s="782"/>
      <c r="AW28" s="782"/>
      <c r="AX28" s="2732">
        <v>3.8</v>
      </c>
      <c r="AY28" s="2993"/>
      <c r="AZ28" s="781"/>
      <c r="BA28" s="781"/>
      <c r="BB28" s="465">
        <f t="shared" si="64"/>
        <v>0</v>
      </c>
      <c r="BC28" s="465">
        <f t="shared" si="65"/>
        <v>0</v>
      </c>
      <c r="BD28" s="782"/>
      <c r="BE28" s="782"/>
      <c r="BF28" s="26"/>
      <c r="BG28" s="26"/>
      <c r="BH28" s="26"/>
      <c r="BI28" s="26"/>
      <c r="BJ28" s="26"/>
    </row>
    <row r="29" spans="2:62" x14ac:dyDescent="0.25">
      <c r="B29" s="8" t="s">
        <v>81</v>
      </c>
      <c r="C29" s="2656" t="s">
        <v>326</v>
      </c>
      <c r="D29" s="2716">
        <f>D30*D$3*24</f>
        <v>10031.440544004065</v>
      </c>
      <c r="E29" s="2771">
        <v>9457.5649782267046</v>
      </c>
      <c r="F29" s="2716">
        <f>F30*F$3*24</f>
        <v>10169.32580362149</v>
      </c>
      <c r="G29" s="2771">
        <v>10172.221038753694</v>
      </c>
      <c r="H29" s="2648">
        <f t="shared" si="45"/>
        <v>20200.766347625555</v>
      </c>
      <c r="I29" s="39">
        <f t="shared" si="45"/>
        <v>19629.786016980397</v>
      </c>
      <c r="J29" s="2716">
        <f>J30*J$3*24</f>
        <v>9797.1546597739634</v>
      </c>
      <c r="K29" s="2771">
        <v>9690.8945314058328</v>
      </c>
      <c r="L29" s="781">
        <f t="shared" si="46"/>
        <v>29997.92100739952</v>
      </c>
      <c r="M29" s="781">
        <f t="shared" si="47"/>
        <v>29320.68054838623</v>
      </c>
      <c r="N29" s="2716">
        <f>N30*N$3*24</f>
        <v>10428.164621257716</v>
      </c>
      <c r="O29" s="2771">
        <v>9827.931974380359</v>
      </c>
      <c r="P29" s="782">
        <f t="shared" si="48"/>
        <v>40426.085628657238</v>
      </c>
      <c r="Q29" s="782">
        <f t="shared" si="49"/>
        <v>39148.612522766591</v>
      </c>
      <c r="R29" s="2716">
        <f>R30*R$3*24</f>
        <v>10423.399059127532</v>
      </c>
      <c r="S29" s="2771">
        <v>9485.8884009390804</v>
      </c>
      <c r="T29" s="782">
        <f t="shared" ref="T29" si="122">+P29+R29</f>
        <v>50849.484687784774</v>
      </c>
      <c r="U29" s="782">
        <f t="shared" ref="U29" si="123">+Q29+S29</f>
        <v>48634.500923705673</v>
      </c>
      <c r="V29" s="2716">
        <f>V30*V$3*24</f>
        <v>11699.700633482855</v>
      </c>
      <c r="W29" s="2771">
        <v>9697.5499999999993</v>
      </c>
      <c r="X29" s="781">
        <f t="shared" si="70"/>
        <v>32551.264313868101</v>
      </c>
      <c r="Y29" s="781">
        <f t="shared" si="71"/>
        <v>29011.370375319435</v>
      </c>
      <c r="Z29" s="465">
        <f t="shared" si="52"/>
        <v>62549.185321267621</v>
      </c>
      <c r="AA29" s="465">
        <f t="shared" si="53"/>
        <v>58332.050923705669</v>
      </c>
      <c r="AB29" s="2716">
        <f>AB30*AB$3*24</f>
        <v>10595.762572359146</v>
      </c>
      <c r="AC29" s="2771">
        <v>9786.4699999999975</v>
      </c>
      <c r="AD29" s="782">
        <f t="shared" ref="AD29" si="124">+Z29+AB29</f>
        <v>73144.94789362677</v>
      </c>
      <c r="AE29" s="782">
        <f t="shared" ref="AE29" si="125">+AA29+AC29</f>
        <v>68118.52092370567</v>
      </c>
      <c r="AF29" s="2716">
        <f>AF30*AF$3*24</f>
        <v>10234.170426087781</v>
      </c>
      <c r="AG29" s="2771">
        <v>6303.0300000000007</v>
      </c>
      <c r="AH29" s="782">
        <f t="shared" ref="AH29" si="126">+AD29+AF29</f>
        <v>83379.118319714558</v>
      </c>
      <c r="AI29" s="782">
        <f t="shared" ref="AI29" si="127">+AE29+AG29</f>
        <v>74421.550923705669</v>
      </c>
      <c r="AJ29" s="2716">
        <f>AJ30*AJ$3*24</f>
        <v>10595.762572359146</v>
      </c>
      <c r="AK29" s="2771">
        <v>11324.401142331399</v>
      </c>
      <c r="AL29" s="781">
        <f t="shared" ref="AL29" si="128">+AJ29+AF29+AB29</f>
        <v>31425.695570806078</v>
      </c>
      <c r="AM29" s="781">
        <f t="shared" ref="AM29" si="129">+AK29+AG29+AC29</f>
        <v>27413.901142331397</v>
      </c>
      <c r="AN29" s="782">
        <f t="shared" ref="AN29" si="130">+AH29+AJ29</f>
        <v>93974.880892073706</v>
      </c>
      <c r="AO29" s="782">
        <f t="shared" ref="AO29" si="131">+AI29+AK29</f>
        <v>85745.952066037062</v>
      </c>
      <c r="AP29" s="2716">
        <f>AP30*AP$3*24</f>
        <v>10595.762572359146</v>
      </c>
      <c r="AQ29" s="2771">
        <v>10709.73</v>
      </c>
      <c r="AR29" s="782">
        <f t="shared" ref="AR29" si="132">+AN29+AP29</f>
        <v>104570.64346443285</v>
      </c>
      <c r="AS29" s="782">
        <f t="shared" ref="AS29" si="133">+AO29+AQ29</f>
        <v>96455.682066037058</v>
      </c>
      <c r="AT29" s="2716">
        <f>AT30*AT$3*24</f>
        <v>9594.113945141451</v>
      </c>
      <c r="AU29" s="2771">
        <v>9353.8741919054373</v>
      </c>
      <c r="AV29" s="782">
        <f t="shared" ref="AV29" si="134">+AR29+AT29</f>
        <v>114164.7574095743</v>
      </c>
      <c r="AW29" s="782">
        <f t="shared" ref="AW29" si="135">+AS29+AU29</f>
        <v>105809.55625794249</v>
      </c>
      <c r="AX29" s="2716">
        <f>AX30*AX$3*24</f>
        <v>10595.762572359146</v>
      </c>
      <c r="AY29" s="2771">
        <v>10141.914385331263</v>
      </c>
      <c r="AZ29" s="781">
        <f t="shared" ref="AZ29" si="136">+AX29+AT29+AP29</f>
        <v>30785.639089859746</v>
      </c>
      <c r="BA29" s="781">
        <f t="shared" ref="BA29" si="137">+AY29+AU29+AQ29</f>
        <v>30205.5185772367</v>
      </c>
      <c r="BB29" s="465">
        <f t="shared" si="64"/>
        <v>62211.334660665823</v>
      </c>
      <c r="BC29" s="465">
        <f t="shared" si="65"/>
        <v>57619.419719568097</v>
      </c>
      <c r="BD29" s="782">
        <f t="shared" ref="BD29" si="138">+AV29+AX29</f>
        <v>124760.51998193345</v>
      </c>
      <c r="BE29" s="782">
        <f t="shared" ref="BE29" si="139">+AW29+AY29</f>
        <v>115951.47064327376</v>
      </c>
      <c r="BF29" s="26"/>
      <c r="BG29" s="26"/>
      <c r="BH29" s="26"/>
      <c r="BI29" s="26"/>
      <c r="BJ29" s="26"/>
    </row>
    <row r="30" spans="2:62" ht="15" hidden="1" customHeight="1" x14ac:dyDescent="0.3">
      <c r="B30" s="8"/>
      <c r="C30" s="2656"/>
      <c r="D30" s="2716">
        <v>13.932556311116755</v>
      </c>
      <c r="E30" s="2771"/>
      <c r="F30" s="2716">
        <v>13.668448660781571</v>
      </c>
      <c r="G30" s="2771"/>
      <c r="H30" s="2648"/>
      <c r="I30" s="39"/>
      <c r="J30" s="2716">
        <v>13.60715924968606</v>
      </c>
      <c r="K30" s="2771"/>
      <c r="L30" s="781"/>
      <c r="M30" s="781"/>
      <c r="N30" s="2716">
        <v>14.016350297389403</v>
      </c>
      <c r="O30" s="2771"/>
      <c r="P30" s="782"/>
      <c r="Q30" s="782"/>
      <c r="R30" s="2716">
        <v>14.009944971945609</v>
      </c>
      <c r="S30" s="2771"/>
      <c r="T30" s="782"/>
      <c r="U30" s="782"/>
      <c r="V30" s="2716">
        <v>16.249584213170632</v>
      </c>
      <c r="W30" s="2771"/>
      <c r="X30" s="781"/>
      <c r="Y30" s="781"/>
      <c r="Z30" s="465"/>
      <c r="AA30" s="465"/>
      <c r="AB30" s="2716">
        <v>14.241616360697778</v>
      </c>
      <c r="AC30" s="2771"/>
      <c r="AD30" s="782"/>
      <c r="AE30" s="782"/>
      <c r="AF30" s="2716">
        <v>14.214125591788585</v>
      </c>
      <c r="AG30" s="2771"/>
      <c r="AH30" s="782"/>
      <c r="AI30" s="782"/>
      <c r="AJ30" s="2936">
        <v>14.241616360697778</v>
      </c>
      <c r="AK30" s="2771"/>
      <c r="AL30" s="781"/>
      <c r="AM30" s="781"/>
      <c r="AN30" s="782"/>
      <c r="AO30" s="782"/>
      <c r="AP30" s="2936">
        <v>14.241616360697778</v>
      </c>
      <c r="AQ30" s="2771"/>
      <c r="AR30" s="782"/>
      <c r="AS30" s="782"/>
      <c r="AT30" s="2936">
        <v>14.276955275508111</v>
      </c>
      <c r="AU30" s="2771"/>
      <c r="AV30" s="782"/>
      <c r="AW30" s="782"/>
      <c r="AX30" s="2936">
        <v>14.241616360697778</v>
      </c>
      <c r="AY30" s="2771"/>
      <c r="AZ30" s="781"/>
      <c r="BA30" s="781"/>
      <c r="BB30" s="465">
        <f t="shared" si="64"/>
        <v>0</v>
      </c>
      <c r="BC30" s="465">
        <f t="shared" si="65"/>
        <v>0</v>
      </c>
      <c r="BD30" s="782"/>
      <c r="BE30" s="782"/>
      <c r="BF30" s="26"/>
      <c r="BG30" s="26"/>
      <c r="BH30" s="26"/>
      <c r="BI30" s="26"/>
      <c r="BJ30" s="26"/>
    </row>
    <row r="31" spans="2:62" x14ac:dyDescent="0.25">
      <c r="B31" s="8" t="s">
        <v>57</v>
      </c>
      <c r="C31" s="2656" t="s">
        <v>326</v>
      </c>
      <c r="D31" s="2716">
        <f>D32*D$3*24</f>
        <v>2590.1918789593333</v>
      </c>
      <c r="E31" s="2771">
        <v>2498.5</v>
      </c>
      <c r="F31" s="2716">
        <f>F32*F$3*24</f>
        <v>2672.7149177155043</v>
      </c>
      <c r="G31" s="2771">
        <v>2613.1999999999998</v>
      </c>
      <c r="H31" s="2648">
        <f t="shared" si="45"/>
        <v>5262.9067966748371</v>
      </c>
      <c r="I31" s="39">
        <f t="shared" si="45"/>
        <v>5111.7</v>
      </c>
      <c r="J31" s="2716">
        <f>J32*J$3*24</f>
        <v>2590.1918789593333</v>
      </c>
      <c r="K31" s="2771">
        <v>2511</v>
      </c>
      <c r="L31" s="781">
        <f t="shared" si="46"/>
        <v>7853.0986756341699</v>
      </c>
      <c r="M31" s="781">
        <f t="shared" si="47"/>
        <v>7622.7</v>
      </c>
      <c r="N31" s="2716">
        <f>N32*N$3*24</f>
        <v>2621.1380184928976</v>
      </c>
      <c r="O31" s="2771">
        <v>2604</v>
      </c>
      <c r="P31" s="782">
        <f t="shared" si="48"/>
        <v>10474.236694127067</v>
      </c>
      <c r="Q31" s="782">
        <f t="shared" si="49"/>
        <v>10226.700000000001</v>
      </c>
      <c r="R31" s="2716">
        <f>R32*R$3*24</f>
        <v>2621.1380184928976</v>
      </c>
      <c r="S31" s="2771">
        <v>2543.5</v>
      </c>
      <c r="T31" s="782">
        <f t="shared" ref="T31" si="140">+P31+R31</f>
        <v>13095.374712619963</v>
      </c>
      <c r="U31" s="782">
        <f t="shared" ref="U31" si="141">+Q31+S31</f>
        <v>12770.2</v>
      </c>
      <c r="V31" s="2716">
        <f>V32*V$3*24</f>
        <v>1375.555902266934</v>
      </c>
      <c r="W31" s="2771">
        <v>2516.5300000000002</v>
      </c>
      <c r="X31" s="781">
        <f t="shared" si="70"/>
        <v>6617.8319392527292</v>
      </c>
      <c r="Y31" s="781">
        <f t="shared" si="71"/>
        <v>7664.0300000000007</v>
      </c>
      <c r="Z31" s="465">
        <f t="shared" si="52"/>
        <v>14470.9306148869</v>
      </c>
      <c r="AA31" s="465">
        <f t="shared" si="53"/>
        <v>15286.73</v>
      </c>
      <c r="AB31" s="2716">
        <f>AB32*AB$3*24</f>
        <v>2355.91123224478</v>
      </c>
      <c r="AC31" s="2771">
        <v>2593.3732936844058</v>
      </c>
      <c r="AD31" s="782">
        <f t="shared" ref="AD31" si="142">+Z31+AB31</f>
        <v>16826.84184713168</v>
      </c>
      <c r="AE31" s="782">
        <f t="shared" ref="AE31" si="143">+AA31+AC31</f>
        <v>17880.103293684406</v>
      </c>
      <c r="AF31" s="2716">
        <f>AF32*AF$3*24</f>
        <v>2280.4073068463422</v>
      </c>
      <c r="AG31" s="2771">
        <v>189.00000000000009</v>
      </c>
      <c r="AH31" s="782">
        <f t="shared" ref="AH31" si="144">+AD31+AF31</f>
        <v>19107.249153978024</v>
      </c>
      <c r="AI31" s="782">
        <f t="shared" ref="AI31" si="145">+AE31+AG31</f>
        <v>18069.103293684406</v>
      </c>
      <c r="AJ31" s="2716">
        <f>AJ32*AJ$3*24</f>
        <v>2355.91123224478</v>
      </c>
      <c r="AK31" s="2771">
        <v>2492.0536064585071</v>
      </c>
      <c r="AL31" s="781">
        <f t="shared" ref="AL31" si="146">+AJ31+AF31+AB31</f>
        <v>6992.2297713359021</v>
      </c>
      <c r="AM31" s="781">
        <f t="shared" ref="AM31" si="147">+AK31+AG31+AC31</f>
        <v>5274.4269001429129</v>
      </c>
      <c r="AN31" s="782">
        <f t="shared" ref="AN31" si="148">+AH31+AJ31</f>
        <v>21463.160386222804</v>
      </c>
      <c r="AO31" s="782">
        <f t="shared" ref="AO31" si="149">+AI31+AK31</f>
        <v>20561.156900142912</v>
      </c>
      <c r="AP31" s="2716">
        <f>AP32*AP$3*24</f>
        <v>2355.91123224478</v>
      </c>
      <c r="AQ31" s="2771">
        <v>2677.98</v>
      </c>
      <c r="AR31" s="782">
        <f t="shared" ref="AR31" si="150">+AN31+AP31</f>
        <v>23819.071618467584</v>
      </c>
      <c r="AS31" s="782">
        <f t="shared" ref="AS31" si="151">+AO31+AQ31</f>
        <v>23239.136900142912</v>
      </c>
      <c r="AT31" s="2716">
        <f>AT32*AT$3*24</f>
        <v>2119.9614653746594</v>
      </c>
      <c r="AU31" s="2771">
        <v>2352</v>
      </c>
      <c r="AV31" s="782">
        <f t="shared" ref="AV31" si="152">+AR31+AT31</f>
        <v>25939.033083842245</v>
      </c>
      <c r="AW31" s="782">
        <f t="shared" ref="AW31" si="153">+AS31+AU31</f>
        <v>25591.136900142912</v>
      </c>
      <c r="AX31" s="2716">
        <f>AX32*AX$3*24</f>
        <v>2355.91123224478</v>
      </c>
      <c r="AY31" s="2771">
        <v>2592.04</v>
      </c>
      <c r="AZ31" s="781">
        <f t="shared" ref="AZ31" si="154">+AX31+AT31+AP31</f>
        <v>6831.7839298642193</v>
      </c>
      <c r="BA31" s="781">
        <f t="shared" ref="BA31" si="155">+AY31+AU31+AQ31</f>
        <v>7622.02</v>
      </c>
      <c r="BB31" s="465">
        <f t="shared" si="64"/>
        <v>13824.013701200121</v>
      </c>
      <c r="BC31" s="465">
        <f t="shared" si="65"/>
        <v>12896.446900142913</v>
      </c>
      <c r="BD31" s="782">
        <f t="shared" ref="BD31" si="156">+AV31+AX31</f>
        <v>28294.944316087025</v>
      </c>
      <c r="BE31" s="782">
        <f t="shared" ref="BE31" si="157">+AW31+AY31</f>
        <v>28183.176900142913</v>
      </c>
      <c r="BF31" s="26"/>
      <c r="BG31" s="26"/>
      <c r="BH31" s="26"/>
      <c r="BI31" s="26"/>
      <c r="BJ31" s="26"/>
    </row>
    <row r="32" spans="2:62" ht="15" hidden="1" customHeight="1" x14ac:dyDescent="0.3">
      <c r="B32" s="8"/>
      <c r="C32" s="2656"/>
      <c r="D32" s="2732">
        <v>3.5974887207768518</v>
      </c>
      <c r="E32" s="2993"/>
      <c r="F32" s="2732">
        <v>3.5923587603703018</v>
      </c>
      <c r="G32" s="2993"/>
      <c r="H32" s="2648"/>
      <c r="I32" s="39"/>
      <c r="J32" s="2732">
        <v>3.5974887207768518</v>
      </c>
      <c r="K32" s="2993"/>
      <c r="L32" s="781"/>
      <c r="M32" s="781"/>
      <c r="N32" s="2732">
        <v>3.5230349710926041</v>
      </c>
      <c r="O32" s="2993"/>
      <c r="P32" s="782"/>
      <c r="Q32" s="782"/>
      <c r="R32" s="2732">
        <v>3.5230349710926041</v>
      </c>
      <c r="S32" s="2993"/>
      <c r="T32" s="782"/>
      <c r="U32" s="782"/>
      <c r="V32" s="2732">
        <v>1.9104943087040749</v>
      </c>
      <c r="W32" s="2993"/>
      <c r="X32" s="781"/>
      <c r="Y32" s="781"/>
      <c r="Z32" s="465"/>
      <c r="AA32" s="465"/>
      <c r="AB32" s="2732">
        <v>3.1665473551677152</v>
      </c>
      <c r="AC32" s="2993"/>
      <c r="AD32" s="782"/>
      <c r="AE32" s="782"/>
      <c r="AF32" s="2732">
        <v>3.1672323706199195</v>
      </c>
      <c r="AG32" s="2993"/>
      <c r="AH32" s="782"/>
      <c r="AI32" s="782"/>
      <c r="AJ32" s="2732">
        <v>3.1665473551677152</v>
      </c>
      <c r="AK32" s="2993"/>
      <c r="AL32" s="781"/>
      <c r="AM32" s="781"/>
      <c r="AN32" s="782"/>
      <c r="AO32" s="782"/>
      <c r="AP32" s="2732">
        <v>3.1665473551677152</v>
      </c>
      <c r="AQ32" s="2993"/>
      <c r="AR32" s="782"/>
      <c r="AS32" s="782"/>
      <c r="AT32" s="2732">
        <v>3.1547045615694338</v>
      </c>
      <c r="AU32" s="2993"/>
      <c r="AV32" s="782"/>
      <c r="AW32" s="782"/>
      <c r="AX32" s="2732">
        <v>3.1665473551677152</v>
      </c>
      <c r="AY32" s="2993"/>
      <c r="AZ32" s="781"/>
      <c r="BA32" s="781"/>
      <c r="BB32" s="465">
        <f t="shared" si="64"/>
        <v>0</v>
      </c>
      <c r="BC32" s="465">
        <f t="shared" si="65"/>
        <v>0</v>
      </c>
      <c r="BD32" s="782"/>
      <c r="BE32" s="782"/>
      <c r="BF32" s="26"/>
      <c r="BG32" s="26"/>
      <c r="BH32" s="26"/>
      <c r="BI32" s="26"/>
      <c r="BJ32" s="26"/>
    </row>
    <row r="33" spans="2:62" x14ac:dyDescent="0.25">
      <c r="B33" s="8" t="s">
        <v>58</v>
      </c>
      <c r="C33" s="2656" t="s">
        <v>326</v>
      </c>
      <c r="D33" s="2716">
        <f>D34*D$3*24</f>
        <v>1123.6233803241867</v>
      </c>
      <c r="E33" s="2771">
        <v>1084.5</v>
      </c>
      <c r="F33" s="2716">
        <f>F34*F$3*24</f>
        <v>1157.85238949327</v>
      </c>
      <c r="G33" s="2771">
        <v>1127.8000000000002</v>
      </c>
      <c r="H33" s="2648">
        <f t="shared" si="45"/>
        <v>2281.4757698174567</v>
      </c>
      <c r="I33" s="39">
        <f t="shared" si="45"/>
        <v>2212.3000000000002</v>
      </c>
      <c r="J33" s="2716">
        <f>J34*J$3*24</f>
        <v>1123.6233803241867</v>
      </c>
      <c r="K33" s="2771">
        <v>1080</v>
      </c>
      <c r="L33" s="781">
        <f t="shared" si="46"/>
        <v>3405.0991501416433</v>
      </c>
      <c r="M33" s="781">
        <f t="shared" si="47"/>
        <v>3292.3</v>
      </c>
      <c r="N33" s="2716">
        <f>N34*N$3*24</f>
        <v>1114.2699096501669</v>
      </c>
      <c r="O33" s="2771">
        <v>1116.0100000000002</v>
      </c>
      <c r="P33" s="782">
        <f t="shared" si="48"/>
        <v>4519.3690597918103</v>
      </c>
      <c r="Q33" s="782">
        <f t="shared" si="49"/>
        <v>4408.3100000000004</v>
      </c>
      <c r="R33" s="2716">
        <f>R34*R$3*24</f>
        <v>1114.2699096501669</v>
      </c>
      <c r="S33" s="2771">
        <v>1087.04</v>
      </c>
      <c r="T33" s="782">
        <f t="shared" ref="T33" si="158">+P33+R33</f>
        <v>5633.6389694419777</v>
      </c>
      <c r="U33" s="782">
        <f t="shared" ref="U33" si="159">+Q33+S33</f>
        <v>5495.35</v>
      </c>
      <c r="V33" s="2716">
        <f>V34*V$3*24</f>
        <v>369.91870191260034</v>
      </c>
      <c r="W33" s="2771">
        <v>1078.5</v>
      </c>
      <c r="X33" s="781">
        <f t="shared" si="70"/>
        <v>2598.4585212129341</v>
      </c>
      <c r="Y33" s="781">
        <f t="shared" si="71"/>
        <v>3281.55</v>
      </c>
      <c r="Z33" s="465">
        <f t="shared" si="52"/>
        <v>6003.5576713545779</v>
      </c>
      <c r="AA33" s="465">
        <f t="shared" si="53"/>
        <v>6573.85</v>
      </c>
      <c r="AB33" s="2716">
        <f>AB34*AB$3*24</f>
        <v>1142.1118678128837</v>
      </c>
      <c r="AC33" s="2771">
        <v>1111.2200000000003</v>
      </c>
      <c r="AD33" s="782">
        <f t="shared" ref="AD33" si="160">+Z33+AB33</f>
        <v>7145.6695391674621</v>
      </c>
      <c r="AE33" s="782">
        <f t="shared" ref="AE33" si="161">+AA33+AC33</f>
        <v>7685.0700000000006</v>
      </c>
      <c r="AF33" s="2716">
        <f>AF34*AF$3*24</f>
        <v>1105.7362956346997</v>
      </c>
      <c r="AG33" s="2771">
        <v>78</v>
      </c>
      <c r="AH33" s="782">
        <f t="shared" ref="AH33" si="162">+AD33+AF33</f>
        <v>8251.4058348021608</v>
      </c>
      <c r="AI33" s="782">
        <f t="shared" ref="AI33" si="163">+AE33+AG33</f>
        <v>7763.0700000000006</v>
      </c>
      <c r="AJ33" s="2716">
        <f>AJ34*AJ$3*24</f>
        <v>1142.1118678128837</v>
      </c>
      <c r="AK33" s="2771">
        <v>1054</v>
      </c>
      <c r="AL33" s="781">
        <f t="shared" ref="AL33" si="164">+AJ33+AF33+AB33</f>
        <v>3389.9600312604671</v>
      </c>
      <c r="AM33" s="781">
        <f t="shared" ref="AM33" si="165">+AK33+AG33+AC33</f>
        <v>2243.2200000000003</v>
      </c>
      <c r="AN33" s="782">
        <f t="shared" ref="AN33" si="166">+AH33+AJ33</f>
        <v>9393.517702615045</v>
      </c>
      <c r="AO33" s="782">
        <f t="shared" ref="AO33" si="167">+AI33+AK33</f>
        <v>8817.07</v>
      </c>
      <c r="AP33" s="2716">
        <f>AP34*AP$3*24</f>
        <v>1142.1118678128837</v>
      </c>
      <c r="AQ33" s="2771">
        <v>1142.81</v>
      </c>
      <c r="AR33" s="782">
        <f t="shared" ref="AR33" si="168">+AN33+AP33</f>
        <v>10535.629570427929</v>
      </c>
      <c r="AS33" s="782">
        <f t="shared" ref="AS33" si="169">+AO33+AQ33</f>
        <v>9959.8799999999992</v>
      </c>
      <c r="AT33" s="2716">
        <f>AT34*AT$3*24</f>
        <v>1024.0535893714411</v>
      </c>
      <c r="AU33" s="2771">
        <v>1008.0400000000001</v>
      </c>
      <c r="AV33" s="782">
        <f t="shared" ref="AV33" si="170">+AR33+AT33</f>
        <v>11559.68315979937</v>
      </c>
      <c r="AW33" s="782">
        <f t="shared" ref="AW33" si="171">+AS33+AU33</f>
        <v>10967.92</v>
      </c>
      <c r="AX33" s="2716">
        <f>AX34*AX$3*24</f>
        <v>1142.1118678128837</v>
      </c>
      <c r="AY33" s="2771">
        <v>1116</v>
      </c>
      <c r="AZ33" s="781">
        <f t="shared" ref="AZ33" si="172">+AX33+AT33+AP33</f>
        <v>3308.2773249972083</v>
      </c>
      <c r="BA33" s="781">
        <f t="shared" ref="BA33" si="173">+AY33+AU33+AQ33</f>
        <v>3266.85</v>
      </c>
      <c r="BB33" s="465">
        <f t="shared" si="64"/>
        <v>6698.2373562576759</v>
      </c>
      <c r="BC33" s="465">
        <f t="shared" si="65"/>
        <v>5510.07</v>
      </c>
      <c r="BD33" s="782">
        <f t="shared" ref="BD33" si="174">+AV33+AX33</f>
        <v>12701.795027612254</v>
      </c>
      <c r="BE33" s="782">
        <f t="shared" ref="BE33" si="175">+AW33+AY33</f>
        <v>12083.92</v>
      </c>
      <c r="BF33" s="26"/>
      <c r="BG33" s="26"/>
      <c r="BH33" s="26"/>
      <c r="BI33" s="26"/>
      <c r="BJ33" s="26"/>
    </row>
    <row r="34" spans="2:62" ht="15" hidden="1" customHeight="1" x14ac:dyDescent="0.3">
      <c r="B34" s="8"/>
      <c r="C34" s="2656"/>
      <c r="D34" s="2732">
        <v>1.5605880282280371</v>
      </c>
      <c r="E34" s="2993"/>
      <c r="F34" s="2732">
        <v>1.5562532116845027</v>
      </c>
      <c r="G34" s="2993"/>
      <c r="H34" s="2648"/>
      <c r="I34" s="39"/>
      <c r="J34" s="2732">
        <v>1.5605880282280371</v>
      </c>
      <c r="K34" s="2993"/>
      <c r="L34" s="781"/>
      <c r="M34" s="781"/>
      <c r="N34" s="2732">
        <v>1.4976746097448479</v>
      </c>
      <c r="O34" s="2993"/>
      <c r="P34" s="782"/>
      <c r="Q34" s="782"/>
      <c r="R34" s="2732">
        <v>1.4976746097448479</v>
      </c>
      <c r="S34" s="2993"/>
      <c r="T34" s="782"/>
      <c r="U34" s="782"/>
      <c r="V34" s="2732">
        <v>0.5137759748786116</v>
      </c>
      <c r="W34" s="2993"/>
      <c r="X34" s="781"/>
      <c r="Y34" s="781"/>
      <c r="Z34" s="465"/>
      <c r="AA34" s="465"/>
      <c r="AB34" s="2732">
        <v>1.5350965965226933</v>
      </c>
      <c r="AC34" s="2993"/>
      <c r="AD34" s="782"/>
      <c r="AE34" s="782"/>
      <c r="AF34" s="2732">
        <v>1.5357448550481938</v>
      </c>
      <c r="AG34" s="2993"/>
      <c r="AH34" s="782"/>
      <c r="AI34" s="782"/>
      <c r="AJ34" s="2732">
        <v>1.5350965965226933</v>
      </c>
      <c r="AK34" s="2993"/>
      <c r="AL34" s="781"/>
      <c r="AM34" s="781"/>
      <c r="AN34" s="782"/>
      <c r="AO34" s="782"/>
      <c r="AP34" s="2732">
        <v>1.5350965965226933</v>
      </c>
      <c r="AQ34" s="2993"/>
      <c r="AR34" s="782"/>
      <c r="AS34" s="782"/>
      <c r="AT34" s="2732">
        <v>1.523889269897978</v>
      </c>
      <c r="AU34" s="2993"/>
      <c r="AV34" s="782"/>
      <c r="AW34" s="782"/>
      <c r="AX34" s="2732">
        <v>1.5350965965226933</v>
      </c>
      <c r="AY34" s="2993"/>
      <c r="AZ34" s="781"/>
      <c r="BA34" s="781"/>
      <c r="BB34" s="465">
        <f t="shared" si="64"/>
        <v>0</v>
      </c>
      <c r="BC34" s="465">
        <f t="shared" si="65"/>
        <v>0</v>
      </c>
      <c r="BD34" s="782"/>
      <c r="BE34" s="782"/>
      <c r="BF34" s="26"/>
      <c r="BG34" s="26"/>
      <c r="BH34" s="26"/>
      <c r="BI34" s="26"/>
      <c r="BJ34" s="26"/>
    </row>
    <row r="35" spans="2:62" x14ac:dyDescent="0.25">
      <c r="B35" s="8" t="s">
        <v>59</v>
      </c>
      <c r="C35" s="2656" t="s">
        <v>326</v>
      </c>
      <c r="D35" s="2716">
        <f>D36*D$3*24</f>
        <v>918.53654458402048</v>
      </c>
      <c r="E35" s="2771">
        <v>1237.6782628054548</v>
      </c>
      <c r="F35" s="2716">
        <f>F36*F$3*24</f>
        <v>1427.9339305750007</v>
      </c>
      <c r="G35" s="2771">
        <v>1042.0188628037854</v>
      </c>
      <c r="H35" s="2648">
        <f t="shared" si="45"/>
        <v>2346.4704751590211</v>
      </c>
      <c r="I35" s="39">
        <f t="shared" si="45"/>
        <v>2279.6971256092402</v>
      </c>
      <c r="J35" s="2716">
        <f>J36*J$3*24</f>
        <v>1392.1569503851563</v>
      </c>
      <c r="K35" s="2771">
        <v>958.26913737942414</v>
      </c>
      <c r="L35" s="781">
        <f t="shared" si="46"/>
        <v>3738.6274255441776</v>
      </c>
      <c r="M35" s="781">
        <f t="shared" si="47"/>
        <v>3237.9662629886643</v>
      </c>
      <c r="N35" s="2716">
        <f>N36*N$3*24</f>
        <v>1429.0303923548265</v>
      </c>
      <c r="O35" s="2771">
        <v>935.03565531522622</v>
      </c>
      <c r="P35" s="782">
        <f t="shared" si="48"/>
        <v>5167.6578178990039</v>
      </c>
      <c r="Q35" s="782">
        <f t="shared" si="49"/>
        <v>4173.0019183038903</v>
      </c>
      <c r="R35" s="2716">
        <f>R36*R$3*24</f>
        <v>1429.0303923548265</v>
      </c>
      <c r="S35" s="2771">
        <v>1045.4579780087024</v>
      </c>
      <c r="T35" s="782">
        <f t="shared" ref="T35" si="176">+P35+R35</f>
        <v>6596.6882102538302</v>
      </c>
      <c r="U35" s="782">
        <f t="shared" ref="U35" si="177">+Q35+S35</f>
        <v>5218.4598963125927</v>
      </c>
      <c r="V35" s="2716">
        <f>V36*V$3*24</f>
        <v>1047.4550253027198</v>
      </c>
      <c r="W35" s="2771">
        <v>811.42</v>
      </c>
      <c r="X35" s="781">
        <f t="shared" si="70"/>
        <v>3905.5158100123726</v>
      </c>
      <c r="Y35" s="781">
        <f t="shared" si="71"/>
        <v>2791.9136333239285</v>
      </c>
      <c r="Z35" s="465">
        <f t="shared" si="52"/>
        <v>7644.1432355565503</v>
      </c>
      <c r="AA35" s="465">
        <f t="shared" si="53"/>
        <v>6029.8798963125928</v>
      </c>
      <c r="AB35" s="2716">
        <f>AB36*AB$3*24</f>
        <v>1274.6963075978933</v>
      </c>
      <c r="AC35" s="2771">
        <v>1350.5871015835003</v>
      </c>
      <c r="AD35" s="782">
        <f t="shared" ref="AD35" si="178">+Z35+AB35</f>
        <v>8918.8395431544432</v>
      </c>
      <c r="AE35" s="782">
        <f t="shared" ref="AE35" si="179">+AA35+AC35</f>
        <v>7380.4669978960928</v>
      </c>
      <c r="AF35" s="2716">
        <f>AF36*AF$3*24</f>
        <v>1234.3612733195541</v>
      </c>
      <c r="AG35" s="2771">
        <v>1235.4677400534083</v>
      </c>
      <c r="AH35" s="782">
        <f t="shared" ref="AH35" si="180">+AD35+AF35</f>
        <v>10153.200816473996</v>
      </c>
      <c r="AI35" s="782">
        <f t="shared" ref="AI35" si="181">+AE35+AG35</f>
        <v>8615.9347379495011</v>
      </c>
      <c r="AJ35" s="2716">
        <f>AJ36*AJ$3*24</f>
        <v>1274.6963075978933</v>
      </c>
      <c r="AK35" s="2771">
        <v>1084.0109573695499</v>
      </c>
      <c r="AL35" s="781">
        <f t="shared" ref="AL35" si="182">+AJ35+AF35+AB35</f>
        <v>3783.7538885153408</v>
      </c>
      <c r="AM35" s="781">
        <f t="shared" ref="AM35" si="183">+AK35+AG35+AC35</f>
        <v>3670.0657990064583</v>
      </c>
      <c r="AN35" s="782">
        <f t="shared" ref="AN35" si="184">+AH35+AJ35</f>
        <v>11427.897124071889</v>
      </c>
      <c r="AO35" s="782">
        <f t="shared" ref="AO35" si="185">+AI35+AK35</f>
        <v>9699.9456953190511</v>
      </c>
      <c r="AP35" s="2716">
        <f>AP36*AP$3*24</f>
        <v>1274.6963075978933</v>
      </c>
      <c r="AQ35" s="2771">
        <v>836.94</v>
      </c>
      <c r="AR35" s="782">
        <f t="shared" ref="AR35" si="186">+AN35+AP35</f>
        <v>12702.593431669782</v>
      </c>
      <c r="AS35" s="782">
        <f t="shared" ref="AS35" si="187">+AO35+AQ35</f>
        <v>10536.885695319052</v>
      </c>
      <c r="AT35" s="2716">
        <f>AT36*AT$3*24</f>
        <v>1143.4260102480669</v>
      </c>
      <c r="AU35" s="2771">
        <v>946.59303774050181</v>
      </c>
      <c r="AV35" s="782">
        <f t="shared" ref="AV35" si="188">+AR35+AT35</f>
        <v>13846.01944191785</v>
      </c>
      <c r="AW35" s="782">
        <f t="shared" ref="AW35" si="189">+AS35+AU35</f>
        <v>11483.478733059554</v>
      </c>
      <c r="AX35" s="2716">
        <f>AX36*AX$3*24</f>
        <v>1230.634696295273</v>
      </c>
      <c r="AY35" s="2771">
        <v>1418.3838297286961</v>
      </c>
      <c r="AZ35" s="781">
        <f t="shared" ref="AZ35" si="190">+AX35+AT35+AP35</f>
        <v>3648.757014141233</v>
      </c>
      <c r="BA35" s="781">
        <f t="shared" ref="BA35" si="191">+AY35+AU35+AQ35</f>
        <v>3201.9168674691978</v>
      </c>
      <c r="BB35" s="465">
        <f t="shared" si="64"/>
        <v>7432.5109026565733</v>
      </c>
      <c r="BC35" s="465">
        <f t="shared" si="65"/>
        <v>6871.9826664756565</v>
      </c>
      <c r="BD35" s="782">
        <f t="shared" ref="BD35" si="192">+AV35+AX35</f>
        <v>15076.654138213122</v>
      </c>
      <c r="BE35" s="782">
        <f t="shared" ref="BE35" si="193">+AW35+AY35</f>
        <v>12901.86256278825</v>
      </c>
      <c r="BF35" s="26"/>
      <c r="BG35" s="26"/>
      <c r="BH35" s="26"/>
      <c r="BI35" s="26"/>
      <c r="BJ35" s="26"/>
    </row>
    <row r="36" spans="2:62" ht="15" hidden="1" customHeight="1" x14ac:dyDescent="0.3">
      <c r="B36" s="8"/>
      <c r="C36" s="2656"/>
      <c r="D36" s="2732">
        <v>1.2757452008111396</v>
      </c>
      <c r="E36" s="2993"/>
      <c r="F36" s="2732">
        <v>1.9192660357190869</v>
      </c>
      <c r="G36" s="2993"/>
      <c r="H36" s="2648"/>
      <c r="I36" s="39"/>
      <c r="J36" s="2732">
        <v>1.9335513199793837</v>
      </c>
      <c r="K36" s="2993"/>
      <c r="L36" s="781"/>
      <c r="M36" s="781"/>
      <c r="N36" s="2732">
        <v>1.9207397746704657</v>
      </c>
      <c r="O36" s="2993"/>
      <c r="P36" s="782"/>
      <c r="Q36" s="782"/>
      <c r="R36" s="2732">
        <v>1.9207397746704657</v>
      </c>
      <c r="S36" s="2993"/>
      <c r="T36" s="782"/>
      <c r="U36" s="782"/>
      <c r="V36" s="2732">
        <v>1.4547986462537776</v>
      </c>
      <c r="W36" s="2993"/>
      <c r="X36" s="781"/>
      <c r="Y36" s="781"/>
      <c r="Z36" s="465"/>
      <c r="AA36" s="465"/>
      <c r="AB36" s="2732">
        <v>1.7133014887068461</v>
      </c>
      <c r="AC36" s="2993"/>
      <c r="AD36" s="782"/>
      <c r="AE36" s="782"/>
      <c r="AF36" s="2732">
        <v>1.7143906573882695</v>
      </c>
      <c r="AG36" s="2993"/>
      <c r="AH36" s="782"/>
      <c r="AI36" s="782"/>
      <c r="AJ36" s="2732">
        <v>1.7133014887068461</v>
      </c>
      <c r="AK36" s="2993"/>
      <c r="AL36" s="781"/>
      <c r="AM36" s="781"/>
      <c r="AN36" s="782"/>
      <c r="AO36" s="782"/>
      <c r="AP36" s="2732">
        <v>1.7133014887068461</v>
      </c>
      <c r="AQ36" s="2993"/>
      <c r="AR36" s="782"/>
      <c r="AS36" s="782"/>
      <c r="AT36" s="2732">
        <v>1.7015268009643854</v>
      </c>
      <c r="AU36" s="2993"/>
      <c r="AV36" s="782"/>
      <c r="AW36" s="782"/>
      <c r="AX36" s="2732">
        <v>1.6540788928699905</v>
      </c>
      <c r="AY36" s="2993"/>
      <c r="AZ36" s="781"/>
      <c r="BA36" s="781"/>
      <c r="BB36" s="465">
        <f t="shared" si="64"/>
        <v>0</v>
      </c>
      <c r="BC36" s="465">
        <f t="shared" si="65"/>
        <v>0</v>
      </c>
      <c r="BD36" s="782"/>
      <c r="BE36" s="782"/>
      <c r="BF36" s="26"/>
      <c r="BG36" s="26"/>
      <c r="BH36" s="26"/>
      <c r="BI36" s="26"/>
      <c r="BJ36" s="26"/>
    </row>
    <row r="37" spans="2:62" x14ac:dyDescent="0.25">
      <c r="B37" s="8" t="s">
        <v>91</v>
      </c>
      <c r="C37" s="2656" t="s">
        <v>326</v>
      </c>
      <c r="D37" s="2716">
        <f>D38*D$3*24</f>
        <v>1395.7500142267886</v>
      </c>
      <c r="E37" s="2771">
        <v>1626.5732933015192</v>
      </c>
      <c r="F37" s="2716">
        <f>F38*F$3*24</f>
        <v>2178.5577018994009</v>
      </c>
      <c r="G37" s="2771">
        <v>1511.2833702499265</v>
      </c>
      <c r="H37" s="2648">
        <f t="shared" si="45"/>
        <v>3574.3077161261895</v>
      </c>
      <c r="I37" s="39">
        <f t="shared" si="45"/>
        <v>3137.8566635514458</v>
      </c>
      <c r="J37" s="2716">
        <f>J38*J$3*24</f>
        <v>2115.4336153124768</v>
      </c>
      <c r="K37" s="2771">
        <v>1368.3023550549533</v>
      </c>
      <c r="L37" s="781">
        <f t="shared" si="46"/>
        <v>5689.7413314386667</v>
      </c>
      <c r="M37" s="781">
        <f t="shared" si="47"/>
        <v>4506.1590186063986</v>
      </c>
      <c r="N37" s="2716">
        <f>N38*N$3*24</f>
        <v>2180.2305420806797</v>
      </c>
      <c r="O37" s="2771">
        <v>1325.8729510126152</v>
      </c>
      <c r="P37" s="782">
        <f t="shared" si="48"/>
        <v>7869.9718735193464</v>
      </c>
      <c r="Q37" s="782">
        <f t="shared" si="49"/>
        <v>5832.0319696190136</v>
      </c>
      <c r="R37" s="2716">
        <f>R38*R$3*24</f>
        <v>2180.2305420806797</v>
      </c>
      <c r="S37" s="2771">
        <v>1509.3571648790987</v>
      </c>
      <c r="T37" s="782">
        <f t="shared" ref="T37" si="194">+P37+R37</f>
        <v>10050.202415600026</v>
      </c>
      <c r="U37" s="782">
        <f t="shared" ref="U37" si="195">+Q37+S37</f>
        <v>7341.3891344981121</v>
      </c>
      <c r="V37" s="2716">
        <f>V38*V$3*24</f>
        <v>1691.1242791934073</v>
      </c>
      <c r="W37" s="2771">
        <v>1180.43</v>
      </c>
      <c r="X37" s="781">
        <f t="shared" si="70"/>
        <v>6051.5853633547667</v>
      </c>
      <c r="Y37" s="781">
        <f t="shared" si="71"/>
        <v>4015.6601158917138</v>
      </c>
      <c r="Z37" s="465">
        <f t="shared" si="52"/>
        <v>11741.326694793433</v>
      </c>
      <c r="AA37" s="465">
        <f t="shared" si="53"/>
        <v>8521.8191344981133</v>
      </c>
      <c r="AB37" s="2716">
        <f>AB38*AB$3*24</f>
        <v>1904.4600074798568</v>
      </c>
      <c r="AC37" s="2771">
        <v>1909.022000124211</v>
      </c>
      <c r="AD37" s="782">
        <f t="shared" ref="AD37" si="196">+Z37+AB37</f>
        <v>13645.78670227329</v>
      </c>
      <c r="AE37" s="782">
        <f t="shared" ref="AE37" si="197">+AA37+AC37</f>
        <v>10430.841134622324</v>
      </c>
      <c r="AF37" s="2716">
        <f>AF38*AF$3*24</f>
        <v>1847.4719481737557</v>
      </c>
      <c r="AG37" s="2771">
        <v>338.43214673084026</v>
      </c>
      <c r="AH37" s="782">
        <f t="shared" ref="AH37" si="198">+AD37+AF37</f>
        <v>15493.258650447046</v>
      </c>
      <c r="AI37" s="782">
        <f t="shared" ref="AI37" si="199">+AE37+AG37</f>
        <v>10769.273281353164</v>
      </c>
      <c r="AJ37" s="2716">
        <f>AJ38*AJ$3*24</f>
        <v>1904.4600074798568</v>
      </c>
      <c r="AK37" s="2771">
        <v>1774.6920224247453</v>
      </c>
      <c r="AL37" s="781">
        <f t="shared" ref="AL37" si="200">+AJ37+AF37+AB37</f>
        <v>5656.3919631334693</v>
      </c>
      <c r="AM37" s="781">
        <f t="shared" ref="AM37" si="201">+AK37+AG37+AC37</f>
        <v>4022.1461692797966</v>
      </c>
      <c r="AN37" s="782">
        <f t="shared" ref="AN37" si="202">+AH37+AJ37</f>
        <v>17397.718657926904</v>
      </c>
      <c r="AO37" s="782">
        <f t="shared" ref="AO37" si="203">+AI37+AK37</f>
        <v>12543.96530377791</v>
      </c>
      <c r="AP37" s="2716">
        <f>AP38*AP$3*24</f>
        <v>1904.4600074798568</v>
      </c>
      <c r="AQ37" s="2771">
        <v>1165.77</v>
      </c>
      <c r="AR37" s="782">
        <f t="shared" ref="AR37" si="204">+AN37+AP37</f>
        <v>19302.178665406762</v>
      </c>
      <c r="AS37" s="782">
        <f t="shared" ref="AS37" si="205">+AO37+AQ37</f>
        <v>13709.73530377791</v>
      </c>
      <c r="AT37" s="2716">
        <f>AT38*AT$3*24</f>
        <v>1739.3123855753233</v>
      </c>
      <c r="AU37" s="2771">
        <v>1402.9724335582637</v>
      </c>
      <c r="AV37" s="782">
        <f t="shared" ref="AV37" si="206">+AR37+AT37</f>
        <v>21041.491050982084</v>
      </c>
      <c r="AW37" s="782">
        <f t="shared" ref="AW37" si="207">+AS37+AU37</f>
        <v>15112.707737336174</v>
      </c>
      <c r="AX37" s="2716">
        <f>AX38*AX$3*24</f>
        <v>1838.6297574894929</v>
      </c>
      <c r="AY37" s="2771">
        <v>1696.8587316215296</v>
      </c>
      <c r="AZ37" s="781">
        <f t="shared" ref="AZ37" si="208">+AX37+AT37+AP37</f>
        <v>5482.4021505446726</v>
      </c>
      <c r="BA37" s="781">
        <f t="shared" ref="BA37" si="209">+AY37+AU37+AQ37</f>
        <v>4265.6011651797926</v>
      </c>
      <c r="BB37" s="465">
        <f t="shared" si="64"/>
        <v>11138.794113678141</v>
      </c>
      <c r="BC37" s="465">
        <f t="shared" si="65"/>
        <v>8287.7473344595892</v>
      </c>
      <c r="BD37" s="782">
        <f t="shared" ref="BD37" si="210">+AV37+AX37</f>
        <v>22880.120808471576</v>
      </c>
      <c r="BE37" s="782">
        <f t="shared" ref="BE37" si="211">+AW37+AY37</f>
        <v>16809.566468957702</v>
      </c>
      <c r="BF37" s="26"/>
      <c r="BG37" s="26"/>
      <c r="BH37" s="26"/>
      <c r="BI37" s="26"/>
      <c r="BJ37" s="26"/>
    </row>
    <row r="38" spans="2:62" ht="15" hidden="1" customHeight="1" x14ac:dyDescent="0.3">
      <c r="B38" s="8"/>
      <c r="C38" s="2656"/>
      <c r="D38" s="2732">
        <v>1.9385416864260954</v>
      </c>
      <c r="E38" s="2993"/>
      <c r="F38" s="2732">
        <v>2.9281689541658609</v>
      </c>
      <c r="G38" s="2993"/>
      <c r="H38" s="2648"/>
      <c r="I38" s="39"/>
      <c r="J38" s="2732">
        <v>2.938102243489551</v>
      </c>
      <c r="K38" s="2993"/>
      <c r="L38" s="781"/>
      <c r="M38" s="781"/>
      <c r="N38" s="2732">
        <v>2.930417395269731</v>
      </c>
      <c r="O38" s="2993"/>
      <c r="P38" s="782"/>
      <c r="Q38" s="782"/>
      <c r="R38" s="2732">
        <v>2.930417395269731</v>
      </c>
      <c r="S38" s="2993"/>
      <c r="T38" s="782"/>
      <c r="U38" s="782"/>
      <c r="V38" s="2732">
        <v>2.3487837211019547</v>
      </c>
      <c r="W38" s="2993"/>
      <c r="X38" s="781"/>
      <c r="Y38" s="781"/>
      <c r="Z38" s="465"/>
      <c r="AA38" s="465"/>
      <c r="AB38" s="2732">
        <v>2.5597580745697002</v>
      </c>
      <c r="AC38" s="2993"/>
      <c r="AD38" s="782"/>
      <c r="AE38" s="782"/>
      <c r="AF38" s="2732">
        <v>2.5659332613524386</v>
      </c>
      <c r="AG38" s="2993"/>
      <c r="AH38" s="782"/>
      <c r="AI38" s="782"/>
      <c r="AJ38" s="2732">
        <v>2.5597580745697002</v>
      </c>
      <c r="AK38" s="2993"/>
      <c r="AL38" s="781"/>
      <c r="AM38" s="781"/>
      <c r="AN38" s="782"/>
      <c r="AO38" s="782"/>
      <c r="AP38" s="2732">
        <v>2.5597580745697002</v>
      </c>
      <c r="AQ38" s="2993"/>
      <c r="AR38" s="782"/>
      <c r="AS38" s="782"/>
      <c r="AT38" s="2732">
        <v>2.5882624785347077</v>
      </c>
      <c r="AU38" s="2993"/>
      <c r="AV38" s="782"/>
      <c r="AW38" s="782"/>
      <c r="AX38" s="2732">
        <v>2.4712765557654475</v>
      </c>
      <c r="AY38" s="2993"/>
      <c r="AZ38" s="781"/>
      <c r="BA38" s="781"/>
      <c r="BB38" s="465">
        <f t="shared" si="64"/>
        <v>0</v>
      </c>
      <c r="BC38" s="465">
        <f t="shared" si="65"/>
        <v>0</v>
      </c>
      <c r="BD38" s="782"/>
      <c r="BE38" s="782"/>
      <c r="BF38" s="26"/>
      <c r="BG38" s="26"/>
      <c r="BH38" s="26"/>
      <c r="BI38" s="26"/>
      <c r="BJ38" s="26"/>
    </row>
    <row r="39" spans="2:62" x14ac:dyDescent="0.25">
      <c r="B39" s="8" t="s">
        <v>109</v>
      </c>
      <c r="C39" s="2656" t="s">
        <v>326</v>
      </c>
      <c r="D39" s="2716">
        <f>D40*D$3*24</f>
        <v>2293.7134411891893</v>
      </c>
      <c r="E39" s="2771">
        <v>2050.9860430370882</v>
      </c>
      <c r="F39" s="2716">
        <f>F40*F$3*24</f>
        <v>3610.3083675255994</v>
      </c>
      <c r="G39" s="2771">
        <v>2091.9133019239598</v>
      </c>
      <c r="H39" s="2648">
        <f t="shared" si="45"/>
        <v>5904.0218087147887</v>
      </c>
      <c r="I39" s="39">
        <f t="shared" si="45"/>
        <v>4142.899344961048</v>
      </c>
      <c r="J39" s="2716">
        <f>J40*J$3*24</f>
        <v>3476.4094343023658</v>
      </c>
      <c r="K39" s="2771">
        <v>1902.3456359625527</v>
      </c>
      <c r="L39" s="781">
        <f t="shared" si="46"/>
        <v>9380.431243017154</v>
      </c>
      <c r="M39" s="781">
        <f t="shared" si="47"/>
        <v>6045.2449809236005</v>
      </c>
      <c r="N39" s="2716">
        <f>N40*N$3*24</f>
        <v>3607.5390655644942</v>
      </c>
      <c r="O39" s="2771">
        <v>1634.8711733840794</v>
      </c>
      <c r="P39" s="782">
        <f t="shared" si="48"/>
        <v>12987.970308581647</v>
      </c>
      <c r="Q39" s="782">
        <f t="shared" si="49"/>
        <v>7680.1161543076796</v>
      </c>
      <c r="R39" s="2716">
        <f>R40*R$3*24</f>
        <v>3607.5390655644942</v>
      </c>
      <c r="S39" s="2771">
        <v>1910.3431970441127</v>
      </c>
      <c r="T39" s="782">
        <f t="shared" ref="T39" si="212">+P39+R39</f>
        <v>16595.509374146142</v>
      </c>
      <c r="U39" s="782">
        <f t="shared" ref="U39" si="213">+Q39+S39</f>
        <v>9590.4593513517921</v>
      </c>
      <c r="V39" s="2716">
        <f>V40*V$3*24</f>
        <v>2373.4206955038726</v>
      </c>
      <c r="W39" s="2771">
        <v>1550.07</v>
      </c>
      <c r="X39" s="781">
        <f t="shared" si="70"/>
        <v>9588.4988266328619</v>
      </c>
      <c r="Y39" s="781">
        <f t="shared" si="71"/>
        <v>5095.2843704281922</v>
      </c>
      <c r="Z39" s="465">
        <f t="shared" si="52"/>
        <v>18968.930069650014</v>
      </c>
      <c r="AA39" s="465">
        <f t="shared" si="53"/>
        <v>11140.529351351794</v>
      </c>
      <c r="AB39" s="2716">
        <f>AB40*AB$3*24</f>
        <v>1511.4958449222493</v>
      </c>
      <c r="AC39" s="2771">
        <v>2518.4493760144933</v>
      </c>
      <c r="AD39" s="782">
        <f t="shared" ref="AD39" si="214">+Z39+AB39</f>
        <v>20480.425914572264</v>
      </c>
      <c r="AE39" s="782">
        <f t="shared" ref="AE39" si="215">+AA39+AC39</f>
        <v>13658.978727366288</v>
      </c>
      <c r="AF39" s="2716">
        <f>AF40*AF$3*24</f>
        <v>1457.5075785066902</v>
      </c>
      <c r="AG39" s="2771">
        <v>778.62446646234207</v>
      </c>
      <c r="AH39" s="782">
        <f t="shared" ref="AH39" si="216">+AD39+AF39</f>
        <v>21937.933493078956</v>
      </c>
      <c r="AI39" s="782">
        <f t="shared" ref="AI39" si="217">+AE39+AG39</f>
        <v>14437.603193828631</v>
      </c>
      <c r="AJ39" s="2716">
        <f>AJ40*AJ$3*24</f>
        <v>1511.4958449222493</v>
      </c>
      <c r="AK39" s="2771">
        <v>1929.7850869394656</v>
      </c>
      <c r="AL39" s="781">
        <f t="shared" ref="AL39" si="218">+AJ39+AF39+AB39</f>
        <v>4480.4992683511891</v>
      </c>
      <c r="AM39" s="781">
        <f t="shared" ref="AM39" si="219">+AK39+AG39+AC39</f>
        <v>5226.8589294163012</v>
      </c>
      <c r="AN39" s="782">
        <f t="shared" ref="AN39" si="220">+AH39+AJ39</f>
        <v>23449.429338001206</v>
      </c>
      <c r="AO39" s="782">
        <f t="shared" ref="AO39" si="221">+AI39+AK39</f>
        <v>16367.388280768097</v>
      </c>
      <c r="AP39" s="2716">
        <f>AP40*AP$3*24</f>
        <v>1511.4958449222493</v>
      </c>
      <c r="AQ39" s="2771">
        <v>1854.35</v>
      </c>
      <c r="AR39" s="782">
        <f t="shared" ref="AR39" si="222">+AN39+AP39</f>
        <v>24960.925182923456</v>
      </c>
      <c r="AS39" s="782">
        <f t="shared" ref="AS39" si="223">+AO39+AQ39</f>
        <v>18221.738280768095</v>
      </c>
      <c r="AT39" s="2716">
        <f>AT40*AT$3*24</f>
        <v>1353.9796841766097</v>
      </c>
      <c r="AU39" s="2771">
        <v>1823.6208131749841</v>
      </c>
      <c r="AV39" s="782">
        <f t="shared" ref="AV39" si="224">+AR39+AT39</f>
        <v>26314.904867100067</v>
      </c>
      <c r="AW39" s="782">
        <f t="shared" ref="AW39" si="225">+AS39+AU39</f>
        <v>20045.35909394308</v>
      </c>
      <c r="AX39" s="2716">
        <f>AX40*AX$3*24</f>
        <v>1621.3877062152337</v>
      </c>
      <c r="AY39" s="2771">
        <v>2537.9474988778302</v>
      </c>
      <c r="AZ39" s="781">
        <f t="shared" ref="AZ39" si="226">+AX39+AT39+AP39</f>
        <v>4486.8632353140929</v>
      </c>
      <c r="BA39" s="781">
        <f t="shared" ref="BA39" si="227">+AY39+AU39+AQ39</f>
        <v>6215.9183120528141</v>
      </c>
      <c r="BB39" s="465">
        <f t="shared" si="64"/>
        <v>8967.3625036652811</v>
      </c>
      <c r="BC39" s="465">
        <f t="shared" si="65"/>
        <v>11442.777241469115</v>
      </c>
      <c r="BD39" s="782">
        <f t="shared" ref="BD39" si="228">+AV39+AX39</f>
        <v>27936.292573315302</v>
      </c>
      <c r="BE39" s="782">
        <f t="shared" ref="BE39" si="229">+AW39+AY39</f>
        <v>22583.306592820911</v>
      </c>
      <c r="BF39" s="26"/>
      <c r="BG39" s="26"/>
      <c r="BH39" s="26"/>
      <c r="BI39" s="26"/>
      <c r="BJ39" s="26"/>
    </row>
    <row r="40" spans="2:62" ht="15" hidden="1" customHeight="1" x14ac:dyDescent="0.3">
      <c r="B40" s="8"/>
      <c r="C40" s="2656"/>
      <c r="D40" s="2732">
        <v>3.1857131127627629</v>
      </c>
      <c r="E40" s="2993"/>
      <c r="F40" s="2732">
        <v>4.852565010115053</v>
      </c>
      <c r="G40" s="2993"/>
      <c r="H40" s="2648"/>
      <c r="I40" s="39"/>
      <c r="J40" s="2732">
        <v>4.8283464365310635</v>
      </c>
      <c r="K40" s="2993"/>
      <c r="L40" s="781"/>
      <c r="M40" s="781"/>
      <c r="N40" s="2732">
        <v>4.8488428300598034</v>
      </c>
      <c r="O40" s="2993"/>
      <c r="P40" s="782"/>
      <c r="Q40" s="782"/>
      <c r="R40" s="2732">
        <v>4.8488428300598034</v>
      </c>
      <c r="S40" s="2993"/>
      <c r="T40" s="782"/>
      <c r="U40" s="782"/>
      <c r="V40" s="2732">
        <v>3.296417632644268</v>
      </c>
      <c r="W40" s="2993"/>
      <c r="X40" s="781"/>
      <c r="Y40" s="781"/>
      <c r="Z40" s="465"/>
      <c r="AA40" s="465"/>
      <c r="AB40" s="2732">
        <v>2.0315804367234533</v>
      </c>
      <c r="AC40" s="2993"/>
      <c r="AD40" s="782"/>
      <c r="AE40" s="782"/>
      <c r="AF40" s="2732">
        <v>2.024316081259292</v>
      </c>
      <c r="AG40" s="2993"/>
      <c r="AH40" s="782"/>
      <c r="AI40" s="782"/>
      <c r="AJ40" s="2732">
        <v>2.0315804367234533</v>
      </c>
      <c r="AK40" s="2993"/>
      <c r="AL40" s="781"/>
      <c r="AM40" s="781"/>
      <c r="AN40" s="782"/>
      <c r="AO40" s="782"/>
      <c r="AP40" s="2732">
        <v>2.0315804367234533</v>
      </c>
      <c r="AQ40" s="2993"/>
      <c r="AR40" s="782"/>
      <c r="AS40" s="782"/>
      <c r="AT40" s="2732">
        <v>2.014850720500907</v>
      </c>
      <c r="AU40" s="2993"/>
      <c r="AV40" s="782"/>
      <c r="AW40" s="782"/>
      <c r="AX40" s="2732">
        <v>2.1792845513645616</v>
      </c>
      <c r="AY40" s="2993"/>
      <c r="AZ40" s="781"/>
      <c r="BA40" s="781"/>
      <c r="BB40" s="465">
        <f t="shared" si="64"/>
        <v>0</v>
      </c>
      <c r="BC40" s="465">
        <f t="shared" si="65"/>
        <v>0</v>
      </c>
      <c r="BD40" s="782"/>
      <c r="BE40" s="782"/>
      <c r="BF40" s="26"/>
      <c r="BG40" s="26"/>
      <c r="BH40" s="26"/>
      <c r="BI40" s="26"/>
      <c r="BJ40" s="26"/>
    </row>
    <row r="41" spans="2:62" x14ac:dyDescent="0.25">
      <c r="B41" s="8" t="s">
        <v>82</v>
      </c>
      <c r="C41" s="2656" t="s">
        <v>326</v>
      </c>
      <c r="D41" s="2716">
        <f>D42*D$3*24</f>
        <v>8091.5080748940563</v>
      </c>
      <c r="E41" s="2771">
        <v>6688.0859337612847</v>
      </c>
      <c r="F41" s="2716">
        <f>F42*F$3*24</f>
        <v>8345.6234277820495</v>
      </c>
      <c r="G41" s="2771">
        <v>7559.6794935174457</v>
      </c>
      <c r="H41" s="2648">
        <f t="shared" si="45"/>
        <v>16437.131502676108</v>
      </c>
      <c r="I41" s="39">
        <f t="shared" si="45"/>
        <v>14247.765427278729</v>
      </c>
      <c r="J41" s="2716">
        <f>J42*J$3*24</f>
        <v>8109.7939591241648</v>
      </c>
      <c r="K41" s="2771">
        <v>7701.5</v>
      </c>
      <c r="L41" s="781">
        <f t="shared" si="46"/>
        <v>24546.925461800274</v>
      </c>
      <c r="M41" s="781">
        <f t="shared" si="47"/>
        <v>21949.265427278729</v>
      </c>
      <c r="N41" s="2716">
        <f>N42*N$3*24</f>
        <v>8205.087216457161</v>
      </c>
      <c r="O41" s="2771">
        <v>8067.8305913891072</v>
      </c>
      <c r="P41" s="782">
        <f t="shared" si="48"/>
        <v>32752.012678257437</v>
      </c>
      <c r="Q41" s="782">
        <f t="shared" si="49"/>
        <v>30017.096018667835</v>
      </c>
      <c r="R41" s="2716">
        <f>R42*R$3*24</f>
        <v>8205.087216457161</v>
      </c>
      <c r="S41" s="2771">
        <v>7482.4085327874436</v>
      </c>
      <c r="T41" s="782">
        <f t="shared" ref="T41" si="230">+P41+R41</f>
        <v>40957.0998947146</v>
      </c>
      <c r="U41" s="782">
        <f t="shared" ref="U41" si="231">+Q41+S41</f>
        <v>37499.504551455277</v>
      </c>
      <c r="V41" s="2716">
        <f>V42*V$3*24</f>
        <v>4351.3937358507546</v>
      </c>
      <c r="W41" s="2771">
        <v>7557.59</v>
      </c>
      <c r="X41" s="781">
        <f t="shared" si="70"/>
        <v>20761.568168765079</v>
      </c>
      <c r="Y41" s="781">
        <f t="shared" si="71"/>
        <v>23107.829124176551</v>
      </c>
      <c r="Z41" s="465">
        <f t="shared" si="52"/>
        <v>45308.493630565354</v>
      </c>
      <c r="AA41" s="465">
        <f t="shared" si="53"/>
        <v>45057.09455145528</v>
      </c>
      <c r="AB41" s="2716">
        <f>AB42*AB$3*24</f>
        <v>7435.8209634178056</v>
      </c>
      <c r="AC41" s="2771">
        <v>7508.4956002065874</v>
      </c>
      <c r="AD41" s="782">
        <f t="shared" ref="AD41" si="232">+Z41+AB41</f>
        <v>52744.314593983159</v>
      </c>
      <c r="AE41" s="782">
        <f t="shared" ref="AE41" si="233">+AA41+AC41</f>
        <v>52565.590151661869</v>
      </c>
      <c r="AF41" s="2716">
        <f>AF42*AF$3*24</f>
        <v>7206.9690051348034</v>
      </c>
      <c r="AG41" s="2771">
        <v>356.30475144272998</v>
      </c>
      <c r="AH41" s="782">
        <f t="shared" ref="AH41" si="234">+AD41+AF41</f>
        <v>59951.28359911796</v>
      </c>
      <c r="AI41" s="782">
        <f t="shared" ref="AI41" si="235">+AE41+AG41</f>
        <v>52921.8949031046</v>
      </c>
      <c r="AJ41" s="2716">
        <f>AJ42*AJ$3*24</f>
        <v>7435.8209634178056</v>
      </c>
      <c r="AK41" s="2771">
        <v>6723.0236744242848</v>
      </c>
      <c r="AL41" s="781">
        <f t="shared" ref="AL41" si="236">+AJ41+AF41+AB41</f>
        <v>22078.610931970416</v>
      </c>
      <c r="AM41" s="781">
        <f t="shared" ref="AM41" si="237">+AK41+AG41+AC41</f>
        <v>14587.824026073602</v>
      </c>
      <c r="AN41" s="782">
        <f t="shared" ref="AN41" si="238">+AH41+AJ41</f>
        <v>67387.104562535766</v>
      </c>
      <c r="AO41" s="782">
        <f t="shared" ref="AO41" si="239">+AI41+AK41</f>
        <v>59644.918577528886</v>
      </c>
      <c r="AP41" s="2716">
        <f>AP42*AP$3*24</f>
        <v>7435.8209634178056</v>
      </c>
      <c r="AQ41" s="2771">
        <v>7489.2</v>
      </c>
      <c r="AR41" s="782">
        <f t="shared" ref="AR41" si="240">+AN41+AP41</f>
        <v>74822.925525953571</v>
      </c>
      <c r="AS41" s="782">
        <f t="shared" ref="AS41" si="241">+AO41+AQ41</f>
        <v>67134.11857752889</v>
      </c>
      <c r="AT41" s="2716">
        <f>AT42*AT$3*24</f>
        <v>6702.9974511760356</v>
      </c>
      <c r="AU41" s="2771">
        <v>6901.6117150677819</v>
      </c>
      <c r="AV41" s="782">
        <f t="shared" ref="AV41" si="242">+AR41+AT41</f>
        <v>81525.922977129609</v>
      </c>
      <c r="AW41" s="782">
        <f t="shared" ref="AW41" si="243">+AS41+AU41</f>
        <v>74035.73029259668</v>
      </c>
      <c r="AX41" s="2716">
        <f>AX42*AX$3*24</f>
        <v>7435.8209634178056</v>
      </c>
      <c r="AY41" s="2771">
        <v>7797.0335772655053</v>
      </c>
      <c r="AZ41" s="781">
        <f t="shared" ref="AZ41" si="244">+AX41+AT41+AP41</f>
        <v>21574.639378011649</v>
      </c>
      <c r="BA41" s="781">
        <f t="shared" ref="BA41" si="245">+AY41+AU41+AQ41</f>
        <v>22187.845292333288</v>
      </c>
      <c r="BB41" s="465">
        <f t="shared" si="64"/>
        <v>43653.250309982061</v>
      </c>
      <c r="BC41" s="465">
        <f t="shared" si="65"/>
        <v>36775.669318406886</v>
      </c>
      <c r="BD41" s="782">
        <f t="shared" ref="BD41" si="246">+AV41+AX41</f>
        <v>88961.743940547414</v>
      </c>
      <c r="BE41" s="782">
        <f t="shared" ref="BE41" si="247">+AW41+AY41</f>
        <v>81832.763869862189</v>
      </c>
      <c r="BF41" s="26"/>
      <c r="BG41" s="26"/>
      <c r="BH41" s="26"/>
      <c r="BI41" s="26"/>
      <c r="BJ41" s="26"/>
    </row>
    <row r="42" spans="2:62" ht="15" hidden="1" customHeight="1" x14ac:dyDescent="0.3">
      <c r="B42" s="8"/>
      <c r="C42" s="2656"/>
      <c r="D42" s="2732">
        <v>11.238205659575078</v>
      </c>
      <c r="E42" s="2993"/>
      <c r="F42" s="2732">
        <v>11.217235790029637</v>
      </c>
      <c r="G42" s="2993"/>
      <c r="H42" s="2648"/>
      <c r="I42" s="39"/>
      <c r="J42" s="2732">
        <v>11.263602721005784</v>
      </c>
      <c r="K42" s="2993"/>
      <c r="L42" s="781"/>
      <c r="M42" s="781"/>
      <c r="N42" s="2732">
        <v>11.028343032872529</v>
      </c>
      <c r="O42" s="2993"/>
      <c r="P42" s="782"/>
      <c r="Q42" s="782"/>
      <c r="R42" s="2732">
        <v>11.028343032872529</v>
      </c>
      <c r="S42" s="2993"/>
      <c r="T42" s="782"/>
      <c r="U42" s="782"/>
      <c r="V42" s="2732">
        <v>6.0436024109038264</v>
      </c>
      <c r="W42" s="2993"/>
      <c r="X42" s="781"/>
      <c r="Y42" s="781"/>
      <c r="Z42" s="465"/>
      <c r="AA42" s="465"/>
      <c r="AB42" s="2732">
        <v>9.9943830153465125</v>
      </c>
      <c r="AC42" s="2993"/>
      <c r="AD42" s="782"/>
      <c r="AE42" s="782"/>
      <c r="AF42" s="2732">
        <v>10.009679173798338</v>
      </c>
      <c r="AG42" s="2993"/>
      <c r="AH42" s="782"/>
      <c r="AI42" s="782"/>
      <c r="AJ42" s="2732">
        <v>9.9943830153465125</v>
      </c>
      <c r="AK42" s="2993"/>
      <c r="AL42" s="781"/>
      <c r="AM42" s="781"/>
      <c r="AN42" s="782"/>
      <c r="AO42" s="782"/>
      <c r="AP42" s="2732">
        <v>9.9943830153465125</v>
      </c>
      <c r="AQ42" s="2993"/>
      <c r="AR42" s="782"/>
      <c r="AS42" s="782"/>
      <c r="AT42" s="2732">
        <v>9.974698588059578</v>
      </c>
      <c r="AU42" s="2993"/>
      <c r="AV42" s="782"/>
      <c r="AW42" s="782"/>
      <c r="AX42" s="2732">
        <v>9.9943830153465125</v>
      </c>
      <c r="AY42" s="2993"/>
      <c r="AZ42" s="781"/>
      <c r="BA42" s="781"/>
      <c r="BB42" s="465">
        <f t="shared" si="64"/>
        <v>0</v>
      </c>
      <c r="BC42" s="465">
        <f t="shared" si="65"/>
        <v>0</v>
      </c>
      <c r="BD42" s="782"/>
      <c r="BE42" s="782"/>
      <c r="BF42" s="26"/>
      <c r="BG42" s="26"/>
      <c r="BH42" s="26"/>
      <c r="BI42" s="26"/>
      <c r="BJ42" s="26"/>
    </row>
    <row r="43" spans="2:62" x14ac:dyDescent="0.25">
      <c r="B43" s="8" t="s">
        <v>60</v>
      </c>
      <c r="C43" s="2656" t="s">
        <v>326</v>
      </c>
      <c r="D43" s="2716">
        <f>D44*D$3*24</f>
        <v>1232.6908425284214</v>
      </c>
      <c r="E43" s="2771">
        <v>948.31999999999994</v>
      </c>
      <c r="F43" s="2716">
        <f>F44*F$3*24</f>
        <v>1269.7200061214151</v>
      </c>
      <c r="G43" s="2771">
        <v>1077.1399999999994</v>
      </c>
      <c r="H43" s="2648">
        <f t="shared" si="45"/>
        <v>2502.4108486498362</v>
      </c>
      <c r="I43" s="39">
        <f t="shared" si="45"/>
        <v>2025.4599999999994</v>
      </c>
      <c r="J43" s="2716">
        <f>J44*J$3*24</f>
        <v>1232.6908425284214</v>
      </c>
      <c r="K43" s="2771">
        <v>1055.6500000000005</v>
      </c>
      <c r="L43" s="781">
        <f t="shared" si="46"/>
        <v>3735.1016911782576</v>
      </c>
      <c r="M43" s="781">
        <f t="shared" si="47"/>
        <v>3081.1099999999997</v>
      </c>
      <c r="N43" s="2716">
        <f>N44*N$3*24</f>
        <v>1246.5767788757939</v>
      </c>
      <c r="O43" s="2771">
        <v>1085.1300000000003</v>
      </c>
      <c r="P43" s="782">
        <f t="shared" si="48"/>
        <v>4981.678470054052</v>
      </c>
      <c r="Q43" s="782">
        <f t="shared" si="49"/>
        <v>4166.24</v>
      </c>
      <c r="R43" s="2716">
        <f>R44*R$3*24</f>
        <v>1246.5767788757939</v>
      </c>
      <c r="S43" s="2771">
        <v>1047.3599999999999</v>
      </c>
      <c r="T43" s="782">
        <f t="shared" ref="T43" si="248">+P43+R43</f>
        <v>6228.2552489298459</v>
      </c>
      <c r="U43" s="782">
        <f t="shared" ref="U43" si="249">+Q43+S43</f>
        <v>5213.5999999999995</v>
      </c>
      <c r="V43" s="2716">
        <f>V44*V$3*24</f>
        <v>687.77367648686129</v>
      </c>
      <c r="W43" s="2771">
        <v>1043.2</v>
      </c>
      <c r="X43" s="781">
        <f t="shared" si="70"/>
        <v>3180.9272342384493</v>
      </c>
      <c r="Y43" s="781">
        <f t="shared" si="71"/>
        <v>3175.6900000000005</v>
      </c>
      <c r="Z43" s="465">
        <f t="shared" si="52"/>
        <v>6916.0289254167074</v>
      </c>
      <c r="AA43" s="465">
        <f t="shared" si="53"/>
        <v>6256.8</v>
      </c>
      <c r="AB43" s="2716">
        <f>AB44*AB$3*24</f>
        <v>1335.5548137689357</v>
      </c>
      <c r="AC43" s="2771">
        <v>1083.7599999999993</v>
      </c>
      <c r="AD43" s="782">
        <f t="shared" ref="AD43" si="250">+Z43+AB43</f>
        <v>8251.5837391856439</v>
      </c>
      <c r="AE43" s="782">
        <f t="shared" ref="AE43" si="251">+AA43+AC43</f>
        <v>7340.5599999999995</v>
      </c>
      <c r="AF43" s="2716">
        <f>AF44*AF$3*24</f>
        <v>1300.2925626869094</v>
      </c>
      <c r="AG43" s="2771">
        <v>155.5</v>
      </c>
      <c r="AH43" s="782">
        <f t="shared" ref="AH43" si="252">+AD43+AF43</f>
        <v>9551.8763018725531</v>
      </c>
      <c r="AI43" s="782">
        <f t="shared" ref="AI43" si="253">+AE43+AG43</f>
        <v>7496.0599999999995</v>
      </c>
      <c r="AJ43" s="2716">
        <f>AJ44*AJ$3*24</f>
        <v>1335.5548137689357</v>
      </c>
      <c r="AK43" s="2771">
        <v>1083.8999999999999</v>
      </c>
      <c r="AL43" s="781">
        <f t="shared" ref="AL43" si="254">+AJ43+AF43+AB43</f>
        <v>3971.4021902247805</v>
      </c>
      <c r="AM43" s="781">
        <f t="shared" ref="AM43" si="255">+AK43+AG43+AC43</f>
        <v>2323.1599999999989</v>
      </c>
      <c r="AN43" s="782">
        <f t="shared" ref="AN43" si="256">+AH43+AJ43</f>
        <v>10887.431115641488</v>
      </c>
      <c r="AO43" s="782">
        <f t="shared" ref="AO43" si="257">+AI43+AK43</f>
        <v>8579.9599999999991</v>
      </c>
      <c r="AP43" s="2716">
        <f>AP44*AP$3*24</f>
        <v>1335.5548137689357</v>
      </c>
      <c r="AQ43" s="2771">
        <v>1042.3</v>
      </c>
      <c r="AR43" s="782">
        <f t="shared" ref="AR43" si="258">+AN43+AP43</f>
        <v>12222.985929410424</v>
      </c>
      <c r="AS43" s="782">
        <f t="shared" ref="AS43" si="259">+AO43+AQ43</f>
        <v>9622.2599999999984</v>
      </c>
      <c r="AT43" s="2716">
        <f>AT44*AT$3*24</f>
        <v>1211.2774389009178</v>
      </c>
      <c r="AU43" s="2771">
        <v>978.20000000000027</v>
      </c>
      <c r="AV43" s="782">
        <f t="shared" ref="AV43" si="260">+AR43+AT43</f>
        <v>13434.263368311342</v>
      </c>
      <c r="AW43" s="782">
        <f t="shared" ref="AW43" si="261">+AS43+AU43</f>
        <v>10600.46</v>
      </c>
      <c r="AX43" s="2716">
        <f>AX44*AX$3*24</f>
        <v>1335.5548137689357</v>
      </c>
      <c r="AY43" s="2771">
        <v>1103.4999999999993</v>
      </c>
      <c r="AZ43" s="781">
        <f t="shared" ref="AZ43" si="262">+AX43+AT43+AP43</f>
        <v>3882.3870664387891</v>
      </c>
      <c r="BA43" s="781">
        <f t="shared" ref="BA43" si="263">+AY43+AU43+AQ43</f>
        <v>3124</v>
      </c>
      <c r="BB43" s="465">
        <f t="shared" si="64"/>
        <v>7853.7892566635692</v>
      </c>
      <c r="BC43" s="465">
        <f t="shared" si="65"/>
        <v>5447.1599999999989</v>
      </c>
      <c r="BD43" s="782">
        <f t="shared" ref="BD43" si="264">+AV43+AX43</f>
        <v>14769.818182080278</v>
      </c>
      <c r="BE43" s="782">
        <f t="shared" ref="BE43" si="265">+AW43+AY43</f>
        <v>11703.96</v>
      </c>
      <c r="BF43" s="26"/>
      <c r="BG43" s="26"/>
      <c r="BH43" s="26"/>
      <c r="BI43" s="26"/>
      <c r="BJ43" s="26"/>
    </row>
    <row r="44" spans="2:62" ht="15" hidden="1" customHeight="1" x14ac:dyDescent="0.3">
      <c r="B44" s="8"/>
      <c r="C44" s="2656"/>
      <c r="D44" s="2732">
        <v>1.7120706146228075</v>
      </c>
      <c r="E44" s="2993"/>
      <c r="F44" s="2732">
        <v>1.7066129114535147</v>
      </c>
      <c r="G44" s="2993"/>
      <c r="H44" s="2648"/>
      <c r="I44" s="39"/>
      <c r="J44" s="2732">
        <v>1.7120706146228075</v>
      </c>
      <c r="K44" s="2993"/>
      <c r="L44" s="781"/>
      <c r="M44" s="781"/>
      <c r="N44" s="2732">
        <v>1.6755064232201531</v>
      </c>
      <c r="O44" s="2993"/>
      <c r="P44" s="782"/>
      <c r="Q44" s="782"/>
      <c r="R44" s="2732">
        <v>1.6755064232201531</v>
      </c>
      <c r="S44" s="2993"/>
      <c r="T44" s="782"/>
      <c r="U44" s="782"/>
      <c r="V44" s="2732">
        <v>0.95524121734286294</v>
      </c>
      <c r="W44" s="2993"/>
      <c r="X44" s="781"/>
      <c r="Y44" s="781"/>
      <c r="Z44" s="465"/>
      <c r="AA44" s="465"/>
      <c r="AB44" s="2732">
        <v>1.7951005561410425</v>
      </c>
      <c r="AC44" s="2993"/>
      <c r="AD44" s="782"/>
      <c r="AE44" s="782"/>
      <c r="AF44" s="2732">
        <v>1.8059618926207075</v>
      </c>
      <c r="AG44" s="2993"/>
      <c r="AH44" s="782"/>
      <c r="AI44" s="782"/>
      <c r="AJ44" s="2732">
        <v>1.7951005561410425</v>
      </c>
      <c r="AK44" s="2993"/>
      <c r="AL44" s="781"/>
      <c r="AM44" s="781"/>
      <c r="AN44" s="782"/>
      <c r="AO44" s="782"/>
      <c r="AP44" s="2732">
        <v>1.7951005561410425</v>
      </c>
      <c r="AQ44" s="2993"/>
      <c r="AR44" s="782"/>
      <c r="AS44" s="782"/>
      <c r="AT44" s="2732">
        <v>1.8024961888406514</v>
      </c>
      <c r="AU44" s="2993"/>
      <c r="AV44" s="782"/>
      <c r="AW44" s="782"/>
      <c r="AX44" s="2732">
        <v>1.7951005561410425</v>
      </c>
      <c r="AY44" s="2993"/>
      <c r="AZ44" s="781"/>
      <c r="BA44" s="781"/>
      <c r="BB44" s="465"/>
      <c r="BC44" s="465"/>
      <c r="BD44" s="782"/>
      <c r="BE44" s="782"/>
      <c r="BF44" s="26"/>
      <c r="BG44" s="26"/>
      <c r="BH44" s="26"/>
      <c r="BI44" s="26"/>
      <c r="BJ44" s="26"/>
    </row>
    <row r="45" spans="2:62" ht="16.5" thickBot="1" x14ac:dyDescent="0.3">
      <c r="B45" s="2304" t="s">
        <v>61</v>
      </c>
      <c r="C45" s="2903" t="s">
        <v>326</v>
      </c>
      <c r="D45" s="2306">
        <f>D21+D23+D25+D27+D29+D31+D33+D35+D37+D39+D41+D43</f>
        <v>46584.564599999998</v>
      </c>
      <c r="E45" s="2306">
        <f t="shared" ref="E45:I45" si="266">E21+E23+E25+E27+E29+E31+E33+E35+E37+E39+E41+E43</f>
        <v>46255.732008240353</v>
      </c>
      <c r="F45" s="2306">
        <f>F21+F23+F25+F27+F29+F31+F33+F35+F37+F39+F41+F43</f>
        <v>48137.383419999998</v>
      </c>
      <c r="G45" s="2306">
        <f t="shared" ref="G45" si="267">G21+G23+G25+G27+G29+G31+G33+G35+G37+G39+G41+G43</f>
        <v>48065.089036166159</v>
      </c>
      <c r="H45" s="2291">
        <f t="shared" si="266"/>
        <v>94721.948020000011</v>
      </c>
      <c r="I45" s="1964">
        <f t="shared" si="266"/>
        <v>94320.821044406504</v>
      </c>
      <c r="J45" s="2306">
        <f>J21+J23+J25+J27+J29+J31+J33+J35+J37+J39+J41+J43</f>
        <v>45957.521400000005</v>
      </c>
      <c r="K45" s="2306">
        <f t="shared" ref="K45" si="268">K21+K23+K25+K27+K29+K31+K33+K35+K37+K39+K41+K43</f>
        <v>46065.54</v>
      </c>
      <c r="L45" s="801">
        <f t="shared" ref="L45:Q45" si="269">SUM(L21:L43)</f>
        <v>140679.46942000001</v>
      </c>
      <c r="M45" s="801">
        <f t="shared" si="269"/>
        <v>140386.36104440645</v>
      </c>
      <c r="N45" s="2306">
        <f>N21+N23+N25+N27+N29+N31+N33+N35+N37+N39+N41+N43</f>
        <v>47489.438780000004</v>
      </c>
      <c r="O45" s="2306">
        <f t="shared" ref="O45" si="270">O21+O23+O25+O27+O29+O31+O33+O35+O37+O39+O41+O43</f>
        <v>47490.200591389112</v>
      </c>
      <c r="P45" s="256">
        <f t="shared" si="269"/>
        <v>188168.90820000006</v>
      </c>
      <c r="Q45" s="256">
        <f t="shared" si="269"/>
        <v>187876.56163579557</v>
      </c>
      <c r="R45" s="2306">
        <f>R21+R23+R25+R27+R29+R31+R33+R35+R37+R39+R41+R43</f>
        <v>47489.438780000004</v>
      </c>
      <c r="S45" s="2306">
        <f t="shared" ref="S45" si="271">S21+S23+S25+S27+S29+S31+S33+S35+S37+S39+S41+S43</f>
        <v>46993.2604011605</v>
      </c>
      <c r="T45" s="256">
        <f t="shared" ref="T45:U45" si="272">SUM(T21:T43)</f>
        <v>235658.34698</v>
      </c>
      <c r="U45" s="256">
        <f t="shared" si="272"/>
        <v>234869.82203695612</v>
      </c>
      <c r="V45" s="2306">
        <f>V21+V23+V25+V27+V29+V31+V33+V35+V37+V39+V41+V43</f>
        <v>44226.012330000005</v>
      </c>
      <c r="W45" s="2306">
        <f t="shared" ref="W45" si="273">W21+W23+W25+W27+W29+W31+W33+W35+W37+W39+W41+W43</f>
        <v>46018.770000000004</v>
      </c>
      <c r="X45" s="801">
        <f t="shared" ref="X45:AA45" si="274">SUM(X21:X43)</f>
        <v>139204.88989000002</v>
      </c>
      <c r="Y45" s="801">
        <f t="shared" si="274"/>
        <v>140502.23099254962</v>
      </c>
      <c r="Z45" s="522">
        <f t="shared" si="274"/>
        <v>279884.35931000003</v>
      </c>
      <c r="AA45" s="522">
        <f t="shared" si="274"/>
        <v>280888.59203695605</v>
      </c>
      <c r="AB45" s="2306">
        <f>AB21+AB23+AB25+AB27+AB29+AB31+AB33+AB35+AB37+AB39+AB41+AB43</f>
        <v>48109.701566999996</v>
      </c>
      <c r="AC45" s="2306">
        <f t="shared" ref="AC45" si="275">AC21+AC23+AC25+AC27+AC29+AC31+AC33+AC35+AC37+AC39+AC41+AC43</f>
        <v>48633.845600206587</v>
      </c>
      <c r="AD45" s="256">
        <f t="shared" ref="AD45:AE45" si="276">SUM(AD21:AD43)</f>
        <v>327994.06087700004</v>
      </c>
      <c r="AE45" s="256">
        <f t="shared" si="276"/>
        <v>329522.43763716269</v>
      </c>
      <c r="AF45" s="2306">
        <f>AF21+AF23+AF25+AF27+AF29+AF31+AF33+AF35+AF37+AF39+AF41+AF43</f>
        <v>46557.775710000002</v>
      </c>
      <c r="AG45" s="2306">
        <f t="shared" ref="AG45" si="277">AG21+AG23+AG25+AG27+AG29+AG31+AG33+AG35+AG37+AG39+AG41+AG43</f>
        <v>37874.67910468932</v>
      </c>
      <c r="AH45" s="256">
        <f t="shared" ref="AH45:AI45" si="278">SUM(AH21:AH43)</f>
        <v>374551.83658700006</v>
      </c>
      <c r="AI45" s="256">
        <f t="shared" si="278"/>
        <v>367397.11674185202</v>
      </c>
      <c r="AJ45" s="2306">
        <f>AJ21+AJ23+AJ25+AJ27+AJ29+AJ31+AJ33+AJ35+AJ37+AJ39+AJ41+AJ43</f>
        <v>48109.701566999996</v>
      </c>
      <c r="AK45" s="2306">
        <f t="shared" ref="AK45" si="279">AK21+AK23+AK25+AK27+AK29+AK31+AK33+AK35+AK37+AK39+AK41+AK43</f>
        <v>48835.50367442429</v>
      </c>
      <c r="AL45" s="801">
        <f t="shared" ref="AL45:AM45" si="280">SUM(AL21:AL43)</f>
        <v>142777.17884400004</v>
      </c>
      <c r="AM45" s="801">
        <f t="shared" si="280"/>
        <v>135344.0283793202</v>
      </c>
      <c r="AN45" s="256">
        <f t="shared" ref="AN45:AO45" si="281">SUM(AN21:AN43)</f>
        <v>422661.53815400001</v>
      </c>
      <c r="AO45" s="256">
        <f t="shared" si="281"/>
        <v>416232.62041627633</v>
      </c>
      <c r="AP45" s="2306">
        <f>AP21+AP23+AP25+AP27+AP29+AP31+AP33+AP35+AP37+AP39+AP41+AP43</f>
        <v>48109.701566999996</v>
      </c>
      <c r="AQ45" s="2306">
        <f t="shared" ref="AQ45" si="282">AQ21+AQ23+AQ25+AQ27+AQ29+AQ31+AQ33+AQ35+AQ37+AQ39+AQ41+AQ43</f>
        <v>48675.909999999996</v>
      </c>
      <c r="AR45" s="256">
        <f t="shared" ref="AR45:AS45" si="283">SUM(AR21:AR43)</f>
        <v>470771.23972100002</v>
      </c>
      <c r="AS45" s="256">
        <f t="shared" si="283"/>
        <v>464908.53041627631</v>
      </c>
      <c r="AT45" s="2306">
        <f>AT21+AT23+AT25+AT27+AT29+AT31+AT33+AT35+AT37+AT39+AT41+AT43</f>
        <v>43453.923996000005</v>
      </c>
      <c r="AU45" s="2306">
        <f t="shared" ref="AU45" si="284">AU21+AU23+AU25+AU27+AU29+AU31+AU33+AU35+AU37+AU39+AU41+AU43</f>
        <v>43678.377706287509</v>
      </c>
      <c r="AV45" s="256">
        <f t="shared" ref="AV45:AW45" si="285">SUM(AV21:AV43)</f>
        <v>514225.16371700005</v>
      </c>
      <c r="AW45" s="256">
        <f t="shared" si="285"/>
        <v>508586.90812256379</v>
      </c>
      <c r="AX45" s="2306">
        <f>AX21+AX23+AX25+AX27+AX29+AX31+AX33+AX35+AX37+AX39+AX41+AX43</f>
        <v>48109.701566999996</v>
      </c>
      <c r="AY45" s="2306">
        <f t="shared" ref="AY45" si="286">AY21+AY23+AY25+AY27+AY29+AY31+AY33+AY35+AY37+AY39+AY41+AY43</f>
        <v>48685.146081839499</v>
      </c>
      <c r="AZ45" s="801">
        <f t="shared" ref="AZ45:BC45" si="287">SUM(AZ21:AZ43)</f>
        <v>139673.32712999999</v>
      </c>
      <c r="BA45" s="801">
        <f t="shared" si="287"/>
        <v>141039.43378812703</v>
      </c>
      <c r="BB45" s="522">
        <f t="shared" si="287"/>
        <v>282450.50597399997</v>
      </c>
      <c r="BC45" s="522">
        <f t="shared" si="287"/>
        <v>276383.4621674472</v>
      </c>
      <c r="BD45" s="256">
        <f t="shared" ref="BD45:BE45" si="288">SUM(BD21:BD43)</f>
        <v>562334.86528400006</v>
      </c>
      <c r="BE45" s="256">
        <f t="shared" si="288"/>
        <v>557272.05420440331</v>
      </c>
      <c r="BF45" s="26"/>
      <c r="BG45" s="26"/>
      <c r="BH45" s="26"/>
      <c r="BI45" s="26"/>
      <c r="BJ45" s="26"/>
    </row>
    <row r="46" spans="2:62" ht="20.45" x14ac:dyDescent="0.3">
      <c r="B46" s="3017" t="s">
        <v>127</v>
      </c>
      <c r="C46" s="3018"/>
      <c r="D46" s="3019"/>
      <c r="E46" s="3018"/>
      <c r="F46" s="3019"/>
      <c r="G46" s="3018"/>
      <c r="H46" s="3018"/>
      <c r="I46" s="3020"/>
      <c r="J46" s="3019"/>
      <c r="K46" s="3018"/>
      <c r="L46" s="1019"/>
      <c r="M46" s="1019"/>
      <c r="N46" s="3019"/>
      <c r="O46" s="3018"/>
      <c r="P46" s="1019"/>
      <c r="Q46" s="1019"/>
      <c r="R46" s="3019"/>
      <c r="S46" s="3018"/>
      <c r="T46" s="1019"/>
      <c r="U46" s="1019"/>
      <c r="V46" s="3019"/>
      <c r="W46" s="3018"/>
      <c r="X46" s="1019"/>
      <c r="Y46" s="1019"/>
      <c r="Z46" s="1019"/>
      <c r="AA46" s="1019"/>
      <c r="AB46" s="3019"/>
      <c r="AC46" s="3018"/>
      <c r="AD46" s="1019"/>
      <c r="AE46" s="1019"/>
      <c r="AF46" s="3019"/>
      <c r="AG46" s="3018"/>
      <c r="AH46" s="1019"/>
      <c r="AI46" s="1019"/>
      <c r="AJ46" s="3019"/>
      <c r="AK46" s="3018"/>
      <c r="AL46" s="1019"/>
      <c r="AM46" s="1019"/>
      <c r="AN46" s="1019"/>
      <c r="AO46" s="1019"/>
      <c r="AP46" s="3019"/>
      <c r="AQ46" s="3018"/>
      <c r="AR46" s="1019"/>
      <c r="AS46" s="1019"/>
      <c r="AT46" s="3019"/>
      <c r="AU46" s="3018"/>
      <c r="AV46" s="1019"/>
      <c r="AW46" s="1019"/>
      <c r="AX46" s="3019"/>
      <c r="AY46" s="3018"/>
      <c r="AZ46" s="1019"/>
      <c r="BA46" s="1019"/>
      <c r="BB46" s="1019"/>
      <c r="BC46" s="1019"/>
      <c r="BD46" s="1019"/>
      <c r="BE46" s="1019"/>
      <c r="BF46" s="26"/>
      <c r="BG46" s="26"/>
      <c r="BH46" s="26"/>
      <c r="BI46" s="26"/>
      <c r="BJ46" s="26"/>
    </row>
    <row r="47" spans="2:62" ht="14.45" x14ac:dyDescent="0.3">
      <c r="B47" s="2984" t="s">
        <v>330</v>
      </c>
      <c r="C47" s="2656" t="s">
        <v>329</v>
      </c>
      <c r="D47" s="3001">
        <v>880</v>
      </c>
      <c r="E47" s="2647">
        <v>919.02170003961578</v>
      </c>
      <c r="F47" s="3001">
        <v>880</v>
      </c>
      <c r="G47" s="2647">
        <v>916.02929177382873</v>
      </c>
      <c r="H47" s="3021">
        <v>880</v>
      </c>
      <c r="I47" s="39">
        <f>+((E47*E51*E3)+(G3*G51*G47))/(I51*I3)</f>
        <v>917.43082451472105</v>
      </c>
      <c r="J47" s="3001">
        <v>880</v>
      </c>
      <c r="K47" s="2647">
        <v>917.31854372983719</v>
      </c>
      <c r="L47" s="946">
        <v>880</v>
      </c>
      <c r="M47" s="781">
        <f>+((I47*I51*I3)+(K3*K51*K47))/(M51*M3)</f>
        <v>917.3917605650588</v>
      </c>
      <c r="N47" s="3001">
        <v>880</v>
      </c>
      <c r="O47" s="2647">
        <v>912.75170296611168</v>
      </c>
      <c r="P47" s="590">
        <v>880</v>
      </c>
      <c r="Q47" s="782">
        <f>+((M47*M51*M3)+(O3*O51*O47))/(Q51*Q3)</f>
        <v>916.15175616296085</v>
      </c>
      <c r="R47" s="3001">
        <v>880</v>
      </c>
      <c r="S47" s="2647">
        <v>916.48533097577422</v>
      </c>
      <c r="T47" s="590">
        <v>880</v>
      </c>
      <c r="U47" s="782">
        <f>+((Q47*Q51*Q3)+(S3*S51*S47))/(U51*U3)</f>
        <v>916.21993192198397</v>
      </c>
      <c r="V47" s="3001">
        <v>880</v>
      </c>
      <c r="W47" s="2647">
        <v>917.97</v>
      </c>
      <c r="X47" s="946">
        <v>880</v>
      </c>
      <c r="Y47" s="781">
        <f>+((O47*O51*O3)+(S47*S51*S3)+(W3*W51*W47))/(Y51*Y3)</f>
        <v>915.68271803992684</v>
      </c>
      <c r="Z47" s="465">
        <v>880</v>
      </c>
      <c r="AA47" s="465">
        <f>+((M47*M51*M3)+(Y3*Y51*Y47))/(AA51*AA3)</f>
        <v>916.51251334403958</v>
      </c>
      <c r="AB47" s="3001">
        <v>880</v>
      </c>
      <c r="AC47" s="2647">
        <v>904.83729471319486</v>
      </c>
      <c r="AD47" s="590">
        <v>880</v>
      </c>
      <c r="AE47" s="782">
        <f>+((AA47*AA51*AA3)+(AC3*AC51*AC47))/(AE51*AE3)</f>
        <v>914.87856147349737</v>
      </c>
      <c r="AF47" s="3001">
        <v>880</v>
      </c>
      <c r="AG47" s="2647">
        <v>905.28388852218131</v>
      </c>
      <c r="AH47" s="590">
        <v>880</v>
      </c>
      <c r="AI47" s="782">
        <f>+((AE47*AE51*AE3)+(AG3*AG51*AG47))/(AI51*AI3)</f>
        <v>914.80659244692549</v>
      </c>
      <c r="AJ47" s="3001">
        <v>880</v>
      </c>
      <c r="AK47" s="2647">
        <v>920.88453219942392</v>
      </c>
      <c r="AL47" s="946">
        <v>880</v>
      </c>
      <c r="AM47" s="781">
        <f>+((AC47*AC51*AC3)+(AG47*AG51*AG3)+(AK3*AK51*AK47))/(AM51*AM3)</f>
        <v>912.72191884543179</v>
      </c>
      <c r="AN47" s="590">
        <v>880</v>
      </c>
      <c r="AO47" s="782">
        <f>+((AI47*AI51*AI3)+(AK3*AK51*AK47))/(AO51*AO3)</f>
        <v>915.55770353776472</v>
      </c>
      <c r="AP47" s="3001">
        <v>880</v>
      </c>
      <c r="AQ47" s="2647">
        <v>919.79</v>
      </c>
      <c r="AR47" s="590">
        <v>880</v>
      </c>
      <c r="AS47" s="782">
        <f>+((AO47*AO51*AO3)+(AQ3*AQ51*AQ47))/(AS51*AS3)</f>
        <v>916.02545787964516</v>
      </c>
      <c r="AT47" s="3001">
        <v>880</v>
      </c>
      <c r="AU47" s="2647">
        <v>918.8491487886813</v>
      </c>
      <c r="AV47" s="590">
        <v>880</v>
      </c>
      <c r="AW47" s="782">
        <f>+((AS47*AS51*AS3)+(AU3*AU51*AU47))/(AW51*AW3)</f>
        <v>916.28454950261869</v>
      </c>
      <c r="AX47" s="3001">
        <v>880</v>
      </c>
      <c r="AY47" s="2647">
        <v>918.08041967436793</v>
      </c>
      <c r="AZ47" s="946">
        <v>880</v>
      </c>
      <c r="BA47" s="781">
        <f>+((AQ47*AQ51*AQ3)+(AU47*AU51*AU3)+(AY3*AY51*AY47))/(BA51*BA3)</f>
        <v>918.89988751896271</v>
      </c>
      <c r="BB47" s="465">
        <v>880</v>
      </c>
      <c r="BC47" s="465">
        <f>+((AM47*AM51*AM3)+(BA3*BA51*BA47))/(BC51*BC3)</f>
        <v>916.38040706199638</v>
      </c>
      <c r="BD47" s="590">
        <v>880</v>
      </c>
      <c r="BE47" s="782">
        <f>+((AW47*AW51*AW3)+(AY3*AY51*AY47))/(BE51*BE3)</f>
        <v>916.45276962413175</v>
      </c>
      <c r="BF47" s="26"/>
      <c r="BG47" s="26"/>
      <c r="BH47" s="26"/>
      <c r="BI47" s="26"/>
      <c r="BJ47" s="26"/>
    </row>
    <row r="48" spans="2:62" x14ac:dyDescent="0.25">
      <c r="B48" s="2984" t="s">
        <v>336</v>
      </c>
      <c r="C48" s="2656" t="s">
        <v>326</v>
      </c>
      <c r="D48" s="2716">
        <f>D49*D$3*24</f>
        <v>388080</v>
      </c>
      <c r="E48" s="2647">
        <v>338280.68159999995</v>
      </c>
      <c r="F48" s="2716">
        <f>F49*F$3*24</f>
        <v>401700.00000000012</v>
      </c>
      <c r="G48" s="2647">
        <v>383981.3664</v>
      </c>
      <c r="H48" s="2648">
        <f>+D48+F48</f>
        <v>789780.00000000012</v>
      </c>
      <c r="I48" s="39">
        <f>+E48+G48</f>
        <v>722262.04799999995</v>
      </c>
      <c r="J48" s="2716">
        <f>J49*J$3*24</f>
        <v>388080</v>
      </c>
      <c r="K48" s="2647">
        <v>385354.10879999999</v>
      </c>
      <c r="L48" s="781">
        <f>+H48+J48</f>
        <v>1177860</v>
      </c>
      <c r="M48" s="781">
        <f>+I48+K48</f>
        <v>1107616.1568</v>
      </c>
      <c r="N48" s="2716">
        <f>N49*N$3*24</f>
        <v>397800</v>
      </c>
      <c r="O48" s="2647">
        <v>403949.24160000007</v>
      </c>
      <c r="P48" s="782">
        <f>+L48+N48</f>
        <v>1575660</v>
      </c>
      <c r="Q48" s="782">
        <f>+M48+O48</f>
        <v>1511565.3984000001</v>
      </c>
      <c r="R48" s="2716">
        <f>R49*R$3*24</f>
        <v>395250</v>
      </c>
      <c r="S48" s="2647">
        <v>388291.20479999995</v>
      </c>
      <c r="T48" s="782">
        <f>+P48+R48</f>
        <v>1970910</v>
      </c>
      <c r="U48" s="782">
        <f>+Q48+S48</f>
        <v>1899856.6032</v>
      </c>
      <c r="V48" s="2716">
        <f>V49*V$3*24</f>
        <v>217000</v>
      </c>
      <c r="W48" s="2647">
        <v>381384.45</v>
      </c>
      <c r="X48" s="781">
        <f>+V48+R48+N48</f>
        <v>1010050</v>
      </c>
      <c r="Y48" s="781">
        <f>+W48+S48+O48</f>
        <v>1173624.8964</v>
      </c>
      <c r="Z48" s="465">
        <f>+L48+X48</f>
        <v>2187910</v>
      </c>
      <c r="AA48" s="465">
        <f>+Y48+M48</f>
        <v>2281241.0532</v>
      </c>
      <c r="AB48" s="2716">
        <f>AB49*AB$3*24</f>
        <v>387500</v>
      </c>
      <c r="AC48" s="2647">
        <v>371211.93719999999</v>
      </c>
      <c r="AD48" s="782">
        <f>+Z48+AB48</f>
        <v>2575410</v>
      </c>
      <c r="AE48" s="782">
        <f>+AA48+AC48</f>
        <v>2652452.9904</v>
      </c>
      <c r="AF48" s="2716">
        <f>AF49*AF$3*24</f>
        <v>375099.99999999994</v>
      </c>
      <c r="AG48" s="2647">
        <v>20046.2454</v>
      </c>
      <c r="AH48" s="782">
        <f>+AD48+AF48</f>
        <v>2950510</v>
      </c>
      <c r="AI48" s="782">
        <f>+AE48+AG48</f>
        <v>2672499.2357999999</v>
      </c>
      <c r="AJ48" s="2716">
        <f>AJ49*AJ$3*24</f>
        <v>387500</v>
      </c>
      <c r="AK48" s="2647">
        <v>376836.56520000001</v>
      </c>
      <c r="AL48" s="781">
        <f>+AJ48+AF48+AB48</f>
        <v>1150100</v>
      </c>
      <c r="AM48" s="781">
        <f>+AK48+AG48+AC48</f>
        <v>768094.74780000001</v>
      </c>
      <c r="AN48" s="782">
        <f>+AH48+AJ48</f>
        <v>3338010</v>
      </c>
      <c r="AO48" s="782">
        <f>+AI48+AK48</f>
        <v>3049335.801</v>
      </c>
      <c r="AP48" s="2716">
        <f>AP49*AP$3*24</f>
        <v>387500</v>
      </c>
      <c r="AQ48" s="2647">
        <v>378888.06</v>
      </c>
      <c r="AR48" s="782">
        <f>+AN48+AP48</f>
        <v>3725510</v>
      </c>
      <c r="AS48" s="782">
        <f>+AO48+AQ48</f>
        <v>3428223.861</v>
      </c>
      <c r="AT48" s="2716">
        <f>AT49*AT$3*24</f>
        <v>348749.99999999994</v>
      </c>
      <c r="AU48" s="2647">
        <v>346340.29920000001</v>
      </c>
      <c r="AV48" s="782">
        <f>+AR48+AT48</f>
        <v>4074260</v>
      </c>
      <c r="AW48" s="782">
        <f>+AS48+AU48</f>
        <v>3774564.1601999998</v>
      </c>
      <c r="AX48" s="2716">
        <f>AX49*AX$3*24</f>
        <v>387500</v>
      </c>
      <c r="AY48" s="2647">
        <v>390106.97759999998</v>
      </c>
      <c r="AZ48" s="781">
        <f>+AX48+AT48+AP48</f>
        <v>1123750</v>
      </c>
      <c r="BA48" s="781">
        <f>+AY48+AU48+AQ48</f>
        <v>1115335.3367999999</v>
      </c>
      <c r="BB48" s="465">
        <f t="shared" ref="BB48" si="289">+AL48+AZ48</f>
        <v>2273850</v>
      </c>
      <c r="BC48" s="465">
        <f t="shared" ref="BC48" si="290">+AM48+BA48</f>
        <v>1883430.0845999999</v>
      </c>
      <c r="BD48" s="782">
        <f>+AV48+AX48</f>
        <v>4461760</v>
      </c>
      <c r="BE48" s="782">
        <f>+AW48+AY48</f>
        <v>4164671.1377999997</v>
      </c>
      <c r="BF48" s="26"/>
      <c r="BG48" s="26"/>
      <c r="BH48" s="26"/>
      <c r="BI48" s="26"/>
      <c r="BJ48" s="26"/>
    </row>
    <row r="49" spans="2:62" ht="15" hidden="1" customHeight="1" x14ac:dyDescent="0.3">
      <c r="B49" s="2984"/>
      <c r="C49" s="2656"/>
      <c r="D49" s="2716">
        <v>539</v>
      </c>
      <c r="E49" s="2647"/>
      <c r="F49" s="2716">
        <v>539.91935483870975</v>
      </c>
      <c r="G49" s="2647"/>
      <c r="H49" s="2648"/>
      <c r="I49" s="39"/>
      <c r="J49" s="2716">
        <v>539</v>
      </c>
      <c r="K49" s="2647"/>
      <c r="L49" s="781"/>
      <c r="M49" s="781"/>
      <c r="N49" s="2716">
        <v>534.67741935483866</v>
      </c>
      <c r="O49" s="2647"/>
      <c r="P49" s="782"/>
      <c r="Q49" s="782"/>
      <c r="R49" s="2716">
        <v>531.25</v>
      </c>
      <c r="S49" s="2647"/>
      <c r="T49" s="782"/>
      <c r="U49" s="782"/>
      <c r="V49" s="2716">
        <v>301.38888888888886</v>
      </c>
      <c r="W49" s="2647"/>
      <c r="X49" s="781"/>
      <c r="Y49" s="781"/>
      <c r="Z49" s="465"/>
      <c r="AA49" s="465"/>
      <c r="AB49" s="2716">
        <v>520.83333333333337</v>
      </c>
      <c r="AC49" s="2647"/>
      <c r="AD49" s="782"/>
      <c r="AE49" s="782"/>
      <c r="AF49" s="2716">
        <v>520.97222222222217</v>
      </c>
      <c r="AG49" s="2647"/>
      <c r="AH49" s="782"/>
      <c r="AI49" s="782"/>
      <c r="AJ49" s="2716">
        <v>520.83333333333337</v>
      </c>
      <c r="AK49" s="2647"/>
      <c r="AL49" s="781"/>
      <c r="AM49" s="781"/>
      <c r="AN49" s="782"/>
      <c r="AO49" s="782"/>
      <c r="AP49" s="2716">
        <v>520.83333333333337</v>
      </c>
      <c r="AQ49" s="2647"/>
      <c r="AR49" s="782"/>
      <c r="AS49" s="782"/>
      <c r="AT49" s="2716">
        <v>518.97321428571422</v>
      </c>
      <c r="AU49" s="2647"/>
      <c r="AV49" s="782"/>
      <c r="AW49" s="782"/>
      <c r="AX49" s="2716">
        <v>520.83333333333337</v>
      </c>
      <c r="AY49" s="2647"/>
      <c r="AZ49" s="781"/>
      <c r="BA49" s="781"/>
      <c r="BB49" s="465"/>
      <c r="BC49" s="465"/>
      <c r="BD49" s="782"/>
      <c r="BE49" s="782"/>
      <c r="BF49" s="26"/>
      <c r="BG49" s="26"/>
      <c r="BH49" s="26"/>
      <c r="BI49" s="26"/>
      <c r="BJ49" s="26"/>
    </row>
    <row r="50" spans="2:62" ht="18.75" x14ac:dyDescent="0.25">
      <c r="B50" s="3022" t="s">
        <v>333</v>
      </c>
      <c r="C50" s="3013" t="s">
        <v>326</v>
      </c>
      <c r="D50" s="2658">
        <f t="shared" ref="D50:E50" si="291">SUM(D48)</f>
        <v>388080</v>
      </c>
      <c r="E50" s="3023">
        <f t="shared" si="291"/>
        <v>338280.68159999995</v>
      </c>
      <c r="F50" s="2658">
        <f t="shared" ref="F50:G50" si="292">SUM(F48)</f>
        <v>401700.00000000012</v>
      </c>
      <c r="G50" s="3023">
        <f t="shared" si="292"/>
        <v>383981.3664</v>
      </c>
      <c r="H50" s="3015">
        <f t="shared" ref="H50:K50" si="293">SUM(H48)</f>
        <v>789780.00000000012</v>
      </c>
      <c r="I50" s="1690">
        <f t="shared" si="293"/>
        <v>722262.04799999995</v>
      </c>
      <c r="J50" s="2658">
        <f t="shared" si="293"/>
        <v>388080</v>
      </c>
      <c r="K50" s="3023">
        <f t="shared" si="293"/>
        <v>385354.10879999999</v>
      </c>
      <c r="L50" s="650">
        <f t="shared" ref="L50:Q50" si="294">SUM(L48)</f>
        <v>1177860</v>
      </c>
      <c r="M50" s="650">
        <f t="shared" si="294"/>
        <v>1107616.1568</v>
      </c>
      <c r="N50" s="2658">
        <f t="shared" si="294"/>
        <v>397800</v>
      </c>
      <c r="O50" s="3023">
        <f t="shared" si="294"/>
        <v>403949.24160000007</v>
      </c>
      <c r="P50" s="649">
        <f t="shared" si="294"/>
        <v>1575660</v>
      </c>
      <c r="Q50" s="649">
        <f t="shared" si="294"/>
        <v>1511565.3984000001</v>
      </c>
      <c r="R50" s="2658">
        <f t="shared" ref="R50:S50" si="295">SUM(R48)</f>
        <v>395250</v>
      </c>
      <c r="S50" s="3023">
        <f t="shared" si="295"/>
        <v>388291.20479999995</v>
      </c>
      <c r="T50" s="649">
        <f t="shared" ref="T50:W50" si="296">SUM(T48)</f>
        <v>1970910</v>
      </c>
      <c r="U50" s="649">
        <f t="shared" si="296"/>
        <v>1899856.6032</v>
      </c>
      <c r="V50" s="2658">
        <f t="shared" si="296"/>
        <v>217000</v>
      </c>
      <c r="W50" s="3023">
        <f t="shared" si="296"/>
        <v>381384.45</v>
      </c>
      <c r="X50" s="650">
        <f t="shared" ref="X50:AE50" si="297">SUM(X48)</f>
        <v>1010050</v>
      </c>
      <c r="Y50" s="650">
        <f t="shared" si="297"/>
        <v>1173624.8964</v>
      </c>
      <c r="Z50" s="651">
        <f t="shared" si="297"/>
        <v>2187910</v>
      </c>
      <c r="AA50" s="651">
        <f t="shared" si="297"/>
        <v>2281241.0532</v>
      </c>
      <c r="AB50" s="2658">
        <f t="shared" si="297"/>
        <v>387500</v>
      </c>
      <c r="AC50" s="3023">
        <f t="shared" si="297"/>
        <v>371211.93719999999</v>
      </c>
      <c r="AD50" s="649">
        <f t="shared" si="297"/>
        <v>2575410</v>
      </c>
      <c r="AE50" s="649">
        <f t="shared" si="297"/>
        <v>2652452.9904</v>
      </c>
      <c r="AF50" s="2658">
        <f t="shared" ref="AF50:AI50" si="298">SUM(AF48)</f>
        <v>375099.99999999994</v>
      </c>
      <c r="AG50" s="3023">
        <f t="shared" si="298"/>
        <v>20046.2454</v>
      </c>
      <c r="AH50" s="649">
        <f t="shared" si="298"/>
        <v>2950510</v>
      </c>
      <c r="AI50" s="649">
        <f t="shared" si="298"/>
        <v>2672499.2357999999</v>
      </c>
      <c r="AJ50" s="2658">
        <f t="shared" ref="AJ50:AK50" si="299">SUM(AJ48)</f>
        <v>387500</v>
      </c>
      <c r="AK50" s="3023">
        <f t="shared" si="299"/>
        <v>376836.56520000001</v>
      </c>
      <c r="AL50" s="650">
        <f t="shared" ref="AL50:AQ50" si="300">SUM(AL48)</f>
        <v>1150100</v>
      </c>
      <c r="AM50" s="650">
        <f t="shared" si="300"/>
        <v>768094.74780000001</v>
      </c>
      <c r="AN50" s="649">
        <f t="shared" si="300"/>
        <v>3338010</v>
      </c>
      <c r="AO50" s="649">
        <f t="shared" si="300"/>
        <v>3049335.801</v>
      </c>
      <c r="AP50" s="2658">
        <f t="shared" si="300"/>
        <v>387500</v>
      </c>
      <c r="AQ50" s="3023">
        <f t="shared" si="300"/>
        <v>378888.06</v>
      </c>
      <c r="AR50" s="649">
        <f t="shared" ref="AR50:AU50" si="301">SUM(AR48)</f>
        <v>3725510</v>
      </c>
      <c r="AS50" s="649">
        <f t="shared" si="301"/>
        <v>3428223.861</v>
      </c>
      <c r="AT50" s="2658">
        <f t="shared" si="301"/>
        <v>348749.99999999994</v>
      </c>
      <c r="AU50" s="3023">
        <f t="shared" si="301"/>
        <v>346340.29920000001</v>
      </c>
      <c r="AV50" s="649">
        <f t="shared" ref="AV50:AY50" si="302">SUM(AV48)</f>
        <v>4074260</v>
      </c>
      <c r="AW50" s="649">
        <f t="shared" si="302"/>
        <v>3774564.1601999998</v>
      </c>
      <c r="AX50" s="2658">
        <f t="shared" si="302"/>
        <v>387500</v>
      </c>
      <c r="AY50" s="3023">
        <f t="shared" si="302"/>
        <v>390106.97759999998</v>
      </c>
      <c r="AZ50" s="650">
        <f t="shared" ref="AZ50:BE50" si="303">SUM(AZ48)</f>
        <v>1123750</v>
      </c>
      <c r="BA50" s="650">
        <f t="shared" si="303"/>
        <v>1115335.3367999999</v>
      </c>
      <c r="BB50" s="651">
        <f t="shared" si="303"/>
        <v>2273850</v>
      </c>
      <c r="BC50" s="651">
        <f t="shared" si="303"/>
        <v>1883430.0845999999</v>
      </c>
      <c r="BD50" s="649">
        <f t="shared" si="303"/>
        <v>4461760</v>
      </c>
      <c r="BE50" s="649">
        <f t="shared" si="303"/>
        <v>4164671.1377999997</v>
      </c>
      <c r="BF50" s="26"/>
      <c r="BG50" s="26"/>
      <c r="BH50" s="26"/>
      <c r="BI50" s="26"/>
      <c r="BJ50" s="26"/>
    </row>
    <row r="51" spans="2:62" ht="15.6" x14ac:dyDescent="0.3">
      <c r="B51" s="3024" t="s">
        <v>334</v>
      </c>
      <c r="C51" s="3025" t="s">
        <v>328</v>
      </c>
      <c r="D51" s="3007">
        <f t="shared" ref="D51:E51" si="304">+D50/(D3*24)</f>
        <v>539</v>
      </c>
      <c r="E51" s="3026">
        <f t="shared" si="304"/>
        <v>469.83427999999992</v>
      </c>
      <c r="F51" s="3007">
        <f t="shared" ref="F51:G51" si="305">+F50/(F3*24)</f>
        <v>539.91935483870986</v>
      </c>
      <c r="G51" s="3026">
        <f t="shared" si="305"/>
        <v>516.10398709677418</v>
      </c>
      <c r="H51" s="3009">
        <f t="shared" ref="H51:AE51" si="306">+H50/(H3*24)</f>
        <v>539.46721311475414</v>
      </c>
      <c r="I51" s="1835">
        <f t="shared" si="306"/>
        <v>493.34839344262292</v>
      </c>
      <c r="J51" s="3007">
        <f t="shared" si="306"/>
        <v>539</v>
      </c>
      <c r="K51" s="3026">
        <f t="shared" si="306"/>
        <v>535.21403999999995</v>
      </c>
      <c r="L51" s="816">
        <f t="shared" ref="L51:Q51" si="307">+L50/(L3*24)</f>
        <v>539.3131868131868</v>
      </c>
      <c r="M51" s="816">
        <f t="shared" si="307"/>
        <v>507.15025494505494</v>
      </c>
      <c r="N51" s="3007">
        <f t="shared" si="307"/>
        <v>534.67741935483866</v>
      </c>
      <c r="O51" s="3026">
        <f t="shared" si="307"/>
        <v>542.94252903225811</v>
      </c>
      <c r="P51" s="815">
        <f t="shared" si="307"/>
        <v>538.13524590163934</v>
      </c>
      <c r="Q51" s="815">
        <f t="shared" si="307"/>
        <v>516.2450131147541</v>
      </c>
      <c r="R51" s="3007">
        <f t="shared" ref="R51:S51" si="308">+R50/(R3*24)</f>
        <v>531.25</v>
      </c>
      <c r="S51" s="3026">
        <f t="shared" si="308"/>
        <v>521.89678064516124</v>
      </c>
      <c r="T51" s="815">
        <f t="shared" ref="T51:W51" si="309">+T50/(T3*24)</f>
        <v>536.74019607843138</v>
      </c>
      <c r="U51" s="815">
        <f t="shared" si="309"/>
        <v>517.39014248366016</v>
      </c>
      <c r="V51" s="3007">
        <f t="shared" si="309"/>
        <v>301.38888888888891</v>
      </c>
      <c r="W51" s="3026">
        <f t="shared" si="309"/>
        <v>529.70062500000006</v>
      </c>
      <c r="X51" s="816">
        <f t="shared" si="306"/>
        <v>457.45018115942031</v>
      </c>
      <c r="Y51" s="816">
        <f t="shared" si="306"/>
        <v>531.53301467391304</v>
      </c>
      <c r="Z51" s="817">
        <f t="shared" si="306"/>
        <v>498.15801457194902</v>
      </c>
      <c r="AA51" s="817">
        <f t="shared" si="306"/>
        <v>519.40825437158469</v>
      </c>
      <c r="AB51" s="3007">
        <f t="shared" si="306"/>
        <v>520.83333333333337</v>
      </c>
      <c r="AC51" s="3026">
        <f t="shared" si="306"/>
        <v>498.9407758064516</v>
      </c>
      <c r="AD51" s="815">
        <f t="shared" si="306"/>
        <v>501.44275700934577</v>
      </c>
      <c r="AE51" s="815">
        <f t="shared" si="306"/>
        <v>516.4433392523365</v>
      </c>
      <c r="AF51" s="3007">
        <f t="shared" ref="AF51:AI51" si="310">+AF50/(AF3*24)</f>
        <v>520.97222222222217</v>
      </c>
      <c r="AG51" s="3026">
        <f t="shared" si="310"/>
        <v>27.842007500000001</v>
      </c>
      <c r="AH51" s="815">
        <f t="shared" si="310"/>
        <v>503.84392076502735</v>
      </c>
      <c r="AI51" s="815">
        <f t="shared" si="310"/>
        <v>456.3694050204918</v>
      </c>
      <c r="AJ51" s="3007">
        <f t="shared" ref="AJ51:AK51" si="311">+AJ50/(AJ3*24)</f>
        <v>520.83333333333337</v>
      </c>
      <c r="AK51" s="3026">
        <f t="shared" si="311"/>
        <v>506.50075967741935</v>
      </c>
      <c r="AL51" s="816">
        <f t="shared" ref="AL51:AQ51" si="312">+AL50/(AL3*24)</f>
        <v>520.87862318840575</v>
      </c>
      <c r="AM51" s="816">
        <f t="shared" si="312"/>
        <v>347.86899809782608</v>
      </c>
      <c r="AN51" s="815">
        <f t="shared" si="312"/>
        <v>505.7590909090909</v>
      </c>
      <c r="AO51" s="815">
        <f t="shared" si="312"/>
        <v>462.02057590909089</v>
      </c>
      <c r="AP51" s="3007">
        <f t="shared" si="312"/>
        <v>520.83333333333337</v>
      </c>
      <c r="AQ51" s="3026">
        <f t="shared" si="312"/>
        <v>509.25814516129032</v>
      </c>
      <c r="AR51" s="815">
        <f t="shared" ref="AR51:AU51" si="313">+AR50/(AR3*24)</f>
        <v>507.286220043573</v>
      </c>
      <c r="AS51" s="815">
        <f t="shared" si="313"/>
        <v>466.8060812908497</v>
      </c>
      <c r="AT51" s="3007">
        <f t="shared" si="313"/>
        <v>518.97321428571422</v>
      </c>
      <c r="AU51" s="3026">
        <f t="shared" si="313"/>
        <v>515.38734999999997</v>
      </c>
      <c r="AV51" s="815">
        <f t="shared" ref="AV51:AY51" si="314">+AV50/(AV3*24)</f>
        <v>508.26596806387226</v>
      </c>
      <c r="AW51" s="815">
        <f t="shared" si="314"/>
        <v>470.87876249999999</v>
      </c>
      <c r="AX51" s="3007">
        <f t="shared" si="314"/>
        <v>520.83333333333337</v>
      </c>
      <c r="AY51" s="3026">
        <f t="shared" si="314"/>
        <v>524.3373354838709</v>
      </c>
      <c r="AZ51" s="816">
        <f t="shared" ref="AZ51:BE51" si="315">+AZ50/(AZ3*24)</f>
        <v>520.25462962962968</v>
      </c>
      <c r="BA51" s="816">
        <f t="shared" si="315"/>
        <v>516.35895222222223</v>
      </c>
      <c r="BB51" s="817">
        <f t="shared" si="315"/>
        <v>520.57005494505495</v>
      </c>
      <c r="BC51" s="817">
        <f t="shared" si="315"/>
        <v>431.18820618131866</v>
      </c>
      <c r="BD51" s="815">
        <f t="shared" si="315"/>
        <v>509.33333333333331</v>
      </c>
      <c r="BE51" s="815">
        <f t="shared" si="315"/>
        <v>475.41907965753421</v>
      </c>
      <c r="BF51" s="26"/>
      <c r="BG51" s="26"/>
      <c r="BH51" s="26"/>
      <c r="BI51" s="26"/>
      <c r="BJ51" s="26"/>
    </row>
    <row r="52" spans="2:62" ht="15.75" x14ac:dyDescent="0.25">
      <c r="B52" s="3027" t="s">
        <v>54</v>
      </c>
      <c r="C52" s="2755" t="s">
        <v>326</v>
      </c>
      <c r="D52" s="2716">
        <f>D53*D$3*24</f>
        <v>3600</v>
      </c>
      <c r="E52" s="2675">
        <v>3432.8800077603019</v>
      </c>
      <c r="F52" s="2716">
        <f>F53*F$3*24</f>
        <v>3720</v>
      </c>
      <c r="G52" s="2675">
        <v>3791.466625819447</v>
      </c>
      <c r="H52" s="2648">
        <f>+D52+F52</f>
        <v>7320</v>
      </c>
      <c r="I52" s="39">
        <f>+E52+G52</f>
        <v>7224.3466335797493</v>
      </c>
      <c r="J52" s="2716">
        <f>J53*J$3*24</f>
        <v>3600</v>
      </c>
      <c r="K52" s="2675">
        <v>3248.5710522888285</v>
      </c>
      <c r="L52" s="781">
        <f t="shared" ref="L52:L54" si="316">+H52+J52</f>
        <v>10920</v>
      </c>
      <c r="M52" s="781">
        <f>+I52+K52</f>
        <v>10472.917685868579</v>
      </c>
      <c r="N52" s="2716">
        <f>N53*N$3*24</f>
        <v>3720</v>
      </c>
      <c r="O52" s="2675">
        <v>3166.5293380894718</v>
      </c>
      <c r="P52" s="782">
        <f t="shared" ref="P52:P54" si="317">+L52+N52</f>
        <v>14640</v>
      </c>
      <c r="Q52" s="782">
        <f>+M52+O52</f>
        <v>13639.447023958051</v>
      </c>
      <c r="R52" s="2716">
        <f>R53*R$3*24</f>
        <v>3720</v>
      </c>
      <c r="S52" s="2675">
        <v>3354.3573187931192</v>
      </c>
      <c r="T52" s="782">
        <f t="shared" ref="T52:T54" si="318">+P52+R52</f>
        <v>18360</v>
      </c>
      <c r="U52" s="782">
        <f>+Q52+S52</f>
        <v>16993.804342751169</v>
      </c>
      <c r="V52" s="2716">
        <f>V53*V$3*24</f>
        <v>2160</v>
      </c>
      <c r="W52" s="2675">
        <v>2337.4</v>
      </c>
      <c r="X52" s="781">
        <f t="shared" ref="X52:X54" si="319">+V52+R52+N52</f>
        <v>9600</v>
      </c>
      <c r="Y52" s="781">
        <f>+W52+S52+O52</f>
        <v>8858.2866568825921</v>
      </c>
      <c r="Z52" s="465">
        <f t="shared" ref="Z52:Z54" si="320">+L52+X52</f>
        <v>20520</v>
      </c>
      <c r="AA52" s="465">
        <f>+Y52+M52</f>
        <v>19331.204342751171</v>
      </c>
      <c r="AB52" s="2716">
        <f>AB53*AB$3*24</f>
        <v>4464</v>
      </c>
      <c r="AC52" s="2675">
        <v>3679.912412034505</v>
      </c>
      <c r="AD52" s="782">
        <f>+Z52+AB52</f>
        <v>24984</v>
      </c>
      <c r="AE52" s="782">
        <f>+AA52+AC52</f>
        <v>23011.116754785675</v>
      </c>
      <c r="AF52" s="2716">
        <f>AF53*AF$3*24</f>
        <v>4320</v>
      </c>
      <c r="AG52" s="2675">
        <v>430.54282816361706</v>
      </c>
      <c r="AH52" s="782">
        <f>+AD52+AF52</f>
        <v>29304</v>
      </c>
      <c r="AI52" s="782">
        <f>+AE52+AG52</f>
        <v>23441.659582949291</v>
      </c>
      <c r="AJ52" s="2716">
        <f>AJ53*AJ$3*24</f>
        <v>4464</v>
      </c>
      <c r="AK52" s="2675">
        <v>3191.2131256393714</v>
      </c>
      <c r="AL52" s="781">
        <f t="shared" ref="AL52:AL54" si="321">+AJ52+AF52+AB52</f>
        <v>13248</v>
      </c>
      <c r="AM52" s="781">
        <f>+AK52+AG52+AC52</f>
        <v>7301.6683658374932</v>
      </c>
      <c r="AN52" s="782">
        <f>+AH52+AJ52</f>
        <v>33768</v>
      </c>
      <c r="AO52" s="782">
        <f>+AI52+AK52</f>
        <v>26632.872708588664</v>
      </c>
      <c r="AP52" s="2716">
        <f>AP53*AP$3*24</f>
        <v>4464</v>
      </c>
      <c r="AQ52" s="2675">
        <v>3250.23</v>
      </c>
      <c r="AR52" s="782">
        <f>+AN52+AP52</f>
        <v>38232</v>
      </c>
      <c r="AS52" s="782">
        <f>+AO52+AQ52</f>
        <v>29883.102708588664</v>
      </c>
      <c r="AT52" s="2716">
        <f>AT53*AT$3*24</f>
        <v>4032</v>
      </c>
      <c r="AU52" s="2675">
        <v>2781.9923330243282</v>
      </c>
      <c r="AV52" s="782">
        <f>+AR52+AT52</f>
        <v>42264</v>
      </c>
      <c r="AW52" s="782">
        <f>+AS52+AU52</f>
        <v>32665.095041612993</v>
      </c>
      <c r="AX52" s="2716">
        <f>AX53*AX$3*24</f>
        <v>4464</v>
      </c>
      <c r="AY52" s="2675">
        <v>4142.1058090833058</v>
      </c>
      <c r="AZ52" s="781">
        <f t="shared" ref="AZ52:AZ54" si="322">+AX52+AT52+AP52</f>
        <v>12960</v>
      </c>
      <c r="BA52" s="781">
        <f>+AY52+AU52+AQ52</f>
        <v>10174.328142107634</v>
      </c>
      <c r="BB52" s="465">
        <f t="shared" ref="BB52:BB54" si="323">+AL52+AZ52</f>
        <v>26208</v>
      </c>
      <c r="BC52" s="465">
        <f t="shared" ref="BC52:BC54" si="324">+AM52+BA52</f>
        <v>17475.996507945129</v>
      </c>
      <c r="BD52" s="782">
        <f>+AV52+AX52</f>
        <v>46728</v>
      </c>
      <c r="BE52" s="782">
        <f>+AW52+AY52</f>
        <v>36807.200850696296</v>
      </c>
      <c r="BF52" s="26"/>
      <c r="BG52" s="26"/>
      <c r="BH52" s="26"/>
      <c r="BI52" s="26"/>
      <c r="BJ52" s="26"/>
    </row>
    <row r="53" spans="2:62" ht="15.75" hidden="1" customHeight="1" x14ac:dyDescent="0.3">
      <c r="B53" s="3027"/>
      <c r="C53" s="2755"/>
      <c r="D53" s="2936">
        <v>5</v>
      </c>
      <c r="E53" s="2675"/>
      <c r="F53" s="2936">
        <v>5</v>
      </c>
      <c r="G53" s="2675"/>
      <c r="H53" s="2648">
        <f t="shared" ref="H53:H54" si="325">+D53+F53</f>
        <v>10</v>
      </c>
      <c r="I53" s="39"/>
      <c r="J53" s="2936">
        <v>5</v>
      </c>
      <c r="K53" s="2675"/>
      <c r="L53" s="781">
        <f t="shared" si="316"/>
        <v>15</v>
      </c>
      <c r="M53" s="781"/>
      <c r="N53" s="2936">
        <v>5</v>
      </c>
      <c r="O53" s="2675"/>
      <c r="P53" s="782">
        <f t="shared" si="317"/>
        <v>20</v>
      </c>
      <c r="Q53" s="782"/>
      <c r="R53" s="2936">
        <v>5</v>
      </c>
      <c r="S53" s="2675"/>
      <c r="T53" s="782">
        <f t="shared" si="318"/>
        <v>25</v>
      </c>
      <c r="U53" s="782"/>
      <c r="V53" s="2936">
        <v>3</v>
      </c>
      <c r="W53" s="2675"/>
      <c r="X53" s="781">
        <f t="shared" si="319"/>
        <v>13</v>
      </c>
      <c r="Y53" s="781"/>
      <c r="Z53" s="465">
        <f t="shared" si="320"/>
        <v>28</v>
      </c>
      <c r="AA53" s="465"/>
      <c r="AB53" s="2936">
        <v>6</v>
      </c>
      <c r="AC53" s="2675"/>
      <c r="AD53" s="782">
        <f t="shared" ref="AD53:AD54" si="326">+Z53+AB53</f>
        <v>34</v>
      </c>
      <c r="AE53" s="782"/>
      <c r="AF53" s="2936">
        <v>6</v>
      </c>
      <c r="AG53" s="2675"/>
      <c r="AH53" s="782">
        <f t="shared" ref="AH53:AH54" si="327">+AD53+AF53</f>
        <v>40</v>
      </c>
      <c r="AI53" s="782"/>
      <c r="AJ53" s="2936">
        <v>6</v>
      </c>
      <c r="AK53" s="2675"/>
      <c r="AL53" s="781">
        <f t="shared" si="321"/>
        <v>18</v>
      </c>
      <c r="AM53" s="781"/>
      <c r="AN53" s="782">
        <f t="shared" ref="AN53:AN54" si="328">+AH53+AJ53</f>
        <v>46</v>
      </c>
      <c r="AO53" s="782"/>
      <c r="AP53" s="2936">
        <v>6</v>
      </c>
      <c r="AQ53" s="2675"/>
      <c r="AR53" s="782">
        <f t="shared" ref="AR53:AR54" si="329">+AN53+AP53</f>
        <v>52</v>
      </c>
      <c r="AS53" s="782"/>
      <c r="AT53" s="2936">
        <v>6</v>
      </c>
      <c r="AU53" s="2675"/>
      <c r="AV53" s="782">
        <f t="shared" ref="AV53:AV54" si="330">+AR53+AT53</f>
        <v>58</v>
      </c>
      <c r="AW53" s="782"/>
      <c r="AX53" s="2936">
        <v>6</v>
      </c>
      <c r="AY53" s="2675"/>
      <c r="AZ53" s="781">
        <f t="shared" si="322"/>
        <v>18</v>
      </c>
      <c r="BA53" s="781"/>
      <c r="BB53" s="465">
        <f t="shared" si="323"/>
        <v>36</v>
      </c>
      <c r="BC53" s="465">
        <f t="shared" si="324"/>
        <v>0</v>
      </c>
      <c r="BD53" s="782">
        <f t="shared" ref="BD53:BD54" si="331">+AV53+AX53</f>
        <v>64</v>
      </c>
      <c r="BE53" s="782"/>
      <c r="BF53" s="26"/>
      <c r="BG53" s="26"/>
      <c r="BH53" s="26"/>
      <c r="BI53" s="26"/>
      <c r="BJ53" s="26"/>
    </row>
    <row r="54" spans="2:62" x14ac:dyDescent="0.25">
      <c r="B54" s="3005" t="s">
        <v>474</v>
      </c>
      <c r="C54" s="2656" t="s">
        <v>326</v>
      </c>
      <c r="D54" s="2716">
        <f>D55*D$3*24</f>
        <v>10866.24</v>
      </c>
      <c r="E54" s="2647">
        <v>10088.106763821897</v>
      </c>
      <c r="F54" s="2716">
        <f>F55*F$3*24</f>
        <v>11247.6</v>
      </c>
      <c r="G54" s="2647">
        <v>11587.557559102774</v>
      </c>
      <c r="H54" s="2648">
        <f t="shared" si="325"/>
        <v>22113.84</v>
      </c>
      <c r="I54" s="39">
        <f>+E54+G54</f>
        <v>21675.664322924669</v>
      </c>
      <c r="J54" s="2716">
        <f>J55*J$3*24</f>
        <v>10866.24</v>
      </c>
      <c r="K54" s="2647">
        <v>10929.684948992981</v>
      </c>
      <c r="L54" s="781">
        <f t="shared" si="316"/>
        <v>32980.080000000002</v>
      </c>
      <c r="M54" s="781">
        <f>+I54+K54</f>
        <v>32605.34927191765</v>
      </c>
      <c r="N54" s="2716">
        <f>N55*N$3*24</f>
        <v>11138.399999999998</v>
      </c>
      <c r="O54" s="2647">
        <v>11273.188348622441</v>
      </c>
      <c r="P54" s="782">
        <f t="shared" si="317"/>
        <v>44118.479999999996</v>
      </c>
      <c r="Q54" s="782">
        <f>+M54+O54</f>
        <v>43878.53762054009</v>
      </c>
      <c r="R54" s="2716">
        <f>R55*R$3*24</f>
        <v>11067</v>
      </c>
      <c r="S54" s="2647">
        <v>11042.319702374782</v>
      </c>
      <c r="T54" s="782">
        <f t="shared" si="318"/>
        <v>55185.479999999996</v>
      </c>
      <c r="U54" s="782">
        <f>+Q54+S54</f>
        <v>54920.857322914875</v>
      </c>
      <c r="V54" s="2716">
        <f>V55*V$3*24</f>
        <v>10849.999999999998</v>
      </c>
      <c r="W54" s="2647">
        <v>10738.68</v>
      </c>
      <c r="X54" s="781">
        <f t="shared" si="319"/>
        <v>33055.399999999994</v>
      </c>
      <c r="Y54" s="781">
        <f>+W54+S54+O54</f>
        <v>33054.188050997225</v>
      </c>
      <c r="Z54" s="465">
        <f t="shared" si="320"/>
        <v>66035.48</v>
      </c>
      <c r="AA54" s="465">
        <f>+Y54+M54</f>
        <v>65659.537322914868</v>
      </c>
      <c r="AB54" s="2716">
        <f>AB55*AB$3*24</f>
        <v>11625</v>
      </c>
      <c r="AC54" s="2647">
        <v>13166.559392524696</v>
      </c>
      <c r="AD54" s="782">
        <f t="shared" si="326"/>
        <v>77660.479999999996</v>
      </c>
      <c r="AE54" s="782">
        <f>+AA54+AC54</f>
        <v>78826.096715439562</v>
      </c>
      <c r="AF54" s="2716">
        <f>AF55*AF$3*24</f>
        <v>11252.999999999998</v>
      </c>
      <c r="AG54" s="2647">
        <v>3225.1363410948861</v>
      </c>
      <c r="AH54" s="782">
        <f t="shared" si="327"/>
        <v>88913.48</v>
      </c>
      <c r="AI54" s="782">
        <f>+AE54+AG54</f>
        <v>82051.233056534445</v>
      </c>
      <c r="AJ54" s="2716">
        <f>AJ55*AJ$3*24</f>
        <v>11625</v>
      </c>
      <c r="AK54" s="2647">
        <v>10305.578683643347</v>
      </c>
      <c r="AL54" s="781">
        <f t="shared" si="321"/>
        <v>34503</v>
      </c>
      <c r="AM54" s="781">
        <f>+AK54+AG54+AC54</f>
        <v>26697.274417262932</v>
      </c>
      <c r="AN54" s="782">
        <f t="shared" si="328"/>
        <v>100538.48</v>
      </c>
      <c r="AO54" s="782">
        <f>+AI54+AK54</f>
        <v>92356.8117401778</v>
      </c>
      <c r="AP54" s="2716">
        <f>AP55*AP$3*24</f>
        <v>11625</v>
      </c>
      <c r="AQ54" s="2647">
        <v>10704.9</v>
      </c>
      <c r="AR54" s="782">
        <f t="shared" si="329"/>
        <v>112163.48</v>
      </c>
      <c r="AS54" s="782">
        <f>+AO54+AQ54</f>
        <v>103061.71174017779</v>
      </c>
      <c r="AT54" s="2716">
        <f>AT55*AT$3*24</f>
        <v>10462.499999999998</v>
      </c>
      <c r="AU54" s="2647">
        <v>10109.448796082894</v>
      </c>
      <c r="AV54" s="782">
        <f t="shared" si="330"/>
        <v>122625.98</v>
      </c>
      <c r="AW54" s="782">
        <f>+AS54+AU54</f>
        <v>113171.16053626069</v>
      </c>
      <c r="AX54" s="2716">
        <f>AX55*AX$3*24</f>
        <v>11625</v>
      </c>
      <c r="AY54" s="2647">
        <v>11585.599149231368</v>
      </c>
      <c r="AZ54" s="781">
        <f t="shared" si="322"/>
        <v>33712.5</v>
      </c>
      <c r="BA54" s="781">
        <f>+AY54+AU54+AQ54</f>
        <v>32399.947945314263</v>
      </c>
      <c r="BB54" s="465">
        <f t="shared" si="323"/>
        <v>68215.5</v>
      </c>
      <c r="BC54" s="465">
        <f t="shared" si="324"/>
        <v>59097.222362577195</v>
      </c>
      <c r="BD54" s="782">
        <f t="shared" si="331"/>
        <v>134250.97999999998</v>
      </c>
      <c r="BE54" s="782">
        <f>+AW54+AY54</f>
        <v>124756.75968549206</v>
      </c>
      <c r="BF54" s="26"/>
      <c r="BG54" s="26"/>
      <c r="BH54" s="26"/>
      <c r="BI54" s="26"/>
      <c r="BJ54" s="26"/>
    </row>
    <row r="55" spans="2:62" ht="15.75" hidden="1" customHeight="1" x14ac:dyDescent="0.3">
      <c r="B55" s="3005"/>
      <c r="C55" s="2656"/>
      <c r="D55" s="2936">
        <v>15.091999999999999</v>
      </c>
      <c r="E55" s="2647"/>
      <c r="F55" s="2936">
        <v>15.117741935483872</v>
      </c>
      <c r="G55" s="2647"/>
      <c r="H55" s="2659"/>
      <c r="I55" s="39"/>
      <c r="J55" s="2936">
        <v>15.091999999999999</v>
      </c>
      <c r="K55" s="2647"/>
      <c r="L55" s="575"/>
      <c r="M55" s="781"/>
      <c r="N55" s="2936">
        <v>14.97096774193548</v>
      </c>
      <c r="O55" s="2647"/>
      <c r="P55" s="587"/>
      <c r="Q55" s="782"/>
      <c r="R55" s="2936">
        <v>14.875</v>
      </c>
      <c r="S55" s="2647"/>
      <c r="T55" s="587"/>
      <c r="U55" s="782"/>
      <c r="V55" s="2936">
        <v>15.069444444444443</v>
      </c>
      <c r="W55" s="2647"/>
      <c r="X55" s="575"/>
      <c r="Y55" s="781"/>
      <c r="Z55" s="1612"/>
      <c r="AA55" s="465"/>
      <c r="AB55" s="2936">
        <v>15.625</v>
      </c>
      <c r="AC55" s="2647"/>
      <c r="AD55" s="587"/>
      <c r="AE55" s="782"/>
      <c r="AF55" s="2936">
        <v>15.629166666666665</v>
      </c>
      <c r="AG55" s="2647"/>
      <c r="AH55" s="587"/>
      <c r="AI55" s="782"/>
      <c r="AJ55" s="2936">
        <v>15.625</v>
      </c>
      <c r="AK55" s="2647"/>
      <c r="AL55" s="575"/>
      <c r="AM55" s="781"/>
      <c r="AN55" s="587"/>
      <c r="AO55" s="782"/>
      <c r="AP55" s="2936">
        <v>15.625</v>
      </c>
      <c r="AQ55" s="2647"/>
      <c r="AR55" s="587"/>
      <c r="AS55" s="782"/>
      <c r="AT55" s="2936">
        <v>15.569196428571427</v>
      </c>
      <c r="AU55" s="2647"/>
      <c r="AV55" s="587"/>
      <c r="AW55" s="782"/>
      <c r="AX55" s="2936">
        <v>15.625</v>
      </c>
      <c r="AY55" s="2647"/>
      <c r="AZ55" s="575"/>
      <c r="BA55" s="781"/>
      <c r="BB55" s="1612"/>
      <c r="BC55" s="465"/>
      <c r="BD55" s="587"/>
      <c r="BE55" s="782"/>
      <c r="BF55" s="26"/>
      <c r="BG55" s="26"/>
      <c r="BH55" s="26"/>
      <c r="BI55" s="26"/>
      <c r="BJ55" s="26"/>
    </row>
    <row r="56" spans="2:62" ht="14.45" x14ac:dyDescent="0.3">
      <c r="B56" s="3005" t="s">
        <v>73</v>
      </c>
      <c r="C56" s="2656" t="s">
        <v>49</v>
      </c>
      <c r="D56" s="3011">
        <f>+D54*100/D50</f>
        <v>2.8</v>
      </c>
      <c r="E56" s="3011">
        <f>+E54/E50*100</f>
        <v>2.9821705206774358</v>
      </c>
      <c r="F56" s="3011">
        <f>+F54*100/F50</f>
        <v>2.7999999999999994</v>
      </c>
      <c r="G56" s="3011">
        <f>+G54/G50*100</f>
        <v>3.0177395501613522</v>
      </c>
      <c r="H56" s="3028">
        <f>+H54*100/H50</f>
        <v>2.7999999999999994</v>
      </c>
      <c r="I56" s="39">
        <f>+I54/I50*100</f>
        <v>3.0010803396006027</v>
      </c>
      <c r="J56" s="3011">
        <f>+J54*100/J50</f>
        <v>2.8</v>
      </c>
      <c r="K56" s="3011">
        <f>+K54/K50*100</f>
        <v>2.8362705105255599</v>
      </c>
      <c r="L56" s="1030">
        <f>+L54*100/L50</f>
        <v>2.8</v>
      </c>
      <c r="M56" s="781">
        <f>+M54/M50*100</f>
        <v>2.9437408502704909</v>
      </c>
      <c r="N56" s="3011">
        <f>+N54*100/N50</f>
        <v>2.7999999999999994</v>
      </c>
      <c r="O56" s="3011">
        <f>+O54/O50*100</f>
        <v>2.7907437835433329</v>
      </c>
      <c r="P56" s="1020">
        <f>+P54*100/P50</f>
        <v>2.8</v>
      </c>
      <c r="Q56" s="782">
        <f>+Q54/Q50*100</f>
        <v>2.902854065526093</v>
      </c>
      <c r="R56" s="3011">
        <f>+R54*100/R50</f>
        <v>2.8</v>
      </c>
      <c r="S56" s="3011">
        <f>+S54/S50*100</f>
        <v>2.8438243168712596</v>
      </c>
      <c r="T56" s="1020">
        <f>+T54*100/T50</f>
        <v>2.8</v>
      </c>
      <c r="U56" s="782">
        <f>+U54/U50*100</f>
        <v>2.8907896117217273</v>
      </c>
      <c r="V56" s="3011">
        <f>+V54*100/V50</f>
        <v>4.9999999999999991</v>
      </c>
      <c r="W56" s="3011">
        <f>+W54/W50*100</f>
        <v>2.8157099745414369</v>
      </c>
      <c r="X56" s="781">
        <f>+X54/X50*100</f>
        <v>3.2726498688183745</v>
      </c>
      <c r="Y56" s="781">
        <f>+Y54/Y50*100</f>
        <v>2.8164184444611129</v>
      </c>
      <c r="Z56" s="493">
        <f>+Z54/Z50*100</f>
        <v>3.01819910325379</v>
      </c>
      <c r="AA56" s="493">
        <f>+AA54/AA50*100</f>
        <v>2.8782375817238282</v>
      </c>
      <c r="AB56" s="3011">
        <f>+AB54*100/AB50</f>
        <v>3</v>
      </c>
      <c r="AC56" s="3011">
        <f>+AC54/AC50*100</f>
        <v>3.5469116353957317</v>
      </c>
      <c r="AD56" s="1020">
        <f>+AD54*100/AD50</f>
        <v>3.0154608392450135</v>
      </c>
      <c r="AE56" s="375">
        <f>+AE54/AE50*100</f>
        <v>2.9718188032260766</v>
      </c>
      <c r="AF56" s="3011">
        <f>+AF54*100/AF50</f>
        <v>3</v>
      </c>
      <c r="AG56" s="3011">
        <f>+AG54/AG50*100</f>
        <v>16.088480793988914</v>
      </c>
      <c r="AH56" s="1020">
        <f>+AH54*100/AH50</f>
        <v>3.0134952940339126</v>
      </c>
      <c r="AI56" s="375">
        <f>+AI54/AI50*100</f>
        <v>3.0702060437436498</v>
      </c>
      <c r="AJ56" s="3011">
        <f>+AJ54*100/AJ50</f>
        <v>3</v>
      </c>
      <c r="AK56" s="3011">
        <f>+AK54/AK50*100</f>
        <v>2.7347608049059215</v>
      </c>
      <c r="AL56" s="781">
        <f>+AL54/AL50*100</f>
        <v>3</v>
      </c>
      <c r="AM56" s="781">
        <f>+AM54/AM50*100</f>
        <v>3.4757788012130102</v>
      </c>
      <c r="AN56" s="1020">
        <f>+AN54*100/AN50</f>
        <v>3.0119286640842899</v>
      </c>
      <c r="AO56" s="375">
        <f>+AO54/AO50*100</f>
        <v>3.0287517599698361</v>
      </c>
      <c r="AP56" s="3011">
        <f>+AP54*100/AP50</f>
        <v>3</v>
      </c>
      <c r="AQ56" s="3011">
        <f>+AQ54/AQ50*100</f>
        <v>2.8253463569160768</v>
      </c>
      <c r="AR56" s="1020">
        <f>+AR54*100/AR50</f>
        <v>3.0106879326588842</v>
      </c>
      <c r="AS56" s="375">
        <f>+AS54/AS50*100</f>
        <v>3.006271349797883</v>
      </c>
      <c r="AT56" s="3011">
        <f>+AT54*100/AT50</f>
        <v>3</v>
      </c>
      <c r="AU56" s="3011">
        <f>+AU54/AU50*100</f>
        <v>2.9189351685132725</v>
      </c>
      <c r="AV56" s="1020">
        <f>+AV54*100/AV50</f>
        <v>3.0097730630838484</v>
      </c>
      <c r="AW56" s="375">
        <f>+AW54/AW50*100</f>
        <v>2.9982576989832963</v>
      </c>
      <c r="AX56" s="3011">
        <f>+AX54*100/AX50</f>
        <v>3</v>
      </c>
      <c r="AY56" s="3011">
        <f>+AY54/AY50*100</f>
        <v>2.9698518135993908</v>
      </c>
      <c r="AZ56" s="353">
        <f>+AZ54/AZ50*100</f>
        <v>3</v>
      </c>
      <c r="BA56" s="353">
        <f>+BA54/BA50*100</f>
        <v>2.9049512623058016</v>
      </c>
      <c r="BB56" s="493">
        <f>+BB54/BB50*100</f>
        <v>3</v>
      </c>
      <c r="BC56" s="493">
        <f>+BC54/BC50*100</f>
        <v>3.1377444188552492</v>
      </c>
      <c r="BD56" s="1020">
        <f>+BD54*100/BD50</f>
        <v>3.0089242810012187</v>
      </c>
      <c r="BE56" s="375">
        <f>+BE54/BE50*100</f>
        <v>2.9955969044747963</v>
      </c>
      <c r="BF56" s="26"/>
      <c r="BG56" s="26"/>
      <c r="BH56" s="26"/>
      <c r="BI56" s="26"/>
      <c r="BJ56" s="26"/>
    </row>
    <row r="57" spans="2:62" ht="18.75" x14ac:dyDescent="0.25">
      <c r="B57" s="1362" t="s">
        <v>55</v>
      </c>
      <c r="C57" s="3013" t="s">
        <v>326</v>
      </c>
      <c r="D57" s="2658">
        <f>+D50-D52-D54</f>
        <v>373613.76</v>
      </c>
      <c r="E57" s="2658">
        <f>+E50-E52-E54</f>
        <v>324759.69482841773</v>
      </c>
      <c r="F57" s="2658">
        <f>+F50-F52-F54</f>
        <v>386732.40000000014</v>
      </c>
      <c r="G57" s="2658">
        <f>+G50-G52-G54</f>
        <v>368602.34221507778</v>
      </c>
      <c r="H57" s="3015">
        <f>+D57+F57</f>
        <v>760346.16000000015</v>
      </c>
      <c r="I57" s="1690">
        <f>+I50-I52-I54</f>
        <v>693362.03704349557</v>
      </c>
      <c r="J57" s="2658">
        <f>+J50-J52-J54</f>
        <v>373613.76</v>
      </c>
      <c r="K57" s="2658">
        <f>+K50-K52-K54</f>
        <v>371175.8527987182</v>
      </c>
      <c r="L57" s="650">
        <f>+H57+J57</f>
        <v>1133959.9200000002</v>
      </c>
      <c r="M57" s="650">
        <f>+M50-M52-M54</f>
        <v>1064537.8898422136</v>
      </c>
      <c r="N57" s="2658">
        <f>+N50-N52-N54</f>
        <v>382941.6</v>
      </c>
      <c r="O57" s="2658">
        <f>+O50-O52-O54</f>
        <v>389509.52391328814</v>
      </c>
      <c r="P57" s="649">
        <f>+L57+N57</f>
        <v>1516901.52</v>
      </c>
      <c r="Q57" s="649">
        <f>+Q50-Q52-Q54</f>
        <v>1454047.4137555021</v>
      </c>
      <c r="R57" s="2658">
        <f>+R50-R52-R54</f>
        <v>380463</v>
      </c>
      <c r="S57" s="2658">
        <f>+S50-S52-S54</f>
        <v>373894.52777883201</v>
      </c>
      <c r="T57" s="649">
        <f>+P57+R57</f>
        <v>1897364.52</v>
      </c>
      <c r="U57" s="649">
        <f>+U50-U52-U54</f>
        <v>1827941.9415343339</v>
      </c>
      <c r="V57" s="2658">
        <f>+V50-V52-V54</f>
        <v>203990</v>
      </c>
      <c r="W57" s="2658">
        <f>+W50-W52-W54</f>
        <v>368308.37</v>
      </c>
      <c r="X57" s="650">
        <f>+V57+R57+N57</f>
        <v>967394.6</v>
      </c>
      <c r="Y57" s="650">
        <f>+W57+S57+O57</f>
        <v>1131712.4216921201</v>
      </c>
      <c r="Z57" s="651">
        <f>+L57+X57</f>
        <v>2101354.52</v>
      </c>
      <c r="AA57" s="651">
        <f>+Y57+M57</f>
        <v>2196250.311534334</v>
      </c>
      <c r="AB57" s="2658">
        <f>+AB50-AB52-AB54</f>
        <v>371411</v>
      </c>
      <c r="AC57" s="2658">
        <f>+AC50-AC52-AC54</f>
        <v>354365.46539544075</v>
      </c>
      <c r="AD57" s="649">
        <f>+Z57+AB57</f>
        <v>2472765.52</v>
      </c>
      <c r="AE57" s="649">
        <f>+AE50-AE52-AE54</f>
        <v>2550615.7769297748</v>
      </c>
      <c r="AF57" s="2658">
        <f>+AF50-AF52-AF54</f>
        <v>359526.99999999994</v>
      </c>
      <c r="AG57" s="2658">
        <f>+AG50-AG52-AG54</f>
        <v>16390.566230741497</v>
      </c>
      <c r="AH57" s="649">
        <f>+AD57+AF57</f>
        <v>2832292.52</v>
      </c>
      <c r="AI57" s="649">
        <f>+AI50-AI52-AI54</f>
        <v>2567006.3431605161</v>
      </c>
      <c r="AJ57" s="2658">
        <f>+AJ50-AJ52-AJ54</f>
        <v>371411</v>
      </c>
      <c r="AK57" s="2658">
        <f>+AK50-AK52-AK54</f>
        <v>363339.77339071728</v>
      </c>
      <c r="AL57" s="650">
        <f>+AJ57+AF57+AB57</f>
        <v>1102349</v>
      </c>
      <c r="AM57" s="650">
        <f>+AK57+AG57+AC57</f>
        <v>734095.80501689948</v>
      </c>
      <c r="AN57" s="649">
        <f>+AH57+AJ57</f>
        <v>3203703.52</v>
      </c>
      <c r="AO57" s="649">
        <f>+AO50-AO52-AO54</f>
        <v>2930346.1165512335</v>
      </c>
      <c r="AP57" s="2658">
        <f>+AP50-AP52-AP54</f>
        <v>371411</v>
      </c>
      <c r="AQ57" s="2658">
        <f>+AQ50-AQ52-AQ54</f>
        <v>364932.93</v>
      </c>
      <c r="AR57" s="649">
        <f>+AN57+AP57</f>
        <v>3575114.52</v>
      </c>
      <c r="AS57" s="649">
        <f>+AS50-AS52-AS54</f>
        <v>3295279.0465512336</v>
      </c>
      <c r="AT57" s="2658">
        <f>+AT50-AT52-AT54</f>
        <v>334255.49999999994</v>
      </c>
      <c r="AU57" s="2658">
        <f>+AU50-AU52-AU54</f>
        <v>333448.85807089281</v>
      </c>
      <c r="AV57" s="649">
        <f>+AR57+AT57</f>
        <v>3909370.02</v>
      </c>
      <c r="AW57" s="649">
        <f>+AW50-AW52-AW54</f>
        <v>3628727.9046221259</v>
      </c>
      <c r="AX57" s="2658">
        <f>+AX50-AX52-AX54</f>
        <v>371411</v>
      </c>
      <c r="AY57" s="2658">
        <f>+AY50-AY52-AY54</f>
        <v>374379.27264168527</v>
      </c>
      <c r="AZ57" s="650">
        <f>+AX57+AT57+AP57</f>
        <v>1077077.5</v>
      </c>
      <c r="BA57" s="650">
        <f>+AY57+AU57+AQ57</f>
        <v>1072761.060712578</v>
      </c>
      <c r="BB57" s="651">
        <f>+AL57+AZ57</f>
        <v>2179426.5</v>
      </c>
      <c r="BC57" s="651">
        <f>+BA57+AM57</f>
        <v>1806856.8657294775</v>
      </c>
      <c r="BD57" s="649">
        <f>+AV57+AX57</f>
        <v>4280781.0199999996</v>
      </c>
      <c r="BE57" s="649">
        <f>+BE50-BE52-BE54</f>
        <v>4003107.1772638112</v>
      </c>
      <c r="BF57" s="26"/>
      <c r="BG57" s="26"/>
      <c r="BH57" s="26"/>
      <c r="BI57" s="26"/>
      <c r="BJ57" s="26"/>
    </row>
    <row r="58" spans="2:62" ht="15.6" x14ac:dyDescent="0.3">
      <c r="B58" s="1352" t="s">
        <v>337</v>
      </c>
      <c r="C58" s="3029"/>
      <c r="D58" s="3030"/>
      <c r="E58" s="3030"/>
      <c r="F58" s="3030"/>
      <c r="G58" s="3030"/>
      <c r="H58" s="3030"/>
      <c r="I58" s="263"/>
      <c r="J58" s="3030"/>
      <c r="K58" s="3030"/>
      <c r="L58" s="1137"/>
      <c r="M58" s="1137"/>
      <c r="N58" s="3030"/>
      <c r="O58" s="3030"/>
      <c r="P58" s="1137"/>
      <c r="Q58" s="1137"/>
      <c r="R58" s="3030"/>
      <c r="S58" s="3030"/>
      <c r="T58" s="1137"/>
      <c r="U58" s="1137"/>
      <c r="V58" s="3030"/>
      <c r="W58" s="3030"/>
      <c r="X58" s="1137"/>
      <c r="Y58" s="1137"/>
      <c r="Z58" s="1137"/>
      <c r="AA58" s="1137"/>
      <c r="AB58" s="3030"/>
      <c r="AC58" s="3030"/>
      <c r="AD58" s="1137"/>
      <c r="AE58" s="1137"/>
      <c r="AF58" s="3030"/>
      <c r="AG58" s="3030"/>
      <c r="AH58" s="1137"/>
      <c r="AI58" s="1137"/>
      <c r="AJ58" s="3030"/>
      <c r="AK58" s="3030"/>
      <c r="AL58" s="1137"/>
      <c r="AM58" s="1137"/>
      <c r="AN58" s="1137"/>
      <c r="AO58" s="1137"/>
      <c r="AP58" s="3030"/>
      <c r="AQ58" s="3030"/>
      <c r="AR58" s="1137"/>
      <c r="AS58" s="1137"/>
      <c r="AT58" s="3030"/>
      <c r="AU58" s="3030"/>
      <c r="AV58" s="1137"/>
      <c r="AW58" s="1137"/>
      <c r="AX58" s="3030"/>
      <c r="AY58" s="3030"/>
      <c r="AZ58" s="1137"/>
      <c r="BA58" s="1137"/>
      <c r="BB58" s="1137"/>
      <c r="BC58" s="1137"/>
      <c r="BD58" s="1137"/>
      <c r="BE58" s="1137"/>
      <c r="BF58" s="26"/>
      <c r="BG58" s="26"/>
      <c r="BH58" s="26"/>
      <c r="BI58" s="26"/>
      <c r="BJ58" s="26"/>
    </row>
    <row r="59" spans="2:62" x14ac:dyDescent="0.25">
      <c r="B59" s="8" t="s">
        <v>80</v>
      </c>
      <c r="C59" s="2656" t="s">
        <v>326</v>
      </c>
      <c r="D59" s="2716">
        <f>D60*D$3*24</f>
        <v>173178.40909090912</v>
      </c>
      <c r="E59" s="2647">
        <v>141838.50000000006</v>
      </c>
      <c r="F59" s="2716">
        <f>F60*F$3*24</f>
        <v>178641.13636363635</v>
      </c>
      <c r="G59" s="2647">
        <v>163016</v>
      </c>
      <c r="H59" s="2648">
        <f t="shared" ref="H59:I73" si="332">+D59+F59</f>
        <v>351819.54545454547</v>
      </c>
      <c r="I59" s="39">
        <f t="shared" si="332"/>
        <v>304854.50000000006</v>
      </c>
      <c r="J59" s="2716">
        <f>J60*J$3*24</f>
        <v>173178.40909090912</v>
      </c>
      <c r="K59" s="2647">
        <v>163513.99999999997</v>
      </c>
      <c r="L59" s="781">
        <f t="shared" ref="L59:L73" si="333">+H59+J59</f>
        <v>524997.95454545459</v>
      </c>
      <c r="M59" s="781">
        <f t="shared" ref="M59:M73" si="334">+I59+K59</f>
        <v>468368.5</v>
      </c>
      <c r="N59" s="2716">
        <f>N60*N$3*24</f>
        <v>174767.55681818182</v>
      </c>
      <c r="O59" s="2647">
        <v>170113</v>
      </c>
      <c r="P59" s="782">
        <f t="shared" ref="P59:P73" si="335">+L59+N59</f>
        <v>699765.51136363647</v>
      </c>
      <c r="Q59" s="782">
        <f t="shared" ref="Q59:Q73" si="336">+M59+O59</f>
        <v>638481.5</v>
      </c>
      <c r="R59" s="2716">
        <f>R60*R$3*24</f>
        <v>174767.55681818182</v>
      </c>
      <c r="S59" s="2647">
        <v>162704</v>
      </c>
      <c r="T59" s="782">
        <f t="shared" ref="T59" si="337">+P59+R59</f>
        <v>874533.06818181835</v>
      </c>
      <c r="U59" s="782">
        <f t="shared" ref="U59" si="338">+Q59+S59</f>
        <v>801185.5</v>
      </c>
      <c r="V59" s="2716">
        <f>V60*V$3*24</f>
        <v>95952.272727272735</v>
      </c>
      <c r="W59" s="2647">
        <v>159350</v>
      </c>
      <c r="X59" s="781">
        <f t="shared" ref="X59:X73" si="339">+V59+R59+N59</f>
        <v>445487.38636363641</v>
      </c>
      <c r="Y59" s="781">
        <f t="shared" ref="Y59:Y74" si="340">+W59+S59+O59</f>
        <v>492167</v>
      </c>
      <c r="Z59" s="465">
        <f t="shared" ref="Z59:Z73" si="341">+L59+X59</f>
        <v>970485.34090909106</v>
      </c>
      <c r="AA59" s="465">
        <f t="shared" ref="AA59:AA73" si="342">+Y59+M59</f>
        <v>960535.5</v>
      </c>
      <c r="AB59" s="2716">
        <f>AB60*AB$3*24</f>
        <v>171707.72727272729</v>
      </c>
      <c r="AC59" s="2647">
        <v>152140</v>
      </c>
      <c r="AD59" s="782">
        <f t="shared" ref="AD59" si="343">+Z59+AB59</f>
        <v>1142193.0681818184</v>
      </c>
      <c r="AE59" s="782">
        <f t="shared" ref="AE59" si="344">+AA59+AC59</f>
        <v>1112675.5</v>
      </c>
      <c r="AF59" s="2716">
        <f>AF60*AF$3*24</f>
        <v>166220.45454545459</v>
      </c>
      <c r="AG59" s="2647">
        <v>8237.0000000000073</v>
      </c>
      <c r="AH59" s="782">
        <f t="shared" ref="AH59" si="345">+AD59+AF59</f>
        <v>1308413.5227272729</v>
      </c>
      <c r="AI59" s="782">
        <f t="shared" ref="AI59" si="346">+AE59+AG59</f>
        <v>1120912.5</v>
      </c>
      <c r="AJ59" s="2716">
        <f>AJ60*AJ$3*24</f>
        <v>171707.72727272729</v>
      </c>
      <c r="AK59" s="2647">
        <v>154998</v>
      </c>
      <c r="AL59" s="781">
        <f t="shared" ref="AL59" si="347">+AJ59+AF59+AB59</f>
        <v>509635.90909090918</v>
      </c>
      <c r="AM59" s="781">
        <f t="shared" ref="AM59:AM74" si="348">+AK59+AG59+AC59</f>
        <v>315375</v>
      </c>
      <c r="AN59" s="782">
        <f t="shared" ref="AN59" si="349">+AH59+AJ59</f>
        <v>1480121.2500000002</v>
      </c>
      <c r="AO59" s="782">
        <f t="shared" ref="AO59" si="350">+AI59+AK59</f>
        <v>1275910.5</v>
      </c>
      <c r="AP59" s="2716">
        <f>AP60*AP$3*24</f>
        <v>171707.72727272729</v>
      </c>
      <c r="AQ59" s="2647">
        <v>158814</v>
      </c>
      <c r="AR59" s="782">
        <f t="shared" ref="AR59" si="351">+AN59+AP59</f>
        <v>1651828.9772727275</v>
      </c>
      <c r="AS59" s="782">
        <f t="shared" ref="AS59" si="352">+AO59+AQ59</f>
        <v>1434724.5</v>
      </c>
      <c r="AT59" s="2716">
        <f>AT60*AT$3*24</f>
        <v>154444.77272727271</v>
      </c>
      <c r="AU59" s="2647">
        <v>146288</v>
      </c>
      <c r="AV59" s="782">
        <f t="shared" ref="AV59" si="353">+AR59+AT59</f>
        <v>1806273.7500000002</v>
      </c>
      <c r="AW59" s="782">
        <f t="shared" ref="AW59" si="354">+AS59+AU59</f>
        <v>1581012.5</v>
      </c>
      <c r="AX59" s="2716">
        <f>AX60*AX$3*24</f>
        <v>171707.72727272729</v>
      </c>
      <c r="AY59" s="2647">
        <v>162862.99999999997</v>
      </c>
      <c r="AZ59" s="781">
        <f t="shared" ref="AZ59" si="355">+AX59+AT59+AP59</f>
        <v>497860.22727272729</v>
      </c>
      <c r="BA59" s="781">
        <f t="shared" ref="BA59:BA74" si="356">+AY59+AU59+AQ59</f>
        <v>467965</v>
      </c>
      <c r="BB59" s="465">
        <f t="shared" ref="BB59:BB73" si="357">+AL59+AZ59</f>
        <v>1007496.1363636365</v>
      </c>
      <c r="BC59" s="465">
        <f t="shared" ref="BC59:BC73" si="358">+AM59+BA59</f>
        <v>783340</v>
      </c>
      <c r="BD59" s="782">
        <f t="shared" ref="BD59" si="359">+AV59+AX59</f>
        <v>1977981.4772727275</v>
      </c>
      <c r="BE59" s="782">
        <f t="shared" ref="BE59" si="360">+AW59+AY59</f>
        <v>1743875.5</v>
      </c>
      <c r="BF59" s="26"/>
      <c r="BG59" s="26"/>
      <c r="BH59" s="26"/>
      <c r="BI59" s="26"/>
      <c r="BJ59" s="26"/>
    </row>
    <row r="60" spans="2:62" ht="15" hidden="1" customHeight="1" x14ac:dyDescent="0.3">
      <c r="B60" s="8"/>
      <c r="C60" s="2656"/>
      <c r="D60" s="2732">
        <v>240.52556818181819</v>
      </c>
      <c r="E60" s="2647"/>
      <c r="F60" s="2732">
        <v>240.10905425219943</v>
      </c>
      <c r="G60" s="2647"/>
      <c r="H60" s="2648"/>
      <c r="I60" s="39"/>
      <c r="J60" s="2732">
        <v>240.52556818181819</v>
      </c>
      <c r="K60" s="2647"/>
      <c r="L60" s="781"/>
      <c r="M60" s="781"/>
      <c r="N60" s="2732">
        <v>234.90263013196483</v>
      </c>
      <c r="O60" s="2647"/>
      <c r="P60" s="782"/>
      <c r="Q60" s="782"/>
      <c r="R60" s="2732">
        <v>234.90263013196483</v>
      </c>
      <c r="S60" s="2647"/>
      <c r="T60" s="782"/>
      <c r="U60" s="782"/>
      <c r="V60" s="2732">
        <v>133.26704545454547</v>
      </c>
      <c r="W60" s="2647"/>
      <c r="X60" s="781"/>
      <c r="Y60" s="781">
        <f t="shared" si="340"/>
        <v>0</v>
      </c>
      <c r="Z60" s="465"/>
      <c r="AA60" s="465"/>
      <c r="AB60" s="2732">
        <v>230.78995601173023</v>
      </c>
      <c r="AC60" s="2647"/>
      <c r="AD60" s="782"/>
      <c r="AE60" s="782"/>
      <c r="AF60" s="2732">
        <v>230.86174242424246</v>
      </c>
      <c r="AG60" s="2647"/>
      <c r="AH60" s="782"/>
      <c r="AI60" s="782"/>
      <c r="AJ60" s="2732">
        <v>230.78995601173023</v>
      </c>
      <c r="AK60" s="2647"/>
      <c r="AL60" s="781"/>
      <c r="AM60" s="781">
        <f t="shared" si="348"/>
        <v>0</v>
      </c>
      <c r="AN60" s="782"/>
      <c r="AO60" s="782"/>
      <c r="AP60" s="2732">
        <v>230.78995601173023</v>
      </c>
      <c r="AQ60" s="2647"/>
      <c r="AR60" s="782"/>
      <c r="AS60" s="782"/>
      <c r="AT60" s="2732">
        <v>229.82853084415581</v>
      </c>
      <c r="AU60" s="2647"/>
      <c r="AV60" s="782"/>
      <c r="AW60" s="782"/>
      <c r="AX60" s="2732">
        <v>230.78995601173023</v>
      </c>
      <c r="AY60" s="2647"/>
      <c r="AZ60" s="781"/>
      <c r="BA60" s="781">
        <f t="shared" si="356"/>
        <v>0</v>
      </c>
      <c r="BB60" s="465">
        <f t="shared" si="357"/>
        <v>0</v>
      </c>
      <c r="BC60" s="465">
        <f t="shared" si="358"/>
        <v>0</v>
      </c>
      <c r="BD60" s="782"/>
      <c r="BE60" s="782"/>
      <c r="BF60" s="26"/>
      <c r="BG60" s="26"/>
      <c r="BH60" s="26"/>
      <c r="BI60" s="26"/>
      <c r="BJ60" s="26"/>
    </row>
    <row r="61" spans="2:62" x14ac:dyDescent="0.25">
      <c r="B61" s="8" t="s">
        <v>107</v>
      </c>
      <c r="C61" s="2656" t="s">
        <v>326</v>
      </c>
      <c r="D61" s="2716">
        <f>D62*D$3*24</f>
        <v>62280</v>
      </c>
      <c r="E61" s="2647">
        <v>56777</v>
      </c>
      <c r="F61" s="2716">
        <f>F62*F$3*24</f>
        <v>64356</v>
      </c>
      <c r="G61" s="2647">
        <v>64672</v>
      </c>
      <c r="H61" s="2648">
        <f t="shared" si="332"/>
        <v>126636</v>
      </c>
      <c r="I61" s="39">
        <f t="shared" si="332"/>
        <v>121449</v>
      </c>
      <c r="J61" s="2716">
        <f>J62*J$3*24</f>
        <v>62280</v>
      </c>
      <c r="K61" s="2647">
        <v>65772.333333333328</v>
      </c>
      <c r="L61" s="781">
        <f t="shared" si="333"/>
        <v>188916</v>
      </c>
      <c r="M61" s="781">
        <f t="shared" si="334"/>
        <v>187221.33333333331</v>
      </c>
      <c r="N61" s="2716">
        <f>N62*N$3*24</f>
        <v>64356</v>
      </c>
      <c r="O61" s="2647">
        <v>68850</v>
      </c>
      <c r="P61" s="782">
        <f t="shared" si="335"/>
        <v>253272</v>
      </c>
      <c r="Q61" s="782">
        <f t="shared" si="336"/>
        <v>256071.33333333331</v>
      </c>
      <c r="R61" s="2716">
        <f>R62*R$3*24</f>
        <v>64356</v>
      </c>
      <c r="S61" s="2647">
        <v>66064</v>
      </c>
      <c r="T61" s="782">
        <f t="shared" ref="T61" si="361">+P61+R61</f>
        <v>317628</v>
      </c>
      <c r="U61" s="782">
        <f t="shared" ref="U61" si="362">+Q61+S61</f>
        <v>322135.33333333331</v>
      </c>
      <c r="V61" s="2716">
        <f>V62*V$3*24</f>
        <v>32400</v>
      </c>
      <c r="W61" s="2647">
        <v>65513.2</v>
      </c>
      <c r="X61" s="781">
        <f t="shared" si="339"/>
        <v>161112</v>
      </c>
      <c r="Y61" s="781">
        <f t="shared" si="340"/>
        <v>200427.2</v>
      </c>
      <c r="Z61" s="465">
        <f t="shared" si="341"/>
        <v>350028</v>
      </c>
      <c r="AA61" s="465">
        <f t="shared" si="342"/>
        <v>387648.53333333333</v>
      </c>
      <c r="AB61" s="2716">
        <f>AB62*AB$3*24</f>
        <v>65100</v>
      </c>
      <c r="AC61" s="2647">
        <v>63922</v>
      </c>
      <c r="AD61" s="782">
        <f t="shared" ref="AD61" si="363">+Z61+AB61</f>
        <v>415128</v>
      </c>
      <c r="AE61" s="782">
        <f t="shared" ref="AE61" si="364">+AA61+AC61</f>
        <v>451570.53333333333</v>
      </c>
      <c r="AF61" s="2716">
        <f>AF62*AF$3*24</f>
        <v>63000</v>
      </c>
      <c r="AG61" s="2647">
        <v>2014.9999999999993</v>
      </c>
      <c r="AH61" s="782">
        <f t="shared" ref="AH61" si="365">+AD61+AF61</f>
        <v>478128</v>
      </c>
      <c r="AI61" s="782">
        <f t="shared" ref="AI61" si="366">+AE61+AG61</f>
        <v>453585.53333333333</v>
      </c>
      <c r="AJ61" s="2716">
        <f>AJ62*AJ$3*24</f>
        <v>65100</v>
      </c>
      <c r="AK61" s="2647">
        <v>62711</v>
      </c>
      <c r="AL61" s="781">
        <f t="shared" ref="AL61" si="367">+AJ61+AF61+AB61</f>
        <v>193200</v>
      </c>
      <c r="AM61" s="781">
        <f t="shared" si="348"/>
        <v>128648</v>
      </c>
      <c r="AN61" s="782">
        <f t="shared" ref="AN61" si="368">+AH61+AJ61</f>
        <v>543228</v>
      </c>
      <c r="AO61" s="782">
        <f t="shared" ref="AO61" si="369">+AI61+AK61</f>
        <v>516296.53333333333</v>
      </c>
      <c r="AP61" s="2716">
        <f>AP62*AP$3*24</f>
        <v>65100</v>
      </c>
      <c r="AQ61" s="2647">
        <v>64426</v>
      </c>
      <c r="AR61" s="782">
        <f t="shared" ref="AR61" si="370">+AN61+AP61</f>
        <v>608328</v>
      </c>
      <c r="AS61" s="782">
        <f t="shared" ref="AS61" si="371">+AO61+AQ61</f>
        <v>580722.53333333333</v>
      </c>
      <c r="AT61" s="2716">
        <f>AT62*AT$3*24</f>
        <v>58800</v>
      </c>
      <c r="AU61" s="2647">
        <v>58481</v>
      </c>
      <c r="AV61" s="782">
        <f t="shared" ref="AV61" si="372">+AR61+AT61</f>
        <v>667128</v>
      </c>
      <c r="AW61" s="782">
        <f t="shared" ref="AW61" si="373">+AS61+AU61</f>
        <v>639203.53333333333</v>
      </c>
      <c r="AX61" s="2716">
        <f>AX62*AX$3*24</f>
        <v>65100</v>
      </c>
      <c r="AY61" s="2647">
        <v>65853.2</v>
      </c>
      <c r="AZ61" s="781">
        <f t="shared" ref="AZ61" si="374">+AX61+AT61+AP61</f>
        <v>189000</v>
      </c>
      <c r="BA61" s="781">
        <f t="shared" si="356"/>
        <v>188760.2</v>
      </c>
      <c r="BB61" s="465">
        <f t="shared" si="357"/>
        <v>382200</v>
      </c>
      <c r="BC61" s="465">
        <f t="shared" si="358"/>
        <v>317408.2</v>
      </c>
      <c r="BD61" s="782">
        <f t="shared" ref="BD61" si="375">+AV61+AX61</f>
        <v>732228</v>
      </c>
      <c r="BE61" s="782">
        <f t="shared" ref="BE61" si="376">+AW61+AY61</f>
        <v>705056.73333333328</v>
      </c>
      <c r="BF61" s="26"/>
      <c r="BG61" s="26"/>
      <c r="BH61" s="26"/>
      <c r="BI61" s="26"/>
      <c r="BJ61" s="26"/>
    </row>
    <row r="62" spans="2:62" ht="15" hidden="1" customHeight="1" x14ac:dyDescent="0.3">
      <c r="B62" s="8"/>
      <c r="C62" s="2656"/>
      <c r="D62" s="2732">
        <v>86.5</v>
      </c>
      <c r="E62" s="2647"/>
      <c r="F62" s="2732">
        <v>86.5</v>
      </c>
      <c r="G62" s="2647"/>
      <c r="H62" s="2648"/>
      <c r="I62" s="39"/>
      <c r="J62" s="2732">
        <v>86.5</v>
      </c>
      <c r="K62" s="2647"/>
      <c r="L62" s="781"/>
      <c r="M62" s="781"/>
      <c r="N62" s="2732">
        <v>86.5</v>
      </c>
      <c r="O62" s="2647"/>
      <c r="P62" s="782"/>
      <c r="Q62" s="782"/>
      <c r="R62" s="2732">
        <v>86.5</v>
      </c>
      <c r="S62" s="2647"/>
      <c r="T62" s="782"/>
      <c r="U62" s="782"/>
      <c r="V62" s="2732">
        <v>45</v>
      </c>
      <c r="W62" s="2647"/>
      <c r="X62" s="781"/>
      <c r="Y62" s="781">
        <f t="shared" si="340"/>
        <v>0</v>
      </c>
      <c r="Z62" s="465"/>
      <c r="AA62" s="465"/>
      <c r="AB62" s="2732">
        <v>87.5</v>
      </c>
      <c r="AC62" s="2647"/>
      <c r="AD62" s="782"/>
      <c r="AE62" s="782"/>
      <c r="AF62" s="2732">
        <v>87.5</v>
      </c>
      <c r="AG62" s="2647"/>
      <c r="AH62" s="782"/>
      <c r="AI62" s="782"/>
      <c r="AJ62" s="2732">
        <v>87.5</v>
      </c>
      <c r="AK62" s="2647"/>
      <c r="AL62" s="781"/>
      <c r="AM62" s="781">
        <f t="shared" si="348"/>
        <v>0</v>
      </c>
      <c r="AN62" s="782"/>
      <c r="AO62" s="782"/>
      <c r="AP62" s="2732">
        <v>87.5</v>
      </c>
      <c r="AQ62" s="2647"/>
      <c r="AR62" s="782"/>
      <c r="AS62" s="782"/>
      <c r="AT62" s="2732">
        <v>87.5</v>
      </c>
      <c r="AU62" s="2647"/>
      <c r="AV62" s="782"/>
      <c r="AW62" s="782"/>
      <c r="AX62" s="2732">
        <v>87.5</v>
      </c>
      <c r="AY62" s="2647"/>
      <c r="AZ62" s="781"/>
      <c r="BA62" s="781">
        <f t="shared" si="356"/>
        <v>0</v>
      </c>
      <c r="BB62" s="465">
        <f t="shared" si="357"/>
        <v>0</v>
      </c>
      <c r="BC62" s="465">
        <f t="shared" si="358"/>
        <v>0</v>
      </c>
      <c r="BD62" s="782"/>
      <c r="BE62" s="782"/>
      <c r="BF62" s="26"/>
      <c r="BG62" s="26"/>
      <c r="BH62" s="26"/>
      <c r="BI62" s="26"/>
      <c r="BJ62" s="26"/>
    </row>
    <row r="63" spans="2:62" x14ac:dyDescent="0.25">
      <c r="B63" s="8" t="s">
        <v>90</v>
      </c>
      <c r="C63" s="2656" t="s">
        <v>326</v>
      </c>
      <c r="D63" s="2716">
        <f>D64*D$3*24</f>
        <v>128992.02602301195</v>
      </c>
      <c r="E63" s="2647">
        <v>117320.6</v>
      </c>
      <c r="F63" s="2716">
        <f>F64*F$3*24</f>
        <v>130573.11180132374</v>
      </c>
      <c r="G63" s="2647">
        <v>132037.49999999997</v>
      </c>
      <c r="H63" s="2648">
        <f t="shared" si="332"/>
        <v>259565.13782433569</v>
      </c>
      <c r="I63" s="39">
        <f t="shared" si="332"/>
        <v>249358.09999999998</v>
      </c>
      <c r="J63" s="2716">
        <f>J64*J$3*24</f>
        <v>125587.44737132653</v>
      </c>
      <c r="K63" s="2647">
        <v>133448.99999999991</v>
      </c>
      <c r="L63" s="781">
        <f t="shared" si="333"/>
        <v>385152.58519566222</v>
      </c>
      <c r="M63" s="781">
        <f t="shared" si="334"/>
        <v>382807.09999999986</v>
      </c>
      <c r="N63" s="2716">
        <f>N64*N$3*24</f>
        <v>130670.40545758719</v>
      </c>
      <c r="O63" s="2647">
        <v>140977</v>
      </c>
      <c r="P63" s="782">
        <f t="shared" si="335"/>
        <v>515822.99065324944</v>
      </c>
      <c r="Q63" s="782">
        <f t="shared" si="336"/>
        <v>523784.09999999986</v>
      </c>
      <c r="R63" s="2716">
        <f>R64*R$3*24</f>
        <v>128191.80545758724</v>
      </c>
      <c r="S63" s="2647">
        <v>136614</v>
      </c>
      <c r="T63" s="782">
        <f t="shared" ref="T63" si="377">+P63+R63</f>
        <v>644014.79611083667</v>
      </c>
      <c r="U63" s="782">
        <f t="shared" ref="U63" si="378">+Q63+S63</f>
        <v>660398.09999999986</v>
      </c>
      <c r="V63" s="2716">
        <f>V64*V$3*24</f>
        <v>67969.352302229032</v>
      </c>
      <c r="W63" s="2647">
        <v>135017</v>
      </c>
      <c r="X63" s="781">
        <f t="shared" si="339"/>
        <v>326831.56321740348</v>
      </c>
      <c r="Y63" s="781">
        <f t="shared" si="340"/>
        <v>412608</v>
      </c>
      <c r="Z63" s="465">
        <f t="shared" si="341"/>
        <v>711984.1484130657</v>
      </c>
      <c r="AA63" s="465">
        <f t="shared" si="342"/>
        <v>795415.09999999986</v>
      </c>
      <c r="AB63" s="2716">
        <f>AB64*AB$3*24</f>
        <v>121109.16320273542</v>
      </c>
      <c r="AC63" s="2647">
        <v>127550.09090909084</v>
      </c>
      <c r="AD63" s="782">
        <f t="shared" ref="AD63" si="379">+Z63+AB63</f>
        <v>833093.31161580118</v>
      </c>
      <c r="AE63" s="782">
        <f t="shared" ref="AE63" si="380">+AA63+AC63</f>
        <v>922965.19090909068</v>
      </c>
      <c r="AF63" s="2716">
        <f>AF64*AF$3*24</f>
        <v>117268.87808383917</v>
      </c>
      <c r="AG63" s="2647">
        <v>5686.0000000000091</v>
      </c>
      <c r="AH63" s="782">
        <f t="shared" ref="AH63" si="381">+AD63+AF63</f>
        <v>950362.18969964038</v>
      </c>
      <c r="AI63" s="782">
        <f t="shared" ref="AI63" si="382">+AE63+AG63</f>
        <v>928651.19090909068</v>
      </c>
      <c r="AJ63" s="2716">
        <f>AJ64*AJ$3*24</f>
        <v>121109.16320273542</v>
      </c>
      <c r="AK63" s="2647">
        <v>134485</v>
      </c>
      <c r="AL63" s="781">
        <f t="shared" ref="AL63" si="383">+AJ63+AF63+AB63</f>
        <v>359487.20448931004</v>
      </c>
      <c r="AM63" s="781">
        <f t="shared" si="348"/>
        <v>267721.09090909082</v>
      </c>
      <c r="AN63" s="782">
        <f t="shared" ref="AN63" si="384">+AH63+AJ63</f>
        <v>1071471.3529023759</v>
      </c>
      <c r="AO63" s="782">
        <f t="shared" ref="AO63" si="385">+AI63+AK63</f>
        <v>1063136.1909090907</v>
      </c>
      <c r="AP63" s="2716">
        <f>AP64*AP$3*24</f>
        <v>121109.16320273542</v>
      </c>
      <c r="AQ63" s="2647">
        <v>130892</v>
      </c>
      <c r="AR63" s="782">
        <f t="shared" ref="AR63" si="386">+AN63+AP63</f>
        <v>1192580.5161051112</v>
      </c>
      <c r="AS63" s="782">
        <f t="shared" ref="AS63" si="387">+AO63+AQ63</f>
        <v>1194028.1909090907</v>
      </c>
      <c r="AT63" s="2716">
        <f>AT64*AT$3*24</f>
        <v>108933.6683555214</v>
      </c>
      <c r="AU63" s="2647">
        <v>118831.99999999991</v>
      </c>
      <c r="AV63" s="782">
        <f t="shared" ref="AV63" si="388">+AR63+AT63</f>
        <v>1301514.1844606325</v>
      </c>
      <c r="AW63" s="782">
        <f t="shared" ref="AW63" si="389">+AS63+AU63</f>
        <v>1312860.1909090907</v>
      </c>
      <c r="AX63" s="2716">
        <f>AX64*AX$3*24</f>
        <v>120536.9771375946</v>
      </c>
      <c r="AY63" s="2647">
        <v>133533.99999999994</v>
      </c>
      <c r="AZ63" s="781">
        <f t="shared" ref="AZ63" si="390">+AX63+AT63+AP63</f>
        <v>350579.80869585142</v>
      </c>
      <c r="BA63" s="781">
        <f t="shared" si="356"/>
        <v>383257.99999999988</v>
      </c>
      <c r="BB63" s="465">
        <f t="shared" si="357"/>
        <v>710067.0131851614</v>
      </c>
      <c r="BC63" s="465">
        <f t="shared" si="358"/>
        <v>650979.09090909071</v>
      </c>
      <c r="BD63" s="782">
        <f t="shared" ref="BD63" si="391">+AV63+AX63</f>
        <v>1422051.161598227</v>
      </c>
      <c r="BE63" s="782">
        <f t="shared" ref="BE63" si="392">+AW63+AY63</f>
        <v>1446394.1909090907</v>
      </c>
      <c r="BF63" s="26"/>
      <c r="BG63" s="26"/>
      <c r="BH63" s="26"/>
      <c r="BI63" s="26"/>
      <c r="BJ63" s="26"/>
    </row>
    <row r="64" spans="2:62" ht="15" hidden="1" customHeight="1" x14ac:dyDescent="0.3">
      <c r="B64" s="8"/>
      <c r="C64" s="2656"/>
      <c r="D64" s="2732">
        <v>179.15559169862769</v>
      </c>
      <c r="E64" s="2647"/>
      <c r="F64" s="2732">
        <v>175.50149435661791</v>
      </c>
      <c r="G64" s="2647"/>
      <c r="H64" s="2648"/>
      <c r="I64" s="39"/>
      <c r="J64" s="2732">
        <v>174.42701023795354</v>
      </c>
      <c r="K64" s="2647"/>
      <c r="L64" s="781"/>
      <c r="M64" s="781"/>
      <c r="N64" s="2732">
        <v>175.6322653999828</v>
      </c>
      <c r="O64" s="2647"/>
      <c r="P64" s="782"/>
      <c r="Q64" s="782"/>
      <c r="R64" s="2732">
        <v>172.30081378707962</v>
      </c>
      <c r="S64" s="2647"/>
      <c r="T64" s="782"/>
      <c r="U64" s="782"/>
      <c r="V64" s="2732">
        <v>94.401878197540313</v>
      </c>
      <c r="W64" s="2647"/>
      <c r="X64" s="781"/>
      <c r="Y64" s="781">
        <f t="shared" si="340"/>
        <v>0</v>
      </c>
      <c r="Z64" s="465"/>
      <c r="AA64" s="465"/>
      <c r="AB64" s="2732">
        <v>162.78113333700998</v>
      </c>
      <c r="AC64" s="2647"/>
      <c r="AD64" s="782"/>
      <c r="AE64" s="782"/>
      <c r="AF64" s="2732">
        <v>162.87344178310997</v>
      </c>
      <c r="AG64" s="2647"/>
      <c r="AH64" s="782"/>
      <c r="AI64" s="782"/>
      <c r="AJ64" s="2732">
        <v>162.78113333700998</v>
      </c>
      <c r="AK64" s="2647"/>
      <c r="AL64" s="781"/>
      <c r="AM64" s="781">
        <f t="shared" si="348"/>
        <v>0</v>
      </c>
      <c r="AN64" s="782"/>
      <c r="AO64" s="782"/>
      <c r="AP64" s="2732">
        <v>162.78113333700998</v>
      </c>
      <c r="AQ64" s="2647"/>
      <c r="AR64" s="782"/>
      <c r="AS64" s="782"/>
      <c r="AT64" s="2732">
        <v>162.10367314809733</v>
      </c>
      <c r="AU64" s="2647"/>
      <c r="AV64" s="782"/>
      <c r="AW64" s="782"/>
      <c r="AX64" s="2732">
        <v>162.01206604515403</v>
      </c>
      <c r="AY64" s="2647"/>
      <c r="AZ64" s="781"/>
      <c r="BA64" s="781">
        <f t="shared" si="356"/>
        <v>0</v>
      </c>
      <c r="BB64" s="465">
        <f t="shared" si="357"/>
        <v>0</v>
      </c>
      <c r="BC64" s="465">
        <f t="shared" si="358"/>
        <v>0</v>
      </c>
      <c r="BD64" s="782"/>
      <c r="BE64" s="782"/>
      <c r="BF64" s="26"/>
      <c r="BG64" s="26"/>
      <c r="BH64" s="26"/>
      <c r="BI64" s="26"/>
      <c r="BJ64" s="26"/>
    </row>
    <row r="65" spans="1:62" x14ac:dyDescent="0.25">
      <c r="B65" s="8" t="s">
        <v>59</v>
      </c>
      <c r="C65" s="2656" t="s">
        <v>326</v>
      </c>
      <c r="D65" s="2716">
        <f>D66*D$3*24</f>
        <v>1826.5730854513331</v>
      </c>
      <c r="E65" s="2647">
        <v>2057.7302956490353</v>
      </c>
      <c r="F65" s="2716">
        <f>F66*F$3*24</f>
        <v>2604.295976697917</v>
      </c>
      <c r="G65" s="2647">
        <v>2012.0675056975531</v>
      </c>
      <c r="H65" s="2648">
        <f t="shared" si="332"/>
        <v>4430.8690621492497</v>
      </c>
      <c r="I65" s="39">
        <f t="shared" si="332"/>
        <v>4069.7978013465881</v>
      </c>
      <c r="J65" s="2716">
        <f>J66*J$3*24</f>
        <v>2505.2254097750365</v>
      </c>
      <c r="K65" s="2647">
        <v>1899.1130777918936</v>
      </c>
      <c r="L65" s="781">
        <f t="shared" si="333"/>
        <v>6936.0944719242862</v>
      </c>
      <c r="M65" s="781">
        <f t="shared" si="334"/>
        <v>5968.9108791384815</v>
      </c>
      <c r="N65" s="2716">
        <f>N66*N$3*24</f>
        <v>2603.4217236998202</v>
      </c>
      <c r="O65" s="2647">
        <v>2311.4546741922049</v>
      </c>
      <c r="P65" s="782">
        <f t="shared" si="335"/>
        <v>9539.5161956241063</v>
      </c>
      <c r="Q65" s="782">
        <f t="shared" si="336"/>
        <v>8280.3655533306865</v>
      </c>
      <c r="R65" s="2716">
        <f>R66*R$3*24</f>
        <v>2603.4217236998202</v>
      </c>
      <c r="S65" s="2647">
        <v>1938.8333894748712</v>
      </c>
      <c r="T65" s="782">
        <f t="shared" ref="T65" si="393">+P65+R65</f>
        <v>12142.937919323926</v>
      </c>
      <c r="U65" s="782">
        <f t="shared" ref="U65" si="394">+Q65+S65</f>
        <v>10219.198942805557</v>
      </c>
      <c r="V65" s="2716">
        <f>V66*V$3*24</f>
        <v>1571.2593698658002</v>
      </c>
      <c r="W65" s="2647">
        <v>1874.87</v>
      </c>
      <c r="X65" s="781">
        <f t="shared" si="339"/>
        <v>6778.1028172654405</v>
      </c>
      <c r="Y65" s="781">
        <f t="shared" si="340"/>
        <v>6125.158063667076</v>
      </c>
      <c r="Z65" s="465">
        <f t="shared" si="341"/>
        <v>13714.197289189728</v>
      </c>
      <c r="AA65" s="465">
        <f t="shared" si="342"/>
        <v>12094.068942805558</v>
      </c>
      <c r="AB65" s="2716">
        <f>AB66*AB$3*24</f>
        <v>3667.0575857087811</v>
      </c>
      <c r="AC65" s="2647">
        <v>2418.7498395562943</v>
      </c>
      <c r="AD65" s="782">
        <f t="shared" ref="AD65" si="395">+Z65+AB65</f>
        <v>17381.25487489851</v>
      </c>
      <c r="AE65" s="782">
        <f t="shared" ref="AE65" si="396">+AA65+AC65</f>
        <v>14512.818782361852</v>
      </c>
      <c r="AF65" s="2716">
        <f>AF66*AF$3*24</f>
        <v>3545.2706474080351</v>
      </c>
      <c r="AG65" s="2647">
        <v>129.26503245907827</v>
      </c>
      <c r="AH65" s="782">
        <f t="shared" ref="AH65" si="397">+AD65+AF65</f>
        <v>20926.525522306547</v>
      </c>
      <c r="AI65" s="782">
        <f t="shared" ref="AI65" si="398">+AE65+AG65</f>
        <v>14642.08381482093</v>
      </c>
      <c r="AJ65" s="2716">
        <f>AJ66*AJ$3*24</f>
        <v>3667.0575857087811</v>
      </c>
      <c r="AK65" s="2647">
        <v>2430.7422244970644</v>
      </c>
      <c r="AL65" s="781">
        <f t="shared" ref="AL65" si="399">+AJ65+AF65+AB65</f>
        <v>10879.385818825596</v>
      </c>
      <c r="AM65" s="781">
        <f t="shared" si="348"/>
        <v>4978.7570965124369</v>
      </c>
      <c r="AN65" s="782">
        <f t="shared" ref="AN65" si="400">+AH65+AJ65</f>
        <v>24593.583108015329</v>
      </c>
      <c r="AO65" s="782">
        <f t="shared" ref="AO65" si="401">+AI65+AK65</f>
        <v>17072.826039317995</v>
      </c>
      <c r="AP65" s="2716">
        <f>AP66*AP$3*24</f>
        <v>3667.0575857087811</v>
      </c>
      <c r="AQ65" s="2647">
        <v>2495.38</v>
      </c>
      <c r="AR65" s="782">
        <f t="shared" ref="AR65" si="402">+AN65+AP65</f>
        <v>28260.640693724112</v>
      </c>
      <c r="AS65" s="782">
        <f t="shared" ref="AS65" si="403">+AO65+AQ65</f>
        <v>19568.206039317996</v>
      </c>
      <c r="AT65" s="2716">
        <f>AT66*AT$3*24</f>
        <v>3259.4151964984053</v>
      </c>
      <c r="AU65" s="2647">
        <v>2246.2610101268133</v>
      </c>
      <c r="AV65" s="782">
        <f t="shared" ref="AV65" si="404">+AR65+AT65</f>
        <v>31520.055890222517</v>
      </c>
      <c r="AW65" s="782">
        <f t="shared" ref="AW65" si="405">+AS65+AU65</f>
        <v>21814.467049444811</v>
      </c>
      <c r="AX65" s="2716">
        <f>AX66*AX$3*24</f>
        <v>3690.418903499145</v>
      </c>
      <c r="AY65" s="2647">
        <v>2959.9231302318121</v>
      </c>
      <c r="AZ65" s="781">
        <f t="shared" ref="AZ65" si="406">+AX65+AT65+AP65</f>
        <v>10616.89168570633</v>
      </c>
      <c r="BA65" s="781">
        <f t="shared" si="356"/>
        <v>7701.564140358626</v>
      </c>
      <c r="BB65" s="465">
        <f t="shared" si="357"/>
        <v>21496.277504531929</v>
      </c>
      <c r="BC65" s="465">
        <f t="shared" si="358"/>
        <v>12680.321236871063</v>
      </c>
      <c r="BD65" s="782">
        <f t="shared" ref="BD65" si="407">+AV65+AX65</f>
        <v>35210.47479372166</v>
      </c>
      <c r="BE65" s="782">
        <f t="shared" ref="BE65" si="408">+AW65+AY65</f>
        <v>24774.390179676622</v>
      </c>
      <c r="BF65" s="26"/>
      <c r="BG65" s="26"/>
      <c r="BH65" s="26"/>
      <c r="BI65" s="26"/>
      <c r="BJ65" s="26"/>
    </row>
    <row r="66" spans="1:62" ht="15" hidden="1" customHeight="1" x14ac:dyDescent="0.3">
      <c r="B66" s="8"/>
      <c r="C66" s="2656"/>
      <c r="D66" s="2732">
        <v>2.5369070631268515</v>
      </c>
      <c r="E66" s="2647"/>
      <c r="F66" s="2732">
        <v>3.5003978181423614</v>
      </c>
      <c r="G66" s="2647"/>
      <c r="H66" s="2648"/>
      <c r="I66" s="39"/>
      <c r="J66" s="2732">
        <v>3.4794797357986615</v>
      </c>
      <c r="K66" s="2647"/>
      <c r="L66" s="781"/>
      <c r="M66" s="781"/>
      <c r="N66" s="2732">
        <v>3.4992227469083601</v>
      </c>
      <c r="O66" s="2647"/>
      <c r="P66" s="782"/>
      <c r="Q66" s="782"/>
      <c r="R66" s="2732">
        <v>3.4992227469083601</v>
      </c>
      <c r="S66" s="2647"/>
      <c r="T66" s="782"/>
      <c r="U66" s="782"/>
      <c r="V66" s="2732">
        <v>2.1823046803691666</v>
      </c>
      <c r="W66" s="2647"/>
      <c r="X66" s="781"/>
      <c r="Y66" s="781">
        <f t="shared" si="340"/>
        <v>0</v>
      </c>
      <c r="Z66" s="465"/>
      <c r="AA66" s="465"/>
      <c r="AB66" s="2732">
        <v>4.9288408410064264</v>
      </c>
      <c r="AC66" s="2647"/>
      <c r="AD66" s="782"/>
      <c r="AE66" s="782"/>
      <c r="AF66" s="2732">
        <v>4.923987010288938</v>
      </c>
      <c r="AG66" s="2647"/>
      <c r="AH66" s="782"/>
      <c r="AI66" s="782"/>
      <c r="AJ66" s="2732">
        <v>4.9288408410064264</v>
      </c>
      <c r="AK66" s="2647"/>
      <c r="AL66" s="781"/>
      <c r="AM66" s="781">
        <f t="shared" si="348"/>
        <v>0</v>
      </c>
      <c r="AN66" s="782"/>
      <c r="AO66" s="782"/>
      <c r="AP66" s="2732">
        <v>4.9288408410064264</v>
      </c>
      <c r="AQ66" s="2647"/>
      <c r="AR66" s="782"/>
      <c r="AS66" s="782"/>
      <c r="AT66" s="2732">
        <v>4.8503202328845321</v>
      </c>
      <c r="AU66" s="2647"/>
      <c r="AV66" s="782"/>
      <c r="AW66" s="782"/>
      <c r="AX66" s="2732">
        <v>4.9602404616923987</v>
      </c>
      <c r="AY66" s="2647"/>
      <c r="AZ66" s="781"/>
      <c r="BA66" s="781">
        <f t="shared" si="356"/>
        <v>0</v>
      </c>
      <c r="BB66" s="465">
        <f t="shared" si="357"/>
        <v>0</v>
      </c>
      <c r="BC66" s="465">
        <f t="shared" si="358"/>
        <v>0</v>
      </c>
      <c r="BD66" s="782"/>
      <c r="BE66" s="782"/>
      <c r="BF66" s="26"/>
      <c r="BG66" s="26"/>
      <c r="BH66" s="26"/>
      <c r="BI66" s="26"/>
      <c r="BJ66" s="26"/>
    </row>
    <row r="67" spans="1:62" x14ac:dyDescent="0.25">
      <c r="B67" s="8" t="s">
        <v>91</v>
      </c>
      <c r="C67" s="2656" t="s">
        <v>326</v>
      </c>
      <c r="D67" s="2716">
        <f>D68*D$3*24</f>
        <v>2775.544887176522</v>
      </c>
      <c r="E67" s="2647">
        <v>2815.4250397146393</v>
      </c>
      <c r="F67" s="2716">
        <f>F68*F$3*24</f>
        <v>3973.2994199361992</v>
      </c>
      <c r="G67" s="2647">
        <v>2888.2165205590927</v>
      </c>
      <c r="H67" s="2648">
        <f t="shared" si="332"/>
        <v>6748.8443071127213</v>
      </c>
      <c r="I67" s="39">
        <f t="shared" si="332"/>
        <v>5703.6415602737325</v>
      </c>
      <c r="J67" s="2716">
        <f>J68*J$3*24</f>
        <v>3806.7820185840974</v>
      </c>
      <c r="K67" s="2647">
        <v>2735.8936281915189</v>
      </c>
      <c r="L67" s="781">
        <f t="shared" si="333"/>
        <v>10555.62632569682</v>
      </c>
      <c r="M67" s="781">
        <f t="shared" si="334"/>
        <v>8439.5351884652518</v>
      </c>
      <c r="N67" s="2716">
        <f>N68*N$3*24</f>
        <v>3971.9655972980295</v>
      </c>
      <c r="O67" s="2647">
        <v>3255.9549650913755</v>
      </c>
      <c r="P67" s="782">
        <f t="shared" si="335"/>
        <v>14527.591922994849</v>
      </c>
      <c r="Q67" s="782">
        <f t="shared" si="336"/>
        <v>11695.490153556628</v>
      </c>
      <c r="R67" s="2716">
        <f>R68*R$3*24</f>
        <v>3971.9655972980295</v>
      </c>
      <c r="S67" s="2647">
        <v>2854.8184825587114</v>
      </c>
      <c r="T67" s="782">
        <f t="shared" ref="T67" si="409">+P67+R67</f>
        <v>18499.557520292878</v>
      </c>
      <c r="U67" s="782">
        <f t="shared" ref="U67" si="410">+Q67+S67</f>
        <v>14550.30863611534</v>
      </c>
      <c r="V67" s="2716">
        <f>V68*V$3*24</f>
        <v>2536.8104645087219</v>
      </c>
      <c r="W67" s="2647">
        <v>2790.48</v>
      </c>
      <c r="X67" s="781">
        <f t="shared" si="339"/>
        <v>10480.74165910478</v>
      </c>
      <c r="Y67" s="781">
        <f t="shared" si="340"/>
        <v>8901.2534476500878</v>
      </c>
      <c r="Z67" s="465">
        <f t="shared" si="341"/>
        <v>21036.3679848016</v>
      </c>
      <c r="AA67" s="465">
        <f t="shared" si="342"/>
        <v>17340.78863611534</v>
      </c>
      <c r="AB67" s="2716">
        <f>AB68*AB$3*24</f>
        <v>5478.7673546090318</v>
      </c>
      <c r="AC67" s="2647">
        <v>3580.3775520644003</v>
      </c>
      <c r="AD67" s="782">
        <f t="shared" ref="AD67" si="411">+Z67+AB67</f>
        <v>26515.135339410634</v>
      </c>
      <c r="AE67" s="782">
        <f t="shared" ref="AE67" si="412">+AA67+AC67</f>
        <v>20921.166188179741</v>
      </c>
      <c r="AF67" s="2716">
        <f>AF68*AF$3*24</f>
        <v>5306.2164305883316</v>
      </c>
      <c r="AG67" s="2647">
        <v>104.89007638078083</v>
      </c>
      <c r="AH67" s="782">
        <f t="shared" ref="AH67" si="413">+AD67+AF67</f>
        <v>31821.351769998964</v>
      </c>
      <c r="AI67" s="782">
        <f t="shared" ref="AI67" si="414">+AE67+AG67</f>
        <v>21026.056264560521</v>
      </c>
      <c r="AJ67" s="2716">
        <f>AJ68*AJ$3*24</f>
        <v>5478.7673546090318</v>
      </c>
      <c r="AK67" s="2647">
        <v>4042.1722246268318</v>
      </c>
      <c r="AL67" s="781">
        <f t="shared" ref="AL67" si="415">+AJ67+AF67+AB67</f>
        <v>16263.751139806396</v>
      </c>
      <c r="AM67" s="781">
        <f t="shared" si="348"/>
        <v>7727.4398530720127</v>
      </c>
      <c r="AN67" s="782">
        <f t="shared" ref="AN67" si="416">+AH67+AJ67</f>
        <v>37300.119124607998</v>
      </c>
      <c r="AO67" s="782">
        <f t="shared" ref="AO67" si="417">+AI67+AK67</f>
        <v>25068.228489187353</v>
      </c>
      <c r="AP67" s="2716">
        <f>AP68*AP$3*24</f>
        <v>5478.7673546090318</v>
      </c>
      <c r="AQ67" s="2647">
        <v>3452.39</v>
      </c>
      <c r="AR67" s="782">
        <f t="shared" ref="AR67" si="418">+AN67+AP67</f>
        <v>42778.886479217028</v>
      </c>
      <c r="AS67" s="782">
        <f t="shared" ref="AS67" si="419">+AO67+AQ67</f>
        <v>28520.618489187353</v>
      </c>
      <c r="AT67" s="2716">
        <f>AT68*AT$3*24</f>
        <v>4958.0306641548059</v>
      </c>
      <c r="AU67" s="2647">
        <v>3273.160669562239</v>
      </c>
      <c r="AV67" s="782">
        <f t="shared" ref="AV67" si="420">+AR67+AT67</f>
        <v>47736.917143371837</v>
      </c>
      <c r="AW67" s="782">
        <f t="shared" ref="AW67" si="421">+AS67+AU67</f>
        <v>31793.779158749592</v>
      </c>
      <c r="AX67" s="2716">
        <f>AX68*AX$3*24</f>
        <v>5513.6703312542031</v>
      </c>
      <c r="AY67" s="2647">
        <v>3678.403252831974</v>
      </c>
      <c r="AZ67" s="781">
        <f t="shared" ref="AZ67" si="422">+AX67+AT67+AP67</f>
        <v>15950.468350018042</v>
      </c>
      <c r="BA67" s="781">
        <f t="shared" si="356"/>
        <v>10403.953922394212</v>
      </c>
      <c r="BB67" s="465">
        <f t="shared" si="357"/>
        <v>32214.219489824438</v>
      </c>
      <c r="BC67" s="465">
        <f t="shared" si="358"/>
        <v>18131.393775466226</v>
      </c>
      <c r="BD67" s="782">
        <f t="shared" ref="BD67" si="423">+AV67+AX67</f>
        <v>53250.587474626038</v>
      </c>
      <c r="BE67" s="782">
        <f t="shared" ref="BE67" si="424">+AW67+AY67</f>
        <v>35472.182411581569</v>
      </c>
      <c r="BF67" s="26"/>
      <c r="BG67" s="26"/>
      <c r="BH67" s="26"/>
      <c r="BI67" s="26"/>
      <c r="BJ67" s="26"/>
    </row>
    <row r="68" spans="1:62" ht="15" hidden="1" customHeight="1" x14ac:dyDescent="0.3">
      <c r="B68" s="8"/>
      <c r="C68" s="2656"/>
      <c r="D68" s="2732">
        <v>3.8549234544118356</v>
      </c>
      <c r="E68" s="2647"/>
      <c r="F68" s="2732">
        <v>5.3404562095916663</v>
      </c>
      <c r="G68" s="2647"/>
      <c r="H68" s="2648"/>
      <c r="I68" s="39"/>
      <c r="J68" s="2732">
        <v>5.2871972480334684</v>
      </c>
      <c r="K68" s="2647"/>
      <c r="L68" s="781"/>
      <c r="M68" s="781"/>
      <c r="N68" s="2732">
        <v>5.3386634372285346</v>
      </c>
      <c r="O68" s="2647"/>
      <c r="P68" s="782"/>
      <c r="Q68" s="782"/>
      <c r="R68" s="2732">
        <v>5.3386634372285346</v>
      </c>
      <c r="S68" s="2647"/>
      <c r="T68" s="782"/>
      <c r="U68" s="782"/>
      <c r="V68" s="2732">
        <v>3.523347867373225</v>
      </c>
      <c r="W68" s="2647"/>
      <c r="X68" s="781"/>
      <c r="Y68" s="781">
        <f t="shared" si="340"/>
        <v>0</v>
      </c>
      <c r="Z68" s="465"/>
      <c r="AA68" s="465"/>
      <c r="AB68" s="2732">
        <v>7.3639346164099884</v>
      </c>
      <c r="AC68" s="2647"/>
      <c r="AD68" s="782"/>
      <c r="AE68" s="782"/>
      <c r="AF68" s="2732">
        <v>7.3697450424837943</v>
      </c>
      <c r="AG68" s="2647"/>
      <c r="AH68" s="782"/>
      <c r="AI68" s="782"/>
      <c r="AJ68" s="2732">
        <v>7.3639346164099884</v>
      </c>
      <c r="AK68" s="2647"/>
      <c r="AL68" s="781"/>
      <c r="AM68" s="781">
        <f t="shared" si="348"/>
        <v>0</v>
      </c>
      <c r="AN68" s="782"/>
      <c r="AO68" s="782"/>
      <c r="AP68" s="2732">
        <v>7.3639346164099884</v>
      </c>
      <c r="AQ68" s="2647"/>
      <c r="AR68" s="782"/>
      <c r="AS68" s="782"/>
      <c r="AT68" s="2732">
        <v>7.3780218216589377</v>
      </c>
      <c r="AU68" s="2647"/>
      <c r="AV68" s="782"/>
      <c r="AW68" s="782"/>
      <c r="AX68" s="2732">
        <v>7.4108472194276924</v>
      </c>
      <c r="AY68" s="2647"/>
      <c r="AZ68" s="781"/>
      <c r="BA68" s="781">
        <f t="shared" si="356"/>
        <v>0</v>
      </c>
      <c r="BB68" s="465">
        <f t="shared" si="357"/>
        <v>0</v>
      </c>
      <c r="BC68" s="465">
        <f t="shared" si="358"/>
        <v>0</v>
      </c>
      <c r="BD68" s="782"/>
      <c r="BE68" s="782"/>
      <c r="BF68" s="26"/>
      <c r="BG68" s="26"/>
      <c r="BH68" s="26"/>
      <c r="BI68" s="26"/>
      <c r="BJ68" s="26"/>
    </row>
    <row r="69" spans="1:62" x14ac:dyDescent="0.25">
      <c r="B69" s="8" t="s">
        <v>109</v>
      </c>
      <c r="C69" s="2656" t="s">
        <v>326</v>
      </c>
      <c r="D69" s="2716">
        <f>D70*D$3*24</f>
        <v>4561.2069134511157</v>
      </c>
      <c r="E69" s="2647">
        <v>3950.4394930540789</v>
      </c>
      <c r="F69" s="2716">
        <f>F70*F$3*24</f>
        <v>6584.5564384058143</v>
      </c>
      <c r="G69" s="2647">
        <v>3976.5581888211391</v>
      </c>
      <c r="H69" s="2648">
        <f t="shared" si="332"/>
        <v>11145.763351856931</v>
      </c>
      <c r="I69" s="39">
        <f t="shared" si="332"/>
        <v>7926.9976818752184</v>
      </c>
      <c r="J69" s="2716">
        <f>J70*J$3*24</f>
        <v>6255.8961094052274</v>
      </c>
      <c r="K69" s="2647">
        <v>3805.5127594015194</v>
      </c>
      <c r="L69" s="781">
        <f t="shared" si="333"/>
        <v>17401.659461262159</v>
      </c>
      <c r="M69" s="781">
        <f t="shared" si="334"/>
        <v>11732.510441276738</v>
      </c>
      <c r="N69" s="2716">
        <f>N70*N$3*24</f>
        <v>6572.2504032330917</v>
      </c>
      <c r="O69" s="2647">
        <v>4002.1142740044975</v>
      </c>
      <c r="P69" s="782">
        <f t="shared" si="335"/>
        <v>23973.90986449525</v>
      </c>
      <c r="Q69" s="782">
        <f t="shared" si="336"/>
        <v>15734.624715281236</v>
      </c>
      <c r="R69" s="2716">
        <f>R70*R$3*24</f>
        <v>6572.2504032330917</v>
      </c>
      <c r="S69" s="2647">
        <v>3718.8759067985261</v>
      </c>
      <c r="T69" s="782">
        <f t="shared" ref="T69" si="425">+P69+R69</f>
        <v>30546.160267728341</v>
      </c>
      <c r="U69" s="782">
        <f t="shared" ref="U69" si="426">+Q69+S69</f>
        <v>19453.500622079762</v>
      </c>
      <c r="V69" s="2716">
        <f>V70*V$3*24</f>
        <v>3560.3051361237108</v>
      </c>
      <c r="W69" s="2647">
        <v>3762.81</v>
      </c>
      <c r="X69" s="781">
        <f t="shared" si="339"/>
        <v>16704.805942589894</v>
      </c>
      <c r="Y69" s="781">
        <f t="shared" si="340"/>
        <v>11483.800180803024</v>
      </c>
      <c r="Z69" s="465">
        <f t="shared" si="341"/>
        <v>34106.465403852053</v>
      </c>
      <c r="AA69" s="465">
        <f t="shared" si="342"/>
        <v>23216.310622079764</v>
      </c>
      <c r="AB69" s="2716">
        <f>AB70*AB$3*24</f>
        <v>4348.2845842194984</v>
      </c>
      <c r="AC69" s="2647">
        <v>4754.2470947292695</v>
      </c>
      <c r="AD69" s="782">
        <f t="shared" ref="AD69" si="427">+Z69+AB69</f>
        <v>38454.749988071548</v>
      </c>
      <c r="AE69" s="782">
        <f t="shared" ref="AE69" si="428">+AA69+AC69</f>
        <v>27970.557716809031</v>
      </c>
      <c r="AF69" s="2716">
        <f>AF70*AF$3*24</f>
        <v>4186.1802927098297</v>
      </c>
      <c r="AG69" s="2647">
        <v>218.41112190162039</v>
      </c>
      <c r="AH69" s="782">
        <f t="shared" ref="AH69" si="429">+AD69+AF69</f>
        <v>42640.93028078138</v>
      </c>
      <c r="AI69" s="782">
        <f t="shared" ref="AI69" si="430">+AE69+AG69</f>
        <v>28188.968838710651</v>
      </c>
      <c r="AJ69" s="2716">
        <f>AJ70*AJ$3*24</f>
        <v>4348.2845842194984</v>
      </c>
      <c r="AK69" s="2647">
        <v>4672.8589415934248</v>
      </c>
      <c r="AL69" s="781">
        <f t="shared" ref="AL69" si="431">+AJ69+AF69+AB69</f>
        <v>12882.749461148826</v>
      </c>
      <c r="AM69" s="781">
        <f t="shared" si="348"/>
        <v>9645.5171582243147</v>
      </c>
      <c r="AN69" s="782">
        <f t="shared" ref="AN69" si="432">+AH69+AJ69</f>
        <v>46989.214865000875</v>
      </c>
      <c r="AO69" s="782">
        <f t="shared" ref="AO69" si="433">+AI69+AK69</f>
        <v>32861.827780304076</v>
      </c>
      <c r="AP69" s="2716">
        <f>AP70*AP$3*24</f>
        <v>4348.2845842194984</v>
      </c>
      <c r="AQ69" s="2647">
        <v>4853.17</v>
      </c>
      <c r="AR69" s="782">
        <f t="shared" ref="AR69" si="434">+AN69+AP69</f>
        <v>51337.49944922037</v>
      </c>
      <c r="AS69" s="782">
        <f t="shared" ref="AS69" si="435">+AO69+AQ69</f>
        <v>37714.997780304075</v>
      </c>
      <c r="AT69" s="2716">
        <f>AT70*AT$3*24</f>
        <v>3859.6130565526569</v>
      </c>
      <c r="AU69" s="2647">
        <v>4328.4363912038289</v>
      </c>
      <c r="AV69" s="782">
        <f t="shared" ref="AV69" si="436">+AR69+AT69</f>
        <v>55197.112505773024</v>
      </c>
      <c r="AW69" s="782">
        <f t="shared" ref="AW69" si="437">+AS69+AU69</f>
        <v>42043.434171507906</v>
      </c>
      <c r="AX69" s="2716">
        <f>AX70*AX$3*24</f>
        <v>4862.2063549247914</v>
      </c>
      <c r="AY69" s="2647">
        <v>5490.7462586215997</v>
      </c>
      <c r="AZ69" s="781">
        <f t="shared" ref="AZ69" si="438">+AX69+AT69+AP69</f>
        <v>13070.103995696947</v>
      </c>
      <c r="BA69" s="781">
        <f t="shared" si="356"/>
        <v>14672.352649825429</v>
      </c>
      <c r="BB69" s="465">
        <f t="shared" si="357"/>
        <v>25952.853456845773</v>
      </c>
      <c r="BC69" s="465">
        <f t="shared" si="358"/>
        <v>24317.869808049742</v>
      </c>
      <c r="BD69" s="782">
        <f t="shared" ref="BD69" si="439">+AV69+AX69</f>
        <v>60059.318860697815</v>
      </c>
      <c r="BE69" s="782">
        <f t="shared" ref="BE69" si="440">+AW69+AY69</f>
        <v>47534.180430129505</v>
      </c>
      <c r="BF69" s="26"/>
      <c r="BG69" s="26"/>
      <c r="BH69" s="26"/>
      <c r="BI69" s="26"/>
      <c r="BJ69" s="26"/>
    </row>
    <row r="70" spans="1:62" ht="15" hidden="1" customHeight="1" x14ac:dyDescent="0.3">
      <c r="B70" s="8"/>
      <c r="C70" s="2656"/>
      <c r="D70" s="2732">
        <v>6.3350096020154378</v>
      </c>
      <c r="E70" s="2647"/>
      <c r="F70" s="2732">
        <v>8.8502102666744822</v>
      </c>
      <c r="G70" s="2647"/>
      <c r="H70" s="2648"/>
      <c r="I70" s="39"/>
      <c r="J70" s="2732">
        <v>8.68874459639615</v>
      </c>
      <c r="K70" s="2647"/>
      <c r="L70" s="781"/>
      <c r="M70" s="781"/>
      <c r="N70" s="2732">
        <v>8.8336698968186713</v>
      </c>
      <c r="O70" s="2647"/>
      <c r="P70" s="782"/>
      <c r="Q70" s="782"/>
      <c r="R70" s="2732">
        <v>8.8336698968186713</v>
      </c>
      <c r="S70" s="2647"/>
      <c r="T70" s="782"/>
      <c r="U70" s="782"/>
      <c r="V70" s="2732">
        <v>4.9448682446162646</v>
      </c>
      <c r="W70" s="2647"/>
      <c r="X70" s="781"/>
      <c r="Y70" s="781">
        <f t="shared" si="340"/>
        <v>0</v>
      </c>
      <c r="Z70" s="465"/>
      <c r="AA70" s="465"/>
      <c r="AB70" s="2732">
        <v>5.8444685271767458</v>
      </c>
      <c r="AC70" s="2647"/>
      <c r="AD70" s="782"/>
      <c r="AE70" s="782"/>
      <c r="AF70" s="2732">
        <v>5.8141392954303193</v>
      </c>
      <c r="AG70" s="2647"/>
      <c r="AH70" s="782"/>
      <c r="AI70" s="782"/>
      <c r="AJ70" s="2732">
        <v>5.8444685271767458</v>
      </c>
      <c r="AK70" s="2647"/>
      <c r="AL70" s="781"/>
      <c r="AM70" s="781">
        <f t="shared" si="348"/>
        <v>0</v>
      </c>
      <c r="AN70" s="782"/>
      <c r="AO70" s="782"/>
      <c r="AP70" s="2732">
        <v>5.8444685271767458</v>
      </c>
      <c r="AQ70" s="2647"/>
      <c r="AR70" s="782"/>
      <c r="AS70" s="782"/>
      <c r="AT70" s="2732">
        <v>5.7434718103462155</v>
      </c>
      <c r="AU70" s="2647"/>
      <c r="AV70" s="782"/>
      <c r="AW70" s="782"/>
      <c r="AX70" s="2732">
        <v>6.535223595329021</v>
      </c>
      <c r="AY70" s="2647"/>
      <c r="AZ70" s="781"/>
      <c r="BA70" s="781">
        <f t="shared" si="356"/>
        <v>0</v>
      </c>
      <c r="BB70" s="465">
        <f t="shared" si="357"/>
        <v>0</v>
      </c>
      <c r="BC70" s="465">
        <f t="shared" si="358"/>
        <v>0</v>
      </c>
      <c r="BD70" s="782"/>
      <c r="BE70" s="782"/>
      <c r="BF70" s="26"/>
      <c r="BG70" s="26"/>
      <c r="BH70" s="26"/>
      <c r="BI70" s="26"/>
      <c r="BJ70" s="26"/>
    </row>
    <row r="71" spans="1:62" x14ac:dyDescent="0.25">
      <c r="B71" s="8" t="s">
        <v>82</v>
      </c>
      <c r="C71" s="2656" t="s">
        <v>326</v>
      </c>
      <c r="D71" s="2716">
        <f>D72*D$3*24</f>
        <v>0</v>
      </c>
      <c r="E71" s="2647">
        <v>0</v>
      </c>
      <c r="F71" s="2716">
        <f>F72*F$3*24</f>
        <v>0</v>
      </c>
      <c r="G71" s="2647">
        <v>0</v>
      </c>
      <c r="H71" s="2648">
        <f t="shared" si="332"/>
        <v>0</v>
      </c>
      <c r="I71" s="39">
        <f t="shared" si="332"/>
        <v>0</v>
      </c>
      <c r="J71" s="2716">
        <f>J72*J$3*24</f>
        <v>0</v>
      </c>
      <c r="K71" s="2647">
        <v>0</v>
      </c>
      <c r="L71" s="781">
        <f t="shared" si="333"/>
        <v>0</v>
      </c>
      <c r="M71" s="781">
        <f t="shared" si="334"/>
        <v>0</v>
      </c>
      <c r="N71" s="2716">
        <f>N72*N$3*24</f>
        <v>0</v>
      </c>
      <c r="O71" s="2647">
        <v>0</v>
      </c>
      <c r="P71" s="782">
        <f t="shared" si="335"/>
        <v>0</v>
      </c>
      <c r="Q71" s="782">
        <f t="shared" si="336"/>
        <v>0</v>
      </c>
      <c r="R71" s="2716">
        <f>R72*R$3*24</f>
        <v>0</v>
      </c>
      <c r="S71" s="2647">
        <v>0</v>
      </c>
      <c r="T71" s="782">
        <f t="shared" ref="T71" si="441">+P71+R71</f>
        <v>0</v>
      </c>
      <c r="U71" s="782">
        <f t="shared" ref="U71" si="442">+Q71+S71</f>
        <v>0</v>
      </c>
      <c r="V71" s="2716">
        <f>V72*V$3*24</f>
        <v>0</v>
      </c>
      <c r="W71" s="2647">
        <v>0</v>
      </c>
      <c r="X71" s="781">
        <f t="shared" si="339"/>
        <v>0</v>
      </c>
      <c r="Y71" s="781">
        <f t="shared" si="340"/>
        <v>0</v>
      </c>
      <c r="Z71" s="465">
        <f t="shared" si="341"/>
        <v>0</v>
      </c>
      <c r="AA71" s="465">
        <f t="shared" si="342"/>
        <v>0</v>
      </c>
      <c r="AB71" s="2716">
        <f>AB72*AB$3*24</f>
        <v>0</v>
      </c>
      <c r="AC71" s="2647">
        <v>0</v>
      </c>
      <c r="AD71" s="782">
        <f t="shared" ref="AD71" si="443">+Z71+AB71</f>
        <v>0</v>
      </c>
      <c r="AE71" s="782">
        <f t="shared" ref="AE71" si="444">+AA71+AC71</f>
        <v>0</v>
      </c>
      <c r="AF71" s="2716">
        <f>AF72*AF$3*24</f>
        <v>0</v>
      </c>
      <c r="AG71" s="2647">
        <v>0</v>
      </c>
      <c r="AH71" s="782">
        <f t="shared" ref="AH71" si="445">+AD71+AF71</f>
        <v>0</v>
      </c>
      <c r="AI71" s="782">
        <f t="shared" ref="AI71" si="446">+AE71+AG71</f>
        <v>0</v>
      </c>
      <c r="AJ71" s="2716">
        <f>AJ72*AJ$3*24</f>
        <v>0</v>
      </c>
      <c r="AK71" s="2647">
        <v>0</v>
      </c>
      <c r="AL71" s="781">
        <f t="shared" ref="AL71" si="447">+AJ71+AF71+AB71</f>
        <v>0</v>
      </c>
      <c r="AM71" s="781">
        <f t="shared" si="348"/>
        <v>0</v>
      </c>
      <c r="AN71" s="782">
        <f t="shared" ref="AN71" si="448">+AH71+AJ71</f>
        <v>0</v>
      </c>
      <c r="AO71" s="782">
        <f t="shared" ref="AO71" si="449">+AI71+AK71</f>
        <v>0</v>
      </c>
      <c r="AP71" s="2716">
        <f>AP72*AP$3*24</f>
        <v>0</v>
      </c>
      <c r="AQ71" s="2647">
        <v>0</v>
      </c>
      <c r="AR71" s="782">
        <f t="shared" ref="AR71" si="450">+AN71+AP71</f>
        <v>0</v>
      </c>
      <c r="AS71" s="782">
        <f t="shared" ref="AS71" si="451">+AO71+AQ71</f>
        <v>0</v>
      </c>
      <c r="AT71" s="2716">
        <f>AT72*AT$3*24</f>
        <v>0</v>
      </c>
      <c r="AU71" s="2647">
        <v>0</v>
      </c>
      <c r="AV71" s="782">
        <f t="shared" ref="AV71" si="452">+AR71+AT71</f>
        <v>0</v>
      </c>
      <c r="AW71" s="782">
        <f t="shared" ref="AW71" si="453">+AS71+AU71</f>
        <v>0</v>
      </c>
      <c r="AX71" s="2716">
        <f>AX72*AX$3*24</f>
        <v>0</v>
      </c>
      <c r="AY71" s="2647">
        <v>0</v>
      </c>
      <c r="AZ71" s="781">
        <f t="shared" ref="AZ71" si="454">+AX71+AT71+AP71</f>
        <v>0</v>
      </c>
      <c r="BA71" s="781">
        <f t="shared" si="356"/>
        <v>0</v>
      </c>
      <c r="BB71" s="465">
        <f t="shared" si="357"/>
        <v>0</v>
      </c>
      <c r="BC71" s="465">
        <f t="shared" si="358"/>
        <v>0</v>
      </c>
      <c r="BD71" s="782">
        <f t="shared" ref="BD71" si="455">+AV71+AX71</f>
        <v>0</v>
      </c>
      <c r="BE71" s="782">
        <f t="shared" ref="BE71" si="456">+AW71+AY71</f>
        <v>0</v>
      </c>
      <c r="BF71" s="26"/>
      <c r="BG71" s="26"/>
      <c r="BH71" s="26"/>
      <c r="BI71" s="26"/>
      <c r="BJ71" s="26"/>
    </row>
    <row r="72" spans="1:62" ht="15" hidden="1" customHeight="1" x14ac:dyDescent="0.3">
      <c r="B72" s="8"/>
      <c r="C72" s="2656"/>
      <c r="D72" s="2716">
        <v>0</v>
      </c>
      <c r="E72" s="2647"/>
      <c r="F72" s="2716">
        <v>0</v>
      </c>
      <c r="G72" s="2647">
        <v>0</v>
      </c>
      <c r="H72" s="2648"/>
      <c r="I72" s="39"/>
      <c r="J72" s="2716">
        <v>0</v>
      </c>
      <c r="K72" s="2647"/>
      <c r="L72" s="781"/>
      <c r="M72" s="781"/>
      <c r="N72" s="2716">
        <v>0</v>
      </c>
      <c r="O72" s="2647"/>
      <c r="P72" s="782"/>
      <c r="Q72" s="782"/>
      <c r="R72" s="2716">
        <v>0</v>
      </c>
      <c r="S72" s="2647"/>
      <c r="T72" s="782"/>
      <c r="U72" s="782"/>
      <c r="V72" s="2716">
        <v>0</v>
      </c>
      <c r="W72" s="2647"/>
      <c r="X72" s="781"/>
      <c r="Y72" s="781">
        <f t="shared" si="340"/>
        <v>0</v>
      </c>
      <c r="Z72" s="465"/>
      <c r="AA72" s="465"/>
      <c r="AB72" s="2716">
        <v>0</v>
      </c>
      <c r="AC72" s="2647"/>
      <c r="AD72" s="782"/>
      <c r="AE72" s="782"/>
      <c r="AF72" s="2716">
        <v>0</v>
      </c>
      <c r="AG72" s="2647"/>
      <c r="AH72" s="782"/>
      <c r="AI72" s="782"/>
      <c r="AJ72" s="2716">
        <v>0</v>
      </c>
      <c r="AK72" s="2647"/>
      <c r="AL72" s="781"/>
      <c r="AM72" s="781">
        <f t="shared" si="348"/>
        <v>0</v>
      </c>
      <c r="AN72" s="782"/>
      <c r="AO72" s="782"/>
      <c r="AP72" s="2716">
        <v>0</v>
      </c>
      <c r="AQ72" s="2647"/>
      <c r="AR72" s="782"/>
      <c r="AS72" s="782"/>
      <c r="AT72" s="2716">
        <v>0</v>
      </c>
      <c r="AU72" s="2647"/>
      <c r="AV72" s="782"/>
      <c r="AW72" s="782"/>
      <c r="AX72" s="2716">
        <v>0</v>
      </c>
      <c r="AY72" s="2647"/>
      <c r="AZ72" s="781"/>
      <c r="BA72" s="781">
        <f t="shared" si="356"/>
        <v>0</v>
      </c>
      <c r="BB72" s="465">
        <f t="shared" si="357"/>
        <v>0</v>
      </c>
      <c r="BC72" s="465">
        <f t="shared" si="358"/>
        <v>0</v>
      </c>
      <c r="BD72" s="782"/>
      <c r="BE72" s="782"/>
      <c r="BF72" s="26"/>
      <c r="BG72" s="26"/>
      <c r="BH72" s="26"/>
      <c r="BI72" s="26"/>
      <c r="BJ72" s="26"/>
    </row>
    <row r="73" spans="1:62" x14ac:dyDescent="0.25">
      <c r="B73" s="8" t="s">
        <v>466</v>
      </c>
      <c r="C73" s="2656" t="s">
        <v>326</v>
      </c>
      <c r="D73" s="2716">
        <f>D74*D$3*24</f>
        <v>0</v>
      </c>
      <c r="E73" s="2647">
        <v>0</v>
      </c>
      <c r="F73" s="2716">
        <f>F74*F$3*24</f>
        <v>0</v>
      </c>
      <c r="G73" s="2647">
        <v>0</v>
      </c>
      <c r="H73" s="2648">
        <f t="shared" si="332"/>
        <v>0</v>
      </c>
      <c r="I73" s="39">
        <f t="shared" si="332"/>
        <v>0</v>
      </c>
      <c r="J73" s="2716">
        <f>J74*J$3*24</f>
        <v>0</v>
      </c>
      <c r="K73" s="2647">
        <v>0</v>
      </c>
      <c r="L73" s="781">
        <f t="shared" si="333"/>
        <v>0</v>
      </c>
      <c r="M73" s="781">
        <f t="shared" si="334"/>
        <v>0</v>
      </c>
      <c r="N73" s="2716">
        <f>N74*N$3*24</f>
        <v>0</v>
      </c>
      <c r="O73" s="2647">
        <v>0</v>
      </c>
      <c r="P73" s="782">
        <f t="shared" si="335"/>
        <v>0</v>
      </c>
      <c r="Q73" s="782">
        <f t="shared" si="336"/>
        <v>0</v>
      </c>
      <c r="R73" s="2716">
        <f>R74*R$3*24</f>
        <v>0</v>
      </c>
      <c r="S73" s="2647">
        <v>0</v>
      </c>
      <c r="T73" s="782">
        <f t="shared" ref="T73" si="457">+P73+R73</f>
        <v>0</v>
      </c>
      <c r="U73" s="782">
        <f t="shared" ref="U73" si="458">+Q73+S73</f>
        <v>0</v>
      </c>
      <c r="V73" s="2716">
        <f>V74*V$3*24</f>
        <v>0</v>
      </c>
      <c r="W73" s="2647">
        <v>0</v>
      </c>
      <c r="X73" s="781">
        <f t="shared" si="339"/>
        <v>0</v>
      </c>
      <c r="Y73" s="781">
        <f t="shared" si="340"/>
        <v>0</v>
      </c>
      <c r="Z73" s="465">
        <f t="shared" si="341"/>
        <v>0</v>
      </c>
      <c r="AA73" s="465">
        <f t="shared" si="342"/>
        <v>0</v>
      </c>
      <c r="AB73" s="2716">
        <f>AB74*AB$3*24</f>
        <v>0</v>
      </c>
      <c r="AC73" s="2647">
        <v>0</v>
      </c>
      <c r="AD73" s="782">
        <f t="shared" ref="AD73" si="459">+Z73+AB73</f>
        <v>0</v>
      </c>
      <c r="AE73" s="782">
        <f t="shared" ref="AE73" si="460">+AA73+AC73</f>
        <v>0</v>
      </c>
      <c r="AF73" s="2716">
        <f>AF74*AF$3*24</f>
        <v>0</v>
      </c>
      <c r="AG73" s="2647">
        <v>0</v>
      </c>
      <c r="AH73" s="782">
        <f t="shared" ref="AH73" si="461">+AD73+AF73</f>
        <v>0</v>
      </c>
      <c r="AI73" s="782">
        <f t="shared" ref="AI73" si="462">+AE73+AG73</f>
        <v>0</v>
      </c>
      <c r="AJ73" s="2716">
        <f>AJ74*AJ$3*24</f>
        <v>0</v>
      </c>
      <c r="AK73" s="2647">
        <v>0</v>
      </c>
      <c r="AL73" s="781">
        <f t="shared" ref="AL73" si="463">+AJ73+AF73+AB73</f>
        <v>0</v>
      </c>
      <c r="AM73" s="781">
        <f t="shared" si="348"/>
        <v>0</v>
      </c>
      <c r="AN73" s="782">
        <f t="shared" ref="AN73" si="464">+AH73+AJ73</f>
        <v>0</v>
      </c>
      <c r="AO73" s="782">
        <f t="shared" ref="AO73" si="465">+AI73+AK73</f>
        <v>0</v>
      </c>
      <c r="AP73" s="2716">
        <f>AP74*AP$3*24</f>
        <v>0</v>
      </c>
      <c r="AQ73" s="2647">
        <v>0</v>
      </c>
      <c r="AR73" s="782">
        <f t="shared" ref="AR73" si="466">+AN73+AP73</f>
        <v>0</v>
      </c>
      <c r="AS73" s="782">
        <f t="shared" ref="AS73" si="467">+AO73+AQ73</f>
        <v>0</v>
      </c>
      <c r="AT73" s="2716">
        <f>AT74*AT$3*24</f>
        <v>0</v>
      </c>
      <c r="AU73" s="2647">
        <v>0</v>
      </c>
      <c r="AV73" s="782">
        <f t="shared" ref="AV73" si="468">+AR73+AT73</f>
        <v>0</v>
      </c>
      <c r="AW73" s="782">
        <f t="shared" ref="AW73" si="469">+AS73+AU73</f>
        <v>0</v>
      </c>
      <c r="AX73" s="2716">
        <f>AX74*AX$3*24</f>
        <v>0</v>
      </c>
      <c r="AY73" s="2647">
        <v>0</v>
      </c>
      <c r="AZ73" s="781">
        <f t="shared" ref="AZ73" si="470">+AX73+AT73+AP73</f>
        <v>0</v>
      </c>
      <c r="BA73" s="781">
        <f t="shared" si="356"/>
        <v>0</v>
      </c>
      <c r="BB73" s="465">
        <f t="shared" si="357"/>
        <v>0</v>
      </c>
      <c r="BC73" s="465">
        <f t="shared" si="358"/>
        <v>0</v>
      </c>
      <c r="BD73" s="782">
        <f t="shared" ref="BD73" si="471">+AV73+AX73</f>
        <v>0</v>
      </c>
      <c r="BE73" s="782">
        <f t="shared" ref="BE73" si="472">+AW73+AY73</f>
        <v>0</v>
      </c>
      <c r="BF73" s="26"/>
      <c r="BG73" s="26"/>
      <c r="BH73" s="26"/>
      <c r="BI73" s="26"/>
      <c r="BJ73" s="26"/>
    </row>
    <row r="74" spans="1:62" ht="15" hidden="1" customHeight="1" x14ac:dyDescent="0.3">
      <c r="B74" s="8"/>
      <c r="C74" s="2656"/>
      <c r="D74" s="2716">
        <v>0</v>
      </c>
      <c r="E74" s="2647"/>
      <c r="F74" s="2716">
        <v>0</v>
      </c>
      <c r="G74" s="2647"/>
      <c r="H74" s="2648"/>
      <c r="I74" s="39"/>
      <c r="J74" s="2716">
        <v>0</v>
      </c>
      <c r="K74" s="2647"/>
      <c r="L74" s="781"/>
      <c r="M74" s="781"/>
      <c r="N74" s="2716">
        <v>0</v>
      </c>
      <c r="O74" s="2647"/>
      <c r="P74" s="782"/>
      <c r="Q74" s="782"/>
      <c r="R74" s="2716">
        <v>0</v>
      </c>
      <c r="S74" s="2647"/>
      <c r="T74" s="782"/>
      <c r="U74" s="782"/>
      <c r="V74" s="2716">
        <v>0</v>
      </c>
      <c r="W74" s="2647"/>
      <c r="X74" s="781"/>
      <c r="Y74" s="781">
        <f t="shared" si="340"/>
        <v>0</v>
      </c>
      <c r="Z74" s="465"/>
      <c r="AA74" s="465"/>
      <c r="AB74" s="2716">
        <v>0</v>
      </c>
      <c r="AC74" s="2647"/>
      <c r="AD74" s="782"/>
      <c r="AE74" s="782"/>
      <c r="AF74" s="2716">
        <v>0</v>
      </c>
      <c r="AG74" s="2647"/>
      <c r="AH74" s="782"/>
      <c r="AI74" s="782"/>
      <c r="AJ74" s="2716">
        <v>0</v>
      </c>
      <c r="AK74" s="2647"/>
      <c r="AL74" s="781"/>
      <c r="AM74" s="781">
        <f t="shared" si="348"/>
        <v>0</v>
      </c>
      <c r="AN74" s="782"/>
      <c r="AO74" s="782"/>
      <c r="AP74" s="2716">
        <v>0</v>
      </c>
      <c r="AQ74" s="2647"/>
      <c r="AR74" s="782"/>
      <c r="AS74" s="782"/>
      <c r="AT74" s="2716">
        <v>0</v>
      </c>
      <c r="AU74" s="2647"/>
      <c r="AV74" s="782"/>
      <c r="AW74" s="782"/>
      <c r="AX74" s="2716">
        <v>0</v>
      </c>
      <c r="AY74" s="2647"/>
      <c r="AZ74" s="781"/>
      <c r="BA74" s="781">
        <f t="shared" si="356"/>
        <v>0</v>
      </c>
      <c r="BB74" s="465"/>
      <c r="BC74" s="465"/>
      <c r="BD74" s="782"/>
      <c r="BE74" s="782"/>
      <c r="BF74" s="26"/>
      <c r="BG74" s="26"/>
      <c r="BH74" s="26"/>
      <c r="BI74" s="26"/>
      <c r="BJ74" s="26"/>
    </row>
    <row r="75" spans="1:62" ht="16.5" thickBot="1" x14ac:dyDescent="0.3">
      <c r="B75" s="2304" t="s">
        <v>61</v>
      </c>
      <c r="C75" s="2903" t="s">
        <v>326</v>
      </c>
      <c r="D75" s="2306">
        <f>D59+D61+D63+D65+D67+D69+D71+D73</f>
        <v>373613.76000000007</v>
      </c>
      <c r="E75" s="2306">
        <f t="shared" ref="E75:I75" si="473">E59+E61+E63+E65+E67+E69+E71+E73</f>
        <v>324759.69482841785</v>
      </c>
      <c r="F75" s="2306">
        <f>F59+F61+F63+F65+F67+F69+F71+F73</f>
        <v>386732.4</v>
      </c>
      <c r="G75" s="2306">
        <f t="shared" ref="G75" si="474">G59+G61+G63+G65+G67+G69+G71+G73</f>
        <v>368602.34221507778</v>
      </c>
      <c r="H75" s="2291">
        <f t="shared" si="473"/>
        <v>760346.16</v>
      </c>
      <c r="I75" s="1964">
        <f t="shared" si="473"/>
        <v>693362.03704349569</v>
      </c>
      <c r="J75" s="2306">
        <f>J59+J61+J63+J65+J67+J69+J71+J73</f>
        <v>373613.76</v>
      </c>
      <c r="K75" s="2306">
        <f t="shared" ref="K75" si="475">K59+K61+K63+K65+K67+K69+K71+K73</f>
        <v>371175.85279871814</v>
      </c>
      <c r="L75" s="801">
        <f t="shared" ref="L75:Q75" si="476">SUM(L59:L73)</f>
        <v>1133959.92</v>
      </c>
      <c r="M75" s="801">
        <f t="shared" si="476"/>
        <v>1064537.8898422136</v>
      </c>
      <c r="N75" s="2306">
        <f>N59+N61+N63+N65+N67+N69+N71+N73</f>
        <v>382941.6</v>
      </c>
      <c r="O75" s="2306">
        <f t="shared" ref="O75" si="477">O59+O61+O63+O65+O67+O69+O71+O73</f>
        <v>389509.52391328802</v>
      </c>
      <c r="P75" s="256">
        <f t="shared" si="476"/>
        <v>1516901.5200000003</v>
      </c>
      <c r="Q75" s="256">
        <f t="shared" si="476"/>
        <v>1454047.4137555016</v>
      </c>
      <c r="R75" s="2306">
        <f>R59+R61+R63+R65+R67+R69+R71+R73</f>
        <v>380463.00000000006</v>
      </c>
      <c r="S75" s="2306">
        <f t="shared" ref="S75" si="478">S59+S61+S63+S65+S67+S69+S71+S73</f>
        <v>373894.52777883213</v>
      </c>
      <c r="T75" s="256">
        <f t="shared" ref="T75:U75" si="479">SUM(T59:T73)</f>
        <v>1897364.5200000005</v>
      </c>
      <c r="U75" s="256">
        <f t="shared" si="479"/>
        <v>1827941.9415343339</v>
      </c>
      <c r="V75" s="2306">
        <f>V59+V61+V63+V65+V67+V69+V71+V73</f>
        <v>203989.99999999997</v>
      </c>
      <c r="W75" s="2306">
        <f t="shared" ref="W75" si="480">W59+W61+W63+W65+W67+W69+W71+W73</f>
        <v>368308.36</v>
      </c>
      <c r="X75" s="801">
        <f t="shared" ref="X75:AA75" si="481">SUM(X59:X73)</f>
        <v>967394.60000000009</v>
      </c>
      <c r="Y75" s="801">
        <f t="shared" si="481"/>
        <v>1131712.4116921201</v>
      </c>
      <c r="Z75" s="522">
        <f t="shared" si="481"/>
        <v>2101354.52</v>
      </c>
      <c r="AA75" s="522">
        <f t="shared" si="481"/>
        <v>2196250.3015343337</v>
      </c>
      <c r="AB75" s="2306">
        <f>AB59+AB61+AB63+AB65+AB67+AB69+AB71+AB73</f>
        <v>371411.00000000006</v>
      </c>
      <c r="AC75" s="2306">
        <f t="shared" ref="AC75" si="482">AC59+AC61+AC63+AC65+AC67+AC69+AC71+AC73</f>
        <v>354365.46539544081</v>
      </c>
      <c r="AD75" s="256">
        <f t="shared" ref="AD75:AE75" si="483">SUM(AD59:AD73)</f>
        <v>2472765.5200000005</v>
      </c>
      <c r="AE75" s="256">
        <f t="shared" si="483"/>
        <v>2550615.7669297741</v>
      </c>
      <c r="AF75" s="2306">
        <f>AF59+AF61+AF63+AF65+AF67+AF69+AF71+AF73</f>
        <v>359527</v>
      </c>
      <c r="AG75" s="2306">
        <f t="shared" ref="AG75" si="484">AG59+AG61+AG63+AG65+AG67+AG69+AG71+AG73</f>
        <v>16390.566230741497</v>
      </c>
      <c r="AH75" s="256">
        <f t="shared" ref="AH75:AI75" si="485">SUM(AH59:AH73)</f>
        <v>2832292.5200000005</v>
      </c>
      <c r="AI75" s="256">
        <f t="shared" si="485"/>
        <v>2567006.3331605159</v>
      </c>
      <c r="AJ75" s="2306">
        <f>AJ59+AJ61+AJ63+AJ65+AJ67+AJ69+AJ71+AJ73</f>
        <v>371411.00000000006</v>
      </c>
      <c r="AK75" s="2306">
        <f t="shared" ref="AK75" si="486">AK59+AK61+AK63+AK65+AK67+AK69+AK71+AK73</f>
        <v>363339.77339071734</v>
      </c>
      <c r="AL75" s="801">
        <f t="shared" ref="AL75:AM75" si="487">SUM(AL59:AL73)</f>
        <v>1102349</v>
      </c>
      <c r="AM75" s="801">
        <f t="shared" si="487"/>
        <v>734095.80501689971</v>
      </c>
      <c r="AN75" s="256">
        <f t="shared" ref="AN75:AO75" si="488">SUM(AN59:AN73)</f>
        <v>3203703.5200000005</v>
      </c>
      <c r="AO75" s="256">
        <f t="shared" si="488"/>
        <v>2930346.1065512332</v>
      </c>
      <c r="AP75" s="2306">
        <f>AP59+AP61+AP63+AP65+AP67+AP69+AP71+AP73</f>
        <v>371411.00000000006</v>
      </c>
      <c r="AQ75" s="2306">
        <f t="shared" ref="AQ75" si="489">AQ59+AQ61+AQ63+AQ65+AQ67+AQ69+AQ71+AQ73</f>
        <v>364932.94</v>
      </c>
      <c r="AR75" s="256">
        <f t="shared" ref="AR75:AS75" si="490">SUM(AR59:AR73)</f>
        <v>3575114.5200000005</v>
      </c>
      <c r="AS75" s="256">
        <f t="shared" si="490"/>
        <v>3295279.0465512327</v>
      </c>
      <c r="AT75" s="2306">
        <f>AT59+AT61+AT63+AT65+AT67+AT69+AT71+AT73</f>
        <v>334255.49999999994</v>
      </c>
      <c r="AU75" s="2306">
        <f t="shared" ref="AU75" si="491">AU59+AU61+AU63+AU65+AU67+AU69+AU71+AU73</f>
        <v>333448.85807089275</v>
      </c>
      <c r="AV75" s="256">
        <f t="shared" ref="AV75:AW75" si="492">SUM(AV59:AV73)</f>
        <v>3909370.02</v>
      </c>
      <c r="AW75" s="256">
        <f t="shared" si="492"/>
        <v>3628727.9046221264</v>
      </c>
      <c r="AX75" s="2306">
        <f>AX59+AX61+AX63+AX65+AX67+AX69+AX71+AX73</f>
        <v>371411</v>
      </c>
      <c r="AY75" s="2306">
        <f t="shared" ref="AY75" si="493">AY59+AY61+AY63+AY65+AY67+AY69+AY71+AY73</f>
        <v>374379.27264168527</v>
      </c>
      <c r="AZ75" s="801">
        <f t="shared" ref="AZ75:BC75" si="494">SUM(AZ59:AZ73)</f>
        <v>1077077.5</v>
      </c>
      <c r="BA75" s="801">
        <f t="shared" si="494"/>
        <v>1072761.070712578</v>
      </c>
      <c r="BB75" s="522">
        <f t="shared" si="494"/>
        <v>2179426.5000000005</v>
      </c>
      <c r="BC75" s="522">
        <f t="shared" si="494"/>
        <v>1806856.8757294773</v>
      </c>
      <c r="BD75" s="256">
        <f t="shared" ref="BD75:BE75" si="495">SUM(BD59:BD73)</f>
        <v>4280781.0199999996</v>
      </c>
      <c r="BE75" s="256">
        <f t="shared" si="495"/>
        <v>4003107.1772638117</v>
      </c>
      <c r="BF75" s="26"/>
      <c r="BG75" s="26"/>
      <c r="BH75" s="26"/>
      <c r="BI75" s="26"/>
      <c r="BJ75" s="26"/>
    </row>
    <row r="76" spans="1:62" ht="20.25" x14ac:dyDescent="0.25">
      <c r="A76" s="93"/>
      <c r="B76" s="2990" t="s">
        <v>465</v>
      </c>
      <c r="C76" s="2990"/>
      <c r="D76" s="2991"/>
      <c r="E76" s="2990"/>
      <c r="F76" s="2991"/>
      <c r="G76" s="2990"/>
      <c r="H76" s="2990"/>
      <c r="I76" s="2990"/>
      <c r="J76" s="2991"/>
      <c r="K76" s="2990"/>
      <c r="L76" s="1019"/>
      <c r="M76" s="1019"/>
      <c r="N76" s="2991"/>
      <c r="O76" s="2990"/>
      <c r="P76" s="1019"/>
      <c r="Q76" s="1019"/>
      <c r="R76" s="2991"/>
      <c r="S76" s="2990"/>
      <c r="T76" s="1019"/>
      <c r="U76" s="1019"/>
      <c r="V76" s="2991"/>
      <c r="W76" s="2990"/>
      <c r="X76" s="1019"/>
      <c r="Y76" s="1019"/>
      <c r="Z76" s="1019"/>
      <c r="AA76" s="1019"/>
      <c r="AB76" s="2991"/>
      <c r="AC76" s="2990"/>
      <c r="AD76" s="1019"/>
      <c r="AE76" s="1019"/>
      <c r="AF76" s="2991"/>
      <c r="AG76" s="2990"/>
      <c r="AH76" s="1019"/>
      <c r="AI76" s="1019"/>
      <c r="AJ76" s="2991"/>
      <c r="AK76" s="2990"/>
      <c r="AL76" s="1019"/>
      <c r="AM76" s="1019"/>
      <c r="AN76" s="1019"/>
      <c r="AO76" s="1019"/>
      <c r="AP76" s="2991"/>
      <c r="AQ76" s="2990"/>
      <c r="AR76" s="1019"/>
      <c r="AS76" s="1019"/>
      <c r="AT76" s="2991"/>
      <c r="AU76" s="2990"/>
      <c r="AV76" s="1019"/>
      <c r="AW76" s="1019"/>
      <c r="AX76" s="2991"/>
      <c r="AY76" s="2990"/>
      <c r="AZ76" s="1019"/>
      <c r="BA76" s="1019"/>
      <c r="BB76" s="1019"/>
      <c r="BC76" s="1019"/>
      <c r="BD76" s="1019"/>
      <c r="BE76" s="1019"/>
      <c r="BF76" s="26"/>
      <c r="BG76" s="26"/>
      <c r="BH76" s="26"/>
      <c r="BI76" s="26"/>
      <c r="BJ76" s="26"/>
    </row>
    <row r="77" spans="1:62" ht="15.75" x14ac:dyDescent="0.25">
      <c r="B77" s="1016" t="s">
        <v>330</v>
      </c>
      <c r="C77" s="159" t="s">
        <v>329</v>
      </c>
      <c r="D77" s="1134">
        <v>1850</v>
      </c>
      <c r="E77" s="1021">
        <v>1900.6193542974252</v>
      </c>
      <c r="F77" s="1134">
        <v>1850</v>
      </c>
      <c r="G77" s="1021">
        <v>1904.8524287013684</v>
      </c>
      <c r="H77" s="782">
        <v>1850</v>
      </c>
      <c r="I77" s="1022">
        <f>+((E77*E78)+(G78*G77))/I78</f>
        <v>1902.8841215536117</v>
      </c>
      <c r="J77" s="1134">
        <v>1850</v>
      </c>
      <c r="K77" s="1021">
        <v>1904.2601676483159</v>
      </c>
      <c r="L77" s="781">
        <v>1850</v>
      </c>
      <c r="M77" s="1029">
        <f>+((I77*I78)+(K78*K77))/M78</f>
        <v>1903.3961070064051</v>
      </c>
      <c r="N77" s="1134">
        <v>1850</v>
      </c>
      <c r="O77" s="1021">
        <v>1906.639288767047</v>
      </c>
      <c r="P77" s="782">
        <v>1850</v>
      </c>
      <c r="Q77" s="1022">
        <f>+((M77*M78)+(O78*O77))/Q78</f>
        <v>1904.1940728429468</v>
      </c>
      <c r="R77" s="1134">
        <v>1850</v>
      </c>
      <c r="S77" s="1021">
        <v>1910.7794521043527</v>
      </c>
      <c r="T77" s="782">
        <v>1850</v>
      </c>
      <c r="U77" s="1022">
        <f>+((Q77*Q78)+(S78*S77))/U78</f>
        <v>1905.1834890994689</v>
      </c>
      <c r="V77" s="1134">
        <v>1850</v>
      </c>
      <c r="W77" s="1021">
        <v>1906.3</v>
      </c>
      <c r="X77" s="781">
        <v>1850</v>
      </c>
      <c r="Y77" s="1023">
        <f>+((O77*O78)+(S77*S78)+(W78*W77))/Y78</f>
        <v>1907.7383518140505</v>
      </c>
      <c r="Z77" s="1024">
        <v>1850</v>
      </c>
      <c r="AA77" s="1024">
        <f>+((M77*M78)+(Y78*Y77))/AA78</f>
        <v>1905.3357468604595</v>
      </c>
      <c r="AB77" s="1134">
        <v>1850</v>
      </c>
      <c r="AC77" s="1021">
        <v>1906.8202333899969</v>
      </c>
      <c r="AD77" s="782">
        <v>1850</v>
      </c>
      <c r="AE77" s="1022">
        <f>+((AA77*AA78)+(AC78*AC77))/AE78</f>
        <v>1905.5694179001835</v>
      </c>
      <c r="AF77" s="1134">
        <v>1850</v>
      </c>
      <c r="AG77" s="1021">
        <v>1916.9105463614655</v>
      </c>
      <c r="AH77" s="782">
        <v>1850</v>
      </c>
      <c r="AI77" s="1022">
        <f>+((AE77*AE78)+(AG78*AG77))/AI78</f>
        <v>1905.6205458170625</v>
      </c>
      <c r="AJ77" s="1134">
        <v>1850</v>
      </c>
      <c r="AK77" s="1021">
        <v>1899.0199363037768</v>
      </c>
      <c r="AL77" s="781">
        <v>1850</v>
      </c>
      <c r="AM77" s="1023">
        <f>+((AC77*AC78)+(AG77*AG78)+(AK78*AK77))/AM78</f>
        <v>1902.9981948739014</v>
      </c>
      <c r="AN77" s="782">
        <v>1850</v>
      </c>
      <c r="AO77" s="1022">
        <f>+((AI77*AI78)+(AK78*AK77))/AO78</f>
        <v>1904.6793256182666</v>
      </c>
      <c r="AP77" s="1134">
        <v>1850</v>
      </c>
      <c r="AQ77" s="1021">
        <v>1904.57</v>
      </c>
      <c r="AR77" s="782">
        <v>1850</v>
      </c>
      <c r="AS77" s="1022">
        <f>+((AO77*AO78)+(AQ78*AQ77))/AS78</f>
        <v>1904.6642650162116</v>
      </c>
      <c r="AT77" s="1134">
        <v>1850</v>
      </c>
      <c r="AU77" s="1021">
        <v>1898.3730622623448</v>
      </c>
      <c r="AV77" s="782">
        <v>1850</v>
      </c>
      <c r="AW77" s="1022">
        <f>+((AS77*AS78)+(AU78*AU77))/AW78</f>
        <v>1903.9781538719531</v>
      </c>
      <c r="AX77" s="1134">
        <v>1850</v>
      </c>
      <c r="AY77" s="1021">
        <v>1907.7195944879957</v>
      </c>
      <c r="AZ77" s="781">
        <v>1850</v>
      </c>
      <c r="BA77" s="1023">
        <f>+((AQ77*AQ78)+(AU77*AU78)+(AY78*AY77))/BA78</f>
        <v>1903.7677016151431</v>
      </c>
      <c r="BB77" s="1024">
        <v>1850</v>
      </c>
      <c r="BC77" s="1024">
        <f>+((AM77*AM78)+(BA78*BA77))/BC78</f>
        <v>1903.4772229035971</v>
      </c>
      <c r="BD77" s="782">
        <v>1850</v>
      </c>
      <c r="BE77" s="1022">
        <f>+((AW77*AW78)+(AY78*AY77))/BE78</f>
        <v>1904.3907817406055</v>
      </c>
      <c r="BF77" s="26"/>
      <c r="BG77" s="26"/>
      <c r="BH77" s="26"/>
      <c r="BI77" s="26"/>
      <c r="BJ77" s="26"/>
    </row>
    <row r="78" spans="1:62" ht="16.5" customHeight="1" x14ac:dyDescent="0.25">
      <c r="B78" s="1025" t="s">
        <v>467</v>
      </c>
      <c r="C78" s="805" t="s">
        <v>326</v>
      </c>
      <c r="D78" s="457">
        <f>D79*D$3*24</f>
        <v>14226.628895184138</v>
      </c>
      <c r="E78" s="1026">
        <v>11375.146000000002</v>
      </c>
      <c r="F78" s="457">
        <f>F79*F$3*24</f>
        <v>14679.886685552407</v>
      </c>
      <c r="G78" s="1026">
        <v>13088.434000000001</v>
      </c>
      <c r="H78" s="256">
        <f>+D78+F78</f>
        <v>28906.515580736545</v>
      </c>
      <c r="I78" s="1027">
        <f>+E78+G78</f>
        <v>24463.58</v>
      </c>
      <c r="J78" s="457">
        <f>J79*J$3*24</f>
        <v>14226.628895184138</v>
      </c>
      <c r="K78" s="1026">
        <v>14495.507</v>
      </c>
      <c r="L78" s="801">
        <f>+H78+J78</f>
        <v>43133.144475920679</v>
      </c>
      <c r="M78" s="1023">
        <f>+I78+K78</f>
        <v>38959.087</v>
      </c>
      <c r="N78" s="457">
        <f>N79*N$3*24</f>
        <v>14396.600566572235</v>
      </c>
      <c r="O78" s="1026">
        <v>12713.814</v>
      </c>
      <c r="P78" s="256">
        <f>+L78+N78</f>
        <v>57529.745042492912</v>
      </c>
      <c r="Q78" s="1027">
        <f>+M78+O78</f>
        <v>51672.900999999998</v>
      </c>
      <c r="R78" s="457">
        <f>R79*R$3*24</f>
        <v>14396.600566572235</v>
      </c>
      <c r="S78" s="1026">
        <v>9136.2305695109899</v>
      </c>
      <c r="T78" s="256">
        <f>+P78+R78</f>
        <v>71926.345609065145</v>
      </c>
      <c r="U78" s="1027">
        <f>+Q78+S78</f>
        <v>60809.131569510988</v>
      </c>
      <c r="V78" s="457">
        <f>V79*V$3*24</f>
        <v>7555.2407932011338</v>
      </c>
      <c r="W78" s="1026">
        <v>9601.9</v>
      </c>
      <c r="X78" s="801">
        <f>+V78+R78+N78</f>
        <v>36348.4419263456</v>
      </c>
      <c r="Y78" s="801">
        <f>+W78+S78+O78</f>
        <v>31451.94456951099</v>
      </c>
      <c r="Z78" s="522">
        <f>+L78+X78</f>
        <v>79481.586402266286</v>
      </c>
      <c r="AA78" s="522">
        <f>+Y78+M78</f>
        <v>70411.031569510989</v>
      </c>
      <c r="AB78" s="457">
        <f>AB79*AB$3*24</f>
        <v>14129.433962264153</v>
      </c>
      <c r="AC78" s="1026">
        <v>13153.833710000003</v>
      </c>
      <c r="AD78" s="256">
        <f>+Z78+AB78</f>
        <v>93611.020364530443</v>
      </c>
      <c r="AE78" s="1027">
        <f>+AA78+AC78</f>
        <v>83564.865279510996</v>
      </c>
      <c r="AF78" s="457">
        <f>AF79*AF$3*24</f>
        <v>13676.603773584906</v>
      </c>
      <c r="AG78" s="1026">
        <v>378.4319999999999</v>
      </c>
      <c r="AH78" s="256">
        <f>+AD78+AF78</f>
        <v>107287.62413811535</v>
      </c>
      <c r="AI78" s="1027">
        <f>+AE78+AG78</f>
        <v>83943.297279510996</v>
      </c>
      <c r="AJ78" s="457">
        <f>AJ79*AJ$3*24</f>
        <v>14129.433962264153</v>
      </c>
      <c r="AK78" s="1026">
        <v>13960.716000000004</v>
      </c>
      <c r="AL78" s="801">
        <f>+AJ78+AF78+AB78</f>
        <v>41935.471698113208</v>
      </c>
      <c r="AM78" s="801">
        <f>+AK78+AG78+AC78</f>
        <v>27492.981710000007</v>
      </c>
      <c r="AN78" s="256">
        <f>+AH78+AJ78</f>
        <v>121417.05810037951</v>
      </c>
      <c r="AO78" s="1027">
        <f>+AI78+AK78</f>
        <v>97904.013279510997</v>
      </c>
      <c r="AP78" s="457">
        <f>AP79*AP$3*24</f>
        <v>14129.433962264153</v>
      </c>
      <c r="AQ78" s="1026">
        <v>15642</v>
      </c>
      <c r="AR78" s="256">
        <f>+AN78+AP78</f>
        <v>135546.49206264367</v>
      </c>
      <c r="AS78" s="1027">
        <f>+AO78+AQ78</f>
        <v>113546.013279511</v>
      </c>
      <c r="AT78" s="457">
        <f>AT79*AT$3*24</f>
        <v>12714.339622641512</v>
      </c>
      <c r="AU78" s="1026">
        <v>13899.003000000001</v>
      </c>
      <c r="AV78" s="256">
        <f>+AR78+AT78</f>
        <v>148260.83168528517</v>
      </c>
      <c r="AW78" s="1027">
        <f>+AS78+AU78</f>
        <v>127445.01627951099</v>
      </c>
      <c r="AX78" s="457">
        <f>AX79*AX$3*24</f>
        <v>14129.433962264153</v>
      </c>
      <c r="AY78" s="1026">
        <v>15797.633999999998</v>
      </c>
      <c r="AZ78" s="801">
        <f>+AX78+AT78+AP78</f>
        <v>40973.207547169819</v>
      </c>
      <c r="BA78" s="801">
        <f>+AY78+AU78+AQ78</f>
        <v>45338.637000000002</v>
      </c>
      <c r="BB78" s="522">
        <f>+AL78+AZ78</f>
        <v>82908.679245283027</v>
      </c>
      <c r="BC78" s="522">
        <f>+BA78+AM78</f>
        <v>72831.61871000001</v>
      </c>
      <c r="BD78" s="256">
        <f>+AV78+AX78</f>
        <v>162390.26564754933</v>
      </c>
      <c r="BE78" s="1027">
        <f>+AW78+AY78</f>
        <v>143242.650279511</v>
      </c>
      <c r="BF78" s="26"/>
      <c r="BG78" s="26"/>
      <c r="BH78" s="26"/>
      <c r="BI78" s="26"/>
      <c r="BJ78" s="26"/>
    </row>
    <row r="79" spans="1:62" ht="15.75" hidden="1" customHeight="1" x14ac:dyDescent="0.3">
      <c r="B79" s="1025"/>
      <c r="C79" s="805"/>
      <c r="D79" s="1136">
        <v>19.759206798866856</v>
      </c>
      <c r="E79" s="1026"/>
      <c r="F79" s="1136">
        <v>19.731030491333879</v>
      </c>
      <c r="G79" s="1026"/>
      <c r="H79" s="256"/>
      <c r="I79" s="1027"/>
      <c r="J79" s="1136">
        <v>19.759206798866856</v>
      </c>
      <c r="K79" s="1026"/>
      <c r="L79" s="801"/>
      <c r="M79" s="1023"/>
      <c r="N79" s="1136">
        <v>19.350269578726124</v>
      </c>
      <c r="O79" s="1026"/>
      <c r="P79" s="256"/>
      <c r="Q79" s="1027"/>
      <c r="R79" s="1136">
        <v>19.350269578726124</v>
      </c>
      <c r="S79" s="1026"/>
      <c r="T79" s="256"/>
      <c r="U79" s="1027"/>
      <c r="V79" s="1136">
        <v>10.49338999055713</v>
      </c>
      <c r="W79" s="1026"/>
      <c r="X79" s="801"/>
      <c r="Y79" s="801"/>
      <c r="Z79" s="522"/>
      <c r="AA79" s="522"/>
      <c r="AB79" s="1136">
        <v>18.991174680462571</v>
      </c>
      <c r="AC79" s="1026"/>
      <c r="AD79" s="256"/>
      <c r="AE79" s="1027"/>
      <c r="AF79" s="1136">
        <v>18.995283018867926</v>
      </c>
      <c r="AG79" s="1026"/>
      <c r="AH79" s="256"/>
      <c r="AI79" s="1027"/>
      <c r="AJ79" s="1136">
        <v>18.991174680462571</v>
      </c>
      <c r="AK79" s="1026"/>
      <c r="AL79" s="801"/>
      <c r="AM79" s="801"/>
      <c r="AN79" s="256"/>
      <c r="AO79" s="1027"/>
      <c r="AP79" s="1136">
        <v>18.991174680462571</v>
      </c>
      <c r="AQ79" s="1026"/>
      <c r="AR79" s="256"/>
      <c r="AS79" s="1027"/>
      <c r="AT79" s="1136">
        <v>18.920148247978439</v>
      </c>
      <c r="AU79" s="1026"/>
      <c r="AV79" s="256"/>
      <c r="AW79" s="1027"/>
      <c r="AX79" s="1136">
        <v>18.991174680462571</v>
      </c>
      <c r="AY79" s="1026"/>
      <c r="AZ79" s="801"/>
      <c r="BA79" s="801"/>
      <c r="BB79" s="522"/>
      <c r="BC79" s="522"/>
      <c r="BD79" s="256"/>
      <c r="BE79" s="1027"/>
      <c r="BF79" s="26"/>
      <c r="BG79" s="26"/>
      <c r="BH79" s="26"/>
      <c r="BI79" s="26"/>
      <c r="BJ79" s="26"/>
    </row>
    <row r="80" spans="1:62" x14ac:dyDescent="0.25">
      <c r="B80" s="776" t="s">
        <v>474</v>
      </c>
      <c r="C80" s="159" t="s">
        <v>326</v>
      </c>
      <c r="D80" s="1134">
        <f>D81*D$3*24</f>
        <v>0</v>
      </c>
      <c r="E80" s="1021">
        <v>0</v>
      </c>
      <c r="F80" s="1134">
        <f>F81*F$3*24</f>
        <v>0</v>
      </c>
      <c r="G80" s="1021">
        <v>0</v>
      </c>
      <c r="H80" s="782">
        <f>+D80+F80</f>
        <v>0</v>
      </c>
      <c r="I80" s="1022">
        <f>+E80+G80</f>
        <v>0</v>
      </c>
      <c r="J80" s="1134">
        <f>J81*J$3*24</f>
        <v>0</v>
      </c>
      <c r="K80" s="1021">
        <v>0</v>
      </c>
      <c r="L80" s="781">
        <f>+H80+J80</f>
        <v>0</v>
      </c>
      <c r="M80" s="1029">
        <f>+I80+K80</f>
        <v>0</v>
      </c>
      <c r="N80" s="1134">
        <f>N81*N$3*24</f>
        <v>0</v>
      </c>
      <c r="O80" s="1021">
        <v>0</v>
      </c>
      <c r="P80" s="782">
        <f>+L80+N80</f>
        <v>0</v>
      </c>
      <c r="Q80" s="1022">
        <f>+M80+O80</f>
        <v>0</v>
      </c>
      <c r="R80" s="1134">
        <f>R81*R$3*24</f>
        <v>0</v>
      </c>
      <c r="S80" s="1021">
        <v>0</v>
      </c>
      <c r="T80" s="782">
        <f>+P80+R80</f>
        <v>0</v>
      </c>
      <c r="U80" s="1022">
        <f>+Q80+S80</f>
        <v>0</v>
      </c>
      <c r="V80" s="1134">
        <f>V81*V$3*24</f>
        <v>0</v>
      </c>
      <c r="W80" s="1021">
        <v>0</v>
      </c>
      <c r="X80" s="781">
        <f>+V80+R80+N80</f>
        <v>0</v>
      </c>
      <c r="Y80" s="781">
        <f>+W80+S80+O80</f>
        <v>0</v>
      </c>
      <c r="Z80" s="465">
        <f>+L80+X80</f>
        <v>0</v>
      </c>
      <c r="AA80" s="465">
        <f>+Y80+M80</f>
        <v>0</v>
      </c>
      <c r="AB80" s="1134">
        <f>AB81*AB$3*24</f>
        <v>0</v>
      </c>
      <c r="AC80" s="1021"/>
      <c r="AD80" s="782">
        <f>+Z80+AB80</f>
        <v>0</v>
      </c>
      <c r="AE80" s="1022">
        <f>+AA80+AC80</f>
        <v>0</v>
      </c>
      <c r="AF80" s="1134">
        <f>AF81*AF$3*24</f>
        <v>0</v>
      </c>
      <c r="AG80" s="1021">
        <v>0</v>
      </c>
      <c r="AH80" s="782">
        <f>+AD80+AF80</f>
        <v>0</v>
      </c>
      <c r="AI80" s="1022">
        <f>+AE80+AG80</f>
        <v>0</v>
      </c>
      <c r="AJ80" s="1134">
        <f>AJ81*AJ$3*24</f>
        <v>0</v>
      </c>
      <c r="AK80" s="1021">
        <v>0</v>
      </c>
      <c r="AL80" s="781">
        <f>+AJ80+AF80+AB80</f>
        <v>0</v>
      </c>
      <c r="AM80" s="781">
        <f>+AK80+AG80+AC80</f>
        <v>0</v>
      </c>
      <c r="AN80" s="782">
        <f>+AH80+AJ80</f>
        <v>0</v>
      </c>
      <c r="AO80" s="1022">
        <f>+AI80+AK80</f>
        <v>0</v>
      </c>
      <c r="AP80" s="1134">
        <f>AP81*AP$3*24</f>
        <v>0</v>
      </c>
      <c r="AQ80" s="1021">
        <v>0</v>
      </c>
      <c r="AR80" s="782">
        <f>+AN80+AP80</f>
        <v>0</v>
      </c>
      <c r="AS80" s="1022">
        <f>+AO80+AQ80</f>
        <v>0</v>
      </c>
      <c r="AT80" s="1134">
        <f>AT81*AT$3*24</f>
        <v>0</v>
      </c>
      <c r="AU80" s="1021">
        <v>0</v>
      </c>
      <c r="AV80" s="782">
        <f>+AR80+AT80</f>
        <v>0</v>
      </c>
      <c r="AW80" s="1022">
        <f>+AS80+AU80</f>
        <v>0</v>
      </c>
      <c r="AX80" s="1134">
        <f>AX81*AX$3*24</f>
        <v>0</v>
      </c>
      <c r="AY80" s="1021"/>
      <c r="AZ80" s="781">
        <f>+AX80+AT80+AP80</f>
        <v>0</v>
      </c>
      <c r="BA80" s="781">
        <f>+AY80+AU80+AQ80</f>
        <v>0</v>
      </c>
      <c r="BB80" s="465">
        <f t="shared" ref="BB80" si="496">+AL80+AZ80</f>
        <v>0</v>
      </c>
      <c r="BC80" s="465">
        <f t="shared" ref="BC80" si="497">+AM80+BA80</f>
        <v>0</v>
      </c>
      <c r="BD80" s="782">
        <f>+AV80+AX80</f>
        <v>0</v>
      </c>
      <c r="BE80" s="1022">
        <f>+AW80+AY80</f>
        <v>0</v>
      </c>
      <c r="BF80" s="26"/>
      <c r="BG80" s="26"/>
      <c r="BH80" s="26"/>
      <c r="BI80" s="26"/>
      <c r="BJ80" s="26"/>
    </row>
    <row r="81" spans="1:62" ht="15" hidden="1" customHeight="1" x14ac:dyDescent="0.3">
      <c r="B81" s="776"/>
      <c r="C81" s="159"/>
      <c r="D81" s="1134"/>
      <c r="E81" s="1021"/>
      <c r="F81" s="1134"/>
      <c r="G81" s="1021"/>
      <c r="H81" s="782"/>
      <c r="I81" s="1022"/>
      <c r="J81" s="1134"/>
      <c r="K81" s="1021"/>
      <c r="L81" s="781"/>
      <c r="M81" s="1029"/>
      <c r="N81" s="1134"/>
      <c r="O81" s="1021"/>
      <c r="P81" s="782"/>
      <c r="Q81" s="1022"/>
      <c r="R81" s="1134"/>
      <c r="S81" s="1021"/>
      <c r="T81" s="782"/>
      <c r="U81" s="1022"/>
      <c r="V81" s="1134"/>
      <c r="W81" s="1021"/>
      <c r="X81" s="781"/>
      <c r="Y81" s="781"/>
      <c r="Z81" s="465"/>
      <c r="AA81" s="465"/>
      <c r="AB81" s="1134"/>
      <c r="AC81" s="1021"/>
      <c r="AD81" s="782"/>
      <c r="AE81" s="1022"/>
      <c r="AF81" s="1134"/>
      <c r="AG81" s="1021"/>
      <c r="AH81" s="782"/>
      <c r="AI81" s="1022"/>
      <c r="AJ81" s="1134"/>
      <c r="AK81" s="1021"/>
      <c r="AL81" s="781"/>
      <c r="AM81" s="781"/>
      <c r="AN81" s="782"/>
      <c r="AO81" s="1022"/>
      <c r="AP81" s="1134"/>
      <c r="AQ81" s="1021"/>
      <c r="AR81" s="782"/>
      <c r="AS81" s="1022"/>
      <c r="AT81" s="1134"/>
      <c r="AU81" s="1021"/>
      <c r="AV81" s="782"/>
      <c r="AW81" s="1022"/>
      <c r="AX81" s="1134"/>
      <c r="AY81" s="1021"/>
      <c r="AZ81" s="781"/>
      <c r="BA81" s="781"/>
      <c r="BB81" s="465"/>
      <c r="BC81" s="465"/>
      <c r="BD81" s="782"/>
      <c r="BE81" s="1022"/>
      <c r="BF81" s="26"/>
      <c r="BG81" s="26"/>
      <c r="BH81" s="26"/>
      <c r="BI81" s="26"/>
      <c r="BJ81" s="26"/>
    </row>
    <row r="82" spans="1:62" x14ac:dyDescent="0.25">
      <c r="B82" s="776" t="s">
        <v>73</v>
      </c>
      <c r="C82" s="159" t="s">
        <v>49</v>
      </c>
      <c r="D82" s="1134">
        <f t="shared" ref="D82:E82" si="498">+D80/D78*100</f>
        <v>0</v>
      </c>
      <c r="E82" s="1021">
        <f t="shared" si="498"/>
        <v>0</v>
      </c>
      <c r="F82" s="1134">
        <f t="shared" ref="F82:G82" si="499">+F80/F78*100</f>
        <v>0</v>
      </c>
      <c r="G82" s="1021">
        <f t="shared" si="499"/>
        <v>0</v>
      </c>
      <c r="H82" s="782">
        <f t="shared" ref="H82:K82" si="500">+H80/H78*100</f>
        <v>0</v>
      </c>
      <c r="I82" s="1020">
        <f t="shared" si="500"/>
        <v>0</v>
      </c>
      <c r="J82" s="1134">
        <f t="shared" si="500"/>
        <v>0</v>
      </c>
      <c r="K82" s="1021">
        <f t="shared" si="500"/>
        <v>0</v>
      </c>
      <c r="L82" s="781">
        <f t="shared" ref="L82:Q82" si="501">+L80/L78*100</f>
        <v>0</v>
      </c>
      <c r="M82" s="1030">
        <f t="shared" si="501"/>
        <v>0</v>
      </c>
      <c r="N82" s="1134">
        <f t="shared" si="501"/>
        <v>0</v>
      </c>
      <c r="O82" s="1021">
        <f t="shared" si="501"/>
        <v>0</v>
      </c>
      <c r="P82" s="782">
        <f t="shared" si="501"/>
        <v>0</v>
      </c>
      <c r="Q82" s="1020">
        <f t="shared" si="501"/>
        <v>0</v>
      </c>
      <c r="R82" s="1134">
        <f t="shared" ref="R82:S82" si="502">+R80/R78*100</f>
        <v>0</v>
      </c>
      <c r="S82" s="1021">
        <f t="shared" si="502"/>
        <v>0</v>
      </c>
      <c r="T82" s="782">
        <f t="shared" ref="T82:W82" si="503">+T80/T78*100</f>
        <v>0</v>
      </c>
      <c r="U82" s="1020">
        <f t="shared" si="503"/>
        <v>0</v>
      </c>
      <c r="V82" s="1134">
        <f t="shared" si="503"/>
        <v>0</v>
      </c>
      <c r="W82" s="1021">
        <f t="shared" si="503"/>
        <v>0</v>
      </c>
      <c r="X82" s="781">
        <f t="shared" ref="X82:AE82" si="504">+X80/X78*100</f>
        <v>0</v>
      </c>
      <c r="Y82" s="1030">
        <f t="shared" si="504"/>
        <v>0</v>
      </c>
      <c r="Z82" s="465">
        <f t="shared" si="504"/>
        <v>0</v>
      </c>
      <c r="AA82" s="1031">
        <f t="shared" si="504"/>
        <v>0</v>
      </c>
      <c r="AB82" s="1134">
        <f t="shared" si="504"/>
        <v>0</v>
      </c>
      <c r="AC82" s="1021">
        <f t="shared" si="504"/>
        <v>0</v>
      </c>
      <c r="AD82" s="782">
        <f t="shared" si="504"/>
        <v>0</v>
      </c>
      <c r="AE82" s="1022">
        <f t="shared" si="504"/>
        <v>0</v>
      </c>
      <c r="AF82" s="1134">
        <f t="shared" ref="AF82:AI82" si="505">+AF80/AF78*100</f>
        <v>0</v>
      </c>
      <c r="AG82" s="1021">
        <f t="shared" si="505"/>
        <v>0</v>
      </c>
      <c r="AH82" s="782">
        <f t="shared" si="505"/>
        <v>0</v>
      </c>
      <c r="AI82" s="1022">
        <f t="shared" si="505"/>
        <v>0</v>
      </c>
      <c r="AJ82" s="1134">
        <f t="shared" ref="AJ82:AK82" si="506">+AJ80/AJ78*100</f>
        <v>0</v>
      </c>
      <c r="AK82" s="1021">
        <f t="shared" si="506"/>
        <v>0</v>
      </c>
      <c r="AL82" s="781">
        <f t="shared" ref="AL82:AQ82" si="507">+AL80/AL78*100</f>
        <v>0</v>
      </c>
      <c r="AM82" s="1030">
        <f t="shared" si="507"/>
        <v>0</v>
      </c>
      <c r="AN82" s="782">
        <f t="shared" si="507"/>
        <v>0</v>
      </c>
      <c r="AO82" s="1022">
        <f t="shared" si="507"/>
        <v>0</v>
      </c>
      <c r="AP82" s="1134">
        <f t="shared" si="507"/>
        <v>0</v>
      </c>
      <c r="AQ82" s="1021">
        <f t="shared" si="507"/>
        <v>0</v>
      </c>
      <c r="AR82" s="782">
        <f t="shared" ref="AR82:AU82" si="508">+AR80/AR78*100</f>
        <v>0</v>
      </c>
      <c r="AS82" s="1022">
        <f t="shared" si="508"/>
        <v>0</v>
      </c>
      <c r="AT82" s="1134">
        <f t="shared" si="508"/>
        <v>0</v>
      </c>
      <c r="AU82" s="1021">
        <f t="shared" si="508"/>
        <v>0</v>
      </c>
      <c r="AV82" s="782">
        <f t="shared" ref="AV82:AY82" si="509">+AV80/AV78*100</f>
        <v>0</v>
      </c>
      <c r="AW82" s="1022">
        <f t="shared" si="509"/>
        <v>0</v>
      </c>
      <c r="AX82" s="1134">
        <f t="shared" si="509"/>
        <v>0</v>
      </c>
      <c r="AY82" s="1021">
        <f t="shared" si="509"/>
        <v>0</v>
      </c>
      <c r="AZ82" s="781">
        <f t="shared" ref="AZ82:BE82" si="510">+AZ80/AZ78*100</f>
        <v>0</v>
      </c>
      <c r="BA82" s="1030">
        <f t="shared" si="510"/>
        <v>0</v>
      </c>
      <c r="BB82" s="465">
        <f t="shared" si="510"/>
        <v>0</v>
      </c>
      <c r="BC82" s="1031">
        <f t="shared" si="510"/>
        <v>0</v>
      </c>
      <c r="BD82" s="782">
        <f t="shared" si="510"/>
        <v>0</v>
      </c>
      <c r="BE82" s="1022">
        <f t="shared" si="510"/>
        <v>0</v>
      </c>
      <c r="BF82" s="26"/>
      <c r="BG82" s="26"/>
      <c r="BH82" s="26"/>
      <c r="BI82" s="26"/>
      <c r="BJ82" s="26"/>
    </row>
    <row r="83" spans="1:62" ht="18.75" x14ac:dyDescent="0.25">
      <c r="A83" s="93"/>
      <c r="B83" s="584" t="s">
        <v>55</v>
      </c>
      <c r="C83" s="1017" t="s">
        <v>326</v>
      </c>
      <c r="D83" s="1137">
        <f t="shared" ref="D83:E83" si="511">+D78-D80</f>
        <v>14226.628895184138</v>
      </c>
      <c r="E83" s="1137">
        <f t="shared" si="511"/>
        <v>11375.146000000002</v>
      </c>
      <c r="F83" s="1137">
        <f t="shared" ref="F83:G83" si="512">+F78-F80</f>
        <v>14679.886685552407</v>
      </c>
      <c r="G83" s="1137">
        <f t="shared" si="512"/>
        <v>13088.434000000001</v>
      </c>
      <c r="H83" s="256">
        <f t="shared" ref="H83:K83" si="513">+H78-H80</f>
        <v>28906.515580736545</v>
      </c>
      <c r="I83" s="1027">
        <f t="shared" si="513"/>
        <v>24463.58</v>
      </c>
      <c r="J83" s="1137">
        <f t="shared" si="513"/>
        <v>14226.628895184138</v>
      </c>
      <c r="K83" s="1137">
        <f t="shared" si="513"/>
        <v>14495.507</v>
      </c>
      <c r="L83" s="801">
        <f t="shared" ref="L83:Q83" si="514">+L78-L80</f>
        <v>43133.144475920679</v>
      </c>
      <c r="M83" s="1023">
        <f t="shared" si="514"/>
        <v>38959.087</v>
      </c>
      <c r="N83" s="1137">
        <f t="shared" si="514"/>
        <v>14396.600566572235</v>
      </c>
      <c r="O83" s="1137">
        <f t="shared" si="514"/>
        <v>12713.814</v>
      </c>
      <c r="P83" s="256">
        <f t="shared" si="514"/>
        <v>57529.745042492912</v>
      </c>
      <c r="Q83" s="1027">
        <f t="shared" si="514"/>
        <v>51672.900999999998</v>
      </c>
      <c r="R83" s="1137">
        <f t="shared" ref="R83:S83" si="515">+R78-R80</f>
        <v>14396.600566572235</v>
      </c>
      <c r="S83" s="1137">
        <f t="shared" si="515"/>
        <v>9136.2305695109899</v>
      </c>
      <c r="T83" s="256">
        <f t="shared" ref="T83:W83" si="516">+T78-T80</f>
        <v>71926.345609065145</v>
      </c>
      <c r="U83" s="1027">
        <f t="shared" si="516"/>
        <v>60809.131569510988</v>
      </c>
      <c r="V83" s="1137">
        <f t="shared" si="516"/>
        <v>7555.2407932011338</v>
      </c>
      <c r="W83" s="1137">
        <f t="shared" si="516"/>
        <v>9601.9</v>
      </c>
      <c r="X83" s="801">
        <f t="shared" ref="X83:AE83" si="517">+X78-X80</f>
        <v>36348.4419263456</v>
      </c>
      <c r="Y83" s="1023">
        <f t="shared" si="517"/>
        <v>31451.94456951099</v>
      </c>
      <c r="Z83" s="1028">
        <f t="shared" si="517"/>
        <v>79481.586402266286</v>
      </c>
      <c r="AA83" s="1028">
        <f t="shared" si="517"/>
        <v>70411.031569510989</v>
      </c>
      <c r="AB83" s="1137">
        <f t="shared" si="517"/>
        <v>14129.433962264153</v>
      </c>
      <c r="AC83" s="1137">
        <f t="shared" si="517"/>
        <v>13153.833710000003</v>
      </c>
      <c r="AD83" s="256">
        <f t="shared" si="517"/>
        <v>93611.020364530443</v>
      </c>
      <c r="AE83" s="1027">
        <f t="shared" si="517"/>
        <v>83564.865279510996</v>
      </c>
      <c r="AF83" s="1137">
        <f t="shared" ref="AF83:AI83" si="518">+AF78-AF80</f>
        <v>13676.603773584906</v>
      </c>
      <c r="AG83" s="1137">
        <f t="shared" si="518"/>
        <v>378.4319999999999</v>
      </c>
      <c r="AH83" s="256">
        <f t="shared" si="518"/>
        <v>107287.62413811535</v>
      </c>
      <c r="AI83" s="1027">
        <f t="shared" si="518"/>
        <v>83943.297279510996</v>
      </c>
      <c r="AJ83" s="1137">
        <f t="shared" ref="AJ83:AK83" si="519">+AJ78-AJ80</f>
        <v>14129.433962264153</v>
      </c>
      <c r="AK83" s="1137">
        <f t="shared" si="519"/>
        <v>13960.716000000004</v>
      </c>
      <c r="AL83" s="801">
        <f t="shared" ref="AL83:AQ83" si="520">+AL78-AL80</f>
        <v>41935.471698113208</v>
      </c>
      <c r="AM83" s="1023">
        <f t="shared" si="520"/>
        <v>27492.981710000007</v>
      </c>
      <c r="AN83" s="256">
        <f t="shared" si="520"/>
        <v>121417.05810037951</v>
      </c>
      <c r="AO83" s="1027">
        <f t="shared" si="520"/>
        <v>97904.013279510997</v>
      </c>
      <c r="AP83" s="1137">
        <f t="shared" si="520"/>
        <v>14129.433962264153</v>
      </c>
      <c r="AQ83" s="1137">
        <f t="shared" si="520"/>
        <v>15642</v>
      </c>
      <c r="AR83" s="256">
        <f t="shared" ref="AR83:AU83" si="521">+AR78-AR80</f>
        <v>135546.49206264367</v>
      </c>
      <c r="AS83" s="1027">
        <f t="shared" si="521"/>
        <v>113546.013279511</v>
      </c>
      <c r="AT83" s="1137">
        <f t="shared" si="521"/>
        <v>12714.339622641512</v>
      </c>
      <c r="AU83" s="1137">
        <f t="shared" si="521"/>
        <v>13899.003000000001</v>
      </c>
      <c r="AV83" s="256">
        <f t="shared" ref="AV83:AY83" si="522">+AV78-AV80</f>
        <v>148260.83168528517</v>
      </c>
      <c r="AW83" s="1027">
        <f t="shared" si="522"/>
        <v>127445.01627951099</v>
      </c>
      <c r="AX83" s="1137">
        <f t="shared" si="522"/>
        <v>14129.433962264153</v>
      </c>
      <c r="AY83" s="1137">
        <f t="shared" si="522"/>
        <v>15797.633999999998</v>
      </c>
      <c r="AZ83" s="801">
        <f t="shared" ref="AZ83:BE83" si="523">+AZ78-AZ80</f>
        <v>40973.207547169819</v>
      </c>
      <c r="BA83" s="1023">
        <f t="shared" si="523"/>
        <v>45338.637000000002</v>
      </c>
      <c r="BB83" s="1028">
        <f t="shared" si="523"/>
        <v>82908.679245283027</v>
      </c>
      <c r="BC83" s="1028">
        <f t="shared" si="523"/>
        <v>72831.61871000001</v>
      </c>
      <c r="BD83" s="256">
        <f t="shared" si="523"/>
        <v>162390.26564754933</v>
      </c>
      <c r="BE83" s="1027">
        <f t="shared" si="523"/>
        <v>143242.650279511</v>
      </c>
      <c r="BF83" s="26"/>
      <c r="BG83" s="26"/>
      <c r="BH83" s="26"/>
      <c r="BI83" s="26"/>
      <c r="BJ83" s="26"/>
    </row>
    <row r="84" spans="1:62" ht="15.75" x14ac:dyDescent="0.25">
      <c r="A84" s="93"/>
      <c r="B84" s="1025" t="s">
        <v>468</v>
      </c>
      <c r="C84" s="1025"/>
      <c r="D84" s="851"/>
      <c r="E84" s="1025"/>
      <c r="F84" s="851"/>
      <c r="G84" s="1025"/>
      <c r="H84" s="1025"/>
      <c r="I84" s="1025"/>
      <c r="J84" s="851"/>
      <c r="K84" s="1025"/>
      <c r="L84" s="1025"/>
      <c r="M84" s="1025"/>
      <c r="N84" s="851"/>
      <c r="O84" s="1025"/>
      <c r="P84" s="1025"/>
      <c r="Q84" s="1025"/>
      <c r="R84" s="851"/>
      <c r="S84" s="1025"/>
      <c r="T84" s="1025"/>
      <c r="U84" s="1025"/>
      <c r="V84" s="851"/>
      <c r="W84" s="1025"/>
      <c r="X84" s="1025"/>
      <c r="Y84" s="1025"/>
      <c r="Z84" s="1025"/>
      <c r="AA84" s="1025"/>
      <c r="AB84" s="851"/>
      <c r="AC84" s="1025"/>
      <c r="AD84" s="1025"/>
      <c r="AE84" s="1025"/>
      <c r="AF84" s="851"/>
      <c r="AG84" s="1025"/>
      <c r="AH84" s="1025"/>
      <c r="AI84" s="1025"/>
      <c r="AJ84" s="851"/>
      <c r="AK84" s="1025"/>
      <c r="AL84" s="1025"/>
      <c r="AM84" s="1025"/>
      <c r="AN84" s="1025"/>
      <c r="AO84" s="1025"/>
      <c r="AP84" s="851"/>
      <c r="AQ84" s="1025"/>
      <c r="AR84" s="1025"/>
      <c r="AS84" s="1025"/>
      <c r="AT84" s="851"/>
      <c r="AU84" s="1025"/>
      <c r="AV84" s="1025"/>
      <c r="AW84" s="1025"/>
      <c r="AX84" s="851"/>
      <c r="AY84" s="1025"/>
      <c r="AZ84" s="1025"/>
      <c r="BA84" s="1025"/>
      <c r="BB84" s="1025"/>
      <c r="BC84" s="1025"/>
      <c r="BD84" s="1025"/>
      <c r="BE84" s="1025"/>
      <c r="BF84" s="26"/>
      <c r="BG84" s="26"/>
      <c r="BH84" s="26"/>
      <c r="BI84" s="26"/>
      <c r="BJ84" s="26"/>
    </row>
    <row r="85" spans="1:62" ht="15.75" x14ac:dyDescent="0.25">
      <c r="A85" s="93"/>
      <c r="B85" s="1018" t="s">
        <v>122</v>
      </c>
      <c r="C85" s="159" t="s">
        <v>326</v>
      </c>
      <c r="D85" s="2716">
        <f>D86*D$3*24</f>
        <v>6666.628895184137</v>
      </c>
      <c r="E85" s="1201">
        <v>5181.6839999999993</v>
      </c>
      <c r="F85" s="2716">
        <f>F86*F$3*24</f>
        <v>12447.886685552407</v>
      </c>
      <c r="G85" s="1201">
        <v>4467.5640000000003</v>
      </c>
      <c r="H85" s="782">
        <f>+D85+F85</f>
        <v>19114.515580736545</v>
      </c>
      <c r="I85" s="782">
        <f>+E85+G85</f>
        <v>9649.2479999999996</v>
      </c>
      <c r="J85" s="2716">
        <f>J86*J$3*24</f>
        <v>12066.628895184138</v>
      </c>
      <c r="K85" s="1201">
        <v>6702.2109999999993</v>
      </c>
      <c r="L85" s="781">
        <f>+H85+J85</f>
        <v>31181.144475920682</v>
      </c>
      <c r="M85" s="781">
        <f>+I85+K85</f>
        <v>16351.458999999999</v>
      </c>
      <c r="N85" s="2716">
        <f>N86*N$3*24</f>
        <v>12164.600566572237</v>
      </c>
      <c r="O85" s="1201">
        <v>5306.7839999999997</v>
      </c>
      <c r="P85" s="782">
        <f>+L85+N85</f>
        <v>43345.745042492919</v>
      </c>
      <c r="Q85" s="782">
        <f>+M85+O85</f>
        <v>21658.242999999999</v>
      </c>
      <c r="R85" s="2716">
        <f>R86*R$3*24</f>
        <v>12164.600566572237</v>
      </c>
      <c r="S85" s="1201">
        <v>2019.7756535991027</v>
      </c>
      <c r="T85" s="782">
        <f>+P85+R85</f>
        <v>55510.34560906516</v>
      </c>
      <c r="U85" s="782">
        <f>+Q85+S85</f>
        <v>23678.018653599102</v>
      </c>
      <c r="V85" s="2716">
        <f>V86*V$3*24</f>
        <v>7555.2407932011338</v>
      </c>
      <c r="W85" s="1201">
        <v>586.70000000000005</v>
      </c>
      <c r="X85" s="781">
        <f>+V85+R85+N85</f>
        <v>31884.441926345607</v>
      </c>
      <c r="Y85" s="781">
        <f>+W85+S85+O85</f>
        <v>7913.2596535991024</v>
      </c>
      <c r="Z85" s="465">
        <f>+L85+X85</f>
        <v>63065.586402266286</v>
      </c>
      <c r="AA85" s="465">
        <f>+Y85+M85</f>
        <v>24264.718653599102</v>
      </c>
      <c r="AB85" s="1137">
        <f>+AB78</f>
        <v>14129.433962264153</v>
      </c>
      <c r="AC85" s="1201">
        <v>6450.5885899999994</v>
      </c>
      <c r="AD85" s="782">
        <f>+Z85+AB85</f>
        <v>77195.020364530443</v>
      </c>
      <c r="AE85" s="782">
        <f>+AA85+AC85</f>
        <v>30715.307243599102</v>
      </c>
      <c r="AF85" s="1137">
        <f>+AF78</f>
        <v>13676.603773584906</v>
      </c>
      <c r="AG85" s="1201">
        <v>111.10599999999999</v>
      </c>
      <c r="AH85" s="782">
        <f>+AD85+AF85</f>
        <v>90871.624138115352</v>
      </c>
      <c r="AI85" s="782">
        <f>+AE85+AG85</f>
        <v>30826.413243599101</v>
      </c>
      <c r="AJ85" s="1137">
        <f>+AJ78</f>
        <v>14129.433962264153</v>
      </c>
      <c r="AK85" s="1201">
        <v>10872.523000000003</v>
      </c>
      <c r="AL85" s="781">
        <f>+AJ85+AF85+AB85</f>
        <v>41935.471698113208</v>
      </c>
      <c r="AM85" s="781">
        <f>+AK85+AG85+AC85</f>
        <v>17434.21759</v>
      </c>
      <c r="AN85" s="782">
        <f>+AH85+AJ85</f>
        <v>105001.05810037951</v>
      </c>
      <c r="AO85" s="782">
        <f>+AI85+AK85</f>
        <v>41698.936243599106</v>
      </c>
      <c r="AP85" s="1137">
        <f>+AP78</f>
        <v>14129.433962264153</v>
      </c>
      <c r="AQ85" s="1201">
        <v>9681.2000000000007</v>
      </c>
      <c r="AR85" s="782">
        <f>+AN85+AP85</f>
        <v>119130.49206264367</v>
      </c>
      <c r="AS85" s="782">
        <f>+AO85+AQ85</f>
        <v>51380.136243599103</v>
      </c>
      <c r="AT85" s="1137">
        <f>+AT78</f>
        <v>12714.339622641512</v>
      </c>
      <c r="AU85" s="1201">
        <v>7004.5199999999995</v>
      </c>
      <c r="AV85" s="782">
        <f>+AR85+AT85</f>
        <v>131844.83168528517</v>
      </c>
      <c r="AW85" s="782">
        <f>+AS85+AU85</f>
        <v>58384.6562435991</v>
      </c>
      <c r="AX85" s="1137">
        <f>+AX78</f>
        <v>14129.433962264153</v>
      </c>
      <c r="AY85" s="1201">
        <v>9846.5879999999979</v>
      </c>
      <c r="AZ85" s="781">
        <f>+AX85+AT85+AP85</f>
        <v>40973.207547169819</v>
      </c>
      <c r="BA85" s="781">
        <f>+AY85+AU85+AQ85</f>
        <v>26532.307999999997</v>
      </c>
      <c r="BB85" s="465">
        <f t="shared" ref="BB85:BB93" si="524">+AL85+AZ85</f>
        <v>82908.679245283027</v>
      </c>
      <c r="BC85" s="465">
        <f t="shared" ref="BC85:BC93" si="525">+AM85+BA85</f>
        <v>43966.525589999997</v>
      </c>
      <c r="BD85" s="782">
        <f>+AV85+AX85</f>
        <v>145974.26564754933</v>
      </c>
      <c r="BE85" s="782">
        <f>+AW85+AY85</f>
        <v>68231.244243599096</v>
      </c>
      <c r="BF85" s="26"/>
      <c r="BG85" s="26"/>
      <c r="BH85" s="26"/>
      <c r="BI85" s="26"/>
      <c r="BJ85" s="26"/>
    </row>
    <row r="86" spans="1:62" ht="15.6" hidden="1" x14ac:dyDescent="0.3">
      <c r="A86" s="93"/>
      <c r="B86" s="5306"/>
      <c r="C86" s="4862"/>
      <c r="D86" s="5307">
        <v>9.2592067988668578</v>
      </c>
      <c r="E86" s="4963"/>
      <c r="F86" s="5307">
        <v>16.731030491333879</v>
      </c>
      <c r="G86" s="4963"/>
      <c r="H86" s="4957"/>
      <c r="I86" s="4957"/>
      <c r="J86" s="5307">
        <v>16.759206798866856</v>
      </c>
      <c r="K86" s="4963"/>
      <c r="L86" s="4964"/>
      <c r="M86" s="4964"/>
      <c r="N86" s="5307">
        <v>16.350269578726124</v>
      </c>
      <c r="O86" s="4963"/>
      <c r="P86" s="4957"/>
      <c r="Q86" s="4957"/>
      <c r="R86" s="5307">
        <v>16.350269578726124</v>
      </c>
      <c r="S86" s="4963"/>
      <c r="T86" s="4957"/>
      <c r="U86" s="4957"/>
      <c r="V86" s="5307">
        <v>10.49338999055713</v>
      </c>
      <c r="W86" s="4963"/>
      <c r="X86" s="781">
        <f t="shared" ref="X86:X93" si="526">+V86+R86+N86</f>
        <v>43.193929148009374</v>
      </c>
      <c r="Y86" s="4964"/>
      <c r="Z86" s="5113"/>
      <c r="AA86" s="5113"/>
      <c r="AB86" s="5307"/>
      <c r="AC86" s="4963"/>
      <c r="AD86" s="4957"/>
      <c r="AE86" s="4957"/>
      <c r="AF86" s="5307"/>
      <c r="AG86" s="4963"/>
      <c r="AH86" s="4957"/>
      <c r="AI86" s="4957"/>
      <c r="AJ86" s="5307"/>
      <c r="AK86" s="4963"/>
      <c r="AL86" s="4964"/>
      <c r="AM86" s="4964"/>
      <c r="AN86" s="4957"/>
      <c r="AO86" s="4957"/>
      <c r="AP86" s="5307"/>
      <c r="AQ86" s="4963"/>
      <c r="AR86" s="4957"/>
      <c r="AS86" s="4957"/>
      <c r="AT86" s="5307"/>
      <c r="AU86" s="4963"/>
      <c r="AV86" s="4957"/>
      <c r="AW86" s="4957"/>
      <c r="AX86" s="5307"/>
      <c r="AY86" s="4963"/>
      <c r="AZ86" s="4964"/>
      <c r="BA86" s="4964"/>
      <c r="BB86" s="5113"/>
      <c r="BC86" s="5113"/>
      <c r="BD86" s="4957"/>
      <c r="BE86" s="4957"/>
      <c r="BF86" s="26"/>
      <c r="BG86" s="26"/>
      <c r="BH86" s="26"/>
      <c r="BI86" s="26"/>
      <c r="BJ86" s="26"/>
    </row>
    <row r="87" spans="1:62" ht="15.75" x14ac:dyDescent="0.25">
      <c r="A87" s="93"/>
      <c r="B87" s="1018" t="s">
        <v>1349</v>
      </c>
      <c r="C87" s="159" t="s">
        <v>326</v>
      </c>
      <c r="D87" s="2716">
        <f>D88*D$3*24</f>
        <v>3763.1236144510149</v>
      </c>
      <c r="E87" s="1201">
        <v>2871.9149238493778</v>
      </c>
      <c r="F87" s="2716">
        <f>F88*F$3*24</f>
        <v>1116.5902167604945</v>
      </c>
      <c r="G87" s="1201">
        <v>3828.6043275515049</v>
      </c>
      <c r="H87" s="782">
        <f>+D87+F87</f>
        <v>4879.7138312115094</v>
      </c>
      <c r="I87" s="782">
        <f>+E87+G87</f>
        <v>6700.5192514008831</v>
      </c>
      <c r="J87" s="2716">
        <f>J88*J$3*24</f>
        <v>1075.178175557433</v>
      </c>
      <c r="K87" s="1201">
        <v>3573.6069560380729</v>
      </c>
      <c r="L87" s="781">
        <f t="shared" ref="L87:L91" si="527">+H87+J87</f>
        <v>5954.8920067689423</v>
      </c>
      <c r="M87" s="781">
        <f t="shared" ref="M87:M91" si="528">+I87+K87</f>
        <v>10274.126207438956</v>
      </c>
      <c r="N87" s="2716">
        <f>N88*N$3*24</f>
        <v>1115.7337316178846</v>
      </c>
      <c r="O87" s="1201">
        <v>3192.9922877678187</v>
      </c>
      <c r="P87" s="782">
        <f>+L87+N87</f>
        <v>7070.6257383868269</v>
      </c>
      <c r="Q87" s="782">
        <f t="shared" ref="Q87:Q91" si="529">+M87+O87</f>
        <v>13467.118495206774</v>
      </c>
      <c r="R87" s="2716">
        <f>R88*R$3*24</f>
        <v>1115.7337316178846</v>
      </c>
      <c r="S87" s="1201">
        <v>3133.3300290292059</v>
      </c>
      <c r="T87" s="782">
        <f>+P87+R87</f>
        <v>8186.3594700047115</v>
      </c>
      <c r="U87" s="782">
        <f t="shared" ref="U87:U91" si="530">+Q87+S87</f>
        <v>16600.448524235981</v>
      </c>
      <c r="V87" s="2716">
        <f>V88*V$3*24</f>
        <v>0</v>
      </c>
      <c r="W87" s="1201">
        <v>3972.6</v>
      </c>
      <c r="X87" s="781">
        <f t="shared" si="526"/>
        <v>2231.4674632357692</v>
      </c>
      <c r="Y87" s="781">
        <f t="shared" ref="Y87:Y93" si="531">+W87+S87+O87</f>
        <v>10298.922316797025</v>
      </c>
      <c r="Z87" s="465">
        <f t="shared" ref="Z87:Z91" si="532">+L87+X87</f>
        <v>8186.3594700047115</v>
      </c>
      <c r="AA87" s="465">
        <f t="shared" ref="AA87:AA93" si="533">+Y87+M87</f>
        <v>20573.048524235979</v>
      </c>
      <c r="AB87" s="1137"/>
      <c r="AC87" s="1201">
        <v>3019.3516235706343</v>
      </c>
      <c r="AD87" s="782"/>
      <c r="AE87" s="782">
        <f t="shared" ref="AE87:AE91" si="534">+AA87+AC87</f>
        <v>23592.400147806613</v>
      </c>
      <c r="AF87" s="1137"/>
      <c r="AG87" s="1201">
        <v>132.37758355994754</v>
      </c>
      <c r="AH87" s="782"/>
      <c r="AI87" s="782">
        <f t="shared" ref="AI87:AI91" si="535">+AE87+AG87</f>
        <v>23724.777731366561</v>
      </c>
      <c r="AJ87" s="1137"/>
      <c r="AK87" s="1201">
        <v>1395.6334968423807</v>
      </c>
      <c r="AL87" s="781"/>
      <c r="AM87" s="781">
        <f t="shared" ref="AM87:AM93" si="536">+AK87+AG87+AC87</f>
        <v>4547.3627039729627</v>
      </c>
      <c r="AN87" s="782"/>
      <c r="AO87" s="782">
        <f t="shared" ref="AO87:AO91" si="537">+AI87+AK87</f>
        <v>25120.411228208941</v>
      </c>
      <c r="AP87" s="1137"/>
      <c r="AQ87" s="1201">
        <v>2751.2</v>
      </c>
      <c r="AR87" s="782"/>
      <c r="AS87" s="782">
        <f t="shared" ref="AS87:AS91" si="538">+AO87+AQ87</f>
        <v>27871.611228208942</v>
      </c>
      <c r="AT87" s="1137"/>
      <c r="AU87" s="1201">
        <v>3071.6810124780718</v>
      </c>
      <c r="AV87" s="782"/>
      <c r="AW87" s="782">
        <f t="shared" ref="AW87:AW91" si="539">+AS87+AU87</f>
        <v>30943.292240687013</v>
      </c>
      <c r="AX87" s="1137"/>
      <c r="AY87" s="1201">
        <v>2718.2397458248502</v>
      </c>
      <c r="AZ87" s="781"/>
      <c r="BA87" s="781">
        <f t="shared" ref="BA87:BA93" si="540">+AY87+AU87+AQ87</f>
        <v>8541.1207583029209</v>
      </c>
      <c r="BB87" s="465">
        <f t="shared" si="524"/>
        <v>0</v>
      </c>
      <c r="BC87" s="465">
        <f t="shared" si="525"/>
        <v>13088.483462275883</v>
      </c>
      <c r="BD87" s="782"/>
      <c r="BE87" s="782">
        <f t="shared" ref="BE87:BE91" si="541">+AW87+AY87</f>
        <v>33661.531986511865</v>
      </c>
      <c r="BF87" s="26"/>
      <c r="BG87" s="26"/>
      <c r="BH87" s="26"/>
      <c r="BI87" s="26"/>
      <c r="BJ87" s="26"/>
    </row>
    <row r="88" spans="1:62" ht="15.6" hidden="1" x14ac:dyDescent="0.3">
      <c r="A88" s="93"/>
      <c r="B88" s="5306"/>
      <c r="C88" s="4862"/>
      <c r="D88" s="5307">
        <v>5.2265605756264097</v>
      </c>
      <c r="E88" s="4963"/>
      <c r="F88" s="5307">
        <v>1.5007933020974389</v>
      </c>
      <c r="G88" s="4963"/>
      <c r="H88" s="4957"/>
      <c r="I88" s="4957"/>
      <c r="J88" s="5307">
        <v>1.4933030216075458</v>
      </c>
      <c r="K88" s="4963"/>
      <c r="L88" s="4964"/>
      <c r="M88" s="4964"/>
      <c r="N88" s="5307">
        <v>1.49964211238963</v>
      </c>
      <c r="O88" s="4963"/>
      <c r="P88" s="4957"/>
      <c r="Q88" s="4957"/>
      <c r="R88" s="5307">
        <v>1.49964211238963</v>
      </c>
      <c r="S88" s="4963"/>
      <c r="T88" s="4957"/>
      <c r="U88" s="4957"/>
      <c r="V88" s="5307">
        <v>0</v>
      </c>
      <c r="W88" s="4963"/>
      <c r="X88" s="781">
        <f t="shared" si="526"/>
        <v>2.9992842247792599</v>
      </c>
      <c r="Y88" s="4964"/>
      <c r="Z88" s="5113"/>
      <c r="AA88" s="5113"/>
      <c r="AB88" s="5307"/>
      <c r="AC88" s="4963"/>
      <c r="AD88" s="4957"/>
      <c r="AE88" s="4957"/>
      <c r="AF88" s="5307"/>
      <c r="AG88" s="4963"/>
      <c r="AH88" s="4957"/>
      <c r="AI88" s="4957"/>
      <c r="AJ88" s="5307"/>
      <c r="AK88" s="4963"/>
      <c r="AL88" s="4964"/>
      <c r="AM88" s="4964"/>
      <c r="AN88" s="4957"/>
      <c r="AO88" s="4957"/>
      <c r="AP88" s="5307"/>
      <c r="AQ88" s="4963"/>
      <c r="AR88" s="4957"/>
      <c r="AS88" s="4957"/>
      <c r="AT88" s="5307"/>
      <c r="AU88" s="4963"/>
      <c r="AV88" s="4957"/>
      <c r="AW88" s="4957"/>
      <c r="AX88" s="5307"/>
      <c r="AY88" s="4963"/>
      <c r="AZ88" s="4964"/>
      <c r="BA88" s="4964"/>
      <c r="BB88" s="5113"/>
      <c r="BC88" s="5113"/>
      <c r="BD88" s="4957"/>
      <c r="BE88" s="4957"/>
      <c r="BF88" s="26"/>
      <c r="BG88" s="26"/>
      <c r="BH88" s="26"/>
      <c r="BI88" s="26"/>
      <c r="BJ88" s="26"/>
    </row>
    <row r="89" spans="1:62" ht="15.75" x14ac:dyDescent="0.25">
      <c r="A89" s="93"/>
      <c r="B89" s="1018" t="s">
        <v>91</v>
      </c>
      <c r="C89" s="159" t="s">
        <v>326</v>
      </c>
      <c r="D89" s="2716">
        <f>D90*D$3*24</f>
        <v>2289.9023670908255</v>
      </c>
      <c r="E89" s="1201">
        <v>1919.7050625478087</v>
      </c>
      <c r="F89" s="2716">
        <f>F90*F$3*24</f>
        <v>673.78073254620631</v>
      </c>
      <c r="G89" s="1201">
        <v>2845.3154649731773</v>
      </c>
      <c r="H89" s="782">
        <f t="shared" ref="H89:H93" si="542">+D89+F89</f>
        <v>2963.6830996370318</v>
      </c>
      <c r="I89" s="782">
        <f t="shared" ref="I89:I93" si="543">+E89+G89</f>
        <v>4765.0205275209864</v>
      </c>
      <c r="J89" s="2716">
        <f>J90*J$3*24</f>
        <v>654.25781916880749</v>
      </c>
      <c r="K89" s="1201">
        <v>2473.3741110866117</v>
      </c>
      <c r="L89" s="781">
        <f t="shared" si="527"/>
        <v>3617.9409188058394</v>
      </c>
      <c r="M89" s="781">
        <f t="shared" si="528"/>
        <v>7238.3946386075986</v>
      </c>
      <c r="N89" s="2716">
        <f>N90*N$3*24</f>
        <v>674.29810579814841</v>
      </c>
      <c r="O89" s="1201">
        <v>2485.4007884967182</v>
      </c>
      <c r="P89" s="782">
        <f>+L89+N89</f>
        <v>4292.2390246039877</v>
      </c>
      <c r="Q89" s="782">
        <f t="shared" si="529"/>
        <v>9723.7954271043163</v>
      </c>
      <c r="R89" s="2716">
        <f>R90*R$3*24</f>
        <v>674.29810579814841</v>
      </c>
      <c r="S89" s="1201">
        <v>2406.6359294407875</v>
      </c>
      <c r="T89" s="782">
        <f>+P89+R89</f>
        <v>4966.5371304021364</v>
      </c>
      <c r="U89" s="782">
        <f t="shared" si="530"/>
        <v>12130.431356545105</v>
      </c>
      <c r="V89" s="2716">
        <f>V90*V$3*24</f>
        <v>0</v>
      </c>
      <c r="W89" s="1201">
        <v>2969.9</v>
      </c>
      <c r="X89" s="781">
        <f t="shared" si="526"/>
        <v>1348.5962115962968</v>
      </c>
      <c r="Y89" s="781">
        <f t="shared" si="531"/>
        <v>7861.9367179375058</v>
      </c>
      <c r="Z89" s="465">
        <f t="shared" si="532"/>
        <v>4966.5371304021364</v>
      </c>
      <c r="AA89" s="465">
        <f t="shared" si="533"/>
        <v>15100.331356545104</v>
      </c>
      <c r="AB89" s="1137"/>
      <c r="AC89" s="1201">
        <v>2207.0267424974254</v>
      </c>
      <c r="AD89" s="782"/>
      <c r="AE89" s="782">
        <f t="shared" si="534"/>
        <v>17307.358099042529</v>
      </c>
      <c r="AF89" s="1137"/>
      <c r="AG89" s="1201">
        <v>56.879831283514164</v>
      </c>
      <c r="AH89" s="782"/>
      <c r="AI89" s="782">
        <f t="shared" si="535"/>
        <v>17364.237930326042</v>
      </c>
      <c r="AJ89" s="1137"/>
      <c r="AK89" s="1201">
        <v>1052.2775728507202</v>
      </c>
      <c r="AL89" s="781"/>
      <c r="AM89" s="781">
        <f t="shared" si="536"/>
        <v>3316.18414663166</v>
      </c>
      <c r="AN89" s="782"/>
      <c r="AO89" s="782">
        <f t="shared" si="537"/>
        <v>18416.515503176761</v>
      </c>
      <c r="AP89" s="1137"/>
      <c r="AQ89" s="1201">
        <v>1863.2</v>
      </c>
      <c r="AR89" s="782"/>
      <c r="AS89" s="782">
        <f t="shared" si="538"/>
        <v>20279.715503176762</v>
      </c>
      <c r="AT89" s="1137"/>
      <c r="AU89" s="1201">
        <v>2313.9897118753702</v>
      </c>
      <c r="AV89" s="782"/>
      <c r="AW89" s="782">
        <f t="shared" si="539"/>
        <v>22593.70521505213</v>
      </c>
      <c r="AX89" s="1137"/>
      <c r="AY89" s="1201">
        <v>1797.9179919972617</v>
      </c>
      <c r="AZ89" s="781"/>
      <c r="BA89" s="781">
        <f t="shared" si="540"/>
        <v>5975.1077038726316</v>
      </c>
      <c r="BB89" s="465">
        <f t="shared" si="524"/>
        <v>0</v>
      </c>
      <c r="BC89" s="465">
        <f t="shared" si="525"/>
        <v>9291.2918505042908</v>
      </c>
      <c r="BD89" s="782"/>
      <c r="BE89" s="782">
        <f t="shared" si="541"/>
        <v>24391.623207049393</v>
      </c>
      <c r="BF89" s="26"/>
      <c r="BG89" s="26"/>
      <c r="BH89" s="26"/>
      <c r="BI89" s="26"/>
      <c r="BJ89" s="26"/>
    </row>
    <row r="90" spans="1:62" ht="15.6" hidden="1" x14ac:dyDescent="0.3">
      <c r="A90" s="93"/>
      <c r="B90" s="5306"/>
      <c r="C90" s="4862"/>
      <c r="D90" s="5307">
        <v>3.1804199542928133</v>
      </c>
      <c r="E90" s="4963"/>
      <c r="F90" s="5307">
        <v>0.90561926417500849</v>
      </c>
      <c r="G90" s="4963"/>
      <c r="H90" s="4957"/>
      <c r="I90" s="4957"/>
      <c r="J90" s="5307">
        <v>0.90869141551223254</v>
      </c>
      <c r="K90" s="4963"/>
      <c r="L90" s="4964"/>
      <c r="M90" s="4964"/>
      <c r="N90" s="5307">
        <v>0.90631465833084468</v>
      </c>
      <c r="O90" s="4963"/>
      <c r="P90" s="4957"/>
      <c r="Q90" s="4957"/>
      <c r="R90" s="5307">
        <v>0.90631465833084468</v>
      </c>
      <c r="S90" s="4963"/>
      <c r="T90" s="4957"/>
      <c r="U90" s="4957"/>
      <c r="V90" s="5307">
        <v>0</v>
      </c>
      <c r="W90" s="4963"/>
      <c r="X90" s="781">
        <f t="shared" si="526"/>
        <v>1.8126293166616894</v>
      </c>
      <c r="Y90" s="4964"/>
      <c r="Z90" s="5113"/>
      <c r="AA90" s="5113"/>
      <c r="AB90" s="5307"/>
      <c r="AC90" s="4963"/>
      <c r="AD90" s="4957"/>
      <c r="AE90" s="4957"/>
      <c r="AF90" s="5307"/>
      <c r="AG90" s="4963"/>
      <c r="AH90" s="4957"/>
      <c r="AI90" s="4957"/>
      <c r="AJ90" s="5307"/>
      <c r="AK90" s="4963"/>
      <c r="AL90" s="4964"/>
      <c r="AM90" s="4964"/>
      <c r="AN90" s="4957"/>
      <c r="AO90" s="4957"/>
      <c r="AP90" s="5307"/>
      <c r="AQ90" s="4963"/>
      <c r="AR90" s="4957"/>
      <c r="AS90" s="4957"/>
      <c r="AT90" s="5307"/>
      <c r="AU90" s="4963"/>
      <c r="AV90" s="4957"/>
      <c r="AW90" s="4957"/>
      <c r="AX90" s="5307"/>
      <c r="AY90" s="4963"/>
      <c r="AZ90" s="4964"/>
      <c r="BA90" s="4964"/>
      <c r="BB90" s="5113"/>
      <c r="BC90" s="5113"/>
      <c r="BD90" s="4957"/>
      <c r="BE90" s="4957"/>
      <c r="BF90" s="26"/>
      <c r="BG90" s="26"/>
      <c r="BH90" s="26"/>
      <c r="BI90" s="26"/>
      <c r="BJ90" s="26"/>
    </row>
    <row r="91" spans="1:62" ht="15.75" x14ac:dyDescent="0.25">
      <c r="A91" s="93"/>
      <c r="B91" s="1018" t="s">
        <v>1350</v>
      </c>
      <c r="C91" s="159" t="s">
        <v>326</v>
      </c>
      <c r="D91" s="2716">
        <f>D92*D$3*24</f>
        <v>1506.9740184581592</v>
      </c>
      <c r="E91" s="1201">
        <v>1401.8420136028144</v>
      </c>
      <c r="F91" s="2716">
        <f>F92*F$3*24</f>
        <v>441.62905069329918</v>
      </c>
      <c r="G91" s="1201">
        <v>1946.9502074753182</v>
      </c>
      <c r="H91" s="782">
        <f t="shared" si="542"/>
        <v>1948.6030691514584</v>
      </c>
      <c r="I91" s="782">
        <f t="shared" si="543"/>
        <v>3348.7922210781326</v>
      </c>
      <c r="J91" s="2716">
        <f>J92*J$3*24</f>
        <v>430.56400527375979</v>
      </c>
      <c r="K91" s="1201">
        <v>1746.3149328753157</v>
      </c>
      <c r="L91" s="781">
        <f t="shared" si="527"/>
        <v>2379.1670744252183</v>
      </c>
      <c r="M91" s="781">
        <f t="shared" si="528"/>
        <v>5095.1071539534478</v>
      </c>
      <c r="N91" s="2716">
        <f>N92*N$3*24</f>
        <v>441.96816258396706</v>
      </c>
      <c r="O91" s="1201">
        <v>1728.6369237354629</v>
      </c>
      <c r="P91" s="782">
        <f>+L91+N91</f>
        <v>2821.1352370091854</v>
      </c>
      <c r="Q91" s="782">
        <f t="shared" si="529"/>
        <v>6823.7440776889107</v>
      </c>
      <c r="R91" s="2716">
        <f>R92*R$3*24</f>
        <v>441.96816258396706</v>
      </c>
      <c r="S91" s="1201">
        <v>1576.4889574418933</v>
      </c>
      <c r="T91" s="782">
        <f>+P91+R91</f>
        <v>3263.1033995931525</v>
      </c>
      <c r="U91" s="782">
        <f t="shared" si="530"/>
        <v>8400.2330351308046</v>
      </c>
      <c r="V91" s="2716">
        <f>V92*V$3*24</f>
        <v>0</v>
      </c>
      <c r="W91" s="1201">
        <v>2072.8000000000002</v>
      </c>
      <c r="X91" s="781">
        <f t="shared" si="526"/>
        <v>883.93632516793411</v>
      </c>
      <c r="Y91" s="781">
        <f t="shared" si="531"/>
        <v>5377.9258811773561</v>
      </c>
      <c r="Z91" s="465">
        <f t="shared" si="532"/>
        <v>3263.1033995931525</v>
      </c>
      <c r="AA91" s="465">
        <f t="shared" si="533"/>
        <v>10473.033035130804</v>
      </c>
      <c r="AB91" s="1137"/>
      <c r="AC91" s="1201">
        <v>1476.866753931941</v>
      </c>
      <c r="AD91" s="782"/>
      <c r="AE91" s="782">
        <f t="shared" si="534"/>
        <v>11949.899789062745</v>
      </c>
      <c r="AF91" s="1137"/>
      <c r="AG91" s="1201">
        <v>78.068585156538234</v>
      </c>
      <c r="AH91" s="782"/>
      <c r="AI91" s="782">
        <f t="shared" si="535"/>
        <v>12027.968374219283</v>
      </c>
      <c r="AJ91" s="1137"/>
      <c r="AK91" s="1201">
        <v>640.28193030689863</v>
      </c>
      <c r="AL91" s="781"/>
      <c r="AM91" s="781">
        <f t="shared" si="536"/>
        <v>2195.217269395378</v>
      </c>
      <c r="AN91" s="782"/>
      <c r="AO91" s="782">
        <f t="shared" si="537"/>
        <v>12668.250304526182</v>
      </c>
      <c r="AP91" s="1137"/>
      <c r="AQ91" s="1201">
        <v>1346.4</v>
      </c>
      <c r="AR91" s="782"/>
      <c r="AS91" s="782">
        <f t="shared" si="538"/>
        <v>14014.650304526182</v>
      </c>
      <c r="AT91" s="1137"/>
      <c r="AU91" s="1201">
        <v>1508.8122756465575</v>
      </c>
      <c r="AV91" s="782"/>
      <c r="AW91" s="782">
        <f t="shared" si="539"/>
        <v>15523.46258017274</v>
      </c>
      <c r="AX91" s="1137"/>
      <c r="AY91" s="1201">
        <v>1434.8882621778878</v>
      </c>
      <c r="AZ91" s="781"/>
      <c r="BA91" s="781">
        <f t="shared" si="540"/>
        <v>4290.1005378244454</v>
      </c>
      <c r="BB91" s="465">
        <f t="shared" si="524"/>
        <v>0</v>
      </c>
      <c r="BC91" s="465">
        <f t="shared" si="525"/>
        <v>6485.3178072198234</v>
      </c>
      <c r="BD91" s="782"/>
      <c r="BE91" s="782">
        <f t="shared" si="541"/>
        <v>16958.350842350628</v>
      </c>
      <c r="BF91" s="26"/>
      <c r="BG91" s="26"/>
      <c r="BH91" s="26"/>
      <c r="BI91" s="26"/>
      <c r="BJ91" s="26"/>
    </row>
    <row r="92" spans="1:62" ht="15.6" hidden="1" x14ac:dyDescent="0.3">
      <c r="A92" s="93"/>
      <c r="B92" s="5306"/>
      <c r="C92" s="4862"/>
      <c r="D92" s="5307">
        <v>2.0930194700807765</v>
      </c>
      <c r="E92" s="4963"/>
      <c r="F92" s="5307">
        <v>0.59358743372755263</v>
      </c>
      <c r="G92" s="4963"/>
      <c r="H92" s="4957"/>
      <c r="I92" s="4957"/>
      <c r="J92" s="5307">
        <v>0.59800556288022189</v>
      </c>
      <c r="K92" s="4963"/>
      <c r="L92" s="4964"/>
      <c r="M92" s="4964"/>
      <c r="N92" s="5307">
        <v>0.59404322927952558</v>
      </c>
      <c r="O92" s="4963"/>
      <c r="P92" s="4957"/>
      <c r="Q92" s="4957"/>
      <c r="R92" s="5307">
        <v>0.59404322927952558</v>
      </c>
      <c r="S92" s="4963"/>
      <c r="T92" s="4957"/>
      <c r="U92" s="4957"/>
      <c r="V92" s="5307">
        <v>0</v>
      </c>
      <c r="W92" s="4963"/>
      <c r="X92" s="781">
        <f t="shared" si="526"/>
        <v>1.1880864585590512</v>
      </c>
      <c r="Y92" s="4964"/>
      <c r="Z92" s="5113"/>
      <c r="AA92" s="5113"/>
      <c r="AB92" s="5307"/>
      <c r="AC92" s="4963"/>
      <c r="AD92" s="4957"/>
      <c r="AE92" s="4957"/>
      <c r="AF92" s="5307"/>
      <c r="AG92" s="4963"/>
      <c r="AH92" s="4957"/>
      <c r="AI92" s="4957"/>
      <c r="AJ92" s="5307"/>
      <c r="AK92" s="4963"/>
      <c r="AL92" s="4964"/>
      <c r="AM92" s="4964"/>
      <c r="AN92" s="4957"/>
      <c r="AO92" s="4957"/>
      <c r="AP92" s="5307"/>
      <c r="AQ92" s="4963"/>
      <c r="AR92" s="4957"/>
      <c r="AS92" s="4957"/>
      <c r="AT92" s="5307"/>
      <c r="AU92" s="4963"/>
      <c r="AV92" s="4957"/>
      <c r="AW92" s="4957"/>
      <c r="AX92" s="5307"/>
      <c r="AY92" s="4963"/>
      <c r="AZ92" s="4964"/>
      <c r="BA92" s="4964"/>
      <c r="BB92" s="5113"/>
      <c r="BC92" s="5113"/>
      <c r="BD92" s="4957"/>
      <c r="BE92" s="4957"/>
      <c r="BF92" s="26"/>
      <c r="BG92" s="26"/>
      <c r="BH92" s="26"/>
      <c r="BI92" s="26"/>
      <c r="BJ92" s="26"/>
    </row>
    <row r="93" spans="1:62" x14ac:dyDescent="0.25">
      <c r="A93" s="93"/>
      <c r="B93" s="1018" t="s">
        <v>54</v>
      </c>
      <c r="C93" s="159" t="s">
        <v>326</v>
      </c>
      <c r="D93" s="1134"/>
      <c r="E93" s="1201"/>
      <c r="F93" s="1134"/>
      <c r="G93" s="1201"/>
      <c r="H93" s="782">
        <f t="shared" si="542"/>
        <v>0</v>
      </c>
      <c r="I93" s="782">
        <f t="shared" si="543"/>
        <v>0</v>
      </c>
      <c r="J93" s="1134"/>
      <c r="K93" s="1201"/>
      <c r="L93" s="781">
        <f>+H93+J93</f>
        <v>0</v>
      </c>
      <c r="M93" s="946">
        <f>+I93+K93</f>
        <v>0</v>
      </c>
      <c r="N93" s="1134"/>
      <c r="O93" s="1201"/>
      <c r="P93" s="782">
        <f>+L93+N93</f>
        <v>0</v>
      </c>
      <c r="Q93" s="590">
        <f>+M93+O93</f>
        <v>0</v>
      </c>
      <c r="R93" s="1134"/>
      <c r="S93" s="1201"/>
      <c r="T93" s="782">
        <f>+P93+R93</f>
        <v>0</v>
      </c>
      <c r="U93" s="590">
        <f>+Q93+S93</f>
        <v>0</v>
      </c>
      <c r="V93" s="1134"/>
      <c r="W93" s="1201"/>
      <c r="X93" s="781">
        <f t="shared" si="526"/>
        <v>0</v>
      </c>
      <c r="Y93" s="781">
        <f t="shared" si="531"/>
        <v>0</v>
      </c>
      <c r="Z93" s="465">
        <f>+L93+X93</f>
        <v>0</v>
      </c>
      <c r="AA93" s="465">
        <f t="shared" si="533"/>
        <v>0</v>
      </c>
      <c r="AB93" s="1134"/>
      <c r="AC93" s="1201">
        <v>0</v>
      </c>
      <c r="AD93" s="782">
        <f>+Z93+AB93</f>
        <v>0</v>
      </c>
      <c r="AE93" s="590">
        <f>+AA93+AC93</f>
        <v>0</v>
      </c>
      <c r="AF93" s="1134"/>
      <c r="AG93" s="1201"/>
      <c r="AH93" s="782">
        <f>+AD93+AF93</f>
        <v>0</v>
      </c>
      <c r="AI93" s="590">
        <f>+AE93+AG93</f>
        <v>0</v>
      </c>
      <c r="AJ93" s="1134"/>
      <c r="AK93" s="1201"/>
      <c r="AL93" s="781">
        <f>+AJ93+AF93+AB93</f>
        <v>0</v>
      </c>
      <c r="AM93" s="781">
        <f t="shared" si="536"/>
        <v>0</v>
      </c>
      <c r="AN93" s="782">
        <f>+AH93+AJ93</f>
        <v>0</v>
      </c>
      <c r="AO93" s="590">
        <f>+AI93+AK93</f>
        <v>0</v>
      </c>
      <c r="AP93" s="1134"/>
      <c r="AQ93" s="1201"/>
      <c r="AR93" s="782">
        <f>+AN93+AP93</f>
        <v>0</v>
      </c>
      <c r="AS93" s="590">
        <f>+AO93+AQ93</f>
        <v>0</v>
      </c>
      <c r="AT93" s="1134"/>
      <c r="AU93" s="1201"/>
      <c r="AV93" s="782">
        <f>+AR93+AT93</f>
        <v>0</v>
      </c>
      <c r="AW93" s="590">
        <f>+AS93+AU93</f>
        <v>0</v>
      </c>
      <c r="AX93" s="1134"/>
      <c r="AY93" s="1201"/>
      <c r="AZ93" s="781">
        <f>+AX93+AT93+AP93</f>
        <v>0</v>
      </c>
      <c r="BA93" s="781">
        <f t="shared" si="540"/>
        <v>0</v>
      </c>
      <c r="BB93" s="465">
        <f t="shared" si="524"/>
        <v>0</v>
      </c>
      <c r="BC93" s="465">
        <f t="shared" si="525"/>
        <v>0</v>
      </c>
      <c r="BD93" s="782">
        <f>+AV93+AX93</f>
        <v>0</v>
      </c>
      <c r="BE93" s="590">
        <f>+AW93+AY93</f>
        <v>0</v>
      </c>
      <c r="BF93" s="26"/>
      <c r="BG93" s="26"/>
      <c r="BH93" s="26"/>
      <c r="BI93" s="26"/>
      <c r="BJ93" s="26"/>
    </row>
    <row r="94" spans="1:62" ht="18.75" x14ac:dyDescent="0.25">
      <c r="A94" s="93"/>
      <c r="B94" s="1032" t="s">
        <v>61</v>
      </c>
      <c r="C94" s="1017" t="s">
        <v>326</v>
      </c>
      <c r="D94" s="621">
        <f>D85+D87+D89+D91+D93</f>
        <v>14226.628895184136</v>
      </c>
      <c r="E94" s="648">
        <f t="shared" ref="E94:G94" si="544">SUM(E85:E93)</f>
        <v>11375.146000000001</v>
      </c>
      <c r="F94" s="621">
        <f>F85+F87+F89+F91+F93</f>
        <v>14679.886685552407</v>
      </c>
      <c r="G94" s="648">
        <f t="shared" si="544"/>
        <v>13088.434000000001</v>
      </c>
      <c r="H94" s="649">
        <f t="shared" ref="H94:AE94" si="545">SUM(H85:H93)</f>
        <v>28906.515580736541</v>
      </c>
      <c r="I94" s="649">
        <f t="shared" si="545"/>
        <v>24463.58</v>
      </c>
      <c r="J94" s="621">
        <f>J85+J87+J89+J91+J93</f>
        <v>14226.62889518414</v>
      </c>
      <c r="K94" s="648">
        <f t="shared" ref="K94" si="546">SUM(K85:K93)</f>
        <v>14495.507</v>
      </c>
      <c r="L94" s="650">
        <f t="shared" si="545"/>
        <v>43133.144475920686</v>
      </c>
      <c r="M94" s="650">
        <f t="shared" si="545"/>
        <v>38959.087</v>
      </c>
      <c r="N94" s="621">
        <f>N85+N87+N89+N91+N93</f>
        <v>14396.600566572239</v>
      </c>
      <c r="O94" s="648">
        <f t="shared" ref="O94" si="547">SUM(O85:O93)</f>
        <v>12713.813999999998</v>
      </c>
      <c r="P94" s="649">
        <f t="shared" si="545"/>
        <v>57529.745042492919</v>
      </c>
      <c r="Q94" s="649">
        <f t="shared" si="545"/>
        <v>51672.900999999998</v>
      </c>
      <c r="R94" s="621">
        <f>R85+R87+R89+R91+R93</f>
        <v>14396.600566572239</v>
      </c>
      <c r="S94" s="648">
        <f t="shared" ref="S94" si="548">SUM(S85:S93)</f>
        <v>9136.2305695109899</v>
      </c>
      <c r="T94" s="649">
        <f t="shared" ref="T94:U94" si="549">SUM(T85:T93)</f>
        <v>71926.34560906516</v>
      </c>
      <c r="U94" s="649">
        <f t="shared" si="549"/>
        <v>60809.131569510995</v>
      </c>
      <c r="V94" s="621">
        <f>V85+V87+V89+V91+V93</f>
        <v>7555.2407932011338</v>
      </c>
      <c r="W94" s="648">
        <f t="shared" ref="W94" si="550">SUM(W85:W93)</f>
        <v>9602</v>
      </c>
      <c r="X94" s="650">
        <f t="shared" si="545"/>
        <v>36397.635855493623</v>
      </c>
      <c r="Y94" s="650">
        <f t="shared" si="545"/>
        <v>31452.044569510988</v>
      </c>
      <c r="Z94" s="651">
        <f t="shared" si="545"/>
        <v>79481.586402266286</v>
      </c>
      <c r="AA94" s="651">
        <f t="shared" si="545"/>
        <v>70411.131569510981</v>
      </c>
      <c r="AB94" s="621">
        <f t="shared" si="545"/>
        <v>14129.433962264153</v>
      </c>
      <c r="AC94" s="648">
        <f t="shared" si="545"/>
        <v>13153.833710000001</v>
      </c>
      <c r="AD94" s="649">
        <f t="shared" si="545"/>
        <v>77195.020364530443</v>
      </c>
      <c r="AE94" s="649">
        <f t="shared" si="545"/>
        <v>83564.965279510987</v>
      </c>
      <c r="AF94" s="621">
        <f t="shared" ref="AF94:AI94" si="551">SUM(AF85:AF93)</f>
        <v>13676.603773584906</v>
      </c>
      <c r="AG94" s="648">
        <f t="shared" si="551"/>
        <v>378.4319999999999</v>
      </c>
      <c r="AH94" s="649">
        <f t="shared" si="551"/>
        <v>90871.624138115352</v>
      </c>
      <c r="AI94" s="649">
        <f t="shared" si="551"/>
        <v>83943.397279510988</v>
      </c>
      <c r="AJ94" s="621">
        <f t="shared" ref="AJ94:AK94" si="552">SUM(AJ85:AJ93)</f>
        <v>14129.433962264153</v>
      </c>
      <c r="AK94" s="648">
        <f t="shared" si="552"/>
        <v>13960.716000000004</v>
      </c>
      <c r="AL94" s="650">
        <f t="shared" ref="AL94:AQ94" si="553">SUM(AL85:AL93)</f>
        <v>41935.471698113208</v>
      </c>
      <c r="AM94" s="650">
        <f t="shared" si="553"/>
        <v>27492.98171</v>
      </c>
      <c r="AN94" s="649">
        <f t="shared" si="553"/>
        <v>105001.05810037951</v>
      </c>
      <c r="AO94" s="649">
        <f t="shared" si="553"/>
        <v>97904.113279511002</v>
      </c>
      <c r="AP94" s="621">
        <f t="shared" si="553"/>
        <v>14129.433962264153</v>
      </c>
      <c r="AQ94" s="648">
        <f t="shared" si="553"/>
        <v>15642.000000000002</v>
      </c>
      <c r="AR94" s="649">
        <f t="shared" ref="AR94:AU94" si="554">SUM(AR85:AR93)</f>
        <v>119130.49206264367</v>
      </c>
      <c r="AS94" s="649">
        <f t="shared" si="554"/>
        <v>113546.11327951099</v>
      </c>
      <c r="AT94" s="621">
        <f t="shared" si="554"/>
        <v>12714.339622641512</v>
      </c>
      <c r="AU94" s="648">
        <f t="shared" si="554"/>
        <v>13899.003000000001</v>
      </c>
      <c r="AV94" s="649">
        <f t="shared" ref="AV94:AY94" si="555">SUM(AV85:AV93)</f>
        <v>131844.83168528517</v>
      </c>
      <c r="AW94" s="649">
        <f t="shared" si="555"/>
        <v>127445.11627951098</v>
      </c>
      <c r="AX94" s="621">
        <f t="shared" si="555"/>
        <v>14129.433962264153</v>
      </c>
      <c r="AY94" s="648">
        <f t="shared" si="555"/>
        <v>15797.633999999998</v>
      </c>
      <c r="AZ94" s="650">
        <f t="shared" ref="AZ94:BE94" si="556">SUM(AZ85:AZ93)</f>
        <v>40973.207547169819</v>
      </c>
      <c r="BA94" s="650">
        <f t="shared" si="556"/>
        <v>45338.636999999995</v>
      </c>
      <c r="BB94" s="651">
        <f t="shared" si="556"/>
        <v>82908.679245283027</v>
      </c>
      <c r="BC94" s="651">
        <f t="shared" si="556"/>
        <v>72831.618709999995</v>
      </c>
      <c r="BD94" s="649">
        <f t="shared" si="556"/>
        <v>145974.26564754933</v>
      </c>
      <c r="BE94" s="649">
        <f t="shared" si="556"/>
        <v>143242.75027951098</v>
      </c>
      <c r="BF94" s="26"/>
      <c r="BG94" s="26"/>
      <c r="BH94" s="26"/>
      <c r="BI94" s="26"/>
      <c r="BJ94" s="26"/>
    </row>
    <row r="95" spans="1:62" ht="20.25" x14ac:dyDescent="0.25">
      <c r="A95" s="93"/>
      <c r="B95" s="1019" t="s">
        <v>128</v>
      </c>
      <c r="C95" s="1019"/>
      <c r="D95" s="1014"/>
      <c r="E95" s="1019"/>
      <c r="F95" s="1014"/>
      <c r="G95" s="1019"/>
      <c r="H95" s="1019"/>
      <c r="I95" s="1019"/>
      <c r="J95" s="1014"/>
      <c r="K95" s="1019"/>
      <c r="L95" s="1019"/>
      <c r="M95" s="1019"/>
      <c r="N95" s="1014"/>
      <c r="O95" s="1019"/>
      <c r="P95" s="1019"/>
      <c r="Q95" s="1019"/>
      <c r="R95" s="1014"/>
      <c r="S95" s="1019"/>
      <c r="T95" s="1019"/>
      <c r="U95" s="1019"/>
      <c r="V95" s="1014"/>
      <c r="W95" s="1019"/>
      <c r="X95" s="1019"/>
      <c r="Y95" s="1019"/>
      <c r="Z95" s="1019"/>
      <c r="AA95" s="1019"/>
      <c r="AB95" s="1014"/>
      <c r="AC95" s="1019"/>
      <c r="AD95" s="1019"/>
      <c r="AE95" s="1019"/>
      <c r="AF95" s="1014"/>
      <c r="AG95" s="1019"/>
      <c r="AH95" s="1019"/>
      <c r="AI95" s="1019"/>
      <c r="AJ95" s="1014"/>
      <c r="AK95" s="1019"/>
      <c r="AL95" s="1019"/>
      <c r="AM95" s="1019"/>
      <c r="AN95" s="1019"/>
      <c r="AO95" s="1019"/>
      <c r="AP95" s="1014"/>
      <c r="AQ95" s="1019"/>
      <c r="AR95" s="1019"/>
      <c r="AS95" s="1019"/>
      <c r="AT95" s="1014"/>
      <c r="AU95" s="1019"/>
      <c r="AV95" s="1019"/>
      <c r="AW95" s="1019"/>
      <c r="AX95" s="1014"/>
      <c r="AY95" s="1019"/>
      <c r="AZ95" s="1019"/>
      <c r="BA95" s="1019"/>
      <c r="BB95" s="1019"/>
      <c r="BC95" s="1019"/>
      <c r="BD95" s="1019"/>
      <c r="BE95" s="1019"/>
      <c r="BF95" s="26"/>
      <c r="BG95" s="26"/>
      <c r="BH95" s="26"/>
      <c r="BI95" s="26"/>
      <c r="BJ95" s="26"/>
    </row>
    <row r="96" spans="1:62" x14ac:dyDescent="0.25">
      <c r="B96" s="1016" t="s">
        <v>330</v>
      </c>
      <c r="C96" s="159" t="s">
        <v>329</v>
      </c>
      <c r="D96" s="205">
        <v>8000</v>
      </c>
      <c r="E96" s="1201">
        <v>8036.5204192648926</v>
      </c>
      <c r="F96" s="205">
        <v>8000</v>
      </c>
      <c r="G96" s="1201">
        <v>8037.7</v>
      </c>
      <c r="H96" s="590">
        <v>8000</v>
      </c>
      <c r="I96" s="782">
        <f>+((E96*E114)+(G96*G114))/I114</f>
        <v>8037.1209645087602</v>
      </c>
      <c r="J96" s="205">
        <v>8000</v>
      </c>
      <c r="K96" s="1201">
        <v>8036.5204192648926</v>
      </c>
      <c r="L96" s="946">
        <v>8000</v>
      </c>
      <c r="M96" s="781">
        <f>+((I96*I114)+(K96*K114))/M114</f>
        <v>8036.9238071397695</v>
      </c>
      <c r="N96" s="205">
        <v>8000</v>
      </c>
      <c r="O96" s="1201">
        <v>8036.5204192648926</v>
      </c>
      <c r="P96" s="590">
        <v>8000</v>
      </c>
      <c r="Q96" s="782">
        <f>+((M96*M114)+(O96*O114))/Q114</f>
        <v>8036.8197810143438</v>
      </c>
      <c r="R96" s="205">
        <v>8000</v>
      </c>
      <c r="S96" s="1201">
        <v>8031.9</v>
      </c>
      <c r="T96" s="590">
        <v>8000</v>
      </c>
      <c r="U96" s="782">
        <f>+((Q96*Q114)+(S96*S114))/U114</f>
        <v>8035.8266985447372</v>
      </c>
      <c r="V96" s="205">
        <v>8000</v>
      </c>
      <c r="W96" s="1201">
        <v>8031.9</v>
      </c>
      <c r="X96" s="946">
        <v>8000</v>
      </c>
      <c r="Y96" s="781">
        <f>+((O96*O114)+(S96*S114)+(W96*W114))/Y114</f>
        <v>8033.4421308684696</v>
      </c>
      <c r="Z96" s="465">
        <v>8000</v>
      </c>
      <c r="AA96" s="465">
        <f>+((M96*M114)+(Y96*Y114))/AA114</f>
        <v>8035.1478874425466</v>
      </c>
      <c r="AB96" s="205">
        <v>8000</v>
      </c>
      <c r="AC96" s="1201">
        <v>8027.4870000000001</v>
      </c>
      <c r="AD96" s="590">
        <v>8000</v>
      </c>
      <c r="AE96" s="782">
        <f>+((AA96*AA114)+(AC96*AC114))/AE114</f>
        <v>8034.0337915241407</v>
      </c>
      <c r="AF96" s="205">
        <v>8000</v>
      </c>
      <c r="AG96" s="1201">
        <v>8031.1270000000004</v>
      </c>
      <c r="AH96" s="590">
        <v>8000</v>
      </c>
      <c r="AI96" s="782">
        <f>+((AE96*AE114)+(AG96*AG114))/AI114</f>
        <v>8033.6800080443891</v>
      </c>
      <c r="AJ96" s="205">
        <v>8000</v>
      </c>
      <c r="AK96" s="1201">
        <v>8034.3110443877404</v>
      </c>
      <c r="AL96" s="946">
        <v>8000</v>
      </c>
      <c r="AM96" s="781">
        <f>+((AC96*AC114)+(AG96*AG114)+(AK96*AK114))/AM114</f>
        <v>8030.9496200274534</v>
      </c>
      <c r="AN96" s="590">
        <v>8000</v>
      </c>
      <c r="AO96" s="782">
        <f>+((AI96*AI114)+(AK96*AK114))/AO114</f>
        <v>8033.7501976904523</v>
      </c>
      <c r="AP96" s="205">
        <v>8000</v>
      </c>
      <c r="AQ96" s="1201">
        <v>8031.9</v>
      </c>
      <c r="AR96" s="590">
        <v>8000</v>
      </c>
      <c r="AS96" s="782">
        <f>+((AO96*AO114)+(AQ96*AQ114))/AS114</f>
        <v>8033.5633047430447</v>
      </c>
      <c r="AT96" s="205">
        <v>8000</v>
      </c>
      <c r="AU96" s="1201">
        <v>8028.8387157418047</v>
      </c>
      <c r="AV96" s="590">
        <v>8000</v>
      </c>
      <c r="AW96" s="782">
        <f>+((AS96*AS114)+(AU96*AU114))/AW114</f>
        <v>8033.1717913577895</v>
      </c>
      <c r="AX96" s="205">
        <v>8000</v>
      </c>
      <c r="AY96" s="1201">
        <v>8032.4817889469914</v>
      </c>
      <c r="AZ96" s="946">
        <v>8000</v>
      </c>
      <c r="BA96" s="781">
        <f>+((AQ96*AQ114)+(AU96*AU114)+(AY96*AY114))/BA114</f>
        <v>8031.1483248820323</v>
      </c>
      <c r="BB96" s="465">
        <v>8000</v>
      </c>
      <c r="BC96" s="465">
        <f>+((AM96*AM114)+(BA96*BA114))/BC114</f>
        <v>8031.0475638944818</v>
      </c>
      <c r="BD96" s="590">
        <v>8000</v>
      </c>
      <c r="BE96" s="782">
        <f>+((AW96*AW114)+(AY96*AY114))/BE114</f>
        <v>8033.1140606829085</v>
      </c>
      <c r="BF96" s="26"/>
      <c r="BG96" s="26"/>
      <c r="BH96" s="26"/>
      <c r="BI96" s="26"/>
      <c r="BJ96" s="26"/>
    </row>
    <row r="97" spans="2:62" ht="18.75" x14ac:dyDescent="0.25">
      <c r="B97" s="584" t="s">
        <v>338</v>
      </c>
      <c r="C97" s="584"/>
      <c r="D97" s="269"/>
      <c r="E97" s="584"/>
      <c r="F97" s="269"/>
      <c r="G97" s="584"/>
      <c r="H97" s="584"/>
      <c r="I97" s="584"/>
      <c r="J97" s="269"/>
      <c r="K97" s="584"/>
      <c r="L97" s="584"/>
      <c r="M97" s="584"/>
      <c r="N97" s="269"/>
      <c r="O97" s="584"/>
      <c r="P97" s="584"/>
      <c r="Q97" s="584"/>
      <c r="R97" s="269"/>
      <c r="S97" s="584"/>
      <c r="T97" s="584"/>
      <c r="U97" s="584"/>
      <c r="V97" s="269"/>
      <c r="W97" s="584"/>
      <c r="X97" s="584"/>
      <c r="Y97" s="584"/>
      <c r="Z97" s="584"/>
      <c r="AA97" s="584"/>
      <c r="AB97" s="269"/>
      <c r="AC97" s="584"/>
      <c r="AD97" s="584"/>
      <c r="AE97" s="584"/>
      <c r="AF97" s="269"/>
      <c r="AG97" s="584"/>
      <c r="AH97" s="584"/>
      <c r="AI97" s="584"/>
      <c r="AJ97" s="269"/>
      <c r="AK97" s="584"/>
      <c r="AL97" s="584"/>
      <c r="AM97" s="584"/>
      <c r="AN97" s="584"/>
      <c r="AO97" s="584"/>
      <c r="AP97" s="269"/>
      <c r="AQ97" s="584"/>
      <c r="AR97" s="584"/>
      <c r="AS97" s="584"/>
      <c r="AT97" s="269"/>
      <c r="AU97" s="584"/>
      <c r="AV97" s="584"/>
      <c r="AW97" s="584"/>
      <c r="AX97" s="269"/>
      <c r="AY97" s="584"/>
      <c r="AZ97" s="584"/>
      <c r="BA97" s="584"/>
      <c r="BB97" s="584"/>
      <c r="BC97" s="584"/>
      <c r="BD97" s="584"/>
      <c r="BE97" s="584"/>
      <c r="BF97" s="26"/>
      <c r="BG97" s="26"/>
      <c r="BH97" s="26"/>
      <c r="BI97" s="26"/>
      <c r="BJ97" s="26"/>
    </row>
    <row r="98" spans="2:62" x14ac:dyDescent="0.25">
      <c r="B98" s="1018" t="s">
        <v>122</v>
      </c>
      <c r="C98" s="159" t="s">
        <v>327</v>
      </c>
      <c r="D98" s="1134">
        <f>D99*D$3*24</f>
        <v>74.488776007516861</v>
      </c>
      <c r="E98" s="1201">
        <v>594.75273784974695</v>
      </c>
      <c r="F98" s="1134">
        <f>F99*F$3*24</f>
        <v>412.23387887463844</v>
      </c>
      <c r="G98" s="1201">
        <v>291.92941536766227</v>
      </c>
      <c r="H98" s="782">
        <f>+D98+F98</f>
        <v>486.72265488215533</v>
      </c>
      <c r="I98" s="782">
        <f>+E98+G98</f>
        <v>886.68215321740922</v>
      </c>
      <c r="J98" s="1134">
        <f>J99*J$3*24</f>
        <v>455.06742769291083</v>
      </c>
      <c r="K98" s="1201">
        <v>129.99281012881951</v>
      </c>
      <c r="L98" s="781">
        <f>+H98+J98</f>
        <v>941.79008257506621</v>
      </c>
      <c r="M98" s="781">
        <f>+I98+K98</f>
        <v>1016.6749633462288</v>
      </c>
      <c r="N98" s="1134">
        <f>N99*N$3*24</f>
        <v>417.0357435721931</v>
      </c>
      <c r="O98" s="1201">
        <v>20.372773784355161</v>
      </c>
      <c r="P98" s="782">
        <f>+L98+N98</f>
        <v>1358.8258261472592</v>
      </c>
      <c r="Q98" s="782">
        <f>+M98+O98</f>
        <v>1037.047737130584</v>
      </c>
      <c r="R98" s="1134">
        <f>R99*R$3*24</f>
        <v>417.0357435721931</v>
      </c>
      <c r="S98" s="1201">
        <v>330.82390125717183</v>
      </c>
      <c r="T98" s="782">
        <f>+P98+R98</f>
        <v>1775.8615697194523</v>
      </c>
      <c r="U98" s="782">
        <f>+Q98+S98</f>
        <v>1367.8716383877559</v>
      </c>
      <c r="V98" s="1134">
        <f>V99*V$3*24</f>
        <v>1991.9208041529209</v>
      </c>
      <c r="W98" s="1201">
        <v>187.19399999999999</v>
      </c>
      <c r="X98" s="781">
        <f t="shared" ref="X98:X112" si="557">+V98+R98+N98</f>
        <v>2825.992291297307</v>
      </c>
      <c r="Y98" s="781">
        <f t="shared" ref="Y98:Y112" si="558">+W98+S98+O98</f>
        <v>538.39067504152695</v>
      </c>
      <c r="Z98" s="465">
        <f t="shared" ref="Z98:Z112" si="559">+L98+X98</f>
        <v>3767.7823738723732</v>
      </c>
      <c r="AA98" s="465">
        <f t="shared" ref="AA98:AA112" si="560">+Y98+M98</f>
        <v>1555.0656383877558</v>
      </c>
      <c r="AB98" s="1134">
        <f>AB99*AB$3*24</f>
        <v>658.91092441016519</v>
      </c>
      <c r="AC98" s="1201">
        <v>460.22640577526175</v>
      </c>
      <c r="AD98" s="782">
        <f>+Z98+AB98</f>
        <v>4426.6932982825383</v>
      </c>
      <c r="AE98" s="782">
        <f>+AA98+AC98</f>
        <v>2015.2920441630176</v>
      </c>
      <c r="AF98" s="1134">
        <f>AF99*AF$3*24</f>
        <v>643.63822486329082</v>
      </c>
      <c r="AG98" s="1201">
        <v>2767.4195944229614</v>
      </c>
      <c r="AH98" s="782">
        <f>+AD98+AF98</f>
        <v>5070.3315231458291</v>
      </c>
      <c r="AI98" s="782">
        <f>+AE98+AG98</f>
        <v>4782.711638585979</v>
      </c>
      <c r="AJ98" s="1134">
        <f>AJ99*AJ$3*24</f>
        <v>658.91092441016519</v>
      </c>
      <c r="AK98" s="1201">
        <v>373.85034675559257</v>
      </c>
      <c r="AL98" s="781">
        <f t="shared" ref="AL98" si="561">+AJ98+AF98+AB98</f>
        <v>1961.460073683621</v>
      </c>
      <c r="AM98" s="781">
        <f t="shared" ref="AM98" si="562">+AK98+AG98+AC98</f>
        <v>3601.4963469538156</v>
      </c>
      <c r="AN98" s="782">
        <f>+AH98+AJ98</f>
        <v>5729.2424475559947</v>
      </c>
      <c r="AO98" s="782">
        <f>+AI98+AK98</f>
        <v>5156.5619853415719</v>
      </c>
      <c r="AP98" s="1134">
        <f>AP99*AP$3*24</f>
        <v>658.91092441016519</v>
      </c>
      <c r="AQ98" s="1201">
        <v>163.852</v>
      </c>
      <c r="AR98" s="782">
        <f>+AN98+AP98</f>
        <v>6388.1533719661602</v>
      </c>
      <c r="AS98" s="782">
        <f>+AO98+AQ98</f>
        <v>5320.4139853415718</v>
      </c>
      <c r="AT98" s="1134">
        <f>AT99*AT$3*24</f>
        <v>626.59316972734746</v>
      </c>
      <c r="AU98" s="1201">
        <v>115.31085070903681</v>
      </c>
      <c r="AV98" s="782">
        <f>+AR98+AT98</f>
        <v>7014.7465416935074</v>
      </c>
      <c r="AW98" s="782">
        <f>+AS98+AU98</f>
        <v>5435.7248360506082</v>
      </c>
      <c r="AX98" s="1134">
        <f>AX99*AX$3*24</f>
        <v>497.04928075771431</v>
      </c>
      <c r="AY98" s="1201">
        <v>94.311730352475649</v>
      </c>
      <c r="AZ98" s="781">
        <f t="shared" ref="AZ98" si="563">+AX98+AT98+AP98</f>
        <v>1782.5533748952271</v>
      </c>
      <c r="BA98" s="781">
        <f t="shared" ref="BA98" si="564">+AY98+AU98+AQ98</f>
        <v>373.47458106151248</v>
      </c>
      <c r="BB98" s="465">
        <f t="shared" ref="BB98:BB112" si="565">+AL98+AZ98</f>
        <v>3744.0134485788481</v>
      </c>
      <c r="BC98" s="465">
        <f t="shared" ref="BC98:BC112" si="566">+AM98+BA98</f>
        <v>3974.9709280153284</v>
      </c>
      <c r="BD98" s="782">
        <f>+AV98+AX98</f>
        <v>7511.7958224512222</v>
      </c>
      <c r="BE98" s="782">
        <f>+AW98+AY98</f>
        <v>5530.0365664030842</v>
      </c>
      <c r="BF98" s="26"/>
      <c r="BG98" s="26"/>
      <c r="BH98" s="26"/>
      <c r="BI98" s="26"/>
      <c r="BJ98" s="26"/>
    </row>
    <row r="99" spans="2:62" ht="15.75" hidden="1" customHeight="1" x14ac:dyDescent="0.3">
      <c r="B99" s="1018"/>
      <c r="C99" s="159"/>
      <c r="D99" s="1688">
        <v>0.10345663334377342</v>
      </c>
      <c r="E99" s="1201"/>
      <c r="F99" s="1688">
        <v>0.55407779418634195</v>
      </c>
      <c r="G99" s="1201"/>
      <c r="H99" s="782"/>
      <c r="I99" s="782"/>
      <c r="J99" s="1688">
        <v>0.63203809401793176</v>
      </c>
      <c r="K99" s="1201"/>
      <c r="L99" s="781"/>
      <c r="M99" s="781"/>
      <c r="N99" s="1688">
        <v>0.5605319134034854</v>
      </c>
      <c r="O99" s="1201"/>
      <c r="P99" s="782"/>
      <c r="Q99" s="782"/>
      <c r="R99" s="1688">
        <v>0.5605319134034854</v>
      </c>
      <c r="S99" s="1201"/>
      <c r="T99" s="782"/>
      <c r="U99" s="782"/>
      <c r="V99" s="1688">
        <v>2.7665566724346125</v>
      </c>
      <c r="W99" s="1201"/>
      <c r="X99" s="781"/>
      <c r="Y99" s="781"/>
      <c r="Z99" s="465"/>
      <c r="AA99" s="465"/>
      <c r="AB99" s="1688">
        <v>0.88563296291688864</v>
      </c>
      <c r="AC99" s="1201"/>
      <c r="AD99" s="782"/>
      <c r="AE99" s="782"/>
      <c r="AF99" s="1688">
        <v>0.89394197897679284</v>
      </c>
      <c r="AG99" s="1201"/>
      <c r="AH99" s="782"/>
      <c r="AI99" s="782"/>
      <c r="AJ99" s="1688">
        <v>0.88563296291688864</v>
      </c>
      <c r="AK99" s="1201"/>
      <c r="AL99" s="781"/>
      <c r="AM99" s="781"/>
      <c r="AN99" s="782"/>
      <c r="AO99" s="782"/>
      <c r="AP99" s="1688">
        <v>0.88563296291688864</v>
      </c>
      <c r="AQ99" s="1201"/>
      <c r="AR99" s="782"/>
      <c r="AS99" s="782"/>
      <c r="AT99" s="1688">
        <v>0.93243031209426697</v>
      </c>
      <c r="AU99" s="1201"/>
      <c r="AV99" s="782"/>
      <c r="AW99" s="782"/>
      <c r="AX99" s="1688">
        <v>0.66807699026574507</v>
      </c>
      <c r="AY99" s="1201"/>
      <c r="AZ99" s="781"/>
      <c r="BA99" s="781"/>
      <c r="BB99" s="465">
        <f t="shared" si="565"/>
        <v>0</v>
      </c>
      <c r="BC99" s="465">
        <f t="shared" si="566"/>
        <v>0</v>
      </c>
      <c r="BD99" s="782"/>
      <c r="BE99" s="782"/>
      <c r="BF99" s="26"/>
      <c r="BG99" s="26"/>
      <c r="BH99" s="26"/>
      <c r="BI99" s="26"/>
      <c r="BJ99" s="26"/>
    </row>
    <row r="100" spans="2:62" x14ac:dyDescent="0.25">
      <c r="B100" s="1018" t="s">
        <v>514</v>
      </c>
      <c r="C100" s="159" t="s">
        <v>1098</v>
      </c>
      <c r="D100" s="1134">
        <f>D101*D$3*24</f>
        <v>144</v>
      </c>
      <c r="E100" s="1201">
        <v>132.76955602536992</v>
      </c>
      <c r="F100" s="1134">
        <f>F101*F$3*24</f>
        <v>148.80000000000001</v>
      </c>
      <c r="G100" s="1201">
        <v>150.31712473572932</v>
      </c>
      <c r="H100" s="782">
        <f>+D100+F100</f>
        <v>292.8</v>
      </c>
      <c r="I100" s="782">
        <f>+E100+G100</f>
        <v>283.08668076109927</v>
      </c>
      <c r="J100" s="1134">
        <f>J101*J$3*24</f>
        <v>144</v>
      </c>
      <c r="K100" s="1201">
        <v>149.89429175475678</v>
      </c>
      <c r="L100" s="781">
        <f>+H100+J100</f>
        <v>436.8</v>
      </c>
      <c r="M100" s="781">
        <f>+I100+K100</f>
        <v>432.98097251585602</v>
      </c>
      <c r="N100" s="1134">
        <f>N101*N$3*24</f>
        <v>148.80000000000001</v>
      </c>
      <c r="O100" s="1201">
        <v>155.42786892177588</v>
      </c>
      <c r="P100" s="782">
        <f>+L100+N100</f>
        <v>585.6</v>
      </c>
      <c r="Q100" s="782">
        <f>+M100+O100</f>
        <v>588.40884143763196</v>
      </c>
      <c r="R100" s="1134">
        <f>R101*R$3*24</f>
        <v>148.80000000000001</v>
      </c>
      <c r="S100" s="1201">
        <v>152.11416490486252</v>
      </c>
      <c r="T100" s="782">
        <f>+P100+R100</f>
        <v>734.40000000000009</v>
      </c>
      <c r="U100" s="782">
        <f>+Q100+S100</f>
        <v>740.52300634249445</v>
      </c>
      <c r="V100" s="1134">
        <f>V101*V$3*24</f>
        <v>144</v>
      </c>
      <c r="W100" s="1201">
        <v>150.63399999999999</v>
      </c>
      <c r="X100" s="781">
        <f t="shared" si="557"/>
        <v>441.6</v>
      </c>
      <c r="Y100" s="781">
        <f t="shared" si="558"/>
        <v>458.17603382663839</v>
      </c>
      <c r="Z100" s="465">
        <f t="shared" si="559"/>
        <v>878.40000000000009</v>
      </c>
      <c r="AA100" s="465">
        <f t="shared" si="560"/>
        <v>891.15700634249447</v>
      </c>
      <c r="AB100" s="1134">
        <f>AB101*AB$3*24</f>
        <v>148.80000000000001</v>
      </c>
      <c r="AC100" s="1201">
        <v>152.64270613107814</v>
      </c>
      <c r="AD100" s="782">
        <f>+Z100+AB100</f>
        <v>1027.2</v>
      </c>
      <c r="AE100" s="782">
        <f>+AA100+AC100</f>
        <v>1043.7997124735725</v>
      </c>
      <c r="AF100" s="1134">
        <f>AF101*AF$3*24</f>
        <v>144</v>
      </c>
      <c r="AG100" s="1201">
        <v>5.0739957716701909</v>
      </c>
      <c r="AH100" s="782">
        <f>+AD100+AF100</f>
        <v>1171.2</v>
      </c>
      <c r="AI100" s="782">
        <f>+AE100+AG100</f>
        <v>1048.8737082452428</v>
      </c>
      <c r="AJ100" s="1134">
        <f>AJ101*AJ$3*24</f>
        <v>148.80000000000001</v>
      </c>
      <c r="AK100" s="1201">
        <v>157.29386892177578</v>
      </c>
      <c r="AL100" s="781">
        <f t="shared" ref="AL100" si="567">+AJ100+AF100+AB100</f>
        <v>441.6</v>
      </c>
      <c r="AM100" s="781">
        <f t="shared" ref="AM100" si="568">+AK100+AG100+AC100</f>
        <v>315.01057082452411</v>
      </c>
      <c r="AN100" s="782">
        <f>+AH100+AJ100</f>
        <v>1320</v>
      </c>
      <c r="AO100" s="782">
        <f>+AI100+AK100</f>
        <v>1206.1675771670186</v>
      </c>
      <c r="AP100" s="1134">
        <f>AP101*AP$3*24</f>
        <v>148.80000000000001</v>
      </c>
      <c r="AQ100" s="1201">
        <v>147.512</v>
      </c>
      <c r="AR100" s="782">
        <f>+AN100+AP100</f>
        <v>1468.8</v>
      </c>
      <c r="AS100" s="782">
        <f>+AO100+AQ100</f>
        <v>1353.6795771670186</v>
      </c>
      <c r="AT100" s="1134">
        <f>AT101*AT$3*24</f>
        <v>134.4</v>
      </c>
      <c r="AU100" s="1201">
        <v>137.57928118393227</v>
      </c>
      <c r="AV100" s="782">
        <f>+AR100+AT100</f>
        <v>1603.2</v>
      </c>
      <c r="AW100" s="782">
        <f>+AS100+AU100</f>
        <v>1491.258858350951</v>
      </c>
      <c r="AX100" s="1134">
        <f>AX101*AX$3*24</f>
        <v>148.80000000000001</v>
      </c>
      <c r="AY100" s="1201">
        <v>152.21987315010563</v>
      </c>
      <c r="AZ100" s="781">
        <f t="shared" ref="AZ100" si="569">+AX100+AT100+AP100</f>
        <v>432.00000000000006</v>
      </c>
      <c r="BA100" s="781">
        <f t="shared" ref="BA100" si="570">+AY100+AU100+AQ100</f>
        <v>437.31115433403789</v>
      </c>
      <c r="BB100" s="465">
        <f t="shared" si="565"/>
        <v>873.60000000000014</v>
      </c>
      <c r="BC100" s="465">
        <f t="shared" si="566"/>
        <v>752.321725158562</v>
      </c>
      <c r="BD100" s="782">
        <f>+AV100+AX100</f>
        <v>1752</v>
      </c>
      <c r="BE100" s="782">
        <f>+AW100+AY100</f>
        <v>1643.4787315010567</v>
      </c>
      <c r="BF100" s="26"/>
      <c r="BG100" s="26"/>
      <c r="BH100" s="26"/>
      <c r="BI100" s="26"/>
      <c r="BJ100" s="26"/>
    </row>
    <row r="101" spans="2:62" ht="15.75" hidden="1" customHeight="1" x14ac:dyDescent="0.3">
      <c r="B101" s="1018"/>
      <c r="C101" s="159"/>
      <c r="D101" s="1688">
        <v>0.2</v>
      </c>
      <c r="E101" s="1201"/>
      <c r="F101" s="1688">
        <v>0.2</v>
      </c>
      <c r="G101" s="1201"/>
      <c r="H101" s="782"/>
      <c r="I101" s="782"/>
      <c r="J101" s="1688">
        <v>0.2</v>
      </c>
      <c r="K101" s="1201"/>
      <c r="L101" s="781"/>
      <c r="M101" s="781"/>
      <c r="N101" s="1688">
        <v>0.2</v>
      </c>
      <c r="O101" s="1201"/>
      <c r="P101" s="782"/>
      <c r="Q101" s="782"/>
      <c r="R101" s="1688">
        <v>0.2</v>
      </c>
      <c r="S101" s="1201"/>
      <c r="T101" s="782"/>
      <c r="U101" s="782"/>
      <c r="V101" s="1688">
        <v>0.2</v>
      </c>
      <c r="W101" s="1201"/>
      <c r="X101" s="781"/>
      <c r="Y101" s="781"/>
      <c r="Z101" s="465"/>
      <c r="AA101" s="465"/>
      <c r="AB101" s="1688">
        <v>0.2</v>
      </c>
      <c r="AC101" s="1201"/>
      <c r="AD101" s="782"/>
      <c r="AE101" s="782"/>
      <c r="AF101" s="1688">
        <v>0.2</v>
      </c>
      <c r="AG101" s="1201"/>
      <c r="AH101" s="782"/>
      <c r="AI101" s="782"/>
      <c r="AJ101" s="1688">
        <v>0.2</v>
      </c>
      <c r="AK101" s="1201"/>
      <c r="AL101" s="781"/>
      <c r="AM101" s="781"/>
      <c r="AN101" s="782"/>
      <c r="AO101" s="782"/>
      <c r="AP101" s="1688">
        <v>0.2</v>
      </c>
      <c r="AQ101" s="1201"/>
      <c r="AR101" s="782"/>
      <c r="AS101" s="782"/>
      <c r="AT101" s="1688">
        <v>0.2</v>
      </c>
      <c r="AU101" s="1201"/>
      <c r="AV101" s="782"/>
      <c r="AW101" s="782"/>
      <c r="AX101" s="1688">
        <v>0.2</v>
      </c>
      <c r="AY101" s="1201"/>
      <c r="AZ101" s="781"/>
      <c r="BA101" s="781"/>
      <c r="BB101" s="465">
        <f t="shared" si="565"/>
        <v>0</v>
      </c>
      <c r="BC101" s="465">
        <f t="shared" si="566"/>
        <v>0</v>
      </c>
      <c r="BD101" s="782"/>
      <c r="BE101" s="782"/>
      <c r="BF101" s="26"/>
      <c r="BG101" s="26"/>
      <c r="BH101" s="26"/>
      <c r="BI101" s="26"/>
      <c r="BJ101" s="26"/>
    </row>
    <row r="102" spans="2:62" x14ac:dyDescent="0.25">
      <c r="B102" s="1018" t="s">
        <v>123</v>
      </c>
      <c r="C102" s="159" t="s">
        <v>327</v>
      </c>
      <c r="D102" s="1134">
        <f>D103*D$3*24</f>
        <v>432</v>
      </c>
      <c r="E102" s="1201">
        <v>453.27695560253682</v>
      </c>
      <c r="F102" s="1134">
        <f>F103*F$3*24</f>
        <v>446.4</v>
      </c>
      <c r="G102" s="1201">
        <v>468.07610993657488</v>
      </c>
      <c r="H102" s="782">
        <f t="shared" ref="H102:I112" si="571">+D102+F102</f>
        <v>878.4</v>
      </c>
      <c r="I102" s="782">
        <f t="shared" si="571"/>
        <v>921.35306553911164</v>
      </c>
      <c r="J102" s="1134">
        <f>J103*J$3*24</f>
        <v>432</v>
      </c>
      <c r="K102" s="1201">
        <v>451.31345454545442</v>
      </c>
      <c r="L102" s="781">
        <f t="shared" ref="L102:L112" si="572">+H102+J102</f>
        <v>1310.4000000000001</v>
      </c>
      <c r="M102" s="781">
        <f t="shared" ref="M102:M112" si="573">+I102+K102</f>
        <v>1372.6665200845659</v>
      </c>
      <c r="N102" s="1134">
        <f>N103*N$3*24</f>
        <v>446.4</v>
      </c>
      <c r="O102" s="1201">
        <v>471.20127484143745</v>
      </c>
      <c r="P102" s="782">
        <f t="shared" ref="P102:P112" si="574">+L102+N102</f>
        <v>1756.8000000000002</v>
      </c>
      <c r="Q102" s="782">
        <f t="shared" ref="Q102:Q112" si="575">+M102+O102</f>
        <v>1843.8677949260034</v>
      </c>
      <c r="R102" s="1134">
        <f>R103*R$3*24</f>
        <v>446.4</v>
      </c>
      <c r="S102" s="1201">
        <v>466.26316701902743</v>
      </c>
      <c r="T102" s="782">
        <f t="shared" ref="T102" si="576">+P102+R102</f>
        <v>2203.2000000000003</v>
      </c>
      <c r="U102" s="782">
        <f t="shared" ref="U102" si="577">+Q102+S102</f>
        <v>2310.1309619450308</v>
      </c>
      <c r="V102" s="1134">
        <f>V103*V$3*24</f>
        <v>288</v>
      </c>
      <c r="W102" s="1201">
        <v>458.26299999999998</v>
      </c>
      <c r="X102" s="781">
        <f t="shared" si="557"/>
        <v>1180.8</v>
      </c>
      <c r="Y102" s="781">
        <f t="shared" si="558"/>
        <v>1395.7274418604648</v>
      </c>
      <c r="Z102" s="465">
        <f t="shared" si="559"/>
        <v>2491.1999999999998</v>
      </c>
      <c r="AA102" s="465">
        <f t="shared" si="560"/>
        <v>2768.3939619450307</v>
      </c>
      <c r="AB102" s="1134">
        <f>AB103*AB$3*24</f>
        <v>446.4</v>
      </c>
      <c r="AC102" s="1201">
        <v>471.88160676532749</v>
      </c>
      <c r="AD102" s="782">
        <f t="shared" ref="AD102" si="578">+Z102+AB102</f>
        <v>2937.6</v>
      </c>
      <c r="AE102" s="782">
        <f t="shared" ref="AE102" si="579">+AA102+AC102</f>
        <v>3240.2755687103581</v>
      </c>
      <c r="AF102" s="1134">
        <f>AF103*AF$3*24</f>
        <v>432</v>
      </c>
      <c r="AG102" s="1201">
        <v>34.480972515856195</v>
      </c>
      <c r="AH102" s="782">
        <f t="shared" ref="AH102" si="580">+AD102+AF102</f>
        <v>3369.6</v>
      </c>
      <c r="AI102" s="782">
        <f t="shared" ref="AI102" si="581">+AE102+AG102</f>
        <v>3274.7565412262143</v>
      </c>
      <c r="AJ102" s="1134">
        <f>AJ103*AJ$3*24</f>
        <v>446.4</v>
      </c>
      <c r="AK102" s="1201">
        <v>471.88160676532743</v>
      </c>
      <c r="AL102" s="781">
        <f t="shared" ref="AL102" si="582">+AJ102+AF102+AB102</f>
        <v>1324.8</v>
      </c>
      <c r="AM102" s="781">
        <f t="shared" ref="AM102" si="583">+AK102+AG102+AC102</f>
        <v>978.24418604651112</v>
      </c>
      <c r="AN102" s="782">
        <f t="shared" ref="AN102" si="584">+AH102+AJ102</f>
        <v>3816</v>
      </c>
      <c r="AO102" s="782">
        <f t="shared" ref="AO102" si="585">+AI102+AK102</f>
        <v>3746.6381479915417</v>
      </c>
      <c r="AP102" s="1134">
        <f>AP103*AP$3*24</f>
        <v>446.4</v>
      </c>
      <c r="AQ102" s="1201">
        <v>456.66</v>
      </c>
      <c r="AR102" s="782">
        <f t="shared" ref="AR102" si="586">+AN102+AP102</f>
        <v>4262.3999999999996</v>
      </c>
      <c r="AS102" s="782">
        <f t="shared" ref="AS102" si="587">+AO102+AQ102</f>
        <v>4203.2981479915416</v>
      </c>
      <c r="AT102" s="1134">
        <f>AT103*AT$3*24</f>
        <v>403.20000000000005</v>
      </c>
      <c r="AU102" s="1201">
        <v>429.66114799154315</v>
      </c>
      <c r="AV102" s="782">
        <f t="shared" ref="AV102" si="588">+AR102+AT102</f>
        <v>4665.5999999999995</v>
      </c>
      <c r="AW102" s="782">
        <f t="shared" ref="AW102" si="589">+AS102+AU102</f>
        <v>4632.9592959830843</v>
      </c>
      <c r="AX102" s="1134">
        <f>AX103*AX$3*24</f>
        <v>446.4</v>
      </c>
      <c r="AY102" s="1201">
        <v>472.57844186046492</v>
      </c>
      <c r="AZ102" s="781">
        <f t="shared" ref="AZ102" si="590">+AX102+AT102+AP102</f>
        <v>1296</v>
      </c>
      <c r="BA102" s="781">
        <f t="shared" ref="BA102" si="591">+AY102+AU102+AQ102</f>
        <v>1358.8995898520081</v>
      </c>
      <c r="BB102" s="465">
        <f t="shared" si="565"/>
        <v>2620.8000000000002</v>
      </c>
      <c r="BC102" s="465">
        <f t="shared" si="566"/>
        <v>2337.1437758985194</v>
      </c>
      <c r="BD102" s="782">
        <f t="shared" ref="BD102" si="592">+AV102+AX102</f>
        <v>5111.9999999999991</v>
      </c>
      <c r="BE102" s="782">
        <f t="shared" ref="BE102" si="593">+AW102+AY102</f>
        <v>5105.5377378435496</v>
      </c>
      <c r="BF102" s="26"/>
      <c r="BG102" s="26"/>
      <c r="BH102" s="26"/>
      <c r="BI102" s="26"/>
      <c r="BJ102" s="26"/>
    </row>
    <row r="103" spans="2:62" ht="15" hidden="1" customHeight="1" x14ac:dyDescent="0.3">
      <c r="B103" s="1018"/>
      <c r="C103" s="159"/>
      <c r="D103" s="191">
        <v>0.6</v>
      </c>
      <c r="E103" s="102"/>
      <c r="F103" s="191">
        <v>0.6</v>
      </c>
      <c r="G103" s="102"/>
      <c r="H103" s="782"/>
      <c r="I103" s="782"/>
      <c r="J103" s="191">
        <v>0.6</v>
      </c>
      <c r="K103" s="102"/>
      <c r="L103" s="781"/>
      <c r="M103" s="781"/>
      <c r="N103" s="191">
        <v>0.6</v>
      </c>
      <c r="O103" s="102"/>
      <c r="P103" s="782"/>
      <c r="Q103" s="782"/>
      <c r="R103" s="191">
        <v>0.6</v>
      </c>
      <c r="S103" s="102"/>
      <c r="T103" s="782"/>
      <c r="U103" s="782"/>
      <c r="V103" s="191">
        <v>0.4</v>
      </c>
      <c r="W103" s="102"/>
      <c r="X103" s="781"/>
      <c r="Y103" s="781"/>
      <c r="Z103" s="465"/>
      <c r="AA103" s="465"/>
      <c r="AB103" s="191">
        <v>0.6</v>
      </c>
      <c r="AC103" s="102"/>
      <c r="AD103" s="782"/>
      <c r="AE103" s="782"/>
      <c r="AF103" s="191">
        <v>0.6</v>
      </c>
      <c r="AG103" s="102"/>
      <c r="AH103" s="782"/>
      <c r="AI103" s="782"/>
      <c r="AJ103" s="191">
        <v>0.6</v>
      </c>
      <c r="AK103" s="102"/>
      <c r="AL103" s="781"/>
      <c r="AM103" s="781"/>
      <c r="AN103" s="782"/>
      <c r="AO103" s="782"/>
      <c r="AP103" s="191">
        <v>0.6</v>
      </c>
      <c r="AQ103" s="102"/>
      <c r="AR103" s="782"/>
      <c r="AS103" s="782"/>
      <c r="AT103" s="191">
        <v>0.6</v>
      </c>
      <c r="AU103" s="102"/>
      <c r="AV103" s="782"/>
      <c r="AW103" s="782"/>
      <c r="AX103" s="191">
        <v>0.6</v>
      </c>
      <c r="AY103" s="102"/>
      <c r="AZ103" s="781"/>
      <c r="BA103" s="781"/>
      <c r="BB103" s="465">
        <f t="shared" si="565"/>
        <v>0</v>
      </c>
      <c r="BC103" s="465">
        <f t="shared" si="566"/>
        <v>0</v>
      </c>
      <c r="BD103" s="782"/>
      <c r="BE103" s="782"/>
      <c r="BF103" s="26"/>
      <c r="BG103" s="26"/>
      <c r="BH103" s="26"/>
      <c r="BI103" s="26"/>
      <c r="BJ103" s="26"/>
    </row>
    <row r="104" spans="2:62" x14ac:dyDescent="0.25">
      <c r="B104" s="1018" t="s">
        <v>16</v>
      </c>
      <c r="C104" s="159" t="s">
        <v>327</v>
      </c>
      <c r="D104" s="1134">
        <f>D105*D$3*24</f>
        <v>559.23710622346823</v>
      </c>
      <c r="E104" s="1201">
        <v>524.79251339210316</v>
      </c>
      <c r="F104" s="1134">
        <f>F105*F$3*24</f>
        <v>507.27311750548159</v>
      </c>
      <c r="G104" s="1201">
        <v>612.35377962225061</v>
      </c>
      <c r="H104" s="782">
        <f t="shared" si="571"/>
        <v>1066.5102237289498</v>
      </c>
      <c r="I104" s="782">
        <f t="shared" si="571"/>
        <v>1137.1462930143539</v>
      </c>
      <c r="J104" s="1134">
        <f>J105*J$3*24</f>
        <v>483.37438928302839</v>
      </c>
      <c r="K104" s="1201">
        <v>615.54963819014984</v>
      </c>
      <c r="L104" s="781">
        <f t="shared" si="572"/>
        <v>1549.8846130119782</v>
      </c>
      <c r="M104" s="781">
        <f t="shared" si="573"/>
        <v>1752.6959312045037</v>
      </c>
      <c r="N104" s="1134">
        <f>N105*N$3*24</f>
        <v>506.7117968330848</v>
      </c>
      <c r="O104" s="1201">
        <v>724.42421433097797</v>
      </c>
      <c r="P104" s="782">
        <f t="shared" si="574"/>
        <v>2056.5964098450631</v>
      </c>
      <c r="Q104" s="782">
        <f t="shared" si="575"/>
        <v>2477.1201455354817</v>
      </c>
      <c r="R104" s="1134">
        <f>R105*R$3*24</f>
        <v>506.7117968330848</v>
      </c>
      <c r="S104" s="1201">
        <v>595.5571020304543</v>
      </c>
      <c r="T104" s="782">
        <f t="shared" ref="T104" si="594">+P104+R104</f>
        <v>2563.3082066781481</v>
      </c>
      <c r="U104" s="782">
        <f t="shared" ref="U104" si="595">+Q104+S104</f>
        <v>3072.6772475659359</v>
      </c>
      <c r="V104" s="1134">
        <f>V105*V$3*24</f>
        <v>211.47428407676304</v>
      </c>
      <c r="W104" s="1201">
        <v>656.49800000000005</v>
      </c>
      <c r="X104" s="781">
        <f t="shared" si="557"/>
        <v>1224.8978777429327</v>
      </c>
      <c r="Y104" s="781">
        <f t="shared" si="558"/>
        <v>1976.4793163614322</v>
      </c>
      <c r="Z104" s="465">
        <f t="shared" si="559"/>
        <v>2774.7824907549111</v>
      </c>
      <c r="AA104" s="465">
        <f t="shared" si="560"/>
        <v>3729.1752475659359</v>
      </c>
      <c r="AB104" s="1134">
        <f>AB105*AB$3*24</f>
        <v>629.67467812189625</v>
      </c>
      <c r="AC104" s="1201">
        <v>577.4221564455803</v>
      </c>
      <c r="AD104" s="782">
        <f t="shared" ref="AD104" si="596">+Z104+AB104</f>
        <v>3404.4571688768074</v>
      </c>
      <c r="AE104" s="782">
        <f t="shared" ref="AE104" si="597">+AA104+AC104</f>
        <v>4306.5974040115161</v>
      </c>
      <c r="AF104" s="1134">
        <f>AF105*AF$3*24</f>
        <v>608.12318131322559</v>
      </c>
      <c r="AG104" s="1201">
        <v>270.05057241884566</v>
      </c>
      <c r="AH104" s="782">
        <f t="shared" ref="AH104" si="598">+AD104+AF104</f>
        <v>4012.5803501900327</v>
      </c>
      <c r="AI104" s="782">
        <f t="shared" ref="AI104" si="599">+AE104+AG104</f>
        <v>4576.6479764303622</v>
      </c>
      <c r="AJ104" s="1134">
        <f>AJ105*AJ$3*24</f>
        <v>629.67467812189625</v>
      </c>
      <c r="AK104" s="1201">
        <v>550.65098175045318</v>
      </c>
      <c r="AL104" s="781">
        <f t="shared" ref="AL104" si="600">+AJ104+AF104+AB104</f>
        <v>1867.4725375570181</v>
      </c>
      <c r="AM104" s="781">
        <f t="shared" ref="AM104" si="601">+AK104+AG104+AC104</f>
        <v>1398.1237106148792</v>
      </c>
      <c r="AN104" s="782">
        <f t="shared" ref="AN104" si="602">+AH104+AJ104</f>
        <v>4642.255028311929</v>
      </c>
      <c r="AO104" s="782">
        <f t="shared" ref="AO104" si="603">+AI104+AK104</f>
        <v>5127.2989581808151</v>
      </c>
      <c r="AP104" s="1134">
        <f>AP105*AP$3*24</f>
        <v>629.67467812189625</v>
      </c>
      <c r="AQ104" s="1201">
        <v>665.53399999999999</v>
      </c>
      <c r="AR104" s="782">
        <f t="shared" ref="AR104" si="604">+AN104+AP104</f>
        <v>5271.9297064338252</v>
      </c>
      <c r="AS104" s="782">
        <f t="shared" ref="AS104" si="605">+AO104+AQ104</f>
        <v>5792.8329581808148</v>
      </c>
      <c r="AT104" s="1134">
        <f>AT105*AT$3*24</f>
        <v>556.34246672291488</v>
      </c>
      <c r="AU104" s="1201">
        <v>580.91780457701202</v>
      </c>
      <c r="AV104" s="782">
        <f t="shared" ref="AV104" si="606">+AR104+AT104</f>
        <v>5828.2721731567399</v>
      </c>
      <c r="AW104" s="782">
        <f t="shared" ref="AW104" si="607">+AS104+AU104</f>
        <v>6373.750762757827</v>
      </c>
      <c r="AX104" s="1134">
        <f>AX105*AX$3*24</f>
        <v>650.37497163415333</v>
      </c>
      <c r="AY104" s="1201">
        <v>694.49345001079189</v>
      </c>
      <c r="AZ104" s="781">
        <f t="shared" ref="AZ104" si="608">+AX104+AT104+AP104</f>
        <v>1836.3921164789645</v>
      </c>
      <c r="BA104" s="781">
        <f t="shared" ref="BA104" si="609">+AY104+AU104+AQ104</f>
        <v>1940.9452545878039</v>
      </c>
      <c r="BB104" s="465">
        <f t="shared" si="565"/>
        <v>3703.8646540359823</v>
      </c>
      <c r="BC104" s="465">
        <f t="shared" si="566"/>
        <v>3339.0689652026831</v>
      </c>
      <c r="BD104" s="782">
        <f t="shared" ref="BD104" si="610">+AV104+AX104</f>
        <v>6478.6471447908934</v>
      </c>
      <c r="BE104" s="782">
        <f t="shared" ref="BE104" si="611">+AW104+AY104</f>
        <v>7068.244212768619</v>
      </c>
      <c r="BF104" s="26"/>
      <c r="BG104" s="26"/>
      <c r="BH104" s="26"/>
      <c r="BI104" s="26"/>
      <c r="BJ104" s="26"/>
    </row>
    <row r="105" spans="2:62" ht="15" hidden="1" customHeight="1" x14ac:dyDescent="0.3">
      <c r="B105" s="1018"/>
      <c r="C105" s="159"/>
      <c r="D105" s="1136">
        <v>0.77671820308815032</v>
      </c>
      <c r="E105" s="1344"/>
      <c r="F105" s="1136">
        <v>0.68181870632457198</v>
      </c>
      <c r="G105" s="1344"/>
      <c r="H105" s="782"/>
      <c r="I105" s="782"/>
      <c r="J105" s="1136">
        <v>0.67135331844865054</v>
      </c>
      <c r="K105" s="1344"/>
      <c r="L105" s="781"/>
      <c r="M105" s="781"/>
      <c r="N105" s="1136">
        <v>0.68106424305522151</v>
      </c>
      <c r="O105" s="1344"/>
      <c r="P105" s="782"/>
      <c r="Q105" s="782"/>
      <c r="R105" s="1136">
        <v>0.68106424305522151</v>
      </c>
      <c r="S105" s="1344"/>
      <c r="T105" s="782"/>
      <c r="U105" s="782"/>
      <c r="V105" s="1136">
        <v>0.29371428343994865</v>
      </c>
      <c r="W105" s="1344"/>
      <c r="X105" s="781"/>
      <c r="Y105" s="781"/>
      <c r="Z105" s="465"/>
      <c r="AA105" s="465"/>
      <c r="AB105" s="1136">
        <v>0.84633693295953805</v>
      </c>
      <c r="AC105" s="1344"/>
      <c r="AD105" s="782"/>
      <c r="AE105" s="782"/>
      <c r="AF105" s="1136">
        <v>0.84461552960170216</v>
      </c>
      <c r="AG105" s="1344"/>
      <c r="AH105" s="782"/>
      <c r="AI105" s="782"/>
      <c r="AJ105" s="1136">
        <v>0.84633693295953805</v>
      </c>
      <c r="AK105" s="1344"/>
      <c r="AL105" s="781"/>
      <c r="AM105" s="781"/>
      <c r="AN105" s="782"/>
      <c r="AO105" s="782"/>
      <c r="AP105" s="1136">
        <v>0.84633693295953805</v>
      </c>
      <c r="AQ105" s="1344"/>
      <c r="AR105" s="782"/>
      <c r="AS105" s="782"/>
      <c r="AT105" s="1136">
        <v>0.82789057548052813</v>
      </c>
      <c r="AU105" s="1344"/>
      <c r="AV105" s="782"/>
      <c r="AW105" s="782"/>
      <c r="AX105" s="1136">
        <v>0.87415990811042121</v>
      </c>
      <c r="AY105" s="1344"/>
      <c r="AZ105" s="781"/>
      <c r="BA105" s="781"/>
      <c r="BB105" s="465">
        <f t="shared" si="565"/>
        <v>0</v>
      </c>
      <c r="BC105" s="465">
        <f t="shared" si="566"/>
        <v>0</v>
      </c>
      <c r="BD105" s="782"/>
      <c r="BE105" s="782"/>
      <c r="BF105" s="26"/>
      <c r="BG105" s="26"/>
      <c r="BH105" s="26"/>
      <c r="BI105" s="26"/>
      <c r="BJ105" s="26"/>
    </row>
    <row r="106" spans="2:62" x14ac:dyDescent="0.25">
      <c r="B106" s="1018" t="s">
        <v>91</v>
      </c>
      <c r="C106" s="159" t="s">
        <v>327</v>
      </c>
      <c r="D106" s="1134">
        <f>D107*D$3*24</f>
        <v>849.78132178839496</v>
      </c>
      <c r="E106" s="1201">
        <v>720.83784167913507</v>
      </c>
      <c r="F106" s="1134">
        <f>F107*F$3*24</f>
        <v>773.931996043455</v>
      </c>
      <c r="G106" s="1201">
        <v>860.77619452684939</v>
      </c>
      <c r="H106" s="782">
        <f t="shared" si="571"/>
        <v>1623.71331783185</v>
      </c>
      <c r="I106" s="782">
        <f t="shared" si="571"/>
        <v>1581.6140362059846</v>
      </c>
      <c r="J106" s="1134">
        <f>J107*J$3*24</f>
        <v>734.50513721714947</v>
      </c>
      <c r="K106" s="1201">
        <v>866.22411943062446</v>
      </c>
      <c r="L106" s="781">
        <f t="shared" si="572"/>
        <v>2358.2184550489992</v>
      </c>
      <c r="M106" s="781">
        <f t="shared" si="573"/>
        <v>2447.8381556366089</v>
      </c>
      <c r="N106" s="1134">
        <f>N107*N$3*24</f>
        <v>773.07560524840392</v>
      </c>
      <c r="O106" s="1201">
        <v>1006.834874629273</v>
      </c>
      <c r="P106" s="782">
        <f t="shared" si="574"/>
        <v>3131.2940602974031</v>
      </c>
      <c r="Q106" s="782">
        <f t="shared" si="575"/>
        <v>3454.6730302658821</v>
      </c>
      <c r="R106" s="1134">
        <f>R107*R$3*24</f>
        <v>773.07560524840392</v>
      </c>
      <c r="S106" s="1201">
        <v>871.08375067095221</v>
      </c>
      <c r="T106" s="782">
        <f t="shared" ref="T106" si="612">+P106+R106</f>
        <v>3904.369665545807</v>
      </c>
      <c r="U106" s="782">
        <f t="shared" ref="U106" si="613">+Q106+S106</f>
        <v>4325.7567809368338</v>
      </c>
      <c r="V106" s="1134">
        <f>V107*V$3*24</f>
        <v>341.42687522445277</v>
      </c>
      <c r="W106" s="1201">
        <v>952.34199999999998</v>
      </c>
      <c r="X106" s="781">
        <f t="shared" si="557"/>
        <v>1887.5780857212605</v>
      </c>
      <c r="Y106" s="781">
        <f t="shared" si="558"/>
        <v>2830.2606253002255</v>
      </c>
      <c r="Z106" s="465">
        <f t="shared" si="559"/>
        <v>4245.7965407702595</v>
      </c>
      <c r="AA106" s="465">
        <f t="shared" si="560"/>
        <v>5278.0987809368344</v>
      </c>
      <c r="AB106" s="1134">
        <f>AB107*AB$3*24</f>
        <v>940.76544747016862</v>
      </c>
      <c r="AC106" s="1201">
        <v>849.08542321058337</v>
      </c>
      <c r="AD106" s="782">
        <f t="shared" ref="AD106" si="614">+Z106+AB106</f>
        <v>5186.561988240428</v>
      </c>
      <c r="AE106" s="782">
        <f t="shared" ref="AE106" si="615">+AA106+AC106</f>
        <v>6127.1842041474174</v>
      </c>
      <c r="AF106" s="1134">
        <f>AF107*AF$3*24</f>
        <v>910.17965549824658</v>
      </c>
      <c r="AG106" s="1201">
        <v>39.35101326129562</v>
      </c>
      <c r="AH106" s="782">
        <f t="shared" ref="AH106" si="616">+AD106+AF106</f>
        <v>6096.7416437386746</v>
      </c>
      <c r="AI106" s="782">
        <f t="shared" ref="AI106" si="617">+AE106+AG106</f>
        <v>6166.5352174087129</v>
      </c>
      <c r="AJ106" s="1134">
        <f>AJ107*AJ$3*24</f>
        <v>940.76544747016862</v>
      </c>
      <c r="AK106" s="1201">
        <v>894.94054601972368</v>
      </c>
      <c r="AL106" s="781">
        <f t="shared" ref="AL106" si="618">+AJ106+AF106+AB106</f>
        <v>2791.7105504385836</v>
      </c>
      <c r="AM106" s="781">
        <f t="shared" ref="AM106" si="619">+AK106+AG106+AC106</f>
        <v>1783.3769824916026</v>
      </c>
      <c r="AN106" s="782">
        <f t="shared" ref="AN106" si="620">+AH106+AJ106</f>
        <v>7037.5070912088431</v>
      </c>
      <c r="AO106" s="782">
        <f t="shared" ref="AO106" si="621">+AI106+AK106</f>
        <v>7061.4757634284369</v>
      </c>
      <c r="AP106" s="1134">
        <f>AP107*AP$3*24</f>
        <v>940.76544747016862</v>
      </c>
      <c r="AQ106" s="1201">
        <v>901.65499999999997</v>
      </c>
      <c r="AR106" s="782">
        <f t="shared" ref="AR106" si="622">+AN106+AP106</f>
        <v>7978.2725386790116</v>
      </c>
      <c r="AS106" s="782">
        <f t="shared" ref="AS106" si="623">+AO106+AQ106</f>
        <v>7963.1307634284367</v>
      </c>
      <c r="AT106" s="1134">
        <f>AT107*AT$3*24</f>
        <v>846.2754339327654</v>
      </c>
      <c r="AU106" s="1201">
        <v>836.36145022695655</v>
      </c>
      <c r="AV106" s="782">
        <f t="shared" ref="AV106" si="624">+AR106+AT106</f>
        <v>8824.5479726117774</v>
      </c>
      <c r="AW106" s="782">
        <f t="shared" ref="AW106" si="625">+AS106+AU106</f>
        <v>8799.4922136553942</v>
      </c>
      <c r="AX106" s="1134">
        <f>AX107*AX$3*24</f>
        <v>971.69272081536099</v>
      </c>
      <c r="AY106" s="1201">
        <v>855.9784426412516</v>
      </c>
      <c r="AZ106" s="781">
        <f t="shared" ref="AZ106" si="626">+AX106+AT106+AP106</f>
        <v>2758.7336022182949</v>
      </c>
      <c r="BA106" s="781">
        <f t="shared" ref="BA106" si="627">+AY106+AU106+AQ106</f>
        <v>2593.9948928682079</v>
      </c>
      <c r="BB106" s="465">
        <f t="shared" si="565"/>
        <v>5550.4441526568789</v>
      </c>
      <c r="BC106" s="465">
        <f t="shared" si="566"/>
        <v>4377.3718753598105</v>
      </c>
      <c r="BD106" s="782">
        <f t="shared" ref="BD106" si="628">+AV106+AX106</f>
        <v>9796.2406934271385</v>
      </c>
      <c r="BE106" s="782">
        <f t="shared" ref="BE106" si="629">+AW106+AY106</f>
        <v>9655.4706562966458</v>
      </c>
      <c r="BF106" s="26"/>
      <c r="BG106" s="26"/>
      <c r="BH106" s="26"/>
      <c r="BI106" s="26"/>
      <c r="BJ106" s="26"/>
    </row>
    <row r="107" spans="2:62" ht="15" hidden="1" customHeight="1" x14ac:dyDescent="0.3">
      <c r="B107" s="1018"/>
      <c r="C107" s="159"/>
      <c r="D107" s="1136">
        <v>1.1802518358172154</v>
      </c>
      <c r="E107" s="1344"/>
      <c r="F107" s="1136">
        <v>1.0402311774777622</v>
      </c>
      <c r="G107" s="1344"/>
      <c r="H107" s="782"/>
      <c r="I107" s="782"/>
      <c r="J107" s="1136">
        <v>1.0201460239127076</v>
      </c>
      <c r="K107" s="1344"/>
      <c r="L107" s="781"/>
      <c r="M107" s="781"/>
      <c r="N107" s="1136">
        <v>1.0390801145811881</v>
      </c>
      <c r="O107" s="1344"/>
      <c r="P107" s="782"/>
      <c r="Q107" s="782"/>
      <c r="R107" s="1136">
        <v>1.0390801145811881</v>
      </c>
      <c r="S107" s="1344"/>
      <c r="T107" s="782"/>
      <c r="U107" s="782"/>
      <c r="V107" s="1136">
        <v>0.47420399336729552</v>
      </c>
      <c r="W107" s="1344"/>
      <c r="X107" s="781"/>
      <c r="Y107" s="781"/>
      <c r="Z107" s="465"/>
      <c r="AA107" s="465"/>
      <c r="AB107" s="1136">
        <v>1.2644696874599042</v>
      </c>
      <c r="AC107" s="1344"/>
      <c r="AD107" s="782"/>
      <c r="AE107" s="782"/>
      <c r="AF107" s="1136">
        <v>1.2641384104142315</v>
      </c>
      <c r="AG107" s="1344"/>
      <c r="AH107" s="782"/>
      <c r="AI107" s="782"/>
      <c r="AJ107" s="1136">
        <v>1.2644696874599042</v>
      </c>
      <c r="AK107" s="1344"/>
      <c r="AL107" s="781"/>
      <c r="AM107" s="781"/>
      <c r="AN107" s="782"/>
      <c r="AO107" s="782"/>
      <c r="AP107" s="1136">
        <v>1.2644696874599042</v>
      </c>
      <c r="AQ107" s="1344"/>
      <c r="AR107" s="782"/>
      <c r="AS107" s="782"/>
      <c r="AT107" s="1136">
        <v>1.2593384433523296</v>
      </c>
      <c r="AU107" s="1344"/>
      <c r="AV107" s="782"/>
      <c r="AW107" s="782"/>
      <c r="AX107" s="1136">
        <v>1.3060386032464528</v>
      </c>
      <c r="AY107" s="1344"/>
      <c r="AZ107" s="781"/>
      <c r="BA107" s="781"/>
      <c r="BB107" s="465">
        <f t="shared" si="565"/>
        <v>0</v>
      </c>
      <c r="BC107" s="465">
        <f t="shared" si="566"/>
        <v>0</v>
      </c>
      <c r="BD107" s="782"/>
      <c r="BE107" s="782"/>
      <c r="BF107" s="26"/>
      <c r="BG107" s="26"/>
      <c r="BH107" s="26"/>
      <c r="BI107" s="26"/>
      <c r="BJ107" s="26"/>
    </row>
    <row r="108" spans="2:62" x14ac:dyDescent="0.25">
      <c r="B108" s="1018" t="s">
        <v>109</v>
      </c>
      <c r="C108" s="159" t="s">
        <v>327</v>
      </c>
      <c r="D108" s="1134">
        <f>D109*D$3*24</f>
        <v>1396.4927959806196</v>
      </c>
      <c r="E108" s="1201">
        <v>1010.0231882629473</v>
      </c>
      <c r="F108" s="1134">
        <f>F109*F$3*24</f>
        <v>1282.5610075764243</v>
      </c>
      <c r="G108" s="1201">
        <v>1180.3595068891568</v>
      </c>
      <c r="H108" s="782">
        <f t="shared" si="571"/>
        <v>2679.0538035570439</v>
      </c>
      <c r="I108" s="782">
        <f t="shared" si="571"/>
        <v>2190.3826951521041</v>
      </c>
      <c r="J108" s="1134">
        <f>J109*J$3*24</f>
        <v>1207.0530458069115</v>
      </c>
      <c r="K108" s="1201">
        <v>1207.0748128000887</v>
      </c>
      <c r="L108" s="781">
        <f t="shared" si="572"/>
        <v>3886.1068493639555</v>
      </c>
      <c r="M108" s="781">
        <f t="shared" si="573"/>
        <v>3397.4575079521928</v>
      </c>
      <c r="N108" s="1134">
        <f>N109*N$3*24</f>
        <v>1279.1768543463181</v>
      </c>
      <c r="O108" s="1201">
        <v>1245.7720400038083</v>
      </c>
      <c r="P108" s="782">
        <f t="shared" si="574"/>
        <v>5165.2837037102736</v>
      </c>
      <c r="Q108" s="782">
        <f t="shared" si="575"/>
        <v>4643.2295479560016</v>
      </c>
      <c r="R108" s="1134">
        <f>R109*R$3*24</f>
        <v>1279.1768543463181</v>
      </c>
      <c r="S108" s="1201">
        <v>1135.5755864219707</v>
      </c>
      <c r="T108" s="782">
        <f t="shared" ref="T108" si="630">+P108+R108</f>
        <v>6444.4605580565913</v>
      </c>
      <c r="U108" s="782">
        <f t="shared" ref="U108" si="631">+Q108+S108</f>
        <v>5778.8051343779725</v>
      </c>
      <c r="V108" s="1134">
        <f>V109*V$3*24</f>
        <v>479.17803654586316</v>
      </c>
      <c r="W108" s="1201">
        <v>1282.4100000000001</v>
      </c>
      <c r="X108" s="781">
        <f t="shared" si="557"/>
        <v>3037.5317452384993</v>
      </c>
      <c r="Y108" s="781">
        <f t="shared" si="558"/>
        <v>3663.7576264257791</v>
      </c>
      <c r="Z108" s="465">
        <f t="shared" si="559"/>
        <v>6923.6385946024548</v>
      </c>
      <c r="AA108" s="465">
        <f t="shared" si="560"/>
        <v>7061.2151343779715</v>
      </c>
      <c r="AB108" s="1134">
        <f>AB109*AB$3*24</f>
        <v>746.64894999776993</v>
      </c>
      <c r="AC108" s="1201">
        <v>1110.7631329618091</v>
      </c>
      <c r="AD108" s="782">
        <f t="shared" ref="AD108" si="632">+Z108+AB108</f>
        <v>7670.2875446002245</v>
      </c>
      <c r="AE108" s="782">
        <f t="shared" ref="AE108" si="633">+AA108+AC108</f>
        <v>8171.9782673397804</v>
      </c>
      <c r="AF108" s="1134">
        <f>AF109*AF$3*24</f>
        <v>718.05893832523691</v>
      </c>
      <c r="AG108" s="1201">
        <v>300.35197084827143</v>
      </c>
      <c r="AH108" s="782">
        <f t="shared" ref="AH108" si="634">+AD108+AF108</f>
        <v>8388.3464829254608</v>
      </c>
      <c r="AI108" s="782">
        <f t="shared" ref="AI108" si="635">+AE108+AG108</f>
        <v>8472.3302381880512</v>
      </c>
      <c r="AJ108" s="1134">
        <f>AJ109*AJ$3*24</f>
        <v>746.64894999776993</v>
      </c>
      <c r="AK108" s="1201">
        <v>1034.4960767703262</v>
      </c>
      <c r="AL108" s="781">
        <f t="shared" ref="AL108" si="636">+AJ108+AF108+AB108</f>
        <v>2211.3568383207767</v>
      </c>
      <c r="AM108" s="781">
        <f t="shared" ref="AM108" si="637">+AK108+AG108+AC108</f>
        <v>2445.6111805804067</v>
      </c>
      <c r="AN108" s="782">
        <f t="shared" ref="AN108" si="638">+AH108+AJ108</f>
        <v>9134.9954329232314</v>
      </c>
      <c r="AO108" s="782">
        <f t="shared" ref="AO108" si="639">+AI108+AK108</f>
        <v>9506.8263149583781</v>
      </c>
      <c r="AP108" s="1134">
        <f>AP109*AP$3*24</f>
        <v>746.64894999776993</v>
      </c>
      <c r="AQ108" s="1201">
        <v>1248.528</v>
      </c>
      <c r="AR108" s="782">
        <f t="shared" ref="AR108" si="640">+AN108+AP108</f>
        <v>9881.644382921002</v>
      </c>
      <c r="AS108" s="782">
        <f t="shared" ref="AS108" si="641">+AO108+AQ108</f>
        <v>10755.354314958378</v>
      </c>
      <c r="AT108" s="1134">
        <f>AT109*AT$3*24</f>
        <v>658.78892961697215</v>
      </c>
      <c r="AU108" s="1201">
        <v>1104.4165837047537</v>
      </c>
      <c r="AV108" s="782">
        <f t="shared" ref="AV108" si="642">+AR108+AT108</f>
        <v>10540.433312537974</v>
      </c>
      <c r="AW108" s="782">
        <f t="shared" ref="AW108" si="643">+AS108+AU108</f>
        <v>11859.770898663131</v>
      </c>
      <c r="AX108" s="1134">
        <f>AX109*AX$3*24</f>
        <v>856.88302679277126</v>
      </c>
      <c r="AY108" s="1201">
        <v>1260.2471930631336</v>
      </c>
      <c r="AZ108" s="781">
        <f t="shared" ref="AZ108" si="644">+AX108+AT108+AP108</f>
        <v>2262.3209064075136</v>
      </c>
      <c r="BA108" s="781">
        <f t="shared" ref="BA108" si="645">+AY108+AU108+AQ108</f>
        <v>3613.1917767678879</v>
      </c>
      <c r="BB108" s="465">
        <f t="shared" si="565"/>
        <v>4473.6777447282902</v>
      </c>
      <c r="BC108" s="465">
        <f t="shared" si="566"/>
        <v>6058.8029573482945</v>
      </c>
      <c r="BD108" s="782">
        <f t="shared" ref="BD108" si="646">+AV108+AX108</f>
        <v>11397.316339330746</v>
      </c>
      <c r="BE108" s="782">
        <f t="shared" ref="BE108" si="647">+AW108+AY108</f>
        <v>13120.018091726266</v>
      </c>
      <c r="BF108" s="26"/>
      <c r="BG108" s="26"/>
      <c r="BH108" s="26"/>
      <c r="BI108" s="26"/>
      <c r="BJ108" s="26"/>
    </row>
    <row r="109" spans="2:62" ht="15" hidden="1" customHeight="1" x14ac:dyDescent="0.3">
      <c r="B109" s="1018"/>
      <c r="C109" s="159"/>
      <c r="D109" s="1136">
        <v>1.9395733277508604</v>
      </c>
      <c r="E109" s="1344"/>
      <c r="F109" s="1136">
        <v>1.7238723220113232</v>
      </c>
      <c r="G109" s="1344"/>
      <c r="H109" s="782"/>
      <c r="I109" s="782"/>
      <c r="J109" s="1136">
        <v>1.6764625636207104</v>
      </c>
      <c r="K109" s="1344"/>
      <c r="L109" s="781"/>
      <c r="M109" s="781"/>
      <c r="N109" s="1136">
        <v>1.7193237289601051</v>
      </c>
      <c r="O109" s="1344"/>
      <c r="P109" s="782"/>
      <c r="Q109" s="782"/>
      <c r="R109" s="1136">
        <v>1.7193237289601051</v>
      </c>
      <c r="S109" s="1344"/>
      <c r="T109" s="782"/>
      <c r="U109" s="782"/>
      <c r="V109" s="1136">
        <v>0.66552505075814328</v>
      </c>
      <c r="W109" s="1344"/>
      <c r="X109" s="781"/>
      <c r="Y109" s="781"/>
      <c r="Z109" s="465"/>
      <c r="AA109" s="465"/>
      <c r="AB109" s="1136">
        <v>1.0035604166636691</v>
      </c>
      <c r="AC109" s="1344"/>
      <c r="AD109" s="782"/>
      <c r="AE109" s="782"/>
      <c r="AF109" s="1136">
        <v>0.99730408100727352</v>
      </c>
      <c r="AG109" s="1344"/>
      <c r="AH109" s="782"/>
      <c r="AI109" s="782"/>
      <c r="AJ109" s="1136">
        <v>1.0035604166636691</v>
      </c>
      <c r="AK109" s="1344"/>
      <c r="AL109" s="781"/>
      <c r="AM109" s="781"/>
      <c r="AN109" s="782"/>
      <c r="AO109" s="782"/>
      <c r="AP109" s="1136">
        <v>1.0035604166636691</v>
      </c>
      <c r="AQ109" s="1344"/>
      <c r="AR109" s="782"/>
      <c r="AS109" s="782"/>
      <c r="AT109" s="1136">
        <v>0.98034066907287531</v>
      </c>
      <c r="AU109" s="1344"/>
      <c r="AV109" s="782"/>
      <c r="AW109" s="782"/>
      <c r="AX109" s="1136">
        <v>1.1517244983773809</v>
      </c>
      <c r="AY109" s="1344"/>
      <c r="AZ109" s="781"/>
      <c r="BA109" s="781"/>
      <c r="BB109" s="465">
        <f t="shared" si="565"/>
        <v>0</v>
      </c>
      <c r="BC109" s="465">
        <f t="shared" si="566"/>
        <v>0</v>
      </c>
      <c r="BD109" s="782"/>
      <c r="BE109" s="782"/>
      <c r="BF109" s="26"/>
      <c r="BG109" s="26"/>
      <c r="BH109" s="26"/>
      <c r="BI109" s="26"/>
      <c r="BJ109" s="26"/>
    </row>
    <row r="110" spans="2:62" x14ac:dyDescent="0.25">
      <c r="B110" s="1018" t="s">
        <v>82</v>
      </c>
      <c r="C110" s="159" t="s">
        <v>327</v>
      </c>
      <c r="D110" s="1134">
        <f>D111*D$3*24</f>
        <v>0</v>
      </c>
      <c r="E110" s="1201">
        <v>0</v>
      </c>
      <c r="F110" s="1134">
        <f>F111*F$3*24</f>
        <v>0</v>
      </c>
      <c r="G110" s="1201">
        <v>0</v>
      </c>
      <c r="H110" s="782">
        <f t="shared" si="571"/>
        <v>0</v>
      </c>
      <c r="I110" s="782">
        <f t="shared" si="571"/>
        <v>0</v>
      </c>
      <c r="J110" s="1134">
        <f>J111*J$3*24</f>
        <v>0</v>
      </c>
      <c r="K110" s="1201">
        <v>0</v>
      </c>
      <c r="L110" s="781">
        <f t="shared" si="572"/>
        <v>0</v>
      </c>
      <c r="M110" s="781">
        <f t="shared" si="573"/>
        <v>0</v>
      </c>
      <c r="N110" s="1134">
        <f>N111*N$3*24</f>
        <v>0</v>
      </c>
      <c r="O110" s="1201">
        <v>0</v>
      </c>
      <c r="P110" s="782">
        <f t="shared" si="574"/>
        <v>0</v>
      </c>
      <c r="Q110" s="782">
        <f t="shared" si="575"/>
        <v>0</v>
      </c>
      <c r="R110" s="1134">
        <f>R111*R$3*24</f>
        <v>0</v>
      </c>
      <c r="S110" s="1201">
        <v>0</v>
      </c>
      <c r="T110" s="782">
        <f t="shared" ref="T110" si="648">+P110+R110</f>
        <v>0</v>
      </c>
      <c r="U110" s="782">
        <f t="shared" ref="U110" si="649">+Q110+S110</f>
        <v>0</v>
      </c>
      <c r="V110" s="1134">
        <f>V111*V$3*24</f>
        <v>0</v>
      </c>
      <c r="W110" s="1201"/>
      <c r="X110" s="781">
        <f t="shared" si="557"/>
        <v>0</v>
      </c>
      <c r="Y110" s="781">
        <f t="shared" si="558"/>
        <v>0</v>
      </c>
      <c r="Z110" s="465">
        <f t="shared" si="559"/>
        <v>0</v>
      </c>
      <c r="AA110" s="465">
        <f t="shared" si="560"/>
        <v>0</v>
      </c>
      <c r="AB110" s="1134">
        <f>AB111*AB$3*24</f>
        <v>0</v>
      </c>
      <c r="AC110" s="1201">
        <v>0</v>
      </c>
      <c r="AD110" s="782">
        <f t="shared" ref="AD110" si="650">+Z110+AB110</f>
        <v>0</v>
      </c>
      <c r="AE110" s="782">
        <f t="shared" ref="AE110" si="651">+AA110+AC110</f>
        <v>0</v>
      </c>
      <c r="AF110" s="1134">
        <f>AF111*AF$3*24</f>
        <v>0</v>
      </c>
      <c r="AG110" s="1201">
        <v>46.088663002114224</v>
      </c>
      <c r="AH110" s="782">
        <f t="shared" ref="AH110" si="652">+AD110+AF110</f>
        <v>0</v>
      </c>
      <c r="AI110" s="782">
        <f t="shared" ref="AI110" si="653">+AE110+AG110</f>
        <v>46.088663002114224</v>
      </c>
      <c r="AJ110" s="1134">
        <f>AJ111*AJ$3*24</f>
        <v>0</v>
      </c>
      <c r="AK110" s="1201">
        <v>65.15261952842873</v>
      </c>
      <c r="AL110" s="781">
        <f t="shared" ref="AL110" si="654">+AJ110+AF110+AB110</f>
        <v>0</v>
      </c>
      <c r="AM110" s="781">
        <f t="shared" ref="AM110" si="655">+AK110+AG110+AC110</f>
        <v>111.24128253054295</v>
      </c>
      <c r="AN110" s="782">
        <f t="shared" ref="AN110" si="656">+AH110+AJ110</f>
        <v>0</v>
      </c>
      <c r="AO110" s="782">
        <f t="shared" ref="AO110" si="657">+AI110+AK110</f>
        <v>111.24128253054295</v>
      </c>
      <c r="AP110" s="1134">
        <f>AP111*AP$3*24</f>
        <v>0</v>
      </c>
      <c r="AQ110" s="1201">
        <v>0</v>
      </c>
      <c r="AR110" s="782">
        <f t="shared" ref="AR110" si="658">+AN110+AP110</f>
        <v>0</v>
      </c>
      <c r="AS110" s="782">
        <f t="shared" ref="AS110" si="659">+AO110+AQ110</f>
        <v>111.24128253054295</v>
      </c>
      <c r="AT110" s="1134">
        <f>AT111*AT$3*24</f>
        <v>0</v>
      </c>
      <c r="AU110" s="1201">
        <v>0</v>
      </c>
      <c r="AV110" s="782">
        <f t="shared" ref="AV110" si="660">+AR110+AT110</f>
        <v>0</v>
      </c>
      <c r="AW110" s="782">
        <f t="shared" ref="AW110" si="661">+AS110+AU110</f>
        <v>111.24128253054295</v>
      </c>
      <c r="AX110" s="1134">
        <f>AX111*AX$3*24</f>
        <v>0</v>
      </c>
      <c r="AY110" s="1201"/>
      <c r="AZ110" s="781">
        <f t="shared" ref="AZ110" si="662">+AX110+AT110+AP110</f>
        <v>0</v>
      </c>
      <c r="BA110" s="781">
        <f t="shared" ref="BA110" si="663">+AY110+AU110+AQ110</f>
        <v>0</v>
      </c>
      <c r="BB110" s="465">
        <f t="shared" si="565"/>
        <v>0</v>
      </c>
      <c r="BC110" s="465">
        <f t="shared" si="566"/>
        <v>111.24128253054295</v>
      </c>
      <c r="BD110" s="782">
        <f t="shared" ref="BD110" si="664">+AV110+AX110</f>
        <v>0</v>
      </c>
      <c r="BE110" s="782">
        <f t="shared" ref="BE110" si="665">+AW110+AY110</f>
        <v>111.24128253054295</v>
      </c>
      <c r="BF110" s="26"/>
      <c r="BG110" s="26"/>
      <c r="BH110" s="26"/>
      <c r="BI110" s="26"/>
      <c r="BJ110" s="26"/>
    </row>
    <row r="111" spans="2:62" ht="15" hidden="1" customHeight="1" x14ac:dyDescent="0.3">
      <c r="B111" s="1018"/>
      <c r="C111" s="159"/>
      <c r="D111" s="1134">
        <v>0</v>
      </c>
      <c r="E111" s="1201"/>
      <c r="F111" s="1134">
        <v>0</v>
      </c>
      <c r="G111" s="1201"/>
      <c r="H111" s="782"/>
      <c r="I111" s="782"/>
      <c r="J111" s="1134">
        <v>0</v>
      </c>
      <c r="K111" s="1201"/>
      <c r="L111" s="781"/>
      <c r="M111" s="781"/>
      <c r="N111" s="1134">
        <v>0</v>
      </c>
      <c r="O111" s="1201"/>
      <c r="P111" s="782"/>
      <c r="Q111" s="782"/>
      <c r="R111" s="1134">
        <v>0</v>
      </c>
      <c r="S111" s="1201"/>
      <c r="T111" s="782"/>
      <c r="U111" s="782"/>
      <c r="V111" s="1134">
        <v>0</v>
      </c>
      <c r="W111" s="1201"/>
      <c r="X111" s="781"/>
      <c r="Y111" s="781"/>
      <c r="Z111" s="465"/>
      <c r="AA111" s="465"/>
      <c r="AB111" s="1134"/>
      <c r="AC111" s="1201"/>
      <c r="AD111" s="782"/>
      <c r="AE111" s="782"/>
      <c r="AF111" s="1134"/>
      <c r="AG111" s="1201"/>
      <c r="AH111" s="782"/>
      <c r="AI111" s="782"/>
      <c r="AJ111" s="1134"/>
      <c r="AK111" s="1201"/>
      <c r="AL111" s="781"/>
      <c r="AM111" s="781"/>
      <c r="AN111" s="782"/>
      <c r="AO111" s="782"/>
      <c r="AP111" s="1134">
        <v>0</v>
      </c>
      <c r="AQ111" s="1201"/>
      <c r="AR111" s="782"/>
      <c r="AS111" s="782"/>
      <c r="AT111" s="1134">
        <v>0</v>
      </c>
      <c r="AU111" s="1201"/>
      <c r="AV111" s="782"/>
      <c r="AW111" s="782"/>
      <c r="AX111" s="1134">
        <v>0</v>
      </c>
      <c r="AY111" s="1201"/>
      <c r="AZ111" s="781"/>
      <c r="BA111" s="781"/>
      <c r="BB111" s="465">
        <f t="shared" si="565"/>
        <v>0</v>
      </c>
      <c r="BC111" s="465">
        <f t="shared" si="566"/>
        <v>0</v>
      </c>
      <c r="BD111" s="782"/>
      <c r="BE111" s="782"/>
      <c r="BF111" s="26"/>
      <c r="BG111" s="26"/>
      <c r="BH111" s="26"/>
      <c r="BI111" s="26"/>
      <c r="BJ111" s="26"/>
    </row>
    <row r="112" spans="2:62" x14ac:dyDescent="0.25">
      <c r="B112" s="1018" t="s">
        <v>559</v>
      </c>
      <c r="C112" s="159" t="s">
        <v>327</v>
      </c>
      <c r="D112" s="1134">
        <f>D113*D$3*24</f>
        <v>144</v>
      </c>
      <c r="E112" s="1201">
        <v>151.3742071881606</v>
      </c>
      <c r="F112" s="1134">
        <f>F113*F$3*24</f>
        <v>148.80000000000001</v>
      </c>
      <c r="G112" s="1201">
        <v>157.29386892177578</v>
      </c>
      <c r="H112" s="782">
        <f t="shared" si="571"/>
        <v>292.8</v>
      </c>
      <c r="I112" s="782">
        <f t="shared" si="571"/>
        <v>308.66807610993635</v>
      </c>
      <c r="J112" s="1134">
        <f>J113*J$3*24</f>
        <v>144</v>
      </c>
      <c r="K112" s="1201">
        <v>152.2198731501056</v>
      </c>
      <c r="L112" s="781">
        <f t="shared" si="572"/>
        <v>436.8</v>
      </c>
      <c r="M112" s="781">
        <f t="shared" si="573"/>
        <v>460.88794926004198</v>
      </c>
      <c r="N112" s="1134">
        <f>N113*N$3*24</f>
        <v>148.80000000000001</v>
      </c>
      <c r="O112" s="1201">
        <v>157.10895348837198</v>
      </c>
      <c r="P112" s="782">
        <f t="shared" si="574"/>
        <v>585.6</v>
      </c>
      <c r="Q112" s="782">
        <f t="shared" si="575"/>
        <v>617.99690274841396</v>
      </c>
      <c r="R112" s="1134">
        <f>R113*R$3*24</f>
        <v>148.80000000000001</v>
      </c>
      <c r="S112" s="1201">
        <v>156.7653276955603</v>
      </c>
      <c r="T112" s="782">
        <f t="shared" ref="T112" si="666">+P112+R112</f>
        <v>734.40000000000009</v>
      </c>
      <c r="U112" s="782">
        <f t="shared" ref="U112" si="667">+Q112+S112</f>
        <v>774.7622304439742</v>
      </c>
      <c r="V112" s="1134">
        <f>V113*V$3*24</f>
        <v>144</v>
      </c>
      <c r="W112" s="1201">
        <v>152.114</v>
      </c>
      <c r="X112" s="781">
        <f t="shared" si="557"/>
        <v>441.6</v>
      </c>
      <c r="Y112" s="781">
        <f t="shared" si="558"/>
        <v>465.98828118393226</v>
      </c>
      <c r="Z112" s="465">
        <f t="shared" si="559"/>
        <v>878.40000000000009</v>
      </c>
      <c r="AA112" s="465">
        <f t="shared" si="560"/>
        <v>926.87623044397424</v>
      </c>
      <c r="AB112" s="1134">
        <f>AB113*AB$3*24</f>
        <v>148.80000000000001</v>
      </c>
      <c r="AC112" s="1201">
        <v>157.54756871035931</v>
      </c>
      <c r="AD112" s="782">
        <f t="shared" ref="AD112" si="668">+Z112+AB112</f>
        <v>1027.2</v>
      </c>
      <c r="AE112" s="782">
        <f t="shared" ref="AE112" si="669">+AA112+AC112</f>
        <v>1084.4237991543337</v>
      </c>
      <c r="AF112" s="1134">
        <f>AF113*AF$3*24</f>
        <v>144</v>
      </c>
      <c r="AG112" s="1201">
        <v>138.68921775898525</v>
      </c>
      <c r="AH112" s="782">
        <f t="shared" ref="AH112" si="670">+AD112+AF112</f>
        <v>1171.2</v>
      </c>
      <c r="AI112" s="782">
        <f t="shared" ref="AI112" si="671">+AE112+AG112</f>
        <v>1223.1130169133189</v>
      </c>
      <c r="AJ112" s="1134">
        <f>AJ113*AJ$3*24</f>
        <v>148.80000000000001</v>
      </c>
      <c r="AK112" s="1201">
        <v>155.03795348837193</v>
      </c>
      <c r="AL112" s="781">
        <f t="shared" ref="AL112" si="672">+AJ112+AF112+AB112</f>
        <v>441.6</v>
      </c>
      <c r="AM112" s="781">
        <f t="shared" ref="AM112" si="673">+AK112+AG112+AC112</f>
        <v>451.27473995771652</v>
      </c>
      <c r="AN112" s="782">
        <f t="shared" ref="AN112" si="674">+AH112+AJ112</f>
        <v>1320</v>
      </c>
      <c r="AO112" s="782">
        <f t="shared" ref="AO112" si="675">+AI112+AK112</f>
        <v>1378.1509704016908</v>
      </c>
      <c r="AP112" s="1134">
        <f>AP113*AP$3*24</f>
        <v>148.80000000000001</v>
      </c>
      <c r="AQ112" s="1201">
        <v>157.29400000000001</v>
      </c>
      <c r="AR112" s="782">
        <f t="shared" ref="AR112" si="676">+AN112+AP112</f>
        <v>1468.8</v>
      </c>
      <c r="AS112" s="782">
        <f t="shared" ref="AS112" si="677">+AO112+AQ112</f>
        <v>1535.4449704016909</v>
      </c>
      <c r="AT112" s="1134">
        <f>AT113*AT$3*24</f>
        <v>134.4</v>
      </c>
      <c r="AU112" s="1201">
        <v>142.07188160676523</v>
      </c>
      <c r="AV112" s="782">
        <f t="shared" ref="AV112" si="678">+AR112+AT112</f>
        <v>1603.2</v>
      </c>
      <c r="AW112" s="782">
        <f t="shared" ref="AW112" si="679">+AS112+AU112</f>
        <v>1677.516852008456</v>
      </c>
      <c r="AX112" s="1134">
        <f>AX113*AX$3*24</f>
        <v>148.80000000000001</v>
      </c>
      <c r="AY112" s="1201">
        <v>157.29386892177578</v>
      </c>
      <c r="AZ112" s="781">
        <f t="shared" ref="AZ112" si="680">+AX112+AT112+AP112</f>
        <v>432.00000000000006</v>
      </c>
      <c r="BA112" s="781">
        <f t="shared" ref="BA112" si="681">+AY112+AU112+AQ112</f>
        <v>456.65975052854105</v>
      </c>
      <c r="BB112" s="465">
        <f t="shared" si="565"/>
        <v>873.60000000000014</v>
      </c>
      <c r="BC112" s="465">
        <f t="shared" si="566"/>
        <v>907.93449048625757</v>
      </c>
      <c r="BD112" s="782">
        <f t="shared" ref="BD112" si="682">+AV112+AX112</f>
        <v>1752</v>
      </c>
      <c r="BE112" s="782">
        <f t="shared" ref="BE112" si="683">+AW112+AY112</f>
        <v>1834.8107209302318</v>
      </c>
      <c r="BF112" s="26"/>
      <c r="BG112" s="26"/>
      <c r="BH112" s="26"/>
      <c r="BI112" s="26"/>
      <c r="BJ112" s="26"/>
    </row>
    <row r="113" spans="1:62" ht="15" hidden="1" customHeight="1" x14ac:dyDescent="0.3">
      <c r="B113" s="1018"/>
      <c r="C113" s="159"/>
      <c r="D113" s="191">
        <v>0.2</v>
      </c>
      <c r="E113" s="102"/>
      <c r="F113" s="191">
        <v>0.2</v>
      </c>
      <c r="G113" s="102"/>
      <c r="H113" s="782"/>
      <c r="I113" s="782"/>
      <c r="J113" s="191">
        <v>0.2</v>
      </c>
      <c r="K113" s="102"/>
      <c r="L113" s="781"/>
      <c r="M113" s="781"/>
      <c r="N113" s="191">
        <v>0.2</v>
      </c>
      <c r="O113" s="102"/>
      <c r="P113" s="782"/>
      <c r="Q113" s="782"/>
      <c r="R113" s="191">
        <v>0.2</v>
      </c>
      <c r="S113" s="102"/>
      <c r="T113" s="782"/>
      <c r="U113" s="782"/>
      <c r="V113" s="191">
        <v>0.2</v>
      </c>
      <c r="W113" s="102"/>
      <c r="X113" s="781"/>
      <c r="Y113" s="781"/>
      <c r="Z113" s="465"/>
      <c r="AA113" s="465"/>
      <c r="AB113" s="191">
        <v>0.2</v>
      </c>
      <c r="AC113" s="102"/>
      <c r="AD113" s="782"/>
      <c r="AE113" s="782"/>
      <c r="AF113" s="191">
        <v>0.2</v>
      </c>
      <c r="AG113" s="102"/>
      <c r="AH113" s="782"/>
      <c r="AI113" s="782"/>
      <c r="AJ113" s="191">
        <v>0.2</v>
      </c>
      <c r="AK113" s="102"/>
      <c r="AL113" s="781"/>
      <c r="AM113" s="781"/>
      <c r="AN113" s="782"/>
      <c r="AO113" s="782"/>
      <c r="AP113" s="191">
        <v>0.2</v>
      </c>
      <c r="AQ113" s="102"/>
      <c r="AR113" s="782"/>
      <c r="AS113" s="782"/>
      <c r="AT113" s="191">
        <v>0.2</v>
      </c>
      <c r="AU113" s="102"/>
      <c r="AV113" s="782"/>
      <c r="AW113" s="782"/>
      <c r="AX113" s="191">
        <v>0.2</v>
      </c>
      <c r="AY113" s="102"/>
      <c r="AZ113" s="781"/>
      <c r="BA113" s="781"/>
      <c r="BB113" s="465"/>
      <c r="BC113" s="465"/>
      <c r="BD113" s="782"/>
      <c r="BE113" s="782"/>
      <c r="BF113" s="26"/>
      <c r="BG113" s="26"/>
      <c r="BH113" s="26"/>
      <c r="BI113" s="26"/>
      <c r="BJ113" s="26"/>
    </row>
    <row r="114" spans="1:62" ht="15.75" x14ac:dyDescent="0.25">
      <c r="B114" s="811" t="s">
        <v>61</v>
      </c>
      <c r="C114" s="805" t="s">
        <v>327</v>
      </c>
      <c r="D114" s="1137">
        <f t="shared" ref="D114:K114" si="684">D98+D100+D102+D104+D106+D108+D110+D112</f>
        <v>3599.9999999999995</v>
      </c>
      <c r="E114" s="1137">
        <f t="shared" si="684"/>
        <v>3587.8270000000002</v>
      </c>
      <c r="F114" s="1137">
        <f t="shared" ref="F114:G114" si="685">F98+F100+F102+F104+F106+F108+F110+F112</f>
        <v>3719.9999999999995</v>
      </c>
      <c r="G114" s="1137">
        <f t="shared" si="685"/>
        <v>3721.1059999999989</v>
      </c>
      <c r="H114" s="376">
        <f t="shared" si="684"/>
        <v>7319.9999999999991</v>
      </c>
      <c r="I114" s="376">
        <f t="shared" si="684"/>
        <v>7308.9329999999991</v>
      </c>
      <c r="J114" s="1137">
        <f t="shared" si="684"/>
        <v>3600</v>
      </c>
      <c r="K114" s="1137">
        <f t="shared" si="684"/>
        <v>3572.2689999999993</v>
      </c>
      <c r="L114" s="801">
        <f t="shared" ref="L114:AA114" si="686">SUM(L98:L112)</f>
        <v>10919.999999999998</v>
      </c>
      <c r="M114" s="801">
        <f t="shared" si="686"/>
        <v>10881.201999999999</v>
      </c>
      <c r="N114" s="1137">
        <f t="shared" ref="N114:O114" si="687">N98+N100+N102+N104+N106+N108+N110+N112</f>
        <v>3720</v>
      </c>
      <c r="O114" s="1137">
        <f t="shared" si="687"/>
        <v>3781.1419999999998</v>
      </c>
      <c r="P114" s="256">
        <f t="shared" si="686"/>
        <v>14639.999999999998</v>
      </c>
      <c r="Q114" s="256">
        <f t="shared" si="686"/>
        <v>14662.343999999997</v>
      </c>
      <c r="R114" s="1137">
        <f t="shared" ref="R114:S114" si="688">R98+R100+R102+R104+R106+R108+R110+R112</f>
        <v>3720</v>
      </c>
      <c r="S114" s="1137">
        <f t="shared" si="688"/>
        <v>3708.1829999999995</v>
      </c>
      <c r="T114" s="256">
        <f t="shared" ref="T114:U114" si="689">SUM(T98:T112)</f>
        <v>18360</v>
      </c>
      <c r="U114" s="256">
        <f t="shared" si="689"/>
        <v>18370.526999999998</v>
      </c>
      <c r="V114" s="1137">
        <f t="shared" ref="V114:W114" si="690">V98+V100+V102+V104+V106+V108+V110+V112</f>
        <v>3600</v>
      </c>
      <c r="W114" s="1137">
        <f t="shared" si="690"/>
        <v>3839.4550000000004</v>
      </c>
      <c r="X114" s="801">
        <f t="shared" si="686"/>
        <v>11040</v>
      </c>
      <c r="Y114" s="801">
        <f t="shared" si="686"/>
        <v>11328.779999999999</v>
      </c>
      <c r="Z114" s="522">
        <f t="shared" si="686"/>
        <v>21960</v>
      </c>
      <c r="AA114" s="522">
        <f t="shared" si="686"/>
        <v>22209.981999999996</v>
      </c>
      <c r="AB114" s="1137">
        <f t="shared" ref="AB114:AC114" si="691">AB98+AB100+AB102+AB104+AB106+AB108+AB110+AB112</f>
        <v>3720</v>
      </c>
      <c r="AC114" s="1137">
        <f t="shared" si="691"/>
        <v>3779.569</v>
      </c>
      <c r="AD114" s="256">
        <f t="shared" ref="AD114:AE114" si="692">SUM(AD98:AD112)</f>
        <v>25680</v>
      </c>
      <c r="AE114" s="256">
        <f t="shared" si="692"/>
        <v>25989.550999999992</v>
      </c>
      <c r="AF114" s="1137">
        <f t="shared" ref="AF114:AG114" si="693">AF98+AF100+AF102+AF104+AF106+AF108+AF110+AF112</f>
        <v>3599.9999999999995</v>
      </c>
      <c r="AG114" s="1137">
        <f t="shared" si="693"/>
        <v>3601.5059999999994</v>
      </c>
      <c r="AH114" s="256">
        <f t="shared" ref="AH114:AI114" si="694">SUM(AH98:AH112)</f>
        <v>29279.999999999996</v>
      </c>
      <c r="AI114" s="256">
        <f t="shared" si="694"/>
        <v>29591.056999999997</v>
      </c>
      <c r="AJ114" s="1137">
        <f t="shared" ref="AJ114:AK114" si="695">AJ98+AJ100+AJ102+AJ104+AJ106+AJ108+AJ110+AJ112</f>
        <v>3720</v>
      </c>
      <c r="AK114" s="1137">
        <f t="shared" si="695"/>
        <v>3703.3039999999996</v>
      </c>
      <c r="AL114" s="801">
        <f t="shared" ref="AL114:AO114" si="696">SUM(AL98:AL112)</f>
        <v>11040</v>
      </c>
      <c r="AM114" s="801">
        <f t="shared" si="696"/>
        <v>11084.379000000001</v>
      </c>
      <c r="AN114" s="256">
        <f t="shared" si="696"/>
        <v>33000</v>
      </c>
      <c r="AO114" s="256">
        <f t="shared" si="696"/>
        <v>33294.360999999997</v>
      </c>
      <c r="AP114" s="1137">
        <f t="shared" ref="AP114:AQ114" si="697">AP98+AP100+AP102+AP104+AP106+AP108+AP110+AP112</f>
        <v>3720</v>
      </c>
      <c r="AQ114" s="1137">
        <f t="shared" si="697"/>
        <v>3741.0349999999999</v>
      </c>
      <c r="AR114" s="256">
        <f t="shared" ref="AR114:AS114" si="698">SUM(AR98:AR112)</f>
        <v>36720</v>
      </c>
      <c r="AS114" s="256">
        <f t="shared" si="698"/>
        <v>37035.395999999993</v>
      </c>
      <c r="AT114" s="1137">
        <f t="shared" ref="AT114:AU114" si="699">AT98+AT100+AT102+AT104+AT106+AT108+AT110+AT112</f>
        <v>3360.0000000000005</v>
      </c>
      <c r="AU114" s="1137">
        <f t="shared" si="699"/>
        <v>3346.319</v>
      </c>
      <c r="AV114" s="256">
        <f t="shared" ref="AV114:AW114" si="700">SUM(AV98:AV112)</f>
        <v>40080</v>
      </c>
      <c r="AW114" s="256">
        <f t="shared" si="700"/>
        <v>40381.714999999997</v>
      </c>
      <c r="AX114" s="1137">
        <f t="shared" ref="AX114:AY114" si="701">AX98+AX100+AX102+AX104+AX106+AX108+AX110+AX112</f>
        <v>3720</v>
      </c>
      <c r="AY114" s="1137">
        <f t="shared" si="701"/>
        <v>3687.1229999999991</v>
      </c>
      <c r="AZ114" s="801">
        <f t="shared" ref="AZ114:BE114" si="702">SUM(AZ98:AZ112)</f>
        <v>10800</v>
      </c>
      <c r="BA114" s="801">
        <f t="shared" si="702"/>
        <v>10774.476999999999</v>
      </c>
      <c r="BB114" s="522">
        <f t="shared" si="702"/>
        <v>21839.999999999996</v>
      </c>
      <c r="BC114" s="522">
        <f t="shared" si="702"/>
        <v>21858.856</v>
      </c>
      <c r="BD114" s="256">
        <f t="shared" si="702"/>
        <v>43800</v>
      </c>
      <c r="BE114" s="256">
        <f t="shared" si="702"/>
        <v>44068.838000000003</v>
      </c>
      <c r="BF114" s="26"/>
      <c r="BG114" s="26"/>
      <c r="BH114" s="26"/>
      <c r="BI114" s="26"/>
      <c r="BJ114" s="26"/>
    </row>
    <row r="115" spans="1:62" ht="20.25" x14ac:dyDescent="0.25">
      <c r="B115" s="1033" t="s">
        <v>325</v>
      </c>
      <c r="C115" s="1033"/>
      <c r="D115" s="1034"/>
      <c r="E115" s="1033"/>
      <c r="F115" s="1034"/>
      <c r="G115" s="1033"/>
      <c r="H115" s="1033"/>
      <c r="I115" s="1033"/>
      <c r="J115" s="1034"/>
      <c r="K115" s="1033"/>
      <c r="L115" s="1033"/>
      <c r="M115" s="1033"/>
      <c r="N115" s="1034"/>
      <c r="O115" s="1033"/>
      <c r="P115" s="1033"/>
      <c r="Q115" s="1033"/>
      <c r="R115" s="1034"/>
      <c r="S115" s="1033"/>
      <c r="T115" s="1033"/>
      <c r="U115" s="1033"/>
      <c r="V115" s="1034"/>
      <c r="W115" s="1033"/>
      <c r="X115" s="1033"/>
      <c r="Y115" s="1033"/>
      <c r="Z115" s="1033"/>
      <c r="AA115" s="1033"/>
      <c r="AB115" s="1034"/>
      <c r="AC115" s="1033"/>
      <c r="AD115" s="1033"/>
      <c r="AE115" s="1033"/>
      <c r="AF115" s="1034"/>
      <c r="AG115" s="1033"/>
      <c r="AH115" s="1033"/>
      <c r="AI115" s="1033"/>
      <c r="AJ115" s="1034"/>
      <c r="AK115" s="1033"/>
      <c r="AL115" s="1033"/>
      <c r="AM115" s="1033"/>
      <c r="AN115" s="1033"/>
      <c r="AO115" s="1033"/>
      <c r="AP115" s="1034"/>
      <c r="AQ115" s="1033"/>
      <c r="AR115" s="1033"/>
      <c r="AS115" s="1033"/>
      <c r="AT115" s="1034"/>
      <c r="AU115" s="1033"/>
      <c r="AV115" s="1033"/>
      <c r="AW115" s="1033"/>
      <c r="AX115" s="1034"/>
      <c r="AY115" s="1033"/>
      <c r="AZ115" s="1033"/>
      <c r="BA115" s="1033"/>
      <c r="BB115" s="1033"/>
      <c r="BC115" s="1033"/>
      <c r="BD115" s="1033"/>
      <c r="BE115" s="1033"/>
      <c r="BF115" s="26"/>
      <c r="BG115" s="26"/>
      <c r="BH115" s="26"/>
      <c r="BI115" s="1219"/>
      <c r="BJ115" s="1219"/>
    </row>
    <row r="116" spans="1:62" x14ac:dyDescent="0.25">
      <c r="B116" s="1035" t="s">
        <v>110</v>
      </c>
      <c r="C116" s="159" t="s">
        <v>324</v>
      </c>
      <c r="D116" s="264">
        <v>0.45109712118113005</v>
      </c>
      <c r="E116" s="264">
        <v>0.45888228466511982</v>
      </c>
      <c r="F116" s="264">
        <v>0.4079878357892866</v>
      </c>
      <c r="G116" s="264">
        <v>0.44915926171985743</v>
      </c>
      <c r="H116" s="381">
        <v>0.42920449898390028</v>
      </c>
      <c r="I116" s="381">
        <v>0.45394868590390147</v>
      </c>
      <c r="J116" s="264">
        <v>0.40265163675865484</v>
      </c>
      <c r="K116" s="264">
        <v>0.46089305717975371</v>
      </c>
      <c r="L116" s="382">
        <v>0.42044655375237644</v>
      </c>
      <c r="M116" s="382">
        <v>0.45639712535576715</v>
      </c>
      <c r="N116" s="264">
        <v>0.40260587158869787</v>
      </c>
      <c r="O116" s="264">
        <v>0.45884359235561362</v>
      </c>
      <c r="P116" s="381">
        <v>0.41598199068581082</v>
      </c>
      <c r="Q116" s="381">
        <v>0.45757416911611182</v>
      </c>
      <c r="R116" s="264">
        <v>0.40266488037444587</v>
      </c>
      <c r="S116" s="264">
        <v>0.46179488752722814</v>
      </c>
      <c r="T116" s="381">
        <v>0.41331647061482396</v>
      </c>
      <c r="U116" s="381">
        <v>0.45850791535025492</v>
      </c>
      <c r="V116" s="264">
        <v>0.42094117765032152</v>
      </c>
      <c r="W116" s="264">
        <v>0.47364230537384505</v>
      </c>
      <c r="X116" s="382">
        <v>0.4064403462138651</v>
      </c>
      <c r="Y116" s="382">
        <v>0.46449484026625404</v>
      </c>
      <c r="Z116" s="663">
        <v>0.41404124851922108</v>
      </c>
      <c r="AA116" s="663">
        <v>0.46128873565114553</v>
      </c>
      <c r="AB116" s="264">
        <v>0.31007405969994822</v>
      </c>
      <c r="AC116" s="264">
        <v>0.38365347005241995</v>
      </c>
      <c r="AD116" s="381">
        <v>0.30891593654314864</v>
      </c>
      <c r="AE116" s="381">
        <v>0.35312343911512445</v>
      </c>
      <c r="AF116" s="264">
        <v>0.31235142353609224</v>
      </c>
      <c r="AG116" s="264">
        <v>0.74307463549646624</v>
      </c>
      <c r="AH116" s="381">
        <v>0.30941435878332529</v>
      </c>
      <c r="AI116" s="381">
        <v>0.3819872994843308</v>
      </c>
      <c r="AJ116" s="264">
        <v>0.3045894413046577</v>
      </c>
      <c r="AK116" s="264">
        <v>0.39857776623146174</v>
      </c>
      <c r="AL116" s="382">
        <v>0.30896883901892441</v>
      </c>
      <c r="AM116" s="382">
        <v>0.39732686968455311</v>
      </c>
      <c r="AN116" s="381">
        <v>0.30878544455645535</v>
      </c>
      <c r="AO116" s="381">
        <v>0.38353503569436986</v>
      </c>
      <c r="AP116" s="264">
        <v>0.3045894413046577</v>
      </c>
      <c r="AQ116" s="264">
        <v>0.42686827878702538</v>
      </c>
      <c r="AR116" s="381">
        <v>0.30830157811474457</v>
      </c>
      <c r="AS116" s="381">
        <v>0.38797530345857018</v>
      </c>
      <c r="AT116" s="264">
        <v>0.30452359545465885</v>
      </c>
      <c r="AU116" s="264">
        <v>0.41317496249993058</v>
      </c>
      <c r="AV116" s="381">
        <v>0.30794640397646511</v>
      </c>
      <c r="AW116" s="381">
        <v>0.39003585772536897</v>
      </c>
      <c r="AX116" s="264">
        <v>0.3045894413046577</v>
      </c>
      <c r="AY116" s="264">
        <v>0.46070406714894963</v>
      </c>
      <c r="AZ116" s="382">
        <v>0.30456900876960014</v>
      </c>
      <c r="BA116" s="382">
        <v>0.43415066035091548</v>
      </c>
      <c r="BB116" s="663">
        <v>0.30679445679960882</v>
      </c>
      <c r="BC116" s="663">
        <v>0.41960856391593049</v>
      </c>
      <c r="BD116" s="381">
        <v>0.30944738203052602</v>
      </c>
      <c r="BE116" s="381">
        <v>0.39663954056439932</v>
      </c>
      <c r="BF116" s="26"/>
      <c r="BG116" s="4911"/>
      <c r="BH116" s="26"/>
      <c r="BI116" s="4911"/>
      <c r="BJ116" s="1219"/>
    </row>
    <row r="117" spans="1:62" x14ac:dyDescent="0.25">
      <c r="A117" s="93"/>
      <c r="B117" s="1035" t="s">
        <v>1063</v>
      </c>
      <c r="C117" s="159" t="s">
        <v>324</v>
      </c>
      <c r="D117" s="264">
        <v>3.192215813727552</v>
      </c>
      <c r="E117" s="264">
        <v>3.1743650802670906</v>
      </c>
      <c r="F117" s="264">
        <v>3.1878516431682868</v>
      </c>
      <c r="G117" s="264">
        <v>3.1830302027977311</v>
      </c>
      <c r="H117" s="381">
        <v>3.1899995130770118</v>
      </c>
      <c r="I117" s="381">
        <v>3.1803815043806209</v>
      </c>
      <c r="J117" s="264">
        <v>3.192215813727552</v>
      </c>
      <c r="K117" s="264">
        <v>3.2659177041987215</v>
      </c>
      <c r="L117" s="382">
        <v>3.1907305167461972</v>
      </c>
      <c r="M117" s="382">
        <v>3.2105481417364601</v>
      </c>
      <c r="N117" s="264">
        <v>3.1803553389763484</v>
      </c>
      <c r="O117" s="264">
        <v>3.2864920848289811</v>
      </c>
      <c r="P117" s="381">
        <v>3.1881341678479123</v>
      </c>
      <c r="Q117" s="381">
        <v>3.2306404783771461</v>
      </c>
      <c r="R117" s="264">
        <v>3.1903155317778462</v>
      </c>
      <c r="S117" s="264">
        <v>3.2670592097068112</v>
      </c>
      <c r="T117" s="381">
        <v>3.1885707842910755</v>
      </c>
      <c r="U117" s="381">
        <v>3.2378773737631281</v>
      </c>
      <c r="V117" s="264">
        <v>3.2564569263786973</v>
      </c>
      <c r="W117" s="264">
        <v>3.3654871225576142</v>
      </c>
      <c r="X117" s="382">
        <v>3.2001184621482972</v>
      </c>
      <c r="Y117" s="382">
        <v>3.3050153189900842</v>
      </c>
      <c r="Z117" s="663">
        <v>3.1950238028229103</v>
      </c>
      <c r="AA117" s="663">
        <v>3.2581282360445876</v>
      </c>
      <c r="AB117" s="264">
        <v>3.3141230656375114</v>
      </c>
      <c r="AC117" s="264">
        <v>3.1725001425783841</v>
      </c>
      <c r="AD117" s="381">
        <v>3.2635898897794777</v>
      </c>
      <c r="AE117" s="381">
        <v>3.2645220748728998</v>
      </c>
      <c r="AF117" s="264">
        <v>3.2657676349014246</v>
      </c>
      <c r="AG117" s="264">
        <v>5.0721135989460713</v>
      </c>
      <c r="AH117" s="381">
        <v>3.2639058381746966</v>
      </c>
      <c r="AI117" s="381">
        <v>3.2735100364486307</v>
      </c>
      <c r="AJ117" s="264">
        <v>3.2665491099026362</v>
      </c>
      <c r="AK117" s="264">
        <v>3.184980237246926</v>
      </c>
      <c r="AL117" s="382">
        <v>3.2823234678660129</v>
      </c>
      <c r="AM117" s="382">
        <v>3.2112211431240976</v>
      </c>
      <c r="AN117" s="381">
        <v>3.2642503811026402</v>
      </c>
      <c r="AO117" s="381">
        <v>3.2601823584598453</v>
      </c>
      <c r="AP117" s="264">
        <v>3.2665491099026362</v>
      </c>
      <c r="AQ117" s="264">
        <v>3.150232724676246</v>
      </c>
      <c r="AR117" s="381">
        <v>3.2645154613845575</v>
      </c>
      <c r="AS117" s="381">
        <v>3.2448381730801117</v>
      </c>
      <c r="AT117" s="264">
        <v>3.2660719573511852</v>
      </c>
      <c r="AU117" s="264">
        <v>3.2035111525599369</v>
      </c>
      <c r="AV117" s="381">
        <v>3.2646617900375512</v>
      </c>
      <c r="AW117" s="381">
        <v>3.2396538649271425</v>
      </c>
      <c r="AX117" s="264">
        <v>3.2666501043283236</v>
      </c>
      <c r="AY117" s="264">
        <v>3.1467586306259503</v>
      </c>
      <c r="AZ117" s="382">
        <v>3.2664358728435818</v>
      </c>
      <c r="BA117" s="382">
        <v>3.1657128283539238</v>
      </c>
      <c r="BB117" s="663">
        <v>3.2744718685617515</v>
      </c>
      <c r="BC117" s="663">
        <v>3.1836845333306751</v>
      </c>
      <c r="BD117" s="381">
        <v>3.2706071594602646</v>
      </c>
      <c r="BE117" s="381">
        <v>3.2288000157244903</v>
      </c>
      <c r="BF117" s="26"/>
      <c r="BG117" s="4911"/>
      <c r="BH117" s="26"/>
      <c r="BI117" s="4911"/>
      <c r="BJ117" s="1219"/>
    </row>
    <row r="118" spans="1:62" x14ac:dyDescent="0.25">
      <c r="A118" s="93"/>
      <c r="B118" s="1035" t="s">
        <v>111</v>
      </c>
      <c r="C118" s="159" t="s">
        <v>324</v>
      </c>
      <c r="D118" s="264">
        <v>0.71546333630368797</v>
      </c>
      <c r="E118" s="264">
        <v>0.61791106572715715</v>
      </c>
      <c r="F118" s="264">
        <v>0.71547092574170856</v>
      </c>
      <c r="G118" s="264">
        <v>0.64777980583868877</v>
      </c>
      <c r="H118" s="381">
        <v>0.71546719052436825</v>
      </c>
      <c r="I118" s="381">
        <v>0.63381872997401234</v>
      </c>
      <c r="J118" s="264">
        <v>0.71546333630368797</v>
      </c>
      <c r="K118" s="264">
        <v>0.67079786505498851</v>
      </c>
      <c r="L118" s="382">
        <v>0.71546591928462988</v>
      </c>
      <c r="M118" s="382">
        <v>0.64679160616154463</v>
      </c>
      <c r="N118" s="264">
        <v>0.71546623834529244</v>
      </c>
      <c r="O118" s="264">
        <v>0.66587400922128304</v>
      </c>
      <c r="P118" s="381">
        <v>0.71546599912835096</v>
      </c>
      <c r="Q118" s="381">
        <v>0.65188612968933846</v>
      </c>
      <c r="R118" s="264">
        <v>0.71546623834529244</v>
      </c>
      <c r="S118" s="264">
        <v>0.67554009082433941</v>
      </c>
      <c r="T118" s="381">
        <v>0.71546604700942606</v>
      </c>
      <c r="U118" s="381">
        <v>0.65664189750609903</v>
      </c>
      <c r="V118" s="264">
        <v>0.70483669648078551</v>
      </c>
      <c r="W118" s="264">
        <v>0.69166624885775618</v>
      </c>
      <c r="X118" s="382">
        <v>0.71325682456985473</v>
      </c>
      <c r="Y118" s="382">
        <v>0.67721980243658286</v>
      </c>
      <c r="Z118" s="663">
        <v>0.71445565823443635</v>
      </c>
      <c r="AA118" s="663">
        <v>0.66229798755762526</v>
      </c>
      <c r="AB118" s="264">
        <v>0.81701267756632157</v>
      </c>
      <c r="AC118" s="264">
        <v>0.68506424212965822</v>
      </c>
      <c r="AD118" s="381">
        <v>0.80802493605962566</v>
      </c>
      <c r="AE118" s="381">
        <v>0.73983625151632382</v>
      </c>
      <c r="AF118" s="264">
        <v>0.81727170102299029</v>
      </c>
      <c r="AG118" s="264">
        <v>0.55436655130605716</v>
      </c>
      <c r="AH118" s="381">
        <v>0.80936646153094716</v>
      </c>
      <c r="AI118" s="381">
        <v>0.73855841408859624</v>
      </c>
      <c r="AJ118" s="264">
        <v>0.81726783510526924</v>
      </c>
      <c r="AK118" s="264">
        <v>0.65446924421470209</v>
      </c>
      <c r="AL118" s="382">
        <v>0.81718312498212542</v>
      </c>
      <c r="AM118" s="382">
        <v>0.66737668089490088</v>
      </c>
      <c r="AN118" s="381">
        <v>0.81039638303212846</v>
      </c>
      <c r="AO118" s="381">
        <v>0.72696011492403811</v>
      </c>
      <c r="AP118" s="264">
        <v>0.81726783510526924</v>
      </c>
      <c r="AQ118" s="264">
        <v>0.64543214993435782</v>
      </c>
      <c r="AR118" s="381">
        <v>0.81118877161347491</v>
      </c>
      <c r="AS118" s="381">
        <v>0.71677302989859848</v>
      </c>
      <c r="AT118" s="264">
        <v>0.81662511062433396</v>
      </c>
      <c r="AU118" s="264">
        <v>0.68030561395426636</v>
      </c>
      <c r="AV118" s="381">
        <v>0.8116998504609183</v>
      </c>
      <c r="AW118" s="381">
        <v>0.71303063700564429</v>
      </c>
      <c r="AX118" s="264">
        <v>0.81803001360680194</v>
      </c>
      <c r="AY118" s="264">
        <v>0.67066904239862601</v>
      </c>
      <c r="AZ118" s="382">
        <v>0.81733122612652331</v>
      </c>
      <c r="BA118" s="382">
        <v>0.66496881010664854</v>
      </c>
      <c r="BB118" s="663">
        <v>0.81725631610014382</v>
      </c>
      <c r="BC118" s="663">
        <v>0.66591970322688709</v>
      </c>
      <c r="BD118" s="381">
        <v>0.81229748923692469</v>
      </c>
      <c r="BE118" s="381">
        <v>0.70851725169765711</v>
      </c>
      <c r="BF118" s="26"/>
      <c r="BG118" s="4911"/>
      <c r="BH118" s="26"/>
      <c r="BI118" s="4911"/>
      <c r="BJ118" s="1219"/>
    </row>
    <row r="119" spans="1:62" x14ac:dyDescent="0.25">
      <c r="A119" s="93"/>
      <c r="B119" s="1035" t="s">
        <v>263</v>
      </c>
      <c r="C119" s="159" t="s">
        <v>324</v>
      </c>
      <c r="D119" s="264">
        <v>0.46313325568042807</v>
      </c>
      <c r="E119" s="264">
        <v>0.46845686070471748</v>
      </c>
      <c r="F119" s="264">
        <v>0.46314334621557507</v>
      </c>
      <c r="G119" s="264">
        <v>0.44453085597148223</v>
      </c>
      <c r="H119" s="381">
        <v>0.46313838005843</v>
      </c>
      <c r="I119" s="381">
        <v>0.45569641951194401</v>
      </c>
      <c r="J119" s="264">
        <v>0.46313325568042807</v>
      </c>
      <c r="K119" s="264">
        <v>0.40611159117348206</v>
      </c>
      <c r="L119" s="382">
        <v>0.4631366898819998</v>
      </c>
      <c r="M119" s="382">
        <v>0.4381209303926662</v>
      </c>
      <c r="N119" s="264">
        <v>0.46405383049987414</v>
      </c>
      <c r="O119" s="264">
        <v>0.41397634733447125</v>
      </c>
      <c r="P119" s="381">
        <v>0.46336620084418401</v>
      </c>
      <c r="Q119" s="381">
        <v>0.4316055461142137</v>
      </c>
      <c r="R119" s="264">
        <v>0.46405383049987414</v>
      </c>
      <c r="S119" s="264">
        <v>0.45489085509095062</v>
      </c>
      <c r="T119" s="381">
        <v>0.46350383510610671</v>
      </c>
      <c r="U119" s="381">
        <v>0.43630030721237612</v>
      </c>
      <c r="V119" s="264">
        <v>0.52703531913583501</v>
      </c>
      <c r="W119" s="264">
        <v>0.46106043435401112</v>
      </c>
      <c r="X119" s="382">
        <v>0.47714490915252067</v>
      </c>
      <c r="Y119" s="382">
        <v>0.44238769714422976</v>
      </c>
      <c r="Z119" s="663">
        <v>0.46954291511848451</v>
      </c>
      <c r="AA119" s="663">
        <v>0.44029737320444129</v>
      </c>
      <c r="AB119" s="264">
        <v>0.46022213347598301</v>
      </c>
      <c r="AC119" s="264">
        <v>0.45477925354776516</v>
      </c>
      <c r="AD119" s="381">
        <v>0.46995956709406167</v>
      </c>
      <c r="AE119" s="381">
        <v>0.47112196458832883</v>
      </c>
      <c r="AF119" s="264">
        <v>0.46225256821954935</v>
      </c>
      <c r="AG119" s="264">
        <v>1.617349115030037</v>
      </c>
      <c r="AH119" s="381">
        <v>0.46884143168794212</v>
      </c>
      <c r="AI119" s="381">
        <v>0.47717312543406215</v>
      </c>
      <c r="AJ119" s="264">
        <v>0.46293028186152901</v>
      </c>
      <c r="AK119" s="264">
        <v>0.41143311779770553</v>
      </c>
      <c r="AL119" s="382">
        <v>0.4617967921736324</v>
      </c>
      <c r="AM119" s="382">
        <v>0.45271837260527731</v>
      </c>
      <c r="AN119" s="381">
        <v>0.4680709301737862</v>
      </c>
      <c r="AO119" s="381">
        <v>0.46822296963164023</v>
      </c>
      <c r="AP119" s="264">
        <v>0.46293028186152901</v>
      </c>
      <c r="AQ119" s="264">
        <v>0.4093537576607208</v>
      </c>
      <c r="AR119" s="381">
        <v>0.46747813101285302</v>
      </c>
      <c r="AS119" s="381">
        <v>0.46086795043047213</v>
      </c>
      <c r="AT119" s="264">
        <v>0.46464648307262163</v>
      </c>
      <c r="AU119" s="264">
        <v>0.40849754344586642</v>
      </c>
      <c r="AV119" s="381">
        <v>0.46721192330160333</v>
      </c>
      <c r="AW119" s="381">
        <v>0.45553960296119322</v>
      </c>
      <c r="AX119" s="264">
        <v>0.46419408444145055</v>
      </c>
      <c r="AY119" s="264">
        <v>0.40559799869558871</v>
      </c>
      <c r="AZ119" s="382">
        <v>0.46389865076716769</v>
      </c>
      <c r="BA119" s="382">
        <v>0.40780205429645477</v>
      </c>
      <c r="BB119" s="663">
        <v>0.46283552405516359</v>
      </c>
      <c r="BC119" s="663">
        <v>0.42553997373743296</v>
      </c>
      <c r="BD119" s="381">
        <v>0.46692645854876241</v>
      </c>
      <c r="BE119" s="381">
        <v>0.45055475592972843</v>
      </c>
      <c r="BF119" s="26"/>
      <c r="BG119" s="4911"/>
      <c r="BH119" s="26"/>
      <c r="BI119" s="4911"/>
      <c r="BJ119" s="1219"/>
    </row>
    <row r="120" spans="1:62" x14ac:dyDescent="0.25">
      <c r="A120" s="93"/>
      <c r="B120" s="1035" t="s">
        <v>1395</v>
      </c>
      <c r="C120" s="159" t="s">
        <v>324</v>
      </c>
      <c r="D120" s="264">
        <v>0.1893044300675375</v>
      </c>
      <c r="E120" s="264">
        <v>0.16966471173547987</v>
      </c>
      <c r="F120" s="264">
        <v>0.19230797205670533</v>
      </c>
      <c r="G120" s="264">
        <v>0.16833085588563615</v>
      </c>
      <c r="H120" s="381">
        <v>0.19082974901970018</v>
      </c>
      <c r="I120" s="381">
        <v>0.16894915478000069</v>
      </c>
      <c r="J120" s="264">
        <v>0.18930443006753755</v>
      </c>
      <c r="K120" s="264">
        <v>0.15770875033244533</v>
      </c>
      <c r="L120" s="382">
        <v>0.19032665222620476</v>
      </c>
      <c r="M120" s="382">
        <v>0.16496776209933423</v>
      </c>
      <c r="N120" s="264">
        <v>0.19579131754254719</v>
      </c>
      <c r="O120" s="264">
        <v>0.14626592407130659</v>
      </c>
      <c r="P120" s="381">
        <v>0.19169416400174408</v>
      </c>
      <c r="Q120" s="381">
        <v>0.1599251477680364</v>
      </c>
      <c r="R120" s="264">
        <v>0.19579131754254719</v>
      </c>
      <c r="S120" s="264">
        <v>0.15213667429949701</v>
      </c>
      <c r="T120" s="381">
        <v>0.19251424018505883</v>
      </c>
      <c r="U120" s="381">
        <v>0.15835102679857527</v>
      </c>
      <c r="V120" s="264">
        <v>0.19603005814722854</v>
      </c>
      <c r="W120" s="264">
        <v>0.16595659005805058</v>
      </c>
      <c r="X120" s="382">
        <v>0.19584094120342202</v>
      </c>
      <c r="Y120" s="382">
        <v>0.15442848482668128</v>
      </c>
      <c r="Z120" s="663">
        <v>0.19284844150754898</v>
      </c>
      <c r="AA120" s="663">
        <v>0.15957816971832842</v>
      </c>
      <c r="AB120" s="264">
        <v>0.11770220258803937</v>
      </c>
      <c r="AC120" s="264">
        <v>0.17326387513816671</v>
      </c>
      <c r="AD120" s="381">
        <v>0.11290533017703933</v>
      </c>
      <c r="AE120" s="381">
        <v>0.16470175432672071</v>
      </c>
      <c r="AF120" s="264">
        <v>0.11709562598458645</v>
      </c>
      <c r="AG120" s="264">
        <v>1.1982609786899414</v>
      </c>
      <c r="AH120" s="381">
        <v>0.11351326047271221</v>
      </c>
      <c r="AI120" s="381">
        <v>0.17019727940121337</v>
      </c>
      <c r="AJ120" s="264">
        <v>0.11770220258803937</v>
      </c>
      <c r="AK120" s="264">
        <v>0.13398535987848034</v>
      </c>
      <c r="AL120" s="382">
        <v>0.11750437703540284</v>
      </c>
      <c r="AM120" s="382">
        <v>0.17091045037902583</v>
      </c>
      <c r="AN120" s="381">
        <v>0.11405927712553826</v>
      </c>
      <c r="AO120" s="381">
        <v>0.16526799043867674</v>
      </c>
      <c r="AP120" s="264">
        <v>0.11770220258803937</v>
      </c>
      <c r="AQ120" s="264">
        <v>0.15038328323783559</v>
      </c>
      <c r="AR120" s="381">
        <v>0.11447936483166742</v>
      </c>
      <c r="AS120" s="381">
        <v>0.16341165395488913</v>
      </c>
      <c r="AT120" s="264">
        <v>0.11626875536966685</v>
      </c>
      <c r="AU120" s="264">
        <v>0.15798378580132688</v>
      </c>
      <c r="AV120" s="381">
        <v>0.11464758827247194</v>
      </c>
      <c r="AW120" s="381">
        <v>0.16286648661479941</v>
      </c>
      <c r="AX120" s="264">
        <v>0.13078022509782147</v>
      </c>
      <c r="AY120" s="264">
        <v>0.17092812894293194</v>
      </c>
      <c r="AZ120" s="382">
        <v>0.12176729123045776</v>
      </c>
      <c r="BA120" s="382">
        <v>0.15978394918690839</v>
      </c>
      <c r="BB120" s="663">
        <v>0.11961109577293112</v>
      </c>
      <c r="BC120" s="663">
        <v>0.16417791978015181</v>
      </c>
      <c r="BD120" s="381">
        <v>0.11617361381506304</v>
      </c>
      <c r="BE120" s="381">
        <v>0.163670852673861</v>
      </c>
      <c r="BF120" s="26"/>
      <c r="BG120" s="4911"/>
      <c r="BH120" s="26"/>
      <c r="BI120" s="4911"/>
      <c r="BJ120" s="1219"/>
    </row>
    <row r="121" spans="1:62" x14ac:dyDescent="0.25">
      <c r="A121" s="93"/>
      <c r="B121" s="1035" t="s">
        <v>95</v>
      </c>
      <c r="C121" s="159" t="s">
        <v>324</v>
      </c>
      <c r="D121" s="264">
        <v>0.14480159037582996</v>
      </c>
      <c r="E121" s="264">
        <v>0.15534894228649521</v>
      </c>
      <c r="F121" s="264">
        <v>0.14587004957069519</v>
      </c>
      <c r="G121" s="264">
        <v>0.15242590717043064</v>
      </c>
      <c r="H121" s="381">
        <v>0.14534419676036461</v>
      </c>
      <c r="I121" s="381">
        <v>0.15378591312222678</v>
      </c>
      <c r="J121" s="264">
        <v>0.14480159037582996</v>
      </c>
      <c r="K121" s="264">
        <v>0.14231140671574194</v>
      </c>
      <c r="L121" s="382">
        <v>0.14516522859649145</v>
      </c>
      <c r="M121" s="382">
        <v>0.1497216835483908</v>
      </c>
      <c r="N121" s="264">
        <v>0.14874037718916616</v>
      </c>
      <c r="O121" s="264">
        <v>0.14718654167285952</v>
      </c>
      <c r="P121" s="381">
        <v>0.14605989597624194</v>
      </c>
      <c r="Q121" s="381">
        <v>0.14903914793463705</v>
      </c>
      <c r="R121" s="264">
        <v>0.14874037718916616</v>
      </c>
      <c r="S121" s="264">
        <v>0.15125560159567672</v>
      </c>
      <c r="T121" s="381">
        <v>0.14659641450810806</v>
      </c>
      <c r="U121" s="381">
        <v>0.14948280867398675</v>
      </c>
      <c r="V121" s="264">
        <v>0.17370819699742648</v>
      </c>
      <c r="W121" s="264">
        <v>0.15749448528828525</v>
      </c>
      <c r="X121" s="382">
        <v>0.15393008768941013</v>
      </c>
      <c r="Y121" s="382">
        <v>0.15178907831632449</v>
      </c>
      <c r="Z121" s="663">
        <v>0.14917356544723243</v>
      </c>
      <c r="AA121" s="663">
        <v>0.15077564913879335</v>
      </c>
      <c r="AB121" s="264">
        <v>0.15106641265708332</v>
      </c>
      <c r="AC121" s="264">
        <v>0.16307786621803241</v>
      </c>
      <c r="AD121" s="381">
        <v>0.15969413707316113</v>
      </c>
      <c r="AE121" s="381">
        <v>0.16828224857220275</v>
      </c>
      <c r="AF121" s="264">
        <v>0.15119106651861594</v>
      </c>
      <c r="AG121" s="264">
        <v>0.63896268218686458</v>
      </c>
      <c r="AH121" s="381">
        <v>0.15846050717356272</v>
      </c>
      <c r="AI121" s="381">
        <v>0.17077913961167387</v>
      </c>
      <c r="AJ121" s="264">
        <v>0.15106641265708334</v>
      </c>
      <c r="AK121" s="264">
        <v>0.14800624567299731</v>
      </c>
      <c r="AL121" s="382">
        <v>0.15110706658093337</v>
      </c>
      <c r="AM121" s="382">
        <v>0.16358403542568825</v>
      </c>
      <c r="AN121" s="381">
        <v>0.15749670805020052</v>
      </c>
      <c r="AO121" s="381">
        <v>0.16767872605749704</v>
      </c>
      <c r="AP121" s="264">
        <v>0.15106641265708332</v>
      </c>
      <c r="AQ121" s="264">
        <v>0.13525657927221643</v>
      </c>
      <c r="AR121" s="381">
        <v>0.1567551919063119</v>
      </c>
      <c r="AS121" s="381">
        <v>0.16363360713385253</v>
      </c>
      <c r="AT121" s="264">
        <v>0.15214121904443798</v>
      </c>
      <c r="AU121" s="264">
        <v>0.1484567773368177</v>
      </c>
      <c r="AV121" s="381">
        <v>0.15632142500405094</v>
      </c>
      <c r="AW121" s="381">
        <v>0.16209669316489372</v>
      </c>
      <c r="AX121" s="264">
        <v>0.15106641265708332</v>
      </c>
      <c r="AY121" s="264">
        <v>0.14510088541511848</v>
      </c>
      <c r="AZ121" s="382">
        <v>0.15139993434736543</v>
      </c>
      <c r="BA121" s="382">
        <v>0.14275125439937716</v>
      </c>
      <c r="BB121" s="663">
        <v>0.15125180090654472</v>
      </c>
      <c r="BC121" s="663">
        <v>0.15097833545788106</v>
      </c>
      <c r="BD121" s="381">
        <v>0.15582434054384017</v>
      </c>
      <c r="BE121" s="381">
        <v>0.16039864896537262</v>
      </c>
      <c r="BF121" s="26"/>
      <c r="BG121" s="4911"/>
      <c r="BH121" s="26"/>
      <c r="BI121" s="4911"/>
      <c r="BJ121" s="1219"/>
    </row>
    <row r="122" spans="1:62" x14ac:dyDescent="0.25">
      <c r="A122" s="93"/>
      <c r="B122" s="1035" t="s">
        <v>51</v>
      </c>
      <c r="C122" s="159" t="s">
        <v>324</v>
      </c>
      <c r="D122" s="264">
        <v>0.12829089813435354</v>
      </c>
      <c r="E122" s="264">
        <v>0.14253984371018205</v>
      </c>
      <c r="F122" s="264">
        <v>0.12871788398279943</v>
      </c>
      <c r="G122" s="264">
        <v>0.13296519318283465</v>
      </c>
      <c r="H122" s="381">
        <v>0.12850773865440906</v>
      </c>
      <c r="I122" s="381">
        <v>0.13743032982893802</v>
      </c>
      <c r="J122" s="264">
        <v>0.12829089813435354</v>
      </c>
      <c r="K122" s="264">
        <v>0.12612222014861924</v>
      </c>
      <c r="L122" s="382">
        <v>0.12843621802576605</v>
      </c>
      <c r="M122" s="382">
        <v>0.13342482782321458</v>
      </c>
      <c r="N122" s="264">
        <v>0.13125070342362591</v>
      </c>
      <c r="O122" s="264">
        <v>0.13411268691730685</v>
      </c>
      <c r="P122" s="381">
        <v>0.12914053232515169</v>
      </c>
      <c r="Q122" s="381">
        <v>0.13361113693000554</v>
      </c>
      <c r="R122" s="264">
        <v>0.13125070342362591</v>
      </c>
      <c r="S122" s="264">
        <v>0.12932818675311417</v>
      </c>
      <c r="T122" s="381">
        <v>0.12956289898613813</v>
      </c>
      <c r="U122" s="381">
        <v>0.13274569304598088</v>
      </c>
      <c r="V122" s="264">
        <v>0.14663070466281203</v>
      </c>
      <c r="W122" s="264">
        <v>0.13945374923608714</v>
      </c>
      <c r="X122" s="382">
        <v>0.13444752855844858</v>
      </c>
      <c r="Y122" s="382">
        <v>0.13421670897708782</v>
      </c>
      <c r="Z122" s="663">
        <v>0.13118530472230697</v>
      </c>
      <c r="AA122" s="663">
        <v>0.13382828900223104</v>
      </c>
      <c r="AB122" s="264">
        <v>0.1338536104879417</v>
      </c>
      <c r="AC122" s="264">
        <v>0.15183542421358789</v>
      </c>
      <c r="AD122" s="381">
        <v>0.14467797281921621</v>
      </c>
      <c r="AE122" s="381">
        <v>0.15172774312297255</v>
      </c>
      <c r="AF122" s="264">
        <v>0.13372662031288798</v>
      </c>
      <c r="AG122" s="264">
        <v>2.1477171903331542</v>
      </c>
      <c r="AH122" s="381">
        <v>0.14308914490038552</v>
      </c>
      <c r="AI122" s="381">
        <v>0.16235954844580097</v>
      </c>
      <c r="AJ122" s="264">
        <v>0.1338536104879417</v>
      </c>
      <c r="AK122" s="264">
        <v>0.12420847092333449</v>
      </c>
      <c r="AL122" s="382">
        <v>0.13381219461166752</v>
      </c>
      <c r="AM122" s="382">
        <v>0.17193620136487406</v>
      </c>
      <c r="AN122" s="381">
        <v>0.14188531934058823</v>
      </c>
      <c r="AO122" s="381">
        <v>0.15716465936190252</v>
      </c>
      <c r="AP122" s="264">
        <v>0.1338536104879417</v>
      </c>
      <c r="AQ122" s="264">
        <v>0.125495218791501</v>
      </c>
      <c r="AR122" s="381">
        <v>0.14095913455230849</v>
      </c>
      <c r="AS122" s="381">
        <v>0.1532118521419277</v>
      </c>
      <c r="AT122" s="264">
        <v>0.13240508748107921</v>
      </c>
      <c r="AU122" s="264">
        <v>0.13090243522034123</v>
      </c>
      <c r="AV122" s="381">
        <v>0.14015495502829312</v>
      </c>
      <c r="AW122" s="381">
        <v>0.15094807224580054</v>
      </c>
      <c r="AX122" s="264">
        <v>0.1338536104879417</v>
      </c>
      <c r="AY122" s="264">
        <v>0.14213628313334001</v>
      </c>
      <c r="AZ122" s="382">
        <v>0.13340412130798779</v>
      </c>
      <c r="BA122" s="382">
        <v>0.13287529170299262</v>
      </c>
      <c r="BB122" s="663">
        <v>0.13361052607324267</v>
      </c>
      <c r="BC122" s="663">
        <v>0.14830084960624773</v>
      </c>
      <c r="BD122" s="381">
        <v>0.13955889544886127</v>
      </c>
      <c r="BE122" s="381">
        <v>0.15006674695123173</v>
      </c>
      <c r="BF122" s="26"/>
      <c r="BG122" s="4911"/>
      <c r="BH122" s="26"/>
      <c r="BI122" s="4911"/>
      <c r="BJ122" s="1219"/>
    </row>
    <row r="123" spans="1:62" x14ac:dyDescent="0.25">
      <c r="A123" s="93"/>
      <c r="B123" s="1035" t="s">
        <v>112</v>
      </c>
      <c r="C123" s="159" t="s">
        <v>324</v>
      </c>
      <c r="D123" s="264">
        <v>0.14379359429747829</v>
      </c>
      <c r="E123" s="264">
        <v>0.2958634894040173</v>
      </c>
      <c r="F123" s="264">
        <v>0.10992075397450803</v>
      </c>
      <c r="G123" s="264">
        <v>0.23797425917263368</v>
      </c>
      <c r="H123" s="381">
        <v>0.12659160894333954</v>
      </c>
      <c r="I123" s="381">
        <v>0.26499001115342175</v>
      </c>
      <c r="J123" s="264">
        <v>0.11002862630336677</v>
      </c>
      <c r="K123" s="264">
        <v>0.18439463154368232</v>
      </c>
      <c r="L123" s="382">
        <v>0.12112863121984398</v>
      </c>
      <c r="M123" s="382">
        <v>0.23643179006802609</v>
      </c>
      <c r="N123" s="264">
        <v>0.11274189219427787</v>
      </c>
      <c r="O123" s="264">
        <v>0.15851427497370432</v>
      </c>
      <c r="P123" s="381">
        <v>0.11902988157793305</v>
      </c>
      <c r="Q123" s="381">
        <v>0.21542674998256198</v>
      </c>
      <c r="R123" s="264">
        <v>0.11229173017373491</v>
      </c>
      <c r="S123" s="264">
        <v>0.16097800292256392</v>
      </c>
      <c r="T123" s="381">
        <v>0.11768118975295727</v>
      </c>
      <c r="U123" s="381">
        <v>0.20445588027982894</v>
      </c>
      <c r="V123" s="264">
        <v>0.23183575803613646</v>
      </c>
      <c r="W123" s="264">
        <v>0.18188982766944731</v>
      </c>
      <c r="X123" s="382">
        <v>0.13731796707634775</v>
      </c>
      <c r="Y123" s="382">
        <v>0.16671348927448665</v>
      </c>
      <c r="Z123" s="663">
        <v>0.12853232257582645</v>
      </c>
      <c r="AA123" s="663">
        <v>0.20081250707501569</v>
      </c>
      <c r="AB123" s="264">
        <v>0.17549273747230765</v>
      </c>
      <c r="AC123" s="264">
        <v>0.3222849101855576</v>
      </c>
      <c r="AD123" s="381">
        <v>0.21208591026589221</v>
      </c>
      <c r="AE123" s="381">
        <v>0.27960950396999468</v>
      </c>
      <c r="AF123" s="264">
        <v>0.16890769171154799</v>
      </c>
      <c r="AG123" s="264">
        <v>4.1656680213804167</v>
      </c>
      <c r="AH123" s="381">
        <v>0.20582159185546084</v>
      </c>
      <c r="AI123" s="381">
        <v>0.30028416046753648</v>
      </c>
      <c r="AJ123" s="264">
        <v>0.16650163018884867</v>
      </c>
      <c r="AK123" s="264">
        <v>0.33061791399257429</v>
      </c>
      <c r="AL123" s="382">
        <v>0.17031572837907577</v>
      </c>
      <c r="AM123" s="382">
        <v>0.39207998155437379</v>
      </c>
      <c r="AN123" s="381">
        <v>0.2006963470400942</v>
      </c>
      <c r="AO123" s="381">
        <v>0.30439031777411124</v>
      </c>
      <c r="AP123" s="264">
        <v>0.1665144571995047</v>
      </c>
      <c r="AQ123" s="264">
        <v>0.28720522357162143</v>
      </c>
      <c r="AR123" s="381">
        <v>0.19675462716629974</v>
      </c>
      <c r="AS123" s="381">
        <v>0.30224065350715557</v>
      </c>
      <c r="AT123" s="264">
        <v>0.16330152703055403</v>
      </c>
      <c r="AU123" s="264">
        <v>0.25476138438668389</v>
      </c>
      <c r="AV123" s="381">
        <v>0.19360964819669754</v>
      </c>
      <c r="AW123" s="381">
        <v>0.29740368690096869</v>
      </c>
      <c r="AX123" s="264">
        <v>0.16205232282697576</v>
      </c>
      <c r="AY123" s="264">
        <v>0.26812296256367324</v>
      </c>
      <c r="AZ123" s="382">
        <v>0.16397870946289766</v>
      </c>
      <c r="BA123" s="382">
        <v>0.27053250902646558</v>
      </c>
      <c r="BB123" s="663">
        <v>0.16718399363614558</v>
      </c>
      <c r="BC123" s="663">
        <v>0.31853286518056873</v>
      </c>
      <c r="BD123" s="381">
        <v>0.19062456366951186</v>
      </c>
      <c r="BE123" s="381">
        <v>0.29447973420025547</v>
      </c>
      <c r="BF123" s="26"/>
      <c r="BG123" s="4911"/>
      <c r="BH123" s="26"/>
      <c r="BI123" s="4911"/>
      <c r="BJ123" s="1219"/>
    </row>
    <row r="124" spans="1:62" x14ac:dyDescent="0.25">
      <c r="A124" s="93"/>
      <c r="B124" s="1035" t="s">
        <v>9</v>
      </c>
      <c r="C124" s="159" t="s">
        <v>324</v>
      </c>
      <c r="D124" s="264">
        <v>0.1218700272045817</v>
      </c>
      <c r="E124" s="264">
        <v>0.13416802595039776</v>
      </c>
      <c r="F124" s="264">
        <v>0.13525686514179952</v>
      </c>
      <c r="G124" s="264">
        <v>0.14682286647839049</v>
      </c>
      <c r="H124" s="381">
        <v>0.12866839982224759</v>
      </c>
      <c r="I124" s="381">
        <v>0.14091786399184808</v>
      </c>
      <c r="J124" s="264">
        <v>0.13453136659696491</v>
      </c>
      <c r="K124" s="264">
        <v>0.14988834146014768</v>
      </c>
      <c r="L124" s="382">
        <v>0.13060218539578169</v>
      </c>
      <c r="M124" s="382">
        <v>0.14409623318923276</v>
      </c>
      <c r="N124" s="264">
        <v>0.13880626957271155</v>
      </c>
      <c r="O124" s="264">
        <v>0.15582470878570653</v>
      </c>
      <c r="P124" s="381">
        <v>0.13265522635437721</v>
      </c>
      <c r="Q124" s="381">
        <v>0.14725859931966356</v>
      </c>
      <c r="R124" s="264">
        <v>0.13607225693899502</v>
      </c>
      <c r="S124" s="264">
        <v>0.1626490762484378</v>
      </c>
      <c r="T124" s="381">
        <v>0.13333917079829324</v>
      </c>
      <c r="U124" s="381">
        <v>0.150362069227124</v>
      </c>
      <c r="V124" s="264">
        <v>0.20973948699766887</v>
      </c>
      <c r="W124" s="264">
        <v>0.16277446631429987</v>
      </c>
      <c r="X124" s="382">
        <v>0.15246729666863662</v>
      </c>
      <c r="Y124" s="382">
        <v>0.160278146238369</v>
      </c>
      <c r="Z124" s="663">
        <v>0.14060151685466901</v>
      </c>
      <c r="AA124" s="663">
        <v>0.15236579208975401</v>
      </c>
      <c r="AB124" s="264">
        <v>0.17986500064199146</v>
      </c>
      <c r="AC124" s="264">
        <v>0.13906206899532186</v>
      </c>
      <c r="AD124" s="381">
        <v>0.20535979146045782</v>
      </c>
      <c r="AE124" s="381">
        <v>0.15986297713151576</v>
      </c>
      <c r="AF124" s="264">
        <v>0.18034433382808013</v>
      </c>
      <c r="AG124" s="264">
        <v>1.8384881965973534</v>
      </c>
      <c r="AH124" s="381">
        <v>0.20173053585338269</v>
      </c>
      <c r="AI124" s="381">
        <v>0.16880525187042472</v>
      </c>
      <c r="AJ124" s="264">
        <v>0.18118847987330119</v>
      </c>
      <c r="AK124" s="264">
        <v>0.15336245301946239</v>
      </c>
      <c r="AL124" s="382">
        <v>0.18046725122933896</v>
      </c>
      <c r="AM124" s="382">
        <v>0.17528664290412124</v>
      </c>
      <c r="AN124" s="381">
        <v>0.19905293746705763</v>
      </c>
      <c r="AO124" s="381">
        <v>0.16670143472310264</v>
      </c>
      <c r="AP124" s="264">
        <v>0.18128423238267347</v>
      </c>
      <c r="AQ124" s="264">
        <v>0.1385277059094146</v>
      </c>
      <c r="AR124" s="381">
        <v>0.19700392091796265</v>
      </c>
      <c r="AS124" s="381">
        <v>0.16318363378881828</v>
      </c>
      <c r="AT124" s="264">
        <v>0.18297229294773804</v>
      </c>
      <c r="AU124" s="264">
        <v>0.13717484954068918</v>
      </c>
      <c r="AV124" s="381">
        <v>0.19568478533122866</v>
      </c>
      <c r="AW124" s="381">
        <v>0.16054060032214282</v>
      </c>
      <c r="AX124" s="264">
        <v>0.18018193867684723</v>
      </c>
      <c r="AY124" s="264">
        <v>0.13311986604897441</v>
      </c>
      <c r="AZ124" s="382">
        <v>0.18142793090072454</v>
      </c>
      <c r="BA124" s="382">
        <v>0.13625589584972653</v>
      </c>
      <c r="BB124" s="663">
        <v>0.18094201609015134</v>
      </c>
      <c r="BC124" s="663">
        <v>0.1516695422267953</v>
      </c>
      <c r="BD124" s="381">
        <v>0.19421833318000387</v>
      </c>
      <c r="BE124" s="381">
        <v>0.15780014949368984</v>
      </c>
      <c r="BF124" s="26"/>
      <c r="BG124" s="4911"/>
      <c r="BH124" s="26"/>
      <c r="BI124" s="4911"/>
      <c r="BJ124" s="1219"/>
    </row>
    <row r="125" spans="1:62" x14ac:dyDescent="0.25">
      <c r="A125" s="93"/>
      <c r="B125" s="1035" t="s">
        <v>99</v>
      </c>
      <c r="C125" s="159" t="s">
        <v>324</v>
      </c>
      <c r="D125" s="264">
        <v>4.7615069247311792E-2</v>
      </c>
      <c r="E125" s="264">
        <v>5.9018754120684316E-2</v>
      </c>
      <c r="F125" s="264">
        <v>4.7683064521806241E-2</v>
      </c>
      <c r="G125" s="264">
        <v>5.3372309023779332E-2</v>
      </c>
      <c r="H125" s="381">
        <v>4.7649599971775751E-2</v>
      </c>
      <c r="I125" s="381">
        <v>5.6007053591567144E-2</v>
      </c>
      <c r="J125" s="264">
        <v>4.7615069247311792E-2</v>
      </c>
      <c r="K125" s="264">
        <v>4.9738553964969005E-2</v>
      </c>
      <c r="L125" s="382">
        <v>4.7638210683830264E-2</v>
      </c>
      <c r="M125" s="382">
        <v>5.3786034008450799E-2</v>
      </c>
      <c r="N125" s="264">
        <v>4.8621338125147573E-2</v>
      </c>
      <c r="O125" s="264">
        <v>4.8381044854965333E-2</v>
      </c>
      <c r="P125" s="381">
        <v>4.7884234598384846E-2</v>
      </c>
      <c r="Q125" s="381">
        <v>5.2328678830982814E-2</v>
      </c>
      <c r="R125" s="264">
        <v>4.8621338125147573E-2</v>
      </c>
      <c r="S125" s="264">
        <v>5.2126808320060926E-2</v>
      </c>
      <c r="T125" s="381">
        <v>4.8031771428751459E-2</v>
      </c>
      <c r="U125" s="381">
        <v>5.228797190170769E-2</v>
      </c>
      <c r="V125" s="264">
        <v>5.9727504701912203E-2</v>
      </c>
      <c r="W125" s="264">
        <v>5.2973436280841266E-2</v>
      </c>
      <c r="X125" s="382">
        <v>5.0929821194295052E-2</v>
      </c>
      <c r="Y125" s="382">
        <v>5.1071147390420034E-2</v>
      </c>
      <c r="Z125" s="663">
        <v>4.9143526806714875E-2</v>
      </c>
      <c r="AA125" s="663">
        <v>5.2398625842146627E-2</v>
      </c>
      <c r="AB125" s="264">
        <v>4.9540695392997346E-2</v>
      </c>
      <c r="AC125" s="264">
        <v>7.4018064719778315E-2</v>
      </c>
      <c r="AD125" s="381">
        <v>7.0114971731984804E-2</v>
      </c>
      <c r="AE125" s="381">
        <v>6.3859373543599551E-2</v>
      </c>
      <c r="AF125" s="264">
        <v>4.9529980630742453E-2</v>
      </c>
      <c r="AG125" s="264">
        <v>1.6371929930687408</v>
      </c>
      <c r="AH125" s="381">
        <v>6.7128490514104536E-2</v>
      </c>
      <c r="AI125" s="381">
        <v>7.2240744988878267E-2</v>
      </c>
      <c r="AJ125" s="264">
        <v>4.9540695392997346E-2</v>
      </c>
      <c r="AK125" s="264">
        <v>4.3076173245504244E-2</v>
      </c>
      <c r="AL125" s="382">
        <v>4.9537200939448731E-2</v>
      </c>
      <c r="AM125" s="382">
        <v>8.5060175184437259E-2</v>
      </c>
      <c r="AN125" s="381">
        <v>6.4835971601637551E-2</v>
      </c>
      <c r="AO125" s="381">
        <v>6.8267571037694597E-2</v>
      </c>
      <c r="AP125" s="264">
        <v>4.9540695392997346E-2</v>
      </c>
      <c r="AQ125" s="264">
        <v>4.2408339558946115E-2</v>
      </c>
      <c r="AR125" s="381">
        <v>6.3072181053837537E-2</v>
      </c>
      <c r="AS125" s="381">
        <v>6.5038760635728304E-2</v>
      </c>
      <c r="AT125" s="264">
        <v>4.9726671676609352E-2</v>
      </c>
      <c r="AU125" s="264">
        <v>4.4915121105237481E-2</v>
      </c>
      <c r="AV125" s="381">
        <v>6.1817548563583992E-2</v>
      </c>
      <c r="AW125" s="381">
        <v>6.2993780284359965E-2</v>
      </c>
      <c r="AX125" s="264">
        <v>4.9540695392997346E-2</v>
      </c>
      <c r="AY125" s="264">
        <v>4.7619113724109693E-2</v>
      </c>
      <c r="AZ125" s="382">
        <v>4.9598405437515522E-2</v>
      </c>
      <c r="BA125" s="382">
        <v>4.4973780812238504E-2</v>
      </c>
      <c r="BB125" s="663">
        <v>4.9567448009175785E-2</v>
      </c>
      <c r="BC125" s="663">
        <v>6.0804313251796839E-2</v>
      </c>
      <c r="BD125" s="381">
        <v>6.0656251019743077E-2</v>
      </c>
      <c r="BE125" s="381">
        <v>6.1457223411284061E-2</v>
      </c>
      <c r="BF125" s="26"/>
      <c r="BG125" s="4911"/>
      <c r="BH125" s="26"/>
      <c r="BI125" s="4911"/>
      <c r="BJ125" s="1219"/>
    </row>
    <row r="126" spans="1:62" x14ac:dyDescent="0.25">
      <c r="A126" s="93"/>
      <c r="B126" s="1035" t="s">
        <v>1396</v>
      </c>
      <c r="C126" s="159" t="s">
        <v>324</v>
      </c>
      <c r="D126" s="264">
        <v>0.13944865924618277</v>
      </c>
      <c r="E126" s="264">
        <v>0.13091407814904663</v>
      </c>
      <c r="F126" s="264">
        <v>0.13976504945815149</v>
      </c>
      <c r="G126" s="264">
        <v>0.1208808761480521</v>
      </c>
      <c r="H126" s="381">
        <v>0.13960933487127314</v>
      </c>
      <c r="I126" s="381">
        <v>0.12556223985088177</v>
      </c>
      <c r="J126" s="264">
        <v>0.13933464809062721</v>
      </c>
      <c r="K126" s="264">
        <v>0.11619484146375993</v>
      </c>
      <c r="L126" s="382">
        <v>0.13951873477851051</v>
      </c>
      <c r="M126" s="382">
        <v>0.12224340820406754</v>
      </c>
      <c r="N126" s="264">
        <v>0.14401452908333354</v>
      </c>
      <c r="O126" s="264">
        <v>0.11647569941935632</v>
      </c>
      <c r="P126" s="381">
        <v>0.14064379025699736</v>
      </c>
      <c r="Q126" s="381">
        <v>0.12068591445671061</v>
      </c>
      <c r="R126" s="264">
        <v>0.14401452908333354</v>
      </c>
      <c r="S126" s="264">
        <v>0.12052688254760668</v>
      </c>
      <c r="T126" s="381">
        <v>0.14131846905634515</v>
      </c>
      <c r="U126" s="381">
        <v>0.1206538902214167</v>
      </c>
      <c r="V126" s="264">
        <v>0.23027862859554835</v>
      </c>
      <c r="W126" s="264">
        <v>0.12066488205867364</v>
      </c>
      <c r="X126" s="382">
        <v>0.16194503749258282</v>
      </c>
      <c r="Y126" s="382">
        <v>0.11913949439754598</v>
      </c>
      <c r="Z126" s="663">
        <v>0.14977470976244542</v>
      </c>
      <c r="AA126" s="663">
        <v>0.12065676442368946</v>
      </c>
      <c r="AB126" s="264">
        <v>0.13802890071544147</v>
      </c>
      <c r="AC126" s="264">
        <v>0.13000814896982443</v>
      </c>
      <c r="AD126" s="381">
        <v>0.17443642296315742</v>
      </c>
      <c r="AE126" s="381">
        <v>0.13573869130887042</v>
      </c>
      <c r="AF126" s="264">
        <v>0.13798094041265205</v>
      </c>
      <c r="AG126" s="264">
        <v>2.7916760023692215</v>
      </c>
      <c r="AH126" s="381">
        <v>0.1691474425895261</v>
      </c>
      <c r="AI126" s="381">
        <v>0.1498989898220342</v>
      </c>
      <c r="AJ126" s="264">
        <v>0.13802890071544147</v>
      </c>
      <c r="AK126" s="264">
        <v>0.11066672156901437</v>
      </c>
      <c r="AL126" s="382">
        <v>0.13801325920643845</v>
      </c>
      <c r="AM126" s="382">
        <v>0.16565620474032894</v>
      </c>
      <c r="AN126" s="381">
        <v>0.16509122944379079</v>
      </c>
      <c r="AO126" s="381">
        <v>0.14455707735784873</v>
      </c>
      <c r="AP126" s="264">
        <v>0.13802890071544147</v>
      </c>
      <c r="AQ126" s="264">
        <v>0.10939684451231479</v>
      </c>
      <c r="AR126" s="381">
        <v>0.16197050910102537</v>
      </c>
      <c r="AS126" s="381">
        <v>0.1401682477431016</v>
      </c>
      <c r="AT126" s="264">
        <v>0.13886134838544203</v>
      </c>
      <c r="AU126" s="264">
        <v>0.10644617341786547</v>
      </c>
      <c r="AV126" s="381">
        <v>0.1597979802722844</v>
      </c>
      <c r="AW126" s="381">
        <v>0.13674247987622323</v>
      </c>
      <c r="AX126" s="264">
        <v>0.13802890071544147</v>
      </c>
      <c r="AY126" s="264">
        <v>0.11785150153595526</v>
      </c>
      <c r="AZ126" s="382">
        <v>0.1382872164058174</v>
      </c>
      <c r="BA126" s="382">
        <v>0.11136384011198806</v>
      </c>
      <c r="BB126" s="663">
        <v>0.13814864798951126</v>
      </c>
      <c r="BC126" s="663">
        <v>0.13280445738200511</v>
      </c>
      <c r="BD126" s="381">
        <v>0.15773878983726247</v>
      </c>
      <c r="BE126" s="381">
        <v>0.13485420153844863</v>
      </c>
      <c r="BF126" s="26"/>
      <c r="BG126" s="4911"/>
      <c r="BH126" s="26"/>
      <c r="BI126" s="4911"/>
      <c r="BJ126" s="1219"/>
    </row>
    <row r="127" spans="1:62" x14ac:dyDescent="0.25">
      <c r="A127" s="93"/>
      <c r="B127" s="4197" t="s">
        <v>1951</v>
      </c>
      <c r="C127" s="2656" t="s">
        <v>324</v>
      </c>
      <c r="D127" s="2736">
        <v>0.14720914761608717</v>
      </c>
      <c r="E127" s="2736">
        <v>0.15748797589156044</v>
      </c>
      <c r="F127" s="2736">
        <v>0.14721070917018117</v>
      </c>
      <c r="G127" s="2736">
        <v>0.14388549291912595</v>
      </c>
      <c r="H127" s="381">
        <v>0.14720994063581622</v>
      </c>
      <c r="I127" s="381">
        <v>0.15028737676582671</v>
      </c>
      <c r="J127" s="2736">
        <v>0.14720914761608717</v>
      </c>
      <c r="K127" s="2736">
        <v>0.12945776817874627</v>
      </c>
      <c r="L127" s="382">
        <v>0.14720967907368043</v>
      </c>
      <c r="M127" s="382">
        <v>0.14297642082290851</v>
      </c>
      <c r="N127" s="2736">
        <v>0.14720974472155615</v>
      </c>
      <c r="O127" s="2736">
        <v>0.10560516015569504</v>
      </c>
      <c r="P127" s="381">
        <v>0.14720969550181243</v>
      </c>
      <c r="Q127" s="381">
        <v>0.13296737373172313</v>
      </c>
      <c r="R127" s="2736">
        <v>0.14720974472155615</v>
      </c>
      <c r="S127" s="2736">
        <v>0.14314597451264105</v>
      </c>
      <c r="T127" s="381">
        <v>0.14720970535351535</v>
      </c>
      <c r="U127" s="381">
        <v>0.13500644249739621</v>
      </c>
      <c r="V127" s="2736">
        <v>0.14502267835766997</v>
      </c>
      <c r="W127" s="2736">
        <v>0.14709029193716019</v>
      </c>
      <c r="X127" s="382">
        <v>0.146755149912696</v>
      </c>
      <c r="Y127" s="382">
        <v>0.13113156282924104</v>
      </c>
      <c r="Z127" s="663">
        <v>0.1470018142390726</v>
      </c>
      <c r="AA127" s="663">
        <v>0.13694719123190952</v>
      </c>
      <c r="AB127" s="2736">
        <v>0</v>
      </c>
      <c r="AC127" s="2736">
        <v>0.12514886134164527</v>
      </c>
      <c r="AD127" s="381">
        <v>0</v>
      </c>
      <c r="AE127" s="381">
        <v>0.10005521134980036</v>
      </c>
      <c r="AF127" s="2736">
        <v>0</v>
      </c>
      <c r="AG127" s="2736">
        <v>0.19235113105324972</v>
      </c>
      <c r="AH127" s="381">
        <v>0</v>
      </c>
      <c r="AI127" s="381">
        <v>0.10068763741475521</v>
      </c>
      <c r="AJ127" s="2736">
        <v>0</v>
      </c>
      <c r="AK127" s="2736">
        <v>0.17586549569087356</v>
      </c>
      <c r="AL127" s="382">
        <v>0</v>
      </c>
      <c r="AM127" s="382">
        <v>0.15191881533726634</v>
      </c>
      <c r="AN127" s="381">
        <v>0</v>
      </c>
      <c r="AO127" s="381">
        <v>0.11103214321220727</v>
      </c>
      <c r="AP127" s="2736">
        <v>0</v>
      </c>
      <c r="AQ127" s="2736">
        <v>0.14491646623344345</v>
      </c>
      <c r="AR127" s="381">
        <v>0</v>
      </c>
      <c r="AS127" s="381">
        <v>0.11522689522251382</v>
      </c>
      <c r="AT127" s="2736">
        <v>0</v>
      </c>
      <c r="AU127" s="2736">
        <v>0.11836101471349751</v>
      </c>
      <c r="AV127" s="381">
        <v>0</v>
      </c>
      <c r="AW127" s="381">
        <v>0.11554348605747113</v>
      </c>
      <c r="AX127" s="2736">
        <v>0</v>
      </c>
      <c r="AY127" s="2736">
        <v>7.5371357796583272E-2</v>
      </c>
      <c r="AZ127" s="3481">
        <v>0</v>
      </c>
      <c r="BA127" s="3481">
        <v>0.11283598249612259</v>
      </c>
      <c r="BB127" s="3482">
        <v>0</v>
      </c>
      <c r="BC127" s="3482">
        <v>0.12827019808999629</v>
      </c>
      <c r="BD127" s="3215">
        <v>0</v>
      </c>
      <c r="BE127" s="3215">
        <v>0.11148402441824908</v>
      </c>
      <c r="BF127" s="26"/>
      <c r="BG127" s="4911"/>
      <c r="BH127" s="26"/>
      <c r="BI127" s="4911"/>
      <c r="BJ127" s="1219"/>
    </row>
    <row r="128" spans="1:62" x14ac:dyDescent="0.25">
      <c r="A128" s="93"/>
      <c r="B128" s="1035" t="s">
        <v>64</v>
      </c>
      <c r="C128" s="159" t="s">
        <v>324</v>
      </c>
      <c r="D128" s="264">
        <v>7.3721675037508955E-2</v>
      </c>
      <c r="E128" s="264">
        <v>0.12887629919320084</v>
      </c>
      <c r="F128" s="264">
        <v>7.3895836178396193E-2</v>
      </c>
      <c r="G128" s="264">
        <v>0.10625630489457343</v>
      </c>
      <c r="H128" s="381">
        <v>7.3810121042220622E-2</v>
      </c>
      <c r="I128" s="381">
        <v>0.11681168467587283</v>
      </c>
      <c r="J128" s="264">
        <v>7.3607663881953389E-2</v>
      </c>
      <c r="K128" s="264">
        <v>9.7392110697635731E-2</v>
      </c>
      <c r="L128" s="382">
        <v>7.3743344485090581E-2</v>
      </c>
      <c r="M128" s="382">
        <v>0.10993138739840846</v>
      </c>
      <c r="N128" s="264">
        <v>7.4832991008620411E-2</v>
      </c>
      <c r="O128" s="264">
        <v>9.1090467025014249E-2</v>
      </c>
      <c r="P128" s="381">
        <v>7.4016024396090105E-2</v>
      </c>
      <c r="Q128" s="381">
        <v>0.10484910629485827</v>
      </c>
      <c r="R128" s="264">
        <v>7.4571129190438609E-2</v>
      </c>
      <c r="S128" s="264">
        <v>0.10254907900679014</v>
      </c>
      <c r="T128" s="381">
        <v>7.4127132807467772E-2</v>
      </c>
      <c r="U128" s="381">
        <v>0.10438536567300624</v>
      </c>
      <c r="V128" s="264">
        <v>0.13824307032244373</v>
      </c>
      <c r="W128" s="264">
        <v>0.10205657713886715</v>
      </c>
      <c r="X128" s="382">
        <v>8.7909438656501887E-2</v>
      </c>
      <c r="Y128" s="382">
        <v>9.8346033874698688E-2</v>
      </c>
      <c r="Z128" s="663">
        <v>8.0221768917972863E-2</v>
      </c>
      <c r="AA128" s="663">
        <v>0.10400973223350518</v>
      </c>
      <c r="AB128" s="264">
        <v>7.1520422622794649E-2</v>
      </c>
      <c r="AC128" s="264">
        <v>0.12231602725819893</v>
      </c>
      <c r="AD128" s="381">
        <v>7.9673650125731854E-2</v>
      </c>
      <c r="AE128" s="381">
        <v>0.1388611612961784</v>
      </c>
      <c r="AF128" s="264">
        <v>7.151653586317358E-2</v>
      </c>
      <c r="AG128" s="264">
        <v>6.838951172518259</v>
      </c>
      <c r="AH128" s="381">
        <v>7.8490211744951438E-2</v>
      </c>
      <c r="AI128" s="381">
        <v>0.17459225143450235</v>
      </c>
      <c r="AJ128" s="264">
        <v>7.1520422622794649E-2</v>
      </c>
      <c r="AK128" s="264">
        <v>8.8608235209459374E-2</v>
      </c>
      <c r="AL128" s="382">
        <v>7.1519155016418756E-2</v>
      </c>
      <c r="AM128" s="382">
        <v>0.21990148002222026</v>
      </c>
      <c r="AN128" s="381">
        <v>7.7581719619109285E-2</v>
      </c>
      <c r="AO128" s="381">
        <v>0.16288714500142937</v>
      </c>
      <c r="AP128" s="264">
        <v>7.1520422622794649E-2</v>
      </c>
      <c r="AQ128" s="264">
        <v>9.057457198569932E-2</v>
      </c>
      <c r="AR128" s="381">
        <v>7.688275490584251E-2</v>
      </c>
      <c r="AS128" s="381">
        <v>0.15386186544502903</v>
      </c>
      <c r="AT128" s="264">
        <v>7.1633181353289999E-2</v>
      </c>
      <c r="AU128" s="264">
        <v>8.4108314136103562E-2</v>
      </c>
      <c r="AV128" s="381">
        <v>7.6389234175172877E-2</v>
      </c>
      <c r="AW128" s="381">
        <v>0.14677496958896569</v>
      </c>
      <c r="AX128" s="264">
        <v>7.1520422622794649E-2</v>
      </c>
      <c r="AY128" s="264">
        <v>9.1883586302202447E-2</v>
      </c>
      <c r="AZ128" s="382">
        <v>7.1555412629210072E-2</v>
      </c>
      <c r="BA128" s="382">
        <v>8.8999127818194967E-2</v>
      </c>
      <c r="BB128" s="663">
        <v>7.1537073414197933E-2</v>
      </c>
      <c r="BC128" s="663">
        <v>0.14069382287456772</v>
      </c>
      <c r="BD128" s="381">
        <v>7.5928681391928057E-2</v>
      </c>
      <c r="BE128" s="381">
        <v>0.14129016069918501</v>
      </c>
      <c r="BF128" s="1546"/>
      <c r="BG128" s="4911"/>
      <c r="BH128" s="26"/>
      <c r="BI128" s="4911"/>
      <c r="BJ128" s="1219"/>
    </row>
    <row r="129" spans="1:62" x14ac:dyDescent="0.25">
      <c r="A129" s="93"/>
      <c r="B129" s="5516" t="s">
        <v>2306</v>
      </c>
      <c r="C129" s="5406"/>
      <c r="D129" s="5517"/>
      <c r="E129" s="5517">
        <v>-8.8497372494783927E-3</v>
      </c>
      <c r="F129" s="5517"/>
      <c r="G129" s="5517">
        <v>-8.2523553054220725E-3</v>
      </c>
      <c r="H129" s="5518"/>
      <c r="I129" s="381">
        <v>-8.5311057058925603E-3</v>
      </c>
      <c r="J129" s="5517"/>
      <c r="K129" s="5517">
        <v>-5.92639163239932E-3</v>
      </c>
      <c r="L129" s="382">
        <v>0</v>
      </c>
      <c r="M129" s="382">
        <v>-7.6082180437317135E-3</v>
      </c>
      <c r="N129" s="5517"/>
      <c r="O129" s="5517">
        <v>-5.4515580575726719E-3</v>
      </c>
      <c r="P129" s="381">
        <v>0</v>
      </c>
      <c r="Q129" s="381">
        <v>-7.0267146387082095E-3</v>
      </c>
      <c r="R129" s="5517"/>
      <c r="S129" s="5517">
        <v>-5.8270918672904438E-3</v>
      </c>
      <c r="T129" s="381">
        <v>0</v>
      </c>
      <c r="U129" s="381">
        <v>-6.7848122474679006E-3</v>
      </c>
      <c r="V129" s="5517"/>
      <c r="W129" s="5517">
        <v>-6.1069989905090253E-3</v>
      </c>
      <c r="X129" s="382">
        <v>0</v>
      </c>
      <c r="Y129" s="382">
        <v>-5.7828623798294324E-3</v>
      </c>
      <c r="Z129" s="663">
        <v>0</v>
      </c>
      <c r="AA129" s="663">
        <v>-6.6753934212715098E-3</v>
      </c>
      <c r="AB129" s="5517"/>
      <c r="AC129" s="5517"/>
      <c r="AD129" s="5518"/>
      <c r="AE129" s="5518"/>
      <c r="AF129" s="5517"/>
      <c r="AG129" s="5517"/>
      <c r="AH129" s="5518"/>
      <c r="AI129" s="5518"/>
      <c r="AJ129" s="5517"/>
      <c r="AK129" s="5517"/>
      <c r="AL129" s="5519"/>
      <c r="AM129" s="5519"/>
      <c r="AN129" s="5518"/>
      <c r="AO129" s="5518"/>
      <c r="AP129" s="5517"/>
      <c r="AQ129" s="5517"/>
      <c r="AR129" s="5518"/>
      <c r="AS129" s="5518"/>
      <c r="AT129" s="5517"/>
      <c r="AU129" s="5517"/>
      <c r="AV129" s="5518"/>
      <c r="AW129" s="5518"/>
      <c r="AX129" s="5517"/>
      <c r="AY129" s="5517"/>
      <c r="AZ129" s="5519"/>
      <c r="BA129" s="5519"/>
      <c r="BB129" s="5520"/>
      <c r="BC129" s="5520"/>
      <c r="BD129" s="5518"/>
      <c r="BE129" s="5518"/>
      <c r="BF129" s="1546"/>
      <c r="BG129" s="4911"/>
      <c r="BH129" s="26"/>
      <c r="BI129" s="4911"/>
      <c r="BJ129" s="1219"/>
    </row>
    <row r="130" spans="1:62" ht="15.75" x14ac:dyDescent="0.25">
      <c r="A130" s="93"/>
      <c r="B130" s="1036" t="s">
        <v>136</v>
      </c>
      <c r="C130" s="805" t="s">
        <v>324</v>
      </c>
      <c r="D130" s="1037">
        <f t="shared" ref="D130:H130" si="703">SUM(D116:D128)</f>
        <v>5.9579646181196697</v>
      </c>
      <c r="E130" s="1037">
        <f>SUM(E116:E129)</f>
        <v>6.0846476745556721</v>
      </c>
      <c r="F130" s="1037">
        <f t="shared" ref="F130" si="704">SUM(F116:F128)</f>
        <v>5.8950819349699</v>
      </c>
      <c r="G130" s="1037">
        <f>SUM(G116:G129)</f>
        <v>5.9791618358977949</v>
      </c>
      <c r="H130" s="1038">
        <f t="shared" si="703"/>
        <v>5.9260302723648577</v>
      </c>
      <c r="I130" s="1038">
        <f>SUM(I116:I129)</f>
        <v>6.0300558618251694</v>
      </c>
      <c r="J130" s="1037">
        <f t="shared" ref="J130" si="705">SUM(J116:J128)</f>
        <v>5.8881874827843568</v>
      </c>
      <c r="K130" s="1037">
        <f>SUM(K116:K129)</f>
        <v>5.9510024504802947</v>
      </c>
      <c r="L130" s="1039">
        <f>SUM(L116:L129)</f>
        <v>5.9135485641504033</v>
      </c>
      <c r="M130" s="1039">
        <f t="shared" ref="M130:BE130" si="706">SUM(M116:M129)</f>
        <v>6.0018291327647386</v>
      </c>
      <c r="N130" s="1037">
        <f t="shared" ref="N130" si="707">SUM(N116:N128)</f>
        <v>5.9044904422712001</v>
      </c>
      <c r="O130" s="1037">
        <f>SUM(O116:O129)</f>
        <v>5.9231909835586922</v>
      </c>
      <c r="P130" s="5535">
        <f>SUM(P116:P129)</f>
        <v>5.9112818034949903</v>
      </c>
      <c r="Q130" s="5535">
        <f>SUM(Q116:Q129)</f>
        <v>5.9807714639072804</v>
      </c>
      <c r="R130" s="1037">
        <f t="shared" ref="R130" si="708">SUM(R116:R128)</f>
        <v>5.9110636073860041</v>
      </c>
      <c r="S130" s="1037">
        <f>SUM(S116:S129)</f>
        <v>6.028154237488426</v>
      </c>
      <c r="T130" s="381">
        <f t="shared" ref="T130" si="709">((P130*$P$132)+(R130*$R$132))/$T$132</f>
        <v>5.9112381298980674</v>
      </c>
      <c r="U130" s="381">
        <f t="shared" ref="U130" si="710">((Q130*$Q$132)+(S130*$S$132))/$U$132</f>
        <v>5.9903261458466117</v>
      </c>
      <c r="V130" s="1037">
        <f>SUM(V116:V129)</f>
        <v>6.4404862064644854</v>
      </c>
      <c r="W130" s="1037">
        <f>SUM(W116:W129)</f>
        <v>6.2161034181344306</v>
      </c>
      <c r="X130" s="1039">
        <f t="shared" si="706"/>
        <v>6.0185038105368784</v>
      </c>
      <c r="Y130" s="1039">
        <f t="shared" si="706"/>
        <v>6.0504489425821761</v>
      </c>
      <c r="Z130" s="5612">
        <f t="shared" si="706"/>
        <v>5.9615465955288425</v>
      </c>
      <c r="AA130" s="5612">
        <f t="shared" si="706"/>
        <v>6.0267096597919014</v>
      </c>
      <c r="AB130" s="1039">
        <f t="shared" si="706"/>
        <v>5.9185019189583619</v>
      </c>
      <c r="AC130" s="1039">
        <f t="shared" si="706"/>
        <v>6.0970123553483413</v>
      </c>
      <c r="AD130" s="1039">
        <f t="shared" si="706"/>
        <v>6.0094385160929535</v>
      </c>
      <c r="AE130" s="1039">
        <f t="shared" si="706"/>
        <v>6.1913023947145307</v>
      </c>
      <c r="AF130" s="1039">
        <f t="shared" si="706"/>
        <v>5.8679361229423455</v>
      </c>
      <c r="AG130" s="1039">
        <f t="shared" si="706"/>
        <v>29.436172268975831</v>
      </c>
      <c r="AH130" s="1039">
        <f t="shared" si="706"/>
        <v>5.9889092752809976</v>
      </c>
      <c r="AI130" s="1039">
        <f t="shared" si="706"/>
        <v>6.3410738789124395</v>
      </c>
      <c r="AJ130" s="1039">
        <f t="shared" si="706"/>
        <v>5.8607390227005398</v>
      </c>
      <c r="AK130" s="1039">
        <f t="shared" si="706"/>
        <v>5.9578574346924951</v>
      </c>
      <c r="AL130" s="1039">
        <f t="shared" si="706"/>
        <v>5.8825484570394195</v>
      </c>
      <c r="AM130" s="1039">
        <f t="shared" si="706"/>
        <v>6.4249770532211636</v>
      </c>
      <c r="AN130" s="1039">
        <f t="shared" si="706"/>
        <v>5.9722026485530275</v>
      </c>
      <c r="AO130" s="1039">
        <f t="shared" si="706"/>
        <v>6.2868475436743649</v>
      </c>
      <c r="AP130" s="1039">
        <f t="shared" si="706"/>
        <v>5.8608476022205673</v>
      </c>
      <c r="AQ130" s="1039">
        <f t="shared" si="706"/>
        <v>5.8560511441313423</v>
      </c>
      <c r="AR130" s="1039">
        <f t="shared" si="706"/>
        <v>5.9593616265608853</v>
      </c>
      <c r="AS130" s="1039">
        <f t="shared" si="706"/>
        <v>6.230431626440768</v>
      </c>
      <c r="AT130" s="1039">
        <f t="shared" si="706"/>
        <v>5.8591772297916185</v>
      </c>
      <c r="AU130" s="1039">
        <f t="shared" si="706"/>
        <v>5.888599128118563</v>
      </c>
      <c r="AV130" s="1039">
        <f t="shared" si="706"/>
        <v>5.9499431326203212</v>
      </c>
      <c r="AW130" s="1039">
        <f t="shared" si="706"/>
        <v>6.1941702176749738</v>
      </c>
      <c r="AX130" s="1039">
        <f t="shared" si="706"/>
        <v>5.8704881721591375</v>
      </c>
      <c r="AY130" s="1039">
        <f t="shared" si="706"/>
        <v>5.8758634243320023</v>
      </c>
      <c r="AZ130" s="1039">
        <f t="shared" si="706"/>
        <v>5.8636537802288489</v>
      </c>
      <c r="BA130" s="1039">
        <f t="shared" si="706"/>
        <v>5.8730059845119555</v>
      </c>
      <c r="BB130" s="1039">
        <f t="shared" si="706"/>
        <v>5.8732107674085681</v>
      </c>
      <c r="BC130" s="1039">
        <f t="shared" si="706"/>
        <v>6.0909850780609363</v>
      </c>
      <c r="BD130" s="1039">
        <f t="shared" si="706"/>
        <v>5.9500019581826908</v>
      </c>
      <c r="BE130" s="1039">
        <f t="shared" si="706"/>
        <v>6.1600133062678522</v>
      </c>
      <c r="BF130" s="26"/>
      <c r="BG130" s="4911"/>
      <c r="BH130" s="26"/>
      <c r="BI130" s="4911"/>
      <c r="BJ130" s="1219"/>
    </row>
    <row r="131" spans="1:62" x14ac:dyDescent="0.25">
      <c r="A131" s="93"/>
      <c r="B131" s="271"/>
      <c r="C131" s="271"/>
      <c r="D131" s="642"/>
      <c r="E131" s="271"/>
      <c r="F131" s="642"/>
      <c r="G131" s="271"/>
      <c r="H131" s="271"/>
      <c r="I131" s="271"/>
      <c r="J131" s="642"/>
      <c r="K131" s="271"/>
      <c r="L131" s="271"/>
      <c r="M131" s="271"/>
      <c r="N131" s="642"/>
      <c r="O131" s="271"/>
      <c r="P131" s="271"/>
      <c r="Q131" s="271"/>
      <c r="R131" s="642"/>
      <c r="S131" s="271"/>
      <c r="T131" s="271"/>
      <c r="U131" s="271"/>
      <c r="V131" s="642"/>
      <c r="W131" s="271"/>
      <c r="X131" s="271"/>
      <c r="Y131" s="271"/>
      <c r="Z131" s="271"/>
      <c r="AA131" s="271"/>
      <c r="AB131" s="642"/>
      <c r="AC131" s="271"/>
      <c r="AD131" s="271"/>
      <c r="AE131" s="271"/>
      <c r="AF131" s="642"/>
      <c r="AG131" s="271"/>
      <c r="AH131" s="271"/>
      <c r="AI131" s="271"/>
      <c r="AJ131" s="642"/>
      <c r="AK131" s="271"/>
      <c r="AL131" s="271"/>
      <c r="AM131" s="271"/>
      <c r="AN131" s="271"/>
      <c r="AO131" s="271"/>
      <c r="AP131" s="642"/>
      <c r="AQ131" s="271"/>
      <c r="AR131" s="271"/>
      <c r="AS131" s="271"/>
      <c r="AT131" s="642"/>
      <c r="AU131" s="271"/>
      <c r="AV131" s="271"/>
      <c r="AW131" s="271"/>
      <c r="AX131" s="642"/>
      <c r="AY131" s="271"/>
      <c r="AZ131" s="271"/>
      <c r="BA131" s="271"/>
      <c r="BB131" s="271"/>
      <c r="BC131" s="271"/>
      <c r="BD131" s="271"/>
      <c r="BE131" s="271"/>
      <c r="BF131" s="26"/>
      <c r="BG131" s="26"/>
      <c r="BH131" s="26"/>
      <c r="BI131" s="1219"/>
      <c r="BJ131" s="1219"/>
    </row>
    <row r="132" spans="1:62" x14ac:dyDescent="0.25">
      <c r="A132" s="93"/>
      <c r="B132" s="271" t="s">
        <v>269</v>
      </c>
      <c r="C132" s="899" t="s">
        <v>50</v>
      </c>
      <c r="D132" s="397">
        <f>+SMS!E5</f>
        <v>237110.48158640199</v>
      </c>
      <c r="E132" s="397">
        <f>+SMS!F5</f>
        <v>207020</v>
      </c>
      <c r="F132" s="397">
        <f>+SMS!G5</f>
        <v>244664.77809253999</v>
      </c>
      <c r="G132" s="397">
        <f>+SMS!H5</f>
        <v>236638</v>
      </c>
      <c r="H132" s="366">
        <f>+SMS!I5</f>
        <v>481775.25967894198</v>
      </c>
      <c r="I132" s="366">
        <f>+SMS!J5</f>
        <v>443658</v>
      </c>
      <c r="J132" s="397">
        <f>+SMS!K5</f>
        <v>237110.48158640199</v>
      </c>
      <c r="K132" s="397">
        <f>+SMS!L5</f>
        <v>243453</v>
      </c>
      <c r="L132" s="366">
        <f>+SMS!M5</f>
        <v>718885.74126534397</v>
      </c>
      <c r="M132" s="366">
        <f>+SMS!N5</f>
        <v>687111</v>
      </c>
      <c r="N132" s="397">
        <f>+SMS!O5</f>
        <v>239943.34277620399</v>
      </c>
      <c r="O132" s="397">
        <f>+SMS!P5</f>
        <v>253662</v>
      </c>
      <c r="P132" s="366">
        <f>+SMS!Q5</f>
        <v>958829.08404154796</v>
      </c>
      <c r="Q132" s="366">
        <f>+SMS!R5</f>
        <v>940773</v>
      </c>
      <c r="R132" s="397">
        <f>+SMS!S5</f>
        <v>239943.34277620399</v>
      </c>
      <c r="S132" s="397">
        <f>+SMS!T5</f>
        <v>237622</v>
      </c>
      <c r="T132" s="366">
        <f>+SMS!U5</f>
        <v>1198772.426817752</v>
      </c>
      <c r="U132" s="366">
        <f>+SMS!V5</f>
        <v>1178395</v>
      </c>
      <c r="V132" s="397">
        <f>+SMS!W5</f>
        <v>125920.679886686</v>
      </c>
      <c r="W132" s="397">
        <f>+SMS!X5</f>
        <v>226847</v>
      </c>
      <c r="X132" s="366">
        <f>+SMS!Y5</f>
        <v>605807.36543909402</v>
      </c>
      <c r="Y132" s="366">
        <f>+SMS!Z5</f>
        <v>718131</v>
      </c>
      <c r="Z132" s="366">
        <f>+SMS!AA5</f>
        <v>1324693.1067044381</v>
      </c>
      <c r="AA132" s="366">
        <f>+SMS!AB5</f>
        <v>1405242</v>
      </c>
      <c r="AB132" s="397">
        <f>+SMS!AC5</f>
        <v>235490.56603773599</v>
      </c>
      <c r="AC132" s="366">
        <f>+SMS!AD5</f>
        <v>222138</v>
      </c>
      <c r="AD132" s="366">
        <f>+SMS!AE5</f>
        <v>1560183.672742174</v>
      </c>
      <c r="AE132" s="366">
        <f>+SMS!AF5</f>
        <v>1627380</v>
      </c>
      <c r="AF132" s="397">
        <f>+SMS!AG5</f>
        <v>227943.396226415</v>
      </c>
      <c r="AG132" s="366">
        <f>+SMS!AH5</f>
        <v>7935</v>
      </c>
      <c r="AH132" s="366">
        <f>+SMS!AI5</f>
        <v>1788127.068968589</v>
      </c>
      <c r="AI132" s="366">
        <f>+SMS!AJ5</f>
        <v>1635315</v>
      </c>
      <c r="AJ132" s="397">
        <f>+SMS!AK5</f>
        <v>235490.56603773599</v>
      </c>
      <c r="AK132" s="366">
        <f>+SMS!AL5</f>
        <v>234930</v>
      </c>
      <c r="AL132" s="366">
        <f>+SMS!AM5</f>
        <v>698924.52830188698</v>
      </c>
      <c r="AM132" s="366">
        <f>+SMS!AN5</f>
        <v>465003</v>
      </c>
      <c r="AN132" s="366">
        <f>+SMS!AO5</f>
        <v>2023617.6350063249</v>
      </c>
      <c r="AO132" s="366">
        <f>+SMS!AP5</f>
        <v>1870245</v>
      </c>
      <c r="AP132" s="397">
        <f>+SMS!AQ5</f>
        <v>235490.56603773599</v>
      </c>
      <c r="AQ132" s="366">
        <f>+SMS!AR5</f>
        <v>246040</v>
      </c>
      <c r="AR132" s="366">
        <f>+SMS!AS5</f>
        <v>2259108.2010440608</v>
      </c>
      <c r="AS132" s="366">
        <f>+SMS!AT5</f>
        <v>2116285</v>
      </c>
      <c r="AT132" s="397">
        <f>+SMS!AU5</f>
        <v>211905.660377358</v>
      </c>
      <c r="AU132" s="366">
        <f>+SMS!AV5</f>
        <v>222895</v>
      </c>
      <c r="AV132" s="366">
        <f>+SMS!AW5</f>
        <v>2471013.8614214188</v>
      </c>
      <c r="AW132" s="366">
        <f>+SMS!AX5</f>
        <v>2339180</v>
      </c>
      <c r="AX132" s="397">
        <f>+SMS!AY5</f>
        <v>235490.56603773599</v>
      </c>
      <c r="AY132" s="366">
        <f>+SMS!AZ5</f>
        <v>243552</v>
      </c>
      <c r="AZ132" s="366">
        <f>+SMS!BA5</f>
        <v>682886.79245283001</v>
      </c>
      <c r="BA132" s="366">
        <f>+SMS!BB5</f>
        <v>712487</v>
      </c>
      <c r="BB132" s="366">
        <f>+SMS!BC5</f>
        <v>1381811.3207547171</v>
      </c>
      <c r="BC132" s="366">
        <f>+SMS!BD5</f>
        <v>1177490</v>
      </c>
      <c r="BD132" s="366">
        <f>+SMS!BE5</f>
        <v>2706504.4274591547</v>
      </c>
      <c r="BE132" s="366">
        <f>+SMS!BF5</f>
        <v>2582732</v>
      </c>
      <c r="BF132" s="26"/>
      <c r="BG132" s="26"/>
      <c r="BH132" s="26"/>
      <c r="BI132" s="1219"/>
      <c r="BJ132" s="1219"/>
    </row>
    <row r="133" spans="1:62" x14ac:dyDescent="0.25">
      <c r="A133" s="93"/>
      <c r="D133" s="149"/>
      <c r="F133" s="149"/>
      <c r="H133" s="87"/>
      <c r="I133" s="93"/>
      <c r="J133" s="149"/>
      <c r="L133" s="87"/>
      <c r="M133" s="93"/>
      <c r="N133" s="149"/>
      <c r="P133" s="87"/>
      <c r="Q133" s="93"/>
      <c r="R133" s="149"/>
      <c r="T133" s="87"/>
      <c r="U133" s="93"/>
      <c r="V133" s="149"/>
      <c r="X133" s="87"/>
      <c r="AB133" s="149"/>
      <c r="AF133" s="1219"/>
      <c r="AG133" s="1219"/>
      <c r="AH133" s="1219"/>
      <c r="AI133" s="1219"/>
    </row>
    <row r="134" spans="1:62" x14ac:dyDescent="0.25">
      <c r="A134" s="93"/>
    </row>
    <row r="135" spans="1:62" ht="21" hidden="1" customHeight="1" x14ac:dyDescent="0.3">
      <c r="A135" s="93"/>
      <c r="B135" s="407" t="s">
        <v>323</v>
      </c>
    </row>
    <row r="136" spans="1:62" ht="15.75" hidden="1" customHeight="1" thickBot="1" x14ac:dyDescent="0.35">
      <c r="A136" s="93"/>
    </row>
    <row r="137" spans="1:62" ht="15.75" hidden="1" customHeight="1" thickBot="1" x14ac:dyDescent="0.35">
      <c r="B137" s="3" t="s">
        <v>106</v>
      </c>
      <c r="C137" s="86" t="s">
        <v>328</v>
      </c>
    </row>
    <row r="138" spans="1:62" ht="15.75" hidden="1" customHeight="1" thickBot="1" x14ac:dyDescent="0.35">
      <c r="B138" s="3" t="s">
        <v>107</v>
      </c>
      <c r="C138" s="86" t="s">
        <v>328</v>
      </c>
    </row>
    <row r="139" spans="1:62" ht="15.75" hidden="1" customHeight="1" thickBot="1" x14ac:dyDescent="0.35">
      <c r="B139" s="3" t="s">
        <v>80</v>
      </c>
      <c r="C139" s="86" t="s">
        <v>328</v>
      </c>
    </row>
    <row r="140" spans="1:62" ht="15.75" hidden="1" customHeight="1" thickBot="1" x14ac:dyDescent="0.35">
      <c r="B140" s="3" t="s">
        <v>108</v>
      </c>
      <c r="C140" s="86" t="s">
        <v>328</v>
      </c>
    </row>
    <row r="141" spans="1:62" ht="15.75" hidden="1" customHeight="1" thickBot="1" x14ac:dyDescent="0.35">
      <c r="B141" s="3" t="s">
        <v>81</v>
      </c>
      <c r="C141" s="86" t="s">
        <v>328</v>
      </c>
    </row>
    <row r="142" spans="1:62" ht="15.75" hidden="1" customHeight="1" thickBot="1" x14ac:dyDescent="0.35">
      <c r="B142" s="3" t="s">
        <v>57</v>
      </c>
      <c r="C142" s="86" t="s">
        <v>328</v>
      </c>
    </row>
    <row r="143" spans="1:62" ht="15.75" hidden="1" customHeight="1" thickBot="1" x14ac:dyDescent="0.35">
      <c r="B143" s="3" t="s">
        <v>58</v>
      </c>
      <c r="C143" s="86" t="s">
        <v>328</v>
      </c>
    </row>
    <row r="144" spans="1:62" ht="15.75" hidden="1" customHeight="1" thickBot="1" x14ac:dyDescent="0.35">
      <c r="B144" s="3" t="s">
        <v>59</v>
      </c>
      <c r="C144" s="86" t="s">
        <v>328</v>
      </c>
    </row>
    <row r="145" spans="2:27" ht="15.75" hidden="1" customHeight="1" thickBot="1" x14ac:dyDescent="0.35">
      <c r="B145" s="3" t="s">
        <v>91</v>
      </c>
      <c r="C145" s="86" t="s">
        <v>328</v>
      </c>
    </row>
    <row r="146" spans="2:27" ht="15.75" hidden="1" customHeight="1" thickBot="1" x14ac:dyDescent="0.35">
      <c r="B146" s="3" t="s">
        <v>109</v>
      </c>
      <c r="C146" s="86" t="s">
        <v>328</v>
      </c>
    </row>
    <row r="147" spans="2:27" ht="15.75" hidden="1" customHeight="1" thickBot="1" x14ac:dyDescent="0.35">
      <c r="B147" s="3" t="s">
        <v>82</v>
      </c>
      <c r="C147" s="86" t="s">
        <v>328</v>
      </c>
    </row>
    <row r="148" spans="2:27" ht="15.75" hidden="1" customHeight="1" thickBot="1" x14ac:dyDescent="0.35">
      <c r="B148" s="3" t="s">
        <v>60</v>
      </c>
      <c r="C148" s="86" t="s">
        <v>328</v>
      </c>
    </row>
    <row r="149" spans="2:27" ht="15" hidden="1" customHeight="1" x14ac:dyDescent="0.3"/>
    <row r="150" spans="2:27" ht="15" hidden="1" customHeight="1" x14ac:dyDescent="0.3"/>
    <row r="151" spans="2:27" ht="15" hidden="1" customHeight="1" x14ac:dyDescent="0.3"/>
    <row r="152" spans="2:27" ht="14.45" hidden="1" x14ac:dyDescent="0.3"/>
    <row r="153" spans="2:27" ht="14.45" hidden="1" x14ac:dyDescent="0.3"/>
    <row r="154" spans="2:27" ht="14.45" hidden="1" x14ac:dyDescent="0.3"/>
    <row r="155" spans="2:27" ht="14.45" hidden="1" x14ac:dyDescent="0.3"/>
    <row r="156" spans="2:27" ht="14.45" hidden="1" x14ac:dyDescent="0.3"/>
    <row r="157" spans="2:27" ht="14.45" hidden="1" x14ac:dyDescent="0.3"/>
    <row r="159" spans="2:27" x14ac:dyDescent="0.25">
      <c r="Z159" s="5613"/>
      <c r="AA159" s="5613"/>
    </row>
    <row r="161" spans="2:29" ht="15" hidden="1" customHeight="1" x14ac:dyDescent="0.3"/>
    <row r="162" spans="2:29" ht="15" hidden="1" customHeight="1" x14ac:dyDescent="0.3"/>
    <row r="163" spans="2:29" ht="15" hidden="1" customHeight="1" x14ac:dyDescent="0.3"/>
    <row r="164" spans="2:29" ht="15" hidden="1" customHeight="1" x14ac:dyDescent="0.3">
      <c r="H164" s="87"/>
      <c r="I164" s="93"/>
      <c r="J164" s="203"/>
      <c r="L164" s="87"/>
      <c r="N164" s="203"/>
      <c r="P164" s="87"/>
      <c r="R164" s="203"/>
      <c r="T164" s="87"/>
      <c r="V164" s="203"/>
      <c r="AB164" s="203"/>
    </row>
    <row r="165" spans="2:29" ht="15" hidden="1" customHeight="1" x14ac:dyDescent="0.3">
      <c r="D165" s="274"/>
      <c r="E165" s="274"/>
      <c r="F165" s="274"/>
      <c r="G165" s="274"/>
      <c r="H165" s="1220"/>
      <c r="I165" s="899"/>
      <c r="J165" s="1565"/>
      <c r="K165" s="274"/>
      <c r="L165" s="1220"/>
      <c r="M165" s="274"/>
      <c r="N165" s="1565"/>
      <c r="O165" s="274"/>
      <c r="P165" s="1220"/>
      <c r="Q165" s="274"/>
      <c r="R165" s="1565"/>
      <c r="S165" s="274"/>
      <c r="T165" s="1220"/>
      <c r="U165" s="274"/>
      <c r="V165" s="1565"/>
      <c r="W165" s="274"/>
      <c r="X165" s="274"/>
      <c r="Y165" s="274"/>
      <c r="Z165" s="274"/>
      <c r="AA165" s="274"/>
      <c r="AB165" s="1565"/>
      <c r="AC165" s="274"/>
    </row>
    <row r="166" spans="2:29" ht="15" hidden="1" customHeight="1" x14ac:dyDescent="0.3">
      <c r="B166" t="s">
        <v>1160</v>
      </c>
      <c r="D166" s="1214">
        <f>+D57-D75</f>
        <v>0</v>
      </c>
      <c r="E166" s="1214"/>
      <c r="F166" s="1214">
        <f>+F57-F75</f>
        <v>0</v>
      </c>
      <c r="G166" s="1214"/>
      <c r="H166" s="1214">
        <f>+H57-H75</f>
        <v>0</v>
      </c>
      <c r="I166" s="1214">
        <f>+I57-I75</f>
        <v>0</v>
      </c>
      <c r="J166" s="1214">
        <f>+J57-J75</f>
        <v>0</v>
      </c>
      <c r="K166" s="1214"/>
      <c r="L166" s="1214">
        <f>+L57-L75</f>
        <v>0</v>
      </c>
      <c r="M166" s="1214"/>
      <c r="N166" s="1214">
        <f>+N57-N75</f>
        <v>0</v>
      </c>
      <c r="O166" s="1214"/>
      <c r="P166" s="1214">
        <f>+P57-P75</f>
        <v>0</v>
      </c>
      <c r="Q166" s="1214">
        <f>+Q57-Q75</f>
        <v>0</v>
      </c>
      <c r="R166" s="1214">
        <f>+R57-R75</f>
        <v>0</v>
      </c>
      <c r="S166" s="1214"/>
      <c r="T166" s="1214">
        <f>+T57-T75</f>
        <v>0</v>
      </c>
      <c r="U166" s="1214">
        <f>+U57-U75</f>
        <v>0</v>
      </c>
      <c r="V166" s="1214">
        <f>+V57-V75</f>
        <v>0</v>
      </c>
      <c r="W166" s="1214"/>
      <c r="X166" s="1214">
        <f>+X57-X75</f>
        <v>0</v>
      </c>
      <c r="Y166" s="1214"/>
      <c r="Z166" s="1214">
        <f>+Z57-Z75</f>
        <v>0</v>
      </c>
      <c r="AA166" s="1214"/>
      <c r="AB166" s="1214">
        <f>+AB57-AB75</f>
        <v>0</v>
      </c>
      <c r="AC166" s="1214"/>
    </row>
    <row r="167" spans="2:29" ht="15" hidden="1" customHeight="1" x14ac:dyDescent="0.3">
      <c r="D167" s="274"/>
      <c r="E167" s="274"/>
      <c r="F167" s="274"/>
      <c r="G167" s="274"/>
      <c r="H167" s="1220"/>
      <c r="I167" s="899"/>
      <c r="J167" s="1565"/>
      <c r="K167" s="274"/>
      <c r="L167" s="1220"/>
      <c r="M167" s="274"/>
      <c r="N167" s="1565"/>
      <c r="O167" s="274"/>
      <c r="P167" s="1220"/>
      <c r="Q167" s="274"/>
      <c r="R167" s="1565"/>
      <c r="S167" s="274"/>
      <c r="T167" s="1220"/>
      <c r="U167" s="274"/>
      <c r="V167" s="1565"/>
      <c r="W167" s="274"/>
      <c r="X167" s="274"/>
      <c r="Y167" s="274"/>
      <c r="Z167" s="274"/>
      <c r="AA167" s="274"/>
      <c r="AB167" s="1565"/>
      <c r="AC167" s="274"/>
    </row>
    <row r="168" spans="2:29" ht="15" hidden="1" customHeight="1" x14ac:dyDescent="0.3">
      <c r="D168" s="274">
        <v>382927.49999999988</v>
      </c>
      <c r="E168" s="274"/>
      <c r="F168" s="274">
        <v>382927.49999999988</v>
      </c>
      <c r="G168" s="274"/>
      <c r="H168" s="1220"/>
      <c r="I168" s="899"/>
      <c r="J168" s="1565">
        <v>368314.87500000256</v>
      </c>
      <c r="K168" s="274"/>
      <c r="L168" s="1220">
        <f>+D168+F168+J168</f>
        <v>1134169.8750000023</v>
      </c>
      <c r="M168" s="274"/>
      <c r="N168" s="1565">
        <v>380800.12500000373</v>
      </c>
      <c r="O168" s="274"/>
      <c r="P168" s="1220"/>
      <c r="Q168" s="274"/>
      <c r="R168" s="1565">
        <v>380800.12500000373</v>
      </c>
      <c r="S168" s="274"/>
      <c r="T168" s="1220"/>
      <c r="U168" s="274"/>
      <c r="V168" s="1565">
        <v>380800.12500000373</v>
      </c>
      <c r="W168" s="274"/>
      <c r="X168" s="274">
        <f>+N168+R168+V168</f>
        <v>1142400.3750000112</v>
      </c>
      <c r="Y168" s="274"/>
      <c r="Z168" s="274">
        <f>+X168+L168</f>
        <v>2276570.2500000135</v>
      </c>
      <c r="AA168" s="274"/>
      <c r="AB168" s="1565">
        <v>380800.12500000373</v>
      </c>
      <c r="AC168" s="274"/>
    </row>
    <row r="169" spans="2:29" ht="15" hidden="1" customHeight="1" x14ac:dyDescent="0.3">
      <c r="B169" t="s">
        <v>1161</v>
      </c>
      <c r="D169" s="1214">
        <f>+D168-D50</f>
        <v>-5152.5000000001164</v>
      </c>
      <c r="E169" s="1214"/>
      <c r="F169" s="1214">
        <f>+F168-F50</f>
        <v>-18772.500000000233</v>
      </c>
      <c r="G169" s="1214"/>
      <c r="H169" s="1214">
        <f>+H168-H50</f>
        <v>-789780.00000000012</v>
      </c>
      <c r="I169" s="1214">
        <f>+I168-I50</f>
        <v>-722262.04799999995</v>
      </c>
      <c r="J169" s="1214">
        <f>+J168-J50</f>
        <v>-19765.124999997439</v>
      </c>
      <c r="K169" s="1214"/>
      <c r="L169" s="1214">
        <f>+L168-L50</f>
        <v>-43690.124999997672</v>
      </c>
      <c r="M169" s="1214"/>
      <c r="N169" s="1214">
        <f>+N168-N50</f>
        <v>-16999.874999996275</v>
      </c>
      <c r="O169" s="1214"/>
      <c r="P169" s="1214">
        <f>+P168-P50</f>
        <v>-1575660</v>
      </c>
      <c r="Q169" s="1214">
        <f>+Q168-Q50</f>
        <v>-1511565.3984000001</v>
      </c>
      <c r="R169" s="1214">
        <f>+R168-R50</f>
        <v>-14449.874999996275</v>
      </c>
      <c r="S169" s="1214"/>
      <c r="T169" s="1214">
        <f>+T168-T50</f>
        <v>-1970910</v>
      </c>
      <c r="U169" s="1214">
        <f>+U168-U50</f>
        <v>-1899856.6032</v>
      </c>
      <c r="V169" s="1214">
        <f>+V168-V50</f>
        <v>163800.12500000373</v>
      </c>
      <c r="W169" s="1214"/>
      <c r="X169" s="1214">
        <f>+X168-X50</f>
        <v>132350.37500001118</v>
      </c>
      <c r="Y169" s="1214"/>
      <c r="Z169" s="1214">
        <f>+Z168-Z50</f>
        <v>88660.250000013504</v>
      </c>
      <c r="AA169" s="1214"/>
      <c r="AB169" s="1214">
        <f>+AB168-AB50</f>
        <v>-6699.8749999962747</v>
      </c>
      <c r="AC169" s="1214"/>
    </row>
    <row r="170" spans="2:29" ht="15" hidden="1" customHeight="1" x14ac:dyDescent="0.3">
      <c r="D170" s="274"/>
      <c r="E170" s="274"/>
      <c r="F170" s="274"/>
      <c r="G170" s="274"/>
      <c r="H170" s="1220"/>
      <c r="I170" s="899"/>
      <c r="J170" s="1565"/>
      <c r="K170" s="274"/>
      <c r="L170" s="1220"/>
      <c r="M170" s="274"/>
      <c r="N170" s="1565"/>
      <c r="O170" s="274"/>
      <c r="P170" s="1220"/>
      <c r="Q170" s="274"/>
      <c r="R170" s="1565"/>
      <c r="S170" s="274"/>
      <c r="T170" s="1220"/>
      <c r="U170" s="274"/>
      <c r="V170" s="1565"/>
      <c r="W170" s="274"/>
      <c r="X170" s="274"/>
      <c r="Y170" s="274"/>
      <c r="Z170" s="274"/>
      <c r="AA170" s="274"/>
      <c r="AB170" s="1565"/>
      <c r="AC170" s="274"/>
    </row>
    <row r="171" spans="2:29" ht="15" hidden="1" customHeight="1" x14ac:dyDescent="0.3">
      <c r="D171" s="274">
        <v>368047.49999999988</v>
      </c>
      <c r="E171" s="274"/>
      <c r="F171" s="274">
        <v>368047.49999999988</v>
      </c>
      <c r="G171" s="274"/>
      <c r="H171" s="1220"/>
      <c r="I171" s="899"/>
      <c r="J171" s="1565">
        <v>353914.87500000256</v>
      </c>
      <c r="K171" s="274"/>
      <c r="L171" s="1220"/>
      <c r="M171" s="274"/>
      <c r="N171" s="1565">
        <v>365920.12500000338</v>
      </c>
      <c r="O171" s="274"/>
      <c r="P171" s="1220"/>
      <c r="Q171" s="274"/>
      <c r="R171" s="1565">
        <v>365920.12500000338</v>
      </c>
      <c r="S171" s="274"/>
      <c r="T171" s="1220"/>
      <c r="U171" s="274"/>
      <c r="V171" s="1565">
        <v>365920.12500000338</v>
      </c>
      <c r="W171" s="274"/>
      <c r="X171" s="274"/>
      <c r="Y171" s="274"/>
      <c r="Z171" s="274"/>
      <c r="AA171" s="274"/>
      <c r="AB171" s="1565">
        <v>365920.12500000338</v>
      </c>
      <c r="AC171" s="274"/>
    </row>
    <row r="172" spans="2:29" ht="15" hidden="1" customHeight="1" x14ac:dyDescent="0.3">
      <c r="D172" s="274"/>
      <c r="E172" s="274"/>
      <c r="F172" s="274"/>
      <c r="G172" s="274"/>
      <c r="H172" s="1220"/>
      <c r="I172" s="899"/>
      <c r="J172" s="1565"/>
      <c r="K172" s="274"/>
      <c r="L172" s="1220"/>
      <c r="M172" s="274"/>
      <c r="N172" s="1565"/>
      <c r="O172" s="274"/>
      <c r="P172" s="1220"/>
      <c r="Q172" s="274"/>
      <c r="R172" s="1565"/>
      <c r="S172" s="274"/>
      <c r="T172" s="1220"/>
      <c r="U172" s="274"/>
      <c r="V172" s="1565"/>
      <c r="W172" s="274"/>
      <c r="X172" s="274"/>
      <c r="Y172" s="274"/>
      <c r="Z172" s="274"/>
      <c r="AA172" s="274"/>
      <c r="AB172" s="1565"/>
      <c r="AC172" s="274"/>
    </row>
    <row r="173" spans="2:29" ht="15" hidden="1" customHeight="1" x14ac:dyDescent="0.3">
      <c r="B173" t="s">
        <v>1162</v>
      </c>
      <c r="D173" s="1214">
        <f>+D171-D57</f>
        <v>-5566.2600000001257</v>
      </c>
      <c r="E173" s="274"/>
      <c r="F173" s="1214">
        <f>+F171-F57</f>
        <v>-18684.900000000256</v>
      </c>
      <c r="G173" s="274"/>
      <c r="H173" s="1220"/>
      <c r="I173" s="899"/>
      <c r="J173" s="1214">
        <f>+J171-J57</f>
        <v>-19698.884999997448</v>
      </c>
      <c r="K173" s="274"/>
      <c r="L173" s="1220"/>
      <c r="M173" s="274"/>
      <c r="N173" s="1214">
        <f>+N171-N57</f>
        <v>-17021.474999996601</v>
      </c>
      <c r="O173" s="274"/>
      <c r="P173" s="1220"/>
      <c r="Q173" s="274"/>
      <c r="R173" s="1214">
        <f>+R171-R57</f>
        <v>-14542.874999996624</v>
      </c>
      <c r="S173" s="274"/>
      <c r="T173" s="1220"/>
      <c r="U173" s="274"/>
      <c r="V173" s="1214">
        <f>+V171-V57</f>
        <v>161930.12500000338</v>
      </c>
      <c r="W173" s="274"/>
      <c r="X173" s="274"/>
      <c r="Y173" s="274"/>
      <c r="Z173" s="274"/>
      <c r="AA173" s="274"/>
      <c r="AB173" s="1214">
        <f>+AB171-AB57</f>
        <v>-5490.874999996624</v>
      </c>
      <c r="AC173" s="274"/>
    </row>
    <row r="174" spans="2:29" ht="15" hidden="1" customHeight="1" x14ac:dyDescent="0.3">
      <c r="B174" t="s">
        <v>1163</v>
      </c>
      <c r="D174" s="1214">
        <f>+D171-D75</f>
        <v>-5566.2600000001839</v>
      </c>
      <c r="E174" s="274"/>
      <c r="F174" s="1214">
        <f>+F171-F75</f>
        <v>-18684.90000000014</v>
      </c>
      <c r="G174" s="274"/>
      <c r="H174" s="1220"/>
      <c r="I174" s="899"/>
      <c r="J174" s="1214">
        <f>+J171-J75</f>
        <v>-19698.884999997448</v>
      </c>
      <c r="K174" s="274"/>
      <c r="L174" s="1220"/>
      <c r="M174" s="274"/>
      <c r="N174" s="1214">
        <f>+N171-N75</f>
        <v>-17021.474999996601</v>
      </c>
      <c r="O174" s="274"/>
      <c r="P174" s="1220"/>
      <c r="Q174" s="274"/>
      <c r="R174" s="1214">
        <f>+R171-R75</f>
        <v>-14542.874999996682</v>
      </c>
      <c r="S174" s="274"/>
      <c r="T174" s="1220"/>
      <c r="U174" s="274"/>
      <c r="V174" s="1214">
        <f>+V171-V75</f>
        <v>161930.12500000341</v>
      </c>
      <c r="W174" s="274"/>
      <c r="X174" s="274"/>
      <c r="Y174" s="274"/>
      <c r="Z174" s="274"/>
      <c r="AA174" s="274"/>
      <c r="AB174" s="1214">
        <f>+AB171-AB75</f>
        <v>-5490.8749999966822</v>
      </c>
      <c r="AC174" s="274"/>
    </row>
    <row r="175" spans="2:29" ht="15" hidden="1" customHeight="1" x14ac:dyDescent="0.3">
      <c r="D175" s="274"/>
      <c r="E175" s="274"/>
      <c r="F175" s="274"/>
      <c r="G175" s="274"/>
      <c r="H175" s="1220"/>
      <c r="I175" s="899"/>
      <c r="J175" s="1565"/>
      <c r="K175" s="274"/>
      <c r="L175" s="1220"/>
      <c r="M175" s="274"/>
      <c r="N175" s="1565"/>
      <c r="O175" s="274"/>
      <c r="P175" s="1220"/>
      <c r="Q175" s="274"/>
      <c r="R175" s="1565"/>
      <c r="S175" s="274"/>
      <c r="T175" s="1220"/>
      <c r="U175" s="274"/>
      <c r="V175" s="1565"/>
      <c r="W175" s="274"/>
      <c r="X175" s="274"/>
      <c r="Y175" s="274"/>
      <c r="Z175" s="274"/>
      <c r="AA175" s="274"/>
      <c r="AB175" s="1565"/>
      <c r="AC175" s="274"/>
    </row>
    <row r="176" spans="2:29" ht="15" hidden="1" customHeight="1" x14ac:dyDescent="0.3">
      <c r="D176" s="274"/>
      <c r="E176" s="274"/>
      <c r="F176" s="274"/>
      <c r="G176" s="274"/>
      <c r="H176" s="1220"/>
      <c r="I176" s="899"/>
      <c r="J176" s="1565"/>
      <c r="K176" s="274"/>
      <c r="L176" s="1220"/>
      <c r="M176" s="274"/>
      <c r="N176" s="1565"/>
      <c r="O176" s="274"/>
      <c r="P176" s="1220"/>
      <c r="Q176" s="274"/>
      <c r="R176" s="1565"/>
      <c r="S176" s="274"/>
      <c r="T176" s="1220"/>
      <c r="U176" s="274"/>
      <c r="V176" s="1565"/>
      <c r="W176" s="274"/>
      <c r="X176" s="274"/>
      <c r="Y176" s="274"/>
      <c r="Z176" s="274"/>
      <c r="AA176" s="274"/>
      <c r="AB176" s="1565"/>
      <c r="AC176" s="274"/>
    </row>
    <row r="177" ht="15" hidden="1" customHeight="1" x14ac:dyDescent="0.3"/>
    <row r="178" ht="15" hidden="1" customHeight="1" x14ac:dyDescent="0.3"/>
    <row r="179" ht="15" hidden="1" customHeight="1" x14ac:dyDescent="0.3"/>
    <row r="180" ht="15" hidden="1" customHeight="1" x14ac:dyDescent="0.3"/>
    <row r="181" ht="15" hidden="1" customHeight="1" x14ac:dyDescent="0.3"/>
    <row r="182" ht="15" hidden="1" customHeight="1" x14ac:dyDescent="0.3"/>
  </sheetData>
  <mergeCells count="29">
    <mergeCell ref="AX4:AY4"/>
    <mergeCell ref="BD4:BE4"/>
    <mergeCell ref="AZ4:BA4"/>
    <mergeCell ref="BB4:BC4"/>
    <mergeCell ref="AT4:AU4"/>
    <mergeCell ref="AV4:AW4"/>
    <mergeCell ref="AP4:AQ4"/>
    <mergeCell ref="AR4:AS4"/>
    <mergeCell ref="AJ4:AK4"/>
    <mergeCell ref="AN4:AO4"/>
    <mergeCell ref="AL4:AM4"/>
    <mergeCell ref="Z4:AA4"/>
    <mergeCell ref="X4:Y4"/>
    <mergeCell ref="AF4:AG4"/>
    <mergeCell ref="AH4:AI4"/>
    <mergeCell ref="T4:U4"/>
    <mergeCell ref="AB4:AC4"/>
    <mergeCell ref="AD4:AE4"/>
    <mergeCell ref="V4:W4"/>
    <mergeCell ref="B4:B5"/>
    <mergeCell ref="C4:C5"/>
    <mergeCell ref="D4:E4"/>
    <mergeCell ref="F4:G4"/>
    <mergeCell ref="H4:I4"/>
    <mergeCell ref="R4:S4"/>
    <mergeCell ref="J4:K4"/>
    <mergeCell ref="L4:M4"/>
    <mergeCell ref="N4:O4"/>
    <mergeCell ref="P4:Q4"/>
  </mergeCells>
  <pageMargins left="0.7" right="0.7" top="0.75" bottom="0.75" header="0.3" footer="0.3"/>
  <pageSetup scale="3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660066"/>
    <pageSetUpPr fitToPage="1"/>
  </sheetPr>
  <dimension ref="A1:BK74"/>
  <sheetViews>
    <sheetView topLeftCell="A13" zoomScaleNormal="100" workbookViewId="0">
      <pane xSplit="4" topLeftCell="F1" activePane="topRight" state="frozen"/>
      <selection pane="topRight" activeCell="BH19" sqref="BH19"/>
    </sheetView>
  </sheetViews>
  <sheetFormatPr defaultColWidth="8.85546875" defaultRowHeight="15" x14ac:dyDescent="0.25"/>
  <cols>
    <col min="1" max="1" width="6.5703125" customWidth="1"/>
    <col min="2" max="2" width="8.85546875" hidden="1" customWidth="1"/>
    <col min="3" max="3" width="40.28515625" customWidth="1"/>
    <col min="4" max="4" width="12.7109375" customWidth="1"/>
    <col min="5" max="5" width="7.85546875" bestFit="1" customWidth="1"/>
    <col min="6" max="6" width="8.42578125" bestFit="1" customWidth="1"/>
    <col min="7" max="7" width="7.85546875" customWidth="1"/>
    <col min="8" max="8" width="8.42578125" bestFit="1" customWidth="1"/>
    <col min="9" max="9" width="12.140625" hidden="1" customWidth="1"/>
    <col min="10" max="10" width="7.85546875" hidden="1" customWidth="1"/>
    <col min="11" max="11" width="7.85546875" customWidth="1"/>
    <col min="12" max="12" width="8.42578125" bestFit="1" customWidth="1"/>
    <col min="13" max="15" width="7.85546875" bestFit="1" customWidth="1"/>
    <col min="16" max="16" width="8.42578125" bestFit="1" customWidth="1"/>
    <col min="17" max="18" width="7.85546875" hidden="1" customWidth="1"/>
    <col min="19" max="19" width="7.85546875" customWidth="1"/>
    <col min="20" max="20" width="8.42578125" bestFit="1" customWidth="1"/>
    <col min="21" max="22" width="9" hidden="1" customWidth="1"/>
    <col min="23" max="24" width="7.85546875" customWidth="1"/>
    <col min="25" max="25" width="10.28515625" customWidth="1"/>
    <col min="26" max="28" width="9.140625" customWidth="1"/>
    <col min="29" max="30" width="7.85546875" hidden="1" customWidth="1"/>
    <col min="31" max="42" width="8.85546875" hidden="1" customWidth="1"/>
    <col min="43" max="43" width="7.85546875" hidden="1" customWidth="1"/>
    <col min="44" max="44" width="8.7109375" hidden="1" customWidth="1"/>
    <col min="45" max="45" width="8.85546875" hidden="1" customWidth="1"/>
    <col min="46" max="46" width="9" hidden="1" customWidth="1"/>
    <col min="47" max="58" width="8.85546875" hidden="1" customWidth="1"/>
    <col min="59" max="59" width="8.85546875" customWidth="1"/>
  </cols>
  <sheetData>
    <row r="1" spans="1:63" ht="14.45" x14ac:dyDescent="0.3">
      <c r="O1" s="149"/>
      <c r="S1" s="149"/>
    </row>
    <row r="2" spans="1:63" x14ac:dyDescent="0.25">
      <c r="C2" s="6315" t="s">
        <v>82</v>
      </c>
      <c r="O2" s="149"/>
      <c r="S2" s="149"/>
    </row>
    <row r="3" spans="1:63" ht="16.5" thickBot="1" x14ac:dyDescent="0.3">
      <c r="C3" s="6315"/>
      <c r="D3" s="1155"/>
      <c r="E3" s="1156">
        <v>30</v>
      </c>
      <c r="F3" s="1156">
        <v>30</v>
      </c>
      <c r="G3" s="1156">
        <v>31</v>
      </c>
      <c r="H3" s="1156">
        <v>31</v>
      </c>
      <c r="I3" s="1156">
        <f>+E3+G3</f>
        <v>61</v>
      </c>
      <c r="J3" s="1156">
        <f>+F3+H3</f>
        <v>61</v>
      </c>
      <c r="K3" s="1156">
        <v>30</v>
      </c>
      <c r="L3" s="1156">
        <v>30</v>
      </c>
      <c r="M3" s="1156">
        <f>+I3+K3</f>
        <v>91</v>
      </c>
      <c r="N3" s="1156">
        <f>+J3+L3</f>
        <v>91</v>
      </c>
      <c r="O3" s="1564">
        <v>31</v>
      </c>
      <c r="P3" s="1156">
        <v>31</v>
      </c>
      <c r="Q3" s="1156">
        <f>+M3+O3</f>
        <v>122</v>
      </c>
      <c r="R3" s="1156">
        <f>+N3+P3</f>
        <v>122</v>
      </c>
      <c r="S3" s="1564">
        <v>31</v>
      </c>
      <c r="T3" s="1156">
        <v>31</v>
      </c>
      <c r="U3" s="1156">
        <f>+Q3+S3</f>
        <v>153</v>
      </c>
      <c r="V3" s="1156">
        <f>+R3+T3</f>
        <v>153</v>
      </c>
      <c r="W3" s="1156">
        <v>30</v>
      </c>
      <c r="X3" s="1156">
        <v>30</v>
      </c>
      <c r="Y3" s="1156">
        <f>+O3+S3+W3</f>
        <v>92</v>
      </c>
      <c r="Z3" s="1156">
        <f>+P3+T3+X3</f>
        <v>92</v>
      </c>
      <c r="AA3" s="1156">
        <f>+U3+W3</f>
        <v>183</v>
      </c>
      <c r="AB3" s="1156">
        <f>+V3+X3</f>
        <v>183</v>
      </c>
      <c r="AC3" s="1156">
        <v>31</v>
      </c>
      <c r="AD3" s="1156">
        <v>31</v>
      </c>
      <c r="AE3" s="1156">
        <f>+AA3+AC3</f>
        <v>214</v>
      </c>
      <c r="AF3" s="1156">
        <f>+AB3+AD3</f>
        <v>214</v>
      </c>
      <c r="AG3" s="1156">
        <v>30</v>
      </c>
      <c r="AH3" s="1156">
        <v>30</v>
      </c>
      <c r="AI3" s="1156">
        <f>+AE3+AG3</f>
        <v>244</v>
      </c>
      <c r="AJ3" s="1156">
        <f>+AF3+AH3</f>
        <v>244</v>
      </c>
      <c r="AK3" s="1156">
        <v>31</v>
      </c>
      <c r="AL3" s="1156">
        <v>31</v>
      </c>
      <c r="AM3" s="1156">
        <f>+AC3+AG3+AK3</f>
        <v>92</v>
      </c>
      <c r="AN3" s="1156">
        <f>+AD3+AH3+AL3</f>
        <v>92</v>
      </c>
      <c r="AO3" s="1156">
        <f>+AI3+AK3</f>
        <v>275</v>
      </c>
      <c r="AP3" s="1156">
        <f>+AJ3+AL3</f>
        <v>275</v>
      </c>
      <c r="AQ3" s="1156">
        <v>31</v>
      </c>
      <c r="AR3" s="1156">
        <v>31</v>
      </c>
      <c r="AS3" s="1156">
        <f>+AO3+AQ3</f>
        <v>306</v>
      </c>
      <c r="AT3" s="1156">
        <f>+AP3+AR3</f>
        <v>306</v>
      </c>
      <c r="AU3" s="1156">
        <v>28</v>
      </c>
      <c r="AV3" s="1156">
        <v>28</v>
      </c>
      <c r="AW3" s="1156">
        <f>+AS3+AU3</f>
        <v>334</v>
      </c>
      <c r="AX3" s="1156">
        <f>+AT3+AV3</f>
        <v>334</v>
      </c>
      <c r="AY3" s="1156">
        <v>31</v>
      </c>
      <c r="AZ3" s="1156">
        <v>31</v>
      </c>
      <c r="BA3" s="1156">
        <f>+AQ3+AU3+AY3</f>
        <v>90</v>
      </c>
      <c r="BB3" s="1156">
        <f>+AR3+AV3+AZ3</f>
        <v>90</v>
      </c>
      <c r="BC3" s="1156">
        <f>+AM3+BA3</f>
        <v>182</v>
      </c>
      <c r="BD3" s="1156">
        <f>+AN3+BB3</f>
        <v>182</v>
      </c>
      <c r="BE3" s="1156">
        <f>+AW3+AY3</f>
        <v>365</v>
      </c>
      <c r="BF3" s="1156">
        <f>+AX3+AZ3</f>
        <v>365</v>
      </c>
    </row>
    <row r="4" spans="1:63" ht="15.75" x14ac:dyDescent="0.25">
      <c r="A4" s="149"/>
      <c r="B4" s="149"/>
      <c r="C4" s="6316" t="s">
        <v>534</v>
      </c>
      <c r="D4" s="6158" t="s">
        <v>172</v>
      </c>
      <c r="E4" s="6157" t="s">
        <v>2190</v>
      </c>
      <c r="F4" s="6158"/>
      <c r="G4" s="6157" t="s">
        <v>2242</v>
      </c>
      <c r="H4" s="6158"/>
      <c r="I4" s="6155" t="s">
        <v>14</v>
      </c>
      <c r="J4" s="6156"/>
      <c r="K4" s="6157" t="s">
        <v>2273</v>
      </c>
      <c r="L4" s="6158"/>
      <c r="M4" s="6159" t="s">
        <v>637</v>
      </c>
      <c r="N4" s="6160"/>
      <c r="O4" s="6157" t="s">
        <v>2296</v>
      </c>
      <c r="P4" s="6158"/>
      <c r="Q4" s="6321" t="s">
        <v>17</v>
      </c>
      <c r="R4" s="6322"/>
      <c r="S4" s="6157" t="s">
        <v>2299</v>
      </c>
      <c r="T4" s="6158"/>
      <c r="U4" s="6321" t="s">
        <v>18</v>
      </c>
      <c r="V4" s="6322"/>
      <c r="W4" s="6157" t="s">
        <v>2344</v>
      </c>
      <c r="X4" s="6158"/>
      <c r="Y4" s="6159" t="s">
        <v>660</v>
      </c>
      <c r="Z4" s="6160"/>
      <c r="AA4" s="6305" t="s">
        <v>657</v>
      </c>
      <c r="AB4" s="6306"/>
      <c r="AC4" s="6157" t="s">
        <v>1954</v>
      </c>
      <c r="AD4" s="6158"/>
      <c r="AE4" s="6155" t="s">
        <v>24</v>
      </c>
      <c r="AF4" s="6156"/>
      <c r="AG4" s="6157" t="s">
        <v>1970</v>
      </c>
      <c r="AH4" s="6158"/>
      <c r="AI4" s="6155" t="s">
        <v>27</v>
      </c>
      <c r="AJ4" s="6156"/>
      <c r="AK4" s="6157" t="s">
        <v>1985</v>
      </c>
      <c r="AL4" s="6158"/>
      <c r="AM4" s="6159" t="s">
        <v>662</v>
      </c>
      <c r="AN4" s="6160"/>
      <c r="AO4" s="6155" t="s">
        <v>1666</v>
      </c>
      <c r="AP4" s="6156"/>
      <c r="AQ4" s="6157" t="s">
        <v>2085</v>
      </c>
      <c r="AR4" s="6158"/>
      <c r="AS4" s="6155" t="s">
        <v>28</v>
      </c>
      <c r="AT4" s="6156"/>
      <c r="AU4" s="6157" t="s">
        <v>2099</v>
      </c>
      <c r="AV4" s="6158"/>
      <c r="AW4" s="6155" t="s">
        <v>30</v>
      </c>
      <c r="AX4" s="6156"/>
      <c r="AY4" s="6157" t="s">
        <v>2111</v>
      </c>
      <c r="AZ4" s="6158"/>
      <c r="BA4" s="6159" t="s">
        <v>663</v>
      </c>
      <c r="BB4" s="6160"/>
      <c r="BC4" s="6305" t="s">
        <v>671</v>
      </c>
      <c r="BD4" s="6306"/>
      <c r="BE4" s="6155" t="s">
        <v>1745</v>
      </c>
      <c r="BF4" s="6156"/>
    </row>
    <row r="5" spans="1:63" ht="16.5" thickBot="1" x14ac:dyDescent="0.3">
      <c r="A5" s="149"/>
      <c r="B5" s="149"/>
      <c r="C5" s="6317"/>
      <c r="D5" s="6318"/>
      <c r="E5" s="1157" t="s">
        <v>173</v>
      </c>
      <c r="F5" s="1158" t="s">
        <v>174</v>
      </c>
      <c r="G5" s="1157" t="s">
        <v>173</v>
      </c>
      <c r="H5" s="1158" t="s">
        <v>174</v>
      </c>
      <c r="I5" s="1490" t="s">
        <v>173</v>
      </c>
      <c r="J5" s="1154" t="s">
        <v>174</v>
      </c>
      <c r="K5" s="1157" t="s">
        <v>173</v>
      </c>
      <c r="L5" s="1158" t="s">
        <v>174</v>
      </c>
      <c r="M5" s="2794" t="s">
        <v>173</v>
      </c>
      <c r="N5" s="2795" t="s">
        <v>174</v>
      </c>
      <c r="O5" s="1157" t="s">
        <v>173</v>
      </c>
      <c r="P5" s="1158" t="s">
        <v>174</v>
      </c>
      <c r="Q5" s="2801" t="s">
        <v>173</v>
      </c>
      <c r="R5" s="2807" t="s">
        <v>174</v>
      </c>
      <c r="S5" s="1157" t="s">
        <v>173</v>
      </c>
      <c r="T5" s="1158" t="s">
        <v>174</v>
      </c>
      <c r="U5" s="2801" t="s">
        <v>173</v>
      </c>
      <c r="V5" s="2807" t="s">
        <v>174</v>
      </c>
      <c r="W5" s="1157" t="s">
        <v>173</v>
      </c>
      <c r="X5" s="1158" t="s">
        <v>174</v>
      </c>
      <c r="Y5" s="2794" t="s">
        <v>173</v>
      </c>
      <c r="Z5" s="2795" t="s">
        <v>174</v>
      </c>
      <c r="AA5" s="2787" t="s">
        <v>173</v>
      </c>
      <c r="AB5" s="2788" t="s">
        <v>174</v>
      </c>
      <c r="AC5" s="1157" t="s">
        <v>173</v>
      </c>
      <c r="AD5" s="1158" t="s">
        <v>174</v>
      </c>
      <c r="AE5" s="2801" t="s">
        <v>173</v>
      </c>
      <c r="AF5" s="1154" t="s">
        <v>174</v>
      </c>
      <c r="AG5" s="1157" t="s">
        <v>173</v>
      </c>
      <c r="AH5" s="1158" t="s">
        <v>174</v>
      </c>
      <c r="AI5" s="2801" t="s">
        <v>173</v>
      </c>
      <c r="AJ5" s="1154" t="s">
        <v>174</v>
      </c>
      <c r="AK5" s="1157" t="s">
        <v>173</v>
      </c>
      <c r="AL5" s="1158" t="s">
        <v>174</v>
      </c>
      <c r="AM5" s="2794" t="s">
        <v>173</v>
      </c>
      <c r="AN5" s="2795" t="s">
        <v>174</v>
      </c>
      <c r="AO5" s="2801" t="s">
        <v>173</v>
      </c>
      <c r="AP5" s="1154" t="s">
        <v>174</v>
      </c>
      <c r="AQ5" s="1157" t="s">
        <v>173</v>
      </c>
      <c r="AR5" s="1158" t="s">
        <v>174</v>
      </c>
      <c r="AS5" s="2801" t="s">
        <v>173</v>
      </c>
      <c r="AT5" s="1154" t="s">
        <v>174</v>
      </c>
      <c r="AU5" s="1157" t="s">
        <v>173</v>
      </c>
      <c r="AV5" s="1158" t="s">
        <v>174</v>
      </c>
      <c r="AW5" s="2801" t="s">
        <v>173</v>
      </c>
      <c r="AX5" s="1154" t="s">
        <v>174</v>
      </c>
      <c r="AY5" s="1157" t="s">
        <v>173</v>
      </c>
      <c r="AZ5" s="1158" t="s">
        <v>174</v>
      </c>
      <c r="BA5" s="2794" t="s">
        <v>173</v>
      </c>
      <c r="BB5" s="2795" t="s">
        <v>174</v>
      </c>
      <c r="BC5" s="2787" t="s">
        <v>173</v>
      </c>
      <c r="BD5" s="2788" t="s">
        <v>174</v>
      </c>
      <c r="BE5" s="2801" t="s">
        <v>173</v>
      </c>
      <c r="BF5" s="1154" t="s">
        <v>174</v>
      </c>
    </row>
    <row r="6" spans="1:63" ht="15.6" x14ac:dyDescent="0.3">
      <c r="A6" s="149"/>
      <c r="B6" s="149"/>
      <c r="C6" s="3235" t="s">
        <v>519</v>
      </c>
      <c r="D6" s="3236"/>
      <c r="E6" s="3237"/>
      <c r="F6" s="3236"/>
      <c r="G6" s="3237"/>
      <c r="H6" s="3236"/>
      <c r="I6" s="3238"/>
      <c r="J6" s="3239"/>
      <c r="K6" s="1166"/>
      <c r="L6" s="1167"/>
      <c r="M6" s="2796"/>
      <c r="N6" s="2797"/>
      <c r="O6" s="1166"/>
      <c r="P6" s="1167"/>
      <c r="Q6" s="2802"/>
      <c r="R6" s="2808"/>
      <c r="S6" s="1166"/>
      <c r="T6" s="1167"/>
      <c r="U6" s="2802"/>
      <c r="V6" s="2808"/>
      <c r="W6" s="1166"/>
      <c r="X6" s="1167"/>
      <c r="Y6" s="2796"/>
      <c r="Z6" s="2797"/>
      <c r="AA6" s="2789"/>
      <c r="AB6" s="2790"/>
      <c r="AC6" s="1166"/>
      <c r="AD6" s="1167"/>
      <c r="AE6" s="2802"/>
      <c r="AF6" s="2803"/>
      <c r="AG6" s="1166"/>
      <c r="AH6" s="1167"/>
      <c r="AI6" s="2802"/>
      <c r="AJ6" s="2803"/>
      <c r="AK6" s="1166"/>
      <c r="AL6" s="1167"/>
      <c r="AM6" s="2796"/>
      <c r="AN6" s="2797"/>
      <c r="AO6" s="2802"/>
      <c r="AP6" s="2803"/>
      <c r="AQ6" s="1166"/>
      <c r="AR6" s="1167"/>
      <c r="AS6" s="2802"/>
      <c r="AT6" s="2803"/>
      <c r="AU6" s="1166"/>
      <c r="AV6" s="1167"/>
      <c r="AW6" s="2802"/>
      <c r="AX6" s="2803"/>
      <c r="AY6" s="1166"/>
      <c r="AZ6" s="1167"/>
      <c r="BA6" s="2796"/>
      <c r="BB6" s="2797"/>
      <c r="BC6" s="2789"/>
      <c r="BD6" s="2790"/>
      <c r="BE6" s="2802"/>
      <c r="BF6" s="2803"/>
    </row>
    <row r="7" spans="1:63" ht="15.6" x14ac:dyDescent="0.3">
      <c r="C7" s="2075" t="s">
        <v>520</v>
      </c>
      <c r="D7" s="2017" t="s">
        <v>50</v>
      </c>
      <c r="E7" s="1600">
        <f>+E33*$E$35/1000</f>
        <v>57719.20194410954</v>
      </c>
      <c r="F7" s="2909">
        <v>53260</v>
      </c>
      <c r="G7" s="1600">
        <f>+G33*$E$35/1000</f>
        <v>59558.125144240505</v>
      </c>
      <c r="H7" s="2909">
        <v>57968</v>
      </c>
      <c r="I7" s="2765">
        <f>+E7+G7</f>
        <v>117277.32708835005</v>
      </c>
      <c r="J7" s="1180">
        <f>+F7+H7</f>
        <v>111228</v>
      </c>
      <c r="K7" s="1600">
        <f>+K33*$E$35/1000</f>
        <v>57719.20194410954</v>
      </c>
      <c r="L7" s="2909">
        <v>59622</v>
      </c>
      <c r="M7" s="1160">
        <f>E7+G7+K7</f>
        <v>174996.5290324596</v>
      </c>
      <c r="N7" s="1161">
        <f>F7+H7+L7</f>
        <v>170850</v>
      </c>
      <c r="O7" s="1600">
        <f>+O33*$E$35/1000</f>
        <v>58408.798144158711</v>
      </c>
      <c r="P7" s="2909">
        <v>66125</v>
      </c>
      <c r="Q7" s="2765">
        <f>+M7+O7</f>
        <v>233405.3271766183</v>
      </c>
      <c r="R7" s="1180">
        <f>+N7+P7</f>
        <v>236975</v>
      </c>
      <c r="S7" s="1600">
        <f>+S33*$E$35/1000</f>
        <v>58408.798144158711</v>
      </c>
      <c r="T7" s="2909">
        <v>59020</v>
      </c>
      <c r="U7" s="2765">
        <f>+Q7+S7</f>
        <v>291814.12532077701</v>
      </c>
      <c r="V7" s="1180">
        <f>+R7+T7</f>
        <v>295995</v>
      </c>
      <c r="W7" s="1600">
        <f>+W33*$E$35/1000</f>
        <v>30652.551092182573</v>
      </c>
      <c r="X7" s="2909">
        <v>57997</v>
      </c>
      <c r="Y7" s="1160">
        <f>O7+S7+W7</f>
        <v>147470.14738049998</v>
      </c>
      <c r="Z7" s="1161">
        <f>P7+T7+X7</f>
        <v>183142</v>
      </c>
      <c r="AA7" s="1163">
        <f>+U7+W7</f>
        <v>322466.67641295958</v>
      </c>
      <c r="AB7" s="1164">
        <f>+V7+X7</f>
        <v>353992</v>
      </c>
      <c r="AC7" s="1600">
        <f>+AC33*$E$35/1000</f>
        <v>57324.870018923073</v>
      </c>
      <c r="AD7" s="2909">
        <v>54950</v>
      </c>
      <c r="AE7" s="2765">
        <f>+AA7+AC7</f>
        <v>379791.54643188266</v>
      </c>
      <c r="AF7" s="1180">
        <f>+AB7+AD7</f>
        <v>408942</v>
      </c>
      <c r="AG7" s="1600">
        <f>+AG33*$E$35/1000</f>
        <v>55487.681651999759</v>
      </c>
      <c r="AH7" s="2909">
        <v>1194</v>
      </c>
      <c r="AI7" s="2765">
        <f>+AE7+AG7</f>
        <v>435279.22808388242</v>
      </c>
      <c r="AJ7" s="1180">
        <f>+AF7+AH7</f>
        <v>410136</v>
      </c>
      <c r="AK7" s="1600">
        <f>+AK33*$E$35/1000</f>
        <v>57324.870018923073</v>
      </c>
      <c r="AL7" s="2909">
        <v>51238</v>
      </c>
      <c r="AM7" s="1160">
        <f>AC7+AG7+AK7</f>
        <v>170137.42168984591</v>
      </c>
      <c r="AN7" s="1161">
        <f>AD7+AH7+AL7</f>
        <v>107382</v>
      </c>
      <c r="AO7" s="2765">
        <f>+AI7+AK7</f>
        <v>492604.0981028055</v>
      </c>
      <c r="AP7" s="1180">
        <f>+AJ7+AL7</f>
        <v>461374</v>
      </c>
      <c r="AQ7" s="1600">
        <f>+AQ33*$E$35/1000</f>
        <v>57324.870018923073</v>
      </c>
      <c r="AR7" s="2909">
        <v>55134</v>
      </c>
      <c r="AS7" s="2765">
        <f>+AO7+AQ7</f>
        <v>549928.96812172863</v>
      </c>
      <c r="AT7" s="1180">
        <f>+AP7+AR7</f>
        <v>516508</v>
      </c>
      <c r="AU7" s="1600">
        <f>+AU33*$E$35/1000</f>
        <v>51583.656372287725</v>
      </c>
      <c r="AV7" s="2909">
        <v>51595</v>
      </c>
      <c r="AW7" s="2765">
        <f>+AS7+AU7</f>
        <v>601512.6244940164</v>
      </c>
      <c r="AX7" s="1180">
        <f>+AT7+AV7</f>
        <v>568103</v>
      </c>
      <c r="AY7" s="1600">
        <f>+AY33*$E$35/1000</f>
        <v>57324.870018923073</v>
      </c>
      <c r="AZ7" s="2909">
        <v>63599</v>
      </c>
      <c r="BA7" s="1160">
        <f>AQ7+AU7+AY7</f>
        <v>166233.39641013386</v>
      </c>
      <c r="BB7" s="1161">
        <f>AR7+AV7+AZ7</f>
        <v>170328</v>
      </c>
      <c r="BC7" s="1163">
        <f>AM7+BA7</f>
        <v>336370.81809997978</v>
      </c>
      <c r="BD7" s="1163">
        <f>AN7+BB7</f>
        <v>277710</v>
      </c>
      <c r="BE7" s="2765">
        <f>+AW7+AY7</f>
        <v>658837.49451293948</v>
      </c>
      <c r="BF7" s="1180">
        <f>+AX7+AZ7</f>
        <v>631702</v>
      </c>
      <c r="BG7" s="26"/>
      <c r="BH7" s="26"/>
      <c r="BI7" s="1546"/>
      <c r="BJ7" s="1546"/>
      <c r="BK7" s="26"/>
    </row>
    <row r="8" spans="1:63" ht="15.75" x14ac:dyDescent="0.25">
      <c r="A8" s="149"/>
      <c r="B8" s="149"/>
      <c r="C8" s="6313" t="s">
        <v>521</v>
      </c>
      <c r="D8" s="2909" t="s">
        <v>50</v>
      </c>
      <c r="E8" s="1600">
        <f>+E7*E9/100</f>
        <v>11543.840388821909</v>
      </c>
      <c r="F8" s="2909">
        <v>14913</v>
      </c>
      <c r="G8" s="1600">
        <f>+G7*G9/100</f>
        <v>11911.625028848101</v>
      </c>
      <c r="H8" s="2909">
        <v>14492</v>
      </c>
      <c r="I8" s="2765">
        <f>+E8+G8</f>
        <v>23455.46541767001</v>
      </c>
      <c r="J8" s="1180">
        <f>+F8+H8</f>
        <v>29405</v>
      </c>
      <c r="K8" s="1600">
        <f>+K7*K9/100</f>
        <v>11543.840388821909</v>
      </c>
      <c r="L8" s="2909">
        <v>14309</v>
      </c>
      <c r="M8" s="1160">
        <f>E8+G8+K8</f>
        <v>34999.305806491917</v>
      </c>
      <c r="N8" s="1161">
        <f>F8+H8+L8</f>
        <v>43714</v>
      </c>
      <c r="O8" s="1600">
        <f>+O7*O9/100</f>
        <v>11681.759628831742</v>
      </c>
      <c r="P8" s="2909">
        <v>18251</v>
      </c>
      <c r="Q8" s="2765">
        <f>+M8+O8</f>
        <v>46681.06543532366</v>
      </c>
      <c r="R8" s="1180">
        <f>+N8+P8</f>
        <v>61965</v>
      </c>
      <c r="S8" s="1600">
        <f>+S7*S9/100</f>
        <v>11681.759628831742</v>
      </c>
      <c r="T8" s="2909">
        <v>15345</v>
      </c>
      <c r="U8" s="2765">
        <f>+Q8+S8</f>
        <v>58362.825064155404</v>
      </c>
      <c r="V8" s="1180">
        <f>+R8+T8</f>
        <v>77310</v>
      </c>
      <c r="W8" s="1600">
        <f>+W7*W9/100</f>
        <v>6130.5102184365142</v>
      </c>
      <c r="X8" s="2909">
        <v>15590</v>
      </c>
      <c r="Y8" s="1160">
        <f>O8+S8+W8</f>
        <v>29494.029476099997</v>
      </c>
      <c r="Z8" s="1161">
        <f>P8+T8+X8</f>
        <v>49186</v>
      </c>
      <c r="AA8" s="1163">
        <f>+U8+W8</f>
        <v>64493.335282591921</v>
      </c>
      <c r="AB8" s="1164">
        <f>+V8+X8</f>
        <v>92900</v>
      </c>
      <c r="AC8" s="1600">
        <f>+AC7*AC9/100</f>
        <v>11464.974003784615</v>
      </c>
      <c r="AD8" s="2909">
        <v>13463</v>
      </c>
      <c r="AE8" s="2765">
        <f>+AA8+AC8</f>
        <v>75958.309286376534</v>
      </c>
      <c r="AF8" s="1180">
        <f>+AB8+AD8</f>
        <v>106363</v>
      </c>
      <c r="AG8" s="1600">
        <f>+AG7*AG9/100</f>
        <v>11097.536330399951</v>
      </c>
      <c r="AH8" s="2909">
        <v>414</v>
      </c>
      <c r="AI8" s="2765">
        <f>+AE8+AG8</f>
        <v>87055.845616776482</v>
      </c>
      <c r="AJ8" s="1180">
        <f>+AF8+AH8</f>
        <v>106777</v>
      </c>
      <c r="AK8" s="1600">
        <f>+AK7*AK9/100</f>
        <v>11464.974003784615</v>
      </c>
      <c r="AL8" s="2909">
        <v>11170</v>
      </c>
      <c r="AM8" s="1160">
        <f>AC8+AG8+AK8</f>
        <v>34027.484337969181</v>
      </c>
      <c r="AN8" s="1161">
        <f>AD8+AH8+AL8</f>
        <v>25047</v>
      </c>
      <c r="AO8" s="2765">
        <f>+AI8+AK8</f>
        <v>98520.819620561102</v>
      </c>
      <c r="AP8" s="1180">
        <f>+AJ8+AL8</f>
        <v>117947</v>
      </c>
      <c r="AQ8" s="1600">
        <f>+AQ7*AQ9/100</f>
        <v>11464.974003784615</v>
      </c>
      <c r="AR8" s="2909">
        <v>12957</v>
      </c>
      <c r="AS8" s="2765">
        <f>+AO8+AQ8</f>
        <v>109985.79362434572</v>
      </c>
      <c r="AT8" s="1180">
        <f>+AP8+AR8</f>
        <v>130904</v>
      </c>
      <c r="AU8" s="1600">
        <f>+AU7*AU9/100</f>
        <v>10316.731274457545</v>
      </c>
      <c r="AV8" s="2909">
        <v>12125</v>
      </c>
      <c r="AW8" s="2765">
        <f>+AS8+AU8</f>
        <v>120302.52489880327</v>
      </c>
      <c r="AX8" s="1180">
        <f>+AT8+AV8</f>
        <v>143029</v>
      </c>
      <c r="AY8" s="1600">
        <f>+AY7*AY9/100</f>
        <v>11464.974003784615</v>
      </c>
      <c r="AZ8" s="2909">
        <v>18840</v>
      </c>
      <c r="BA8" s="1160">
        <f>AQ8+AU8+AY8</f>
        <v>33246.679282026773</v>
      </c>
      <c r="BB8" s="1161">
        <f>AR8+AV8+AZ8</f>
        <v>43922</v>
      </c>
      <c r="BC8" s="1163">
        <f>AM8+BA8</f>
        <v>67274.163619995961</v>
      </c>
      <c r="BD8" s="1163">
        <f>AN8+BB8</f>
        <v>68969</v>
      </c>
      <c r="BE8" s="2765">
        <f>+AW8+AY8</f>
        <v>131767.49890258789</v>
      </c>
      <c r="BF8" s="1180">
        <f>+AX8+AZ8</f>
        <v>161869</v>
      </c>
      <c r="BG8" s="26"/>
      <c r="BH8" s="26"/>
      <c r="BI8" s="1546"/>
      <c r="BJ8" s="1546"/>
      <c r="BK8" s="26"/>
    </row>
    <row r="9" spans="1:63" ht="15.75" x14ac:dyDescent="0.25">
      <c r="A9" s="149"/>
      <c r="B9" s="149"/>
      <c r="C9" s="6313"/>
      <c r="D9" s="2909" t="s">
        <v>49</v>
      </c>
      <c r="E9" s="2908">
        <v>20</v>
      </c>
      <c r="F9" s="1159">
        <f>+F8/F7*100</f>
        <v>28.000375516334962</v>
      </c>
      <c r="G9" s="2908">
        <v>20</v>
      </c>
      <c r="H9" s="1159">
        <f>+H8/H7*100</f>
        <v>25</v>
      </c>
      <c r="I9" s="2768">
        <f>+I8/I7*100</f>
        <v>20</v>
      </c>
      <c r="J9" s="2804">
        <f>+J8/J7*100</f>
        <v>26.436688603589026</v>
      </c>
      <c r="K9" s="2908">
        <v>20</v>
      </c>
      <c r="L9" s="1159">
        <f>+L8/L7*100</f>
        <v>23.999530374693904</v>
      </c>
      <c r="M9" s="2766">
        <f>+M8/M7*100</f>
        <v>20</v>
      </c>
      <c r="N9" s="2798">
        <f>+N8/N7*100</f>
        <v>25.586186713491365</v>
      </c>
      <c r="O9" s="2908">
        <v>20</v>
      </c>
      <c r="P9" s="1159">
        <f>+P8/P7*100</f>
        <v>27.600756143667297</v>
      </c>
      <c r="Q9" s="2768">
        <f>+Q8/Q7*100</f>
        <v>20</v>
      </c>
      <c r="R9" s="2804">
        <f>+R8/R7*100</f>
        <v>26.148327882688051</v>
      </c>
      <c r="S9" s="2908">
        <v>20</v>
      </c>
      <c r="T9" s="1159">
        <f>+T8/T7*100</f>
        <v>25.999661131819725</v>
      </c>
      <c r="U9" s="2768">
        <f>+U8/U7*100</f>
        <v>20</v>
      </c>
      <c r="V9" s="2804">
        <f>+V8/V7*100</f>
        <v>26.118684437237118</v>
      </c>
      <c r="W9" s="2908">
        <v>20</v>
      </c>
      <c r="X9" s="1159">
        <f>+X8/X7*100</f>
        <v>26.880700725899615</v>
      </c>
      <c r="Y9" s="2766">
        <f>+Y8/Y7*100</f>
        <v>20</v>
      </c>
      <c r="Z9" s="2798">
        <f>+Z8/Z7*100</f>
        <v>26.856755959856287</v>
      </c>
      <c r="AA9" s="2767">
        <f>+AA8/AA7*100</f>
        <v>20</v>
      </c>
      <c r="AB9" s="2791">
        <f>+AB8/AB7*100</f>
        <v>26.243530927252596</v>
      </c>
      <c r="AC9" s="2908">
        <v>20</v>
      </c>
      <c r="AD9" s="1159">
        <f>+AD8/AD7*100</f>
        <v>24.500454959053684</v>
      </c>
      <c r="AE9" s="2768">
        <f>+AE8/AE7*100</f>
        <v>20</v>
      </c>
      <c r="AF9" s="2804">
        <f>+AF8/AF7*100</f>
        <v>26.009311833952005</v>
      </c>
      <c r="AG9" s="2908">
        <v>20</v>
      </c>
      <c r="AH9" s="1159">
        <f>+AH8/AH7*100</f>
        <v>34.673366834170857</v>
      </c>
      <c r="AI9" s="2768">
        <f>+AI8/AI7*100</f>
        <v>20</v>
      </c>
      <c r="AJ9" s="2804">
        <f>+AJ8/AJ7*100</f>
        <v>26.034534885989036</v>
      </c>
      <c r="AK9" s="2908">
        <v>20</v>
      </c>
      <c r="AL9" s="1159">
        <f>+AL8/AL7*100</f>
        <v>21.800226394472851</v>
      </c>
      <c r="AM9" s="2766">
        <f>+AM8/AM7*100</f>
        <v>20</v>
      </c>
      <c r="AN9" s="2798">
        <f>+AN8/AN7*100</f>
        <v>23.325138291333744</v>
      </c>
      <c r="AO9" s="2768">
        <f>+AO8/AO7*100</f>
        <v>20</v>
      </c>
      <c r="AP9" s="2804">
        <f>+AP8/AP7*100</f>
        <v>25.564292742980747</v>
      </c>
      <c r="AQ9" s="2908">
        <v>20</v>
      </c>
      <c r="AR9" s="1159">
        <f>+AR8/AR7*100</f>
        <v>23.500925019044512</v>
      </c>
      <c r="AS9" s="2768">
        <f>+AS8/AS7*100</f>
        <v>20</v>
      </c>
      <c r="AT9" s="2804">
        <f>+AT8/AT7*100</f>
        <v>25.344041137794576</v>
      </c>
      <c r="AU9" s="2908">
        <v>20</v>
      </c>
      <c r="AV9" s="1159">
        <f>+AV8/AV7*100</f>
        <v>23.500339180153116</v>
      </c>
      <c r="AW9" s="2768">
        <f>+AW8/AW7*100</f>
        <v>20</v>
      </c>
      <c r="AX9" s="2804">
        <f>+AX8/AX7*100</f>
        <v>25.176596497466129</v>
      </c>
      <c r="AY9" s="2908">
        <v>20</v>
      </c>
      <c r="AZ9" s="1159">
        <f>+AZ8/AZ7*100</f>
        <v>29.62310728156103</v>
      </c>
      <c r="BA9" s="2766">
        <f t="shared" ref="BA9:BF9" si="0">+BA8/BA7*100</f>
        <v>20</v>
      </c>
      <c r="BB9" s="2798">
        <f t="shared" si="0"/>
        <v>25.786717392325397</v>
      </c>
      <c r="BC9" s="2767">
        <f t="shared" si="0"/>
        <v>20</v>
      </c>
      <c r="BD9" s="2791">
        <f t="shared" si="0"/>
        <v>24.83489971553059</v>
      </c>
      <c r="BE9" s="2768">
        <f t="shared" si="0"/>
        <v>20</v>
      </c>
      <c r="BF9" s="2804">
        <f t="shared" si="0"/>
        <v>25.624265872199231</v>
      </c>
      <c r="BG9" s="26"/>
      <c r="BH9" s="26"/>
      <c r="BI9" s="1546"/>
      <c r="BJ9" s="1546"/>
      <c r="BK9" s="26"/>
    </row>
    <row r="10" spans="1:63" ht="15.6" x14ac:dyDescent="0.3">
      <c r="A10" s="149"/>
      <c r="B10" s="149"/>
      <c r="C10" s="2910" t="s">
        <v>522</v>
      </c>
      <c r="D10" s="2909" t="s">
        <v>50</v>
      </c>
      <c r="E10" s="1600">
        <f>+E7-E8</f>
        <v>46175.361555287629</v>
      </c>
      <c r="F10" s="2909">
        <f>+F7-F8</f>
        <v>38347</v>
      </c>
      <c r="G10" s="1600">
        <f>+G7-G8</f>
        <v>47646.500115392402</v>
      </c>
      <c r="H10" s="2909">
        <f>+H7-H8</f>
        <v>43476</v>
      </c>
      <c r="I10" s="2765">
        <f>+E10+G10</f>
        <v>93821.861670680024</v>
      </c>
      <c r="J10" s="1180">
        <f>+F10+H10</f>
        <v>81823</v>
      </c>
      <c r="K10" s="1600">
        <f>+K7-K8</f>
        <v>46175.361555287629</v>
      </c>
      <c r="L10" s="2909">
        <f>+L7-L8</f>
        <v>45313</v>
      </c>
      <c r="M10" s="1160">
        <f>E10+G10+K10</f>
        <v>139997.22322596767</v>
      </c>
      <c r="N10" s="1161">
        <f>F10+H10+L10</f>
        <v>127136</v>
      </c>
      <c r="O10" s="1600">
        <f>+O7-O8</f>
        <v>46727.038515326967</v>
      </c>
      <c r="P10" s="2909">
        <f>+P7-P8</f>
        <v>47874</v>
      </c>
      <c r="Q10" s="2765">
        <f>+M10+O10</f>
        <v>186724.26174129464</v>
      </c>
      <c r="R10" s="1180">
        <f>+N10+P10</f>
        <v>175010</v>
      </c>
      <c r="S10" s="1600">
        <f>+S7-S8</f>
        <v>46727.038515326967</v>
      </c>
      <c r="T10" s="2909">
        <f>+T7-T8</f>
        <v>43675</v>
      </c>
      <c r="U10" s="2765">
        <f>+Q10+S10</f>
        <v>233451.30025662162</v>
      </c>
      <c r="V10" s="1180">
        <f>+R10+T10</f>
        <v>218685</v>
      </c>
      <c r="W10" s="1600">
        <f>+W7-W8</f>
        <v>24522.04087374606</v>
      </c>
      <c r="X10" s="2909">
        <f>+X7-X8</f>
        <v>42407</v>
      </c>
      <c r="Y10" s="1160">
        <f>O10+S10+W10</f>
        <v>117976.11790439999</v>
      </c>
      <c r="Z10" s="1161">
        <f>P10+T10+X10</f>
        <v>133956</v>
      </c>
      <c r="AA10" s="1163">
        <f>+U10+W10</f>
        <v>257973.34113036768</v>
      </c>
      <c r="AB10" s="1164">
        <f>+V10+X10</f>
        <v>261092</v>
      </c>
      <c r="AC10" s="1600">
        <f>+AC7-AC8</f>
        <v>45859.89601513846</v>
      </c>
      <c r="AD10" s="2909">
        <f>+AD7-AD8</f>
        <v>41487</v>
      </c>
      <c r="AE10" s="2765">
        <f>+AA10+AC10</f>
        <v>303833.23714550614</v>
      </c>
      <c r="AF10" s="1180">
        <f>+AB10+AD10</f>
        <v>302579</v>
      </c>
      <c r="AG10" s="1600">
        <f>+AG7-AG8</f>
        <v>44390.145321599804</v>
      </c>
      <c r="AH10" s="2909">
        <f>+AH7-AH8</f>
        <v>780</v>
      </c>
      <c r="AI10" s="2765">
        <f>+AE10+AG10</f>
        <v>348223.38246710593</v>
      </c>
      <c r="AJ10" s="1180">
        <f>+AF10+AH10</f>
        <v>303359</v>
      </c>
      <c r="AK10" s="1600">
        <f>+AK7-AK8</f>
        <v>45859.89601513846</v>
      </c>
      <c r="AL10" s="2909">
        <f>+AL7-AL8</f>
        <v>40068</v>
      </c>
      <c r="AM10" s="1160">
        <f>AC10+AG10+AK10</f>
        <v>136109.93735187672</v>
      </c>
      <c r="AN10" s="1161">
        <f>AD10+AH10+AL10</f>
        <v>82335</v>
      </c>
      <c r="AO10" s="2765">
        <f>+AI10+AK10</f>
        <v>394083.27848224441</v>
      </c>
      <c r="AP10" s="1180">
        <f>+AJ10+AL10</f>
        <v>343427</v>
      </c>
      <c r="AQ10" s="1600">
        <f>+AQ7-AQ8</f>
        <v>45859.89601513846</v>
      </c>
      <c r="AR10" s="2909">
        <f>+AR7-AR8</f>
        <v>42177</v>
      </c>
      <c r="AS10" s="2765">
        <f>+AO10+AQ10</f>
        <v>439943.17449738289</v>
      </c>
      <c r="AT10" s="1180">
        <f>+AP10+AR10</f>
        <v>385604</v>
      </c>
      <c r="AU10" s="1600">
        <f>+AU7-AU8</f>
        <v>41266.925097830179</v>
      </c>
      <c r="AV10" s="2909">
        <f>+AV7-AV8</f>
        <v>39470</v>
      </c>
      <c r="AW10" s="2765">
        <f>+AS10+AU10</f>
        <v>481210.09959521308</v>
      </c>
      <c r="AX10" s="1180">
        <f>+AT10+AV10</f>
        <v>425074</v>
      </c>
      <c r="AY10" s="1600">
        <f>+AY7-AY8</f>
        <v>45859.89601513846</v>
      </c>
      <c r="AZ10" s="2909">
        <f>+AZ7-AZ8</f>
        <v>44759</v>
      </c>
      <c r="BA10" s="1160">
        <f>AQ10+AU10+AY10</f>
        <v>132986.71712810709</v>
      </c>
      <c r="BB10" s="1161">
        <f>AR10+AV10+AZ10</f>
        <v>126406</v>
      </c>
      <c r="BC10" s="1163">
        <f t="shared" ref="BC10:BC11" si="1">AM10+BA10</f>
        <v>269096.65447998384</v>
      </c>
      <c r="BD10" s="1163">
        <f t="shared" ref="BD10:BD11" si="2">AN10+BB10</f>
        <v>208741</v>
      </c>
      <c r="BE10" s="2765">
        <f>+AW10+AY10</f>
        <v>527069.99561035156</v>
      </c>
      <c r="BF10" s="1180">
        <f>+AX10+AZ10</f>
        <v>469833</v>
      </c>
      <c r="BG10" s="26"/>
      <c r="BH10" s="26"/>
      <c r="BI10" s="1546"/>
      <c r="BJ10" s="1546"/>
      <c r="BK10" s="26"/>
    </row>
    <row r="11" spans="1:63" ht="15.6" x14ac:dyDescent="0.3">
      <c r="A11" s="149"/>
      <c r="B11" s="149"/>
      <c r="C11" s="2910" t="s">
        <v>523</v>
      </c>
      <c r="D11" s="2909" t="s">
        <v>50</v>
      </c>
      <c r="E11" s="1600">
        <f>+E10*E12/100</f>
        <v>25858.202470961074</v>
      </c>
      <c r="F11" s="2909">
        <v>21091</v>
      </c>
      <c r="G11" s="1600">
        <f>+G10*G12/100</f>
        <v>26682.040064619749</v>
      </c>
      <c r="H11" s="2909">
        <v>23912</v>
      </c>
      <c r="I11" s="2765">
        <f>+E11+G11</f>
        <v>52540.242535580823</v>
      </c>
      <c r="J11" s="1180">
        <f>+F11+H11</f>
        <v>45003</v>
      </c>
      <c r="K11" s="1600">
        <f>+K10*K12/100</f>
        <v>25858.202470961074</v>
      </c>
      <c r="L11" s="2909">
        <v>24922</v>
      </c>
      <c r="M11" s="1160">
        <f>E11+G11+K11</f>
        <v>78398.445006541893</v>
      </c>
      <c r="N11" s="1161">
        <f>F11+H11+L11</f>
        <v>69925</v>
      </c>
      <c r="O11" s="1600">
        <f>+O10*O12/100</f>
        <v>26167.141568583102</v>
      </c>
      <c r="P11" s="2909">
        <v>26331</v>
      </c>
      <c r="Q11" s="2765">
        <f>+M11+O11</f>
        <v>104565.58657512499</v>
      </c>
      <c r="R11" s="1180">
        <f>+N11+P11</f>
        <v>96256</v>
      </c>
      <c r="S11" s="1600">
        <f>+S10*S12/100</f>
        <v>26167.141568583102</v>
      </c>
      <c r="T11" s="2909">
        <v>24021</v>
      </c>
      <c r="U11" s="2765">
        <f>+Q11+S11</f>
        <v>130732.7281437081</v>
      </c>
      <c r="V11" s="1180">
        <f>+R11+T11</f>
        <v>120277</v>
      </c>
      <c r="W11" s="1600">
        <f>+W10*W12/100</f>
        <v>13732.342889297794</v>
      </c>
      <c r="X11" s="2909">
        <v>23324</v>
      </c>
      <c r="Y11" s="1160">
        <f>O11+S11+W11</f>
        <v>66066.626026464</v>
      </c>
      <c r="Z11" s="1161">
        <f>P11+T11+X11</f>
        <v>73676</v>
      </c>
      <c r="AA11" s="1163">
        <f>+U11+W11</f>
        <v>144465.07103300589</v>
      </c>
      <c r="AB11" s="1164">
        <f>+V11+X11</f>
        <v>143601</v>
      </c>
      <c r="AC11" s="1600">
        <f>+AC10*AC12/100</f>
        <v>25681.541768477535</v>
      </c>
      <c r="AD11" s="2909">
        <v>23233</v>
      </c>
      <c r="AE11" s="2765">
        <f>+AA11+AC11</f>
        <v>170146.61280148342</v>
      </c>
      <c r="AF11" s="1180">
        <f>+AB11+AD11</f>
        <v>166834</v>
      </c>
      <c r="AG11" s="1600">
        <f>+AG10*AG12/100</f>
        <v>24858.481380095891</v>
      </c>
      <c r="AH11" s="2909">
        <v>451</v>
      </c>
      <c r="AI11" s="2765">
        <f>+AE11+AG11</f>
        <v>195005.0941815793</v>
      </c>
      <c r="AJ11" s="1180">
        <f>+AF11+AH11</f>
        <v>167285</v>
      </c>
      <c r="AK11" s="1600">
        <f>+AK10*AK12/100</f>
        <v>25681.541768477535</v>
      </c>
      <c r="AL11" s="2909">
        <v>22318</v>
      </c>
      <c r="AM11" s="1160">
        <f>AC11+AG11+AK11</f>
        <v>76221.564917050957</v>
      </c>
      <c r="AN11" s="1161">
        <f>AD11+AH11+AL11</f>
        <v>46002</v>
      </c>
      <c r="AO11" s="2765">
        <f>+AI11+AK11</f>
        <v>220686.63595005684</v>
      </c>
      <c r="AP11" s="1180">
        <f>+AJ11+AL11</f>
        <v>189603</v>
      </c>
      <c r="AQ11" s="1600">
        <f>+AQ10*AQ12/100</f>
        <v>25681.541768477535</v>
      </c>
      <c r="AR11" s="2909">
        <v>23493</v>
      </c>
      <c r="AS11" s="2765">
        <f>+AO11+AQ11</f>
        <v>246368.17771853437</v>
      </c>
      <c r="AT11" s="1180">
        <f>+AP11+AR11</f>
        <v>213096</v>
      </c>
      <c r="AU11" s="1600">
        <f>+AU10*AU12/100</f>
        <v>23109.4780547849</v>
      </c>
      <c r="AV11" s="2909">
        <v>21985</v>
      </c>
      <c r="AW11" s="2765">
        <f>+AS11+AU11</f>
        <v>269477.65577331925</v>
      </c>
      <c r="AX11" s="1180">
        <f>+AT11+AV11</f>
        <v>235081</v>
      </c>
      <c r="AY11" s="1600">
        <f>+AY10*AY12/100</f>
        <v>25681.541768477535</v>
      </c>
      <c r="AZ11" s="2909">
        <v>24989</v>
      </c>
      <c r="BA11" s="1160">
        <f>AQ11+AU11+AY11</f>
        <v>74472.56159173997</v>
      </c>
      <c r="BB11" s="1161">
        <f>AR11+AV11+AZ11</f>
        <v>70467</v>
      </c>
      <c r="BC11" s="1163">
        <f t="shared" si="1"/>
        <v>150694.12650879094</v>
      </c>
      <c r="BD11" s="1163">
        <f t="shared" si="2"/>
        <v>116469</v>
      </c>
      <c r="BE11" s="2765">
        <f>+AW11+AY11</f>
        <v>295159.19754179678</v>
      </c>
      <c r="BF11" s="1180">
        <f>+AX11+AZ11</f>
        <v>260070</v>
      </c>
      <c r="BG11" s="26"/>
      <c r="BH11" s="26"/>
      <c r="BI11" s="1546"/>
      <c r="BJ11" s="1546"/>
      <c r="BK11" s="26"/>
    </row>
    <row r="12" spans="1:63" ht="15.6" x14ac:dyDescent="0.3">
      <c r="A12" s="149"/>
      <c r="B12" s="149"/>
      <c r="C12" s="2910" t="s">
        <v>524</v>
      </c>
      <c r="D12" s="2909" t="s">
        <v>49</v>
      </c>
      <c r="E12" s="2908">
        <v>56</v>
      </c>
      <c r="F12" s="1145">
        <f>+F11/F10*100</f>
        <v>55.000391164889038</v>
      </c>
      <c r="G12" s="2908">
        <v>56</v>
      </c>
      <c r="H12" s="1145">
        <f>+H11/H10*100</f>
        <v>55.000460023921249</v>
      </c>
      <c r="I12" s="2768">
        <f>+I11/I10*100</f>
        <v>56.000000000000007</v>
      </c>
      <c r="J12" s="2804">
        <f>+J11/J10*100</f>
        <v>55.000427752587896</v>
      </c>
      <c r="K12" s="2908">
        <v>56</v>
      </c>
      <c r="L12" s="1145">
        <f>+L11/L10*100</f>
        <v>54.999668969169988</v>
      </c>
      <c r="M12" s="2766">
        <f>+M11/M10*100</f>
        <v>55.999999999999993</v>
      </c>
      <c r="N12" s="1162">
        <f>+N11/N10*100</f>
        <v>55.000157311855027</v>
      </c>
      <c r="O12" s="2908">
        <v>56</v>
      </c>
      <c r="P12" s="1145">
        <f>+P11/P10*100</f>
        <v>55.000626644942976</v>
      </c>
      <c r="Q12" s="2768">
        <f>+Q11/Q10*100</f>
        <v>55.999999999999993</v>
      </c>
      <c r="R12" s="1181">
        <f>+R11/R10*100</f>
        <v>55.000285697960116</v>
      </c>
      <c r="S12" s="2908">
        <v>56</v>
      </c>
      <c r="T12" s="1145">
        <f>+T11/T10*100</f>
        <v>54.999427590154546</v>
      </c>
      <c r="U12" s="2768">
        <f>+U11/U10*100</f>
        <v>55.999999999999993</v>
      </c>
      <c r="V12" s="1181">
        <f>+V11/V10*100</f>
        <v>55.000114319683568</v>
      </c>
      <c r="W12" s="2908">
        <v>56</v>
      </c>
      <c r="X12" s="1145">
        <f>+X11/X10*100</f>
        <v>55.000353715188531</v>
      </c>
      <c r="Y12" s="2766">
        <f>+Y11/Y10*100</f>
        <v>56.000000000000007</v>
      </c>
      <c r="Z12" s="1162">
        <f>+Z11/Z10*100</f>
        <v>55.000149302756128</v>
      </c>
      <c r="AA12" s="2767">
        <f>+AA11/AA10*100</f>
        <v>55.999999999999993</v>
      </c>
      <c r="AB12" s="2791">
        <f>+AB11/AB10*100</f>
        <v>55.000153202702492</v>
      </c>
      <c r="AC12" s="2908">
        <v>56</v>
      </c>
      <c r="AD12" s="1145">
        <f>+AD11/AD10*100</f>
        <v>56.000674910212837</v>
      </c>
      <c r="AE12" s="2768">
        <f>+AE11/AE10*100</f>
        <v>55.999999999999993</v>
      </c>
      <c r="AF12" s="1181">
        <f>+AF11/AF10*100</f>
        <v>55.137336034556263</v>
      </c>
      <c r="AG12" s="2908">
        <v>56</v>
      </c>
      <c r="AH12" s="1145">
        <f>+AH11/AH10*100</f>
        <v>57.820512820512825</v>
      </c>
      <c r="AI12" s="2768">
        <f>+AI11/AI10*100</f>
        <v>55.999999999999993</v>
      </c>
      <c r="AJ12" s="1181">
        <f>+AJ11/AJ10*100</f>
        <v>55.144235048243175</v>
      </c>
      <c r="AK12" s="2908">
        <v>56</v>
      </c>
      <c r="AL12" s="1145">
        <f>+AL11/AL10*100</f>
        <v>55.700309473894386</v>
      </c>
      <c r="AM12" s="2766">
        <f>+AM11/AM10*100</f>
        <v>55.999999999999993</v>
      </c>
      <c r="AN12" s="1162">
        <f>+AN11/AN10*100</f>
        <v>55.871743486973948</v>
      </c>
      <c r="AO12" s="2768">
        <f>+AO11/AO10*100</f>
        <v>55.999999999999993</v>
      </c>
      <c r="AP12" s="1181">
        <f>+AP11/AP10*100</f>
        <v>55.20911285367778</v>
      </c>
      <c r="AQ12" s="2908">
        <v>56</v>
      </c>
      <c r="AR12" s="1145">
        <f>+AR11/AR10*100</f>
        <v>55.700974464755667</v>
      </c>
      <c r="AS12" s="2768">
        <f>+AS11/AS10*100</f>
        <v>55.999999999999986</v>
      </c>
      <c r="AT12" s="1181">
        <f>+AT11/AT10*100</f>
        <v>55.262912210454253</v>
      </c>
      <c r="AU12" s="2908">
        <v>56</v>
      </c>
      <c r="AV12" s="1145">
        <f>+AV11/AV10*100</f>
        <v>55.700532049657966</v>
      </c>
      <c r="AW12" s="2768">
        <f>+AW11/AW10*100</f>
        <v>55.999999999999986</v>
      </c>
      <c r="AX12" s="1181">
        <f>+AX11/AX10*100</f>
        <v>55.303547147084977</v>
      </c>
      <c r="AY12" s="2908">
        <v>56</v>
      </c>
      <c r="AZ12" s="1145">
        <f>+AZ11/AZ10*100</f>
        <v>55.830112379633142</v>
      </c>
      <c r="BA12" s="2766">
        <f t="shared" ref="BA12:BF12" si="3">+BA11/BA10*100</f>
        <v>55.999999999999993</v>
      </c>
      <c r="BB12" s="1162">
        <f t="shared" si="3"/>
        <v>55.746562663164724</v>
      </c>
      <c r="BC12" s="2767">
        <f t="shared" si="3"/>
        <v>55.999999999999993</v>
      </c>
      <c r="BD12" s="2791">
        <f t="shared" si="3"/>
        <v>55.795938507528462</v>
      </c>
      <c r="BE12" s="2768">
        <f t="shared" si="3"/>
        <v>55.999999999999986</v>
      </c>
      <c r="BF12" s="1181">
        <f t="shared" si="3"/>
        <v>55.35371078659864</v>
      </c>
      <c r="BG12" s="26"/>
      <c r="BH12" s="26"/>
      <c r="BI12" s="1546"/>
      <c r="BJ12" s="1546"/>
      <c r="BK12" s="26"/>
    </row>
    <row r="13" spans="1:63" ht="15.6" x14ac:dyDescent="0.3">
      <c r="A13" s="149"/>
      <c r="B13" s="149"/>
      <c r="C13" s="2910" t="s">
        <v>1339</v>
      </c>
      <c r="D13" s="2909" t="s">
        <v>50</v>
      </c>
      <c r="E13" s="1600">
        <f>+E11*E14/100</f>
        <v>9050.3708648363754</v>
      </c>
      <c r="F13" s="1145">
        <v>6762</v>
      </c>
      <c r="G13" s="1600">
        <f>+G11*G14/100</f>
        <v>9338.7140226169122</v>
      </c>
      <c r="H13" s="1145">
        <v>7468</v>
      </c>
      <c r="I13" s="2765">
        <f>+E13+G13</f>
        <v>18389.084887453289</v>
      </c>
      <c r="J13" s="1181">
        <f>+F13+H13</f>
        <v>14230</v>
      </c>
      <c r="K13" s="1600">
        <f>+K11*K14/100</f>
        <v>9050.3708648363754</v>
      </c>
      <c r="L13" s="1145">
        <v>8277</v>
      </c>
      <c r="M13" s="1160">
        <f>E13+G13+K13</f>
        <v>27439.455752289665</v>
      </c>
      <c r="N13" s="1161">
        <f>F13+H13+L13</f>
        <v>22507</v>
      </c>
      <c r="O13" s="1600">
        <f>+O11*O14/100</f>
        <v>9158.4995490040856</v>
      </c>
      <c r="P13" s="1145">
        <v>7984</v>
      </c>
      <c r="Q13" s="2765">
        <f>+M13+O13</f>
        <v>36597.955301293754</v>
      </c>
      <c r="R13" s="1181">
        <f>+N13+P13</f>
        <v>30491</v>
      </c>
      <c r="S13" s="1600">
        <f>+S11*S14/100</f>
        <v>9158.4995490040856</v>
      </c>
      <c r="T13" s="1145">
        <v>7512</v>
      </c>
      <c r="U13" s="2765">
        <f>+Q13+S13</f>
        <v>45756.454850297843</v>
      </c>
      <c r="V13" s="1181">
        <f>+R13+T13</f>
        <v>38003</v>
      </c>
      <c r="W13" s="1600">
        <f>+W11*W14/100</f>
        <v>4806.3200112542281</v>
      </c>
      <c r="X13" s="1145">
        <v>7087</v>
      </c>
      <c r="Y13" s="1160">
        <f>O13+S13+W13</f>
        <v>23123.3191092624</v>
      </c>
      <c r="Z13" s="1161">
        <f>P13+T13+X13</f>
        <v>22583</v>
      </c>
      <c r="AA13" s="1163">
        <f>+U13+W13</f>
        <v>50562.774861552069</v>
      </c>
      <c r="AB13" s="1164">
        <f>+V13+X13</f>
        <v>45090</v>
      </c>
      <c r="AC13" s="1600">
        <f>+AC11*AC14/100</f>
        <v>8988.5396189671374</v>
      </c>
      <c r="AD13" s="1145">
        <v>6933</v>
      </c>
      <c r="AE13" s="2765">
        <f>+AA13+AC13</f>
        <v>59551.314480519206</v>
      </c>
      <c r="AF13" s="1181">
        <f>+AB13+AD13</f>
        <v>52023</v>
      </c>
      <c r="AG13" s="1600">
        <f>+AG11*AG14/100</f>
        <v>8700.4684830335627</v>
      </c>
      <c r="AH13" s="1145">
        <v>162</v>
      </c>
      <c r="AI13" s="2765">
        <f>+AE13+AG13</f>
        <v>68251.782963552774</v>
      </c>
      <c r="AJ13" s="1181">
        <f>+AF13+AH13</f>
        <v>52185</v>
      </c>
      <c r="AK13" s="1600">
        <f>+AK11*AK14/100</f>
        <v>8988.5396189671374</v>
      </c>
      <c r="AL13" s="1145">
        <v>5710</v>
      </c>
      <c r="AM13" s="1160">
        <f>AC13+AG13+AK13</f>
        <v>26677.547720967836</v>
      </c>
      <c r="AN13" s="1161">
        <f>AD13+AH13+AL13</f>
        <v>12805</v>
      </c>
      <c r="AO13" s="2765">
        <f>+AI13+AK13</f>
        <v>77240.322582519904</v>
      </c>
      <c r="AP13" s="1181">
        <f>+AJ13+AL13</f>
        <v>57895</v>
      </c>
      <c r="AQ13" s="1600">
        <f>+AQ11*AQ14/100</f>
        <v>8988.5396189671374</v>
      </c>
      <c r="AR13" s="1145">
        <v>7221</v>
      </c>
      <c r="AS13" s="2765">
        <f>+AO13+AQ13</f>
        <v>86228.862201487034</v>
      </c>
      <c r="AT13" s="1181">
        <f>+AP13+AR13</f>
        <v>65116</v>
      </c>
      <c r="AU13" s="1600">
        <f>+AU11*AU14/100</f>
        <v>8088.3173191747155</v>
      </c>
      <c r="AV13" s="1145">
        <v>6379</v>
      </c>
      <c r="AW13" s="2765">
        <f>+AS13+AU13</f>
        <v>94317.179520661753</v>
      </c>
      <c r="AX13" s="1181">
        <f>+AT13+AV13</f>
        <v>71495</v>
      </c>
      <c r="AY13" s="1600">
        <f>+AY11*AY14/100</f>
        <v>8988.5396189671374</v>
      </c>
      <c r="AZ13" s="1145">
        <v>7762</v>
      </c>
      <c r="BA13" s="1160">
        <f>AQ13+AU13+AY13</f>
        <v>26065.39655710899</v>
      </c>
      <c r="BB13" s="1161">
        <f>AR13+AV13+AZ13</f>
        <v>21362</v>
      </c>
      <c r="BC13" s="1163">
        <f>AM13+BA13</f>
        <v>52742.94427807683</v>
      </c>
      <c r="BD13" s="1163">
        <f>AN13+BB13</f>
        <v>34167</v>
      </c>
      <c r="BE13" s="2765">
        <f>+AW13+AY13</f>
        <v>103305.7191396289</v>
      </c>
      <c r="BF13" s="1181">
        <f>+AX13+AZ13</f>
        <v>79257</v>
      </c>
      <c r="BG13" s="26"/>
      <c r="BH13" s="26"/>
      <c r="BI13" s="1546"/>
      <c r="BJ13" s="1546"/>
      <c r="BK13" s="26"/>
    </row>
    <row r="14" spans="1:63" ht="15.6" x14ac:dyDescent="0.3">
      <c r="A14" s="149"/>
      <c r="B14" s="149"/>
      <c r="C14" s="2910" t="s">
        <v>616</v>
      </c>
      <c r="D14" s="2909" t="s">
        <v>49</v>
      </c>
      <c r="E14" s="2908">
        <v>35</v>
      </c>
      <c r="F14" s="1145">
        <f>+F13/F11*100</f>
        <v>32.061068702290072</v>
      </c>
      <c r="G14" s="2908">
        <v>35</v>
      </c>
      <c r="H14" s="1145">
        <f>+H13/H11*100</f>
        <v>31.231180996988961</v>
      </c>
      <c r="I14" s="2768">
        <f>+I13/I11*100</f>
        <v>35</v>
      </c>
      <c r="J14" s="2804">
        <f>+J13/J11*100</f>
        <v>31.620114214607913</v>
      </c>
      <c r="K14" s="2908">
        <v>35</v>
      </c>
      <c r="L14" s="1145">
        <f>+L13/L11*100</f>
        <v>33.211620255196209</v>
      </c>
      <c r="M14" s="2766">
        <f>+M13/M11*100</f>
        <v>35</v>
      </c>
      <c r="N14" s="2798">
        <f>+N13/N11*100</f>
        <v>32.187343582409724</v>
      </c>
      <c r="O14" s="2908">
        <v>35</v>
      </c>
      <c r="P14" s="1145">
        <f>+P13/P11*100</f>
        <v>30.321674072386163</v>
      </c>
      <c r="Q14" s="2768">
        <f>+Q13/Q11*100</f>
        <v>35</v>
      </c>
      <c r="R14" s="2804">
        <f>+R13/R11*100</f>
        <v>31.676986369680847</v>
      </c>
      <c r="S14" s="2908">
        <v>35</v>
      </c>
      <c r="T14" s="1145">
        <f>+T13/T11*100</f>
        <v>31.27263644311228</v>
      </c>
      <c r="U14" s="2768">
        <f>+U13/U11*100</f>
        <v>35.000000000000007</v>
      </c>
      <c r="V14" s="2804">
        <f>+V13/V11*100</f>
        <v>31.596232031061632</v>
      </c>
      <c r="W14" s="2908">
        <v>35</v>
      </c>
      <c r="X14" s="1145">
        <f>+X13/X11*100</f>
        <v>30.385011147316071</v>
      </c>
      <c r="Y14" s="2766">
        <f>+Y13/Y11*100</f>
        <v>35</v>
      </c>
      <c r="Z14" s="2798">
        <f>+Z13/Z11*100</f>
        <v>30.651772626092622</v>
      </c>
      <c r="AA14" s="2767">
        <f>+AA13/AA11*100</f>
        <v>35</v>
      </c>
      <c r="AB14" s="2791">
        <f>+AB13/AB11*100</f>
        <v>31.399502788977792</v>
      </c>
      <c r="AC14" s="2908">
        <v>35</v>
      </c>
      <c r="AD14" s="1145">
        <f>+AD13/AD11*100</f>
        <v>29.841174191882235</v>
      </c>
      <c r="AE14" s="2768">
        <f>+AE13/AE11*100</f>
        <v>35</v>
      </c>
      <c r="AF14" s="2804">
        <f>+AF13/AF11*100</f>
        <v>31.182492777251642</v>
      </c>
      <c r="AG14" s="2908">
        <v>35</v>
      </c>
      <c r="AH14" s="1145">
        <f>+AH13/AH11*100</f>
        <v>35.920177383592019</v>
      </c>
      <c r="AI14" s="2768">
        <f>+AI13/AI11*100</f>
        <v>35.000000000000007</v>
      </c>
      <c r="AJ14" s="2804">
        <f>+AJ13/AJ11*100</f>
        <v>31.195265564754759</v>
      </c>
      <c r="AK14" s="2908">
        <v>35</v>
      </c>
      <c r="AL14" s="1145">
        <f>+AL13/AL11*100</f>
        <v>25.584729814499507</v>
      </c>
      <c r="AM14" s="2766">
        <f>+AM13/AM11*100</f>
        <v>35</v>
      </c>
      <c r="AN14" s="2798">
        <f>+AN13/AN11*100</f>
        <v>27.835746271901225</v>
      </c>
      <c r="AO14" s="2768">
        <f>+AO13/AO11*100</f>
        <v>35</v>
      </c>
      <c r="AP14" s="2804">
        <f>+AP13/AP11*100</f>
        <v>30.534854406312135</v>
      </c>
      <c r="AQ14" s="2908">
        <v>35</v>
      </c>
      <c r="AR14" s="1145">
        <f>+AR13/AR11*100</f>
        <v>30.736815221555357</v>
      </c>
      <c r="AS14" s="2768">
        <f>+AS13/AS11*100</f>
        <v>35</v>
      </c>
      <c r="AT14" s="2804">
        <f>+AT13/AT11*100</f>
        <v>30.557119795772795</v>
      </c>
      <c r="AU14" s="2908">
        <v>35</v>
      </c>
      <c r="AV14" s="1145">
        <f>+AV13/AV11*100</f>
        <v>29.015237662042303</v>
      </c>
      <c r="AW14" s="2768">
        <f>+AW13/AW11*100</f>
        <v>35.000000000000007</v>
      </c>
      <c r="AX14" s="2804">
        <f>+AX13/AX11*100</f>
        <v>30.412921503651937</v>
      </c>
      <c r="AY14" s="1600">
        <v>35</v>
      </c>
      <c r="AZ14" s="1145">
        <f>+AZ13/AZ11*100</f>
        <v>31.061667133538755</v>
      </c>
      <c r="BA14" s="2766">
        <f t="shared" ref="BA14:BF14" si="4">+BA13/BA11*100</f>
        <v>35</v>
      </c>
      <c r="BB14" s="2798">
        <f t="shared" si="4"/>
        <v>30.314899172662379</v>
      </c>
      <c r="BC14" s="2767">
        <f t="shared" si="4"/>
        <v>35</v>
      </c>
      <c r="BD14" s="2791">
        <f t="shared" si="4"/>
        <v>29.335703062617519</v>
      </c>
      <c r="BE14" s="2768">
        <f t="shared" si="4"/>
        <v>35.000000000000007</v>
      </c>
      <c r="BF14" s="2804">
        <f t="shared" si="4"/>
        <v>30.475256661668009</v>
      </c>
      <c r="BG14" s="26"/>
      <c r="BH14" s="26"/>
      <c r="BI14" s="1546"/>
      <c r="BJ14" s="1546"/>
      <c r="BK14" s="26"/>
    </row>
    <row r="15" spans="1:63" ht="15.75" x14ac:dyDescent="0.25">
      <c r="A15" s="149"/>
      <c r="B15" s="149"/>
      <c r="C15" s="2446" t="s">
        <v>2132</v>
      </c>
      <c r="D15" s="2909"/>
      <c r="E15" s="6311">
        <v>310</v>
      </c>
      <c r="F15" s="1145"/>
      <c r="G15" s="6311">
        <v>310</v>
      </c>
      <c r="H15" s="1145"/>
      <c r="I15" s="6310">
        <f>+((E15*E11)+(G11*G15))/(E11+G11)</f>
        <v>310</v>
      </c>
      <c r="J15" s="1181">
        <f>+((F15*F10)+(H10*H15))/(F10+H10)</f>
        <v>0</v>
      </c>
      <c r="K15" s="6311">
        <v>290</v>
      </c>
      <c r="L15" s="1145"/>
      <c r="M15" s="6302">
        <f t="shared" ref="M15:M19" si="5">+((E15*E7)+(G7*G15)+(K7*K15))/M7</f>
        <v>303.40338893997108</v>
      </c>
      <c r="N15" s="1162">
        <f>+((F15*F10)+(H15*H10)+(L10*L15))/N10</f>
        <v>0</v>
      </c>
      <c r="O15" s="6311">
        <v>280</v>
      </c>
      <c r="P15" s="1145"/>
      <c r="Q15" s="6310">
        <f>+((M15*M11)+(O11*O15))/(M11+O11)</f>
        <v>297.54677959424856</v>
      </c>
      <c r="R15" s="1181">
        <f>+((N15*N10)+(P10*P15))/(N10+P10)</f>
        <v>0</v>
      </c>
      <c r="S15" s="6311">
        <v>280</v>
      </c>
      <c r="T15" s="1145"/>
      <c r="U15" s="6310">
        <f>+((Q15*Q11)+(S11*S15))/(Q11+S11)</f>
        <v>294.03465931469077</v>
      </c>
      <c r="V15" s="1181">
        <f>+((R15*R10)+(T10*T15))/(R10+T10)</f>
        <v>0</v>
      </c>
      <c r="W15" s="6311">
        <v>290</v>
      </c>
      <c r="X15" s="1145"/>
      <c r="Y15" s="6302">
        <f>+((O15*O7)+(S7*S15)+(W7*W15))/Y7</f>
        <v>282.07855973813423</v>
      </c>
      <c r="Z15" s="1162">
        <f>+((P15*P10)+(T10*T15)+(X10*X15))/Z10</f>
        <v>0</v>
      </c>
      <c r="AA15" s="6307">
        <f>+((U15*U11)+(W11*W15))/(U11+W11)</f>
        <v>293.65113875325227</v>
      </c>
      <c r="AB15" s="1164">
        <f>(N15*N$11+Z15*Z$11)/AB$11</f>
        <v>0</v>
      </c>
      <c r="AC15" s="6296">
        <v>300</v>
      </c>
      <c r="AD15" s="1145"/>
      <c r="AE15" s="6310">
        <f>+((AA15*AA11)+(AC11*AC15))/(AA11+AC11)</f>
        <v>294.60942139318269</v>
      </c>
      <c r="AF15" s="1181">
        <f>+((AB15*AB10)+(AD10*AD15))/(AB10+AD10)</f>
        <v>0</v>
      </c>
      <c r="AG15" s="6296">
        <v>300</v>
      </c>
      <c r="AH15" s="1145"/>
      <c r="AI15" s="6310">
        <f>+((AE15*AE11)+(AG11*AG15))/(AE11+AG11)</f>
        <v>295.2965911232244</v>
      </c>
      <c r="AJ15" s="1181">
        <f>+((AF15*AF10)+(AH10*AH15))/(AF10+AH10)</f>
        <v>0</v>
      </c>
      <c r="AK15" s="6296">
        <v>310</v>
      </c>
      <c r="AL15" s="1145"/>
      <c r="AM15" s="6302">
        <f>+((AC15*AC7)+(AG7*AG15)+(AK7*AK15))/AM7</f>
        <v>303.36932753826636</v>
      </c>
      <c r="AN15" s="1162">
        <f>+((AD15*AD10)+(AH10*AH15)+(AL10*AL15))/AN10</f>
        <v>0</v>
      </c>
      <c r="AO15" s="6310">
        <f>+((AI15*AI11)+(AK11*AK15))/(AI11+AK11)</f>
        <v>297.00764266733955</v>
      </c>
      <c r="AP15" s="1181">
        <f>+((AJ15*AJ10)+(AL10*AL15))/(AJ10+AL10)</f>
        <v>0</v>
      </c>
      <c r="AQ15" s="6296">
        <v>310</v>
      </c>
      <c r="AR15" s="1145"/>
      <c r="AS15" s="6310">
        <f>+((AO15*AO11)+(AQ11*AQ15))/(AO11+AQ11)</f>
        <v>298.36197247811123</v>
      </c>
      <c r="AT15" s="1181">
        <f>+((AP15*AP10)+(AR10*AR15))/(AP10+AR10)</f>
        <v>0</v>
      </c>
      <c r="AU15" s="6296">
        <v>310</v>
      </c>
      <c r="AV15" s="1145"/>
      <c r="AW15" s="6310">
        <f>+((AS15*AS11)+(AU11*AU15))/(AS11+AU11)</f>
        <v>299.36000973966554</v>
      </c>
      <c r="AX15" s="1181">
        <f>+((AT15*AT10)+(AV10*AV15))/(AT10+AV10)</f>
        <v>0</v>
      </c>
      <c r="AY15" s="6296">
        <v>310</v>
      </c>
      <c r="AZ15" s="1145"/>
      <c r="BA15" s="6302">
        <f>+((AQ15*AQ7)+(AU7*AU15)+(AY7*AY15))/BA7</f>
        <v>310.00000000000006</v>
      </c>
      <c r="BB15" s="1162">
        <f>+((AR15*AR10)+(AV10*AV15)+(AZ10*AZ15))/BB10</f>
        <v>0</v>
      </c>
      <c r="BC15" s="6307">
        <f>+((AM15*AM11)+(BA11*BA15))/(AM11+BA11)</f>
        <v>306.6461849363701</v>
      </c>
      <c r="BD15" s="1164">
        <f>(AN15*AN$11+BB15*BB$11)/BD$11</f>
        <v>0</v>
      </c>
      <c r="BE15" s="6299">
        <f>+((AW15*AW11)+(AY11*AY15))/(AW11+AY11)</f>
        <v>300.28578591930932</v>
      </c>
      <c r="BF15" s="1181">
        <f>+((AX15*AX10)+(AZ10*AZ15))/(AX10+AZ10)</f>
        <v>0</v>
      </c>
      <c r="BG15" s="26"/>
      <c r="BH15" s="26"/>
      <c r="BI15" s="1546"/>
      <c r="BJ15" s="1546"/>
      <c r="BK15" s="26"/>
    </row>
    <row r="16" spans="1:63" ht="15.75" x14ac:dyDescent="0.25">
      <c r="A16" s="149"/>
      <c r="B16" s="149"/>
      <c r="C16" s="2783" t="s">
        <v>697</v>
      </c>
      <c r="D16" s="6319"/>
      <c r="E16" s="6311"/>
      <c r="F16" s="1145">
        <v>324.89999999999998</v>
      </c>
      <c r="G16" s="6311"/>
      <c r="H16" s="1145">
        <v>330.24</v>
      </c>
      <c r="I16" s="6310"/>
      <c r="J16" s="1181">
        <f>+((F16*F11)+(H11*H16))/(F11+H11)</f>
        <v>327.73736817545495</v>
      </c>
      <c r="K16" s="6311"/>
      <c r="L16" s="1145">
        <v>328.05</v>
      </c>
      <c r="M16" s="6302">
        <f t="shared" si="5"/>
        <v>0</v>
      </c>
      <c r="N16" s="1162">
        <f>+((F16*F11)+(H11*H16)+(L11*L16))/N11</f>
        <v>327.84879342152306</v>
      </c>
      <c r="O16" s="6311"/>
      <c r="P16" s="1145">
        <v>295.16000000000003</v>
      </c>
      <c r="Q16" s="6310"/>
      <c r="R16" s="1181">
        <f>+((N16*N11)+(P11*P16))/(N11+P11)</f>
        <v>318.90671584109043</v>
      </c>
      <c r="S16" s="6311"/>
      <c r="T16" s="1145">
        <v>298.91000000000003</v>
      </c>
      <c r="U16" s="6310"/>
      <c r="V16" s="1181">
        <f>+((R16*R11)+(T11*T16))/(R11+T11)</f>
        <v>314.91309186294973</v>
      </c>
      <c r="W16" s="6311"/>
      <c r="X16" s="1145">
        <v>297.58</v>
      </c>
      <c r="Y16" s="6302">
        <f t="shared" ref="Y16:Y19" si="6">+((Q16*Q8)+(S8*S16)+(W8*W16))/Y8</f>
        <v>0</v>
      </c>
      <c r="Z16" s="1162">
        <f>+((P16*P11)+(T11*T16)+(X11*X16))/Z11</f>
        <v>297.14874572452362</v>
      </c>
      <c r="AA16" s="6307"/>
      <c r="AB16" s="1164">
        <f>(N16*N$11+Z16*Z$11)/AB$11</f>
        <v>312.09781178404052</v>
      </c>
      <c r="AC16" s="6297"/>
      <c r="AD16" s="1145">
        <v>338</v>
      </c>
      <c r="AE16" s="6310"/>
      <c r="AF16" s="1181">
        <f>+((AB16*AB11)+(AD11*AD16))/(AB11+AD11)</f>
        <v>315.70490349688913</v>
      </c>
      <c r="AG16" s="6297"/>
      <c r="AH16" s="1145">
        <v>320</v>
      </c>
      <c r="AI16" s="6310"/>
      <c r="AJ16" s="1181">
        <f>+((AF16*AF11)+(AH11*AH16))/(AF11+AH11)</f>
        <v>315.71648306781844</v>
      </c>
      <c r="AK16" s="6297"/>
      <c r="AL16" s="1145">
        <v>328</v>
      </c>
      <c r="AM16" s="6302">
        <f t="shared" ref="AM16:AM19" si="7">+((AE16*AE8)+(AG8*AG16)+(AK8*AK16))/AM8</f>
        <v>0</v>
      </c>
      <c r="AN16" s="1162">
        <f>+((AD16*AD11)+(AH11*AH16)+(AL11*AL16))/AN11</f>
        <v>332.9720012173384</v>
      </c>
      <c r="AO16" s="6310"/>
      <c r="AP16" s="1181">
        <f>+((AJ16*AJ11)+(AL11*AL16))/(AJ11+AL11)</f>
        <v>317.16236488874125</v>
      </c>
      <c r="AQ16" s="6297"/>
      <c r="AR16" s="1145">
        <v>312.91000000000003</v>
      </c>
      <c r="AS16" s="6310"/>
      <c r="AT16" s="1181">
        <f>+((AP16*AP11)+(AR11*AR16))/(AP11+AR11)</f>
        <v>316.6935583023614</v>
      </c>
      <c r="AU16" s="6297"/>
      <c r="AV16" s="1145">
        <v>305.37</v>
      </c>
      <c r="AW16" s="6310"/>
      <c r="AX16" s="1181">
        <f>+((AT16*AT11)+(AV11*AV16))/(AT11+AV11)</f>
        <v>315.63456829773571</v>
      </c>
      <c r="AY16" s="6297"/>
      <c r="AZ16" s="1145">
        <v>325.24</v>
      </c>
      <c r="BA16" s="6302">
        <f t="shared" ref="BA16:BA19" si="8">+((AS16*AS8)+(AU8*AU16)+(AY8*AY16))/BA8</f>
        <v>0</v>
      </c>
      <c r="BB16" s="1162">
        <f>+((AR16*AR11)+(AV11*AV16)+(AZ11*AZ16))/BB11</f>
        <v>314.93005860899427</v>
      </c>
      <c r="BC16" s="6307"/>
      <c r="BD16" s="1164">
        <f>(AN16*AN$11+BB16*BB$11)/BD$11</f>
        <v>322.05612171479106</v>
      </c>
      <c r="BE16" s="6299"/>
      <c r="BF16" s="1181">
        <f>+((AX16*AX11)+(AZ11*AZ16))/(AX11+AZ11)</f>
        <v>316.55751263121471</v>
      </c>
      <c r="BG16" s="26"/>
      <c r="BH16" s="26"/>
      <c r="BI16" s="1546"/>
      <c r="BJ16" s="1546"/>
      <c r="BK16" s="26"/>
    </row>
    <row r="17" spans="1:63" ht="15.75" x14ac:dyDescent="0.25">
      <c r="A17" s="149"/>
      <c r="B17" s="149"/>
      <c r="C17" s="2783" t="s">
        <v>698</v>
      </c>
      <c r="D17" s="6319"/>
      <c r="E17" s="6311"/>
      <c r="F17" s="1145">
        <v>320.27999999999997</v>
      </c>
      <c r="G17" s="6311"/>
      <c r="H17" s="1145">
        <v>321.66000000000003</v>
      </c>
      <c r="I17" s="6310"/>
      <c r="J17" s="1181">
        <f>+((F17*F11)+(H11*H17))/(F11+H11)</f>
        <v>321.01325244983667</v>
      </c>
      <c r="K17" s="6311"/>
      <c r="L17" s="1145">
        <v>319.14999999999998</v>
      </c>
      <c r="M17" s="6302">
        <f t="shared" si="5"/>
        <v>0</v>
      </c>
      <c r="N17" s="1162">
        <f>+((F17*F11)+(H11*H17)+(L11*L17))/N11</f>
        <v>320.34916982481229</v>
      </c>
      <c r="O17" s="6311"/>
      <c r="P17" s="1145">
        <v>294.91000000000003</v>
      </c>
      <c r="Q17" s="6310"/>
      <c r="R17" s="1181">
        <f>+((N17*N11)+(P11*P17))/(N11+P11)</f>
        <v>313.39023967337101</v>
      </c>
      <c r="S17" s="6311"/>
      <c r="T17" s="1145">
        <v>291.83</v>
      </c>
      <c r="U17" s="6310"/>
      <c r="V17" s="1181">
        <f>+((R17*R11)+(T11*T17))/(R11+T11)</f>
        <v>309.08435810670375</v>
      </c>
      <c r="W17" s="6311"/>
      <c r="X17" s="1145">
        <v>289.39</v>
      </c>
      <c r="Y17" s="6302">
        <f t="shared" si="6"/>
        <v>0</v>
      </c>
      <c r="Z17" s="1162">
        <f>+((P17*P11)+(T11*T17)+(X11*X17))/Z11</f>
        <v>292.15831478364731</v>
      </c>
      <c r="AA17" s="6307"/>
      <c r="AB17" s="1164">
        <f t="shared" ref="AB17:AB19" si="9">(N17*N$11+Z17*Z$11)/AB$11</f>
        <v>305.8855558108927</v>
      </c>
      <c r="AC17" s="6297"/>
      <c r="AD17" s="1145">
        <v>328</v>
      </c>
      <c r="AE17" s="6310"/>
      <c r="AF17" s="1181">
        <f>+((AB17*AB11)+(AD11*AD17))/(AB11+AD11)</f>
        <v>308.9651731661412</v>
      </c>
      <c r="AG17" s="6297"/>
      <c r="AH17" s="1145">
        <v>0</v>
      </c>
      <c r="AI17" s="6310"/>
      <c r="AJ17" s="1181">
        <f>+((AF17*AF11)+(AH11*AH17))/(AF11+AH11)</f>
        <v>308.13220372418328</v>
      </c>
      <c r="AK17" s="6297"/>
      <c r="AL17" s="1145">
        <v>327</v>
      </c>
      <c r="AM17" s="6302">
        <f t="shared" si="7"/>
        <v>0</v>
      </c>
      <c r="AN17" s="1162">
        <f>+((AD17*AD11)+(AH11*AH17)+(AL11*AL17))/AN11</f>
        <v>324.29916090604758</v>
      </c>
      <c r="AO17" s="6310"/>
      <c r="AP17" s="1181">
        <f>+((AJ17*AJ11)+(AL11*AL17))/(AJ11+AL11)</f>
        <v>310.35311519332504</v>
      </c>
      <c r="AQ17" s="6297"/>
      <c r="AR17" s="1145">
        <v>311.91000000000003</v>
      </c>
      <c r="AS17" s="6310"/>
      <c r="AT17" s="1181">
        <f>+((AP17*AP11)+(AR11*AR17))/(AP11+AR11)</f>
        <v>310.52475565003573</v>
      </c>
      <c r="AU17" s="6297"/>
      <c r="AV17" s="1145">
        <v>297.77</v>
      </c>
      <c r="AW17" s="6310"/>
      <c r="AX17" s="1181">
        <f>+((AT17*AT11)+(AV11*AV17))/(AT11+AV11)</f>
        <v>309.33191870036291</v>
      </c>
      <c r="AY17" s="6297"/>
      <c r="AZ17" s="1145">
        <v>326.2</v>
      </c>
      <c r="BA17" s="6302">
        <f t="shared" si="8"/>
        <v>0</v>
      </c>
      <c r="BB17" s="1162">
        <f>+((AR17*AR11)+(AV11*AV17)+(AZ11*AZ17))/BB11</f>
        <v>312.56597953652062</v>
      </c>
      <c r="BC17" s="6307"/>
      <c r="BD17" s="1164">
        <f>(AN17*AN$11+BB17*BB$11)/BD$11</f>
        <v>317.20025826614801</v>
      </c>
      <c r="BE17" s="6299"/>
      <c r="BF17" s="1181">
        <f>+((AX17*AX11)+(AZ11*AZ17))/(AX11+AZ11)</f>
        <v>310.9526995808821</v>
      </c>
      <c r="BG17" s="26"/>
      <c r="BH17" s="26"/>
      <c r="BI17" s="1546"/>
      <c r="BJ17" s="1546"/>
      <c r="BK17" s="26"/>
    </row>
    <row r="18" spans="1:63" ht="15.75" x14ac:dyDescent="0.25">
      <c r="A18" s="149"/>
      <c r="B18" s="149"/>
      <c r="C18" s="2783" t="s">
        <v>699</v>
      </c>
      <c r="D18" s="6319"/>
      <c r="E18" s="6311"/>
      <c r="F18" s="1145">
        <v>320.18</v>
      </c>
      <c r="G18" s="6311"/>
      <c r="H18" s="1145">
        <v>323.5</v>
      </c>
      <c r="I18" s="6310"/>
      <c r="J18" s="1181">
        <f>+((F18*F11)+(H11*H18))/(F11+H11)</f>
        <v>321.94405661844763</v>
      </c>
      <c r="K18" s="6311"/>
      <c r="L18" s="1145">
        <v>319.66000000000003</v>
      </c>
      <c r="M18" s="6302">
        <f t="shared" si="5"/>
        <v>0</v>
      </c>
      <c r="N18" s="1162">
        <f>+((F18*F11)+(H11*H18)+(L11*L18))/N11</f>
        <v>321.12999499463712</v>
      </c>
      <c r="O18" s="6311"/>
      <c r="P18" s="1145">
        <v>296.47000000000003</v>
      </c>
      <c r="Q18" s="6310"/>
      <c r="R18" s="1181">
        <f>+((N18*N11)+(P11*P18))/(N11+P11)</f>
        <v>314.38420950382312</v>
      </c>
      <c r="S18" s="6311"/>
      <c r="T18" s="1145">
        <v>293</v>
      </c>
      <c r="U18" s="6310"/>
      <c r="V18" s="1181">
        <f>+((R18*R11)+(T11*T18))/(R11+T11)</f>
        <v>310.11348362529827</v>
      </c>
      <c r="W18" s="6311"/>
      <c r="X18" s="1145">
        <v>290.43</v>
      </c>
      <c r="Y18" s="6302">
        <f t="shared" si="6"/>
        <v>0</v>
      </c>
      <c r="Z18" s="1162">
        <f>+((P18*P11)+(T11*T18)+(X11*X18))/Z11</f>
        <v>293.42654175036648</v>
      </c>
      <c r="AA18" s="6307"/>
      <c r="AB18" s="1164">
        <f t="shared" si="9"/>
        <v>306.91644758741234</v>
      </c>
      <c r="AC18" s="6297"/>
      <c r="AD18" s="1145">
        <v>331</v>
      </c>
      <c r="AE18" s="6310"/>
      <c r="AF18" s="1181">
        <f>+((AB18*AB11)+(AD11*AD18))/(AB11+AD11)</f>
        <v>310.27027937950299</v>
      </c>
      <c r="AG18" s="6297"/>
      <c r="AH18" s="1145">
        <v>328</v>
      </c>
      <c r="AI18" s="6310"/>
      <c r="AJ18" s="1181">
        <f>+((AF18*AF11)+(AH11*AH18))/(AF11+AH11)</f>
        <v>310.3180786681412</v>
      </c>
      <c r="AK18" s="6297"/>
      <c r="AL18" s="1145">
        <v>326</v>
      </c>
      <c r="AM18" s="6302">
        <f t="shared" si="7"/>
        <v>0</v>
      </c>
      <c r="AN18" s="1162">
        <f>+((AD18*AD11)+(AH11*AH18)+(AL11*AL18))/AN11</f>
        <v>328.54482413808097</v>
      </c>
      <c r="AO18" s="6310"/>
      <c r="AP18" s="1181">
        <f>+((AJ18*AJ11)+(AL11*AL18))/(AJ11+AL11)</f>
        <v>312.16398363949935</v>
      </c>
      <c r="AQ18" s="6297"/>
      <c r="AR18" s="1145">
        <v>309.5</v>
      </c>
      <c r="AS18" s="6310"/>
      <c r="AT18" s="1181">
        <f>+((AP18*AP11)+(AR11*AR18))/(AP11+AR11)</f>
        <v>311.87028986935462</v>
      </c>
      <c r="AU18" s="6297"/>
      <c r="AV18" s="1145">
        <v>301.88</v>
      </c>
      <c r="AW18" s="6310"/>
      <c r="AX18" s="1181">
        <f>+((AT18*AT11)+(AV11*AV18))/(AT11+AV11)</f>
        <v>310.93598840399687</v>
      </c>
      <c r="AY18" s="6297"/>
      <c r="AZ18" s="1145">
        <v>324.51</v>
      </c>
      <c r="BA18" s="6302">
        <f t="shared" si="8"/>
        <v>0</v>
      </c>
      <c r="BB18" s="1162">
        <f>+((AR18*AR11)+(AV11*AV18)+(AZ11*AZ18))/BB11</f>
        <v>312.44548072147251</v>
      </c>
      <c r="BC18" s="6307"/>
      <c r="BD18" s="1164">
        <f>(AN18*AN$11+BB18*BB$11)/BD$11</f>
        <v>318.80427143703474</v>
      </c>
      <c r="BE18" s="6299"/>
      <c r="BF18" s="1181">
        <f>+((AX18*AX11)+(AZ11*AZ18))/(AX11+AZ11)</f>
        <v>312.24025639250965</v>
      </c>
      <c r="BG18" s="26"/>
      <c r="BH18" s="26"/>
      <c r="BI18" s="1546"/>
      <c r="BJ18" s="1546"/>
      <c r="BK18" s="26"/>
    </row>
    <row r="19" spans="1:63" ht="16.5" thickBot="1" x14ac:dyDescent="0.3">
      <c r="A19" s="149"/>
      <c r="B19" s="149"/>
      <c r="C19" s="3240" t="s">
        <v>700</v>
      </c>
      <c r="D19" s="6320"/>
      <c r="E19" s="6312"/>
      <c r="F19" s="3241">
        <v>258.51</v>
      </c>
      <c r="G19" s="6312"/>
      <c r="H19" s="3241">
        <v>260.48</v>
      </c>
      <c r="I19" s="6314"/>
      <c r="J19" s="3242">
        <f>+((F19*F11)+(H11*H19))/(F11+H11)</f>
        <v>259.55674443925966</v>
      </c>
      <c r="K19" s="6312"/>
      <c r="L19" s="3241">
        <v>251</v>
      </c>
      <c r="M19" s="6302">
        <f t="shared" si="5"/>
        <v>0</v>
      </c>
      <c r="N19" s="1162">
        <f>+((F19*F11)+(H11*H19)+(L11*L19))/N11</f>
        <v>256.50703139077586</v>
      </c>
      <c r="O19" s="6312"/>
      <c r="P19" s="3241">
        <v>240.48</v>
      </c>
      <c r="Q19" s="6310"/>
      <c r="R19" s="1181">
        <f>+((N19*N11)+(P11*P19))/(N11+P11)</f>
        <v>252.12280844830454</v>
      </c>
      <c r="S19" s="6312"/>
      <c r="T19" s="3241">
        <v>233.87</v>
      </c>
      <c r="U19" s="6310"/>
      <c r="V19" s="1181">
        <f>+((R19*R11)+(T11*T19))/(R11+T11)</f>
        <v>248.47746717992635</v>
      </c>
      <c r="W19" s="6312"/>
      <c r="X19" s="3241">
        <v>232.9</v>
      </c>
      <c r="Y19" s="6302">
        <f t="shared" si="6"/>
        <v>0</v>
      </c>
      <c r="Z19" s="1162">
        <f>+((P19*P11)+(T11*T19)+(X11*X19))/Z11</f>
        <v>235.92526399370215</v>
      </c>
      <c r="AA19" s="6307"/>
      <c r="AB19" s="1164">
        <f t="shared" si="9"/>
        <v>245.94733964248161</v>
      </c>
      <c r="AC19" s="6298"/>
      <c r="AD19" s="3241">
        <v>274</v>
      </c>
      <c r="AE19" s="6310"/>
      <c r="AF19" s="1181">
        <f>+((AB19*AB11)+(AD11*AD19))/(AB11+AD11)</f>
        <v>249.853902202189</v>
      </c>
      <c r="AG19" s="6298"/>
      <c r="AH19" s="3241">
        <v>270</v>
      </c>
      <c r="AI19" s="6310"/>
      <c r="AJ19" s="1181">
        <f>+((AF19*AF11)+(AH11*AH19))/(AF11+AH11)</f>
        <v>249.90821603849719</v>
      </c>
      <c r="AK19" s="6298"/>
      <c r="AL19" s="3241">
        <v>269</v>
      </c>
      <c r="AM19" s="6302">
        <f t="shared" si="7"/>
        <v>0</v>
      </c>
      <c r="AN19" s="1162">
        <f>+((AD19*AD11)+(AH11*AH19)+(AL11*AL19))/AN11</f>
        <v>271.53502021651235</v>
      </c>
      <c r="AO19" s="6310"/>
      <c r="AP19" s="1181">
        <f>+((AJ19*AJ11)+(AL11*AL19))/(AJ11+AL11)</f>
        <v>252.15549289831912</v>
      </c>
      <c r="AQ19" s="6298"/>
      <c r="AR19" s="3241">
        <v>259.66000000000003</v>
      </c>
      <c r="AS19" s="6310"/>
      <c r="AT19" s="1181">
        <f>+((AP19*AP11)+(AR11*AR19))/(AP11+AR11)</f>
        <v>252.9828354356722</v>
      </c>
      <c r="AU19" s="6298"/>
      <c r="AV19" s="3241">
        <v>250</v>
      </c>
      <c r="AW19" s="6310"/>
      <c r="AX19" s="1181">
        <f>+((AT19*AT11)+(AV11*AV19))/(AT11+AV11)</f>
        <v>252.70387781232853</v>
      </c>
      <c r="AY19" s="6298"/>
      <c r="AZ19" s="3241">
        <v>273.87</v>
      </c>
      <c r="BA19" s="6302">
        <f t="shared" si="8"/>
        <v>0</v>
      </c>
      <c r="BB19" s="1162">
        <f>+((AR19*AR11)+(AV11*AV19)+(AZ11*AZ19))/BB11</f>
        <v>261.68532518767654</v>
      </c>
      <c r="BC19" s="6307"/>
      <c r="BD19" s="1164">
        <f>(AN19*AN$11+BB19*BB$11)/BD$11</f>
        <v>265.57567945118444</v>
      </c>
      <c r="BE19" s="6299"/>
      <c r="BF19" s="1181">
        <f>+((AX19*AX11)+(AZ11*AZ19))/(AX11+AZ11)</f>
        <v>254.73763882800787</v>
      </c>
      <c r="BG19" s="26"/>
      <c r="BH19" s="26"/>
      <c r="BI19" s="1546"/>
      <c r="BJ19" s="1546"/>
      <c r="BK19" s="26"/>
    </row>
    <row r="20" spans="1:63" ht="15.6" x14ac:dyDescent="0.3">
      <c r="A20" s="149"/>
      <c r="B20" s="149"/>
      <c r="C20" s="3235" t="s">
        <v>526</v>
      </c>
      <c r="D20" s="3236"/>
      <c r="E20" s="3237"/>
      <c r="F20" s="3236"/>
      <c r="G20" s="3237"/>
      <c r="H20" s="3236"/>
      <c r="I20" s="3238"/>
      <c r="J20" s="3239"/>
      <c r="K20" s="3237"/>
      <c r="L20" s="3236"/>
      <c r="M20" s="2799"/>
      <c r="N20" s="2800"/>
      <c r="O20" s="3237"/>
      <c r="P20" s="3236"/>
      <c r="Q20" s="2805"/>
      <c r="R20" s="2806"/>
      <c r="S20" s="3237"/>
      <c r="T20" s="3236"/>
      <c r="U20" s="2805"/>
      <c r="V20" s="2806"/>
      <c r="W20" s="3237"/>
      <c r="X20" s="3236"/>
      <c r="Y20" s="2799"/>
      <c r="Z20" s="2800"/>
      <c r="AA20" s="2792"/>
      <c r="AB20" s="2793"/>
      <c r="AC20" s="3237"/>
      <c r="AD20" s="3236"/>
      <c r="AE20" s="2805"/>
      <c r="AF20" s="2806"/>
      <c r="AG20" s="3237"/>
      <c r="AH20" s="3236"/>
      <c r="AI20" s="2805"/>
      <c r="AJ20" s="2806"/>
      <c r="AK20" s="3237"/>
      <c r="AL20" s="3236"/>
      <c r="AM20" s="2799"/>
      <c r="AN20" s="2800"/>
      <c r="AO20" s="2805"/>
      <c r="AP20" s="2806"/>
      <c r="AQ20" s="3237"/>
      <c r="AR20" s="3236"/>
      <c r="AS20" s="2805"/>
      <c r="AT20" s="2806"/>
      <c r="AU20" s="3237"/>
      <c r="AV20" s="3236"/>
      <c r="AW20" s="2805"/>
      <c r="AX20" s="2806"/>
      <c r="AY20" s="3237"/>
      <c r="AZ20" s="3236"/>
      <c r="BA20" s="2799"/>
      <c r="BB20" s="2800"/>
      <c r="BC20" s="2792"/>
      <c r="BD20" s="2793"/>
      <c r="BE20" s="2805"/>
      <c r="BF20" s="2806"/>
      <c r="BG20" s="26"/>
      <c r="BH20" s="26"/>
      <c r="BI20" s="1546"/>
      <c r="BJ20" s="1546"/>
      <c r="BK20" s="26"/>
    </row>
    <row r="21" spans="1:63" ht="15.6" x14ac:dyDescent="0.3">
      <c r="A21" s="149"/>
      <c r="B21" s="149"/>
      <c r="C21" s="2910" t="s">
        <v>527</v>
      </c>
      <c r="D21" s="2909" t="s">
        <v>50</v>
      </c>
      <c r="E21" s="1600">
        <f>+E33*$E$36/1000</f>
        <v>12412.731600883772</v>
      </c>
      <c r="F21" s="2909">
        <v>15819</v>
      </c>
      <c r="G21" s="1600">
        <f>+G33*$E$36/1000</f>
        <v>12808.198955750644</v>
      </c>
      <c r="H21" s="2909">
        <v>14184</v>
      </c>
      <c r="I21" s="2765">
        <f>+E21+G21</f>
        <v>25220.930556634416</v>
      </c>
      <c r="J21" s="1180">
        <f>+F21+H21</f>
        <v>30003</v>
      </c>
      <c r="K21" s="1600">
        <f>+K33*$E$36/1000</f>
        <v>12412.731600883772</v>
      </c>
      <c r="L21" s="2909">
        <v>15520</v>
      </c>
      <c r="M21" s="1160">
        <f>E21+G21+K21</f>
        <v>37633.662157518185</v>
      </c>
      <c r="N21" s="1161">
        <f>F21+H21+L21</f>
        <v>45523</v>
      </c>
      <c r="O21" s="1600">
        <f>+O33*$E$36/1000</f>
        <v>12561.031858958861</v>
      </c>
      <c r="P21" s="2909">
        <v>16160</v>
      </c>
      <c r="Q21" s="2765">
        <f>+M21+O21</f>
        <v>50194.694016477049</v>
      </c>
      <c r="R21" s="1180">
        <f>+N21+P21</f>
        <v>61683</v>
      </c>
      <c r="S21" s="1600">
        <f>+S33*$E$36/1000</f>
        <v>12561.031858958861</v>
      </c>
      <c r="T21" s="2909">
        <v>15934</v>
      </c>
      <c r="U21" s="2765">
        <f>+Q21+S21</f>
        <v>62755.725875435906</v>
      </c>
      <c r="V21" s="1180">
        <f>+R21+T21</f>
        <v>77617</v>
      </c>
      <c r="W21" s="1600">
        <f>+W33*$E$36/1000</f>
        <v>6591.9464714371115</v>
      </c>
      <c r="X21" s="2909">
        <v>17396</v>
      </c>
      <c r="Y21" s="1160">
        <f>O21+S21+W21</f>
        <v>31714.010189354834</v>
      </c>
      <c r="Z21" s="1161">
        <f>P21+T21+X21</f>
        <v>49490</v>
      </c>
      <c r="AA21" s="1163">
        <f>+U21+W21</f>
        <v>69347.67234687302</v>
      </c>
      <c r="AB21" s="1165">
        <f>+V21+X21</f>
        <v>95013</v>
      </c>
      <c r="AC21" s="1600">
        <f>+AC33*$E$36/1000</f>
        <v>12327.929036327541</v>
      </c>
      <c r="AD21" s="2909">
        <v>13416</v>
      </c>
      <c r="AE21" s="2765">
        <f>+AA21+AC21</f>
        <v>81675.601383200556</v>
      </c>
      <c r="AF21" s="1180">
        <f>+AB21+AD21</f>
        <v>108429</v>
      </c>
      <c r="AG21" s="1600">
        <f>+AG33*$E$36/1000</f>
        <v>11932.834763870913</v>
      </c>
      <c r="AH21" s="2909">
        <v>155</v>
      </c>
      <c r="AI21" s="2765">
        <f>+AE21+AG21</f>
        <v>93608.436147071465</v>
      </c>
      <c r="AJ21" s="1180">
        <f>+AF21+AH21</f>
        <v>108584</v>
      </c>
      <c r="AK21" s="1600">
        <f>+AK33*$E$36/1000</f>
        <v>12327.929036327541</v>
      </c>
      <c r="AL21" s="2909">
        <v>10507</v>
      </c>
      <c r="AM21" s="1160">
        <f>AC21+AG21+AK21</f>
        <v>36588.692836525996</v>
      </c>
      <c r="AN21" s="1161">
        <f>AD21+AH21+AL21</f>
        <v>24078</v>
      </c>
      <c r="AO21" s="2765">
        <f>+AI21+AK21</f>
        <v>105936.365183399</v>
      </c>
      <c r="AP21" s="1180">
        <f>+AJ21+AL21</f>
        <v>119091</v>
      </c>
      <c r="AQ21" s="1600">
        <f>+AQ33*$E$36/1000</f>
        <v>12327.929036327541</v>
      </c>
      <c r="AR21" s="2909">
        <v>15276</v>
      </c>
      <c r="AS21" s="2765">
        <f>+AO21+AQ21</f>
        <v>118264.29421972654</v>
      </c>
      <c r="AT21" s="1180">
        <f>+AP21+AR21</f>
        <v>134367</v>
      </c>
      <c r="AU21" s="1600">
        <f>+AU33*$E$36/1000</f>
        <v>11093.259434900585</v>
      </c>
      <c r="AV21" s="2909">
        <v>14243</v>
      </c>
      <c r="AW21" s="2765">
        <f>+AS21+AU21</f>
        <v>129357.55365462712</v>
      </c>
      <c r="AX21" s="1180">
        <f>+AT21+AV21</f>
        <v>148610</v>
      </c>
      <c r="AY21" s="1600">
        <f>+AY33*$E$36/1000</f>
        <v>12327.929036327541</v>
      </c>
      <c r="AZ21" s="2909">
        <v>18399</v>
      </c>
      <c r="BA21" s="1160">
        <f>AQ21+AU21+AY21</f>
        <v>35749.117507555668</v>
      </c>
      <c r="BB21" s="1161">
        <f>AR21+AV21+AZ21</f>
        <v>47918</v>
      </c>
      <c r="BC21" s="1163">
        <f t="shared" ref="BC21:BC22" si="10">AM21+BA21</f>
        <v>72337.810344081663</v>
      </c>
      <c r="BD21" s="1163">
        <f t="shared" ref="BD21:BD22" si="11">AN21+BB21</f>
        <v>71996</v>
      </c>
      <c r="BE21" s="2765">
        <f>+AW21+AY21</f>
        <v>141685.48269095467</v>
      </c>
      <c r="BF21" s="1180">
        <f>+AX21+AZ21</f>
        <v>167009</v>
      </c>
      <c r="BG21" s="26"/>
      <c r="BH21" s="26"/>
      <c r="BI21" s="1546"/>
      <c r="BJ21" s="1546"/>
      <c r="BK21" s="26"/>
    </row>
    <row r="22" spans="1:63" ht="15.75" x14ac:dyDescent="0.25">
      <c r="A22" s="149"/>
      <c r="B22" s="149"/>
      <c r="C22" s="6313" t="s">
        <v>521</v>
      </c>
      <c r="D22" s="2909" t="s">
        <v>50</v>
      </c>
      <c r="E22" s="1600">
        <f>+E21*E23/100</f>
        <v>2482.5463201767543</v>
      </c>
      <c r="F22" s="2909">
        <v>5378</v>
      </c>
      <c r="G22" s="1600">
        <f>+G21*G23/100</f>
        <v>2561.639791150129</v>
      </c>
      <c r="H22" s="2909">
        <v>3120</v>
      </c>
      <c r="I22" s="2765">
        <f>+E22+G22</f>
        <v>5044.1861113268833</v>
      </c>
      <c r="J22" s="1180">
        <f>+F22+H22</f>
        <v>8498</v>
      </c>
      <c r="K22" s="1600">
        <f>+K21*K23/100</f>
        <v>2482.5463201767543</v>
      </c>
      <c r="L22" s="2909">
        <v>4718</v>
      </c>
      <c r="M22" s="1160">
        <f>E22+G22+K22</f>
        <v>7526.7324315036376</v>
      </c>
      <c r="N22" s="1161">
        <f>F22+H22+L22</f>
        <v>13216</v>
      </c>
      <c r="O22" s="1600">
        <f>+O21*O23/100</f>
        <v>2512.2063717917717</v>
      </c>
      <c r="P22" s="2909">
        <v>4945</v>
      </c>
      <c r="Q22" s="2765">
        <f>+M22+O22</f>
        <v>10038.938803295408</v>
      </c>
      <c r="R22" s="1180">
        <f>+N22+P22</f>
        <v>18161</v>
      </c>
      <c r="S22" s="1600">
        <f>+S21*S23/100</f>
        <v>2512.2063717917717</v>
      </c>
      <c r="T22" s="2909">
        <v>5736</v>
      </c>
      <c r="U22" s="2765">
        <f>+Q22+S22</f>
        <v>12551.14517508718</v>
      </c>
      <c r="V22" s="1180">
        <f>+R22+T22</f>
        <v>23897</v>
      </c>
      <c r="W22" s="1600">
        <f>+W21*W23/100</f>
        <v>1318.3892942874224</v>
      </c>
      <c r="X22" s="2909">
        <v>7623</v>
      </c>
      <c r="Y22" s="1160">
        <f>O22+S22+W22</f>
        <v>6342.8020378709662</v>
      </c>
      <c r="Z22" s="1161">
        <f>P22+T22+X22</f>
        <v>18304</v>
      </c>
      <c r="AA22" s="1163">
        <f>+U22+W22</f>
        <v>13869.534469374603</v>
      </c>
      <c r="AB22" s="1165">
        <f>+V22+X22</f>
        <v>31520</v>
      </c>
      <c r="AC22" s="1600">
        <f>+AC21*AC23/100</f>
        <v>2465.5858072655083</v>
      </c>
      <c r="AD22" s="2909">
        <v>2683</v>
      </c>
      <c r="AE22" s="2765">
        <f>+AA22+AC22</f>
        <v>16335.120276640111</v>
      </c>
      <c r="AF22" s="1180">
        <f>+AB22+AD22</f>
        <v>34203</v>
      </c>
      <c r="AG22" s="1600">
        <f>+AG21*AG23/100</f>
        <v>2386.5669527741825</v>
      </c>
      <c r="AH22" s="2909">
        <v>145</v>
      </c>
      <c r="AI22" s="2765">
        <f>+AE22+AG22</f>
        <v>18721.687229414292</v>
      </c>
      <c r="AJ22" s="1180">
        <f>+AF22+AH22</f>
        <v>34348</v>
      </c>
      <c r="AK22" s="1600">
        <f>+AK21*AK23/100</f>
        <v>2465.5858072655083</v>
      </c>
      <c r="AL22" s="2909">
        <v>2669</v>
      </c>
      <c r="AM22" s="1160">
        <f>AC22+AG22+AK22</f>
        <v>7317.7385673051995</v>
      </c>
      <c r="AN22" s="1161">
        <f>AD22+AH22+AL22</f>
        <v>5497</v>
      </c>
      <c r="AO22" s="2765">
        <f>+AI22+AK22</f>
        <v>21187.273036679799</v>
      </c>
      <c r="AP22" s="1180">
        <f>+AJ22+AL22</f>
        <v>37017</v>
      </c>
      <c r="AQ22" s="1600">
        <f>+AQ21*AQ23/100</f>
        <v>2465.5858072655083</v>
      </c>
      <c r="AR22" s="2909">
        <v>3055</v>
      </c>
      <c r="AS22" s="2765">
        <f>+AO22+AQ22</f>
        <v>23652.858843945309</v>
      </c>
      <c r="AT22" s="1180">
        <f>+AP22+AR22</f>
        <v>40072</v>
      </c>
      <c r="AU22" s="1600">
        <f>+AU21*AU23/100</f>
        <v>2218.6518869801166</v>
      </c>
      <c r="AV22" s="2909">
        <v>2849</v>
      </c>
      <c r="AW22" s="2765">
        <f>+AS22+AU22</f>
        <v>25871.510730925424</v>
      </c>
      <c r="AX22" s="1180">
        <f>+AT22+AV22</f>
        <v>42921</v>
      </c>
      <c r="AY22" s="1600">
        <f>+AY21*AY23/100</f>
        <v>2465.5858072655083</v>
      </c>
      <c r="AZ22" s="2909">
        <v>5324</v>
      </c>
      <c r="BA22" s="1160">
        <f>AQ22+AU22+AY22</f>
        <v>7149.8235015111331</v>
      </c>
      <c r="BB22" s="1161">
        <f>AR22+AV22+AZ22</f>
        <v>11228</v>
      </c>
      <c r="BC22" s="1163">
        <f t="shared" si="10"/>
        <v>14467.562068816333</v>
      </c>
      <c r="BD22" s="1163">
        <f t="shared" si="11"/>
        <v>16725</v>
      </c>
      <c r="BE22" s="2765">
        <f>+AW22+AY22</f>
        <v>28337.096538190934</v>
      </c>
      <c r="BF22" s="1180">
        <f>+AX22+AZ22</f>
        <v>48245</v>
      </c>
      <c r="BG22" s="26"/>
      <c r="BH22" s="26"/>
      <c r="BI22" s="1546"/>
      <c r="BJ22" s="1546"/>
      <c r="BK22" s="26"/>
    </row>
    <row r="23" spans="1:63" ht="15.75" x14ac:dyDescent="0.25">
      <c r="A23" s="149"/>
      <c r="B23" s="149"/>
      <c r="C23" s="6313"/>
      <c r="D23" s="2909" t="s">
        <v>49</v>
      </c>
      <c r="E23" s="2908">
        <v>20</v>
      </c>
      <c r="F23" s="1159">
        <f>+F22/F21*100</f>
        <v>33.997092104431381</v>
      </c>
      <c r="G23" s="2908">
        <v>20</v>
      </c>
      <c r="H23" s="1159">
        <f>+H22/H21*100</f>
        <v>21.996615905245349</v>
      </c>
      <c r="I23" s="2768">
        <f>+I22/I21*100</f>
        <v>20</v>
      </c>
      <c r="J23" s="2804">
        <f>+J22/J21*100</f>
        <v>28.323834283238341</v>
      </c>
      <c r="K23" s="2908">
        <v>20</v>
      </c>
      <c r="L23" s="1159">
        <f>+L22/L21*100</f>
        <v>30.399484536082472</v>
      </c>
      <c r="M23" s="2766">
        <f>+M22/M21*100</f>
        <v>20</v>
      </c>
      <c r="N23" s="2798">
        <f>+N22/N21*100</f>
        <v>29.031478593238582</v>
      </c>
      <c r="O23" s="2908">
        <v>20</v>
      </c>
      <c r="P23" s="1159">
        <f>+P22/P21*100</f>
        <v>30.600247524752476</v>
      </c>
      <c r="Q23" s="2768">
        <f>+Q22/Q21*100</f>
        <v>20</v>
      </c>
      <c r="R23" s="2804">
        <f>+R22/R21*100</f>
        <v>29.442471993904316</v>
      </c>
      <c r="S23" s="2908">
        <v>20</v>
      </c>
      <c r="T23" s="1159">
        <f>+T22/T21*100</f>
        <v>35.998493786870846</v>
      </c>
      <c r="U23" s="2768">
        <f>+U22/U21*100</f>
        <v>20</v>
      </c>
      <c r="V23" s="2804">
        <f>+V22/V21*100</f>
        <v>30.788358220492935</v>
      </c>
      <c r="W23" s="2908">
        <v>20</v>
      </c>
      <c r="X23" s="1159">
        <f>+X22/X21*100</f>
        <v>43.820418487008503</v>
      </c>
      <c r="Y23" s="2766">
        <f>+Y22/Y21*100</f>
        <v>20</v>
      </c>
      <c r="Z23" s="2798">
        <f>+Z22/Z21*100</f>
        <v>36.985249545362699</v>
      </c>
      <c r="AA23" s="1163">
        <f>+AA22/AA21*100</f>
        <v>20</v>
      </c>
      <c r="AB23" s="2791">
        <f>+AB22/AB21*100</f>
        <v>33.174407712628799</v>
      </c>
      <c r="AC23" s="2908">
        <v>20</v>
      </c>
      <c r="AD23" s="1159">
        <f>+AD22/AD21*100</f>
        <v>19.998509242695288</v>
      </c>
      <c r="AE23" s="2768">
        <f>+AE22/AE21*100</f>
        <v>20</v>
      </c>
      <c r="AF23" s="2804">
        <f>+AF22/AF21*100</f>
        <v>31.544144094292115</v>
      </c>
      <c r="AG23" s="2908">
        <v>20</v>
      </c>
      <c r="AH23" s="1159">
        <f>+AH22/AH21*100</f>
        <v>93.548387096774192</v>
      </c>
      <c r="AI23" s="2768">
        <f>+AI22/AI21*100</f>
        <v>20</v>
      </c>
      <c r="AJ23" s="2804">
        <f>+AJ22/AJ21*100</f>
        <v>31.632653061224492</v>
      </c>
      <c r="AK23" s="2908">
        <v>20</v>
      </c>
      <c r="AL23" s="1159">
        <f>+AL22/AL21*100</f>
        <v>25.402112877129536</v>
      </c>
      <c r="AM23" s="2766">
        <f>+AM22/AM21*100</f>
        <v>20</v>
      </c>
      <c r="AN23" s="2798">
        <f>+AN22/AN21*100</f>
        <v>22.829969266550378</v>
      </c>
      <c r="AO23" s="2768">
        <f>+AO22/AO21*100</f>
        <v>20</v>
      </c>
      <c r="AP23" s="2804">
        <f>+AP22/AP21*100</f>
        <v>31.082953371791323</v>
      </c>
      <c r="AQ23" s="2908">
        <v>20</v>
      </c>
      <c r="AR23" s="1159">
        <f>+AR22/AR21*100</f>
        <v>19.998690756742601</v>
      </c>
      <c r="AS23" s="2768">
        <f>+AS22/AS21*100</f>
        <v>20</v>
      </c>
      <c r="AT23" s="2804">
        <f>+AT22/AT21*100</f>
        <v>29.822798752669925</v>
      </c>
      <c r="AU23" s="2908">
        <v>20</v>
      </c>
      <c r="AV23" s="1159">
        <f>+AV22/AV21*100</f>
        <v>20.002808397107351</v>
      </c>
      <c r="AW23" s="2768">
        <f>+AW22/AW21*100</f>
        <v>20</v>
      </c>
      <c r="AX23" s="2804">
        <f>+AX22/AX21*100</f>
        <v>28.88163649821681</v>
      </c>
      <c r="AY23" s="2908">
        <v>20</v>
      </c>
      <c r="AZ23" s="1159">
        <f>+AZ22/AZ21*100</f>
        <v>28.936355236697647</v>
      </c>
      <c r="BA23" s="2766">
        <f t="shared" ref="BA23:BF23" si="12">+BA22/BA21*100</f>
        <v>20</v>
      </c>
      <c r="BB23" s="2798">
        <f t="shared" si="12"/>
        <v>23.431695813681706</v>
      </c>
      <c r="BC23" s="1163">
        <f t="shared" si="12"/>
        <v>20</v>
      </c>
      <c r="BD23" s="2791">
        <f t="shared" si="12"/>
        <v>23.230457247624869</v>
      </c>
      <c r="BE23" s="2768">
        <f t="shared" si="12"/>
        <v>20</v>
      </c>
      <c r="BF23" s="2804">
        <f t="shared" si="12"/>
        <v>28.88766473663096</v>
      </c>
      <c r="BG23" s="26"/>
      <c r="BH23" s="26"/>
      <c r="BI23" s="1546"/>
      <c r="BJ23" s="1546"/>
      <c r="BK23" s="26"/>
    </row>
    <row r="24" spans="1:63" ht="15.6" x14ac:dyDescent="0.3">
      <c r="A24" s="149"/>
      <c r="B24" s="149"/>
      <c r="C24" s="2910" t="s">
        <v>528</v>
      </c>
      <c r="D24" s="2909" t="s">
        <v>50</v>
      </c>
      <c r="E24" s="1600">
        <f>+E21-E22</f>
        <v>9930.1852807070172</v>
      </c>
      <c r="F24" s="2909">
        <f>+F21-F22</f>
        <v>10441</v>
      </c>
      <c r="G24" s="1600">
        <f>+G21-G22</f>
        <v>10246.559164600516</v>
      </c>
      <c r="H24" s="2909">
        <f>+H21-H22</f>
        <v>11064</v>
      </c>
      <c r="I24" s="2765">
        <f>+E24+G24</f>
        <v>20176.744445307533</v>
      </c>
      <c r="J24" s="1180">
        <f>+F24+H24</f>
        <v>21505</v>
      </c>
      <c r="K24" s="1600">
        <f>+K21-K22</f>
        <v>9930.1852807070172</v>
      </c>
      <c r="L24" s="2909">
        <f>+L21-L22</f>
        <v>10802</v>
      </c>
      <c r="M24" s="1160">
        <f>E24+G24+K24</f>
        <v>30106.92972601455</v>
      </c>
      <c r="N24" s="1161">
        <f>F24+H24+L24</f>
        <v>32307</v>
      </c>
      <c r="O24" s="1600">
        <f>+O21-O22</f>
        <v>10048.825487167089</v>
      </c>
      <c r="P24" s="2909">
        <f>+P21-P22</f>
        <v>11215</v>
      </c>
      <c r="Q24" s="2765">
        <f>+M24+O24</f>
        <v>40155.755213181641</v>
      </c>
      <c r="R24" s="1180">
        <f>+N24+P24</f>
        <v>43522</v>
      </c>
      <c r="S24" s="1600">
        <f>+S21-S22</f>
        <v>10048.825487167089</v>
      </c>
      <c r="T24" s="2909">
        <f>+T21-T22</f>
        <v>10198</v>
      </c>
      <c r="U24" s="2765">
        <f>+Q24+S24</f>
        <v>50204.580700348728</v>
      </c>
      <c r="V24" s="1180">
        <f>+R24+T24</f>
        <v>53720</v>
      </c>
      <c r="W24" s="1600">
        <f>+W21-W22</f>
        <v>5273.5571771496889</v>
      </c>
      <c r="X24" s="2909">
        <f>+X21-X22</f>
        <v>9773</v>
      </c>
      <c r="Y24" s="1160">
        <f>O24+S24+W24</f>
        <v>25371.208151483865</v>
      </c>
      <c r="Z24" s="1161">
        <f>P24+T24+X24</f>
        <v>31186</v>
      </c>
      <c r="AA24" s="1163">
        <f>+U24+W24</f>
        <v>55478.137877498419</v>
      </c>
      <c r="AB24" s="1165">
        <f>+V24+X24</f>
        <v>63493</v>
      </c>
      <c r="AC24" s="1600">
        <f>+AC21-AC22</f>
        <v>9862.3432290620331</v>
      </c>
      <c r="AD24" s="2909">
        <f>+AD21-AD22</f>
        <v>10733</v>
      </c>
      <c r="AE24" s="2765">
        <f>+AA24+AC24</f>
        <v>65340.481106560452</v>
      </c>
      <c r="AF24" s="1180">
        <f>+AB24+AD24</f>
        <v>74226</v>
      </c>
      <c r="AG24" s="1600">
        <f>+AG21-AG22</f>
        <v>9546.2678110967299</v>
      </c>
      <c r="AH24" s="2909">
        <f>+AH21-AH22</f>
        <v>10</v>
      </c>
      <c r="AI24" s="2765">
        <f>+AE24+AG24</f>
        <v>74886.748917657183</v>
      </c>
      <c r="AJ24" s="1180">
        <f>+AF24+AH24</f>
        <v>74236</v>
      </c>
      <c r="AK24" s="1600">
        <f>+AK21-AK22</f>
        <v>9862.3432290620331</v>
      </c>
      <c r="AL24" s="2909">
        <f>+AL21-AL22</f>
        <v>7838</v>
      </c>
      <c r="AM24" s="1160">
        <f>AC24+AG24+AK24</f>
        <v>29270.954269220798</v>
      </c>
      <c r="AN24" s="1161">
        <f>AD24+AH24+AL24</f>
        <v>18581</v>
      </c>
      <c r="AO24" s="2765">
        <f>+AI24+AK24</f>
        <v>84749.092146719224</v>
      </c>
      <c r="AP24" s="1180">
        <f>+AJ24+AL24</f>
        <v>82074</v>
      </c>
      <c r="AQ24" s="1600">
        <f>+AQ21-AQ22</f>
        <v>9862.3432290620331</v>
      </c>
      <c r="AR24" s="2909">
        <f>+AR21-AR22</f>
        <v>12221</v>
      </c>
      <c r="AS24" s="2765">
        <f>+AO24+AQ24</f>
        <v>94611.435375781264</v>
      </c>
      <c r="AT24" s="1180">
        <f>+AP24+AR24</f>
        <v>94295</v>
      </c>
      <c r="AU24" s="1600">
        <f>+AU21-AU22</f>
        <v>8874.6075479204683</v>
      </c>
      <c r="AV24" s="2909">
        <f>+AV21-AV22</f>
        <v>11394</v>
      </c>
      <c r="AW24" s="2765">
        <f>+AS24+AU24</f>
        <v>103486.04292370174</v>
      </c>
      <c r="AX24" s="1180">
        <f>+AT24+AV24</f>
        <v>105689</v>
      </c>
      <c r="AY24" s="1600">
        <f>+AY21-AY22</f>
        <v>9862.3432290620331</v>
      </c>
      <c r="AZ24" s="2909">
        <f>+AZ21-AZ22</f>
        <v>13075</v>
      </c>
      <c r="BA24" s="1160">
        <f>AQ24+AU24+AY24</f>
        <v>28599.294006044533</v>
      </c>
      <c r="BB24" s="1161">
        <f>AR24+AV24+AZ24</f>
        <v>36690</v>
      </c>
      <c r="BC24" s="1163">
        <f t="shared" ref="BC24:BC25" si="13">AM24+BA24</f>
        <v>57870.24827526533</v>
      </c>
      <c r="BD24" s="1163">
        <f t="shared" ref="BD24:BD25" si="14">AN24+BB24</f>
        <v>55271</v>
      </c>
      <c r="BE24" s="2765">
        <f>+AW24+AY24</f>
        <v>113348.38615276376</v>
      </c>
      <c r="BF24" s="1180">
        <f>+AX24+AZ24</f>
        <v>118764</v>
      </c>
      <c r="BG24" s="26"/>
      <c r="BH24" s="26"/>
      <c r="BI24" s="1546"/>
      <c r="BJ24" s="1546"/>
      <c r="BK24" s="26"/>
    </row>
    <row r="25" spans="1:63" ht="15.6" x14ac:dyDescent="0.3">
      <c r="A25" s="149"/>
      <c r="B25" s="149"/>
      <c r="C25" s="2910" t="s">
        <v>562</v>
      </c>
      <c r="D25" s="2909" t="s">
        <v>50</v>
      </c>
      <c r="E25" s="1600">
        <f>+E24*E26/100</f>
        <v>5163.696345967649</v>
      </c>
      <c r="F25" s="2909">
        <v>5429</v>
      </c>
      <c r="G25" s="1600">
        <f>+G24*G26/100</f>
        <v>5328.2107655922682</v>
      </c>
      <c r="H25" s="2909">
        <v>5753</v>
      </c>
      <c r="I25" s="2765">
        <f>+E25+G25</f>
        <v>10491.907111559918</v>
      </c>
      <c r="J25" s="1180">
        <f>+F25+H25</f>
        <v>11182</v>
      </c>
      <c r="K25" s="1600">
        <f>+K24*K26/100</f>
        <v>5163.696345967649</v>
      </c>
      <c r="L25" s="2909">
        <v>5617</v>
      </c>
      <c r="M25" s="1160">
        <f>E25+G25+K25</f>
        <v>15655.603457527566</v>
      </c>
      <c r="N25" s="1161">
        <f>F25+H25+L25</f>
        <v>16799</v>
      </c>
      <c r="O25" s="1600">
        <f>+O24*O26/100</f>
        <v>5225.3892533268863</v>
      </c>
      <c r="P25" s="2909">
        <v>5832</v>
      </c>
      <c r="Q25" s="2765">
        <f>+M25+O25</f>
        <v>20880.992710854451</v>
      </c>
      <c r="R25" s="1180">
        <f>+N25+P25</f>
        <v>22631</v>
      </c>
      <c r="S25" s="1600">
        <f>+S24*S26/100</f>
        <v>5225.3892533268863</v>
      </c>
      <c r="T25" s="2909">
        <v>5303</v>
      </c>
      <c r="U25" s="2765">
        <f>+Q25+S25</f>
        <v>26106.381964181339</v>
      </c>
      <c r="V25" s="1180">
        <f>+R25+T25</f>
        <v>27934</v>
      </c>
      <c r="W25" s="1600">
        <f>+W24*W26/100</f>
        <v>2742.249732117838</v>
      </c>
      <c r="X25" s="2909">
        <v>5082</v>
      </c>
      <c r="Y25" s="1160">
        <f>O25+S25+W25</f>
        <v>13193.028238771611</v>
      </c>
      <c r="Z25" s="1161">
        <f>P25+T25+X25</f>
        <v>16217</v>
      </c>
      <c r="AA25" s="1163">
        <f>+U25+W25</f>
        <v>28848.631696299177</v>
      </c>
      <c r="AB25" s="1165">
        <f>+V25+X25</f>
        <v>33016</v>
      </c>
      <c r="AC25" s="1600">
        <f>+AC24*AC26/100</f>
        <v>5128.418479112257</v>
      </c>
      <c r="AD25" s="2909">
        <v>5581</v>
      </c>
      <c r="AE25" s="2765">
        <f>+AA25+AC25</f>
        <v>33977.050175411438</v>
      </c>
      <c r="AF25" s="1180">
        <f>+AB25+AD25</f>
        <v>38597</v>
      </c>
      <c r="AG25" s="1600">
        <f>+AG24*AG26/100</f>
        <v>4964.0592617702996</v>
      </c>
      <c r="AH25" s="2909">
        <v>0</v>
      </c>
      <c r="AI25" s="2765">
        <f>+AE25+AG25</f>
        <v>38941.109437181738</v>
      </c>
      <c r="AJ25" s="1180">
        <f>+AF25+AH25</f>
        <v>38597</v>
      </c>
      <c r="AK25" s="1600">
        <f>+AK24*AK26/100</f>
        <v>5128.418479112257</v>
      </c>
      <c r="AL25" s="2909">
        <v>4076</v>
      </c>
      <c r="AM25" s="1160">
        <f>AC25+AG25+AK25</f>
        <v>15220.896219994815</v>
      </c>
      <c r="AN25" s="1161">
        <f>AD25+AH25+AL25</f>
        <v>9657</v>
      </c>
      <c r="AO25" s="2765">
        <f>+AI25+AK25</f>
        <v>44069.527916293999</v>
      </c>
      <c r="AP25" s="1180">
        <f>+AJ25+AL25</f>
        <v>42673</v>
      </c>
      <c r="AQ25" s="1600">
        <f>+AQ24*AQ26/100</f>
        <v>5128.418479112257</v>
      </c>
      <c r="AR25" s="2909">
        <v>6355</v>
      </c>
      <c r="AS25" s="2765">
        <f>+AO25+AQ25</f>
        <v>49197.946395406252</v>
      </c>
      <c r="AT25" s="1180">
        <f>+AP25+AR25</f>
        <v>49028</v>
      </c>
      <c r="AU25" s="1600">
        <f>+AU24*AU26/100</f>
        <v>4614.7959249186433</v>
      </c>
      <c r="AV25" s="2909">
        <v>5925</v>
      </c>
      <c r="AW25" s="2765">
        <f>+AS25+AU25</f>
        <v>53812.742320324898</v>
      </c>
      <c r="AX25" s="1180">
        <f>+AT25+AV25</f>
        <v>54953</v>
      </c>
      <c r="AY25" s="1600">
        <f>+AY24*AY26/100</f>
        <v>5128.418479112257</v>
      </c>
      <c r="AZ25" s="2909">
        <v>6772</v>
      </c>
      <c r="BA25" s="1160">
        <f>AQ25+AU25+AY25</f>
        <v>14871.632883143157</v>
      </c>
      <c r="BB25" s="1161">
        <f>AR25+AV25+AZ25</f>
        <v>19052</v>
      </c>
      <c r="BC25" s="1163">
        <f t="shared" si="13"/>
        <v>30092.529103137971</v>
      </c>
      <c r="BD25" s="1163">
        <f t="shared" si="14"/>
        <v>28709</v>
      </c>
      <c r="BE25" s="2765">
        <f>+AW25+AY25</f>
        <v>58941.160799437159</v>
      </c>
      <c r="BF25" s="1180">
        <f>+AX25+AZ25</f>
        <v>61725</v>
      </c>
      <c r="BG25" s="26"/>
      <c r="BH25" s="26"/>
      <c r="BI25" s="1546"/>
      <c r="BJ25" s="1546"/>
      <c r="BK25" s="26"/>
    </row>
    <row r="26" spans="1:63" ht="15.6" x14ac:dyDescent="0.3">
      <c r="A26" s="149"/>
      <c r="B26" s="149"/>
      <c r="C26" s="2910" t="s">
        <v>529</v>
      </c>
      <c r="D26" s="2909" t="s">
        <v>49</v>
      </c>
      <c r="E26" s="2908">
        <v>52</v>
      </c>
      <c r="F26" s="1145">
        <f>+F25/F24*100</f>
        <v>51.996935159467483</v>
      </c>
      <c r="G26" s="2908">
        <v>52</v>
      </c>
      <c r="H26" s="1145">
        <f>+H25/H24*100</f>
        <v>51.997469269703544</v>
      </c>
      <c r="I26" s="2768">
        <f>+I25/I24*100</f>
        <v>52</v>
      </c>
      <c r="J26" s="2804">
        <f>+J25/J24*100</f>
        <v>51.997209951174149</v>
      </c>
      <c r="K26" s="2908">
        <v>52</v>
      </c>
      <c r="L26" s="1145">
        <f>+L25/L24*100</f>
        <v>51.999629698204039</v>
      </c>
      <c r="M26" s="2766">
        <f>+M25/M24*100</f>
        <v>52</v>
      </c>
      <c r="N26" s="2798">
        <f>+N25/N24*100</f>
        <v>51.998019005169162</v>
      </c>
      <c r="O26" s="2908">
        <v>52</v>
      </c>
      <c r="P26" s="1145">
        <f>+P25/P24*100</f>
        <v>52.001783325902807</v>
      </c>
      <c r="Q26" s="2768">
        <f>+Q25/Q24*100</f>
        <v>51.999999999999993</v>
      </c>
      <c r="R26" s="2804">
        <f>+R25/R24*100</f>
        <v>51.998989017048849</v>
      </c>
      <c r="S26" s="2908">
        <v>52</v>
      </c>
      <c r="T26" s="1145">
        <f>+T25/T24*100</f>
        <v>52.000392233771329</v>
      </c>
      <c r="U26" s="2768">
        <f>+U25/U24*100</f>
        <v>52</v>
      </c>
      <c r="V26" s="2804">
        <f>+V25/V24*100</f>
        <v>51.999255398361875</v>
      </c>
      <c r="W26" s="2908">
        <v>52</v>
      </c>
      <c r="X26" s="1145">
        <f>+X25/X24*100</f>
        <v>52.000409290903505</v>
      </c>
      <c r="Y26" s="2766">
        <f>+Y25/Y24*100</f>
        <v>52</v>
      </c>
      <c r="Z26" s="2798">
        <f>+Z25/Z24*100</f>
        <v>52.00089783877381</v>
      </c>
      <c r="AA26" s="1163">
        <f>+AA25/AA24*100</f>
        <v>52</v>
      </c>
      <c r="AB26" s="2791">
        <f>+AB25/AB24*100</f>
        <v>51.999433008363127</v>
      </c>
      <c r="AC26" s="2908">
        <v>52</v>
      </c>
      <c r="AD26" s="1159">
        <f>+AD25/AD24*100</f>
        <v>51.998509270474237</v>
      </c>
      <c r="AE26" s="2768">
        <f>+AE25/AE24*100</f>
        <v>52</v>
      </c>
      <c r="AF26" s="2804">
        <f>+AF25/AF24*100</f>
        <v>51.999299436855004</v>
      </c>
      <c r="AG26" s="2908">
        <v>52</v>
      </c>
      <c r="AH26" s="1159">
        <f>+AH25/AH24*100</f>
        <v>0</v>
      </c>
      <c r="AI26" s="2768">
        <f>+AI25/AI24*100</f>
        <v>52</v>
      </c>
      <c r="AJ26" s="2804">
        <f>+AJ25/AJ24*100</f>
        <v>51.992294843472166</v>
      </c>
      <c r="AK26" s="2908">
        <v>52</v>
      </c>
      <c r="AL26" s="1159">
        <f>+AL25/AL24*100</f>
        <v>52.003062005613678</v>
      </c>
      <c r="AM26" s="2766">
        <f>+AM25/AM24*100</f>
        <v>52</v>
      </c>
      <c r="AN26" s="2798">
        <f>+AN25/AN24*100</f>
        <v>51.97244497066896</v>
      </c>
      <c r="AO26" s="2768">
        <f>+AO25/AO24*100</f>
        <v>52</v>
      </c>
      <c r="AP26" s="2804">
        <f>+AP25/AP24*100</f>
        <v>51.993323098667055</v>
      </c>
      <c r="AQ26" s="2908">
        <v>52</v>
      </c>
      <c r="AR26" s="1159">
        <f>+AR25/AR24*100</f>
        <v>52.000654610915639</v>
      </c>
      <c r="AS26" s="2768">
        <f>+AS25/AS24*100</f>
        <v>51.999999999999993</v>
      </c>
      <c r="AT26" s="2804">
        <f>+AT25/AT24*100</f>
        <v>51.994273291266765</v>
      </c>
      <c r="AU26" s="2908">
        <v>52</v>
      </c>
      <c r="AV26" s="1159">
        <f>+AV25/AV24*100</f>
        <v>52.001053185887315</v>
      </c>
      <c r="AW26" s="2768">
        <f>+AW25/AW24*100</f>
        <v>51.999999999999993</v>
      </c>
      <c r="AX26" s="2804">
        <f>+AX25/AX24*100</f>
        <v>51.995004210466554</v>
      </c>
      <c r="AY26" s="2908">
        <v>52</v>
      </c>
      <c r="AZ26" s="1159">
        <f>+AZ25/AZ24*100</f>
        <v>51.79349904397705</v>
      </c>
      <c r="BA26" s="2766">
        <f t="shared" ref="BA26:BF26" si="15">+BA25/BA24*100</f>
        <v>52</v>
      </c>
      <c r="BB26" s="2798">
        <f t="shared" si="15"/>
        <v>51.926955573725806</v>
      </c>
      <c r="BC26" s="1163">
        <f t="shared" si="15"/>
        <v>52</v>
      </c>
      <c r="BD26" s="2791">
        <f t="shared" si="15"/>
        <v>51.942248195256099</v>
      </c>
      <c r="BE26" s="2768">
        <f t="shared" si="15"/>
        <v>52</v>
      </c>
      <c r="BF26" s="2804">
        <f t="shared" si="15"/>
        <v>51.972820046478731</v>
      </c>
      <c r="BG26" s="26"/>
      <c r="BH26" s="26"/>
      <c r="BI26" s="1546"/>
      <c r="BJ26" s="1546"/>
      <c r="BK26" s="26"/>
    </row>
    <row r="27" spans="1:63" ht="15.6" x14ac:dyDescent="0.3">
      <c r="A27" s="149"/>
      <c r="B27" s="149"/>
      <c r="C27" s="2910" t="s">
        <v>615</v>
      </c>
      <c r="D27" s="2909" t="s">
        <v>50</v>
      </c>
      <c r="E27" s="1600">
        <f>+E25*E28/100</f>
        <v>361.45874421773544</v>
      </c>
      <c r="F27" s="1145">
        <v>300</v>
      </c>
      <c r="G27" s="1600">
        <f>+G25*G28/100</f>
        <v>372.97475359145881</v>
      </c>
      <c r="H27" s="1145">
        <v>310</v>
      </c>
      <c r="I27" s="2765">
        <f>+E27+G27</f>
        <v>734.43349780919425</v>
      </c>
      <c r="J27" s="1181">
        <f>+F27+H27</f>
        <v>610</v>
      </c>
      <c r="K27" s="1600">
        <f>+K25*K28/100</f>
        <v>361.45874421773544</v>
      </c>
      <c r="L27" s="1145">
        <v>300</v>
      </c>
      <c r="M27" s="1160">
        <f>E27+G27+K27</f>
        <v>1095.8922420269296</v>
      </c>
      <c r="N27" s="1162">
        <f>+J27+L27</f>
        <v>910</v>
      </c>
      <c r="O27" s="1600">
        <f>+O25*O28/100</f>
        <v>365.77724773288202</v>
      </c>
      <c r="P27" s="1145">
        <v>310</v>
      </c>
      <c r="Q27" s="2765">
        <f>+M27+O27</f>
        <v>1461.6694897598115</v>
      </c>
      <c r="R27" s="1181">
        <f>+N27+P27</f>
        <v>1220</v>
      </c>
      <c r="S27" s="1600">
        <f>+S25*S28/100</f>
        <v>365.77724773288202</v>
      </c>
      <c r="T27" s="1145">
        <v>310</v>
      </c>
      <c r="U27" s="2765">
        <f>+Q27+S27</f>
        <v>1827.4467374926935</v>
      </c>
      <c r="V27" s="1181">
        <f>+R27+T27</f>
        <v>1530</v>
      </c>
      <c r="W27" s="1600">
        <f>+W25*W28/100</f>
        <v>191.95748124824865</v>
      </c>
      <c r="X27" s="1145">
        <v>300</v>
      </c>
      <c r="Y27" s="1160">
        <f>O27+S27+W27</f>
        <v>923.51197671401269</v>
      </c>
      <c r="Z27" s="1161">
        <f>P27+T27+X27</f>
        <v>920</v>
      </c>
      <c r="AA27" s="1163">
        <f>+U27+W27</f>
        <v>2019.4042187409423</v>
      </c>
      <c r="AB27" s="1164">
        <f>+V27+X27</f>
        <v>1830</v>
      </c>
      <c r="AC27" s="1600">
        <f>+AC25*AC28/100</f>
        <v>358.98929353785803</v>
      </c>
      <c r="AD27" s="1145">
        <v>310</v>
      </c>
      <c r="AE27" s="2765">
        <f>+AA27+AC27</f>
        <v>2378.3935122788002</v>
      </c>
      <c r="AF27" s="1181">
        <f>+AB27+AD27</f>
        <v>2140</v>
      </c>
      <c r="AG27" s="1600">
        <f>+AG25*AG28/100</f>
        <v>347.48414832392098</v>
      </c>
      <c r="AH27" s="1145">
        <v>10</v>
      </c>
      <c r="AI27" s="2765">
        <f>+AE27+AG27</f>
        <v>2725.8776606027213</v>
      </c>
      <c r="AJ27" s="1181">
        <f>+AF27+AH27</f>
        <v>2150</v>
      </c>
      <c r="AK27" s="1600">
        <f>+AK25*AK28/100</f>
        <v>358.98929353785803</v>
      </c>
      <c r="AL27" s="1145">
        <v>210</v>
      </c>
      <c r="AM27" s="1160">
        <f>AC27+AG27+AK27</f>
        <v>1065.462735399637</v>
      </c>
      <c r="AN27" s="1161">
        <f>AD27+AH27+AL27</f>
        <v>530</v>
      </c>
      <c r="AO27" s="2765">
        <f>+AI27+AK27</f>
        <v>3084.8669541405793</v>
      </c>
      <c r="AP27" s="1181">
        <f>+AJ27+AL27</f>
        <v>2360</v>
      </c>
      <c r="AQ27" s="1600">
        <f>+AQ25*AQ28/100</f>
        <v>358.98929353785803</v>
      </c>
      <c r="AR27" s="1145">
        <v>310</v>
      </c>
      <c r="AS27" s="2765">
        <f>+AO27+AQ27</f>
        <v>3443.8562476784373</v>
      </c>
      <c r="AT27" s="1181">
        <f>+AP27+AR27</f>
        <v>2670</v>
      </c>
      <c r="AU27" s="1600">
        <f>+AU25*AU28/100</f>
        <v>323.03571474430504</v>
      </c>
      <c r="AV27" s="1145">
        <v>300</v>
      </c>
      <c r="AW27" s="2765">
        <f>+AS27+AU27</f>
        <v>3766.8919624227424</v>
      </c>
      <c r="AX27" s="1181">
        <f>+AT27+AV27</f>
        <v>2970</v>
      </c>
      <c r="AY27" s="1600">
        <f>+AY25*AY28/100</f>
        <v>358.98929353785803</v>
      </c>
      <c r="AZ27" s="1145">
        <v>290</v>
      </c>
      <c r="BA27" s="1160">
        <f>AQ27+AU27+AY27</f>
        <v>1041.014301820021</v>
      </c>
      <c r="BB27" s="1161">
        <f>AR27+AV27+AZ27</f>
        <v>900</v>
      </c>
      <c r="BC27" s="1163">
        <f>AM27+BA27</f>
        <v>2106.4770372196581</v>
      </c>
      <c r="BD27" s="1163">
        <f>AN27+BB27</f>
        <v>1430</v>
      </c>
      <c r="BE27" s="2765">
        <f>+AW27+AY27</f>
        <v>4125.8812559606004</v>
      </c>
      <c r="BF27" s="1181">
        <f>+AX27+AZ27</f>
        <v>3260</v>
      </c>
      <c r="BG27" s="26"/>
      <c r="BH27" s="26"/>
      <c r="BI27" s="1546"/>
      <c r="BJ27" s="1546"/>
      <c r="BK27" s="26"/>
    </row>
    <row r="28" spans="1:63" ht="15.6" x14ac:dyDescent="0.3">
      <c r="A28" s="149"/>
      <c r="B28" s="149"/>
      <c r="C28" s="2910" t="s">
        <v>616</v>
      </c>
      <c r="D28" s="2909" t="s">
        <v>49</v>
      </c>
      <c r="E28" s="2908">
        <v>7</v>
      </c>
      <c r="F28" s="1159">
        <f>+F27/F25*100</f>
        <v>5.5258795358261192</v>
      </c>
      <c r="G28" s="2908">
        <v>7</v>
      </c>
      <c r="H28" s="1159">
        <f>+H27/H25*100</f>
        <v>5.3884929601946814</v>
      </c>
      <c r="I28" s="2768">
        <f>+I27/I25*100</f>
        <v>6.9999999999999991</v>
      </c>
      <c r="J28" s="2804">
        <f>+J27/J25*100</f>
        <v>5.4551958504739764</v>
      </c>
      <c r="K28" s="2908">
        <v>7</v>
      </c>
      <c r="L28" s="1159">
        <f>+L27/L25*100</f>
        <v>5.3409293217019762</v>
      </c>
      <c r="M28" s="2766">
        <f>+M27/M25*100</f>
        <v>6.9999999999999991</v>
      </c>
      <c r="N28" s="2798">
        <f>+N27/N25*100</f>
        <v>5.4169891064944338</v>
      </c>
      <c r="O28" s="2908">
        <v>7</v>
      </c>
      <c r="P28" s="1159">
        <f>+P27/P25*100</f>
        <v>5.315500685871057</v>
      </c>
      <c r="Q28" s="2768">
        <f>+Q27/Q25*100</f>
        <v>6.9999999999999991</v>
      </c>
      <c r="R28" s="2804">
        <f>+R27/R25*100</f>
        <v>5.3908355795148255</v>
      </c>
      <c r="S28" s="2908">
        <v>7</v>
      </c>
      <c r="T28" s="1159">
        <f>+T27/T25*100</f>
        <v>5.8457476899868004</v>
      </c>
      <c r="U28" s="2768">
        <f>+U27/U25*100</f>
        <v>6.9999999999999991</v>
      </c>
      <c r="V28" s="2804">
        <f>+V27/V25*100</f>
        <v>5.4771962482995633</v>
      </c>
      <c r="W28" s="2908">
        <v>7</v>
      </c>
      <c r="X28" s="1159">
        <f>+X27/X25*100</f>
        <v>5.9031877213695401</v>
      </c>
      <c r="Y28" s="2766">
        <f>+Y27/Y25*100</f>
        <v>6.9999999999999991</v>
      </c>
      <c r="Z28" s="2798">
        <f>+Z27/Z25*100</f>
        <v>5.6730591354751185</v>
      </c>
      <c r="AA28" s="2767">
        <f>+AA27/AA25*100</f>
        <v>6.9999999999999991</v>
      </c>
      <c r="AB28" s="2791">
        <f>+AB27/AB25*100</f>
        <v>5.5427671432032959</v>
      </c>
      <c r="AC28" s="2908">
        <v>7</v>
      </c>
      <c r="AD28" s="1159">
        <f>+AD27/AD25*100</f>
        <v>5.5545601146747892</v>
      </c>
      <c r="AE28" s="2768">
        <f>+AE27/AE25*100</f>
        <v>6.9999999999999991</v>
      </c>
      <c r="AF28" s="2804">
        <f>+AF27/AF25*100</f>
        <v>5.5444723683187815</v>
      </c>
      <c r="AG28" s="2908">
        <v>7</v>
      </c>
      <c r="AH28" s="1159" t="e">
        <f>+AH27/AH25*100</f>
        <v>#DIV/0!</v>
      </c>
      <c r="AI28" s="2768">
        <f>+AI27/AI25*100</f>
        <v>6.9999999999999991</v>
      </c>
      <c r="AJ28" s="2804">
        <f>+AJ27/AJ25*100</f>
        <v>5.5703811177034481</v>
      </c>
      <c r="AK28" s="2908">
        <v>7</v>
      </c>
      <c r="AL28" s="1159">
        <f>+AL27/AL25*100</f>
        <v>5.1521099116781155</v>
      </c>
      <c r="AM28" s="2766">
        <f>+AM27/AM25*100</f>
        <v>7.0000000000000009</v>
      </c>
      <c r="AN28" s="2798">
        <f>+AN27/AN25*100</f>
        <v>5.488246867557212</v>
      </c>
      <c r="AO28" s="2768">
        <f>+AO27/AO25*100</f>
        <v>6.9999999999999991</v>
      </c>
      <c r="AP28" s="2804">
        <f>+AP27/AP25*100</f>
        <v>5.5304290769338929</v>
      </c>
      <c r="AQ28" s="2908">
        <v>7</v>
      </c>
      <c r="AR28" s="1159">
        <f>+AR27/AR25*100</f>
        <v>4.8780487804878048</v>
      </c>
      <c r="AS28" s="2768">
        <f>+AS27/AS25*100</f>
        <v>6.9999999999999991</v>
      </c>
      <c r="AT28" s="2804">
        <f>+AT27/AT25*100</f>
        <v>5.4458676674553317</v>
      </c>
      <c r="AU28" s="2908">
        <v>7</v>
      </c>
      <c r="AV28" s="1159">
        <f>+AV27/AV25*100</f>
        <v>5.0632911392405067</v>
      </c>
      <c r="AW28" s="2768">
        <f>+AW27/AW25*100</f>
        <v>6.9999999999999991</v>
      </c>
      <c r="AX28" s="2804">
        <f>+AX27/AX25*100</f>
        <v>5.4046184921660325</v>
      </c>
      <c r="AY28" s="2908">
        <v>7</v>
      </c>
      <c r="AZ28" s="1159">
        <f>+AZ27/AZ25*100</f>
        <v>4.282339043118724</v>
      </c>
      <c r="BA28" s="2766">
        <f t="shared" ref="BA28:BF28" si="16">+BA27/BA25*100</f>
        <v>7.0000000000000009</v>
      </c>
      <c r="BB28" s="2798">
        <f t="shared" si="16"/>
        <v>4.7239134998950245</v>
      </c>
      <c r="BC28" s="2767">
        <f t="shared" si="16"/>
        <v>7.0000000000000009</v>
      </c>
      <c r="BD28" s="2791">
        <f t="shared" si="16"/>
        <v>4.9810164060050859</v>
      </c>
      <c r="BE28" s="2768">
        <f t="shared" si="16"/>
        <v>6.9999999999999991</v>
      </c>
      <c r="BF28" s="2804">
        <f t="shared" si="16"/>
        <v>5.2814904819765083</v>
      </c>
      <c r="BG28" s="26"/>
      <c r="BH28" s="26"/>
      <c r="BI28" s="1546"/>
      <c r="BJ28" s="1546"/>
      <c r="BK28" s="26"/>
    </row>
    <row r="29" spans="1:63" ht="15.75" x14ac:dyDescent="0.25">
      <c r="A29" s="149"/>
      <c r="B29" s="149"/>
      <c r="C29" s="2446" t="s">
        <v>622</v>
      </c>
      <c r="D29" s="2909"/>
      <c r="E29" s="6311">
        <v>100</v>
      </c>
      <c r="F29" s="1159"/>
      <c r="G29" s="6311">
        <v>100</v>
      </c>
      <c r="H29" s="1159"/>
      <c r="I29" s="6300">
        <f>+((E29*E25)+(G29*G25))/(I25)</f>
        <v>100</v>
      </c>
      <c r="J29" s="2804"/>
      <c r="K29" s="6311">
        <v>90</v>
      </c>
      <c r="L29" s="1159"/>
      <c r="M29" s="6303">
        <f>+((E29*E25)+(G25*G29)+(K25*K29))/M25</f>
        <v>96.701694469985554</v>
      </c>
      <c r="N29" s="2798"/>
      <c r="O29" s="6311">
        <v>90</v>
      </c>
      <c r="P29" s="1159"/>
      <c r="Q29" s="6300">
        <f>+((M29*M25)+(O29*O25))/(Q25)</f>
        <v>95.02462083907821</v>
      </c>
      <c r="R29" s="2804"/>
      <c r="S29" s="6311">
        <v>90</v>
      </c>
      <c r="T29" s="1159"/>
      <c r="U29" s="6300">
        <f>+((Q29*Q25)+(S29*S25))/(U25)</f>
        <v>94.018905080740453</v>
      </c>
      <c r="V29" s="2804"/>
      <c r="W29" s="6311">
        <v>90</v>
      </c>
      <c r="X29" s="1159"/>
      <c r="Y29" s="6303">
        <f>+((O29*O25)+(S25*S29)+(W25*W29))/Y25</f>
        <v>90</v>
      </c>
      <c r="Z29" s="2798"/>
      <c r="AA29" s="6308">
        <f>+((U29*U25)+(W29*W25))/(AA25)</f>
        <v>93.636882061517625</v>
      </c>
      <c r="AB29" s="2791"/>
      <c r="AC29" s="6296">
        <v>100</v>
      </c>
      <c r="AD29" s="1159"/>
      <c r="AE29" s="6300">
        <f>+((AA29*AA25)+(AC29*AC25))/(AE25)</f>
        <v>94.597316573990369</v>
      </c>
      <c r="AF29" s="2804"/>
      <c r="AG29" s="6296">
        <v>100</v>
      </c>
      <c r="AH29" s="1159"/>
      <c r="AI29" s="6300">
        <f>+((AE29*AE25)+(AG29*AG25))/(AI25)</f>
        <v>95.286029378707951</v>
      </c>
      <c r="AJ29" s="2804"/>
      <c r="AK29" s="6296">
        <v>110</v>
      </c>
      <c r="AL29" s="1159"/>
      <c r="AM29" s="6303">
        <f>+((AC29*AC25)+(AG25*AG29)+(AK25*AK29))/AM25</f>
        <v>103.36932753826632</v>
      </c>
      <c r="AN29" s="2798"/>
      <c r="AO29" s="6300">
        <f>+((AI29*AI25)+(AK29*AK25))/(AO25)</f>
        <v>96.998310004420048</v>
      </c>
      <c r="AP29" s="2804"/>
      <c r="AQ29" s="6296">
        <v>110</v>
      </c>
      <c r="AR29" s="1159"/>
      <c r="AS29" s="6300">
        <f>+((AO29*AO25)+(AQ29*AQ25))/(AS25)</f>
        <v>98.353612656630901</v>
      </c>
      <c r="AT29" s="2804"/>
      <c r="AU29" s="6296">
        <v>110</v>
      </c>
      <c r="AV29" s="1159"/>
      <c r="AW29" s="6300">
        <f>+((AS29*AS25)+(AU29*AU25))/(AW25)</f>
        <v>99.352366827757834</v>
      </c>
      <c r="AX29" s="2804"/>
      <c r="AY29" s="6296">
        <v>110</v>
      </c>
      <c r="AZ29" s="1159"/>
      <c r="BA29" s="6303">
        <f>+((AQ29*AQ25)+(AU25*AU29)+(AY25*AY29))/BA25</f>
        <v>110.00000000000001</v>
      </c>
      <c r="BB29" s="2798"/>
      <c r="BC29" s="6308">
        <f>+((AM29*AM25)+(BA29*BA25))/(BC25)</f>
        <v>106.64618493637009</v>
      </c>
      <c r="BD29" s="2791"/>
      <c r="BE29" s="6300">
        <f>+((AW29*AW25)+(AY29*AY25))/(BE25)</f>
        <v>100.27880801043398</v>
      </c>
      <c r="BF29" s="2804"/>
      <c r="BG29" s="26"/>
      <c r="BH29" s="26"/>
      <c r="BI29" s="1546"/>
      <c r="BJ29" s="1546"/>
      <c r="BK29" s="26"/>
    </row>
    <row r="30" spans="1:63" ht="15.75" x14ac:dyDescent="0.25">
      <c r="A30" s="149"/>
      <c r="B30" s="149"/>
      <c r="C30" s="2784" t="s">
        <v>701</v>
      </c>
      <c r="D30" s="2909"/>
      <c r="E30" s="6311"/>
      <c r="F30" s="4193">
        <v>140.38</v>
      </c>
      <c r="G30" s="6311"/>
      <c r="H30" s="4193">
        <v>126.1</v>
      </c>
      <c r="I30" s="6300"/>
      <c r="J30" s="1182">
        <f>+((F30*F25)+(H25*H30))/(F25+H25)</f>
        <v>133.03311751028437</v>
      </c>
      <c r="K30" s="6311"/>
      <c r="L30" s="4193">
        <v>86.33</v>
      </c>
      <c r="M30" s="6303">
        <f t="shared" ref="M30:M31" si="17">+((E30*E24)+(G24*G30)+(K24*K30))/M24</f>
        <v>0</v>
      </c>
      <c r="N30" s="1168">
        <f>+((F30*F25)+(H25*H30)+(L25*L30))/N25</f>
        <v>117.41722304899099</v>
      </c>
      <c r="O30" s="6311"/>
      <c r="P30" s="4193">
        <v>123.22</v>
      </c>
      <c r="Q30" s="6300"/>
      <c r="R30" s="1182">
        <f>+((N30*N25)+(P25*P30))/(N25+P25)</f>
        <v>118.91259643851353</v>
      </c>
      <c r="S30" s="6311"/>
      <c r="T30" s="4193">
        <v>107.33</v>
      </c>
      <c r="U30" s="6300"/>
      <c r="V30" s="1182">
        <f>+((R30*R25)+(T25*T30))/(R25+T25)</f>
        <v>116.7137524164101</v>
      </c>
      <c r="W30" s="6311"/>
      <c r="X30" s="4193">
        <v>107.75</v>
      </c>
      <c r="Y30" s="6303">
        <f t="shared" ref="Y30:Y31" si="18">+((Q30*Q24)+(S24*S30)+(W24*W30))/Y24</f>
        <v>0</v>
      </c>
      <c r="Z30" s="1168">
        <f>+((P30*P25)+(T25*T30)+(X25*X30))/Z25</f>
        <v>113.17602084232595</v>
      </c>
      <c r="AA30" s="6308"/>
      <c r="AB30" s="1169">
        <f>(N30*N$25+Z30*Z$25)/AB$25</f>
        <v>115.33400351344802</v>
      </c>
      <c r="AC30" s="6297"/>
      <c r="AD30" s="4193">
        <v>115</v>
      </c>
      <c r="AE30" s="6300"/>
      <c r="AF30" s="1182">
        <f>+((AB30*AB25)+(AD25*AD30))/(AB25+AD25)</f>
        <v>115.28570769748944</v>
      </c>
      <c r="AG30" s="6297"/>
      <c r="AH30" s="4193">
        <v>110</v>
      </c>
      <c r="AI30" s="6300"/>
      <c r="AJ30" s="1182">
        <f>+((AF30*AF25)+(AH25*AH30))/(AF25+AH25)</f>
        <v>115.28570769748944</v>
      </c>
      <c r="AK30" s="6297"/>
      <c r="AL30" s="4193">
        <v>127</v>
      </c>
      <c r="AM30" s="6303">
        <f t="shared" ref="AM30:AM31" si="19">+((AE30*AE24)+(AG24*AG30)+(AK24*AK30))/AM24</f>
        <v>0</v>
      </c>
      <c r="AN30" s="1168">
        <f>+((AD30*AD25)+(AH25*AH30)+(AL25*AL30))/AN25</f>
        <v>120.06492699596149</v>
      </c>
      <c r="AO30" s="6300"/>
      <c r="AP30" s="1182">
        <f>+((AJ30*AJ25)+(AL25*AL30))/(AJ25+AL25)</f>
        <v>116.40462259508354</v>
      </c>
      <c r="AQ30" s="6297"/>
      <c r="AR30" s="4193">
        <v>124.16</v>
      </c>
      <c r="AS30" s="6300"/>
      <c r="AT30" s="1182">
        <f>+((AP30*AP25)+(AR25*AR30))/(AP25+AR25)</f>
        <v>117.4098731337195</v>
      </c>
      <c r="AU30" s="6297"/>
      <c r="AV30" s="4193">
        <v>127.59</v>
      </c>
      <c r="AW30" s="6300"/>
      <c r="AX30" s="1182">
        <f>+((AT30*AT25)+(AV25*AV30))/(AT25+AV25)</f>
        <v>118.50748839917748</v>
      </c>
      <c r="AY30" s="6297"/>
      <c r="AZ30" s="4193">
        <v>133.6</v>
      </c>
      <c r="BA30" s="6303">
        <f t="shared" ref="BA30:BA31" si="20">+((AS30*AS24)+(AU24*AU30)+(AY24*AY30))/BA24</f>
        <v>0</v>
      </c>
      <c r="BB30" s="1168">
        <f>+((AR30*AR25)+(AV25*AV30)+(AZ25*AZ30))/BB25</f>
        <v>128.58213048498845</v>
      </c>
      <c r="BC30" s="6308"/>
      <c r="BD30" s="1169">
        <f>(AN30*AN$25+BB30*BB$25)/BD$25</f>
        <v>125.71715315754642</v>
      </c>
      <c r="BE30" s="6300"/>
      <c r="BF30" s="1182">
        <f>+((AX30*AX25)+(AZ25*AZ30))/(AX25+AZ25)</f>
        <v>120.16332458485216</v>
      </c>
      <c r="BG30" s="26"/>
      <c r="BH30" s="26"/>
      <c r="BI30" s="1546"/>
      <c r="BJ30" s="1546"/>
      <c r="BK30" s="26"/>
    </row>
    <row r="31" spans="1:63" ht="16.5" thickBot="1" x14ac:dyDescent="0.3">
      <c r="A31" s="149"/>
      <c r="B31" s="149"/>
      <c r="C31" s="2785" t="s">
        <v>700</v>
      </c>
      <c r="D31" s="2786"/>
      <c r="E31" s="6312"/>
      <c r="F31" s="4194">
        <v>101.85</v>
      </c>
      <c r="G31" s="6312"/>
      <c r="H31" s="4194">
        <v>90.64</v>
      </c>
      <c r="I31" s="6301"/>
      <c r="J31" s="1183">
        <f>+((F31*F25)+(H25*H31))/(F25+H25)</f>
        <v>96.082594348059388</v>
      </c>
      <c r="K31" s="6312"/>
      <c r="L31" s="4194">
        <v>128.47</v>
      </c>
      <c r="M31" s="6304">
        <f t="shared" si="17"/>
        <v>0</v>
      </c>
      <c r="N31" s="1170">
        <f>+((F31*F25)+(H25*H31)+(L25*L31))/N25</f>
        <v>106.91181379844039</v>
      </c>
      <c r="O31" s="6312"/>
      <c r="P31" s="4194">
        <v>88.87</v>
      </c>
      <c r="Q31" s="6301"/>
      <c r="R31" s="1183">
        <f>+((N31*N25)+(P25*P31))/(N25+P25)</f>
        <v>102.26244531836861</v>
      </c>
      <c r="S31" s="6312"/>
      <c r="T31" s="4194">
        <v>78.7</v>
      </c>
      <c r="U31" s="6301"/>
      <c r="V31" s="1183">
        <f>+((R31*R25)+(T25*T31))/(R25+T25)</f>
        <v>97.789342736450209</v>
      </c>
      <c r="W31" s="6312"/>
      <c r="X31" s="4194">
        <v>83.33</v>
      </c>
      <c r="Y31" s="6304">
        <f t="shared" si="18"/>
        <v>0</v>
      </c>
      <c r="Z31" s="1170">
        <f>+((P31*P25)+(T25*T31)+(X25*X31))/Z25</f>
        <v>83.808287599432688</v>
      </c>
      <c r="AA31" s="6309"/>
      <c r="AB31" s="1171">
        <f>(N31*N$25+Z31*Z$25)/AB$25</f>
        <v>95.563683062757448</v>
      </c>
      <c r="AC31" s="6298"/>
      <c r="AD31" s="4194">
        <v>91</v>
      </c>
      <c r="AE31" s="6301"/>
      <c r="AF31" s="1183">
        <f>+((AB31*AB25)+(AD25*AD31))/(AB25+AD25)</f>
        <v>94.903789413685004</v>
      </c>
      <c r="AG31" s="6298"/>
      <c r="AH31" s="4194">
        <v>85</v>
      </c>
      <c r="AI31" s="6301"/>
      <c r="AJ31" s="1183">
        <f>+((AF31*AF25)+(AH25*AH31))/(AF25+AH25)</f>
        <v>94.903789413685004</v>
      </c>
      <c r="AK31" s="6298"/>
      <c r="AL31" s="4194">
        <v>88</v>
      </c>
      <c r="AM31" s="6304">
        <f t="shared" si="19"/>
        <v>0</v>
      </c>
      <c r="AN31" s="1170">
        <f>+((AD31*AD25)+(AH25*AH31)+(AL25*AL31))/AN25</f>
        <v>89.733768251009636</v>
      </c>
      <c r="AO31" s="6301"/>
      <c r="AP31" s="1183">
        <f>+((AJ31*AJ25)+(AL25*AL31))/(AJ25+AL25)</f>
        <v>94.244359665362168</v>
      </c>
      <c r="AQ31" s="6298"/>
      <c r="AR31" s="4194">
        <v>97</v>
      </c>
      <c r="AS31" s="6301"/>
      <c r="AT31" s="1183">
        <f>+((AP31*AP25)+(AR25*AR31))/(AP25+AR25)</f>
        <v>94.601545239454992</v>
      </c>
      <c r="AU31" s="6298"/>
      <c r="AV31" s="4194">
        <v>95.92</v>
      </c>
      <c r="AW31" s="6301"/>
      <c r="AX31" s="1183">
        <f>+((AT31*AT25)+(AV25*AV31))/(AT25+AV25)</f>
        <v>94.743700252943412</v>
      </c>
      <c r="AY31" s="6298"/>
      <c r="AZ31" s="4194">
        <v>97.5</v>
      </c>
      <c r="BA31" s="6304">
        <f t="shared" si="20"/>
        <v>0</v>
      </c>
      <c r="BB31" s="1170">
        <f>+((AR31*AR25)+(AV25*AV31)+(AZ25*AZ31))/BB25</f>
        <v>96.841853873609068</v>
      </c>
      <c r="BC31" s="6309"/>
      <c r="BD31" s="1171">
        <f>(AN31*AN$25+BB31*BB$25)/BD$25</f>
        <v>94.450869065449865</v>
      </c>
      <c r="BE31" s="6301"/>
      <c r="BF31" s="1183">
        <f>+((AX31*AX25)+(AZ25*AZ31))/(AX25+AZ25)</f>
        <v>95.046100607533404</v>
      </c>
      <c r="BG31" s="26"/>
      <c r="BH31" s="26"/>
      <c r="BI31" s="1546"/>
      <c r="BJ31" s="1546"/>
      <c r="BK31" s="26"/>
    </row>
    <row r="32" spans="1:63" thickBot="1" x14ac:dyDescent="0.35">
      <c r="A32" s="149"/>
      <c r="B32" s="149"/>
      <c r="C32" s="600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26"/>
      <c r="BH32" s="26"/>
      <c r="BI32" s="1546"/>
      <c r="BJ32" s="1546"/>
      <c r="BK32" s="26"/>
    </row>
    <row r="33" spans="1:63" ht="16.149999999999999" thickBot="1" x14ac:dyDescent="0.35">
      <c r="A33" s="149"/>
      <c r="B33" s="149"/>
      <c r="C33" s="523" t="s">
        <v>269</v>
      </c>
      <c r="D33" s="1342" t="s">
        <v>50</v>
      </c>
      <c r="E33" s="524">
        <f>+SMS!E5</f>
        <v>237110.48158640199</v>
      </c>
      <c r="F33" s="525">
        <f>+SMS!F5</f>
        <v>207020</v>
      </c>
      <c r="G33" s="524">
        <f>+SMS!G5</f>
        <v>244664.77809253999</v>
      </c>
      <c r="H33" s="525">
        <f>+SMS!H5</f>
        <v>236638</v>
      </c>
      <c r="I33" s="524">
        <f>+SMS!I5</f>
        <v>481775.25967894198</v>
      </c>
      <c r="J33" s="525">
        <f>+SMS!J5</f>
        <v>443658</v>
      </c>
      <c r="K33" s="524">
        <f>+SMS!K5</f>
        <v>237110.48158640199</v>
      </c>
      <c r="L33" s="525">
        <f>+SMS!L5</f>
        <v>243453</v>
      </c>
      <c r="M33" s="1515">
        <f>+SMS!M5</f>
        <v>718885.74126534397</v>
      </c>
      <c r="N33" s="1516">
        <f>+SMS!N5</f>
        <v>687111</v>
      </c>
      <c r="O33" s="524">
        <f>+SMS!O5</f>
        <v>239943.34277620399</v>
      </c>
      <c r="P33" s="525">
        <f>+SMS!P5</f>
        <v>253662</v>
      </c>
      <c r="Q33" s="524">
        <f>+SMS!Q5</f>
        <v>958829.08404154796</v>
      </c>
      <c r="R33" s="525">
        <f>+SMS!R5</f>
        <v>940773</v>
      </c>
      <c r="S33" s="524">
        <f>+SMS!S5</f>
        <v>239943.34277620399</v>
      </c>
      <c r="T33" s="525">
        <f>+SMS!T5</f>
        <v>237622</v>
      </c>
      <c r="U33" s="524">
        <f>+SMS!U5</f>
        <v>1198772.426817752</v>
      </c>
      <c r="V33" s="525">
        <f>+SMS!V5</f>
        <v>1178395</v>
      </c>
      <c r="W33" s="524">
        <f>+SMS!W5</f>
        <v>125920.679886686</v>
      </c>
      <c r="X33" s="525">
        <f>+SMS!X5</f>
        <v>226847</v>
      </c>
      <c r="Y33" s="1515">
        <f>+SMS!Y5</f>
        <v>605807.36543909402</v>
      </c>
      <c r="Z33" s="1516">
        <f>+SMS!Z5</f>
        <v>718131</v>
      </c>
      <c r="AA33" s="525">
        <f>+SMS!AA5</f>
        <v>1324693.1067044381</v>
      </c>
      <c r="AB33" s="525">
        <f>+SMS!AB5</f>
        <v>1405242</v>
      </c>
      <c r="AC33" s="524">
        <f>+SMS!AC5</f>
        <v>235490.56603773599</v>
      </c>
      <c r="AD33" s="525">
        <f>+SMS!AD5</f>
        <v>222138</v>
      </c>
      <c r="AE33" s="524">
        <f>+SMS!AE5</f>
        <v>1560183.672742174</v>
      </c>
      <c r="AF33" s="525">
        <f>+SMS!AF5</f>
        <v>1627380</v>
      </c>
      <c r="AG33" s="524">
        <f>+SMS!AG5</f>
        <v>227943.396226415</v>
      </c>
      <c r="AH33" s="525">
        <f>+SMS!AH5</f>
        <v>7935</v>
      </c>
      <c r="AI33" s="524">
        <f>+SMS!AI5</f>
        <v>1788127.068968589</v>
      </c>
      <c r="AJ33" s="525">
        <f>+SMS!AJ5</f>
        <v>1635315</v>
      </c>
      <c r="AK33" s="524">
        <f>+SMS!AK5</f>
        <v>235490.56603773599</v>
      </c>
      <c r="AL33" s="525">
        <f>+SMS!AL5</f>
        <v>234930</v>
      </c>
      <c r="AM33" s="1515">
        <f>+SMS!AM5</f>
        <v>698924.52830188698</v>
      </c>
      <c r="AN33" s="1516">
        <f>+SMS!AN5</f>
        <v>465003</v>
      </c>
      <c r="AO33" s="524">
        <f>+SMS!AO5</f>
        <v>2023617.6350063249</v>
      </c>
      <c r="AP33" s="525">
        <f>+SMS!AP5</f>
        <v>1870245</v>
      </c>
      <c r="AQ33" s="524">
        <f>+SMS!AQ5</f>
        <v>235490.56603773599</v>
      </c>
      <c r="AR33" s="525">
        <f>+SMS!AR5</f>
        <v>246040</v>
      </c>
      <c r="AS33" s="524">
        <f>+SMS!AS5</f>
        <v>2259108.2010440608</v>
      </c>
      <c r="AT33" s="525">
        <f>+SMS!AT5</f>
        <v>2116285</v>
      </c>
      <c r="AU33" s="524">
        <f>+SMS!AU5</f>
        <v>211905.660377358</v>
      </c>
      <c r="AV33" s="525">
        <f>+SMS!AV5</f>
        <v>222895</v>
      </c>
      <c r="AW33" s="524">
        <f>+SMS!AW5</f>
        <v>2471013.8614214188</v>
      </c>
      <c r="AX33" s="525">
        <f>+SMS!AX5</f>
        <v>2339180</v>
      </c>
      <c r="AY33" s="524">
        <f>+SMS!AY5</f>
        <v>235490.56603773599</v>
      </c>
      <c r="AZ33" s="525">
        <f>+SMS!AZ5</f>
        <v>243552</v>
      </c>
      <c r="BA33" s="1515">
        <f>+SMS!BA5</f>
        <v>682886.79245283001</v>
      </c>
      <c r="BB33" s="1516">
        <f>+SMS!BB5</f>
        <v>712487</v>
      </c>
      <c r="BC33" s="525">
        <f>+SMS!BC5</f>
        <v>1381811.3207547171</v>
      </c>
      <c r="BD33" s="525">
        <f>+SMS!BD5</f>
        <v>1177490</v>
      </c>
      <c r="BE33" s="1771">
        <f>+SMS!BE5</f>
        <v>2706504.4274591547</v>
      </c>
      <c r="BF33" s="1771">
        <f>+SMS!BF5</f>
        <v>2582732</v>
      </c>
      <c r="BG33" s="26"/>
      <c r="BH33" s="26"/>
      <c r="BI33" s="1546"/>
      <c r="BJ33" s="1546"/>
      <c r="BK33" s="26"/>
    </row>
    <row r="34" spans="1:63" ht="16.5" hidden="1" customHeight="1" thickBot="1" x14ac:dyDescent="0.35">
      <c r="C34" s="1349" t="s">
        <v>536</v>
      </c>
      <c r="D34" s="1350"/>
      <c r="E34" s="93"/>
      <c r="F34" s="93"/>
      <c r="G34" s="31"/>
      <c r="H34" s="31"/>
      <c r="I34" s="31"/>
      <c r="M34" s="31"/>
      <c r="N34" s="31"/>
      <c r="Q34" s="31"/>
      <c r="R34" s="31"/>
      <c r="U34" s="31"/>
      <c r="V34" s="31"/>
      <c r="Y34" s="31"/>
      <c r="Z34" s="31"/>
      <c r="AA34" s="31"/>
      <c r="AB34" s="31"/>
      <c r="BG34" s="26"/>
      <c r="BH34" s="26"/>
      <c r="BI34" s="1546"/>
      <c r="BJ34" s="1546"/>
    </row>
    <row r="35" spans="1:63" ht="15.75" hidden="1" customHeight="1" x14ac:dyDescent="0.3">
      <c r="C35" s="1208" t="s">
        <v>531</v>
      </c>
      <c r="D35" s="1487" t="s">
        <v>532</v>
      </c>
      <c r="E35" s="1346">
        <v>243.42745861733204</v>
      </c>
      <c r="F35" s="93"/>
      <c r="G35" s="31"/>
      <c r="H35" s="31"/>
      <c r="I35" s="31"/>
      <c r="M35" s="31"/>
      <c r="N35" s="31"/>
      <c r="Q35" s="31"/>
      <c r="R35" s="31"/>
      <c r="U35" s="31"/>
      <c r="V35" s="31"/>
      <c r="Y35" s="31"/>
      <c r="Z35" s="31"/>
      <c r="AA35" s="31"/>
      <c r="AB35" s="31"/>
      <c r="BG35" s="26"/>
      <c r="BH35" s="26"/>
      <c r="BI35" s="1546"/>
      <c r="BJ35" s="1546"/>
    </row>
    <row r="36" spans="1:63" ht="15.75" hidden="1" customHeight="1" x14ac:dyDescent="0.3">
      <c r="C36" s="1351" t="s">
        <v>533</v>
      </c>
      <c r="D36" s="1488" t="s">
        <v>532</v>
      </c>
      <c r="E36" s="1346">
        <v>52.349991100501505</v>
      </c>
      <c r="F36" s="93"/>
      <c r="G36" s="31"/>
      <c r="H36" s="31"/>
      <c r="I36" s="31"/>
      <c r="M36" s="31"/>
      <c r="N36" s="31"/>
      <c r="Q36" s="31"/>
      <c r="R36" s="31"/>
      <c r="U36" s="31"/>
      <c r="V36" s="31"/>
      <c r="Y36" s="31"/>
      <c r="Z36" s="31"/>
      <c r="AA36" s="31"/>
      <c r="AB36" s="31"/>
      <c r="BG36" s="26"/>
      <c r="BH36" s="26"/>
      <c r="BI36" s="1546"/>
      <c r="BJ36" s="1546"/>
    </row>
    <row r="37" spans="1:63" ht="15.75" hidden="1" customHeight="1" x14ac:dyDescent="0.3">
      <c r="C37" s="1352" t="s">
        <v>525</v>
      </c>
      <c r="D37" s="1309" t="s">
        <v>535</v>
      </c>
      <c r="E37" s="347">
        <v>310</v>
      </c>
      <c r="F37" s="93"/>
      <c r="G37" s="31"/>
      <c r="H37" s="31"/>
      <c r="I37" s="31"/>
      <c r="M37" s="31"/>
      <c r="N37" s="31"/>
      <c r="Q37" s="31"/>
      <c r="R37" s="31"/>
      <c r="U37" s="31"/>
      <c r="V37" s="31"/>
      <c r="Y37" s="31"/>
      <c r="Z37" s="31"/>
      <c r="AA37" s="31"/>
      <c r="AB37" s="31"/>
      <c r="BG37" s="26"/>
      <c r="BH37" s="26"/>
      <c r="BI37" s="1546"/>
      <c r="BJ37" s="1546"/>
    </row>
    <row r="38" spans="1:63" ht="16.5" hidden="1" customHeight="1" thickBot="1" x14ac:dyDescent="0.35">
      <c r="C38" s="1205" t="s">
        <v>530</v>
      </c>
      <c r="D38" s="1489" t="s">
        <v>535</v>
      </c>
      <c r="E38" s="347">
        <v>100</v>
      </c>
      <c r="F38" s="93"/>
      <c r="G38" s="31"/>
      <c r="H38" s="31"/>
      <c r="I38" s="31"/>
      <c r="M38" s="31"/>
      <c r="N38" s="31"/>
      <c r="Q38" s="31"/>
      <c r="R38" s="31"/>
      <c r="U38" s="31"/>
      <c r="V38" s="31"/>
      <c r="Y38" s="31"/>
      <c r="Z38" s="31"/>
      <c r="AA38" s="31"/>
      <c r="AB38" s="31"/>
      <c r="BG38" s="26"/>
      <c r="BH38" s="26"/>
      <c r="BI38" s="1546"/>
      <c r="BJ38" s="1546"/>
    </row>
    <row r="39" spans="1:63" ht="11.25" hidden="1" customHeight="1" x14ac:dyDescent="0.3">
      <c r="C39" s="4"/>
      <c r="D39" s="4"/>
      <c r="G39" s="4"/>
      <c r="H39" s="4"/>
      <c r="I39" s="4"/>
      <c r="M39" s="4"/>
      <c r="N39" s="4"/>
      <c r="Q39" s="4"/>
      <c r="R39" s="4"/>
      <c r="U39" s="4"/>
      <c r="V39" s="4"/>
      <c r="Y39" s="4"/>
      <c r="Z39" s="4"/>
      <c r="AA39" s="4"/>
      <c r="AB39" s="4"/>
      <c r="BG39" s="26"/>
      <c r="BH39" s="26"/>
      <c r="BI39" s="1546"/>
      <c r="BJ39" s="1546"/>
    </row>
    <row r="40" spans="1:63" ht="15" customHeight="1" x14ac:dyDescent="0.3">
      <c r="C40" s="4"/>
      <c r="D40" s="4"/>
      <c r="G40" s="4"/>
      <c r="H40" s="4"/>
      <c r="I40" s="4"/>
      <c r="M40" s="4"/>
      <c r="N40" s="4"/>
      <c r="Q40" s="4"/>
      <c r="R40" s="4"/>
      <c r="U40" s="4"/>
      <c r="V40" s="4"/>
      <c r="Y40" s="4"/>
      <c r="Z40" s="4"/>
      <c r="AA40" s="4"/>
      <c r="AB40" s="4"/>
      <c r="BI40" s="1546"/>
      <c r="BJ40" s="1546"/>
    </row>
    <row r="41" spans="1:63" ht="15" customHeight="1" x14ac:dyDescent="0.3">
      <c r="C41" s="2491"/>
      <c r="D41" s="2491"/>
      <c r="G41" s="4"/>
      <c r="H41" s="4"/>
      <c r="I41" s="4"/>
      <c r="M41" s="4"/>
      <c r="N41" s="4"/>
      <c r="P41" s="4"/>
      <c r="Q41" s="4"/>
      <c r="R41" s="4"/>
      <c r="T41" s="4"/>
      <c r="U41" s="4"/>
      <c r="V41" s="4"/>
      <c r="X41" s="4"/>
      <c r="Y41" s="4"/>
      <c r="Z41" s="4"/>
      <c r="AA41" s="4"/>
      <c r="AB41" s="4"/>
      <c r="BI41" s="1546"/>
      <c r="BJ41" s="1546"/>
    </row>
    <row r="42" spans="1:63" ht="15" customHeight="1" x14ac:dyDescent="0.3">
      <c r="C42" s="4"/>
      <c r="D42" s="4"/>
      <c r="E42" s="4"/>
      <c r="F42" s="25"/>
      <c r="G42" s="4"/>
      <c r="H42" s="25"/>
      <c r="I42" s="4"/>
      <c r="J42" s="4"/>
      <c r="K42" s="4"/>
      <c r="L42" s="25">
        <f>+L7-RMHP!K60</f>
        <v>0</v>
      </c>
      <c r="M42" s="4"/>
      <c r="N42" s="4"/>
      <c r="P42" s="25">
        <f>+P7-RMHP!O60</f>
        <v>0</v>
      </c>
      <c r="Q42" s="4"/>
      <c r="R42" s="4"/>
      <c r="T42" s="25">
        <f>+T7-RMHP!S60</f>
        <v>0</v>
      </c>
      <c r="U42" s="4"/>
      <c r="V42" s="4"/>
      <c r="X42" s="25">
        <f>+X7-RMHP!W60</f>
        <v>0</v>
      </c>
      <c r="Y42" s="4"/>
      <c r="Z42" s="4"/>
      <c r="BI42" s="1546"/>
      <c r="BJ42" s="1546"/>
    </row>
    <row r="43" spans="1:63" ht="15" customHeight="1" x14ac:dyDescent="0.3">
      <c r="C43" s="4"/>
      <c r="D43" s="4"/>
      <c r="E43" s="4"/>
      <c r="F43" s="25"/>
      <c r="G43" s="4"/>
      <c r="H43" s="25"/>
      <c r="I43" s="4"/>
      <c r="J43" s="4"/>
      <c r="K43" s="4"/>
      <c r="L43" s="25">
        <f>+L21-RMHP!K61</f>
        <v>0</v>
      </c>
      <c r="M43" s="4"/>
      <c r="N43" s="4"/>
      <c r="P43" s="25">
        <f>+P21-RMHP!O61</f>
        <v>0</v>
      </c>
      <c r="Q43" s="4"/>
      <c r="R43" s="4"/>
      <c r="T43" s="25">
        <f>+T21-RMHP!S61</f>
        <v>0</v>
      </c>
      <c r="U43" s="4"/>
      <c r="V43" s="4"/>
      <c r="X43" s="25">
        <f>+X21-RMHP!W61</f>
        <v>0</v>
      </c>
      <c r="Y43" s="4"/>
      <c r="Z43" s="4"/>
      <c r="BI43" s="1546"/>
      <c r="BJ43" s="1546"/>
    </row>
    <row r="44" spans="1:63" ht="15" customHeight="1" x14ac:dyDescent="0.3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1546"/>
      <c r="BJ44" s="1546"/>
    </row>
    <row r="45" spans="1:63" ht="15" customHeight="1" x14ac:dyDescent="0.3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1546"/>
      <c r="BJ45" s="1546"/>
    </row>
    <row r="46" spans="1:63" ht="15" customHeight="1" x14ac:dyDescent="0.3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1546"/>
      <c r="BJ46" s="1546"/>
    </row>
    <row r="47" spans="1:63" ht="15" customHeight="1" x14ac:dyDescent="0.3">
      <c r="C47" s="4"/>
      <c r="D47" s="4"/>
      <c r="G47" s="4"/>
      <c r="H47" s="4"/>
      <c r="I47" s="4"/>
      <c r="J47" s="4"/>
      <c r="K47" s="357"/>
      <c r="L47" s="153"/>
      <c r="M47" s="4"/>
      <c r="N47" s="4"/>
      <c r="P47" s="4"/>
      <c r="Q47" s="4"/>
      <c r="R47" s="4"/>
      <c r="T47" s="4"/>
      <c r="U47" s="4"/>
      <c r="V47" s="4"/>
      <c r="Y47" s="4"/>
      <c r="Z47" s="4"/>
      <c r="BI47" s="1546"/>
      <c r="BJ47" s="1546"/>
    </row>
    <row r="48" spans="1:63" ht="15" customHeight="1" x14ac:dyDescent="0.3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1546"/>
      <c r="BJ48" s="1546"/>
    </row>
    <row r="49" spans="3:62" ht="15" customHeight="1" x14ac:dyDescent="0.3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1546"/>
      <c r="BJ49" s="1546"/>
    </row>
    <row r="50" spans="3:62" ht="15" customHeight="1" x14ac:dyDescent="0.3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1546"/>
      <c r="BJ50" s="1546"/>
    </row>
    <row r="51" spans="3:62" ht="15" customHeight="1" x14ac:dyDescent="0.3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1546"/>
      <c r="BJ51" s="1546"/>
    </row>
    <row r="52" spans="3:62" ht="15" customHeight="1" x14ac:dyDescent="0.3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1546"/>
      <c r="BJ52" s="1546"/>
    </row>
    <row r="53" spans="3:62" ht="15" customHeight="1" x14ac:dyDescent="0.3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1546"/>
      <c r="BJ53" s="1546"/>
    </row>
    <row r="54" spans="3:62" ht="15" customHeight="1" x14ac:dyDescent="0.25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1546"/>
      <c r="BJ54" s="1546"/>
    </row>
    <row r="55" spans="3:62" ht="15" customHeight="1" x14ac:dyDescent="0.25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1546"/>
      <c r="BJ55" s="1546"/>
    </row>
    <row r="56" spans="3:62" ht="15" customHeight="1" x14ac:dyDescent="0.25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1546"/>
      <c r="BJ56" s="1546"/>
    </row>
    <row r="57" spans="3:62" ht="15" customHeight="1" x14ac:dyDescent="0.25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1546"/>
      <c r="BJ57" s="1546"/>
    </row>
    <row r="58" spans="3:62" ht="15" customHeight="1" x14ac:dyDescent="0.25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1546"/>
      <c r="BJ58" s="1546"/>
    </row>
    <row r="59" spans="3:62" ht="15" customHeight="1" x14ac:dyDescent="0.25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1546"/>
      <c r="BJ59" s="1546"/>
    </row>
    <row r="60" spans="3:62" ht="15" customHeight="1" x14ac:dyDescent="0.25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1546"/>
      <c r="BJ60" s="1546"/>
    </row>
    <row r="61" spans="3:62" ht="15" customHeight="1" x14ac:dyDescent="0.25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1546"/>
      <c r="BJ61" s="1546"/>
    </row>
    <row r="62" spans="3:62" ht="15" customHeight="1" x14ac:dyDescent="0.25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1546"/>
      <c r="BJ62" s="1546"/>
    </row>
    <row r="63" spans="3:62" ht="15" customHeight="1" x14ac:dyDescent="0.25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1546"/>
      <c r="BJ63" s="1546"/>
    </row>
    <row r="64" spans="3:62" ht="15" customHeight="1" x14ac:dyDescent="0.25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1546"/>
      <c r="BJ64" s="1546"/>
    </row>
    <row r="65" spans="3:62" ht="15" customHeight="1" x14ac:dyDescent="0.25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1546"/>
      <c r="BJ65" s="1546"/>
    </row>
    <row r="66" spans="3:62" ht="15" customHeight="1" x14ac:dyDescent="0.25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25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25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25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25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25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25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25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25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Q4:AR4"/>
    <mergeCell ref="AQ15:AQ19"/>
    <mergeCell ref="AQ29:AQ31"/>
    <mergeCell ref="AS4:AT4"/>
    <mergeCell ref="AS15:AS19"/>
    <mergeCell ref="AS29:AS31"/>
    <mergeCell ref="S4:T4"/>
    <mergeCell ref="U4:V4"/>
    <mergeCell ref="S15:S19"/>
    <mergeCell ref="U15:U19"/>
    <mergeCell ref="S29:S31"/>
    <mergeCell ref="U29:U31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C2:C3"/>
    <mergeCell ref="C4:C5"/>
    <mergeCell ref="D4:D5"/>
    <mergeCell ref="E4:F4"/>
    <mergeCell ref="G4:H4"/>
    <mergeCell ref="C8:C9"/>
    <mergeCell ref="C22:C23"/>
    <mergeCell ref="M4:N4"/>
    <mergeCell ref="E15:E19"/>
    <mergeCell ref="G15:G19"/>
    <mergeCell ref="I15:I19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AC4:AD4"/>
    <mergeCell ref="AC15:AC19"/>
    <mergeCell ref="AC29:AC31"/>
    <mergeCell ref="AE4:AF4"/>
    <mergeCell ref="AE15:AE19"/>
    <mergeCell ref="AE29:AE31"/>
    <mergeCell ref="AG4:AH4"/>
    <mergeCell ref="AI4:AJ4"/>
    <mergeCell ref="AG15:AG19"/>
    <mergeCell ref="AI15:AI19"/>
    <mergeCell ref="AG29:AG31"/>
    <mergeCell ref="AI29:AI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U4:AV4"/>
    <mergeCell ref="AW4:AX4"/>
    <mergeCell ref="AU15:AU19"/>
    <mergeCell ref="AW15:AW19"/>
    <mergeCell ref="AU29:AU31"/>
    <mergeCell ref="AW29:AW31"/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</mergeCells>
  <pageMargins left="0.7" right="0.7" top="0.75" bottom="0.75" header="0.3" footer="0.3"/>
  <pageSetup scale="78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003300"/>
    <pageSetUpPr fitToPage="1"/>
  </sheetPr>
  <dimension ref="A1:BJ42"/>
  <sheetViews>
    <sheetView zoomScaleNormal="100" workbookViewId="0">
      <pane xSplit="3" topLeftCell="K1" activePane="topRight" state="frozen"/>
      <selection pane="topRight" activeCell="BK14" sqref="BK14"/>
    </sheetView>
  </sheetViews>
  <sheetFormatPr defaultColWidth="8.85546875" defaultRowHeight="15" x14ac:dyDescent="0.25"/>
  <cols>
    <col min="1" max="1" width="9.140625"/>
    <col min="2" max="2" width="28.140625" customWidth="1"/>
    <col min="3" max="3" width="16.42578125" bestFit="1" customWidth="1"/>
    <col min="4" max="4" width="10.28515625" customWidth="1"/>
    <col min="5" max="5" width="10" customWidth="1"/>
    <col min="6" max="6" width="7.7109375" customWidth="1"/>
    <col min="7" max="7" width="11" customWidth="1"/>
    <col min="8" max="9" width="7.7109375" hidden="1" customWidth="1"/>
    <col min="10" max="11" width="7.85546875" customWidth="1"/>
    <col min="12" max="13" width="9" customWidth="1"/>
    <col min="14" max="15" width="7.7109375" customWidth="1"/>
    <col min="16" max="17" width="9" hidden="1" customWidth="1"/>
    <col min="18" max="18" width="11.5703125" customWidth="1"/>
    <col min="19" max="19" width="7.7109375" customWidth="1"/>
    <col min="20" max="21" width="9" hidden="1" customWidth="1"/>
    <col min="22" max="23" width="7.7109375" customWidth="1"/>
    <col min="24" max="25" width="9.7109375" customWidth="1"/>
    <col min="26" max="27" width="9" customWidth="1"/>
    <col min="28" max="41" width="8.85546875" hidden="1" customWidth="1"/>
    <col min="42" max="42" width="7.7109375" hidden="1" customWidth="1"/>
    <col min="43" max="58" width="8.85546875" hidden="1" customWidth="1"/>
  </cols>
  <sheetData>
    <row r="1" spans="1:62" ht="18" x14ac:dyDescent="0.35">
      <c r="A1" s="2220"/>
      <c r="B1" s="2221" t="s">
        <v>99</v>
      </c>
      <c r="C1" s="2222"/>
      <c r="D1" s="2222"/>
      <c r="E1" s="2222"/>
      <c r="F1" s="2222"/>
      <c r="G1" s="2222"/>
      <c r="H1" s="2222"/>
      <c r="I1" s="2222"/>
      <c r="J1" s="2223"/>
      <c r="K1" s="2224"/>
      <c r="L1" s="2224"/>
      <c r="M1" s="2224"/>
      <c r="N1" s="2223"/>
      <c r="O1" s="2223"/>
      <c r="P1" s="2224"/>
      <c r="Q1" s="2224"/>
      <c r="R1" s="2223"/>
      <c r="S1" s="2223"/>
      <c r="T1" s="2224"/>
      <c r="U1" s="2224"/>
      <c r="V1" s="2224"/>
      <c r="W1" s="2224"/>
      <c r="X1" s="2224"/>
      <c r="Y1" s="2224"/>
      <c r="Z1" s="2224"/>
      <c r="AA1" s="2224"/>
    </row>
    <row r="2" spans="1:62" ht="18.600000000000001" thickBot="1" x14ac:dyDescent="0.4">
      <c r="A2" s="2224"/>
      <c r="B2" s="2226"/>
      <c r="C2" s="2226"/>
      <c r="D2" s="2227">
        <v>30</v>
      </c>
      <c r="E2" s="2227">
        <v>30</v>
      </c>
      <c r="F2" s="2227">
        <v>31</v>
      </c>
      <c r="G2" s="2227">
        <v>31</v>
      </c>
      <c r="H2" s="2227">
        <f>+D2+F2</f>
        <v>61</v>
      </c>
      <c r="I2" s="2227">
        <f>+E2+G2</f>
        <v>61</v>
      </c>
      <c r="J2" s="272">
        <v>30</v>
      </c>
      <c r="K2" s="2227">
        <v>30</v>
      </c>
      <c r="L2" s="2227">
        <f>+H2+J2</f>
        <v>91</v>
      </c>
      <c r="M2" s="2227">
        <f>+I2+K2</f>
        <v>91</v>
      </c>
      <c r="N2" s="272">
        <v>31</v>
      </c>
      <c r="O2" s="272">
        <v>31</v>
      </c>
      <c r="P2" s="2227">
        <f>+L2+N2</f>
        <v>122</v>
      </c>
      <c r="Q2" s="2227">
        <f>+M2+O2</f>
        <v>122</v>
      </c>
      <c r="R2" s="272">
        <v>31</v>
      </c>
      <c r="S2" s="272">
        <v>31</v>
      </c>
      <c r="T2" s="2227">
        <f>+P2+R2</f>
        <v>153</v>
      </c>
      <c r="U2" s="2227">
        <f>+Q2+S2</f>
        <v>153</v>
      </c>
      <c r="V2" s="2227">
        <v>30</v>
      </c>
      <c r="W2" s="2227">
        <v>30</v>
      </c>
      <c r="X2" s="2227">
        <f>+N2+R2+V2</f>
        <v>92</v>
      </c>
      <c r="Y2" s="2227">
        <f>+O2+S2+W2</f>
        <v>92</v>
      </c>
      <c r="Z2" s="2227">
        <f>+T2+V2</f>
        <v>183</v>
      </c>
      <c r="AA2" s="2227">
        <f>+U2+W2</f>
        <v>183</v>
      </c>
      <c r="AB2" s="2227">
        <v>31</v>
      </c>
      <c r="AC2" s="2227">
        <v>31</v>
      </c>
      <c r="AD2" s="2227">
        <f>+Z2+AB2</f>
        <v>214</v>
      </c>
      <c r="AE2" s="2227">
        <f>+AA2+AC2</f>
        <v>214</v>
      </c>
      <c r="AF2" s="2227">
        <v>30</v>
      </c>
      <c r="AG2" s="2227">
        <v>30</v>
      </c>
      <c r="AH2" s="2227">
        <f>+AD2+AF2</f>
        <v>244</v>
      </c>
      <c r="AI2" s="2227">
        <f>+AE2+AG2</f>
        <v>244</v>
      </c>
      <c r="AJ2" s="2227">
        <v>31</v>
      </c>
      <c r="AK2" s="2227">
        <v>31</v>
      </c>
      <c r="AL2" s="2227">
        <f>+AB2+AF2+AJ2</f>
        <v>92</v>
      </c>
      <c r="AM2" s="2227">
        <f>+AC2+AG2+AK2</f>
        <v>92</v>
      </c>
      <c r="AN2" s="2227">
        <f>+AH2+AJ2</f>
        <v>275</v>
      </c>
      <c r="AO2" s="2227">
        <f>+AI2+AK2</f>
        <v>275</v>
      </c>
      <c r="AP2" s="2227">
        <v>31</v>
      </c>
      <c r="AQ2" s="2227">
        <v>31</v>
      </c>
      <c r="AR2" s="2227">
        <f>+AN2+AP2</f>
        <v>306</v>
      </c>
      <c r="AS2" s="2227">
        <f>+AO2+AQ2</f>
        <v>306</v>
      </c>
      <c r="AT2" s="2227">
        <v>28</v>
      </c>
      <c r="AU2" s="2227">
        <v>28</v>
      </c>
      <c r="AV2" s="2227">
        <f>+AR2+AT2</f>
        <v>334</v>
      </c>
      <c r="AW2" s="2227">
        <f>+AS2+AU2</f>
        <v>334</v>
      </c>
      <c r="AX2" s="2227">
        <v>31</v>
      </c>
      <c r="AY2" s="2227">
        <v>31</v>
      </c>
      <c r="AZ2" s="2227">
        <f>+AP2+AT2+AX2</f>
        <v>90</v>
      </c>
      <c r="BA2" s="2227">
        <f>+AQ2+AU2+AY2</f>
        <v>90</v>
      </c>
      <c r="BB2" s="2227">
        <f>+AL2+AZ2</f>
        <v>182</v>
      </c>
      <c r="BC2" s="2227">
        <f>+AM2+BA2</f>
        <v>182</v>
      </c>
      <c r="BD2" s="2227">
        <f>+AV2+AX2</f>
        <v>365</v>
      </c>
      <c r="BE2" s="2227">
        <f>+AW2+AY2</f>
        <v>365</v>
      </c>
    </row>
    <row r="3" spans="1:62" ht="18.75" x14ac:dyDescent="0.3">
      <c r="A3" s="2224"/>
      <c r="B3" s="5809" t="s">
        <v>171</v>
      </c>
      <c r="C3" s="5803" t="s">
        <v>172</v>
      </c>
      <c r="D3" s="5813" t="s">
        <v>2190</v>
      </c>
      <c r="E3" s="5814"/>
      <c r="F3" s="5813" t="s">
        <v>2242</v>
      </c>
      <c r="G3" s="5814"/>
      <c r="H3" s="5800" t="s">
        <v>14</v>
      </c>
      <c r="I3" s="6330"/>
      <c r="J3" s="5813" t="s">
        <v>2273</v>
      </c>
      <c r="K3" s="5814"/>
      <c r="L3" s="6325" t="s">
        <v>637</v>
      </c>
      <c r="M3" s="6050"/>
      <c r="N3" s="6049" t="s">
        <v>2296</v>
      </c>
      <c r="O3" s="6049"/>
      <c r="P3" s="6047" t="s">
        <v>17</v>
      </c>
      <c r="Q3" s="6047"/>
      <c r="R3" s="6049" t="s">
        <v>2299</v>
      </c>
      <c r="S3" s="6049"/>
      <c r="T3" s="6047" t="s">
        <v>18</v>
      </c>
      <c r="U3" s="6047"/>
      <c r="V3" s="6049" t="s">
        <v>2344</v>
      </c>
      <c r="W3" s="6049"/>
      <c r="X3" s="6050" t="s">
        <v>660</v>
      </c>
      <c r="Y3" s="6050"/>
      <c r="Z3" s="6048" t="s">
        <v>657</v>
      </c>
      <c r="AA3" s="6048"/>
      <c r="AB3" s="6049" t="s">
        <v>1954</v>
      </c>
      <c r="AC3" s="6049"/>
      <c r="AD3" s="6047" t="s">
        <v>24</v>
      </c>
      <c r="AE3" s="6047"/>
      <c r="AF3" s="6049" t="s">
        <v>1970</v>
      </c>
      <c r="AG3" s="6049"/>
      <c r="AH3" s="6047" t="s">
        <v>27</v>
      </c>
      <c r="AI3" s="6047"/>
      <c r="AJ3" s="6049" t="s">
        <v>1985</v>
      </c>
      <c r="AK3" s="6049"/>
      <c r="AL3" s="6050" t="s">
        <v>662</v>
      </c>
      <c r="AM3" s="6050"/>
      <c r="AN3" s="6047" t="s">
        <v>1666</v>
      </c>
      <c r="AO3" s="6047"/>
      <c r="AP3" s="6049" t="s">
        <v>2085</v>
      </c>
      <c r="AQ3" s="6049"/>
      <c r="AR3" s="6047" t="s">
        <v>28</v>
      </c>
      <c r="AS3" s="6047"/>
      <c r="AT3" s="6049" t="s">
        <v>2099</v>
      </c>
      <c r="AU3" s="6049"/>
      <c r="AV3" s="6047" t="s">
        <v>30</v>
      </c>
      <c r="AW3" s="6047"/>
      <c r="AX3" s="6049" t="s">
        <v>2111</v>
      </c>
      <c r="AY3" s="6049"/>
      <c r="AZ3" s="6050" t="s">
        <v>663</v>
      </c>
      <c r="BA3" s="6050"/>
      <c r="BB3" s="6048" t="s">
        <v>671</v>
      </c>
      <c r="BC3" s="6048"/>
      <c r="BD3" s="6047" t="s">
        <v>1745</v>
      </c>
      <c r="BE3" s="6047"/>
    </row>
    <row r="4" spans="1:62" ht="18.75" x14ac:dyDescent="0.3">
      <c r="A4" s="2224"/>
      <c r="B4" s="6331"/>
      <c r="C4" s="6052"/>
      <c r="D4" s="2067" t="s">
        <v>173</v>
      </c>
      <c r="E4" s="2228" t="s">
        <v>174</v>
      </c>
      <c r="F4" s="2067" t="s">
        <v>173</v>
      </c>
      <c r="G4" s="2228" t="s">
        <v>174</v>
      </c>
      <c r="H4" s="846" t="s">
        <v>173</v>
      </c>
      <c r="I4" s="2229" t="s">
        <v>174</v>
      </c>
      <c r="J4" s="1341" t="s">
        <v>173</v>
      </c>
      <c r="K4" s="2228" t="s">
        <v>174</v>
      </c>
      <c r="L4" s="847" t="s">
        <v>173</v>
      </c>
      <c r="M4" s="2080" t="s">
        <v>174</v>
      </c>
      <c r="N4" s="270" t="s">
        <v>173</v>
      </c>
      <c r="O4" s="270" t="s">
        <v>174</v>
      </c>
      <c r="P4" s="2081" t="s">
        <v>173</v>
      </c>
      <c r="Q4" s="2081" t="s">
        <v>174</v>
      </c>
      <c r="R4" s="270" t="s">
        <v>173</v>
      </c>
      <c r="S4" s="270" t="s">
        <v>174</v>
      </c>
      <c r="T4" s="2081" t="s">
        <v>173</v>
      </c>
      <c r="U4" s="2081" t="s">
        <v>174</v>
      </c>
      <c r="V4" s="270" t="s">
        <v>173</v>
      </c>
      <c r="W4" s="270" t="s">
        <v>174</v>
      </c>
      <c r="X4" s="2080" t="s">
        <v>173</v>
      </c>
      <c r="Y4" s="2080" t="s">
        <v>174</v>
      </c>
      <c r="Z4" s="2230" t="s">
        <v>173</v>
      </c>
      <c r="AA4" s="2230" t="s">
        <v>174</v>
      </c>
      <c r="AB4" s="270" t="s">
        <v>173</v>
      </c>
      <c r="AC4" s="270" t="s">
        <v>174</v>
      </c>
      <c r="AD4" s="2081" t="s">
        <v>173</v>
      </c>
      <c r="AE4" s="2081" t="s">
        <v>174</v>
      </c>
      <c r="AF4" s="270" t="s">
        <v>173</v>
      </c>
      <c r="AG4" s="270" t="s">
        <v>174</v>
      </c>
      <c r="AH4" s="2081" t="s">
        <v>173</v>
      </c>
      <c r="AI4" s="2081" t="s">
        <v>174</v>
      </c>
      <c r="AJ4" s="270" t="s">
        <v>173</v>
      </c>
      <c r="AK4" s="270" t="s">
        <v>174</v>
      </c>
      <c r="AL4" s="2080" t="s">
        <v>173</v>
      </c>
      <c r="AM4" s="2080" t="s">
        <v>174</v>
      </c>
      <c r="AN4" s="2081" t="s">
        <v>173</v>
      </c>
      <c r="AO4" s="2081" t="s">
        <v>174</v>
      </c>
      <c r="AP4" s="270" t="s">
        <v>173</v>
      </c>
      <c r="AQ4" s="270" t="s">
        <v>174</v>
      </c>
      <c r="AR4" s="2081" t="s">
        <v>173</v>
      </c>
      <c r="AS4" s="2081" t="s">
        <v>174</v>
      </c>
      <c r="AT4" s="270" t="s">
        <v>173</v>
      </c>
      <c r="AU4" s="270" t="s">
        <v>174</v>
      </c>
      <c r="AV4" s="2081" t="s">
        <v>173</v>
      </c>
      <c r="AW4" s="2081" t="s">
        <v>174</v>
      </c>
      <c r="AX4" s="270" t="s">
        <v>173</v>
      </c>
      <c r="AY4" s="270" t="s">
        <v>174</v>
      </c>
      <c r="AZ4" s="2080" t="s">
        <v>173</v>
      </c>
      <c r="BA4" s="2080" t="s">
        <v>174</v>
      </c>
      <c r="BB4" s="2230" t="s">
        <v>173</v>
      </c>
      <c r="BC4" s="2230" t="s">
        <v>174</v>
      </c>
      <c r="BD4" s="2081" t="s">
        <v>173</v>
      </c>
      <c r="BE4" s="2081" t="s">
        <v>174</v>
      </c>
    </row>
    <row r="5" spans="1:62" ht="18" x14ac:dyDescent="0.35">
      <c r="A5" s="2220"/>
      <c r="B5" s="1467" t="s">
        <v>0</v>
      </c>
      <c r="C5" s="1347"/>
      <c r="D5" s="1471"/>
      <c r="E5" s="1468"/>
      <c r="F5" s="1471"/>
      <c r="G5" s="1468"/>
      <c r="H5" s="1465"/>
      <c r="I5" s="1468"/>
      <c r="J5" s="1472"/>
      <c r="K5" s="1468"/>
      <c r="L5" s="1465"/>
      <c r="M5" s="947"/>
      <c r="N5" s="948"/>
      <c r="O5" s="948"/>
      <c r="P5" s="947"/>
      <c r="Q5" s="947"/>
      <c r="R5" s="948"/>
      <c r="S5" s="948"/>
      <c r="T5" s="947"/>
      <c r="U5" s="947"/>
      <c r="V5" s="948"/>
      <c r="W5" s="948"/>
      <c r="X5" s="1465"/>
      <c r="Y5" s="947"/>
      <c r="Z5" s="947"/>
      <c r="AA5" s="947"/>
      <c r="AB5" s="948"/>
      <c r="AC5" s="948"/>
      <c r="AD5" s="947"/>
      <c r="AE5" s="947"/>
      <c r="AF5" s="948"/>
      <c r="AG5" s="948"/>
      <c r="AH5" s="947"/>
      <c r="AI5" s="947"/>
      <c r="AJ5" s="948"/>
      <c r="AK5" s="948"/>
      <c r="AL5" s="1465"/>
      <c r="AM5" s="947"/>
      <c r="AN5" s="947"/>
      <c r="AO5" s="947"/>
      <c r="AP5" s="948"/>
      <c r="AQ5" s="948"/>
      <c r="AR5" s="947"/>
      <c r="AS5" s="947"/>
      <c r="AT5" s="948"/>
      <c r="AU5" s="948"/>
      <c r="AV5" s="947"/>
      <c r="AW5" s="947"/>
      <c r="AX5" s="948"/>
      <c r="AY5" s="948"/>
      <c r="AZ5" s="1465"/>
      <c r="BA5" s="947"/>
      <c r="BB5" s="947"/>
      <c r="BC5" s="947"/>
      <c r="BD5" s="947"/>
      <c r="BE5" s="947"/>
    </row>
    <row r="6" spans="1:62" ht="18.75" x14ac:dyDescent="0.3">
      <c r="A6" s="2220"/>
      <c r="B6" s="6329" t="s">
        <v>416</v>
      </c>
      <c r="C6" s="50" t="s">
        <v>415</v>
      </c>
      <c r="D6" s="739">
        <v>1180.8</v>
      </c>
      <c r="E6" s="2064">
        <v>1187.9000000000003</v>
      </c>
      <c r="F6" s="739">
        <v>1220.1600000000001</v>
      </c>
      <c r="G6" s="2064">
        <v>1224.8599999999999</v>
      </c>
      <c r="H6" s="350">
        <f>+D6+F6</f>
        <v>2400.96</v>
      </c>
      <c r="I6" s="211">
        <f>+E6+G6</f>
        <v>2412.7600000000002</v>
      </c>
      <c r="J6" s="739">
        <v>1180.8</v>
      </c>
      <c r="K6" s="2064">
        <v>1211.2800000000004</v>
      </c>
      <c r="L6" s="405">
        <f>+D6+F6+J6</f>
        <v>3581.76</v>
      </c>
      <c r="M6" s="405">
        <f>+E6+G6+K6</f>
        <v>3624.0400000000009</v>
      </c>
      <c r="N6" s="739">
        <v>1220.1600000000001</v>
      </c>
      <c r="O6" s="2064">
        <v>1235.08</v>
      </c>
      <c r="P6" s="2162">
        <f>+L6+N6</f>
        <v>4801.92</v>
      </c>
      <c r="Q6" s="2162">
        <f>+M6+O6</f>
        <v>4859.1200000000008</v>
      </c>
      <c r="R6" s="739">
        <v>1220.1600000000001</v>
      </c>
      <c r="S6" s="2064">
        <v>1241.5899999999997</v>
      </c>
      <c r="T6" s="2162">
        <f>+P6+R6</f>
        <v>6022.08</v>
      </c>
      <c r="U6" s="2162">
        <f>+Q6+S6</f>
        <v>6100.7100000000009</v>
      </c>
      <c r="V6" s="739">
        <v>787.2</v>
      </c>
      <c r="W6" s="2064">
        <v>1216.18</v>
      </c>
      <c r="X6" s="405">
        <f>N6+R6+V6</f>
        <v>3227.5200000000004</v>
      </c>
      <c r="Y6" s="405">
        <f>O6+S6+W6</f>
        <v>3692.8499999999995</v>
      </c>
      <c r="Z6" s="497">
        <f>L6+X6</f>
        <v>6809.2800000000007</v>
      </c>
      <c r="AA6" s="497">
        <f>M6+Y6</f>
        <v>7316.89</v>
      </c>
      <c r="AB6" s="739">
        <v>1220.1600000000001</v>
      </c>
      <c r="AC6" s="2064">
        <v>1069.8800000000003</v>
      </c>
      <c r="AD6" s="2162">
        <f>+Z6+AB6</f>
        <v>8029.4400000000005</v>
      </c>
      <c r="AE6" s="2162">
        <f>+AA6+AC6</f>
        <v>8386.77</v>
      </c>
      <c r="AF6" s="739">
        <v>1180.8</v>
      </c>
      <c r="AG6" s="2064">
        <v>760.34000000000037</v>
      </c>
      <c r="AH6" s="2162">
        <f>+AD6+AF6</f>
        <v>9210.24</v>
      </c>
      <c r="AI6" s="2162">
        <f>+AE6+AG6</f>
        <v>9147.11</v>
      </c>
      <c r="AJ6" s="739">
        <v>1220.1600000000001</v>
      </c>
      <c r="AK6" s="2064">
        <v>1222.7599999999998</v>
      </c>
      <c r="AL6" s="405">
        <f>AB6+AF6+AJ6</f>
        <v>3621.12</v>
      </c>
      <c r="AM6" s="405">
        <f>AC6+AG6+AK6</f>
        <v>3052.9800000000005</v>
      </c>
      <c r="AN6" s="2162">
        <f>+AH6+AJ6</f>
        <v>10430.4</v>
      </c>
      <c r="AO6" s="2162">
        <f>+AI6+AK6</f>
        <v>10369.870000000001</v>
      </c>
      <c r="AP6" s="739">
        <v>1220.1600000000001</v>
      </c>
      <c r="AQ6" s="2064">
        <v>1224.58</v>
      </c>
      <c r="AR6" s="2162">
        <f>+AN6+AP6</f>
        <v>11650.56</v>
      </c>
      <c r="AS6" s="2162">
        <f>+AO6+AQ6</f>
        <v>11594.45</v>
      </c>
      <c r="AT6" s="739">
        <v>1102.08</v>
      </c>
      <c r="AU6" s="2064">
        <v>1123.57</v>
      </c>
      <c r="AV6" s="2162">
        <f>+AR6+AT6</f>
        <v>12752.64</v>
      </c>
      <c r="AW6" s="2162">
        <f>+AS6+AU6</f>
        <v>12718.02</v>
      </c>
      <c r="AX6" s="739">
        <v>1220.1600000000001</v>
      </c>
      <c r="AY6" s="2064">
        <v>1250.2000000000003</v>
      </c>
      <c r="AZ6" s="405">
        <f>AP6+AT6+AX6</f>
        <v>3542.3999999999996</v>
      </c>
      <c r="BA6" s="405">
        <f>AQ6+AU6+AY6</f>
        <v>3598.35</v>
      </c>
      <c r="BB6" s="497">
        <f>AL6+AZ6</f>
        <v>7163.5199999999995</v>
      </c>
      <c r="BC6" s="497">
        <f>AM6+BA6</f>
        <v>6651.33</v>
      </c>
      <c r="BD6" s="2162">
        <f>+AV6+AX6</f>
        <v>13972.8</v>
      </c>
      <c r="BE6" s="2162">
        <f>+AW6+AY6</f>
        <v>13968.220000000001</v>
      </c>
      <c r="BF6" s="26"/>
      <c r="BG6" s="26"/>
      <c r="BH6" s="26"/>
      <c r="BI6" s="1546"/>
      <c r="BJ6" s="1546"/>
    </row>
    <row r="7" spans="1:62" ht="18.75" x14ac:dyDescent="0.3">
      <c r="A7" s="2220"/>
      <c r="B7" s="6329"/>
      <c r="C7" s="50" t="s">
        <v>50</v>
      </c>
      <c r="D7" s="739">
        <v>1686.8571428571429</v>
      </c>
      <c r="E7" s="2064">
        <v>1697.0000000000005</v>
      </c>
      <c r="F7" s="739">
        <v>1743.0857142857144</v>
      </c>
      <c r="G7" s="2064">
        <v>1749.8</v>
      </c>
      <c r="H7" s="350">
        <f t="shared" ref="H7:H15" si="0">+D7+F7</f>
        <v>3429.9428571428571</v>
      </c>
      <c r="I7" s="211">
        <f t="shared" ref="I7:I15" si="1">+E7+G7</f>
        <v>3446.8</v>
      </c>
      <c r="J7" s="739">
        <v>1686.8571428571429</v>
      </c>
      <c r="K7" s="2064">
        <v>1730.4000000000005</v>
      </c>
      <c r="L7" s="405">
        <f t="shared" ref="L7:L15" si="2">+D7+F7+J7</f>
        <v>5116.8</v>
      </c>
      <c r="M7" s="405">
        <f t="shared" ref="M7:M15" si="3">+E7+G7+K7</f>
        <v>5177.2000000000007</v>
      </c>
      <c r="N7" s="739">
        <v>1743.0857142857144</v>
      </c>
      <c r="O7" s="2064">
        <v>1764.3999999999999</v>
      </c>
      <c r="P7" s="2162">
        <f t="shared" ref="P7:Q15" si="4">+L7+N7</f>
        <v>6859.8857142857141</v>
      </c>
      <c r="Q7" s="2162">
        <f t="shared" si="4"/>
        <v>6941.6</v>
      </c>
      <c r="R7" s="739">
        <v>1743.0857142857144</v>
      </c>
      <c r="S7" s="2064">
        <v>1773.6999999999998</v>
      </c>
      <c r="T7" s="2162">
        <f t="shared" ref="T7:T15" si="5">+P7+R7</f>
        <v>8602.971428571429</v>
      </c>
      <c r="U7" s="2162">
        <f t="shared" ref="U7:U15" si="6">+Q7+S7</f>
        <v>8715.2999999999993</v>
      </c>
      <c r="V7" s="739">
        <v>1124.5714285714287</v>
      </c>
      <c r="W7" s="2064">
        <v>1737.4</v>
      </c>
      <c r="X7" s="405">
        <f t="shared" ref="X7:X15" si="7">N7+R7+V7</f>
        <v>4610.7428571428572</v>
      </c>
      <c r="Y7" s="405">
        <f t="shared" ref="Y7:Y15" si="8">O7+S7+W7</f>
        <v>5275.5</v>
      </c>
      <c r="Z7" s="497">
        <f t="shared" ref="Z7:Z15" si="9">L7+X7</f>
        <v>9727.5428571428565</v>
      </c>
      <c r="AA7" s="497">
        <f t="shared" ref="AA7:AA15" si="10">M7+Y7</f>
        <v>10452.700000000001</v>
      </c>
      <c r="AB7" s="739">
        <v>1743.0857142857144</v>
      </c>
      <c r="AC7" s="2064">
        <v>1528.4000000000003</v>
      </c>
      <c r="AD7" s="2162">
        <f t="shared" ref="AD7:AD15" si="11">+Z7+AB7</f>
        <v>11470.628571428571</v>
      </c>
      <c r="AE7" s="2162">
        <f t="shared" ref="AE7:AE15" si="12">+AA7+AC7</f>
        <v>11981.1</v>
      </c>
      <c r="AF7" s="739">
        <v>1686.8571428571429</v>
      </c>
      <c r="AG7" s="2064">
        <v>1086.2000000000005</v>
      </c>
      <c r="AH7" s="2162">
        <f t="shared" ref="AH7:AH15" si="13">+AD7+AF7</f>
        <v>13157.485714285714</v>
      </c>
      <c r="AI7" s="2162">
        <f t="shared" ref="AI7:AI15" si="14">+AE7+AG7</f>
        <v>13067.300000000001</v>
      </c>
      <c r="AJ7" s="739">
        <v>1743.0857142857144</v>
      </c>
      <c r="AK7" s="2064">
        <v>1746.7999999999997</v>
      </c>
      <c r="AL7" s="405">
        <f t="shared" ref="AL7:AL15" si="15">AB7+AF7+AJ7</f>
        <v>5173.028571428571</v>
      </c>
      <c r="AM7" s="405">
        <f t="shared" ref="AM7:AM15" si="16">AC7+AG7+AK7</f>
        <v>4361.4000000000005</v>
      </c>
      <c r="AN7" s="2162">
        <f t="shared" ref="AN7:AN15" si="17">+AH7+AJ7</f>
        <v>14900.571428571429</v>
      </c>
      <c r="AO7" s="2162">
        <f t="shared" ref="AO7:AO15" si="18">+AI7+AK7</f>
        <v>14814.1</v>
      </c>
      <c r="AP7" s="739">
        <v>1743.0857142857144</v>
      </c>
      <c r="AQ7" s="2064">
        <v>1749.3999999999999</v>
      </c>
      <c r="AR7" s="2162">
        <f t="shared" ref="AR7:AR15" si="19">+AN7+AP7</f>
        <v>16643.657142857144</v>
      </c>
      <c r="AS7" s="2162">
        <f t="shared" ref="AS7:AS15" si="20">+AO7+AQ7</f>
        <v>16563.5</v>
      </c>
      <c r="AT7" s="739">
        <v>1574.4</v>
      </c>
      <c r="AU7" s="2064">
        <v>1605.1000000000001</v>
      </c>
      <c r="AV7" s="2162">
        <f t="shared" ref="AV7:AV15" si="21">+AR7+AT7</f>
        <v>18218.057142857146</v>
      </c>
      <c r="AW7" s="2162">
        <f t="shared" ref="AW7:AW15" si="22">+AS7+AU7</f>
        <v>18168.599999999999</v>
      </c>
      <c r="AX7" s="739">
        <v>1743.0857142857144</v>
      </c>
      <c r="AY7" s="2064">
        <v>1786.0000000000002</v>
      </c>
      <c r="AZ7" s="405">
        <f t="shared" ref="AZ7:AZ15" si="23">AP7+AT7+AX7</f>
        <v>5060.5714285714294</v>
      </c>
      <c r="BA7" s="405">
        <f t="shared" ref="BA7:BA15" si="24">AQ7+AU7+AY7</f>
        <v>5140.5</v>
      </c>
      <c r="BB7" s="497">
        <f t="shared" ref="BB7:BB15" si="25">AL7+AZ7</f>
        <v>10233.6</v>
      </c>
      <c r="BC7" s="497">
        <f t="shared" ref="BC7:BC15" si="26">AM7+BA7</f>
        <v>9501.9000000000015</v>
      </c>
      <c r="BD7" s="2162">
        <f t="shared" ref="BD7:BD15" si="27">+AV7+AX7</f>
        <v>19961.142857142859</v>
      </c>
      <c r="BE7" s="2162">
        <f t="shared" ref="BE7:BE15" si="28">+AW7+AY7</f>
        <v>19954.599999999999</v>
      </c>
      <c r="BF7" s="26"/>
      <c r="BG7" s="26"/>
      <c r="BH7" s="26"/>
      <c r="BI7" s="1546"/>
      <c r="BJ7" s="1546"/>
    </row>
    <row r="8" spans="1:62" ht="18.75" x14ac:dyDescent="0.3">
      <c r="A8" s="2220"/>
      <c r="B8" s="6329" t="s">
        <v>417</v>
      </c>
      <c r="C8" s="50" t="s">
        <v>415</v>
      </c>
      <c r="D8" s="739">
        <v>28728</v>
      </c>
      <c r="E8" s="2064">
        <v>28888.789999999997</v>
      </c>
      <c r="F8" s="739">
        <v>29685.599999999999</v>
      </c>
      <c r="G8" s="2064">
        <v>29677.759999999995</v>
      </c>
      <c r="H8" s="350">
        <f t="shared" si="0"/>
        <v>58413.599999999999</v>
      </c>
      <c r="I8" s="211">
        <f t="shared" si="1"/>
        <v>58566.549999999988</v>
      </c>
      <c r="J8" s="739">
        <v>28728</v>
      </c>
      <c r="K8" s="2064">
        <v>29278.96999999999</v>
      </c>
      <c r="L8" s="405">
        <f t="shared" si="2"/>
        <v>87141.6</v>
      </c>
      <c r="M8" s="405">
        <f t="shared" si="3"/>
        <v>87845.519999999975</v>
      </c>
      <c r="N8" s="739">
        <v>29685.599999999999</v>
      </c>
      <c r="O8" s="2064">
        <v>30255.820000000007</v>
      </c>
      <c r="P8" s="2162">
        <f t="shared" si="4"/>
        <v>116827.20000000001</v>
      </c>
      <c r="Q8" s="2162">
        <f t="shared" si="4"/>
        <v>118101.33999999998</v>
      </c>
      <c r="R8" s="739">
        <v>29685.599999999999</v>
      </c>
      <c r="S8" s="2064">
        <v>30027.060000000005</v>
      </c>
      <c r="T8" s="2162">
        <f t="shared" si="5"/>
        <v>146512.80000000002</v>
      </c>
      <c r="U8" s="2162">
        <f t="shared" si="6"/>
        <v>148128.4</v>
      </c>
      <c r="V8" s="739">
        <v>19152</v>
      </c>
      <c r="W8" s="2064">
        <v>29254.190000000002</v>
      </c>
      <c r="X8" s="405">
        <f t="shared" si="7"/>
        <v>78523.199999999997</v>
      </c>
      <c r="Y8" s="405">
        <f t="shared" si="8"/>
        <v>89537.07</v>
      </c>
      <c r="Z8" s="497">
        <f t="shared" si="9"/>
        <v>165664.79999999999</v>
      </c>
      <c r="AA8" s="497">
        <f t="shared" si="10"/>
        <v>177382.58999999997</v>
      </c>
      <c r="AB8" s="739">
        <v>29685.599999999999</v>
      </c>
      <c r="AC8" s="2064">
        <v>26439.77</v>
      </c>
      <c r="AD8" s="2162">
        <f t="shared" si="11"/>
        <v>195350.39999999999</v>
      </c>
      <c r="AE8" s="2162">
        <f t="shared" si="12"/>
        <v>203822.35999999996</v>
      </c>
      <c r="AF8" s="739">
        <v>28728</v>
      </c>
      <c r="AG8" s="2064">
        <v>19018.859999999993</v>
      </c>
      <c r="AH8" s="2162">
        <f t="shared" si="13"/>
        <v>224078.4</v>
      </c>
      <c r="AI8" s="2162">
        <f t="shared" si="14"/>
        <v>222841.21999999994</v>
      </c>
      <c r="AJ8" s="739">
        <v>29685.599999999999</v>
      </c>
      <c r="AK8" s="2064">
        <v>30570.505000000001</v>
      </c>
      <c r="AL8" s="405">
        <f t="shared" si="15"/>
        <v>88099.199999999997</v>
      </c>
      <c r="AM8" s="405">
        <f t="shared" si="16"/>
        <v>76029.134999999995</v>
      </c>
      <c r="AN8" s="2162">
        <f t="shared" si="17"/>
        <v>253764</v>
      </c>
      <c r="AO8" s="2162">
        <f t="shared" si="18"/>
        <v>253411.72499999995</v>
      </c>
      <c r="AP8" s="739">
        <v>29685.599999999999</v>
      </c>
      <c r="AQ8" s="2064">
        <v>30217.046999999999</v>
      </c>
      <c r="AR8" s="2162">
        <f t="shared" si="19"/>
        <v>283449.59999999998</v>
      </c>
      <c r="AS8" s="2162">
        <f t="shared" si="20"/>
        <v>283628.77199999994</v>
      </c>
      <c r="AT8" s="739">
        <v>26812.799999999999</v>
      </c>
      <c r="AU8" s="2064">
        <v>27317.919999999991</v>
      </c>
      <c r="AV8" s="2162">
        <f t="shared" si="21"/>
        <v>310262.39999999997</v>
      </c>
      <c r="AW8" s="2162">
        <f t="shared" si="22"/>
        <v>310946.69199999992</v>
      </c>
      <c r="AX8" s="739">
        <v>29685.599999999999</v>
      </c>
      <c r="AY8" s="2064">
        <v>30304.75</v>
      </c>
      <c r="AZ8" s="405">
        <f t="shared" si="23"/>
        <v>86184</v>
      </c>
      <c r="BA8" s="405">
        <f t="shared" si="24"/>
        <v>87839.71699999999</v>
      </c>
      <c r="BB8" s="497">
        <f t="shared" si="25"/>
        <v>174283.2</v>
      </c>
      <c r="BC8" s="497">
        <f t="shared" si="26"/>
        <v>163868.85199999998</v>
      </c>
      <c r="BD8" s="2162">
        <f t="shared" si="27"/>
        <v>339947.99999999994</v>
      </c>
      <c r="BE8" s="2162">
        <f t="shared" si="28"/>
        <v>341251.44199999992</v>
      </c>
      <c r="BF8" s="26"/>
      <c r="BG8" s="26"/>
      <c r="BH8" s="26"/>
      <c r="BI8" s="1546"/>
      <c r="BJ8" s="1546"/>
    </row>
    <row r="9" spans="1:62" ht="18.75" x14ac:dyDescent="0.3">
      <c r="A9" s="2220"/>
      <c r="B9" s="6329"/>
      <c r="C9" s="50" t="s">
        <v>50</v>
      </c>
      <c r="D9" s="739">
        <v>41040</v>
      </c>
      <c r="E9" s="2064">
        <v>41269.699999999997</v>
      </c>
      <c r="F9" s="739">
        <v>42408</v>
      </c>
      <c r="G9" s="2064">
        <v>42396.799999999996</v>
      </c>
      <c r="H9" s="350">
        <f t="shared" si="0"/>
        <v>83448</v>
      </c>
      <c r="I9" s="211">
        <f t="shared" si="1"/>
        <v>83666.5</v>
      </c>
      <c r="J9" s="739">
        <v>41040</v>
      </c>
      <c r="K9" s="2064">
        <v>41827.099999999984</v>
      </c>
      <c r="L9" s="405">
        <f t="shared" si="2"/>
        <v>124488</v>
      </c>
      <c r="M9" s="405">
        <f t="shared" si="3"/>
        <v>125493.59999999998</v>
      </c>
      <c r="N9" s="739">
        <v>42408</v>
      </c>
      <c r="O9" s="2064">
        <v>43222.600000000013</v>
      </c>
      <c r="P9" s="2162">
        <f t="shared" si="4"/>
        <v>166896</v>
      </c>
      <c r="Q9" s="2162">
        <f t="shared" si="4"/>
        <v>168716.19999999998</v>
      </c>
      <c r="R9" s="739">
        <v>42408</v>
      </c>
      <c r="S9" s="2064">
        <v>42895.8</v>
      </c>
      <c r="T9" s="2162">
        <f t="shared" si="5"/>
        <v>209304</v>
      </c>
      <c r="U9" s="2162">
        <f t="shared" si="6"/>
        <v>211612</v>
      </c>
      <c r="V9" s="739">
        <v>27360</v>
      </c>
      <c r="W9" s="2064">
        <v>41791.700000000004</v>
      </c>
      <c r="X9" s="405">
        <f t="shared" si="7"/>
        <v>112176</v>
      </c>
      <c r="Y9" s="405">
        <f t="shared" si="8"/>
        <v>127910.10000000003</v>
      </c>
      <c r="Z9" s="497">
        <f t="shared" si="9"/>
        <v>236664</v>
      </c>
      <c r="AA9" s="497">
        <f t="shared" si="10"/>
        <v>253403.7</v>
      </c>
      <c r="AB9" s="739">
        <v>42408</v>
      </c>
      <c r="AC9" s="2064">
        <v>37771.1</v>
      </c>
      <c r="AD9" s="2162">
        <f t="shared" si="11"/>
        <v>279072</v>
      </c>
      <c r="AE9" s="2162">
        <f t="shared" si="12"/>
        <v>291174.8</v>
      </c>
      <c r="AF9" s="739">
        <v>41040</v>
      </c>
      <c r="AG9" s="2064">
        <v>27169.799999999992</v>
      </c>
      <c r="AH9" s="2162">
        <f t="shared" si="13"/>
        <v>320112</v>
      </c>
      <c r="AI9" s="2162">
        <f t="shared" si="14"/>
        <v>318344.59999999998</v>
      </c>
      <c r="AJ9" s="739">
        <v>42408</v>
      </c>
      <c r="AK9" s="2064">
        <v>43672.15</v>
      </c>
      <c r="AL9" s="405">
        <f t="shared" si="15"/>
        <v>125856</v>
      </c>
      <c r="AM9" s="405">
        <f t="shared" si="16"/>
        <v>108613.04999999999</v>
      </c>
      <c r="AN9" s="2162">
        <f t="shared" si="17"/>
        <v>362520</v>
      </c>
      <c r="AO9" s="2162">
        <f t="shared" si="18"/>
        <v>362016.75</v>
      </c>
      <c r="AP9" s="739">
        <v>42408</v>
      </c>
      <c r="AQ9" s="2064">
        <v>43167.21</v>
      </c>
      <c r="AR9" s="2162">
        <f t="shared" si="19"/>
        <v>404928</v>
      </c>
      <c r="AS9" s="2162">
        <f t="shared" si="20"/>
        <v>405183.96</v>
      </c>
      <c r="AT9" s="739">
        <v>38304</v>
      </c>
      <c r="AU9" s="2064">
        <v>39025.599999999991</v>
      </c>
      <c r="AV9" s="2162">
        <f t="shared" si="21"/>
        <v>443232</v>
      </c>
      <c r="AW9" s="2162">
        <f t="shared" si="22"/>
        <v>444209.56</v>
      </c>
      <c r="AX9" s="739">
        <v>42408</v>
      </c>
      <c r="AY9" s="2064">
        <v>43292.5</v>
      </c>
      <c r="AZ9" s="405">
        <f t="shared" si="23"/>
        <v>123120</v>
      </c>
      <c r="BA9" s="405">
        <f t="shared" si="24"/>
        <v>125485.31</v>
      </c>
      <c r="BB9" s="497">
        <f t="shared" si="25"/>
        <v>248976</v>
      </c>
      <c r="BC9" s="497">
        <f t="shared" si="26"/>
        <v>234098.36</v>
      </c>
      <c r="BD9" s="2162">
        <f t="shared" si="27"/>
        <v>485640</v>
      </c>
      <c r="BE9" s="2162">
        <f t="shared" si="28"/>
        <v>487502.06</v>
      </c>
      <c r="BF9" s="26"/>
      <c r="BG9" s="26"/>
      <c r="BH9" s="26"/>
      <c r="BI9" s="1546"/>
      <c r="BJ9" s="1546"/>
    </row>
    <row r="10" spans="1:62" ht="18.75" x14ac:dyDescent="0.3">
      <c r="A10" s="2220"/>
      <c r="B10" s="6329" t="s">
        <v>418</v>
      </c>
      <c r="C10" s="50" t="s">
        <v>415</v>
      </c>
      <c r="D10" s="739">
        <v>590.4</v>
      </c>
      <c r="E10" s="2064">
        <v>328.32</v>
      </c>
      <c r="F10" s="739">
        <v>610.08000000000004</v>
      </c>
      <c r="G10" s="2064">
        <v>344.23999999999995</v>
      </c>
      <c r="H10" s="350">
        <f t="shared" si="0"/>
        <v>1200.48</v>
      </c>
      <c r="I10" s="211">
        <f t="shared" si="1"/>
        <v>672.56</v>
      </c>
      <c r="J10" s="739">
        <v>590.4</v>
      </c>
      <c r="K10" s="2064">
        <v>336.63999999999993</v>
      </c>
      <c r="L10" s="405">
        <f t="shared" si="2"/>
        <v>1790.88</v>
      </c>
      <c r="M10" s="405">
        <f t="shared" si="3"/>
        <v>1009.1999999999998</v>
      </c>
      <c r="N10" s="739">
        <v>610.08000000000004</v>
      </c>
      <c r="O10" s="2064">
        <v>344.23999999999995</v>
      </c>
      <c r="P10" s="2162">
        <f t="shared" si="4"/>
        <v>2400.96</v>
      </c>
      <c r="Q10" s="2162">
        <f t="shared" si="4"/>
        <v>1353.4399999999998</v>
      </c>
      <c r="R10" s="739">
        <v>610.08000000000004</v>
      </c>
      <c r="S10" s="2064">
        <v>341.68</v>
      </c>
      <c r="T10" s="2162">
        <f t="shared" si="5"/>
        <v>3011.04</v>
      </c>
      <c r="U10" s="2162">
        <f t="shared" si="6"/>
        <v>1695.12</v>
      </c>
      <c r="V10" s="739">
        <v>393.6</v>
      </c>
      <c r="W10" s="2064">
        <v>337.19999999999993</v>
      </c>
      <c r="X10" s="405">
        <f t="shared" si="7"/>
        <v>1613.7600000000002</v>
      </c>
      <c r="Y10" s="405">
        <f t="shared" si="8"/>
        <v>1023.1199999999999</v>
      </c>
      <c r="Z10" s="497">
        <f t="shared" si="9"/>
        <v>3404.6400000000003</v>
      </c>
      <c r="AA10" s="497">
        <f t="shared" si="10"/>
        <v>2032.3199999999997</v>
      </c>
      <c r="AB10" s="739">
        <v>610.08000000000004</v>
      </c>
      <c r="AC10" s="2064">
        <v>566.88</v>
      </c>
      <c r="AD10" s="2162">
        <f t="shared" si="11"/>
        <v>4014.7200000000003</v>
      </c>
      <c r="AE10" s="2162">
        <f t="shared" si="12"/>
        <v>2599.1999999999998</v>
      </c>
      <c r="AF10" s="739">
        <v>590.4</v>
      </c>
      <c r="AG10" s="2064">
        <v>417.12</v>
      </c>
      <c r="AH10" s="2162">
        <f t="shared" si="13"/>
        <v>4605.12</v>
      </c>
      <c r="AI10" s="2162">
        <f t="shared" si="14"/>
        <v>3016.3199999999997</v>
      </c>
      <c r="AJ10" s="739">
        <v>610.08000000000004</v>
      </c>
      <c r="AK10" s="2064">
        <v>554.6400000000001</v>
      </c>
      <c r="AL10" s="405">
        <f t="shared" si="15"/>
        <v>1810.56</v>
      </c>
      <c r="AM10" s="405">
        <f t="shared" si="16"/>
        <v>1538.64</v>
      </c>
      <c r="AN10" s="2162">
        <f t="shared" si="17"/>
        <v>5215.2</v>
      </c>
      <c r="AO10" s="2162">
        <f t="shared" si="18"/>
        <v>3570.96</v>
      </c>
      <c r="AP10" s="739">
        <v>610.08000000000004</v>
      </c>
      <c r="AQ10" s="2064">
        <v>348.88</v>
      </c>
      <c r="AR10" s="2162">
        <f t="shared" si="19"/>
        <v>5825.28</v>
      </c>
      <c r="AS10" s="2162">
        <f t="shared" si="20"/>
        <v>3919.84</v>
      </c>
      <c r="AT10" s="739">
        <v>551.04</v>
      </c>
      <c r="AU10" s="2064">
        <v>311.52000000000004</v>
      </c>
      <c r="AV10" s="2162">
        <f t="shared" si="21"/>
        <v>6376.32</v>
      </c>
      <c r="AW10" s="2162">
        <f t="shared" si="22"/>
        <v>4231.3600000000006</v>
      </c>
      <c r="AX10" s="739">
        <v>610.08000000000004</v>
      </c>
      <c r="AY10" s="2064">
        <v>344.56000000000006</v>
      </c>
      <c r="AZ10" s="405">
        <f t="shared" si="23"/>
        <v>1771.1999999999998</v>
      </c>
      <c r="BA10" s="405">
        <f t="shared" si="24"/>
        <v>1004.9600000000002</v>
      </c>
      <c r="BB10" s="497">
        <f t="shared" si="25"/>
        <v>3581.7599999999998</v>
      </c>
      <c r="BC10" s="497">
        <f t="shared" si="26"/>
        <v>2543.6000000000004</v>
      </c>
      <c r="BD10" s="2162">
        <f t="shared" si="27"/>
        <v>6986.4</v>
      </c>
      <c r="BE10" s="2162">
        <f t="shared" si="28"/>
        <v>4575.920000000001</v>
      </c>
      <c r="BF10" s="26"/>
      <c r="BG10" s="26"/>
      <c r="BH10" s="26"/>
      <c r="BI10" s="1546"/>
      <c r="BJ10" s="1546"/>
    </row>
    <row r="11" spans="1:62" ht="18.75" x14ac:dyDescent="0.3">
      <c r="A11" s="2220"/>
      <c r="B11" s="6329"/>
      <c r="C11" s="50" t="s">
        <v>50</v>
      </c>
      <c r="D11" s="739">
        <v>737.99999999999989</v>
      </c>
      <c r="E11" s="2064">
        <v>410.40000000000003</v>
      </c>
      <c r="F11" s="739">
        <v>762.6</v>
      </c>
      <c r="G11" s="2064">
        <v>430.29999999999995</v>
      </c>
      <c r="H11" s="350">
        <f t="shared" si="0"/>
        <v>1500.6</v>
      </c>
      <c r="I11" s="211">
        <f t="shared" si="1"/>
        <v>840.7</v>
      </c>
      <c r="J11" s="739">
        <v>737.99999999999989</v>
      </c>
      <c r="K11" s="2064">
        <v>420.79999999999995</v>
      </c>
      <c r="L11" s="405">
        <f t="shared" si="2"/>
        <v>2238.6</v>
      </c>
      <c r="M11" s="405">
        <f t="shared" si="3"/>
        <v>1261.5</v>
      </c>
      <c r="N11" s="739">
        <v>762.6</v>
      </c>
      <c r="O11" s="2064">
        <v>430.29999999999995</v>
      </c>
      <c r="P11" s="2162">
        <f t="shared" si="4"/>
        <v>3001.2</v>
      </c>
      <c r="Q11" s="2162">
        <f t="shared" si="4"/>
        <v>1691.8</v>
      </c>
      <c r="R11" s="739">
        <v>762.6</v>
      </c>
      <c r="S11" s="2064">
        <v>427.09999999999997</v>
      </c>
      <c r="T11" s="2162">
        <f t="shared" si="5"/>
        <v>3763.7999999999997</v>
      </c>
      <c r="U11" s="2162">
        <f t="shared" si="6"/>
        <v>2118.9</v>
      </c>
      <c r="V11" s="739">
        <v>491.99999999999994</v>
      </c>
      <c r="W11" s="2064">
        <v>421.49999999999994</v>
      </c>
      <c r="X11" s="405">
        <f t="shared" si="7"/>
        <v>2017.2</v>
      </c>
      <c r="Y11" s="405">
        <f t="shared" si="8"/>
        <v>1278.8999999999999</v>
      </c>
      <c r="Z11" s="497">
        <f t="shared" si="9"/>
        <v>4255.8</v>
      </c>
      <c r="AA11" s="497">
        <f t="shared" si="10"/>
        <v>2540.3999999999996</v>
      </c>
      <c r="AB11" s="739">
        <v>762.6</v>
      </c>
      <c r="AC11" s="2064">
        <v>708.6</v>
      </c>
      <c r="AD11" s="2162">
        <f t="shared" si="11"/>
        <v>5018.4000000000005</v>
      </c>
      <c r="AE11" s="2162">
        <f t="shared" si="12"/>
        <v>3248.9999999999995</v>
      </c>
      <c r="AF11" s="739">
        <v>737.99999999999989</v>
      </c>
      <c r="AG11" s="2064">
        <v>521.4</v>
      </c>
      <c r="AH11" s="2162">
        <f t="shared" si="13"/>
        <v>5756.4000000000005</v>
      </c>
      <c r="AI11" s="2162">
        <f t="shared" si="14"/>
        <v>3770.3999999999996</v>
      </c>
      <c r="AJ11" s="739">
        <v>762.6</v>
      </c>
      <c r="AK11" s="2064">
        <v>693.30000000000018</v>
      </c>
      <c r="AL11" s="405">
        <f t="shared" si="15"/>
        <v>2263.1999999999998</v>
      </c>
      <c r="AM11" s="405">
        <f t="shared" si="16"/>
        <v>1923.3000000000002</v>
      </c>
      <c r="AN11" s="2162">
        <f t="shared" si="17"/>
        <v>6519.0000000000009</v>
      </c>
      <c r="AO11" s="2162">
        <f t="shared" si="18"/>
        <v>4463.7</v>
      </c>
      <c r="AP11" s="739">
        <v>762.6</v>
      </c>
      <c r="AQ11" s="2064">
        <v>436.1</v>
      </c>
      <c r="AR11" s="2162">
        <f t="shared" si="19"/>
        <v>7281.6000000000013</v>
      </c>
      <c r="AS11" s="2162">
        <f t="shared" si="20"/>
        <v>4899.8</v>
      </c>
      <c r="AT11" s="739">
        <v>688.8</v>
      </c>
      <c r="AU11" s="2064">
        <v>389.40000000000009</v>
      </c>
      <c r="AV11" s="2162">
        <f t="shared" si="21"/>
        <v>7970.4000000000015</v>
      </c>
      <c r="AW11" s="2162">
        <f t="shared" si="22"/>
        <v>5289.2000000000007</v>
      </c>
      <c r="AX11" s="739">
        <v>762.6</v>
      </c>
      <c r="AY11" s="2064">
        <v>430.70000000000005</v>
      </c>
      <c r="AZ11" s="405">
        <f t="shared" si="23"/>
        <v>2214</v>
      </c>
      <c r="BA11" s="405">
        <f t="shared" si="24"/>
        <v>1256.2000000000003</v>
      </c>
      <c r="BB11" s="497">
        <f t="shared" si="25"/>
        <v>4477.2</v>
      </c>
      <c r="BC11" s="497">
        <f t="shared" si="26"/>
        <v>3179.5000000000005</v>
      </c>
      <c r="BD11" s="2162">
        <f t="shared" si="27"/>
        <v>8733.0000000000018</v>
      </c>
      <c r="BE11" s="2162">
        <f t="shared" si="28"/>
        <v>5719.9000000000005</v>
      </c>
      <c r="BF11" s="26"/>
      <c r="BG11" s="26"/>
      <c r="BH11" s="26"/>
      <c r="BI11" s="1546"/>
      <c r="BJ11" s="1546"/>
    </row>
    <row r="12" spans="1:62" ht="18.75" x14ac:dyDescent="0.3">
      <c r="A12" s="2220"/>
      <c r="B12" s="6329" t="s">
        <v>419</v>
      </c>
      <c r="C12" s="50" t="s">
        <v>415</v>
      </c>
      <c r="D12" s="739">
        <v>23256</v>
      </c>
      <c r="E12" s="2064">
        <v>27201.599999999999</v>
      </c>
      <c r="F12" s="739">
        <v>24031.200000000001</v>
      </c>
      <c r="G12" s="2064">
        <v>28108.080000000002</v>
      </c>
      <c r="H12" s="350">
        <f t="shared" si="0"/>
        <v>47287.199999999997</v>
      </c>
      <c r="I12" s="211">
        <f t="shared" si="1"/>
        <v>55309.68</v>
      </c>
      <c r="J12" s="739">
        <v>23256</v>
      </c>
      <c r="K12" s="2064">
        <v>27245.280000000002</v>
      </c>
      <c r="L12" s="405">
        <f t="shared" si="2"/>
        <v>70543.199999999997</v>
      </c>
      <c r="M12" s="405">
        <f t="shared" si="3"/>
        <v>82554.960000000006</v>
      </c>
      <c r="N12" s="739">
        <v>24031.200000000001</v>
      </c>
      <c r="O12" s="2064">
        <v>28681.360000000008</v>
      </c>
      <c r="P12" s="2162">
        <f t="shared" si="4"/>
        <v>94574.399999999994</v>
      </c>
      <c r="Q12" s="2162">
        <f t="shared" si="4"/>
        <v>111236.32</v>
      </c>
      <c r="R12" s="739">
        <v>24031.200000000001</v>
      </c>
      <c r="S12" s="2064">
        <v>28437.119999999995</v>
      </c>
      <c r="T12" s="2162">
        <f t="shared" si="5"/>
        <v>118605.59999999999</v>
      </c>
      <c r="U12" s="2162">
        <f t="shared" si="6"/>
        <v>139673.44</v>
      </c>
      <c r="V12" s="739">
        <v>15276</v>
      </c>
      <c r="W12" s="2064">
        <v>27652.880000000001</v>
      </c>
      <c r="X12" s="405">
        <f t="shared" si="7"/>
        <v>63338.400000000001</v>
      </c>
      <c r="Y12" s="405">
        <f t="shared" si="8"/>
        <v>84771.36</v>
      </c>
      <c r="Z12" s="497">
        <f t="shared" si="9"/>
        <v>133881.60000000001</v>
      </c>
      <c r="AA12" s="497">
        <f t="shared" si="10"/>
        <v>167326.32</v>
      </c>
      <c r="AB12" s="739">
        <v>23324.400000000001</v>
      </c>
      <c r="AC12" s="2064">
        <v>24314.400000000005</v>
      </c>
      <c r="AD12" s="2162">
        <f t="shared" si="11"/>
        <v>157206</v>
      </c>
      <c r="AE12" s="2162">
        <f t="shared" si="12"/>
        <v>191640.72</v>
      </c>
      <c r="AF12" s="739">
        <v>22572</v>
      </c>
      <c r="AG12" s="2064">
        <v>17001.52</v>
      </c>
      <c r="AH12" s="2162">
        <f t="shared" si="13"/>
        <v>179778</v>
      </c>
      <c r="AI12" s="2162">
        <f t="shared" si="14"/>
        <v>208642.24</v>
      </c>
      <c r="AJ12" s="739">
        <v>23324.400000000001</v>
      </c>
      <c r="AK12" s="2064">
        <v>27133.200000000001</v>
      </c>
      <c r="AL12" s="405">
        <f t="shared" si="15"/>
        <v>69220.800000000003</v>
      </c>
      <c r="AM12" s="405">
        <f t="shared" si="16"/>
        <v>68449.12000000001</v>
      </c>
      <c r="AN12" s="2162">
        <f t="shared" si="17"/>
        <v>203102.4</v>
      </c>
      <c r="AO12" s="2162">
        <f t="shared" si="18"/>
        <v>235775.44</v>
      </c>
      <c r="AP12" s="739">
        <v>23324.400000000001</v>
      </c>
      <c r="AQ12" s="2064">
        <v>28050.320000000007</v>
      </c>
      <c r="AR12" s="2162">
        <f t="shared" si="19"/>
        <v>226426.8</v>
      </c>
      <c r="AS12" s="2162">
        <f t="shared" si="20"/>
        <v>263825.76</v>
      </c>
      <c r="AT12" s="739">
        <v>21067.200000000001</v>
      </c>
      <c r="AU12" s="2064">
        <v>25552.560000000005</v>
      </c>
      <c r="AV12" s="2162">
        <f t="shared" si="21"/>
        <v>247494</v>
      </c>
      <c r="AW12" s="2162">
        <f t="shared" si="22"/>
        <v>289378.32</v>
      </c>
      <c r="AX12" s="739">
        <v>23324.400000000001</v>
      </c>
      <c r="AY12" s="2064">
        <v>28266.959999999995</v>
      </c>
      <c r="AZ12" s="405">
        <f t="shared" si="23"/>
        <v>67716</v>
      </c>
      <c r="BA12" s="405">
        <f t="shared" si="24"/>
        <v>81869.840000000011</v>
      </c>
      <c r="BB12" s="497">
        <f t="shared" si="25"/>
        <v>136936.79999999999</v>
      </c>
      <c r="BC12" s="497">
        <f t="shared" si="26"/>
        <v>150318.96000000002</v>
      </c>
      <c r="BD12" s="2162">
        <f t="shared" si="27"/>
        <v>270818.40000000002</v>
      </c>
      <c r="BE12" s="2162">
        <f t="shared" si="28"/>
        <v>317645.28000000003</v>
      </c>
      <c r="BF12" s="26"/>
      <c r="BG12" s="26"/>
      <c r="BH12" s="26"/>
      <c r="BI12" s="1546"/>
      <c r="BJ12" s="1546"/>
    </row>
    <row r="13" spans="1:62" ht="18.75" x14ac:dyDescent="0.3">
      <c r="A13" s="2220"/>
      <c r="B13" s="6329"/>
      <c r="C13" s="50" t="s">
        <v>50</v>
      </c>
      <c r="D13" s="739">
        <v>29070</v>
      </c>
      <c r="E13" s="2064">
        <v>34002</v>
      </c>
      <c r="F13" s="739">
        <v>30039</v>
      </c>
      <c r="G13" s="2064">
        <v>35135.1</v>
      </c>
      <c r="H13" s="350">
        <f t="shared" si="0"/>
        <v>59109</v>
      </c>
      <c r="I13" s="211">
        <f t="shared" si="1"/>
        <v>69137.100000000006</v>
      </c>
      <c r="J13" s="739">
        <v>29070</v>
      </c>
      <c r="K13" s="2064">
        <v>34056.600000000006</v>
      </c>
      <c r="L13" s="405">
        <f t="shared" si="2"/>
        <v>88179</v>
      </c>
      <c r="M13" s="405">
        <f t="shared" si="3"/>
        <v>103193.70000000001</v>
      </c>
      <c r="N13" s="739">
        <v>30039</v>
      </c>
      <c r="O13" s="2064">
        <v>35851.700000000012</v>
      </c>
      <c r="P13" s="2162">
        <f t="shared" si="4"/>
        <v>118218</v>
      </c>
      <c r="Q13" s="2162">
        <f t="shared" si="4"/>
        <v>139045.40000000002</v>
      </c>
      <c r="R13" s="739">
        <v>30039</v>
      </c>
      <c r="S13" s="2064">
        <v>35546.399999999994</v>
      </c>
      <c r="T13" s="2162">
        <f t="shared" si="5"/>
        <v>148257</v>
      </c>
      <c r="U13" s="2162">
        <f t="shared" si="6"/>
        <v>174591.80000000002</v>
      </c>
      <c r="V13" s="739">
        <v>19095</v>
      </c>
      <c r="W13" s="2064">
        <v>34566.1</v>
      </c>
      <c r="X13" s="405">
        <f t="shared" si="7"/>
        <v>79173</v>
      </c>
      <c r="Y13" s="405">
        <f t="shared" si="8"/>
        <v>105964.20000000001</v>
      </c>
      <c r="Z13" s="497">
        <f t="shared" si="9"/>
        <v>167352</v>
      </c>
      <c r="AA13" s="497">
        <f t="shared" si="10"/>
        <v>209157.90000000002</v>
      </c>
      <c r="AB13" s="739">
        <v>29155.5</v>
      </c>
      <c r="AC13" s="2064">
        <v>30393.000000000004</v>
      </c>
      <c r="AD13" s="2162">
        <f t="shared" si="11"/>
        <v>196507.5</v>
      </c>
      <c r="AE13" s="2162">
        <f t="shared" si="12"/>
        <v>239550.90000000002</v>
      </c>
      <c r="AF13" s="739">
        <v>28215</v>
      </c>
      <c r="AG13" s="2064">
        <v>21251.9</v>
      </c>
      <c r="AH13" s="2162">
        <f t="shared" si="13"/>
        <v>224722.5</v>
      </c>
      <c r="AI13" s="2162">
        <f t="shared" si="14"/>
        <v>260802.80000000002</v>
      </c>
      <c r="AJ13" s="739">
        <v>29155.5</v>
      </c>
      <c r="AK13" s="2064">
        <v>33916.5</v>
      </c>
      <c r="AL13" s="405">
        <f t="shared" si="15"/>
        <v>86526</v>
      </c>
      <c r="AM13" s="405">
        <f t="shared" si="16"/>
        <v>85561.400000000009</v>
      </c>
      <c r="AN13" s="2162">
        <f t="shared" si="17"/>
        <v>253878</v>
      </c>
      <c r="AO13" s="2162">
        <f t="shared" si="18"/>
        <v>294719.30000000005</v>
      </c>
      <c r="AP13" s="739">
        <v>29155.5</v>
      </c>
      <c r="AQ13" s="2064">
        <v>35062.900000000009</v>
      </c>
      <c r="AR13" s="2162">
        <f t="shared" si="19"/>
        <v>283033.5</v>
      </c>
      <c r="AS13" s="2162">
        <f t="shared" si="20"/>
        <v>329782.20000000007</v>
      </c>
      <c r="AT13" s="739">
        <v>26334</v>
      </c>
      <c r="AU13" s="2064">
        <v>31940.700000000004</v>
      </c>
      <c r="AV13" s="2162">
        <f t="shared" si="21"/>
        <v>309367.5</v>
      </c>
      <c r="AW13" s="2162">
        <f t="shared" si="22"/>
        <v>361722.90000000008</v>
      </c>
      <c r="AX13" s="739">
        <v>29155.5</v>
      </c>
      <c r="AY13" s="2064">
        <v>35333.699999999997</v>
      </c>
      <c r="AZ13" s="405">
        <f t="shared" si="23"/>
        <v>84645</v>
      </c>
      <c r="BA13" s="405">
        <f t="shared" si="24"/>
        <v>102337.3</v>
      </c>
      <c r="BB13" s="497">
        <f t="shared" si="25"/>
        <v>171171</v>
      </c>
      <c r="BC13" s="497">
        <f t="shared" si="26"/>
        <v>187898.7</v>
      </c>
      <c r="BD13" s="2162">
        <f t="shared" si="27"/>
        <v>338523</v>
      </c>
      <c r="BE13" s="2162">
        <f t="shared" si="28"/>
        <v>397056.60000000009</v>
      </c>
      <c r="BF13" s="26"/>
      <c r="BG13" s="26"/>
      <c r="BH13" s="26"/>
      <c r="BI13" s="1546"/>
      <c r="BJ13" s="1546"/>
    </row>
    <row r="14" spans="1:62" ht="18.75" x14ac:dyDescent="0.3">
      <c r="A14" s="2220"/>
      <c r="B14" s="6329" t="s">
        <v>420</v>
      </c>
      <c r="C14" s="50" t="s">
        <v>415</v>
      </c>
      <c r="D14" s="739">
        <v>1023.84</v>
      </c>
      <c r="E14" s="2064">
        <v>881.72</v>
      </c>
      <c r="F14" s="739">
        <v>1057.9680000000001</v>
      </c>
      <c r="G14" s="2064">
        <v>871.5559999999997</v>
      </c>
      <c r="H14" s="350">
        <f t="shared" si="0"/>
        <v>2081.808</v>
      </c>
      <c r="I14" s="211">
        <f t="shared" si="1"/>
        <v>1753.2759999999998</v>
      </c>
      <c r="J14" s="739">
        <v>1023.84</v>
      </c>
      <c r="K14" s="2064">
        <v>928.14399999999978</v>
      </c>
      <c r="L14" s="405">
        <f t="shared" si="2"/>
        <v>3105.6480000000001</v>
      </c>
      <c r="M14" s="405">
        <f t="shared" si="3"/>
        <v>2681.4199999999996</v>
      </c>
      <c r="N14" s="739">
        <v>1057.9680000000001</v>
      </c>
      <c r="O14" s="2064">
        <v>937.72</v>
      </c>
      <c r="P14" s="2162">
        <f t="shared" si="4"/>
        <v>4163.616</v>
      </c>
      <c r="Q14" s="2162">
        <f t="shared" si="4"/>
        <v>3619.1399999999994</v>
      </c>
      <c r="R14" s="739">
        <v>1057.9680000000001</v>
      </c>
      <c r="S14" s="2064">
        <v>912.4079999999999</v>
      </c>
      <c r="T14" s="2162">
        <f t="shared" si="5"/>
        <v>5221.5839999999998</v>
      </c>
      <c r="U14" s="2162">
        <f t="shared" si="6"/>
        <v>4531.5479999999989</v>
      </c>
      <c r="V14" s="739">
        <v>682.56</v>
      </c>
      <c r="W14" s="2064">
        <v>927.47200000000043</v>
      </c>
      <c r="X14" s="405">
        <f t="shared" si="7"/>
        <v>2798.4960000000001</v>
      </c>
      <c r="Y14" s="405">
        <f t="shared" si="8"/>
        <v>2777.6000000000004</v>
      </c>
      <c r="Z14" s="497">
        <f t="shared" si="9"/>
        <v>5904.1440000000002</v>
      </c>
      <c r="AA14" s="497">
        <f t="shared" si="10"/>
        <v>5459.02</v>
      </c>
      <c r="AB14" s="739">
        <v>1057.9680000000001</v>
      </c>
      <c r="AC14" s="2064">
        <v>754.60000000000014</v>
      </c>
      <c r="AD14" s="2162">
        <f t="shared" si="11"/>
        <v>6962.1120000000001</v>
      </c>
      <c r="AE14" s="2162">
        <f t="shared" si="12"/>
        <v>6213.6200000000008</v>
      </c>
      <c r="AF14" s="739">
        <v>1023.84</v>
      </c>
      <c r="AG14" s="2064">
        <v>515.08799999999997</v>
      </c>
      <c r="AH14" s="2162">
        <f t="shared" si="13"/>
        <v>7985.9520000000002</v>
      </c>
      <c r="AI14" s="2162">
        <f t="shared" si="14"/>
        <v>6728.7080000000005</v>
      </c>
      <c r="AJ14" s="739">
        <v>1057.9680000000001</v>
      </c>
      <c r="AK14" s="2064">
        <v>960.79200000000014</v>
      </c>
      <c r="AL14" s="405">
        <f t="shared" si="15"/>
        <v>3139.7759999999998</v>
      </c>
      <c r="AM14" s="405">
        <f t="shared" si="16"/>
        <v>2230.4800000000005</v>
      </c>
      <c r="AN14" s="2162">
        <f t="shared" si="17"/>
        <v>9043.92</v>
      </c>
      <c r="AO14" s="2162">
        <f t="shared" si="18"/>
        <v>7689.5000000000009</v>
      </c>
      <c r="AP14" s="739">
        <v>1057.9680000000001</v>
      </c>
      <c r="AQ14" s="2064">
        <v>918.51200000000017</v>
      </c>
      <c r="AR14" s="2162">
        <f t="shared" si="19"/>
        <v>10101.888000000001</v>
      </c>
      <c r="AS14" s="2162">
        <f t="shared" si="20"/>
        <v>8608.0120000000006</v>
      </c>
      <c r="AT14" s="739">
        <v>955.58399999999995</v>
      </c>
      <c r="AU14" s="2064">
        <v>848.55119999999999</v>
      </c>
      <c r="AV14" s="2162">
        <f t="shared" si="21"/>
        <v>11057.472000000002</v>
      </c>
      <c r="AW14" s="2162">
        <f t="shared" si="22"/>
        <v>9456.5632000000005</v>
      </c>
      <c r="AX14" s="739">
        <v>1057.9680000000001</v>
      </c>
      <c r="AY14" s="2064">
        <v>963.2</v>
      </c>
      <c r="AZ14" s="405">
        <f t="shared" si="23"/>
        <v>3071.5200000000004</v>
      </c>
      <c r="BA14" s="405">
        <f t="shared" si="24"/>
        <v>2730.2632000000003</v>
      </c>
      <c r="BB14" s="497">
        <f t="shared" si="25"/>
        <v>6211.2960000000003</v>
      </c>
      <c r="BC14" s="497">
        <f t="shared" si="26"/>
        <v>4960.7432000000008</v>
      </c>
      <c r="BD14" s="2162">
        <f t="shared" si="27"/>
        <v>12115.440000000002</v>
      </c>
      <c r="BE14" s="2162">
        <f t="shared" si="28"/>
        <v>10419.763200000001</v>
      </c>
      <c r="BF14" s="26"/>
      <c r="BG14" s="26"/>
      <c r="BH14" s="26"/>
      <c r="BI14" s="1546"/>
      <c r="BJ14" s="1546"/>
    </row>
    <row r="15" spans="1:62" ht="18.75" x14ac:dyDescent="0.3">
      <c r="A15" s="2220"/>
      <c r="B15" s="6329"/>
      <c r="C15" s="50" t="s">
        <v>50</v>
      </c>
      <c r="D15" s="739">
        <v>1828.2857142857142</v>
      </c>
      <c r="E15" s="2064">
        <v>1574.5</v>
      </c>
      <c r="F15" s="739">
        <v>1889.2285714285713</v>
      </c>
      <c r="G15" s="2064">
        <v>1556.3499999999995</v>
      </c>
      <c r="H15" s="350">
        <f t="shared" si="0"/>
        <v>3717.5142857142855</v>
      </c>
      <c r="I15" s="211">
        <f t="shared" si="1"/>
        <v>3130.8499999999995</v>
      </c>
      <c r="J15" s="739">
        <v>1828.2857142857142</v>
      </c>
      <c r="K15" s="2064">
        <v>1657.3999999999996</v>
      </c>
      <c r="L15" s="405">
        <f t="shared" si="2"/>
        <v>5545.7999999999993</v>
      </c>
      <c r="M15" s="405">
        <f t="shared" si="3"/>
        <v>4788.2499999999991</v>
      </c>
      <c r="N15" s="739">
        <v>1889.2285714285713</v>
      </c>
      <c r="O15" s="2064">
        <v>1674.5</v>
      </c>
      <c r="P15" s="2162">
        <f t="shared" si="4"/>
        <v>7435.028571428571</v>
      </c>
      <c r="Q15" s="2162">
        <f t="shared" si="4"/>
        <v>6462.7499999999991</v>
      </c>
      <c r="R15" s="739">
        <v>1889.2285714285713</v>
      </c>
      <c r="S15" s="2064">
        <v>1629.2999999999997</v>
      </c>
      <c r="T15" s="2162">
        <f t="shared" si="5"/>
        <v>9324.2571428571428</v>
      </c>
      <c r="U15" s="2162">
        <f t="shared" si="6"/>
        <v>8092.0499999999993</v>
      </c>
      <c r="V15" s="739">
        <v>1218.8571428571427</v>
      </c>
      <c r="W15" s="2064">
        <v>1656.2000000000007</v>
      </c>
      <c r="X15" s="405">
        <f t="shared" si="7"/>
        <v>4997.3142857142848</v>
      </c>
      <c r="Y15" s="405">
        <f t="shared" si="8"/>
        <v>4960</v>
      </c>
      <c r="Z15" s="497">
        <f t="shared" si="9"/>
        <v>10543.114285714284</v>
      </c>
      <c r="AA15" s="497">
        <f t="shared" si="10"/>
        <v>9748.25</v>
      </c>
      <c r="AB15" s="739">
        <v>1889.2285714285713</v>
      </c>
      <c r="AC15" s="2064">
        <v>1347.5000000000002</v>
      </c>
      <c r="AD15" s="2162">
        <f t="shared" si="11"/>
        <v>12432.342857142856</v>
      </c>
      <c r="AE15" s="2162">
        <f t="shared" si="12"/>
        <v>11095.75</v>
      </c>
      <c r="AF15" s="739">
        <v>1828.2857142857142</v>
      </c>
      <c r="AG15" s="2064">
        <v>919.8</v>
      </c>
      <c r="AH15" s="2162">
        <f t="shared" si="13"/>
        <v>14260.62857142857</v>
      </c>
      <c r="AI15" s="2162">
        <f t="shared" si="14"/>
        <v>12015.55</v>
      </c>
      <c r="AJ15" s="739">
        <v>1889.2285714285713</v>
      </c>
      <c r="AK15" s="2064">
        <v>1715.7000000000003</v>
      </c>
      <c r="AL15" s="405">
        <f t="shared" si="15"/>
        <v>5606.7428571428572</v>
      </c>
      <c r="AM15" s="405">
        <f t="shared" si="16"/>
        <v>3983.0000000000005</v>
      </c>
      <c r="AN15" s="2162">
        <f t="shared" si="17"/>
        <v>16149.857142857141</v>
      </c>
      <c r="AO15" s="2162">
        <f t="shared" si="18"/>
        <v>13731.25</v>
      </c>
      <c r="AP15" s="739">
        <v>1889.2285714285713</v>
      </c>
      <c r="AQ15" s="2064">
        <v>1640.2000000000003</v>
      </c>
      <c r="AR15" s="2162">
        <f t="shared" si="19"/>
        <v>18039.085714285713</v>
      </c>
      <c r="AS15" s="2162">
        <f t="shared" si="20"/>
        <v>15371.45</v>
      </c>
      <c r="AT15" s="739">
        <v>1706.3999999999996</v>
      </c>
      <c r="AU15" s="2064">
        <v>1515.27</v>
      </c>
      <c r="AV15" s="2162">
        <f t="shared" si="21"/>
        <v>19745.485714285714</v>
      </c>
      <c r="AW15" s="2162">
        <f t="shared" si="22"/>
        <v>16886.72</v>
      </c>
      <c r="AX15" s="739">
        <v>1889.2285714285713</v>
      </c>
      <c r="AY15" s="2064">
        <v>1720</v>
      </c>
      <c r="AZ15" s="405">
        <f t="shared" si="23"/>
        <v>5484.8571428571422</v>
      </c>
      <c r="BA15" s="405">
        <f t="shared" si="24"/>
        <v>4875.47</v>
      </c>
      <c r="BB15" s="497">
        <f t="shared" si="25"/>
        <v>11091.599999999999</v>
      </c>
      <c r="BC15" s="497">
        <f t="shared" si="26"/>
        <v>8858.4700000000012</v>
      </c>
      <c r="BD15" s="2162">
        <f t="shared" si="27"/>
        <v>21634.714285714286</v>
      </c>
      <c r="BE15" s="2162">
        <f t="shared" si="28"/>
        <v>18606.72</v>
      </c>
      <c r="BF15" s="26"/>
      <c r="BG15" s="26"/>
      <c r="BH15" s="26"/>
      <c r="BI15" s="1546"/>
      <c r="BJ15" s="1546"/>
    </row>
    <row r="16" spans="1:62" ht="18" x14ac:dyDescent="0.35">
      <c r="A16" s="2231"/>
      <c r="B16" s="1469" t="s">
        <v>335</v>
      </c>
      <c r="C16" s="1348"/>
      <c r="D16" s="1472"/>
      <c r="E16" s="1470"/>
      <c r="F16" s="1472"/>
      <c r="G16" s="1470"/>
      <c r="H16" s="1466"/>
      <c r="I16" s="1470"/>
      <c r="J16" s="1472"/>
      <c r="K16" s="1470"/>
      <c r="L16" s="1466"/>
      <c r="M16" s="1470"/>
      <c r="N16" s="1472"/>
      <c r="O16" s="1470"/>
      <c r="P16" s="948"/>
      <c r="Q16" s="948"/>
      <c r="R16" s="1472"/>
      <c r="S16" s="1470"/>
      <c r="T16" s="948"/>
      <c r="U16" s="948"/>
      <c r="V16" s="1472"/>
      <c r="W16" s="1470"/>
      <c r="X16" s="1466"/>
      <c r="Y16" s="1470"/>
      <c r="Z16" s="948"/>
      <c r="AA16" s="948"/>
      <c r="AB16" s="1472"/>
      <c r="AC16" s="1470"/>
      <c r="AD16" s="948"/>
      <c r="AE16" s="948"/>
      <c r="AF16" s="1472"/>
      <c r="AG16" s="1470"/>
      <c r="AH16" s="948"/>
      <c r="AI16" s="948"/>
      <c r="AJ16" s="1472"/>
      <c r="AK16" s="1470"/>
      <c r="AL16" s="1466"/>
      <c r="AM16" s="1470"/>
      <c r="AN16" s="948"/>
      <c r="AO16" s="948"/>
      <c r="AP16" s="1472"/>
      <c r="AQ16" s="1470"/>
      <c r="AR16" s="948"/>
      <c r="AS16" s="948"/>
      <c r="AT16" s="1472"/>
      <c r="AU16" s="1470"/>
      <c r="AV16" s="948"/>
      <c r="AW16" s="948"/>
      <c r="AX16" s="1472"/>
      <c r="AY16" s="1470"/>
      <c r="AZ16" s="1466"/>
      <c r="BA16" s="1470"/>
      <c r="BB16" s="948"/>
      <c r="BC16" s="948"/>
      <c r="BD16" s="948"/>
      <c r="BE16" s="948"/>
      <c r="BF16" s="26"/>
      <c r="BG16" s="26"/>
      <c r="BH16" s="26"/>
      <c r="BI16" s="1546"/>
      <c r="BJ16" s="1546"/>
    </row>
    <row r="17" spans="1:62" ht="18" x14ac:dyDescent="0.35">
      <c r="A17" s="2231"/>
      <c r="B17" s="1469" t="s">
        <v>100</v>
      </c>
      <c r="C17" s="1348"/>
      <c r="D17" s="1472"/>
      <c r="E17" s="1470"/>
      <c r="F17" s="1472"/>
      <c r="G17" s="1470"/>
      <c r="H17" s="1466"/>
      <c r="I17" s="1470"/>
      <c r="J17" s="1472"/>
      <c r="K17" s="1470"/>
      <c r="L17" s="1466"/>
      <c r="M17" s="1470"/>
      <c r="N17" s="1472"/>
      <c r="O17" s="1470"/>
      <c r="P17" s="948"/>
      <c r="Q17" s="948"/>
      <c r="R17" s="1472"/>
      <c r="S17" s="1470"/>
      <c r="T17" s="948"/>
      <c r="U17" s="948"/>
      <c r="V17" s="1472"/>
      <c r="W17" s="1470"/>
      <c r="X17" s="1466"/>
      <c r="Y17" s="1470"/>
      <c r="Z17" s="948"/>
      <c r="AA17" s="948"/>
      <c r="AB17" s="1472"/>
      <c r="AC17" s="1470"/>
      <c r="AD17" s="948"/>
      <c r="AE17" s="948"/>
      <c r="AF17" s="1472"/>
      <c r="AG17" s="1470"/>
      <c r="AH17" s="948"/>
      <c r="AI17" s="948"/>
      <c r="AJ17" s="1472"/>
      <c r="AK17" s="1470"/>
      <c r="AL17" s="1466"/>
      <c r="AM17" s="1470"/>
      <c r="AN17" s="948"/>
      <c r="AO17" s="948"/>
      <c r="AP17" s="1472"/>
      <c r="AQ17" s="1470"/>
      <c r="AR17" s="948"/>
      <c r="AS17" s="948"/>
      <c r="AT17" s="1472"/>
      <c r="AU17" s="1470"/>
      <c r="AV17" s="948"/>
      <c r="AW17" s="948"/>
      <c r="AX17" s="1472"/>
      <c r="AY17" s="1470"/>
      <c r="AZ17" s="1466"/>
      <c r="BA17" s="1470"/>
      <c r="BB17" s="948"/>
      <c r="BC17" s="948"/>
      <c r="BD17" s="948"/>
      <c r="BE17" s="948"/>
      <c r="BF17" s="26"/>
      <c r="BG17" s="26"/>
      <c r="BH17" s="26"/>
      <c r="BI17" s="1546"/>
      <c r="BJ17" s="1546"/>
    </row>
    <row r="18" spans="1:62" ht="18.75" x14ac:dyDescent="0.3">
      <c r="A18" s="2220"/>
      <c r="B18" s="2232" t="s">
        <v>812</v>
      </c>
      <c r="C18" s="50" t="s">
        <v>560</v>
      </c>
      <c r="D18" s="2066">
        <f>1800/1000</f>
        <v>1.8</v>
      </c>
      <c r="E18" s="2065">
        <f>957.67/(24*E$2)</f>
        <v>1.3300972222222223</v>
      </c>
      <c r="F18" s="2066">
        <f>1800/1000</f>
        <v>1.8</v>
      </c>
      <c r="G18" s="2065">
        <f>989.59/(24*G$2)</f>
        <v>1.3300940860215054</v>
      </c>
      <c r="H18" s="2068">
        <f t="shared" ref="H18:I22" si="29">+((D18*D$2)+(F18*F$2))/H$2</f>
        <v>1.8000000000000003</v>
      </c>
      <c r="I18" s="2911">
        <f t="shared" si="29"/>
        <v>1.3300956284153007</v>
      </c>
      <c r="J18" s="2066">
        <f>1800/1000</f>
        <v>1.8</v>
      </c>
      <c r="K18" s="2065">
        <f>980.63/(24*K$2)</f>
        <v>1.3619861111111111</v>
      </c>
      <c r="L18" s="2233">
        <f t="shared" ref="L18:M22" si="30">+((D18*D$2)+(F18*F$2)+(J18*J$2))/L$2</f>
        <v>1.8</v>
      </c>
      <c r="M18" s="2233">
        <f t="shared" si="30"/>
        <v>1.3406089743589744</v>
      </c>
      <c r="N18" s="2066">
        <f>1800/1000</f>
        <v>1.8</v>
      </c>
      <c r="O18" s="2065">
        <f>1023.19/(24*O$2)</f>
        <v>1.375255376344086</v>
      </c>
      <c r="P18" s="349">
        <f t="shared" ref="P18:Q22" si="31">+((L18*L$2)+(N18*N$2))/P$2</f>
        <v>1.8000000000000003</v>
      </c>
      <c r="Q18" s="349">
        <f t="shared" si="31"/>
        <v>1.349412568306011</v>
      </c>
      <c r="R18" s="2066">
        <f>1800/1000</f>
        <v>1.8</v>
      </c>
      <c r="S18" s="2065">
        <f>986.02/(24*S$2)</f>
        <v>1.3252956989247311</v>
      </c>
      <c r="T18" s="349">
        <f t="shared" ref="T18:T22" si="32">+((P18*P$2)+(R18*R$2))/T$2</f>
        <v>1.8000000000000003</v>
      </c>
      <c r="U18" s="349">
        <f t="shared" ref="U18:U22" si="33">+((Q18*Q$2)+(S18*S$2))/U$2</f>
        <v>1.3445261437908496</v>
      </c>
      <c r="V18" s="2066">
        <f>1100/1000</f>
        <v>1.1000000000000001</v>
      </c>
      <c r="W18" s="2065">
        <f>869.47/(24*W$2)</f>
        <v>1.2075972222222222</v>
      </c>
      <c r="X18" s="2233">
        <f t="shared" ref="X18:Y20" si="34">(N18*N$2+R18*R$2+V18*V$2)/X$2</f>
        <v>1.5717391304347827</v>
      </c>
      <c r="Y18" s="2233">
        <f t="shared" si="34"/>
        <v>1.30375</v>
      </c>
      <c r="Z18" s="498">
        <f t="shared" ref="Z18:AA22" si="35">+((T18*T$2)+(V18*V$2))/Z$2</f>
        <v>1.6852459016393444</v>
      </c>
      <c r="AA18" s="498">
        <f t="shared" si="35"/>
        <v>1.3220787795992712</v>
      </c>
      <c r="AB18" s="2066">
        <v>1.5</v>
      </c>
      <c r="AC18" s="2065">
        <f>935.41/(24*AC$2)</f>
        <v>1.2572715053763441</v>
      </c>
      <c r="AD18" s="349">
        <f t="shared" ref="AD18:AD22" si="36">+((Z18*Z$2)+(AB18*AB$2))/AD$2</f>
        <v>1.6584112149532713</v>
      </c>
      <c r="AE18" s="349">
        <f t="shared" ref="AE18:AE22" si="37">+((AA18*AA$2)+(AC18*AC$2))/AE$2</f>
        <v>1.3126908099688472</v>
      </c>
      <c r="AF18" s="2066">
        <v>1.5</v>
      </c>
      <c r="AG18" s="2065">
        <f>601.72/(24*AG$2)</f>
        <v>0.83572222222222226</v>
      </c>
      <c r="AH18" s="349">
        <f t="shared" ref="AH18:AH22" si="38">+((AD18*AD$2)+(AF18*AF$2))/AH$2</f>
        <v>1.6389344262295082</v>
      </c>
      <c r="AI18" s="349">
        <f t="shared" ref="AI18:AI22" si="39">+((AE18*AE$2)+(AG18*AG$2))/AI$2</f>
        <v>1.2540471311475407</v>
      </c>
      <c r="AJ18" s="2066">
        <v>1.5</v>
      </c>
      <c r="AK18" s="2065">
        <f>1102.08/(24*AK$2)</f>
        <v>1.4812903225806451</v>
      </c>
      <c r="AL18" s="2233">
        <f t="shared" ref="AL18:AL22" si="40">(AB18*AB$2+AF18*AF$2+AJ18*AJ$2)/AL$2</f>
        <v>1.5</v>
      </c>
      <c r="AM18" s="2233">
        <f t="shared" ref="AM18:AM22" si="41">(AC18*AC$2+AG18*AG$2+AK18*AK$2)/AM$2</f>
        <v>1.1952943840579711</v>
      </c>
      <c r="AN18" s="349">
        <f t="shared" ref="AN18:AN22" si="42">+((AH18*AH$2)+(AJ18*AJ$2))/AN$2</f>
        <v>1.6232727272727274</v>
      </c>
      <c r="AO18" s="349">
        <f t="shared" ref="AO18:AO22" si="43">+((AI18*AI$2)+(AK18*AK$2))/AO$2</f>
        <v>1.2796636363636362</v>
      </c>
      <c r="AP18" s="2066">
        <v>1.5</v>
      </c>
      <c r="AQ18" s="2065">
        <f>1058.26/(24*AQ$2)</f>
        <v>1.4223924731182795</v>
      </c>
      <c r="AR18" s="349">
        <f t="shared" ref="AR18:AR22" si="44">+((AN18*AN$2)+(AP18*AP$2))/AR$2</f>
        <v>1.6107843137254902</v>
      </c>
      <c r="AS18" s="349">
        <f t="shared" ref="AS18:AS22" si="45">+((AO18*AO$2)+(AQ18*AQ$2))/AS$2</f>
        <v>1.2941230936819172</v>
      </c>
      <c r="AT18" s="2066">
        <v>1.5</v>
      </c>
      <c r="AU18" s="2065">
        <f>1047.55/(24*AU$2)</f>
        <v>1.5588541666666667</v>
      </c>
      <c r="AV18" s="349">
        <f t="shared" ref="AV18:AV22" si="46">+((AR18*AR$2)+(AT18*AT$2))/AV$2</f>
        <v>1.6014970059880242</v>
      </c>
      <c r="AW18" s="349">
        <f t="shared" ref="AW18:AW22" si="47">+((AS18*AS$2)+(AU18*AU$2))/AW$2</f>
        <v>1.3163161177644711</v>
      </c>
      <c r="AX18" s="2066">
        <v>1.5</v>
      </c>
      <c r="AY18" s="2065">
        <f>1118.32/(24*AY$2)</f>
        <v>1.5031182795698923</v>
      </c>
      <c r="AZ18" s="2233">
        <f t="shared" ref="AZ18:AZ22" si="48">(AP18*AP$2+AT18*AT$2+AX18*AX$2)/AZ$2</f>
        <v>1.5</v>
      </c>
      <c r="BA18" s="2233">
        <f t="shared" ref="BA18:BA22" si="49">(AQ18*AQ$2+AU18*AU$2+AY18*AY$2)/BA$2</f>
        <v>1.4926527777777778</v>
      </c>
      <c r="BB18" s="498">
        <f t="shared" ref="BB18:BC22" si="50">+((AL18*AL$2)+(AZ18*AZ$2))/BB$2</f>
        <v>1.5</v>
      </c>
      <c r="BC18" s="498">
        <f t="shared" si="50"/>
        <v>1.3423397435897437</v>
      </c>
      <c r="BD18" s="349">
        <f t="shared" ref="BD18:BD22" si="51">+((AV18*AV$2)+(AX18*AX$2))/BD$2</f>
        <v>1.5928767123287673</v>
      </c>
      <c r="BE18" s="349">
        <f t="shared" ref="BE18:BE22" si="52">+((AW18*AW$2)+(AY18*AY$2))/BE$2</f>
        <v>1.3321815068493152</v>
      </c>
      <c r="BF18" s="26"/>
      <c r="BG18" s="26"/>
      <c r="BH18" s="26"/>
      <c r="BI18" s="1546"/>
      <c r="BJ18" s="1546"/>
    </row>
    <row r="19" spans="1:62" ht="18.75" x14ac:dyDescent="0.3">
      <c r="A19" s="2220"/>
      <c r="B19" s="2232" t="s">
        <v>15</v>
      </c>
      <c r="C19" s="50" t="s">
        <v>560</v>
      </c>
      <c r="D19" s="2066">
        <v>21.5</v>
      </c>
      <c r="E19" s="2065">
        <f>12416.74/(24*E$2)</f>
        <v>17.245472222222222</v>
      </c>
      <c r="F19" s="2066">
        <v>21.5</v>
      </c>
      <c r="G19" s="2065">
        <f>14695.87/(24*G$2)</f>
        <v>19.752513440860216</v>
      </c>
      <c r="H19" s="2068">
        <f t="shared" si="29"/>
        <v>21.5</v>
      </c>
      <c r="I19" s="2911">
        <f t="shared" si="29"/>
        <v>18.519542349726777</v>
      </c>
      <c r="J19" s="2066">
        <v>21.5</v>
      </c>
      <c r="K19" s="2065">
        <f>14896.84/(24*K$2)</f>
        <v>20.690055555555556</v>
      </c>
      <c r="L19" s="2233">
        <f t="shared" si="30"/>
        <v>21.5</v>
      </c>
      <c r="M19" s="2233">
        <f t="shared" si="30"/>
        <v>19.235096153846158</v>
      </c>
      <c r="N19" s="2066">
        <f>21500/1000</f>
        <v>21.5</v>
      </c>
      <c r="O19" s="2065">
        <f>16309.58/(24*O$2)</f>
        <v>21.921478494623656</v>
      </c>
      <c r="P19" s="349">
        <f t="shared" si="31"/>
        <v>21.5</v>
      </c>
      <c r="Q19" s="349">
        <f t="shared" si="31"/>
        <v>19.917701502732243</v>
      </c>
      <c r="R19" s="2066">
        <f>21500/1000</f>
        <v>21.5</v>
      </c>
      <c r="S19" s="2065">
        <f>15230.74/(24*S$2)</f>
        <v>20.471424731182797</v>
      </c>
      <c r="T19" s="349">
        <f t="shared" si="32"/>
        <v>21.5</v>
      </c>
      <c r="U19" s="349">
        <f t="shared" si="33"/>
        <v>20.029893790849677</v>
      </c>
      <c r="V19" s="2066">
        <f>14166.6666666667/1000</f>
        <v>14.1666666666667</v>
      </c>
      <c r="W19" s="2065">
        <f>14173.74/(24*W$2)</f>
        <v>19.685749999999999</v>
      </c>
      <c r="X19" s="2233">
        <f t="shared" si="34"/>
        <v>19.108695652173925</v>
      </c>
      <c r="Y19" s="2233">
        <f t="shared" si="34"/>
        <v>20.703831521739129</v>
      </c>
      <c r="Z19" s="498">
        <f t="shared" si="35"/>
        <v>20.29781420765028</v>
      </c>
      <c r="AA19" s="498">
        <f t="shared" si="35"/>
        <v>19.973476775956289</v>
      </c>
      <c r="AB19" s="2066">
        <v>22.5</v>
      </c>
      <c r="AC19" s="2065">
        <f>11533.76/(24*AC$2)</f>
        <v>15.502365591397849</v>
      </c>
      <c r="AD19" s="349">
        <f t="shared" si="36"/>
        <v>20.616822429906552</v>
      </c>
      <c r="AE19" s="349">
        <f t="shared" si="37"/>
        <v>19.325792445482872</v>
      </c>
      <c r="AF19" s="2066">
        <v>22.5</v>
      </c>
      <c r="AG19" s="2065">
        <f>60.55/(24*AG$2)</f>
        <v>8.4097222222222212E-2</v>
      </c>
      <c r="AH19" s="349">
        <f t="shared" si="38"/>
        <v>20.848360655737711</v>
      </c>
      <c r="AI19" s="349">
        <f t="shared" si="39"/>
        <v>16.960010245901643</v>
      </c>
      <c r="AJ19" s="2066">
        <v>22.5</v>
      </c>
      <c r="AK19" s="2065">
        <f>14500.92/(24*AK$2)</f>
        <v>19.490483870967743</v>
      </c>
      <c r="AL19" s="2233">
        <f t="shared" si="40"/>
        <v>22.5</v>
      </c>
      <c r="AM19" s="2233">
        <f t="shared" si="41"/>
        <v>11.818491847826087</v>
      </c>
      <c r="AN19" s="349">
        <f t="shared" si="42"/>
        <v>21.034545454545462</v>
      </c>
      <c r="AO19" s="349">
        <f t="shared" si="43"/>
        <v>17.245263636363642</v>
      </c>
      <c r="AP19" s="2066">
        <v>22.5</v>
      </c>
      <c r="AQ19" s="2065">
        <f>14298.06/(24*AQ$2)</f>
        <v>19.217822580645162</v>
      </c>
      <c r="AR19" s="349">
        <f t="shared" si="44"/>
        <v>21.183006535947719</v>
      </c>
      <c r="AS19" s="349">
        <f t="shared" si="45"/>
        <v>17.445098039215694</v>
      </c>
      <c r="AT19" s="2066">
        <v>22.5</v>
      </c>
      <c r="AU19" s="2065">
        <f>13393.03/(24*AU$2)</f>
        <v>19.930104166666666</v>
      </c>
      <c r="AV19" s="2573">
        <f t="shared" si="46"/>
        <v>21.293413173652699</v>
      </c>
      <c r="AW19" s="2573">
        <f t="shared" si="47"/>
        <v>17.653421906187631</v>
      </c>
      <c r="AX19" s="2066">
        <v>22.5</v>
      </c>
      <c r="AY19" s="1604">
        <f>14765.8/(24*AY$2)</f>
        <v>19.846505376344084</v>
      </c>
      <c r="AZ19" s="2235">
        <f t="shared" si="48"/>
        <v>22.5</v>
      </c>
      <c r="BA19" s="2235">
        <f t="shared" si="49"/>
        <v>19.655967592592592</v>
      </c>
      <c r="BB19" s="4921">
        <f t="shared" si="50"/>
        <v>22.5</v>
      </c>
      <c r="BC19" s="4921">
        <f t="shared" si="50"/>
        <v>15.694166666666666</v>
      </c>
      <c r="BD19" s="2573">
        <f t="shared" si="51"/>
        <v>21.395890410958906</v>
      </c>
      <c r="BE19" s="2573">
        <f t="shared" si="52"/>
        <v>17.839683789954343</v>
      </c>
      <c r="BF19" s="26"/>
      <c r="BG19" s="26"/>
      <c r="BH19" s="26"/>
      <c r="BI19" s="1546"/>
      <c r="BJ19" s="1546"/>
    </row>
    <row r="20" spans="1:62" ht="18.75" x14ac:dyDescent="0.3">
      <c r="A20" s="2220"/>
      <c r="B20" s="2232" t="s">
        <v>57</v>
      </c>
      <c r="C20" s="50" t="s">
        <v>560</v>
      </c>
      <c r="D20" s="2066">
        <v>16.795325779036801</v>
      </c>
      <c r="E20" s="2065">
        <f>10427.69/(24*E$2)</f>
        <v>14.482902777777779</v>
      </c>
      <c r="F20" s="2066">
        <v>16.771375917633801</v>
      </c>
      <c r="G20" s="2065">
        <f>11693.43/(24*G$2)</f>
        <v>15.716975806451613</v>
      </c>
      <c r="H20" s="2068">
        <f t="shared" si="29"/>
        <v>16.783154537995934</v>
      </c>
      <c r="I20" s="2911">
        <f t="shared" si="29"/>
        <v>15.110054644808743</v>
      </c>
      <c r="J20" s="2066">
        <v>16.795325779036801</v>
      </c>
      <c r="K20" s="2065">
        <f>12008.29/(24*K$2)</f>
        <v>16.678180555555556</v>
      </c>
      <c r="L20" s="2233">
        <f t="shared" si="30"/>
        <v>16.787167035042373</v>
      </c>
      <c r="M20" s="2233">
        <f t="shared" si="30"/>
        <v>15.627019230769232</v>
      </c>
      <c r="N20" s="2066">
        <f>16447.7291419172/1000</f>
        <v>16.4477291419172</v>
      </c>
      <c r="O20" s="2065">
        <f>12814.2/(24*O$2)</f>
        <v>17.223387096774193</v>
      </c>
      <c r="P20" s="349">
        <f t="shared" si="31"/>
        <v>16.700916422854831</v>
      </c>
      <c r="Q20" s="349">
        <f t="shared" si="31"/>
        <v>16.03265368852459</v>
      </c>
      <c r="R20" s="2066">
        <f>16447.7291419172/1000</f>
        <v>16.4477291419172</v>
      </c>
      <c r="S20" s="2065">
        <f>13174/(24*S$2)</f>
        <v>17.706989247311828</v>
      </c>
      <c r="T20" s="349">
        <f t="shared" si="32"/>
        <v>16.649617039135443</v>
      </c>
      <c r="U20" s="349">
        <f t="shared" si="33"/>
        <v>16.371898148148148</v>
      </c>
      <c r="V20" s="2066">
        <f>12000/1000</f>
        <v>12</v>
      </c>
      <c r="W20" s="2065">
        <f>12699.12/(24*W$2)</f>
        <v>17.637666666666668</v>
      </c>
      <c r="X20" s="2233">
        <f t="shared" si="34"/>
        <v>14.997382682596374</v>
      </c>
      <c r="Y20" s="2233">
        <f t="shared" si="34"/>
        <v>17.521431159420292</v>
      </c>
      <c r="Z20" s="498">
        <f t="shared" si="35"/>
        <v>15.887384737637829</v>
      </c>
      <c r="AA20" s="498">
        <f t="shared" si="35"/>
        <v>16.579401183970855</v>
      </c>
      <c r="AB20" s="2066">
        <v>16.4590180564009</v>
      </c>
      <c r="AC20" s="2065">
        <f>10933.79/(24*AC$2)</f>
        <v>14.69595430107527</v>
      </c>
      <c r="AD20" s="349">
        <f t="shared" si="36"/>
        <v>15.9701914333465</v>
      </c>
      <c r="AE20" s="349">
        <f t="shared" si="37"/>
        <v>16.306565420560748</v>
      </c>
      <c r="AF20" s="2066">
        <v>16.4625786163522</v>
      </c>
      <c r="AG20" s="2065">
        <f>480.34/(24*AG$2)</f>
        <v>0.66713888888888884</v>
      </c>
      <c r="AH20" s="349">
        <f t="shared" si="38"/>
        <v>16.030730841093103</v>
      </c>
      <c r="AI20" s="349">
        <f t="shared" si="39"/>
        <v>14.383685109289619</v>
      </c>
      <c r="AJ20" s="2066">
        <v>16.4590180564009</v>
      </c>
      <c r="AK20" s="2065">
        <f>12421.08/(24*AK$2)</f>
        <v>16.695</v>
      </c>
      <c r="AL20" s="2233">
        <f t="shared" si="40"/>
        <v>16.460179108558933</v>
      </c>
      <c r="AM20" s="2233">
        <f t="shared" si="41"/>
        <v>10.794932065217392</v>
      </c>
      <c r="AN20" s="349">
        <f t="shared" si="42"/>
        <v>16.079010490818707</v>
      </c>
      <c r="AO20" s="349">
        <f t="shared" si="43"/>
        <v>14.644233333333334</v>
      </c>
      <c r="AP20" s="2066">
        <v>16.4590180564009</v>
      </c>
      <c r="AQ20" s="2065">
        <f>13260.45/(24*AQ$2)</f>
        <v>17.823185483870969</v>
      </c>
      <c r="AR20" s="349">
        <f t="shared" si="44"/>
        <v>16.117507989292722</v>
      </c>
      <c r="AS20" s="349">
        <f t="shared" si="45"/>
        <v>14.966284041394335</v>
      </c>
      <c r="AT20" s="2066">
        <f>16397.4618149146/1000</f>
        <v>16.3974618149146</v>
      </c>
      <c r="AU20" s="2065">
        <f>11858.56/(24*AU$2)</f>
        <v>17.646666666666665</v>
      </c>
      <c r="AV20" s="349">
        <f t="shared" si="46"/>
        <v>16.140977172278983</v>
      </c>
      <c r="AW20" s="349">
        <f t="shared" si="47"/>
        <v>15.190986776447106</v>
      </c>
      <c r="AX20" s="2066">
        <f>16459.0180564009/1000</f>
        <v>16.4590180564009</v>
      </c>
      <c r="AY20" s="2065">
        <f>12121.62/(24*AY$2)</f>
        <v>16.2925</v>
      </c>
      <c r="AZ20" s="2233">
        <f t="shared" si="48"/>
        <v>16.43986722571627</v>
      </c>
      <c r="BA20" s="2233">
        <f t="shared" si="49"/>
        <v>17.24103240740741</v>
      </c>
      <c r="BB20" s="498">
        <f t="shared" si="50"/>
        <v>16.450134770889484</v>
      </c>
      <c r="BC20" s="498">
        <f t="shared" si="50"/>
        <v>13.982564102564103</v>
      </c>
      <c r="BD20" s="349">
        <f t="shared" si="51"/>
        <v>16.167988863807146</v>
      </c>
      <c r="BE20" s="349">
        <f t="shared" si="52"/>
        <v>15.2845399543379</v>
      </c>
      <c r="BF20" s="26"/>
      <c r="BG20" s="26"/>
      <c r="BH20" s="26"/>
      <c r="BI20" s="1546"/>
      <c r="BJ20" s="1546"/>
    </row>
    <row r="21" spans="1:62" ht="18.75" x14ac:dyDescent="0.3">
      <c r="A21" s="2220"/>
      <c r="B21" s="2232" t="s">
        <v>744</v>
      </c>
      <c r="C21" s="50" t="s">
        <v>560</v>
      </c>
      <c r="D21" s="2066">
        <f>1444.67422096317/1000</f>
        <v>1.44467422096317</v>
      </c>
      <c r="E21" s="2065">
        <f>0/(24*E$2)</f>
        <v>0</v>
      </c>
      <c r="F21" s="2066">
        <v>1.4686240823662</v>
      </c>
      <c r="G21" s="2065">
        <f>0/(24*G$2)</f>
        <v>0</v>
      </c>
      <c r="H21" s="2068">
        <f t="shared" si="29"/>
        <v>1.4568454620040541</v>
      </c>
      <c r="I21" s="2911">
        <f t="shared" si="29"/>
        <v>0</v>
      </c>
      <c r="J21" s="2066">
        <v>1.44467422096317</v>
      </c>
      <c r="K21" s="2065">
        <f>0/(24*K$2)</f>
        <v>0</v>
      </c>
      <c r="L21" s="2233">
        <f t="shared" si="30"/>
        <v>1.4528329649576088</v>
      </c>
      <c r="M21" s="2233">
        <f t="shared" si="30"/>
        <v>0</v>
      </c>
      <c r="N21" s="2066">
        <f>1792.27085808279/1000</f>
        <v>1.79227085808279</v>
      </c>
      <c r="O21" s="2065">
        <f>0/(24*O$2)</f>
        <v>0</v>
      </c>
      <c r="P21" s="349">
        <f t="shared" si="31"/>
        <v>1.5390835771451548</v>
      </c>
      <c r="Q21" s="349">
        <f t="shared" si="31"/>
        <v>0</v>
      </c>
      <c r="R21" s="2066">
        <f>1792.27085808279/1000</f>
        <v>1.79227085808279</v>
      </c>
      <c r="S21" s="2065">
        <f>0/(24*S$2)</f>
        <v>0</v>
      </c>
      <c r="T21" s="349">
        <f t="shared" si="32"/>
        <v>1.590382960864545</v>
      </c>
      <c r="U21" s="349">
        <f t="shared" si="33"/>
        <v>0</v>
      </c>
      <c r="V21" s="2066">
        <f>426.666666666631/1000</f>
        <v>0.426666666666631</v>
      </c>
      <c r="W21" s="2065">
        <f>0/(24*W$2)</f>
        <v>0</v>
      </c>
      <c r="X21" s="2233">
        <f t="shared" ref="X21:X22" si="53">(N21*N$2+R21*R$2+V21*V$2)/X$2</f>
        <v>1.3469651434905643</v>
      </c>
      <c r="Y21" s="2233">
        <f t="shared" ref="Y21:Y22" si="54">(O21*O$2+S21*S$2+W21*W$2)/Y$2</f>
        <v>0</v>
      </c>
      <c r="Z21" s="498">
        <f t="shared" si="35"/>
        <v>1.3996097978812803</v>
      </c>
      <c r="AA21" s="498">
        <f t="shared" si="35"/>
        <v>0</v>
      </c>
      <c r="AB21" s="2066">
        <v>1.0809819435991099</v>
      </c>
      <c r="AC21" s="2065">
        <f>0/(24*AC$2)</f>
        <v>0</v>
      </c>
      <c r="AD21" s="349">
        <f t="shared" si="36"/>
        <v>1.3534534264665732</v>
      </c>
      <c r="AE21" s="349">
        <f t="shared" si="37"/>
        <v>0</v>
      </c>
      <c r="AF21" s="2066">
        <v>1.0774213836477999</v>
      </c>
      <c r="AG21" s="2065">
        <f>0/(24*AG$2)</f>
        <v>0</v>
      </c>
      <c r="AH21" s="349">
        <f t="shared" si="38"/>
        <v>1.3195150605462322</v>
      </c>
      <c r="AI21" s="349">
        <f t="shared" si="39"/>
        <v>0</v>
      </c>
      <c r="AJ21" s="2066">
        <v>1.0809819435991099</v>
      </c>
      <c r="AK21" s="2065">
        <f>0/(24*AK$2)</f>
        <v>0</v>
      </c>
      <c r="AL21" s="2233">
        <f t="shared" si="40"/>
        <v>1.0798208914410741</v>
      </c>
      <c r="AM21" s="2233">
        <f t="shared" si="41"/>
        <v>0</v>
      </c>
      <c r="AN21" s="349">
        <f t="shared" si="42"/>
        <v>1.2926258728176474</v>
      </c>
      <c r="AO21" s="349">
        <f t="shared" si="43"/>
        <v>0</v>
      </c>
      <c r="AP21" s="2066">
        <v>1.0809819435991099</v>
      </c>
      <c r="AQ21" s="2065">
        <f>0/(24*AQ$2)</f>
        <v>0</v>
      </c>
      <c r="AR21" s="349">
        <f t="shared" si="44"/>
        <v>1.2711848211647889</v>
      </c>
      <c r="AS21" s="349">
        <f t="shared" si="45"/>
        <v>0</v>
      </c>
      <c r="AT21" s="2066">
        <f>1142.53818508535/1000</f>
        <v>1.14253818508535</v>
      </c>
      <c r="AU21" s="2065">
        <f>0/(24*AU$2)</f>
        <v>0</v>
      </c>
      <c r="AV21" s="349">
        <f t="shared" si="46"/>
        <v>1.2604000732299856</v>
      </c>
      <c r="AW21" s="349">
        <f t="shared" si="47"/>
        <v>0</v>
      </c>
      <c r="AX21" s="2066">
        <v>1.0809819435991099</v>
      </c>
      <c r="AY21" s="2065">
        <f>0/(24*AY$2)</f>
        <v>0</v>
      </c>
      <c r="AZ21" s="2233">
        <f t="shared" si="48"/>
        <v>1.1001327742837179</v>
      </c>
      <c r="BA21" s="2233">
        <f t="shared" si="49"/>
        <v>0</v>
      </c>
      <c r="BB21" s="498">
        <f t="shared" si="50"/>
        <v>1.0898652291105133</v>
      </c>
      <c r="BC21" s="498">
        <f t="shared" si="50"/>
        <v>0</v>
      </c>
      <c r="BD21" s="349">
        <f t="shared" si="51"/>
        <v>1.2451618211243496</v>
      </c>
      <c r="BE21" s="349">
        <f t="shared" si="52"/>
        <v>0</v>
      </c>
      <c r="BF21" s="26"/>
      <c r="BG21" s="26"/>
      <c r="BH21" s="26"/>
      <c r="BI21" s="1546"/>
      <c r="BJ21" s="1546"/>
    </row>
    <row r="22" spans="1:62" ht="18.75" x14ac:dyDescent="0.3">
      <c r="A22" s="2220"/>
      <c r="B22" s="2232" t="s">
        <v>101</v>
      </c>
      <c r="C22" s="50" t="s">
        <v>560</v>
      </c>
      <c r="D22" s="2066">
        <v>0</v>
      </c>
      <c r="E22" s="2065">
        <f>0/(24*E$2)</f>
        <v>0</v>
      </c>
      <c r="F22" s="2066">
        <v>0</v>
      </c>
      <c r="G22" s="2065">
        <f>0/(24*G$2)</f>
        <v>0</v>
      </c>
      <c r="H22" s="350">
        <f t="shared" si="29"/>
        <v>0</v>
      </c>
      <c r="I22" s="211">
        <f t="shared" si="29"/>
        <v>0</v>
      </c>
      <c r="J22" s="2066">
        <v>0</v>
      </c>
      <c r="K22" s="2065">
        <f>0/(24*K$2)</f>
        <v>0</v>
      </c>
      <c r="L22" s="2233">
        <f t="shared" si="30"/>
        <v>0</v>
      </c>
      <c r="M22" s="2233">
        <f t="shared" si="30"/>
        <v>0</v>
      </c>
      <c r="N22" s="2066">
        <v>0</v>
      </c>
      <c r="O22" s="2065">
        <f>0/(24*O$2)</f>
        <v>0</v>
      </c>
      <c r="P22" s="349">
        <f t="shared" si="31"/>
        <v>0</v>
      </c>
      <c r="Q22" s="349">
        <f t="shared" si="31"/>
        <v>0</v>
      </c>
      <c r="R22" s="2066">
        <v>0</v>
      </c>
      <c r="S22" s="2065">
        <f>0/(24*S$2)</f>
        <v>0</v>
      </c>
      <c r="T22" s="349">
        <f t="shared" si="32"/>
        <v>0</v>
      </c>
      <c r="U22" s="349">
        <f t="shared" si="33"/>
        <v>0</v>
      </c>
      <c r="V22" s="2066">
        <v>0</v>
      </c>
      <c r="W22" s="2065">
        <f>0/(24*W$2)</f>
        <v>0</v>
      </c>
      <c r="X22" s="2233">
        <f t="shared" si="53"/>
        <v>0</v>
      </c>
      <c r="Y22" s="2233">
        <f t="shared" si="54"/>
        <v>0</v>
      </c>
      <c r="Z22" s="498">
        <f t="shared" si="35"/>
        <v>0</v>
      </c>
      <c r="AA22" s="498">
        <f t="shared" si="35"/>
        <v>0</v>
      </c>
      <c r="AB22" s="2066">
        <v>0</v>
      </c>
      <c r="AC22" s="2065">
        <v>0</v>
      </c>
      <c r="AD22" s="349">
        <f t="shared" si="36"/>
        <v>0</v>
      </c>
      <c r="AE22" s="349">
        <f t="shared" si="37"/>
        <v>0</v>
      </c>
      <c r="AF22" s="2066">
        <v>0</v>
      </c>
      <c r="AG22" s="2065">
        <v>0</v>
      </c>
      <c r="AH22" s="349">
        <f t="shared" si="38"/>
        <v>0</v>
      </c>
      <c r="AI22" s="349">
        <f t="shared" si="39"/>
        <v>0</v>
      </c>
      <c r="AJ22" s="2066">
        <v>0</v>
      </c>
      <c r="AK22" s="2065">
        <v>0</v>
      </c>
      <c r="AL22" s="2233">
        <f t="shared" si="40"/>
        <v>0</v>
      </c>
      <c r="AM22" s="2233">
        <f t="shared" si="41"/>
        <v>0</v>
      </c>
      <c r="AN22" s="349">
        <f t="shared" si="42"/>
        <v>0</v>
      </c>
      <c r="AO22" s="349">
        <f t="shared" si="43"/>
        <v>0</v>
      </c>
      <c r="AP22" s="2066">
        <v>0</v>
      </c>
      <c r="AQ22" s="2065">
        <v>0</v>
      </c>
      <c r="AR22" s="349">
        <f t="shared" si="44"/>
        <v>0</v>
      </c>
      <c r="AS22" s="349">
        <f t="shared" si="45"/>
        <v>0</v>
      </c>
      <c r="AT22" s="2066">
        <v>0</v>
      </c>
      <c r="AU22" s="2065">
        <v>0</v>
      </c>
      <c r="AV22" s="349">
        <f t="shared" si="46"/>
        <v>0</v>
      </c>
      <c r="AW22" s="349">
        <f t="shared" si="47"/>
        <v>0</v>
      </c>
      <c r="AX22" s="2066"/>
      <c r="AY22" s="2065">
        <v>0</v>
      </c>
      <c r="AZ22" s="2233">
        <f t="shared" si="48"/>
        <v>0</v>
      </c>
      <c r="BA22" s="2233">
        <f t="shared" si="49"/>
        <v>0</v>
      </c>
      <c r="BB22" s="498">
        <f t="shared" si="50"/>
        <v>0</v>
      </c>
      <c r="BC22" s="498">
        <f t="shared" si="50"/>
        <v>0</v>
      </c>
      <c r="BD22" s="349">
        <f t="shared" si="51"/>
        <v>0</v>
      </c>
      <c r="BE22" s="349">
        <f t="shared" si="52"/>
        <v>0</v>
      </c>
      <c r="BF22" s="26"/>
      <c r="BG22" s="26"/>
      <c r="BH22" s="26"/>
      <c r="BI22" s="1546"/>
      <c r="BJ22" s="1546"/>
    </row>
    <row r="23" spans="1:62" ht="18" x14ac:dyDescent="0.35">
      <c r="A23" s="2220"/>
      <c r="B23" s="2232" t="s">
        <v>101</v>
      </c>
      <c r="C23" s="50" t="s">
        <v>50</v>
      </c>
      <c r="D23" s="739">
        <v>0</v>
      </c>
      <c r="E23" s="2064">
        <v>0</v>
      </c>
      <c r="F23" s="739">
        <v>0</v>
      </c>
      <c r="G23" s="2064">
        <v>0</v>
      </c>
      <c r="H23" s="350">
        <f>+D23+F23</f>
        <v>0</v>
      </c>
      <c r="I23" s="211">
        <f>+E23+G23</f>
        <v>0</v>
      </c>
      <c r="J23" s="739">
        <v>0</v>
      </c>
      <c r="K23" s="2064">
        <v>0</v>
      </c>
      <c r="L23" s="405">
        <f>+D23+F23+J23</f>
        <v>0</v>
      </c>
      <c r="M23" s="405">
        <f>+E23+G23+K23</f>
        <v>0</v>
      </c>
      <c r="N23" s="739">
        <v>0</v>
      </c>
      <c r="O23" s="2064">
        <v>0</v>
      </c>
      <c r="P23" s="2162">
        <f>+L23+N23</f>
        <v>0</v>
      </c>
      <c r="Q23" s="2162">
        <f>+M23+O23</f>
        <v>0</v>
      </c>
      <c r="R23" s="739">
        <v>0</v>
      </c>
      <c r="S23" s="2064">
        <v>0</v>
      </c>
      <c r="T23" s="2162">
        <f>+P23+R23</f>
        <v>0</v>
      </c>
      <c r="U23" s="2162">
        <f>+Q23+S23</f>
        <v>0</v>
      </c>
      <c r="V23" s="739">
        <v>0</v>
      </c>
      <c r="W23" s="2064">
        <v>0</v>
      </c>
      <c r="X23" s="405">
        <f>N23+R23+V23</f>
        <v>0</v>
      </c>
      <c r="Y23" s="405">
        <f>O23+S23+W23</f>
        <v>0</v>
      </c>
      <c r="Z23" s="497">
        <f>+T23+V23</f>
        <v>0</v>
      </c>
      <c r="AA23" s="497">
        <f>+U23+W23</f>
        <v>0</v>
      </c>
      <c r="AB23" s="739">
        <v>0</v>
      </c>
      <c r="AC23" s="2064">
        <v>0</v>
      </c>
      <c r="AD23" s="2162">
        <f>+Z23+AB23</f>
        <v>0</v>
      </c>
      <c r="AE23" s="2162">
        <f>+AA23+AC23</f>
        <v>0</v>
      </c>
      <c r="AF23" s="739">
        <v>0</v>
      </c>
      <c r="AG23" s="2064">
        <v>0</v>
      </c>
      <c r="AH23" s="2162">
        <f>+AD23+AF23</f>
        <v>0</v>
      </c>
      <c r="AI23" s="2162">
        <f>+AE23+AG23</f>
        <v>0</v>
      </c>
      <c r="AJ23" s="739">
        <v>0</v>
      </c>
      <c r="AK23" s="2064">
        <v>0</v>
      </c>
      <c r="AL23" s="405">
        <f>AB23+AF23+AJ23</f>
        <v>0</v>
      </c>
      <c r="AM23" s="405">
        <f>AC23+AG23+AK23</f>
        <v>0</v>
      </c>
      <c r="AN23" s="2162">
        <f>+AH23+AJ23</f>
        <v>0</v>
      </c>
      <c r="AO23" s="2162">
        <f>+AI23+AK23</f>
        <v>0</v>
      </c>
      <c r="AP23" s="739">
        <v>0</v>
      </c>
      <c r="AQ23" s="2064">
        <v>0</v>
      </c>
      <c r="AR23" s="2162">
        <f>+AN23+AP23</f>
        <v>0</v>
      </c>
      <c r="AS23" s="2162">
        <f>+AO23+AQ23</f>
        <v>0</v>
      </c>
      <c r="AT23" s="739">
        <v>0</v>
      </c>
      <c r="AU23" s="2064">
        <v>0</v>
      </c>
      <c r="AV23" s="2162">
        <f>+AR23+AT23</f>
        <v>0</v>
      </c>
      <c r="AW23" s="2162">
        <f>+AS23+AU23</f>
        <v>0</v>
      </c>
      <c r="AX23" s="739"/>
      <c r="AY23" s="2064">
        <v>0</v>
      </c>
      <c r="AZ23" s="405">
        <f>AP23+AT23+AX23</f>
        <v>0</v>
      </c>
      <c r="BA23" s="405">
        <f>AQ23+AU23+AY23</f>
        <v>0</v>
      </c>
      <c r="BB23" s="497">
        <f>+AL23+AZ23</f>
        <v>0</v>
      </c>
      <c r="BC23" s="497">
        <f>+AM23+BA23</f>
        <v>0</v>
      </c>
      <c r="BD23" s="2162">
        <f>+AV23+AX23</f>
        <v>0</v>
      </c>
      <c r="BE23" s="2162">
        <f>+AW23+AY23</f>
        <v>0</v>
      </c>
      <c r="BF23" s="26"/>
      <c r="BG23" s="26"/>
      <c r="BH23" s="26"/>
      <c r="BI23" s="1546"/>
      <c r="BJ23" s="1546"/>
    </row>
    <row r="24" spans="1:62" ht="18.75" x14ac:dyDescent="0.3">
      <c r="A24" s="2231"/>
      <c r="B24" s="2234" t="s">
        <v>21</v>
      </c>
      <c r="C24" s="844" t="s">
        <v>560</v>
      </c>
      <c r="D24" s="2066">
        <f t="shared" ref="D24:AA24" si="55">SUM(D18:D22)</f>
        <v>41.539999999999971</v>
      </c>
      <c r="E24" s="2065">
        <f t="shared" si="55"/>
        <v>33.058472222222221</v>
      </c>
      <c r="F24" s="2066">
        <f t="shared" ref="F24:G24" si="56">SUM(F18:F22)</f>
        <v>41.54</v>
      </c>
      <c r="G24" s="2065">
        <f t="shared" si="56"/>
        <v>36.799583333333338</v>
      </c>
      <c r="H24" s="2068">
        <f t="shared" si="55"/>
        <v>41.539999999999992</v>
      </c>
      <c r="I24" s="2911">
        <f t="shared" si="55"/>
        <v>34.959692622950818</v>
      </c>
      <c r="J24" s="2066">
        <f t="shared" ref="J24:K24" si="57">SUM(J18:J22)</f>
        <v>41.539999999999971</v>
      </c>
      <c r="K24" s="2065">
        <f t="shared" si="57"/>
        <v>38.730222222222224</v>
      </c>
      <c r="L24" s="2235">
        <f t="shared" si="55"/>
        <v>41.539999999999978</v>
      </c>
      <c r="M24" s="2070">
        <f t="shared" si="55"/>
        <v>36.202724358974365</v>
      </c>
      <c r="N24" s="2066">
        <f t="shared" ref="N24:O24" si="58">SUM(N18:N22)</f>
        <v>41.539999999999992</v>
      </c>
      <c r="O24" s="2065">
        <f t="shared" si="58"/>
        <v>40.520120967741931</v>
      </c>
      <c r="P24" s="349">
        <f t="shared" si="55"/>
        <v>41.539999999999985</v>
      </c>
      <c r="Q24" s="349">
        <f t="shared" si="55"/>
        <v>37.29976775956284</v>
      </c>
      <c r="R24" s="2066">
        <f t="shared" ref="R24:S24" si="59">SUM(R18:R22)</f>
        <v>41.539999999999992</v>
      </c>
      <c r="S24" s="2065">
        <f t="shared" si="59"/>
        <v>39.503709677419351</v>
      </c>
      <c r="T24" s="349">
        <f t="shared" ref="T24:W24" si="60">SUM(T18:T22)</f>
        <v>41.539999999999992</v>
      </c>
      <c r="U24" s="349">
        <f t="shared" si="60"/>
        <v>37.746318082788676</v>
      </c>
      <c r="V24" s="2066">
        <f t="shared" si="60"/>
        <v>27.693333333333332</v>
      </c>
      <c r="W24" s="2065">
        <f t="shared" si="60"/>
        <v>38.531013888888893</v>
      </c>
      <c r="X24" s="2233">
        <f>SUM(X18:X22)</f>
        <v>37.024782608695645</v>
      </c>
      <c r="Y24" s="2233">
        <f>SUM(Y18:Y22)</f>
        <v>39.529012681159422</v>
      </c>
      <c r="Z24" s="2245">
        <f t="shared" si="55"/>
        <v>39.270054644808738</v>
      </c>
      <c r="AA24" s="2245">
        <f t="shared" si="55"/>
        <v>37.874956739526411</v>
      </c>
      <c r="AB24" s="2066">
        <f>SUM(AB18:AB23)</f>
        <v>41.540000000000013</v>
      </c>
      <c r="AC24" s="1604">
        <f t="shared" ref="AC24" si="61">SUM(AC18:AC22)</f>
        <v>31.45559139784946</v>
      </c>
      <c r="AD24" s="349">
        <f t="shared" ref="AD24:AE24" si="62">SUM(AD18:AD22)</f>
        <v>39.598878504672896</v>
      </c>
      <c r="AE24" s="349">
        <f t="shared" si="62"/>
        <v>36.945048676012462</v>
      </c>
      <c r="AF24" s="2066">
        <f>SUM(AF18:AF23)</f>
        <v>41.540000000000006</v>
      </c>
      <c r="AG24" s="1604">
        <f t="shared" ref="AG24:AI24" si="63">SUM(AG18:AG22)</f>
        <v>1.5869583333333335</v>
      </c>
      <c r="AH24" s="349">
        <f t="shared" si="63"/>
        <v>39.837540983606551</v>
      </c>
      <c r="AI24" s="349">
        <f t="shared" si="63"/>
        <v>32.597742486338802</v>
      </c>
      <c r="AJ24" s="2066">
        <f>SUM(AJ18:AJ23)</f>
        <v>41.540000000000013</v>
      </c>
      <c r="AK24" s="1604">
        <f t="shared" ref="AK24" si="64">SUM(AK18:AK22)</f>
        <v>37.666774193548392</v>
      </c>
      <c r="AL24" s="2233">
        <f>SUM(AL18:AL22)</f>
        <v>41.540000000000006</v>
      </c>
      <c r="AM24" s="2233">
        <f>SUM(AM18:AM22)</f>
        <v>23.80871829710145</v>
      </c>
      <c r="AN24" s="349">
        <f t="shared" ref="AN24:AO24" si="65">SUM(AN18:AN22)</f>
        <v>40.029454545454541</v>
      </c>
      <c r="AO24" s="349">
        <f t="shared" si="65"/>
        <v>33.169160606060615</v>
      </c>
      <c r="AP24" s="2066">
        <f>SUM(AP18:AP23)</f>
        <v>41.540000000000013</v>
      </c>
      <c r="AQ24" s="1604">
        <f t="shared" ref="AQ24" si="66">SUM(AQ18:AQ22)</f>
        <v>38.463400537634413</v>
      </c>
      <c r="AR24" s="349">
        <f t="shared" ref="AR24:AS24" si="67">SUM(AR18:AR22)</f>
        <v>40.182483660130721</v>
      </c>
      <c r="AS24" s="349">
        <f t="shared" si="67"/>
        <v>33.705505174291943</v>
      </c>
      <c r="AT24" s="2066">
        <f>SUM(AT18:AT23)</f>
        <v>41.539999999999949</v>
      </c>
      <c r="AU24" s="1604">
        <f t="shared" ref="AU24:AW24" si="68">SUM(AU18:AU22)</f>
        <v>39.135624999999997</v>
      </c>
      <c r="AV24" s="349">
        <f t="shared" si="68"/>
        <v>40.296287425149693</v>
      </c>
      <c r="AW24" s="349">
        <f t="shared" si="68"/>
        <v>34.160724800399208</v>
      </c>
      <c r="AX24" s="2066">
        <f>SUM(AX18:AX23)</f>
        <v>41.540000000000013</v>
      </c>
      <c r="AY24" s="1604">
        <f t="shared" ref="AY24" si="69">SUM(AY18:AY22)</f>
        <v>37.642123655913977</v>
      </c>
      <c r="AZ24" s="2233">
        <f>SUM(AZ18:AZ22)</f>
        <v>41.539999999999985</v>
      </c>
      <c r="BA24" s="2233">
        <f>SUM(BA18:BA22)</f>
        <v>38.389652777777783</v>
      </c>
      <c r="BB24" s="2245">
        <f t="shared" ref="BB24:BC24" si="70">SUM(BB18:BB22)</f>
        <v>41.54</v>
      </c>
      <c r="BC24" s="2245">
        <f t="shared" si="70"/>
        <v>31.019070512820512</v>
      </c>
      <c r="BD24" s="349">
        <f t="shared" ref="BD24:BE24" si="71">SUM(BD18:BD22)</f>
        <v>40.401917808219167</v>
      </c>
      <c r="BE24" s="349">
        <f t="shared" si="71"/>
        <v>34.456405251141561</v>
      </c>
      <c r="BF24" s="26"/>
      <c r="BG24" s="26"/>
      <c r="BH24" s="26"/>
      <c r="BI24" s="1546"/>
      <c r="BJ24" s="1546"/>
    </row>
    <row r="25" spans="1:62" ht="18" x14ac:dyDescent="0.35">
      <c r="A25" s="2231"/>
      <c r="B25" s="1469" t="s">
        <v>102</v>
      </c>
      <c r="C25" s="1348"/>
      <c r="D25" s="2236"/>
      <c r="E25" s="2237"/>
      <c r="F25" s="2236"/>
      <c r="G25" s="2237"/>
      <c r="H25" s="3231"/>
      <c r="I25" s="3232"/>
      <c r="J25" s="2236"/>
      <c r="K25" s="2237"/>
      <c r="L25" s="2238"/>
      <c r="M25" s="2237"/>
      <c r="N25" s="2236"/>
      <c r="O25" s="2237"/>
      <c r="P25" s="2239"/>
      <c r="Q25" s="2239"/>
      <c r="R25" s="2236"/>
      <c r="S25" s="2237"/>
      <c r="T25" s="2239"/>
      <c r="U25" s="2239"/>
      <c r="V25" s="2236"/>
      <c r="W25" s="2237"/>
      <c r="X25" s="2238"/>
      <c r="Y25" s="2237"/>
      <c r="Z25" s="2239"/>
      <c r="AA25" s="2239"/>
      <c r="AB25" s="2236"/>
      <c r="AC25" s="2237"/>
      <c r="AD25" s="2239"/>
      <c r="AE25" s="2239"/>
      <c r="AF25" s="2236"/>
      <c r="AG25" s="2237"/>
      <c r="AH25" s="2239"/>
      <c r="AI25" s="2239"/>
      <c r="AJ25" s="2236"/>
      <c r="AK25" s="2237"/>
      <c r="AL25" s="2238"/>
      <c r="AM25" s="2237"/>
      <c r="AN25" s="2239"/>
      <c r="AO25" s="2239"/>
      <c r="AP25" s="2236"/>
      <c r="AQ25" s="2237"/>
      <c r="AR25" s="2239"/>
      <c r="AS25" s="2239"/>
      <c r="AT25" s="2236"/>
      <c r="AU25" s="2237"/>
      <c r="AV25" s="2239"/>
      <c r="AW25" s="2239"/>
      <c r="AX25" s="2236"/>
      <c r="AY25" s="2237"/>
      <c r="AZ25" s="2238"/>
      <c r="BA25" s="2237"/>
      <c r="BB25" s="2239"/>
      <c r="BC25" s="2239"/>
      <c r="BD25" s="2239"/>
      <c r="BE25" s="2239"/>
      <c r="BF25" s="26"/>
      <c r="BG25" s="26"/>
      <c r="BH25" s="26"/>
      <c r="BI25" s="1546"/>
      <c r="BJ25" s="1546"/>
    </row>
    <row r="26" spans="1:62" ht="18.75" x14ac:dyDescent="0.3">
      <c r="A26" s="2220"/>
      <c r="B26" s="2232" t="s">
        <v>15</v>
      </c>
      <c r="C26" s="50" t="s">
        <v>560</v>
      </c>
      <c r="D26" s="1512">
        <v>17</v>
      </c>
      <c r="E26" s="2065">
        <f>4100/(24*E$2)</f>
        <v>5.6944444444444446</v>
      </c>
      <c r="F26" s="1512">
        <v>17</v>
      </c>
      <c r="G26" s="2065">
        <f>4100/(24*G$2)</f>
        <v>5.510752688172043</v>
      </c>
      <c r="H26" s="2068">
        <f t="shared" ref="H26:I28" si="72">+((D26*D$2)+(F26*F$2))/H$2</f>
        <v>17</v>
      </c>
      <c r="I26" s="2911">
        <f t="shared" si="72"/>
        <v>5.6010928961748636</v>
      </c>
      <c r="J26" s="1512">
        <v>17</v>
      </c>
      <c r="K26" s="2065">
        <f>4100/(24*K$2)</f>
        <v>5.6944444444444446</v>
      </c>
      <c r="L26" s="2233">
        <f t="shared" ref="L26:M31" si="73">+((D26*D$2)+(F26*F$2)+(J26*J$2))/L$2</f>
        <v>17</v>
      </c>
      <c r="M26" s="2233">
        <f>+((E26*E$2)+(G26*G$2)+(K26*K$2))/M$2</f>
        <v>5.6318681318681323</v>
      </c>
      <c r="N26" s="1512">
        <v>17</v>
      </c>
      <c r="O26" s="2065">
        <f>4100/(24*O$2)</f>
        <v>5.510752688172043</v>
      </c>
      <c r="P26" s="349">
        <f>+((L26*L$2)+(N26*N$2))/P$2</f>
        <v>17</v>
      </c>
      <c r="Q26" s="349">
        <f>+((M26*M$2)+(O26*O$2))/Q$2</f>
        <v>5.6010928961748636</v>
      </c>
      <c r="R26" s="1512">
        <v>17</v>
      </c>
      <c r="S26" s="2065">
        <f>4100/(24*S$2)</f>
        <v>5.510752688172043</v>
      </c>
      <c r="T26" s="349">
        <f>+((P26*P$2)+(R26*R$2))/T$2</f>
        <v>17</v>
      </c>
      <c r="U26" s="349">
        <f>+((Q26*Q$2)+(S26*S$2))/U$2</f>
        <v>5.582788671023966</v>
      </c>
      <c r="V26" s="1512">
        <f>10333.3333333333/1000</f>
        <v>10.3333333333333</v>
      </c>
      <c r="W26" s="2065">
        <f>4100/(24*W$2)</f>
        <v>5.6944444444444446</v>
      </c>
      <c r="X26" s="2233">
        <f>(N26*N$2+R26*R$2+V26*V$2)/X$2</f>
        <v>14.826086956521729</v>
      </c>
      <c r="Y26" s="2233">
        <f>(O26*O$2+S26*S$2+W26*W$2)/Y$2</f>
        <v>5.5706521739130439</v>
      </c>
      <c r="Z26" s="498">
        <f>(L26*L$2+X26*X$2)/Z$2</f>
        <v>15.907103825136607</v>
      </c>
      <c r="AA26" s="498">
        <f>(M26*M$2+Y26*Y$2)/AA$2</f>
        <v>5.6010928961748636</v>
      </c>
      <c r="AB26" s="1512">
        <v>17</v>
      </c>
      <c r="AC26" s="2065">
        <f>4100/(24*AC$2)</f>
        <v>5.510752688172043</v>
      </c>
      <c r="AD26" s="349">
        <f>+((Z26*Z$2)+(AB26*AB$2))/AD$2</f>
        <v>16.065420560747658</v>
      </c>
      <c r="AE26" s="349">
        <f>+((AA26*AA$2)+(AC26*AC$2))/AE$2</f>
        <v>5.5880062305295946</v>
      </c>
      <c r="AF26" s="1512">
        <v>17</v>
      </c>
      <c r="AG26" s="2065">
        <f>4100/(24*AG$2)</f>
        <v>5.6944444444444446</v>
      </c>
      <c r="AH26" s="349">
        <f>+((AD26*AD$2)+(AF26*AF$2))/AH$2</f>
        <v>16.180327868852455</v>
      </c>
      <c r="AI26" s="349">
        <f>+((AE26*AE$2)+(AG26*AG$2))/AI$2</f>
        <v>5.6010928961748627</v>
      </c>
      <c r="AJ26" s="1512">
        <v>17</v>
      </c>
      <c r="AK26" s="2065">
        <f>4100/(24*AK$2)</f>
        <v>5.510752688172043</v>
      </c>
      <c r="AL26" s="2233">
        <f>(AB26*AB$2+AF26*AF$2+AJ26*AJ$2)/AL$2</f>
        <v>17</v>
      </c>
      <c r="AM26" s="2233">
        <f>(AC26*AC$2+AG26*AG$2+AK26*AK$2)/AM$2</f>
        <v>5.5706521739130439</v>
      </c>
      <c r="AN26" s="349">
        <f>+((AH26*AH$2)+(AJ26*AJ$2))/AN$2</f>
        <v>16.27272727272727</v>
      </c>
      <c r="AO26" s="349">
        <f>+((AI26*AI$2)+(AK26*AK$2))/AO$2</f>
        <v>5.5909090909090899</v>
      </c>
      <c r="AP26" s="1512">
        <v>17</v>
      </c>
      <c r="AQ26" s="2065">
        <f>4100/(24*AQ$2)</f>
        <v>5.510752688172043</v>
      </c>
      <c r="AR26" s="349">
        <f>+((AN26*AN$2)+(AP26*AP$2))/AR$2</f>
        <v>16.346405228758169</v>
      </c>
      <c r="AS26" s="349">
        <f>+((AO26*AO$2)+(AQ26*AQ$2))/AS$2</f>
        <v>5.5827886710239643</v>
      </c>
      <c r="AT26" s="1512">
        <v>17</v>
      </c>
      <c r="AU26" s="2065">
        <f>4100/(24*AU$2)</f>
        <v>6.1011904761904763</v>
      </c>
      <c r="AV26" s="349">
        <f>+((AR26*AR$2)+(AT26*AT$2))/AV$2</f>
        <v>16.401197604790418</v>
      </c>
      <c r="AW26" s="349">
        <f>+((AS26*AS$2)+(AU26*AU$2))/AW$2</f>
        <v>5.6262475049900189</v>
      </c>
      <c r="AX26" s="1512">
        <v>17</v>
      </c>
      <c r="AY26" s="2065">
        <f>4100/(24*AY$2)</f>
        <v>5.510752688172043</v>
      </c>
      <c r="AZ26" s="2233">
        <f>(AP26*AP$2+AT26*AT$2+AX26*AX$2)/AZ$2</f>
        <v>17</v>
      </c>
      <c r="BA26" s="2233">
        <f>(AQ26*AQ$2+AU26*AU$2+AY26*AY$2)/BA$2</f>
        <v>5.6944444444444446</v>
      </c>
      <c r="BB26" s="498">
        <f t="shared" ref="BB26:BC29" si="74">(AL26*AL$2+AZ26*AZ$2)/BB$2</f>
        <v>17</v>
      </c>
      <c r="BC26" s="498">
        <f t="shared" si="74"/>
        <v>5.6318681318681323</v>
      </c>
      <c r="BD26" s="349">
        <f>+((AV26*AV$2)+(AX26*AX$2))/BD$2</f>
        <v>16.452054794520549</v>
      </c>
      <c r="BE26" s="349">
        <f>+((AW26*AW$2)+(AY26*AY$2))/BE$2</f>
        <v>5.616438356164382</v>
      </c>
      <c r="BF26" s="26"/>
      <c r="BG26" s="26"/>
      <c r="BH26" s="26"/>
      <c r="BI26" s="1546"/>
      <c r="BJ26" s="1546"/>
    </row>
    <row r="27" spans="1:62" ht="18.75" x14ac:dyDescent="0.3">
      <c r="A27" s="2220"/>
      <c r="B27" s="2232" t="s">
        <v>57</v>
      </c>
      <c r="C27" s="50" t="s">
        <v>560</v>
      </c>
      <c r="D27" s="1512">
        <f>11500/1000</f>
        <v>11.5</v>
      </c>
      <c r="E27" s="2065">
        <f>5823.76/(24*E$2)</f>
        <v>8.0885555555555566</v>
      </c>
      <c r="F27" s="1512">
        <f>11500/1000</f>
        <v>11.5</v>
      </c>
      <c r="G27" s="2065">
        <f>6733.2/(24*G$2)</f>
        <v>9.0499999999999989</v>
      </c>
      <c r="H27" s="2068">
        <f t="shared" si="72"/>
        <v>11.5</v>
      </c>
      <c r="I27" s="2911">
        <f t="shared" si="72"/>
        <v>8.5771584699453562</v>
      </c>
      <c r="J27" s="1512">
        <f>11500/1000</f>
        <v>11.5</v>
      </c>
      <c r="K27" s="2065">
        <f>6778.16/(24*K$2)</f>
        <v>9.4141111111111115</v>
      </c>
      <c r="L27" s="2233">
        <f t="shared" si="73"/>
        <v>11.5</v>
      </c>
      <c r="M27" s="2233">
        <f>+((E27*E$2)+(G27*G$2)+(K27*K$2))/M$2</f>
        <v>8.8530769230769248</v>
      </c>
      <c r="N27" s="1512">
        <f>11500/1000</f>
        <v>11.5</v>
      </c>
      <c r="O27" s="2065">
        <f>7110.32/(24*O$2)</f>
        <v>9.5568817204301073</v>
      </c>
      <c r="P27" s="349">
        <f>+((L27*L$2)+(N27*N$2))/P$2</f>
        <v>11.5</v>
      </c>
      <c r="Q27" s="349">
        <f>+((M27*M$2)+(O27*O$2))/Q$2</f>
        <v>9.0319125683060122</v>
      </c>
      <c r="R27" s="1512">
        <f>11500/1000</f>
        <v>11.5</v>
      </c>
      <c r="S27" s="2065">
        <f>7037.44/(24*S$2)</f>
        <v>9.4589247311827958</v>
      </c>
      <c r="T27" s="349">
        <f>+((P27*P$2)+(R27*R$2))/T$2</f>
        <v>11.5</v>
      </c>
      <c r="U27" s="349">
        <f>+((Q27*Q$2)+(S27*S$2))/U$2</f>
        <v>9.1184313725490203</v>
      </c>
      <c r="V27" s="1512">
        <f>7833.33333333333/1000</f>
        <v>7.8333333333333304</v>
      </c>
      <c r="W27" s="2065">
        <f>6829.28/(24*W$2)</f>
        <v>9.4851111111111113</v>
      </c>
      <c r="X27" s="2233">
        <f t="shared" ref="X27:X30" si="75">(N27*N$2+R27*R$2+V27*V$2)/X$2</f>
        <v>10.304347826086955</v>
      </c>
      <c r="Y27" s="2233">
        <f t="shared" ref="Y27:Y28" si="76">(O27*O$2+S27*S$2+W27*W$2)/Y$2</f>
        <v>9.5004710144927529</v>
      </c>
      <c r="Z27" s="498">
        <f t="shared" ref="Z27:Z28" si="77">(L27*L$2+X27*X$2)/Z$2</f>
        <v>10.898907103825136</v>
      </c>
      <c r="AA27" s="498">
        <f t="shared" ref="AA27:AA28" si="78">(M27*M$2+Y27*Y$2)/AA$2</f>
        <v>9.1785428051001823</v>
      </c>
      <c r="AB27" s="1512">
        <v>10.5</v>
      </c>
      <c r="AC27" s="2065">
        <f>7546.32/(24*AC$2)</f>
        <v>10.142903225806451</v>
      </c>
      <c r="AD27" s="349">
        <f>+((Z27*Z$2)+(AB27*AB$2))/AD$2</f>
        <v>10.841121495327103</v>
      </c>
      <c r="AE27" s="349">
        <f>+((AA27*AA$2)+(AC27*AC$2))/AE$2</f>
        <v>9.3182398753894091</v>
      </c>
      <c r="AF27" s="1512">
        <v>10.5</v>
      </c>
      <c r="AG27" s="2065">
        <f>1476.96/(24*AG$2)</f>
        <v>2.0513333333333335</v>
      </c>
      <c r="AH27" s="349">
        <f>+((AD27*AD$2)+(AF27*AF$2))/AH$2</f>
        <v>10.799180327868852</v>
      </c>
      <c r="AI27" s="349">
        <f>+((AE27*AE$2)+(AG27*AG$2))/AI$2</f>
        <v>8.4247677595628421</v>
      </c>
      <c r="AJ27" s="1512">
        <v>10.5</v>
      </c>
      <c r="AK27" s="2065">
        <f>7686.64/(24*AK$2)</f>
        <v>10.331505376344086</v>
      </c>
      <c r="AL27" s="2233">
        <f t="shared" ref="AL27:AL31" si="79">(AB27*AB$2+AF27*AF$2+AJ27*AJ$2)/AL$2</f>
        <v>10.5</v>
      </c>
      <c r="AM27" s="2233">
        <f t="shared" ref="AM27:AM28" si="80">(AC27*AC$2+AG27*AG$2+AK27*AK$2)/AM$2</f>
        <v>7.5678985507246379</v>
      </c>
      <c r="AN27" s="349">
        <f>+((AH27*AH$2)+(AJ27*AJ$2))/AN$2</f>
        <v>10.765454545454546</v>
      </c>
      <c r="AO27" s="349">
        <f>+((AI27*AI$2)+(AK27*AK$2))/AO$2</f>
        <v>8.6397090909090917</v>
      </c>
      <c r="AP27" s="1512">
        <v>10.5</v>
      </c>
      <c r="AQ27" s="2065">
        <f>8067.44/(24*AQ$2)</f>
        <v>10.843333333333332</v>
      </c>
      <c r="AR27" s="349">
        <f>+((AN27*AN$2)+(AP27*AP$2))/AR$2</f>
        <v>10.738562091503267</v>
      </c>
      <c r="AS27" s="349">
        <f>+((AO27*AO$2)+(AQ27*AQ$2))/AS$2</f>
        <v>8.8629520697167763</v>
      </c>
      <c r="AT27" s="1512">
        <v>10.5</v>
      </c>
      <c r="AU27" s="2065">
        <f>6882.8/(24*AU$2)</f>
        <v>10.242261904761905</v>
      </c>
      <c r="AV27" s="349">
        <f>+((AR27*AR$2)+(AT27*AT$2))/AV$2</f>
        <v>10.718562874251496</v>
      </c>
      <c r="AW27" s="349">
        <f>+((AS27*AS$2)+(AU27*AU$2))/AW$2</f>
        <v>8.9785828343313376</v>
      </c>
      <c r="AX27" s="1512">
        <v>10.5</v>
      </c>
      <c r="AY27" s="2065">
        <f>6475.52/(24*AY$2)</f>
        <v>8.7036559139784959</v>
      </c>
      <c r="AZ27" s="2233">
        <f t="shared" ref="AZ27:AZ31" si="81">(AP27*AP$2+AT27*AT$2+AX27*AX$2)/AZ$2</f>
        <v>10.5</v>
      </c>
      <c r="BA27" s="2233">
        <f t="shared" ref="BA27:BA28" si="82">(AQ27*AQ$2+AU27*AU$2+AY27*AY$2)/BA$2</f>
        <v>9.9193333333333342</v>
      </c>
      <c r="BB27" s="498">
        <f t="shared" si="74"/>
        <v>10.5</v>
      </c>
      <c r="BC27" s="498">
        <f t="shared" si="74"/>
        <v>8.7306959706959706</v>
      </c>
      <c r="BD27" s="349">
        <f>+((AV27*AV$2)+(AX27*AX$2))/BD$2</f>
        <v>10.7</v>
      </c>
      <c r="BE27" s="349">
        <f>+((AW27*AW$2)+(AY27*AY$2))/BE$2</f>
        <v>8.9552328767123299</v>
      </c>
      <c r="BF27" s="26"/>
      <c r="BG27" s="26"/>
      <c r="BH27" s="26"/>
      <c r="BI27" s="1546"/>
      <c r="BJ27" s="1546"/>
    </row>
    <row r="28" spans="1:62" ht="18.75" x14ac:dyDescent="0.3">
      <c r="A28" s="2220"/>
      <c r="B28" s="2232" t="s">
        <v>810</v>
      </c>
      <c r="C28" s="50" t="s">
        <v>560</v>
      </c>
      <c r="D28" s="1512">
        <f>2000/1000</f>
        <v>2</v>
      </c>
      <c r="E28" s="2065">
        <f>864/(24*E$2)</f>
        <v>1.2</v>
      </c>
      <c r="F28" s="1512">
        <f>2000/1000</f>
        <v>2</v>
      </c>
      <c r="G28" s="2065">
        <f>892.8/(24*G$2)</f>
        <v>1.2</v>
      </c>
      <c r="H28" s="2068">
        <f t="shared" si="72"/>
        <v>2</v>
      </c>
      <c r="I28" s="2911">
        <f t="shared" si="72"/>
        <v>1.1999999999999997</v>
      </c>
      <c r="J28" s="1512">
        <f>2000/1000</f>
        <v>2</v>
      </c>
      <c r="K28" s="2065">
        <f>864/(24*K$2)</f>
        <v>1.2</v>
      </c>
      <c r="L28" s="2233">
        <f t="shared" si="73"/>
        <v>2</v>
      </c>
      <c r="M28" s="2233">
        <f>+((E28*E$2)+(G28*G$2)+(K28*K$2))/M$2</f>
        <v>1.2</v>
      </c>
      <c r="N28" s="1512">
        <v>2</v>
      </c>
      <c r="O28" s="2065">
        <f>892.8/(24*O$2)</f>
        <v>1.2</v>
      </c>
      <c r="P28" s="349">
        <f>+((L28*L$2)+(N28*N$2))/P$2</f>
        <v>2</v>
      </c>
      <c r="Q28" s="349">
        <f>+((M28*M$2)+((O28*O$2)))/Q$2</f>
        <v>1.2</v>
      </c>
      <c r="R28" s="1512">
        <v>2</v>
      </c>
      <c r="S28" s="2065">
        <f>892.8/(24*S$2)</f>
        <v>1.2</v>
      </c>
      <c r="T28" s="349">
        <f>+((P28*P$2)+(R28*R$2))/T$2</f>
        <v>2</v>
      </c>
      <c r="U28" s="349">
        <f>+((Q28*Q$2)+((S28*S$2)))/U$2</f>
        <v>1.2</v>
      </c>
      <c r="V28" s="1512">
        <v>2</v>
      </c>
      <c r="W28" s="2065">
        <f>864/(24*W$2)</f>
        <v>1.2</v>
      </c>
      <c r="X28" s="2233">
        <f t="shared" si="75"/>
        <v>2</v>
      </c>
      <c r="Y28" s="2233">
        <f t="shared" si="76"/>
        <v>1.2</v>
      </c>
      <c r="Z28" s="498">
        <f t="shared" si="77"/>
        <v>2</v>
      </c>
      <c r="AA28" s="498">
        <f t="shared" si="78"/>
        <v>1.2</v>
      </c>
      <c r="AB28" s="1512">
        <v>2</v>
      </c>
      <c r="AC28" s="2065">
        <f>892.8/(24*AC$2)</f>
        <v>1.2</v>
      </c>
      <c r="AD28" s="349">
        <f>+((Z28*Z$2)+(AB28*AB$2))/AD$2</f>
        <v>2</v>
      </c>
      <c r="AE28" s="349">
        <f>+((AA28*AA$2)+((AC28*AC$2)))/AE$2</f>
        <v>1.2</v>
      </c>
      <c r="AF28" s="1512">
        <v>2</v>
      </c>
      <c r="AG28" s="2065">
        <f>864/(24*AG$2)</f>
        <v>1.2</v>
      </c>
      <c r="AH28" s="349">
        <f>+((AD28*AD$2)+(AF28*AF$2))/AH$2</f>
        <v>2</v>
      </c>
      <c r="AI28" s="349">
        <f>+((AE28*AE$2)+((AG28*AG$2)))/AI$2</f>
        <v>1.2</v>
      </c>
      <c r="AJ28" s="1512">
        <v>2</v>
      </c>
      <c r="AK28" s="2065">
        <f>892.8/(24*AK$2)</f>
        <v>1.2</v>
      </c>
      <c r="AL28" s="2233">
        <f t="shared" si="79"/>
        <v>2</v>
      </c>
      <c r="AM28" s="2233">
        <f t="shared" si="80"/>
        <v>1.1999999999999997</v>
      </c>
      <c r="AN28" s="349">
        <f>+((AH28*AH$2)+(AJ28*AJ$2))/AN$2</f>
        <v>2</v>
      </c>
      <c r="AO28" s="349">
        <f>+((AI28*AI$2)+((AK28*AK$2)))/AO$2</f>
        <v>1.2</v>
      </c>
      <c r="AP28" s="1512">
        <v>2</v>
      </c>
      <c r="AQ28" s="2065">
        <f>892.8/(24*AQ$2)</f>
        <v>1.2</v>
      </c>
      <c r="AR28" s="349">
        <f>+((AN28*AN$2)+(AP28*AP$2))/AR$2</f>
        <v>2</v>
      </c>
      <c r="AS28" s="349">
        <f>+((AO28*AO$2)+((AQ28*AQ$2)))/AS$2</f>
        <v>1.2</v>
      </c>
      <c r="AT28" s="1512">
        <v>2</v>
      </c>
      <c r="AU28" s="2065">
        <f>806.4/(24*AU$2)</f>
        <v>1.2</v>
      </c>
      <c r="AV28" s="349">
        <f>+((AR28*AR$2)+(AT28*AT$2))/AV$2</f>
        <v>2</v>
      </c>
      <c r="AW28" s="349">
        <f>+((AS28*AS$2)+((AU28*AU$2)))/AW$2</f>
        <v>1.2</v>
      </c>
      <c r="AX28" s="1512">
        <v>2</v>
      </c>
      <c r="AY28" s="2065">
        <f>864/(24*AY$2)</f>
        <v>1.1612903225806452</v>
      </c>
      <c r="AZ28" s="2233">
        <f t="shared" si="81"/>
        <v>2</v>
      </c>
      <c r="BA28" s="2233">
        <f t="shared" si="82"/>
        <v>1.1866666666666665</v>
      </c>
      <c r="BB28" s="498">
        <f t="shared" si="74"/>
        <v>2</v>
      </c>
      <c r="BC28" s="498">
        <f t="shared" si="74"/>
        <v>1.1934065934065932</v>
      </c>
      <c r="BD28" s="349">
        <f>+((AV28*AV$2)+(AX28*AX$2))/BD$2</f>
        <v>2</v>
      </c>
      <c r="BE28" s="349">
        <f>+((AW28*AW$2)+((AY28*AY$2)))/BE$2</f>
        <v>1.1967123287671233</v>
      </c>
      <c r="BF28" s="26"/>
      <c r="BG28" s="26"/>
      <c r="BH28" s="26"/>
      <c r="BI28" s="1546"/>
      <c r="BJ28" s="1546"/>
    </row>
    <row r="29" spans="1:62" ht="18.75" x14ac:dyDescent="0.3">
      <c r="A29" s="2220"/>
      <c r="B29" s="2232" t="s">
        <v>811</v>
      </c>
      <c r="C29" s="50" t="s">
        <v>560</v>
      </c>
      <c r="D29" s="1512">
        <v>2</v>
      </c>
      <c r="E29" s="6323">
        <f>15616.56/(24*E$2)</f>
        <v>21.689666666666668</v>
      </c>
      <c r="F29" s="1512">
        <v>2.5</v>
      </c>
      <c r="G29" s="6323">
        <f>15635.04/(24*G$2)</f>
        <v>21.01483870967742</v>
      </c>
      <c r="H29" s="2068">
        <f>+((D29*D$2)+(F29*F$2))/H$2</f>
        <v>2.2540983606557377</v>
      </c>
      <c r="I29" s="6332">
        <f>+((E29*E$2)+(G29*G$2))/I$2</f>
        <v>21.346721311475413</v>
      </c>
      <c r="J29" s="1512">
        <v>2</v>
      </c>
      <c r="K29" s="6323">
        <f>14622.48/(24*K$2)</f>
        <v>20.309000000000001</v>
      </c>
      <c r="L29" s="2233">
        <f t="shared" si="73"/>
        <v>2.1703296703296702</v>
      </c>
      <c r="M29" s="6327">
        <f>+((E29*E$2)+(G29*G$2)+(K29*K$2))/M$2</f>
        <v>21.004615384615384</v>
      </c>
      <c r="N29" s="1512">
        <v>2.5</v>
      </c>
      <c r="O29" s="6323">
        <f>14954.88/(24*O$2)</f>
        <v>20.10064516129032</v>
      </c>
      <c r="P29" s="349">
        <f>+((L29*L$2)+(N29*N$2))/P$2</f>
        <v>2.2540983606557377</v>
      </c>
      <c r="Q29" s="6324">
        <f>+((M29*M$2)+(O29*O$2))/Q$2</f>
        <v>20.774918032786886</v>
      </c>
      <c r="R29" s="1512">
        <v>2.5</v>
      </c>
      <c r="S29" s="6323">
        <f>15504.48/(24*S$2)</f>
        <v>20.839354838709678</v>
      </c>
      <c r="T29" s="349">
        <f>+((P29*P$2)+(R29*R$2))/T$2</f>
        <v>2.3039215686274508</v>
      </c>
      <c r="U29" s="6324">
        <f>+((Q29*Q$2)+(S29*S$2))/U$2</f>
        <v>20.787973856209149</v>
      </c>
      <c r="V29" s="1512">
        <v>1.5</v>
      </c>
      <c r="W29" s="6323">
        <f>15348.96/(24*W$2)</f>
        <v>21.317999999999998</v>
      </c>
      <c r="X29" s="2233">
        <f t="shared" si="75"/>
        <v>2.1739130434782608</v>
      </c>
      <c r="Y29" s="6327">
        <f>(O29*O$2+S29*S$2+W29*W$2)/Y$2</f>
        <v>20.746521739130433</v>
      </c>
      <c r="Z29" s="498">
        <f>(L29*L$2+X29*X$2)/Z$2</f>
        <v>2.1721311475409837</v>
      </c>
      <c r="AA29" s="6326">
        <f>(M29*M$2+Y29*Y$2)/AA$2</f>
        <v>20.874863387978142</v>
      </c>
      <c r="AB29" s="1512">
        <v>2.5</v>
      </c>
      <c r="AC29" s="6323">
        <f>11765.92/(24*AC$2)</f>
        <v>15.814408602150538</v>
      </c>
      <c r="AD29" s="349">
        <f>+((Z29*Z$2)+(AB29*AB$2))/AD$2</f>
        <v>2.2196261682242993</v>
      </c>
      <c r="AE29" s="6324">
        <f>+((AA29*AA$2)+(AC29*AC$2))/AE$2</f>
        <v>20.141806853582555</v>
      </c>
      <c r="AF29" s="1512">
        <v>2.5</v>
      </c>
      <c r="AG29" s="6323">
        <f>10788.72/(24*AG$2)</f>
        <v>14.984333333333332</v>
      </c>
      <c r="AH29" s="349">
        <f>+((AD29*AD$2)+(AF29*AF$2))/AH$2</f>
        <v>2.2540983606557377</v>
      </c>
      <c r="AI29" s="6324">
        <f>+((AE29*AE$2)+(AG29*AG$2))/AI$2</f>
        <v>19.507691256830597</v>
      </c>
      <c r="AJ29" s="1512">
        <v>2.5</v>
      </c>
      <c r="AK29" s="6323">
        <f>13703.92/(24*AK$2)</f>
        <v>18.419247311827956</v>
      </c>
      <c r="AL29" s="2233">
        <f t="shared" si="79"/>
        <v>2.5</v>
      </c>
      <c r="AM29" s="6327">
        <f>(AC29*AC$2+AG29*AG$2+AK29*AK$2)/AM$2</f>
        <v>16.421449275362317</v>
      </c>
      <c r="AN29" s="349">
        <f>+((AH29*AH$2)+(AJ29*AJ$2))/AN$2</f>
        <v>2.2818181818181817</v>
      </c>
      <c r="AO29" s="6324">
        <f>+((AI29*AI$2)+(AK29*AK$2))/AO$2</f>
        <v>19.384993939393937</v>
      </c>
      <c r="AP29" s="1512">
        <v>2.5</v>
      </c>
      <c r="AQ29" s="6323">
        <f>13883.12/(24*AQ$2)</f>
        <v>18.66010752688172</v>
      </c>
      <c r="AR29" s="349">
        <f>+((AN29*AN$2)+(AP29*AP$2))/AR$2</f>
        <v>2.3039215686274508</v>
      </c>
      <c r="AS29" s="6324">
        <f>+((AO29*AO$2)+(AQ29*AQ$2))/AS$2</f>
        <v>19.31155773420479</v>
      </c>
      <c r="AT29" s="1512">
        <v>2.5</v>
      </c>
      <c r="AU29" s="6323">
        <f>12645.12/(24*AU$2)</f>
        <v>18.817142857142859</v>
      </c>
      <c r="AV29" s="349">
        <f>+((AR29*AR$2)+(AT29*AT$2))/AV$2</f>
        <v>2.3203592814371254</v>
      </c>
      <c r="AW29" s="6324">
        <f>+((AS29*AS$2)+(AU29*AU$2))/AW$2</f>
        <v>19.270109780439121</v>
      </c>
      <c r="AX29" s="1512">
        <v>2.5</v>
      </c>
      <c r="AY29" s="6323">
        <f>15803.36/(24*AY$2)</f>
        <v>21.241075268817205</v>
      </c>
      <c r="AZ29" s="2233">
        <f t="shared" si="81"/>
        <v>2.5</v>
      </c>
      <c r="BA29" s="6327">
        <f>(AQ29*AQ$2+AU29*AU$2+AY29*AY$2)/BA$2</f>
        <v>19.597962962962963</v>
      </c>
      <c r="BB29" s="498">
        <f t="shared" si="74"/>
        <v>2.5</v>
      </c>
      <c r="BC29" s="6326">
        <f t="shared" si="74"/>
        <v>17.992252747252746</v>
      </c>
      <c r="BD29" s="349">
        <f>+((AV29*AV$2)+(AX29*AX$2))/BD$2</f>
        <v>2.3356164383561642</v>
      </c>
      <c r="BE29" s="6324">
        <f>+((AW29*AW$2)+(AY29*AY$2))/BE$2</f>
        <v>19.437506849315067</v>
      </c>
      <c r="BF29" s="26"/>
      <c r="BG29" s="26"/>
      <c r="BH29" s="26"/>
      <c r="BI29" s="1546"/>
      <c r="BJ29" s="1546"/>
    </row>
    <row r="30" spans="1:62" ht="18.75" x14ac:dyDescent="0.3">
      <c r="A30" s="2220"/>
      <c r="B30" s="2232" t="s">
        <v>702</v>
      </c>
      <c r="C30" s="50" t="s">
        <v>560</v>
      </c>
      <c r="D30" s="1512">
        <f>620/1000</f>
        <v>0.62</v>
      </c>
      <c r="E30" s="6323"/>
      <c r="F30" s="1512">
        <v>0.12</v>
      </c>
      <c r="G30" s="6323"/>
      <c r="H30" s="2068">
        <f>+((D30*D$2)+(F30*F$2))/H$2</f>
        <v>0.36590163934426229</v>
      </c>
      <c r="I30" s="6332"/>
      <c r="J30" s="1512">
        <v>0.62</v>
      </c>
      <c r="K30" s="6323"/>
      <c r="L30" s="2233">
        <f t="shared" si="73"/>
        <v>0.44967032967032972</v>
      </c>
      <c r="M30" s="6328"/>
      <c r="N30" s="1512">
        <v>0.12</v>
      </c>
      <c r="O30" s="6323"/>
      <c r="P30" s="349">
        <f>+((L30*L$2)+(N30*N$2))/P$2</f>
        <v>0.36590163934426229</v>
      </c>
      <c r="Q30" s="6324"/>
      <c r="R30" s="1512">
        <v>0.12</v>
      </c>
      <c r="S30" s="6323"/>
      <c r="T30" s="349">
        <f>+((P30*P$2)+(R30*R$2))/T$2</f>
        <v>0.31607843137254904</v>
      </c>
      <c r="U30" s="6324"/>
      <c r="V30" s="1512">
        <v>9.6666666666703302E-2</v>
      </c>
      <c r="W30" s="6323"/>
      <c r="X30" s="2233">
        <f t="shared" si="75"/>
        <v>0.11239130434783802</v>
      </c>
      <c r="Y30" s="6328"/>
      <c r="Z30" s="498">
        <f>(L30*L$2+X30*X$2)/Z$2</f>
        <v>0.28010928961749232</v>
      </c>
      <c r="AA30" s="6326"/>
      <c r="AB30" s="1512">
        <v>0.17000000000000701</v>
      </c>
      <c r="AC30" s="6323"/>
      <c r="AD30" s="349">
        <f>+((Z30*Z$2)+(AB30*AB$2))/AD$2</f>
        <v>0.26415887850467901</v>
      </c>
      <c r="AE30" s="6324"/>
      <c r="AF30" s="1512">
        <v>0.17</v>
      </c>
      <c r="AG30" s="6323"/>
      <c r="AH30" s="349">
        <f>+((AD30*AD$2)+(AF30*AF$2))/AH$2</f>
        <v>0.2525819672131201</v>
      </c>
      <c r="AI30" s="6324"/>
      <c r="AJ30" s="1512">
        <v>0.17000000000000701</v>
      </c>
      <c r="AK30" s="6323"/>
      <c r="AL30" s="2233">
        <f t="shared" si="79"/>
        <v>0.17000000000000473</v>
      </c>
      <c r="AM30" s="6328"/>
      <c r="AN30" s="349">
        <f>+((AH30*AH$2)+(AJ30*AJ$2))/AN$2</f>
        <v>0.24327272727273283</v>
      </c>
      <c r="AO30" s="6324"/>
      <c r="AP30" s="1512">
        <v>0.17000000000000701</v>
      </c>
      <c r="AQ30" s="6323"/>
      <c r="AR30" s="349">
        <f>+((AN30*AN$2)+(AP30*AP$2))/AR$2</f>
        <v>0.2358496732026201</v>
      </c>
      <c r="AS30" s="6324"/>
      <c r="AT30" s="1512">
        <v>0.17</v>
      </c>
      <c r="AU30" s="6323"/>
      <c r="AV30" s="349">
        <f>+((AR30*AR$2)+(AT30*AT$2))/AV$2</f>
        <v>0.23032934131737051</v>
      </c>
      <c r="AW30" s="6324"/>
      <c r="AX30" s="1512">
        <v>0.17</v>
      </c>
      <c r="AY30" s="6323"/>
      <c r="AZ30" s="2233">
        <f t="shared" si="81"/>
        <v>0.17000000000000243</v>
      </c>
      <c r="BA30" s="6328"/>
      <c r="BB30" s="498">
        <f>(AL30*AL$2+AZ30*AZ$2)/BB$2</f>
        <v>0.17000000000000359</v>
      </c>
      <c r="BC30" s="6326"/>
      <c r="BD30" s="349">
        <f>+((AV30*AV$2)+(AX30*AX$2))/BD$2</f>
        <v>0.2252054794520596</v>
      </c>
      <c r="BE30" s="6324"/>
      <c r="BF30" s="26"/>
      <c r="BG30" s="26"/>
      <c r="BH30" s="26"/>
      <c r="BI30" s="1546"/>
      <c r="BJ30" s="1546"/>
    </row>
    <row r="31" spans="1:62" ht="18.75" x14ac:dyDescent="0.3">
      <c r="A31" s="2220"/>
      <c r="B31" s="6329" t="s">
        <v>101</v>
      </c>
      <c r="C31" s="50" t="s">
        <v>560</v>
      </c>
      <c r="D31" s="1512">
        <v>0</v>
      </c>
      <c r="E31" s="2065">
        <v>0</v>
      </c>
      <c r="F31" s="1512">
        <v>0</v>
      </c>
      <c r="G31" s="2065">
        <v>0</v>
      </c>
      <c r="H31" s="350">
        <f>+((D31*D$2)+(F31*F$2))/H$2</f>
        <v>0</v>
      </c>
      <c r="I31" s="211">
        <f>+((E31*E$2)+(G31*G$2))/I$2</f>
        <v>0</v>
      </c>
      <c r="J31" s="1512">
        <v>0</v>
      </c>
      <c r="K31" s="2065">
        <v>0</v>
      </c>
      <c r="L31" s="2233">
        <f t="shared" si="73"/>
        <v>0</v>
      </c>
      <c r="M31" s="2233">
        <f t="shared" si="73"/>
        <v>0</v>
      </c>
      <c r="N31" s="1512">
        <v>0</v>
      </c>
      <c r="O31" s="2065">
        <v>0</v>
      </c>
      <c r="P31" s="349">
        <f>+((L31*L$2)+(N31*N$2))/P$2</f>
        <v>0</v>
      </c>
      <c r="Q31" s="349">
        <f>+((M31*M$2)+(O31*O$2))/Q$2</f>
        <v>0</v>
      </c>
      <c r="R31" s="1512">
        <v>0</v>
      </c>
      <c r="S31" s="2065">
        <v>0</v>
      </c>
      <c r="T31" s="349">
        <f>+((P31*P$2)+(R31*R$2))/T$2</f>
        <v>0</v>
      </c>
      <c r="U31" s="349">
        <f>+((Q31*Q$2)+(S31*S$2))/U$2</f>
        <v>0</v>
      </c>
      <c r="V31" s="1512">
        <v>0</v>
      </c>
      <c r="W31" s="2065">
        <v>0</v>
      </c>
      <c r="X31" s="2233">
        <f t="shared" ref="X31" si="83">(N31*N$2+R31*R$2+V31*V$2)/X$2</f>
        <v>0</v>
      </c>
      <c r="Y31" s="2233">
        <f t="shared" ref="Y31" si="84">(O31*O$2+S31*S$2+W31*W$2)/Y$2</f>
        <v>0</v>
      </c>
      <c r="Z31" s="498">
        <f t="shared" ref="Z31" si="85">(L31*L$2+X31*X$2)/Z$2</f>
        <v>0</v>
      </c>
      <c r="AA31" s="498">
        <f t="shared" ref="AA31" si="86">(M31*M$2+Y31*Y$2)/AA$2</f>
        <v>0</v>
      </c>
      <c r="AB31" s="1512"/>
      <c r="AC31" s="2065"/>
      <c r="AD31" s="349">
        <f>+((Z31*Z$2)+(AB31*AB$2))/AD$2</f>
        <v>0</v>
      </c>
      <c r="AE31" s="349">
        <f>+((AA31*AA$2)+(AC31*AC$2))/AE$2</f>
        <v>0</v>
      </c>
      <c r="AF31" s="1512"/>
      <c r="AG31" s="2065"/>
      <c r="AH31" s="349">
        <f>+((AD31*AD$2)+(AF31*AF$2))/AH$2</f>
        <v>0</v>
      </c>
      <c r="AI31" s="349">
        <f>+((AE31*AE$2)+(AG31*AG$2))/AI$2</f>
        <v>0</v>
      </c>
      <c r="AJ31" s="1512"/>
      <c r="AK31" s="2065"/>
      <c r="AL31" s="2233">
        <f t="shared" si="79"/>
        <v>0</v>
      </c>
      <c r="AM31" s="2233">
        <f t="shared" ref="AM31" si="87">(AC31*AC$2+AG31*AG$2+AK31*AK$2)/AM$2</f>
        <v>0</v>
      </c>
      <c r="AN31" s="349">
        <f>+((AH31*AH$2)+(AJ31*AJ$2))/AN$2</f>
        <v>0</v>
      </c>
      <c r="AO31" s="349">
        <f>+((AI31*AI$2)+(AK31*AK$2))/AO$2</f>
        <v>0</v>
      </c>
      <c r="AP31" s="1512"/>
      <c r="AQ31" s="2065"/>
      <c r="AR31" s="349">
        <f>+((AN31*AN$2)+(AP31*AP$2))/AR$2</f>
        <v>0</v>
      </c>
      <c r="AS31" s="349">
        <f>+((AO31*AO$2)+(AQ31*AQ$2))/AS$2</f>
        <v>0</v>
      </c>
      <c r="AT31" s="1512"/>
      <c r="AU31" s="2065"/>
      <c r="AV31" s="349">
        <f>+((AR31*AR$2)+(AT31*AT$2))/AV$2</f>
        <v>0</v>
      </c>
      <c r="AW31" s="349">
        <f>+((AS31*AS$2)+(AU31*AU$2))/AW$2</f>
        <v>0</v>
      </c>
      <c r="AX31" s="1512"/>
      <c r="AY31" s="2065"/>
      <c r="AZ31" s="2233">
        <f t="shared" si="81"/>
        <v>0</v>
      </c>
      <c r="BA31" s="2233">
        <f t="shared" ref="BA31" si="88">(AQ31*AQ$2+AU31*AU$2+AY31*AY$2)/BA$2</f>
        <v>0</v>
      </c>
      <c r="BB31" s="498">
        <f>(AL31*AL$2+AZ31*AZ$2)/BB$2</f>
        <v>0</v>
      </c>
      <c r="BC31" s="498">
        <f>(AM31*AM$2+BA31*BA$2)/BC$2</f>
        <v>0</v>
      </c>
      <c r="BD31" s="349">
        <f>+((AV31*AV$2)+(AX31*AX$2))/BD$2</f>
        <v>0</v>
      </c>
      <c r="BE31" s="349">
        <f>+((AW31*AW$2)+(AY31*AY$2))/BE$2</f>
        <v>0</v>
      </c>
      <c r="BF31" s="26"/>
      <c r="BG31" s="26"/>
      <c r="BH31" s="26"/>
      <c r="BI31" s="1546"/>
      <c r="BJ31" s="1546"/>
    </row>
    <row r="32" spans="1:62" ht="15.75" customHeight="1" x14ac:dyDescent="0.3">
      <c r="A32" s="2220"/>
      <c r="B32" s="6329"/>
      <c r="C32" s="50" t="s">
        <v>50</v>
      </c>
      <c r="D32" s="739">
        <v>0</v>
      </c>
      <c r="E32" s="2064">
        <v>0</v>
      </c>
      <c r="F32" s="739">
        <v>0</v>
      </c>
      <c r="G32" s="2064">
        <v>0</v>
      </c>
      <c r="H32" s="350">
        <f>+D32+F32</f>
        <v>0</v>
      </c>
      <c r="I32" s="211">
        <f>+E32+G32</f>
        <v>0</v>
      </c>
      <c r="J32" s="739">
        <v>0</v>
      </c>
      <c r="K32" s="2064">
        <v>0</v>
      </c>
      <c r="L32" s="405">
        <f>+D32+F32+J32</f>
        <v>0</v>
      </c>
      <c r="M32" s="405">
        <f>+E32+G32+K32</f>
        <v>0</v>
      </c>
      <c r="N32" s="739">
        <v>0</v>
      </c>
      <c r="O32" s="2064">
        <v>0</v>
      </c>
      <c r="P32" s="2162">
        <f>+L32+N32</f>
        <v>0</v>
      </c>
      <c r="Q32" s="2162">
        <f>+M32+O32</f>
        <v>0</v>
      </c>
      <c r="R32" s="739">
        <v>0</v>
      </c>
      <c r="S32" s="2064">
        <v>0</v>
      </c>
      <c r="T32" s="2162">
        <f>+P32+R32</f>
        <v>0</v>
      </c>
      <c r="U32" s="2162">
        <f>+Q32+S32</f>
        <v>0</v>
      </c>
      <c r="V32" s="739">
        <v>0</v>
      </c>
      <c r="W32" s="2064">
        <v>0</v>
      </c>
      <c r="X32" s="2233">
        <f>N32+R32+V32</f>
        <v>0</v>
      </c>
      <c r="Y32" s="2233">
        <f>O32+S32+W32</f>
        <v>0</v>
      </c>
      <c r="Z32" s="497">
        <f>+L32+X32</f>
        <v>0</v>
      </c>
      <c r="AA32" s="497">
        <f>+M32+Y32</f>
        <v>0</v>
      </c>
      <c r="AB32" s="739"/>
      <c r="AC32" s="2064"/>
      <c r="AD32" s="2162">
        <f>+Z32+AB32</f>
        <v>0</v>
      </c>
      <c r="AE32" s="2162">
        <f>+AA32+AC32</f>
        <v>0</v>
      </c>
      <c r="AF32" s="739"/>
      <c r="AG32" s="2064"/>
      <c r="AH32" s="2162">
        <f>+AD32+AF32</f>
        <v>0</v>
      </c>
      <c r="AI32" s="2162">
        <f>+AE32+AG32</f>
        <v>0</v>
      </c>
      <c r="AJ32" s="739"/>
      <c r="AK32" s="2064"/>
      <c r="AL32" s="2233">
        <f>AB32+AF32+AJ32</f>
        <v>0</v>
      </c>
      <c r="AM32" s="2233">
        <f>AC32+AG32+AK32</f>
        <v>0</v>
      </c>
      <c r="AN32" s="2162">
        <f>+AH32+AJ32</f>
        <v>0</v>
      </c>
      <c r="AO32" s="2162">
        <f>+AI32+AK32</f>
        <v>0</v>
      </c>
      <c r="AP32" s="739"/>
      <c r="AQ32" s="2064"/>
      <c r="AR32" s="2162">
        <f>+AN32+AP32</f>
        <v>0</v>
      </c>
      <c r="AS32" s="2162">
        <f>+AO32+AQ32</f>
        <v>0</v>
      </c>
      <c r="AT32" s="739"/>
      <c r="AU32" s="2064"/>
      <c r="AV32" s="2162">
        <f>+AR32+AT32</f>
        <v>0</v>
      </c>
      <c r="AW32" s="2162">
        <f>+AS32+AU32</f>
        <v>0</v>
      </c>
      <c r="AX32" s="739"/>
      <c r="AY32" s="2064"/>
      <c r="AZ32" s="2233">
        <f>AP32+AT32+AX32</f>
        <v>0</v>
      </c>
      <c r="BA32" s="2233">
        <f>AQ32+AU32+AY32</f>
        <v>0</v>
      </c>
      <c r="BB32" s="497">
        <f>+AL32+AZ32</f>
        <v>0</v>
      </c>
      <c r="BC32" s="497">
        <f>+AM32+BA32</f>
        <v>0</v>
      </c>
      <c r="BD32" s="2162">
        <f>+AV32+AX32</f>
        <v>0</v>
      </c>
      <c r="BE32" s="2162">
        <f>+AW32+AY32</f>
        <v>0</v>
      </c>
      <c r="BF32" s="26"/>
      <c r="BG32" s="26"/>
      <c r="BH32" s="26"/>
      <c r="BI32" s="1546"/>
      <c r="BJ32" s="1546"/>
    </row>
    <row r="33" spans="1:62" ht="18.75" x14ac:dyDescent="0.3">
      <c r="A33" s="2231"/>
      <c r="B33" s="2234" t="s">
        <v>21</v>
      </c>
      <c r="C33" s="844" t="s">
        <v>560</v>
      </c>
      <c r="D33" s="1512">
        <f>SUM(D26:D32)</f>
        <v>33.119999999999997</v>
      </c>
      <c r="E33" s="2065">
        <f t="shared" ref="E33" si="89">SUM(E26:E31)</f>
        <v>36.672666666666672</v>
      </c>
      <c r="F33" s="1512">
        <f>SUM(F26:F32)</f>
        <v>33.119999999999997</v>
      </c>
      <c r="G33" s="2065">
        <f t="shared" ref="G33" si="90">SUM(G26:G31)</f>
        <v>36.77559139784946</v>
      </c>
      <c r="H33" s="2068">
        <f t="shared" ref="H33:AC33" si="91">SUM(H26:H31)</f>
        <v>33.120000000000005</v>
      </c>
      <c r="I33" s="2911">
        <f t="shared" si="91"/>
        <v>36.72497267759563</v>
      </c>
      <c r="J33" s="1512">
        <f>SUM(J26:J32)</f>
        <v>33.119999999999997</v>
      </c>
      <c r="K33" s="2065">
        <f t="shared" ref="K33" si="92">SUM(K26:K31)</f>
        <v>36.617555555555555</v>
      </c>
      <c r="L33" s="2233">
        <f t="shared" ref="L33:M33" si="93">SUM(L26:L31)</f>
        <v>33.120000000000005</v>
      </c>
      <c r="M33" s="2071">
        <f t="shared" si="93"/>
        <v>36.689560439560438</v>
      </c>
      <c r="N33" s="1512">
        <f>SUM(N26:N32)</f>
        <v>33.119999999999997</v>
      </c>
      <c r="O33" s="2065">
        <f t="shared" ref="O33" si="94">SUM(O26:O31)</f>
        <v>36.368279569892465</v>
      </c>
      <c r="P33" s="349">
        <f t="shared" si="91"/>
        <v>33.120000000000005</v>
      </c>
      <c r="Q33" s="349">
        <f t="shared" si="91"/>
        <v>36.607923497267763</v>
      </c>
      <c r="R33" s="1512">
        <f>SUM(R26:R32)</f>
        <v>33.119999999999997</v>
      </c>
      <c r="S33" s="2065">
        <f t="shared" ref="S33" si="95">SUM(S26:S31)</f>
        <v>37.009032258064515</v>
      </c>
      <c r="T33" s="349">
        <f t="shared" ref="T33:U33" si="96">SUM(T26:T31)</f>
        <v>33.119999999999997</v>
      </c>
      <c r="U33" s="349">
        <f t="shared" si="96"/>
        <v>36.689193899782133</v>
      </c>
      <c r="V33" s="1512">
        <f>SUM(V26:V32)</f>
        <v>21.763333333333332</v>
      </c>
      <c r="W33" s="2065">
        <f t="shared" ref="W33" si="97">SUM(W26:W31)</f>
        <v>37.697555555555553</v>
      </c>
      <c r="X33" s="2233">
        <f>SUM(X26:X31)</f>
        <v>29.416739130434784</v>
      </c>
      <c r="Y33" s="2071">
        <f>SUM(Y26:Y31)</f>
        <v>37.017644927536224</v>
      </c>
      <c r="Z33" s="2246">
        <f t="shared" si="91"/>
        <v>31.25825136612022</v>
      </c>
      <c r="AA33" s="2246">
        <f t="shared" si="91"/>
        <v>36.854499089253189</v>
      </c>
      <c r="AB33" s="1512">
        <f t="shared" si="91"/>
        <v>32.170000000000009</v>
      </c>
      <c r="AC33" s="2065">
        <f t="shared" si="91"/>
        <v>32.668064516129029</v>
      </c>
      <c r="AD33" s="349">
        <f t="shared" ref="AD33:AG33" si="98">SUM(AD26:AD31)</f>
        <v>31.390327102803742</v>
      </c>
      <c r="AE33" s="349">
        <f t="shared" si="98"/>
        <v>36.248052959501557</v>
      </c>
      <c r="AF33" s="1512">
        <f t="shared" si="98"/>
        <v>32.17</v>
      </c>
      <c r="AG33" s="2065">
        <f t="shared" si="98"/>
        <v>23.93011111111111</v>
      </c>
      <c r="AH33" s="349">
        <f t="shared" ref="AH33:AK33" si="99">SUM(AH26:AH31)</f>
        <v>31.486188524590165</v>
      </c>
      <c r="AI33" s="349">
        <f t="shared" si="99"/>
        <v>34.733551912568302</v>
      </c>
      <c r="AJ33" s="1512">
        <f t="shared" si="99"/>
        <v>32.170000000000009</v>
      </c>
      <c r="AK33" s="2065">
        <f t="shared" si="99"/>
        <v>35.461505376344086</v>
      </c>
      <c r="AL33" s="2233">
        <f>SUM(AL26:AL31)</f>
        <v>32.17</v>
      </c>
      <c r="AM33" s="2071">
        <f>SUM(AM26:AM31)</f>
        <v>30.759999999999998</v>
      </c>
      <c r="AN33" s="349">
        <f t="shared" ref="AN33:AQ33" si="100">SUM(AN26:AN31)</f>
        <v>31.563272727272729</v>
      </c>
      <c r="AO33" s="349">
        <f t="shared" si="100"/>
        <v>34.815612121212119</v>
      </c>
      <c r="AP33" s="1512">
        <f t="shared" si="100"/>
        <v>32.170000000000009</v>
      </c>
      <c r="AQ33" s="2065">
        <f t="shared" si="100"/>
        <v>36.214193548387094</v>
      </c>
      <c r="AR33" s="349">
        <f t="shared" ref="AR33:AU33" si="101">SUM(AR26:AR31)</f>
        <v>31.624738562091505</v>
      </c>
      <c r="AS33" s="349">
        <f t="shared" si="101"/>
        <v>34.957298474945532</v>
      </c>
      <c r="AT33" s="1512">
        <f t="shared" si="101"/>
        <v>32.17</v>
      </c>
      <c r="AU33" s="2065">
        <f t="shared" si="101"/>
        <v>36.360595238095243</v>
      </c>
      <c r="AV33" s="349">
        <f t="shared" ref="AV33:AY33" si="102">SUM(AV26:AV31)</f>
        <v>31.670449101796411</v>
      </c>
      <c r="AW33" s="349">
        <f t="shared" si="102"/>
        <v>35.074940119760477</v>
      </c>
      <c r="AX33" s="1512">
        <f t="shared" si="102"/>
        <v>32.17</v>
      </c>
      <c r="AY33" s="2065">
        <f t="shared" si="102"/>
        <v>36.616774193548387</v>
      </c>
      <c r="AZ33" s="2233">
        <f>SUM(AZ26:AZ31)</f>
        <v>32.17</v>
      </c>
      <c r="BA33" s="2071">
        <f>SUM(BA26:BA31)</f>
        <v>36.398407407407404</v>
      </c>
      <c r="BB33" s="2246">
        <f t="shared" ref="BB33:BC33" si="103">SUM(BB26:BB31)</f>
        <v>32.17</v>
      </c>
      <c r="BC33" s="2246">
        <f t="shared" si="103"/>
        <v>33.548223443223442</v>
      </c>
      <c r="BD33" s="349">
        <f t="shared" ref="BD33:BE33" si="104">SUM(BD26:BD31)</f>
        <v>31.712876712328775</v>
      </c>
      <c r="BE33" s="349">
        <f t="shared" si="104"/>
        <v>35.205890410958901</v>
      </c>
      <c r="BF33" s="26"/>
      <c r="BG33" s="26"/>
      <c r="BH33" s="26"/>
      <c r="BI33" s="1546"/>
      <c r="BJ33" s="1546"/>
    </row>
    <row r="34" spans="1:62" ht="18.75" x14ac:dyDescent="0.3">
      <c r="A34" s="2231"/>
      <c r="B34" s="1469" t="s">
        <v>103</v>
      </c>
      <c r="C34" s="1348"/>
      <c r="D34" s="2236"/>
      <c r="E34" s="2237"/>
      <c r="F34" s="2236"/>
      <c r="G34" s="2237"/>
      <c r="H34" s="3231"/>
      <c r="I34" s="3232"/>
      <c r="J34" s="2236"/>
      <c r="K34" s="2237"/>
      <c r="L34" s="2238"/>
      <c r="M34" s="2237"/>
      <c r="N34" s="2236"/>
      <c r="O34" s="2237"/>
      <c r="P34" s="2239"/>
      <c r="Q34" s="2239"/>
      <c r="R34" s="2236"/>
      <c r="S34" s="2237"/>
      <c r="T34" s="2239"/>
      <c r="U34" s="2239"/>
      <c r="V34" s="2236"/>
      <c r="W34" s="2237"/>
      <c r="X34" s="2238"/>
      <c r="Y34" s="2237"/>
      <c r="Z34" s="2239"/>
      <c r="AA34" s="2239"/>
      <c r="AB34" s="2236"/>
      <c r="AC34" s="2237"/>
      <c r="AD34" s="2239"/>
      <c r="AE34" s="2239"/>
      <c r="AF34" s="2236"/>
      <c r="AG34" s="2237"/>
      <c r="AH34" s="2239"/>
      <c r="AI34" s="2239"/>
      <c r="AJ34" s="2236"/>
      <c r="AK34" s="2237"/>
      <c r="AL34" s="2238"/>
      <c r="AM34" s="2237"/>
      <c r="AN34" s="2239"/>
      <c r="AO34" s="2239"/>
      <c r="AP34" s="2236"/>
      <c r="AQ34" s="2237"/>
      <c r="AR34" s="2239"/>
      <c r="AS34" s="2239"/>
      <c r="AT34" s="2236"/>
      <c r="AU34" s="2237"/>
      <c r="AV34" s="2239"/>
      <c r="AW34" s="2239"/>
      <c r="AX34" s="2236"/>
      <c r="AY34" s="2237"/>
      <c r="AZ34" s="2238"/>
      <c r="BA34" s="2237"/>
      <c r="BB34" s="2239"/>
      <c r="BC34" s="2239"/>
      <c r="BD34" s="2239"/>
      <c r="BE34" s="2239"/>
      <c r="BF34" s="26"/>
      <c r="BG34" s="26"/>
      <c r="BH34" s="26"/>
      <c r="BI34" s="1546"/>
      <c r="BJ34" s="1546"/>
    </row>
    <row r="35" spans="1:62" ht="18.75" x14ac:dyDescent="0.3">
      <c r="A35" s="2220"/>
      <c r="B35" s="2232" t="s">
        <v>57</v>
      </c>
      <c r="C35" s="50" t="s">
        <v>560</v>
      </c>
      <c r="D35" s="1512">
        <v>0.6</v>
      </c>
      <c r="E35" s="2065">
        <f>283.976/(24*E$2)</f>
        <v>0.3944111111111111</v>
      </c>
      <c r="F35" s="1512">
        <v>0.6</v>
      </c>
      <c r="G35" s="2065">
        <f>418.04/(24*G$2)</f>
        <v>0.56188172043010753</v>
      </c>
      <c r="H35" s="2068">
        <f t="shared" ref="H35:I37" si="105">+((D35*D$2)+(F35*F$2))/H$2</f>
        <v>0.59999999999999987</v>
      </c>
      <c r="I35" s="2911">
        <f t="shared" si="105"/>
        <v>0.4795191256830601</v>
      </c>
      <c r="J35" s="1512">
        <v>0.6</v>
      </c>
      <c r="K35" s="2065">
        <f>278.684/(24*K$2)</f>
        <v>0.38706111111111113</v>
      </c>
      <c r="L35" s="2233">
        <f t="shared" ref="L35:M37" si="106">+((D35*D$2)+(F35*F$2)+(J35*J$2))/L$2</f>
        <v>0.6</v>
      </c>
      <c r="M35" s="2233">
        <f t="shared" si="106"/>
        <v>0.4490384615384615</v>
      </c>
      <c r="N35" s="1512">
        <v>0.6</v>
      </c>
      <c r="O35" s="2065">
        <f>546.224/(24*O$2)</f>
        <v>0.73417204301075278</v>
      </c>
      <c r="P35" s="349">
        <f t="shared" ref="P35:Q37" si="107">+((L35*L$2)+(N35*N$2))/P$2</f>
        <v>0.6</v>
      </c>
      <c r="Q35" s="349">
        <f t="shared" si="107"/>
        <v>0.52149043715846999</v>
      </c>
      <c r="R35" s="1512">
        <v>0.6</v>
      </c>
      <c r="S35" s="2065">
        <f>530.432/(24*S$2)</f>
        <v>0.7129462365591398</v>
      </c>
      <c r="T35" s="349">
        <f t="shared" ref="T35:T37" si="108">+((P35*P$2)+(R35*R$2))/T$2</f>
        <v>0.6</v>
      </c>
      <c r="U35" s="349">
        <f t="shared" ref="U35:U37" si="109">+((Q35*Q$2)+(S35*S$2))/U$2</f>
        <v>0.5602821350762528</v>
      </c>
      <c r="V35" s="1512">
        <v>0.3</v>
      </c>
      <c r="W35" s="2065">
        <f>492.8392/(24*W$2)</f>
        <v>0.68449888888888888</v>
      </c>
      <c r="X35" s="2233">
        <f t="shared" ref="X35:Y37" si="110">(N35*N$2+R35*R$2+V35*V$2)/X$2</f>
        <v>0.50217391304347825</v>
      </c>
      <c r="Y35" s="2233">
        <f t="shared" si="110"/>
        <v>0.71082210144927538</v>
      </c>
      <c r="Z35" s="498">
        <f t="shared" ref="Z35:Z37" si="111">(L35*L$2+X35*X$2)/Z$2</f>
        <v>0.55081967213114758</v>
      </c>
      <c r="AA35" s="498">
        <f t="shared" ref="AA35:AA37" si="112">(M35*M$2+Y35*Y$2)/AA$2</f>
        <v>0.5806455373406193</v>
      </c>
      <c r="AB35" s="1512">
        <v>0.5</v>
      </c>
      <c r="AC35" s="2065">
        <f>349.44/(24*AC$2)</f>
        <v>0.4696774193548387</v>
      </c>
      <c r="AD35" s="349">
        <f t="shared" ref="AD35:AD37" si="113">+((Z35*Z$2)+(AB35*AB$2))/AD$2</f>
        <v>0.54345794392523372</v>
      </c>
      <c r="AE35" s="349">
        <f t="shared" ref="AE35:AE37" si="114">+((AA35*AA$2)+(AC35*AC$2))/AE$2</f>
        <v>0.5645707165109034</v>
      </c>
      <c r="AF35" s="1512">
        <v>0.5</v>
      </c>
      <c r="AG35" s="2065">
        <f>50.456/(24*AG$2)</f>
        <v>7.007777777777778E-2</v>
      </c>
      <c r="AH35" s="349">
        <f t="shared" ref="AH35:AH37" si="115">+((AD35*AD$2)+(AF35*AF$2))/AH$2</f>
        <v>0.53811475409836074</v>
      </c>
      <c r="AI35" s="349">
        <f t="shared" ref="AI35:AI37" si="116">+((AE35*AE$2)+(AG35*AG$2))/AI$2</f>
        <v>0.50377240437158466</v>
      </c>
      <c r="AJ35" s="1512">
        <v>0.5</v>
      </c>
      <c r="AK35" s="2065">
        <f>221.648/(24*AK$2)</f>
        <v>0.29791397849462364</v>
      </c>
      <c r="AL35" s="2233">
        <f t="shared" ref="AL35:AL37" si="117">(AB35*AB$2+AF35*AF$2+AJ35*AJ$2)/AL$2</f>
        <v>0.5</v>
      </c>
      <c r="AM35" s="2233">
        <f t="shared" ref="AM35:AM37" si="118">(AC35*AC$2+AG35*AG$2+AK35*AK$2)/AM$2</f>
        <v>0.28149637681159417</v>
      </c>
      <c r="AN35" s="349">
        <f t="shared" ref="AN35:AN37" si="119">+((AH35*AH$2)+(AJ35*AJ$2))/AN$2</f>
        <v>0.53381818181818186</v>
      </c>
      <c r="AO35" s="349">
        <f t="shared" ref="AO35:AO37" si="120">+((AI35*AI$2)+(AK35*AK$2))/AO$2</f>
        <v>0.48056654545454547</v>
      </c>
      <c r="AP35" s="1512">
        <v>0.5</v>
      </c>
      <c r="AQ35" s="2065">
        <f>246.96/(24*AQ$2)</f>
        <v>0.33193548387096777</v>
      </c>
      <c r="AR35" s="349">
        <f t="shared" ref="AR35:AR37" si="121">+((AN35*AN$2)+(AP35*AP$2))/AR$2</f>
        <v>0.5303921568627451</v>
      </c>
      <c r="AS35" s="349">
        <f t="shared" ref="AS35:AS37" si="122">+((AO35*AO$2)+(AQ35*AQ$2))/AS$2</f>
        <v>0.46550915032679735</v>
      </c>
      <c r="AT35" s="1512">
        <v>0.5</v>
      </c>
      <c r="AU35" s="2065">
        <f>139.44/(24*AU$2)</f>
        <v>0.20749999999999999</v>
      </c>
      <c r="AV35" s="349">
        <f t="shared" ref="AV35:AV37" si="123">+((AR35*AR$2)+(AT35*AT$2))/AV$2</f>
        <v>0.52784431137724552</v>
      </c>
      <c r="AW35" s="349">
        <f t="shared" ref="AW35:AW37" si="124">+((AS35*AS$2)+(AU35*AU$2))/AW$2</f>
        <v>0.44387964071856284</v>
      </c>
      <c r="AX35" s="1512">
        <v>0.5</v>
      </c>
      <c r="AY35" s="2065">
        <f>185.304/(24*AY$2)</f>
        <v>0.24906451612903227</v>
      </c>
      <c r="AZ35" s="2233">
        <f t="shared" ref="AZ35:AZ37" si="125">(AP35*AP$2+AT35*AT$2+AX35*AX$2)/AZ$2</f>
        <v>0.5</v>
      </c>
      <c r="BA35" s="2233">
        <f t="shared" ref="BA35:BA37" si="126">(AQ35*AQ$2+AU35*AU$2+AY35*AY$2)/BA$2</f>
        <v>0.26467777777777779</v>
      </c>
      <c r="BB35" s="498">
        <f t="shared" ref="BB35:BC37" si="127">(AL35*AL$2+AZ35*AZ$2)/BB$2</f>
        <v>0.5</v>
      </c>
      <c r="BC35" s="498">
        <f t="shared" si="127"/>
        <v>0.27317948717948715</v>
      </c>
      <c r="BD35" s="349">
        <f t="shared" ref="BD35:BD37" si="128">+((AV35*AV$2)+(AX35*AX$2))/BD$2</f>
        <v>0.52547945205479452</v>
      </c>
      <c r="BE35" s="349">
        <f t="shared" ref="BE35:BE37" si="129">+((AW35*AW$2)+(AY35*AY$2))/BE$2</f>
        <v>0.42733369863013698</v>
      </c>
      <c r="BF35" s="26"/>
      <c r="BG35" s="26"/>
      <c r="BH35" s="26"/>
      <c r="BI35" s="1546"/>
      <c r="BJ35" s="1546"/>
    </row>
    <row r="36" spans="1:62" ht="18.75" x14ac:dyDescent="0.3">
      <c r="A36" s="2220"/>
      <c r="B36" s="2232" t="s">
        <v>561</v>
      </c>
      <c r="C36" s="50" t="s">
        <v>560</v>
      </c>
      <c r="D36" s="1512">
        <v>0.238666666666668</v>
      </c>
      <c r="E36" s="2065">
        <f>0/(24*E$2)</f>
        <v>0</v>
      </c>
      <c r="F36" s="1512">
        <v>0.238666666666668</v>
      </c>
      <c r="G36" s="2065">
        <f>0/(24*G$2)</f>
        <v>0</v>
      </c>
      <c r="H36" s="2068">
        <f t="shared" si="105"/>
        <v>0.23866666666666803</v>
      </c>
      <c r="I36" s="2911">
        <f t="shared" si="105"/>
        <v>0</v>
      </c>
      <c r="J36" s="1512">
        <v>0.238666666666668</v>
      </c>
      <c r="K36" s="2065">
        <f>0/(24*K$2)</f>
        <v>0</v>
      </c>
      <c r="L36" s="2233">
        <f t="shared" si="106"/>
        <v>0.238666666666668</v>
      </c>
      <c r="M36" s="2233">
        <f t="shared" si="106"/>
        <v>0</v>
      </c>
      <c r="N36" s="1512">
        <f>238.666666666668/1000</f>
        <v>0.238666666666668</v>
      </c>
      <c r="O36" s="2065">
        <f>0/(24*O$2)</f>
        <v>0</v>
      </c>
      <c r="P36" s="349">
        <f t="shared" si="107"/>
        <v>0.23866666666666803</v>
      </c>
      <c r="Q36" s="349">
        <f t="shared" si="107"/>
        <v>0</v>
      </c>
      <c r="R36" s="1512">
        <f>238.666666666668/1000</f>
        <v>0.238666666666668</v>
      </c>
      <c r="S36" s="2065">
        <f>0/(24*S$2)</f>
        <v>0</v>
      </c>
      <c r="T36" s="349">
        <f t="shared" si="108"/>
        <v>0.238666666666668</v>
      </c>
      <c r="U36" s="349">
        <f t="shared" si="109"/>
        <v>0</v>
      </c>
      <c r="V36" s="1512">
        <v>0.34466666666666701</v>
      </c>
      <c r="W36" s="2065">
        <f>0/(24*W$2)</f>
        <v>0</v>
      </c>
      <c r="X36" s="2233">
        <f t="shared" si="110"/>
        <v>0.27323188405797205</v>
      </c>
      <c r="Y36" s="2233">
        <f t="shared" si="110"/>
        <v>0</v>
      </c>
      <c r="Z36" s="498">
        <f t="shared" si="111"/>
        <v>0.25604371584699576</v>
      </c>
      <c r="AA36" s="498">
        <f t="shared" si="112"/>
        <v>0</v>
      </c>
      <c r="AB36" s="1512">
        <v>0.268666666666668</v>
      </c>
      <c r="AC36" s="2065">
        <f>0/(24*AC$2)</f>
        <v>0</v>
      </c>
      <c r="AD36" s="349">
        <f t="shared" si="113"/>
        <v>0.25787227414330338</v>
      </c>
      <c r="AE36" s="349">
        <f t="shared" si="114"/>
        <v>0</v>
      </c>
      <c r="AF36" s="1512">
        <v>0.268666666666668</v>
      </c>
      <c r="AG36" s="2065">
        <f>0/(24*AG$2)</f>
        <v>0</v>
      </c>
      <c r="AH36" s="349">
        <f t="shared" si="115"/>
        <v>0.25919945355191376</v>
      </c>
      <c r="AI36" s="349">
        <f t="shared" si="116"/>
        <v>0</v>
      </c>
      <c r="AJ36" s="1512">
        <v>0.268666666666668</v>
      </c>
      <c r="AK36" s="2065">
        <f>0/(24*AK$2)</f>
        <v>0</v>
      </c>
      <c r="AL36" s="2233">
        <f t="shared" si="117"/>
        <v>0.268666666666668</v>
      </c>
      <c r="AM36" s="2233">
        <f t="shared" si="118"/>
        <v>0</v>
      </c>
      <c r="AN36" s="349">
        <f t="shared" si="119"/>
        <v>0.26026666666666787</v>
      </c>
      <c r="AO36" s="349">
        <f t="shared" si="120"/>
        <v>0</v>
      </c>
      <c r="AP36" s="1512">
        <v>0.268666666666668</v>
      </c>
      <c r="AQ36" s="2065">
        <f>0/(24*AQ$2)</f>
        <v>0</v>
      </c>
      <c r="AR36" s="349">
        <f t="shared" si="121"/>
        <v>0.26111764705882473</v>
      </c>
      <c r="AS36" s="349">
        <f t="shared" si="122"/>
        <v>0</v>
      </c>
      <c r="AT36" s="1512">
        <f>268.666666666668/1000</f>
        <v>0.268666666666668</v>
      </c>
      <c r="AU36" s="2065">
        <f>0/(24*AU$2)</f>
        <v>0</v>
      </c>
      <c r="AV36" s="349">
        <f t="shared" si="123"/>
        <v>0.26175049900199726</v>
      </c>
      <c r="AW36" s="349">
        <f t="shared" si="124"/>
        <v>0</v>
      </c>
      <c r="AX36" s="1512">
        <f>268.666666666668/1000</f>
        <v>0.268666666666668</v>
      </c>
      <c r="AY36" s="2065">
        <f>0/(24*AY$2)</f>
        <v>0</v>
      </c>
      <c r="AZ36" s="2233">
        <f t="shared" si="125"/>
        <v>0.268666666666668</v>
      </c>
      <c r="BA36" s="2233">
        <f t="shared" si="126"/>
        <v>0</v>
      </c>
      <c r="BB36" s="498">
        <f t="shared" si="127"/>
        <v>0.268666666666668</v>
      </c>
      <c r="BC36" s="498">
        <f t="shared" si="127"/>
        <v>0</v>
      </c>
      <c r="BD36" s="349">
        <f t="shared" si="128"/>
        <v>0.26233789954338022</v>
      </c>
      <c r="BE36" s="349">
        <f t="shared" si="129"/>
        <v>0</v>
      </c>
      <c r="BF36" s="26"/>
      <c r="BG36" s="26"/>
      <c r="BH36" s="26"/>
      <c r="BI36" s="1546"/>
      <c r="BJ36" s="1546"/>
    </row>
    <row r="37" spans="1:62" ht="18.75" x14ac:dyDescent="0.3">
      <c r="A37" s="2220"/>
      <c r="B37" s="6329" t="s">
        <v>101</v>
      </c>
      <c r="C37" s="50" t="s">
        <v>560</v>
      </c>
      <c r="D37" s="1512">
        <v>0.58333333333333204</v>
      </c>
      <c r="E37" s="2065">
        <f>354.7376/(24*E$2)</f>
        <v>0.49269111111111108</v>
      </c>
      <c r="F37" s="1512">
        <v>0.58333333333333204</v>
      </c>
      <c r="G37" s="2065">
        <f>392.7952/(24*G$2)</f>
        <v>0.52795053763440858</v>
      </c>
      <c r="H37" s="2068">
        <f t="shared" si="105"/>
        <v>0.58333333333333204</v>
      </c>
      <c r="I37" s="2911">
        <f t="shared" si="105"/>
        <v>0.51060983606557375</v>
      </c>
      <c r="J37" s="1512">
        <v>0.58333333333333204</v>
      </c>
      <c r="K37" s="2065">
        <f>518/(24*K$2)</f>
        <v>0.71944444444444444</v>
      </c>
      <c r="L37" s="2233">
        <f t="shared" si="106"/>
        <v>0.58333333333333204</v>
      </c>
      <c r="M37" s="2233">
        <f t="shared" si="106"/>
        <v>0.57945641025641015</v>
      </c>
      <c r="N37" s="1512">
        <v>0.58333333333333204</v>
      </c>
      <c r="O37" s="2065">
        <f>221.7376/(24*O$2)</f>
        <v>0.29803440860215052</v>
      </c>
      <c r="P37" s="349">
        <f t="shared" si="107"/>
        <v>0.58333333333333204</v>
      </c>
      <c r="Q37" s="349">
        <f t="shared" si="107"/>
        <v>0.5079475409836065</v>
      </c>
      <c r="R37" s="1512">
        <v>0.58333333333333204</v>
      </c>
      <c r="S37" s="2065">
        <f>228.0208/(24*S$2)</f>
        <v>0.3064795698924731</v>
      </c>
      <c r="T37" s="349">
        <f t="shared" si="108"/>
        <v>0.58333333333333204</v>
      </c>
      <c r="U37" s="349">
        <f t="shared" si="109"/>
        <v>0.46712723311546833</v>
      </c>
      <c r="V37" s="1512">
        <v>0.30333333333333301</v>
      </c>
      <c r="W37" s="2065">
        <f>228.7488/(24*W$2)</f>
        <v>0.31770666666666664</v>
      </c>
      <c r="X37" s="2233">
        <f t="shared" si="110"/>
        <v>0.49202898550724544</v>
      </c>
      <c r="Y37" s="2233">
        <f t="shared" si="110"/>
        <v>0.30729492753623189</v>
      </c>
      <c r="Z37" s="498">
        <f t="shared" si="111"/>
        <v>0.53743169398906987</v>
      </c>
      <c r="AA37" s="498">
        <f t="shared" si="112"/>
        <v>0.442632058287796</v>
      </c>
      <c r="AB37" s="1512">
        <v>0.65333333333333199</v>
      </c>
      <c r="AC37" s="2065">
        <f>384.3448/(24*AC$2)</f>
        <v>0.5165924731182796</v>
      </c>
      <c r="AD37" s="349">
        <f t="shared" si="113"/>
        <v>0.5542211838006218</v>
      </c>
      <c r="AE37" s="349">
        <f t="shared" si="114"/>
        <v>0.45334595015576318</v>
      </c>
      <c r="AF37" s="1512">
        <v>0.65333333333333199</v>
      </c>
      <c r="AG37" s="2065">
        <f>242.6592/(24*AG$2)</f>
        <v>0.33702666666666664</v>
      </c>
      <c r="AH37" s="349">
        <f t="shared" si="115"/>
        <v>0.56640710382513537</v>
      </c>
      <c r="AI37" s="349">
        <f t="shared" si="116"/>
        <v>0.43904439890710378</v>
      </c>
      <c r="AJ37" s="1512">
        <v>0.65333333333333199</v>
      </c>
      <c r="AK37" s="2065">
        <f>393.2768/(24*AK$2)</f>
        <v>0.52859784946236554</v>
      </c>
      <c r="AL37" s="2233">
        <f t="shared" si="117"/>
        <v>0.65333333333333199</v>
      </c>
      <c r="AM37" s="2233">
        <f t="shared" si="118"/>
        <v>0.46208369565217389</v>
      </c>
      <c r="AN37" s="349">
        <f t="shared" si="119"/>
        <v>0.57620606060605939</v>
      </c>
      <c r="AO37" s="349">
        <f t="shared" si="120"/>
        <v>0.44913951515151512</v>
      </c>
      <c r="AP37" s="1512">
        <v>0.65333333333333199</v>
      </c>
      <c r="AQ37" s="2065">
        <f>289.0272/(24*AQ$2)</f>
        <v>0.3884774193548387</v>
      </c>
      <c r="AR37" s="349">
        <f t="shared" si="121"/>
        <v>0.58401960784313611</v>
      </c>
      <c r="AS37" s="349">
        <f t="shared" si="122"/>
        <v>0.44299400871459693</v>
      </c>
      <c r="AT37" s="1512">
        <f>653.333333333332/1000</f>
        <v>0.65333333333333199</v>
      </c>
      <c r="AU37" s="2065">
        <f>281.0024/(24*AU$2)</f>
        <v>0.41815833333333335</v>
      </c>
      <c r="AV37" s="349">
        <f t="shared" si="123"/>
        <v>0.58983033932135609</v>
      </c>
      <c r="AW37" s="349">
        <f t="shared" si="124"/>
        <v>0.44091197604790422</v>
      </c>
      <c r="AX37" s="1512">
        <f>653.333333333332/1000</f>
        <v>0.65333333333333199</v>
      </c>
      <c r="AY37" s="2065">
        <f>477.4168/(24*AY$2)</f>
        <v>0.64168924731182797</v>
      </c>
      <c r="AZ37" s="2233">
        <f t="shared" si="125"/>
        <v>0.65333333333333188</v>
      </c>
      <c r="BA37" s="2233">
        <f t="shared" si="126"/>
        <v>0.48492888888888885</v>
      </c>
      <c r="BB37" s="498">
        <f t="shared" si="127"/>
        <v>0.65333333333333188</v>
      </c>
      <c r="BC37" s="498">
        <f t="shared" si="127"/>
        <v>0.47338076923076922</v>
      </c>
      <c r="BD37" s="349">
        <f t="shared" si="128"/>
        <v>0.59522374429223623</v>
      </c>
      <c r="BE37" s="349">
        <f t="shared" si="129"/>
        <v>0.45796429223744295</v>
      </c>
      <c r="BF37" s="26"/>
      <c r="BG37" s="26"/>
      <c r="BH37" s="26"/>
      <c r="BI37" s="1546"/>
      <c r="BJ37" s="1546"/>
    </row>
    <row r="38" spans="1:62" ht="18.75" x14ac:dyDescent="0.3">
      <c r="A38" s="2220"/>
      <c r="B38" s="6329"/>
      <c r="C38" s="50" t="s">
        <v>50</v>
      </c>
      <c r="D38" s="739">
        <v>750</v>
      </c>
      <c r="E38" s="2064">
        <v>633.46</v>
      </c>
      <c r="F38" s="739">
        <v>775</v>
      </c>
      <c r="G38" s="2064">
        <v>701.42</v>
      </c>
      <c r="H38" s="350">
        <f>+D38+F38</f>
        <v>1525</v>
      </c>
      <c r="I38" s="211">
        <f>+E38+G38</f>
        <v>1334.88</v>
      </c>
      <c r="J38" s="739">
        <v>750</v>
      </c>
      <c r="K38" s="2064">
        <v>925</v>
      </c>
      <c r="L38" s="405">
        <f>+D38+F38+J38</f>
        <v>2275</v>
      </c>
      <c r="M38" s="405">
        <f>+E38+G38+K38</f>
        <v>2259.88</v>
      </c>
      <c r="N38" s="739">
        <v>775</v>
      </c>
      <c r="O38" s="2064">
        <v>395.96</v>
      </c>
      <c r="P38" s="2162">
        <f>+L38+N38</f>
        <v>3050</v>
      </c>
      <c r="Q38" s="2162">
        <f>+M38+O38</f>
        <v>2655.84</v>
      </c>
      <c r="R38" s="739">
        <v>775</v>
      </c>
      <c r="S38" s="2064">
        <v>407.18</v>
      </c>
      <c r="T38" s="2162">
        <f>+P38+R38</f>
        <v>3825</v>
      </c>
      <c r="U38" s="2162">
        <f>+Q38+S38</f>
        <v>3063.02</v>
      </c>
      <c r="V38" s="739">
        <v>390</v>
      </c>
      <c r="W38" s="2064">
        <v>408.48000000000008</v>
      </c>
      <c r="X38" s="405">
        <f>N38+R38+V38</f>
        <v>1940</v>
      </c>
      <c r="Y38" s="405">
        <f>O38+S38+W38</f>
        <v>1211.6200000000001</v>
      </c>
      <c r="Z38" s="497">
        <f>L38+X38</f>
        <v>4215</v>
      </c>
      <c r="AA38" s="497">
        <f>M38+Y38</f>
        <v>3471.5</v>
      </c>
      <c r="AB38" s="739">
        <v>868</v>
      </c>
      <c r="AC38" s="2064">
        <v>686.33</v>
      </c>
      <c r="AD38" s="2162">
        <f>+Z38+AB38</f>
        <v>5083</v>
      </c>
      <c r="AE38" s="2162">
        <f>+AA38+AC38</f>
        <v>4157.83</v>
      </c>
      <c r="AF38" s="739">
        <v>840</v>
      </c>
      <c r="AG38" s="2064">
        <v>523.41999999999996</v>
      </c>
      <c r="AH38" s="2162">
        <f>+AD38+AF38</f>
        <v>5923</v>
      </c>
      <c r="AI38" s="2162">
        <f>+AE38+AG38</f>
        <v>4681.25</v>
      </c>
      <c r="AJ38" s="739">
        <v>868</v>
      </c>
      <c r="AK38" s="2064">
        <v>702.28</v>
      </c>
      <c r="AL38" s="405">
        <f>AB38+AF38+AJ38</f>
        <v>2576</v>
      </c>
      <c r="AM38" s="405">
        <f>AC38+AG38+AK38</f>
        <v>1912.03</v>
      </c>
      <c r="AN38" s="2162">
        <f>+AH38+AJ38</f>
        <v>6791</v>
      </c>
      <c r="AO38" s="2162">
        <f>+AI38+AK38</f>
        <v>5383.53</v>
      </c>
      <c r="AP38" s="739">
        <v>868</v>
      </c>
      <c r="AQ38" s="2064">
        <v>516.12</v>
      </c>
      <c r="AR38" s="2162">
        <f>+AN38+AP38</f>
        <v>7659</v>
      </c>
      <c r="AS38" s="2162">
        <f>+AO38+AQ38</f>
        <v>5899.65</v>
      </c>
      <c r="AT38" s="739">
        <v>784</v>
      </c>
      <c r="AU38" s="2064">
        <v>501.79000000000008</v>
      </c>
      <c r="AV38" s="2162">
        <f>+AR38+AT38</f>
        <v>8443</v>
      </c>
      <c r="AW38" s="2162">
        <f>+AS38+AU38</f>
        <v>6401.44</v>
      </c>
      <c r="AX38" s="739">
        <v>868</v>
      </c>
      <c r="AY38" s="2064">
        <v>852.53</v>
      </c>
      <c r="AZ38" s="405">
        <f>AP38+AT38+AX38</f>
        <v>2520</v>
      </c>
      <c r="BA38" s="405">
        <f>AQ38+AU38+AY38</f>
        <v>1870.44</v>
      </c>
      <c r="BB38" s="497">
        <f>AL38+AZ38</f>
        <v>5096</v>
      </c>
      <c r="BC38" s="497">
        <f>AM38+BA38</f>
        <v>3782.4700000000003</v>
      </c>
      <c r="BD38" s="2162">
        <f>+AV38+AX38</f>
        <v>9311</v>
      </c>
      <c r="BE38" s="2162">
        <f>+AW38+AY38</f>
        <v>7253.9699999999993</v>
      </c>
      <c r="BF38" s="26"/>
      <c r="BG38" s="26"/>
      <c r="BH38" s="26"/>
      <c r="BI38" s="1546"/>
      <c r="BJ38" s="1546"/>
    </row>
    <row r="39" spans="1:62" ht="19.5" thickBot="1" x14ac:dyDescent="0.35">
      <c r="A39" s="2231"/>
      <c r="B39" s="2240" t="s">
        <v>21</v>
      </c>
      <c r="C39" s="2241" t="s">
        <v>560</v>
      </c>
      <c r="D39" s="3230">
        <f>SUM(D35:D37)</f>
        <v>1.4220000000000002</v>
      </c>
      <c r="E39" s="3229">
        <f t="shared" ref="E39" si="130">SUM(E35:E37)</f>
        <v>0.88710222222222224</v>
      </c>
      <c r="F39" s="3230">
        <f>SUM(F35:F37)</f>
        <v>1.4220000000000002</v>
      </c>
      <c r="G39" s="3229">
        <f t="shared" ref="G39" si="131">SUM(G35:G37)</f>
        <v>1.0898322580645161</v>
      </c>
      <c r="H39" s="3233">
        <f t="shared" ref="H39:AE39" si="132">SUM(H35:H37)</f>
        <v>1.4219999999999999</v>
      </c>
      <c r="I39" s="3234">
        <f t="shared" si="132"/>
        <v>0.99012896174863385</v>
      </c>
      <c r="J39" s="3230">
        <f>SUM(J35:J37)</f>
        <v>1.4220000000000002</v>
      </c>
      <c r="K39" s="3229">
        <f t="shared" ref="K39" si="133">SUM(K35:K37)</f>
        <v>1.1065055555555556</v>
      </c>
      <c r="L39" s="2243">
        <f>SUM(L35:L37)</f>
        <v>1.4220000000000002</v>
      </c>
      <c r="M39" s="2244">
        <f>SUM(M35:M37)</f>
        <v>1.0284948717948716</v>
      </c>
      <c r="N39" s="3230">
        <f>SUM(N35:N37)</f>
        <v>1.4220000000000002</v>
      </c>
      <c r="O39" s="3229">
        <f t="shared" ref="O39" si="134">SUM(O35:O37)</f>
        <v>1.0322064516129033</v>
      </c>
      <c r="P39" s="349">
        <f t="shared" si="132"/>
        <v>1.4220000000000002</v>
      </c>
      <c r="Q39" s="349">
        <f t="shared" si="132"/>
        <v>1.0294379781420764</v>
      </c>
      <c r="R39" s="3230">
        <f>SUM(R35:R37)</f>
        <v>1.4220000000000002</v>
      </c>
      <c r="S39" s="3229">
        <f t="shared" ref="S39" si="135">SUM(S35:S37)</f>
        <v>1.0194258064516128</v>
      </c>
      <c r="T39" s="349">
        <f t="shared" ref="T39:U39" si="136">SUM(T35:T37)</f>
        <v>1.4220000000000002</v>
      </c>
      <c r="U39" s="349">
        <f t="shared" si="136"/>
        <v>1.0274093681917211</v>
      </c>
      <c r="V39" s="3230">
        <f>SUM(V35:V37)</f>
        <v>0.94799999999999995</v>
      </c>
      <c r="W39" s="3229">
        <f t="shared" ref="W39" si="137">SUM(W35:W37)</f>
        <v>1.0022055555555556</v>
      </c>
      <c r="X39" s="2243">
        <f>SUM(X35:X37)</f>
        <v>1.2674347826086958</v>
      </c>
      <c r="Y39" s="2244">
        <f>SUM(Y35:Y37)</f>
        <v>1.0181170289855073</v>
      </c>
      <c r="Z39" s="2247">
        <f t="shared" si="132"/>
        <v>1.3442950819672133</v>
      </c>
      <c r="AA39" s="2247">
        <f t="shared" si="132"/>
        <v>1.0232775956284152</v>
      </c>
      <c r="AB39" s="2242">
        <f t="shared" si="132"/>
        <v>1.4219999999999999</v>
      </c>
      <c r="AC39" s="3229">
        <f t="shared" si="132"/>
        <v>0.98626989247311836</v>
      </c>
      <c r="AD39" s="349">
        <f t="shared" si="132"/>
        <v>1.355551401869159</v>
      </c>
      <c r="AE39" s="349">
        <f t="shared" si="132"/>
        <v>1.0179166666666666</v>
      </c>
      <c r="AF39" s="2242">
        <f t="shared" ref="AF39:AI39" si="138">SUM(AF35:AF37)</f>
        <v>1.4219999999999999</v>
      </c>
      <c r="AG39" s="3229">
        <f t="shared" si="138"/>
        <v>0.40710444444444444</v>
      </c>
      <c r="AH39" s="349">
        <f t="shared" si="138"/>
        <v>1.3637213114754099</v>
      </c>
      <c r="AI39" s="349">
        <f t="shared" si="138"/>
        <v>0.94281680327868844</v>
      </c>
      <c r="AJ39" s="2242">
        <f t="shared" ref="AJ39:AK39" si="139">SUM(AJ35:AJ37)</f>
        <v>1.4219999999999999</v>
      </c>
      <c r="AK39" s="3229">
        <f t="shared" si="139"/>
        <v>0.82651182795698919</v>
      </c>
      <c r="AL39" s="2243">
        <f>SUM(AL35:AL37)</f>
        <v>1.4219999999999999</v>
      </c>
      <c r="AM39" s="2244">
        <f>SUM(AM35:AM37)</f>
        <v>0.743580072463768</v>
      </c>
      <c r="AN39" s="349">
        <f t="shared" ref="AN39:AS39" si="140">SUM(AN35:AN37)</f>
        <v>1.370290909090909</v>
      </c>
      <c r="AO39" s="349">
        <f t="shared" si="140"/>
        <v>0.92970606060606054</v>
      </c>
      <c r="AP39" s="2242">
        <f t="shared" si="140"/>
        <v>1.4219999999999999</v>
      </c>
      <c r="AQ39" s="3229">
        <f t="shared" si="140"/>
        <v>0.72041290322580642</v>
      </c>
      <c r="AR39" s="349">
        <f t="shared" si="140"/>
        <v>1.3755294117647059</v>
      </c>
      <c r="AS39" s="349">
        <f t="shared" si="140"/>
        <v>0.90850315904139434</v>
      </c>
      <c r="AT39" s="2242">
        <f t="shared" ref="AT39:AW39" si="141">SUM(AT35:AT37)</f>
        <v>1.4219999999999999</v>
      </c>
      <c r="AU39" s="3229">
        <f t="shared" si="141"/>
        <v>0.62565833333333332</v>
      </c>
      <c r="AV39" s="349">
        <f t="shared" si="141"/>
        <v>1.3794251497005989</v>
      </c>
      <c r="AW39" s="349">
        <f t="shared" si="141"/>
        <v>0.88479161676646711</v>
      </c>
      <c r="AX39" s="2242">
        <f t="shared" ref="AX39:AY39" si="142">SUM(AX35:AX37)</f>
        <v>1.4219999999999999</v>
      </c>
      <c r="AY39" s="3229">
        <f t="shared" si="142"/>
        <v>0.89075376344086021</v>
      </c>
      <c r="AZ39" s="2243">
        <f>SUM(AZ35:AZ37)</f>
        <v>1.4219999999999997</v>
      </c>
      <c r="BA39" s="2244">
        <f>SUM(BA35:BA37)</f>
        <v>0.74960666666666664</v>
      </c>
      <c r="BB39" s="2247">
        <f t="shared" ref="BB39:BC39" si="143">SUM(BB35:BB37)</f>
        <v>1.4219999999999997</v>
      </c>
      <c r="BC39" s="2247">
        <f t="shared" si="143"/>
        <v>0.74656025641025636</v>
      </c>
      <c r="BD39" s="349">
        <f t="shared" ref="BD39:BE39" si="144">SUM(BD35:BD37)</f>
        <v>1.3830410958904111</v>
      </c>
      <c r="BE39" s="349">
        <f t="shared" si="144"/>
        <v>0.88529799086757999</v>
      </c>
      <c r="BF39" s="26"/>
      <c r="BG39" s="26"/>
      <c r="BH39" s="26"/>
      <c r="BI39" s="1546"/>
      <c r="BJ39" s="1546"/>
    </row>
    <row r="40" spans="1:62" x14ac:dyDescent="0.25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25">
      <c r="S42" s="533"/>
    </row>
  </sheetData>
  <mergeCells count="63">
    <mergeCell ref="AX3:AY3"/>
    <mergeCell ref="BD3:BE3"/>
    <mergeCell ref="AY29:AY30"/>
    <mergeCell ref="BE29:BE30"/>
    <mergeCell ref="AZ3:BA3"/>
    <mergeCell ref="BA29:BA30"/>
    <mergeCell ref="BB3:BC3"/>
    <mergeCell ref="BC29:BC30"/>
    <mergeCell ref="AJ3:AK3"/>
    <mergeCell ref="AN3:AO3"/>
    <mergeCell ref="AK29:AK30"/>
    <mergeCell ref="AO29:AO30"/>
    <mergeCell ref="AL3:AM3"/>
    <mergeCell ref="AM29:AM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L3:M3"/>
    <mergeCell ref="P3:Q3"/>
    <mergeCell ref="N3:O3"/>
    <mergeCell ref="V3:W3"/>
    <mergeCell ref="Z3:AA3"/>
    <mergeCell ref="X3:Y3"/>
    <mergeCell ref="R3:S3"/>
    <mergeCell ref="T3:U3"/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</mergeCells>
  <pageMargins left="0.7" right="0.7" top="0.75" bottom="0.75" header="0.3" footer="0.3"/>
  <pageSetup scale="6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9" tint="-0.249977111117893"/>
    <pageSetUpPr fitToPage="1"/>
  </sheetPr>
  <dimension ref="C1:BJ31"/>
  <sheetViews>
    <sheetView zoomScaleNormal="100" zoomScaleSheetLayoutView="130" workbookViewId="0">
      <pane xSplit="4" ySplit="1" topLeftCell="N2" activePane="bottomRight" state="frozen"/>
      <selection pane="topRight" activeCell="E1" sqref="E1"/>
      <selection pane="bottomLeft" activeCell="A2" sqref="A2"/>
      <selection pane="bottomRight" activeCell="BI34" sqref="BI34"/>
    </sheetView>
  </sheetViews>
  <sheetFormatPr defaultRowHeight="15" x14ac:dyDescent="0.25"/>
  <cols>
    <col min="3" max="3" width="19" customWidth="1"/>
    <col min="4" max="4" width="23.28515625" bestFit="1" customWidth="1"/>
    <col min="5" max="5" width="13.7109375" customWidth="1"/>
    <col min="6" max="6" width="12.7109375" customWidth="1"/>
    <col min="7" max="7" width="12.5703125" customWidth="1"/>
    <col min="8" max="8" width="11.85546875" customWidth="1"/>
    <col min="9" max="10" width="11.85546875" hidden="1" customWidth="1"/>
    <col min="11" max="11" width="11.140625" customWidth="1"/>
    <col min="12" max="12" width="9.7109375" customWidth="1"/>
    <col min="13" max="13" width="11.140625" customWidth="1"/>
    <col min="14" max="14" width="9.7109375" customWidth="1"/>
    <col min="15" max="15" width="11.140625" customWidth="1"/>
    <col min="16" max="16" width="9.7109375" customWidth="1"/>
    <col min="17" max="17" width="11.140625" hidden="1" customWidth="1"/>
    <col min="18" max="18" width="9.7109375" hidden="1" customWidth="1"/>
    <col min="19" max="19" width="11.140625" customWidth="1"/>
    <col min="20" max="20" width="9.7109375" customWidth="1"/>
    <col min="21" max="21" width="13" hidden="1" customWidth="1"/>
    <col min="22" max="22" width="11.7109375" hidden="1" customWidth="1"/>
    <col min="23" max="23" width="11.140625" customWidth="1"/>
    <col min="24" max="24" width="9.7109375" customWidth="1"/>
    <col min="25" max="25" width="11.140625" customWidth="1"/>
    <col min="26" max="26" width="9.7109375" customWidth="1"/>
    <col min="27" max="27" width="11.140625" customWidth="1"/>
    <col min="28" max="28" width="9.7109375" customWidth="1"/>
    <col min="29" max="29" width="11.140625" hidden="1" customWidth="1"/>
    <col min="30" max="30" width="9.140625" hidden="1" customWidth="1"/>
    <col min="31" max="31" width="11.140625" hidden="1" customWidth="1"/>
    <col min="32" max="32" width="9.7109375" hidden="1" customWidth="1"/>
    <col min="33" max="33" width="11.140625" hidden="1" customWidth="1"/>
    <col min="34" max="34" width="9.7109375" hidden="1" customWidth="1"/>
    <col min="35" max="35" width="11.140625" hidden="1" customWidth="1"/>
    <col min="36" max="36" width="9.7109375" hidden="1" customWidth="1"/>
    <col min="37" max="37" width="11.140625" hidden="1" customWidth="1"/>
    <col min="38" max="38" width="9.7109375" hidden="1" customWidth="1"/>
    <col min="39" max="39" width="11.140625" hidden="1" customWidth="1"/>
    <col min="40" max="40" width="9.7109375" hidden="1" customWidth="1"/>
    <col min="41" max="41" width="11.140625" hidden="1" customWidth="1"/>
    <col min="42" max="42" width="9.7109375" hidden="1" customWidth="1"/>
    <col min="43" max="43" width="11.140625" hidden="1" customWidth="1"/>
    <col min="44" max="44" width="9.140625" hidden="1" customWidth="1"/>
    <col min="45" max="45" width="11.140625" hidden="1" customWidth="1"/>
    <col min="46" max="46" width="9.7109375" hidden="1" customWidth="1"/>
    <col min="47" max="47" width="11.140625" hidden="1" customWidth="1"/>
    <col min="48" max="48" width="9.7109375" hidden="1" customWidth="1"/>
    <col min="49" max="49" width="11.140625" hidden="1" customWidth="1"/>
    <col min="50" max="50" width="9.7109375" hidden="1" customWidth="1"/>
    <col min="51" max="51" width="11.140625" hidden="1" customWidth="1"/>
    <col min="52" max="52" width="9.7109375" hidden="1" customWidth="1"/>
    <col min="53" max="53" width="11.140625" hidden="1" customWidth="1"/>
    <col min="54" max="54" width="9.7109375" hidden="1" customWidth="1"/>
    <col min="55" max="55" width="11.140625" hidden="1" customWidth="1"/>
    <col min="56" max="56" width="9.7109375" hidden="1" customWidth="1"/>
    <col min="57" max="57" width="11.140625" hidden="1" customWidth="1"/>
    <col min="58" max="58" width="9.7109375" hidden="1" customWidth="1"/>
    <col min="59" max="59" width="9.140625" customWidth="1"/>
  </cols>
  <sheetData>
    <row r="1" spans="3:62" ht="23.45" x14ac:dyDescent="0.45">
      <c r="C1" s="6339" t="s">
        <v>1000</v>
      </c>
      <c r="D1" s="6339"/>
      <c r="E1" s="6339"/>
      <c r="F1" s="6339"/>
      <c r="G1" s="6339"/>
      <c r="H1" s="6339"/>
      <c r="I1" s="6339"/>
      <c r="J1" s="6339"/>
      <c r="K1" s="6339"/>
      <c r="L1" s="6339"/>
      <c r="M1" s="6339"/>
      <c r="N1" s="6339"/>
      <c r="O1" s="6339"/>
      <c r="P1" s="6339"/>
      <c r="Q1" s="6339"/>
      <c r="R1" s="6339"/>
      <c r="S1" s="6339"/>
      <c r="T1" s="6339"/>
    </row>
    <row r="2" spans="3:62" ht="24" thickBot="1" x14ac:dyDescent="0.5">
      <c r="C2" s="1091"/>
      <c r="D2" s="1091"/>
      <c r="E2" s="1091"/>
      <c r="F2" s="1091"/>
      <c r="G2" s="1091"/>
      <c r="H2" s="1091"/>
      <c r="I2" s="1091"/>
      <c r="J2" s="1091"/>
      <c r="K2" s="1091"/>
      <c r="L2" s="1091"/>
      <c r="M2" s="1091"/>
      <c r="N2" s="1091"/>
      <c r="O2" s="1091"/>
      <c r="P2" s="1091"/>
      <c r="Q2" s="1091"/>
      <c r="R2" s="1091"/>
      <c r="S2" s="1091"/>
      <c r="T2" s="1091"/>
    </row>
    <row r="3" spans="3:62" thickBot="1" x14ac:dyDescent="0.35">
      <c r="C3" s="1116"/>
      <c r="D3" s="1117"/>
      <c r="E3" s="6333" t="s">
        <v>2226</v>
      </c>
      <c r="F3" s="6334"/>
      <c r="G3" s="6333" t="s">
        <v>2242</v>
      </c>
      <c r="H3" s="6334"/>
      <c r="I3" s="6335" t="s">
        <v>658</v>
      </c>
      <c r="J3" s="6336"/>
      <c r="K3" s="6340" t="s">
        <v>2273</v>
      </c>
      <c r="L3" s="6340"/>
      <c r="M3" s="6341" t="s">
        <v>637</v>
      </c>
      <c r="N3" s="6342"/>
      <c r="O3" s="6333" t="s">
        <v>2296</v>
      </c>
      <c r="P3" s="6334"/>
      <c r="Q3" s="6335" t="s">
        <v>651</v>
      </c>
      <c r="R3" s="6336"/>
      <c r="S3" s="6333" t="s">
        <v>2299</v>
      </c>
      <c r="T3" s="6334"/>
      <c r="U3" s="6335" t="s">
        <v>836</v>
      </c>
      <c r="V3" s="6336"/>
      <c r="W3" s="6340" t="s">
        <v>2344</v>
      </c>
      <c r="X3" s="6340"/>
      <c r="Y3" s="6341" t="s">
        <v>660</v>
      </c>
      <c r="Z3" s="6342"/>
      <c r="AA3" s="6350" t="s">
        <v>657</v>
      </c>
      <c r="AB3" s="6351"/>
      <c r="AC3" s="6333" t="s">
        <v>1954</v>
      </c>
      <c r="AD3" s="6334"/>
      <c r="AE3" s="6335" t="s">
        <v>1100</v>
      </c>
      <c r="AF3" s="6336"/>
      <c r="AG3" s="6333" t="s">
        <v>1970</v>
      </c>
      <c r="AH3" s="6334"/>
      <c r="AI3" s="6335" t="s">
        <v>1650</v>
      </c>
      <c r="AJ3" s="6336"/>
      <c r="AK3" s="6333" t="s">
        <v>1985</v>
      </c>
      <c r="AL3" s="6334"/>
      <c r="AM3" s="6337" t="s">
        <v>662</v>
      </c>
      <c r="AN3" s="6338"/>
      <c r="AO3" s="6335" t="s">
        <v>917</v>
      </c>
      <c r="AP3" s="6336"/>
      <c r="AQ3" s="6333" t="s">
        <v>2085</v>
      </c>
      <c r="AR3" s="6334"/>
      <c r="AS3" s="6335" t="s">
        <v>1688</v>
      </c>
      <c r="AT3" s="6336"/>
      <c r="AU3" s="6333" t="s">
        <v>2099</v>
      </c>
      <c r="AV3" s="6334"/>
      <c r="AW3" s="6335" t="s">
        <v>1697</v>
      </c>
      <c r="AX3" s="6336"/>
      <c r="AY3" s="6333" t="s">
        <v>2111</v>
      </c>
      <c r="AZ3" s="6334"/>
      <c r="BA3" s="6337" t="s">
        <v>663</v>
      </c>
      <c r="BB3" s="6338"/>
      <c r="BC3" s="6343" t="s">
        <v>671</v>
      </c>
      <c r="BD3" s="6344"/>
      <c r="BE3" s="6335" t="s">
        <v>1745</v>
      </c>
      <c r="BF3" s="6336"/>
    </row>
    <row r="4" spans="3:62" thickBot="1" x14ac:dyDescent="0.35">
      <c r="C4" s="568" t="s">
        <v>983</v>
      </c>
      <c r="D4" s="564"/>
      <c r="E4" s="1499" t="s">
        <v>986</v>
      </c>
      <c r="F4" s="568" t="s">
        <v>987</v>
      </c>
      <c r="G4" s="1499" t="s">
        <v>986</v>
      </c>
      <c r="H4" s="568" t="s">
        <v>987</v>
      </c>
      <c r="I4" s="1500" t="s">
        <v>986</v>
      </c>
      <c r="J4" s="1454" t="s">
        <v>987</v>
      </c>
      <c r="K4" s="1498" t="s">
        <v>986</v>
      </c>
      <c r="L4" s="1499" t="s">
        <v>987</v>
      </c>
      <c r="M4" s="4297" t="s">
        <v>986</v>
      </c>
      <c r="N4" s="4298" t="s">
        <v>987</v>
      </c>
      <c r="O4" s="1499" t="s">
        <v>986</v>
      </c>
      <c r="P4" s="568" t="s">
        <v>987</v>
      </c>
      <c r="Q4" s="1500" t="s">
        <v>986</v>
      </c>
      <c r="R4" s="1454" t="s">
        <v>987</v>
      </c>
      <c r="S4" s="1499" t="s">
        <v>986</v>
      </c>
      <c r="T4" s="568" t="s">
        <v>987</v>
      </c>
      <c r="U4" s="1500" t="s">
        <v>986</v>
      </c>
      <c r="V4" s="1454" t="s">
        <v>987</v>
      </c>
      <c r="W4" s="1499" t="s">
        <v>986</v>
      </c>
      <c r="X4" s="568" t="s">
        <v>987</v>
      </c>
      <c r="Y4" s="4297" t="s">
        <v>986</v>
      </c>
      <c r="Z4" s="4298" t="s">
        <v>987</v>
      </c>
      <c r="AA4" s="4287" t="s">
        <v>986</v>
      </c>
      <c r="AB4" s="4288" t="s">
        <v>987</v>
      </c>
      <c r="AC4" s="1499" t="s">
        <v>986</v>
      </c>
      <c r="AD4" s="568" t="s">
        <v>987</v>
      </c>
      <c r="AE4" s="1500" t="s">
        <v>986</v>
      </c>
      <c r="AF4" s="1454" t="s">
        <v>987</v>
      </c>
      <c r="AG4" s="1499" t="s">
        <v>986</v>
      </c>
      <c r="AH4" s="568" t="s">
        <v>987</v>
      </c>
      <c r="AI4" s="1500" t="s">
        <v>986</v>
      </c>
      <c r="AJ4" s="1454" t="s">
        <v>987</v>
      </c>
      <c r="AK4" s="1499" t="s">
        <v>986</v>
      </c>
      <c r="AL4" s="568" t="s">
        <v>987</v>
      </c>
      <c r="AM4" s="1103" t="s">
        <v>986</v>
      </c>
      <c r="AN4" s="1104" t="s">
        <v>987</v>
      </c>
      <c r="AO4" s="1500" t="s">
        <v>986</v>
      </c>
      <c r="AP4" s="1454" t="s">
        <v>987</v>
      </c>
      <c r="AQ4" s="1499" t="s">
        <v>986</v>
      </c>
      <c r="AR4" s="568" t="s">
        <v>987</v>
      </c>
      <c r="AS4" s="1500" t="s">
        <v>986</v>
      </c>
      <c r="AT4" s="1454" t="s">
        <v>987</v>
      </c>
      <c r="AU4" s="1499" t="s">
        <v>986</v>
      </c>
      <c r="AV4" s="568" t="s">
        <v>987</v>
      </c>
      <c r="AW4" s="1500" t="s">
        <v>986</v>
      </c>
      <c r="AX4" s="1454" t="s">
        <v>987</v>
      </c>
      <c r="AY4" s="1499" t="s">
        <v>986</v>
      </c>
      <c r="AZ4" s="568" t="s">
        <v>987</v>
      </c>
      <c r="BA4" s="1103" t="s">
        <v>986</v>
      </c>
      <c r="BB4" s="1104" t="s">
        <v>987</v>
      </c>
      <c r="BC4" s="1626" t="s">
        <v>986</v>
      </c>
      <c r="BD4" s="1627" t="s">
        <v>987</v>
      </c>
      <c r="BE4" s="1500" t="s">
        <v>986</v>
      </c>
      <c r="BF4" s="1454" t="s">
        <v>987</v>
      </c>
    </row>
    <row r="5" spans="3:62" ht="14.45" hidden="1" x14ac:dyDescent="0.3">
      <c r="C5" s="6347" t="s">
        <v>16</v>
      </c>
      <c r="D5" s="2072" t="s">
        <v>1295</v>
      </c>
      <c r="E5" s="559"/>
      <c r="F5" s="563"/>
      <c r="G5" s="559"/>
      <c r="H5" s="563"/>
      <c r="I5" s="1455">
        <f>+E5+G5</f>
        <v>0</v>
      </c>
      <c r="J5" s="1456">
        <f>+H5+F5</f>
        <v>0</v>
      </c>
      <c r="K5" s="1330"/>
      <c r="L5" s="559"/>
      <c r="M5" s="4299">
        <f t="shared" ref="M5:N8" si="0">+E5+G5+K5</f>
        <v>0</v>
      </c>
      <c r="N5" s="4306">
        <f t="shared" si="0"/>
        <v>0</v>
      </c>
      <c r="O5" s="1330"/>
      <c r="P5" s="559"/>
      <c r="Q5" s="1455">
        <f>+M5+O5</f>
        <v>0</v>
      </c>
      <c r="R5" s="1456">
        <f>+P5+N5</f>
        <v>0</v>
      </c>
      <c r="S5" s="559">
        <v>0</v>
      </c>
      <c r="T5" s="563">
        <v>0</v>
      </c>
      <c r="U5" s="1455">
        <f>+Q5+S5</f>
        <v>0</v>
      </c>
      <c r="V5" s="1456">
        <f>+T5+R5</f>
        <v>0</v>
      </c>
      <c r="W5" s="559"/>
      <c r="X5" s="563"/>
      <c r="Y5" s="4299">
        <f t="shared" ref="Y5:Z8" si="1">+O5+S5+W5</f>
        <v>0</v>
      </c>
      <c r="Z5" s="4299">
        <f t="shared" si="1"/>
        <v>0</v>
      </c>
      <c r="AA5" s="4289">
        <f t="shared" ref="AA5:AB8" si="2">+M5+Y5</f>
        <v>0</v>
      </c>
      <c r="AB5" s="4290">
        <f t="shared" si="2"/>
        <v>0</v>
      </c>
      <c r="AC5" s="559"/>
      <c r="AD5" s="563"/>
      <c r="AE5" s="1455">
        <f>+AA5+AC5</f>
        <v>0</v>
      </c>
      <c r="AF5" s="1456">
        <f>+AD5+AB5</f>
        <v>0</v>
      </c>
      <c r="AG5" s="559">
        <v>0</v>
      </c>
      <c r="AH5" s="563">
        <v>0</v>
      </c>
      <c r="AI5" s="1455">
        <f>+AE5+AG5</f>
        <v>0</v>
      </c>
      <c r="AJ5" s="1456">
        <f>+AH5+AF5</f>
        <v>0</v>
      </c>
      <c r="AK5" s="559">
        <v>0</v>
      </c>
      <c r="AL5" s="563">
        <v>0</v>
      </c>
      <c r="AM5" s="1105">
        <f t="shared" ref="AM5:AM8" si="3">+AC5+AG5+AK5</f>
        <v>0</v>
      </c>
      <c r="AN5" s="1105">
        <f t="shared" ref="AN5:AN8" si="4">+AD5+AH5+AL5</f>
        <v>0</v>
      </c>
      <c r="AO5" s="1455">
        <f>+AI5+AK5</f>
        <v>0</v>
      </c>
      <c r="AP5" s="1456">
        <f>+AL5+AJ5</f>
        <v>0</v>
      </c>
      <c r="AQ5" s="559">
        <v>0</v>
      </c>
      <c r="AR5" s="563">
        <v>0</v>
      </c>
      <c r="AS5" s="1455">
        <f>+AO5+AQ5</f>
        <v>0</v>
      </c>
      <c r="AT5" s="1456">
        <f>+AR5+AP5</f>
        <v>0</v>
      </c>
      <c r="AU5" s="559">
        <v>0</v>
      </c>
      <c r="AV5" s="563">
        <v>0</v>
      </c>
      <c r="AW5" s="1455">
        <f>+AS5+AU5</f>
        <v>0</v>
      </c>
      <c r="AX5" s="1456">
        <f>+AV5+AT5</f>
        <v>0</v>
      </c>
      <c r="AY5" s="559">
        <v>0</v>
      </c>
      <c r="AZ5" s="563">
        <v>0</v>
      </c>
      <c r="BA5" s="1105">
        <f t="shared" ref="BA5:BA8" si="5">+AQ5+AU5+AY5</f>
        <v>0</v>
      </c>
      <c r="BB5" s="1105">
        <f t="shared" ref="BB5:BB8" si="6">+AR5+AV5+AZ5</f>
        <v>0</v>
      </c>
      <c r="BC5" s="1628">
        <f>+AM5+BA5</f>
        <v>0</v>
      </c>
      <c r="BD5" s="1628">
        <f>+AN5+BB5</f>
        <v>0</v>
      </c>
      <c r="BE5" s="1455">
        <f>+AW5+AY5</f>
        <v>0</v>
      </c>
      <c r="BF5" s="1456">
        <f>+AZ5+AX5</f>
        <v>0</v>
      </c>
      <c r="BG5" s="26"/>
      <c r="BH5" s="26"/>
      <c r="BI5" s="26"/>
      <c r="BJ5" s="26"/>
    </row>
    <row r="6" spans="3:62" ht="14.45" hidden="1" x14ac:dyDescent="0.3">
      <c r="C6" s="6348"/>
      <c r="D6" s="2072" t="s">
        <v>1193</v>
      </c>
      <c r="E6" s="566"/>
      <c r="F6" s="563"/>
      <c r="G6" s="559"/>
      <c r="H6" s="563"/>
      <c r="I6" s="1455">
        <f>+E6+G6</f>
        <v>0</v>
      </c>
      <c r="J6" s="1456">
        <f>+H6+F6</f>
        <v>0</v>
      </c>
      <c r="K6" s="1330"/>
      <c r="L6" s="559"/>
      <c r="M6" s="4299">
        <f t="shared" si="0"/>
        <v>0</v>
      </c>
      <c r="N6" s="4306">
        <f t="shared" si="0"/>
        <v>0</v>
      </c>
      <c r="O6" s="1331"/>
      <c r="P6" s="559"/>
      <c r="Q6" s="1455">
        <f t="shared" ref="Q6:Q8" si="7">+M6+O6</f>
        <v>0</v>
      </c>
      <c r="R6" s="1456">
        <f t="shared" ref="R6:R8" si="8">+P6+N6</f>
        <v>0</v>
      </c>
      <c r="S6" s="566">
        <v>0</v>
      </c>
      <c r="T6" s="563">
        <v>0</v>
      </c>
      <c r="U6" s="1455">
        <f t="shared" ref="U6:U8" si="9">+Q6+S6</f>
        <v>0</v>
      </c>
      <c r="V6" s="1456">
        <f t="shared" ref="V6:V8" si="10">+T6+R6</f>
        <v>0</v>
      </c>
      <c r="W6" s="566"/>
      <c r="X6" s="563"/>
      <c r="Y6" s="4299">
        <f t="shared" si="1"/>
        <v>0</v>
      </c>
      <c r="Z6" s="4299">
        <f t="shared" si="1"/>
        <v>0</v>
      </c>
      <c r="AA6" s="4289">
        <f t="shared" si="2"/>
        <v>0</v>
      </c>
      <c r="AB6" s="4290">
        <f t="shared" si="2"/>
        <v>0</v>
      </c>
      <c r="AC6" s="566"/>
      <c r="AD6" s="563"/>
      <c r="AE6" s="1455">
        <f t="shared" ref="AE6:AE8" si="11">+AA6+AC6</f>
        <v>0</v>
      </c>
      <c r="AF6" s="1456">
        <f t="shared" ref="AF6:AF8" si="12">+AD6+AB6</f>
        <v>0</v>
      </c>
      <c r="AG6" s="566">
        <v>0</v>
      </c>
      <c r="AH6" s="563">
        <v>0</v>
      </c>
      <c r="AI6" s="1455">
        <f t="shared" ref="AI6:AI8" si="13">+AE6+AG6</f>
        <v>0</v>
      </c>
      <c r="AJ6" s="1456">
        <f t="shared" ref="AJ6:AJ8" si="14">+AH6+AF6</f>
        <v>0</v>
      </c>
      <c r="AK6" s="566">
        <v>0</v>
      </c>
      <c r="AL6" s="563">
        <v>0</v>
      </c>
      <c r="AM6" s="1105">
        <f t="shared" si="3"/>
        <v>0</v>
      </c>
      <c r="AN6" s="1105">
        <f t="shared" si="4"/>
        <v>0</v>
      </c>
      <c r="AO6" s="1455">
        <f t="shared" ref="AO6:AO8" si="15">+AI6+AK6</f>
        <v>0</v>
      </c>
      <c r="AP6" s="1456">
        <f t="shared" ref="AP6:AP8" si="16">+AL6+AJ6</f>
        <v>0</v>
      </c>
      <c r="AQ6" s="566">
        <v>0</v>
      </c>
      <c r="AR6" s="563">
        <v>0</v>
      </c>
      <c r="AS6" s="1455">
        <f t="shared" ref="AS6:AS8" si="17">+AO6+AQ6</f>
        <v>0</v>
      </c>
      <c r="AT6" s="1456">
        <f t="shared" ref="AT6:AT8" si="18">+AR6+AP6</f>
        <v>0</v>
      </c>
      <c r="AU6" s="566">
        <v>0</v>
      </c>
      <c r="AV6" s="563">
        <v>0</v>
      </c>
      <c r="AW6" s="1455">
        <f t="shared" ref="AW6:AW8" si="19">+AS6+AU6</f>
        <v>0</v>
      </c>
      <c r="AX6" s="1456">
        <f t="shared" ref="AX6:AX8" si="20">+AV6+AT6</f>
        <v>0</v>
      </c>
      <c r="AY6" s="566">
        <v>0</v>
      </c>
      <c r="AZ6" s="563">
        <v>0</v>
      </c>
      <c r="BA6" s="1105">
        <f t="shared" si="5"/>
        <v>0</v>
      </c>
      <c r="BB6" s="1105">
        <f t="shared" si="6"/>
        <v>0</v>
      </c>
      <c r="BC6" s="1628">
        <f t="shared" ref="BC6:BC8" si="21">+AM6+BA6</f>
        <v>0</v>
      </c>
      <c r="BD6" s="1628">
        <f t="shared" ref="BD6:BD8" si="22">+AN6+BB6</f>
        <v>0</v>
      </c>
      <c r="BE6" s="1455">
        <f t="shared" ref="BE6:BE8" si="23">+AW6+AY6</f>
        <v>0</v>
      </c>
      <c r="BF6" s="1456">
        <f t="shared" ref="BF6:BF8" si="24">+AZ6+AX6</f>
        <v>0</v>
      </c>
      <c r="BG6" s="26"/>
      <c r="BH6" s="26"/>
      <c r="BI6" s="26"/>
      <c r="BJ6" s="26"/>
    </row>
    <row r="7" spans="3:62" ht="14.45" hidden="1" x14ac:dyDescent="0.3">
      <c r="C7" s="6348"/>
      <c r="D7" s="5512" t="s">
        <v>2293</v>
      </c>
      <c r="E7" s="5513"/>
      <c r="F7" s="5514"/>
      <c r="G7" s="5515"/>
      <c r="H7" s="5514"/>
      <c r="I7" s="1455">
        <f>+E7+G7</f>
        <v>0</v>
      </c>
      <c r="J7" s="1456">
        <f>+H7+F7</f>
        <v>0</v>
      </c>
      <c r="K7" s="1331"/>
      <c r="L7" s="559"/>
      <c r="M7" s="4299">
        <f t="shared" ref="M7" si="25">+E7+G7+K7</f>
        <v>0</v>
      </c>
      <c r="N7" s="4306">
        <f t="shared" ref="N7" si="26">+F7+H7+L7</f>
        <v>0</v>
      </c>
      <c r="O7" s="1331"/>
      <c r="P7" s="559"/>
      <c r="Q7" s="1455">
        <f t="shared" ref="Q7" si="27">+M7+O7</f>
        <v>0</v>
      </c>
      <c r="R7" s="1456">
        <f t="shared" ref="R7" si="28">+P7+N7</f>
        <v>0</v>
      </c>
      <c r="S7" s="566">
        <v>0</v>
      </c>
      <c r="T7" s="563">
        <v>0</v>
      </c>
      <c r="U7" s="1455">
        <f t="shared" ref="U7" si="29">+Q7+S7</f>
        <v>0</v>
      </c>
      <c r="V7" s="1456">
        <f t="shared" ref="V7" si="30">+T7+R7</f>
        <v>0</v>
      </c>
      <c r="W7" s="566"/>
      <c r="X7" s="563"/>
      <c r="Y7" s="4299">
        <f t="shared" ref="Y7" si="31">+O7+S7+W7</f>
        <v>0</v>
      </c>
      <c r="Z7" s="4299">
        <f t="shared" ref="Z7" si="32">+P7+T7+X7</f>
        <v>0</v>
      </c>
      <c r="AA7" s="4289">
        <f t="shared" ref="AA7" si="33">+M7+Y7</f>
        <v>0</v>
      </c>
      <c r="AB7" s="4290">
        <f t="shared" ref="AB7" si="34">+N7+Z7</f>
        <v>0</v>
      </c>
      <c r="AC7" s="566"/>
      <c r="AD7" s="563"/>
      <c r="AE7" s="1455">
        <f t="shared" ref="AE7" si="35">+AA7+AC7</f>
        <v>0</v>
      </c>
      <c r="AF7" s="1456">
        <f t="shared" ref="AF7" si="36">+AD7+AB7</f>
        <v>0</v>
      </c>
      <c r="AG7" s="566">
        <v>0</v>
      </c>
      <c r="AH7" s="563">
        <v>0</v>
      </c>
      <c r="AI7" s="1455">
        <f t="shared" ref="AI7" si="37">+AE7+AG7</f>
        <v>0</v>
      </c>
      <c r="AJ7" s="1456">
        <f t="shared" ref="AJ7" si="38">+AH7+AF7</f>
        <v>0</v>
      </c>
      <c r="AK7" s="566">
        <v>0</v>
      </c>
      <c r="AL7" s="563">
        <v>0</v>
      </c>
      <c r="AM7" s="1105">
        <f t="shared" ref="AM7" si="39">+AC7+AG7+AK7</f>
        <v>0</v>
      </c>
      <c r="AN7" s="1105">
        <f t="shared" ref="AN7" si="40">+AD7+AH7+AL7</f>
        <v>0</v>
      </c>
      <c r="AO7" s="1455">
        <f t="shared" ref="AO7" si="41">+AI7+AK7</f>
        <v>0</v>
      </c>
      <c r="AP7" s="1456">
        <f t="shared" ref="AP7" si="42">+AL7+AJ7</f>
        <v>0</v>
      </c>
      <c r="AQ7" s="566">
        <v>0</v>
      </c>
      <c r="AR7" s="563">
        <v>0</v>
      </c>
      <c r="AS7" s="1455">
        <f t="shared" ref="AS7" si="43">+AO7+AQ7</f>
        <v>0</v>
      </c>
      <c r="AT7" s="1456">
        <f t="shared" ref="AT7" si="44">+AR7+AP7</f>
        <v>0</v>
      </c>
      <c r="AU7" s="566">
        <v>0</v>
      </c>
      <c r="AV7" s="563">
        <v>0</v>
      </c>
      <c r="AW7" s="1455">
        <f t="shared" ref="AW7" si="45">+AS7+AU7</f>
        <v>0</v>
      </c>
      <c r="AX7" s="1456">
        <f t="shared" ref="AX7" si="46">+AV7+AT7</f>
        <v>0</v>
      </c>
      <c r="AY7" s="566">
        <v>0</v>
      </c>
      <c r="AZ7" s="563">
        <v>0</v>
      </c>
      <c r="BA7" s="1105">
        <f t="shared" ref="BA7" si="47">+AQ7+AU7+AY7</f>
        <v>0</v>
      </c>
      <c r="BB7" s="1105">
        <f t="shared" ref="BB7" si="48">+AR7+AV7+AZ7</f>
        <v>0</v>
      </c>
      <c r="BC7" s="1628">
        <f t="shared" ref="BC7" si="49">+AM7+BA7</f>
        <v>0</v>
      </c>
      <c r="BD7" s="1628">
        <f t="shared" ref="BD7" si="50">+AN7+BB7</f>
        <v>0</v>
      </c>
      <c r="BE7" s="1455">
        <f t="shared" ref="BE7" si="51">+AW7+AY7</f>
        <v>0</v>
      </c>
      <c r="BF7" s="1456">
        <f t="shared" ref="BF7" si="52">+AZ7+AX7</f>
        <v>0</v>
      </c>
      <c r="BG7" s="26"/>
      <c r="BH7" s="26"/>
      <c r="BI7" s="26"/>
      <c r="BJ7" s="26"/>
    </row>
    <row r="8" spans="3:62" hidden="1" thickBot="1" x14ac:dyDescent="0.35">
      <c r="C8" s="6348"/>
      <c r="D8" s="2073" t="s">
        <v>2293</v>
      </c>
      <c r="E8" s="565"/>
      <c r="F8" s="561"/>
      <c r="G8" s="569"/>
      <c r="H8" s="561"/>
      <c r="I8" s="1455">
        <f>+E8+G8</f>
        <v>0</v>
      </c>
      <c r="J8" s="1456">
        <f>+H8+F8</f>
        <v>0</v>
      </c>
      <c r="K8" s="1332"/>
      <c r="L8" s="569"/>
      <c r="M8" s="4299">
        <f t="shared" si="0"/>
        <v>0</v>
      </c>
      <c r="N8" s="4306">
        <f t="shared" si="0"/>
        <v>0</v>
      </c>
      <c r="O8" s="1332"/>
      <c r="P8" s="569"/>
      <c r="Q8" s="1455">
        <f t="shared" si="7"/>
        <v>0</v>
      </c>
      <c r="R8" s="1456">
        <f t="shared" si="8"/>
        <v>0</v>
      </c>
      <c r="S8" s="569">
        <v>0</v>
      </c>
      <c r="T8" s="561">
        <v>0</v>
      </c>
      <c r="U8" s="1455">
        <f t="shared" si="9"/>
        <v>0</v>
      </c>
      <c r="V8" s="1456">
        <f t="shared" si="10"/>
        <v>0</v>
      </c>
      <c r="W8" s="569"/>
      <c r="X8" s="561"/>
      <c r="Y8" s="4299">
        <f t="shared" si="1"/>
        <v>0</v>
      </c>
      <c r="Z8" s="4299">
        <f t="shared" si="1"/>
        <v>0</v>
      </c>
      <c r="AA8" s="4289">
        <f t="shared" si="2"/>
        <v>0</v>
      </c>
      <c r="AB8" s="4290">
        <f t="shared" si="2"/>
        <v>0</v>
      </c>
      <c r="AC8" s="569"/>
      <c r="AD8" s="561"/>
      <c r="AE8" s="1455">
        <f t="shared" si="11"/>
        <v>0</v>
      </c>
      <c r="AF8" s="1456">
        <f t="shared" si="12"/>
        <v>0</v>
      </c>
      <c r="AG8" s="569">
        <v>0</v>
      </c>
      <c r="AH8" s="561">
        <v>0</v>
      </c>
      <c r="AI8" s="1455">
        <f t="shared" si="13"/>
        <v>0</v>
      </c>
      <c r="AJ8" s="1456">
        <f t="shared" si="14"/>
        <v>0</v>
      </c>
      <c r="AK8" s="569">
        <v>0</v>
      </c>
      <c r="AL8" s="561">
        <v>0</v>
      </c>
      <c r="AM8" s="1105">
        <f t="shared" si="3"/>
        <v>0</v>
      </c>
      <c r="AN8" s="1105">
        <f t="shared" si="4"/>
        <v>0</v>
      </c>
      <c r="AO8" s="1455">
        <f t="shared" si="15"/>
        <v>0</v>
      </c>
      <c r="AP8" s="1456">
        <f t="shared" si="16"/>
        <v>0</v>
      </c>
      <c r="AQ8" s="569">
        <v>0</v>
      </c>
      <c r="AR8" s="561">
        <v>0</v>
      </c>
      <c r="AS8" s="1455">
        <f t="shared" si="17"/>
        <v>0</v>
      </c>
      <c r="AT8" s="1456">
        <f t="shared" si="18"/>
        <v>0</v>
      </c>
      <c r="AU8" s="569">
        <v>0</v>
      </c>
      <c r="AV8" s="561">
        <v>0</v>
      </c>
      <c r="AW8" s="1455">
        <f t="shared" si="19"/>
        <v>0</v>
      </c>
      <c r="AX8" s="1456">
        <f t="shared" si="20"/>
        <v>0</v>
      </c>
      <c r="AY8" s="569">
        <v>0</v>
      </c>
      <c r="AZ8" s="561">
        <v>0</v>
      </c>
      <c r="BA8" s="1105">
        <f t="shared" si="5"/>
        <v>0</v>
      </c>
      <c r="BB8" s="1105">
        <f t="shared" si="6"/>
        <v>0</v>
      </c>
      <c r="BC8" s="1628">
        <f t="shared" si="21"/>
        <v>0</v>
      </c>
      <c r="BD8" s="1628">
        <f t="shared" si="22"/>
        <v>0</v>
      </c>
      <c r="BE8" s="1455">
        <f t="shared" si="23"/>
        <v>0</v>
      </c>
      <c r="BF8" s="1456">
        <f t="shared" si="24"/>
        <v>0</v>
      </c>
      <c r="BG8" s="26"/>
      <c r="BH8" s="26"/>
      <c r="BI8" s="26"/>
      <c r="BJ8" s="26"/>
    </row>
    <row r="9" spans="3:62" hidden="1" thickBot="1" x14ac:dyDescent="0.35">
      <c r="C9" s="6349"/>
      <c r="D9" s="1826" t="s">
        <v>2</v>
      </c>
      <c r="E9" s="570">
        <f t="shared" ref="E9:N9" si="53">SUM(E5:E8)</f>
        <v>0</v>
      </c>
      <c r="F9" s="560">
        <f t="shared" si="53"/>
        <v>0</v>
      </c>
      <c r="G9" s="570">
        <f t="shared" si="53"/>
        <v>0</v>
      </c>
      <c r="H9" s="560">
        <f t="shared" si="53"/>
        <v>0</v>
      </c>
      <c r="I9" s="1112">
        <f>SUM(I5:I8)</f>
        <v>0</v>
      </c>
      <c r="J9" s="1113">
        <f>SUM(J5:J8)</f>
        <v>0</v>
      </c>
      <c r="K9" s="1333">
        <f t="shared" si="53"/>
        <v>0</v>
      </c>
      <c r="L9" s="570">
        <f t="shared" si="53"/>
        <v>0</v>
      </c>
      <c r="M9" s="4300">
        <f t="shared" si="53"/>
        <v>0</v>
      </c>
      <c r="N9" s="4301">
        <f t="shared" si="53"/>
        <v>0</v>
      </c>
      <c r="O9" s="1333">
        <f t="shared" ref="O9:P9" si="54">SUM(O5:O8)</f>
        <v>0</v>
      </c>
      <c r="P9" s="570">
        <f t="shared" si="54"/>
        <v>0</v>
      </c>
      <c r="Q9" s="1112">
        <f t="shared" ref="Q9:AF9" si="55">SUM(Q5:Q8)</f>
        <v>0</v>
      </c>
      <c r="R9" s="1113">
        <f t="shared" si="55"/>
        <v>0</v>
      </c>
      <c r="S9" s="570">
        <f t="shared" ref="S9:V9" si="56">SUM(S5:S8)</f>
        <v>0</v>
      </c>
      <c r="T9" s="560">
        <f t="shared" si="56"/>
        <v>0</v>
      </c>
      <c r="U9" s="1112">
        <f t="shared" si="56"/>
        <v>0</v>
      </c>
      <c r="V9" s="1113">
        <f t="shared" si="56"/>
        <v>0</v>
      </c>
      <c r="W9" s="570">
        <f t="shared" ref="W9:X9" si="57">SUM(W5:W8)</f>
        <v>0</v>
      </c>
      <c r="X9" s="560">
        <f t="shared" si="57"/>
        <v>0</v>
      </c>
      <c r="Y9" s="4300">
        <f t="shared" si="55"/>
        <v>0</v>
      </c>
      <c r="Z9" s="4301">
        <f t="shared" si="55"/>
        <v>0</v>
      </c>
      <c r="AA9" s="4291">
        <f t="shared" si="55"/>
        <v>0</v>
      </c>
      <c r="AB9" s="4292">
        <f t="shared" si="55"/>
        <v>0</v>
      </c>
      <c r="AC9" s="570"/>
      <c r="AD9" s="560"/>
      <c r="AE9" s="1112">
        <f t="shared" si="55"/>
        <v>0</v>
      </c>
      <c r="AF9" s="1113">
        <f t="shared" si="55"/>
        <v>0</v>
      </c>
      <c r="AG9" s="570">
        <f t="shared" ref="AG9:AJ9" si="58">SUM(AG5:AG8)</f>
        <v>0</v>
      </c>
      <c r="AH9" s="560">
        <f t="shared" si="58"/>
        <v>0</v>
      </c>
      <c r="AI9" s="1112">
        <f t="shared" si="58"/>
        <v>0</v>
      </c>
      <c r="AJ9" s="1113">
        <f t="shared" si="58"/>
        <v>0</v>
      </c>
      <c r="AK9" s="570">
        <f t="shared" ref="AK9:AT9" si="59">SUM(AK5:AK8)</f>
        <v>0</v>
      </c>
      <c r="AL9" s="560">
        <f t="shared" si="59"/>
        <v>0</v>
      </c>
      <c r="AM9" s="1106">
        <f t="shared" si="59"/>
        <v>0</v>
      </c>
      <c r="AN9" s="1107">
        <f t="shared" si="59"/>
        <v>0</v>
      </c>
      <c r="AO9" s="1112">
        <f t="shared" si="59"/>
        <v>0</v>
      </c>
      <c r="AP9" s="1113">
        <f t="shared" si="59"/>
        <v>0</v>
      </c>
      <c r="AQ9" s="570">
        <f t="shared" si="59"/>
        <v>0</v>
      </c>
      <c r="AR9" s="560">
        <f t="shared" si="59"/>
        <v>0</v>
      </c>
      <c r="AS9" s="1112">
        <f t="shared" si="59"/>
        <v>0</v>
      </c>
      <c r="AT9" s="1113">
        <f t="shared" si="59"/>
        <v>0</v>
      </c>
      <c r="AU9" s="570">
        <f t="shared" ref="AU9:AX9" si="60">SUM(AU5:AU8)</f>
        <v>0</v>
      </c>
      <c r="AV9" s="560">
        <f t="shared" si="60"/>
        <v>0</v>
      </c>
      <c r="AW9" s="1112">
        <f t="shared" si="60"/>
        <v>0</v>
      </c>
      <c r="AX9" s="1113">
        <f t="shared" si="60"/>
        <v>0</v>
      </c>
      <c r="AY9" s="570">
        <f t="shared" ref="AY9:BF9" si="61">SUM(AY5:AY8)</f>
        <v>0</v>
      </c>
      <c r="AZ9" s="560">
        <f t="shared" si="61"/>
        <v>0</v>
      </c>
      <c r="BA9" s="1106">
        <f t="shared" si="61"/>
        <v>0</v>
      </c>
      <c r="BB9" s="1107">
        <f t="shared" si="61"/>
        <v>0</v>
      </c>
      <c r="BC9" s="1629">
        <f t="shared" si="61"/>
        <v>0</v>
      </c>
      <c r="BD9" s="1630">
        <f t="shared" si="61"/>
        <v>0</v>
      </c>
      <c r="BE9" s="1112">
        <f t="shared" si="61"/>
        <v>0</v>
      </c>
      <c r="BF9" s="1113">
        <f t="shared" si="61"/>
        <v>0</v>
      </c>
      <c r="BG9" s="26"/>
      <c r="BH9" s="26"/>
      <c r="BI9" s="26"/>
      <c r="BJ9" s="26"/>
    </row>
    <row r="10" spans="3:62" x14ac:dyDescent="0.25">
      <c r="C10" s="6352" t="s">
        <v>984</v>
      </c>
      <c r="D10" s="2072" t="s">
        <v>1192</v>
      </c>
      <c r="E10" s="559"/>
      <c r="F10" s="563"/>
      <c r="G10" s="559"/>
      <c r="H10" s="563"/>
      <c r="I10" s="1455">
        <f>+E10+G10</f>
        <v>0</v>
      </c>
      <c r="J10" s="1456">
        <f>+H10+F10</f>
        <v>0</v>
      </c>
      <c r="K10" s="559"/>
      <c r="L10" s="563"/>
      <c r="M10" s="4299">
        <f t="shared" ref="M10:N15" si="62">+E10+G10+K10</f>
        <v>0</v>
      </c>
      <c r="N10" s="4306">
        <f t="shared" si="62"/>
        <v>0</v>
      </c>
      <c r="O10" s="559"/>
      <c r="P10" s="563"/>
      <c r="Q10" s="1455">
        <f>+M10+O10</f>
        <v>0</v>
      </c>
      <c r="R10" s="1456">
        <f>+P10+N10</f>
        <v>0</v>
      </c>
      <c r="S10" s="559"/>
      <c r="T10" s="563"/>
      <c r="U10" s="1455">
        <f>+Q10+S10</f>
        <v>0</v>
      </c>
      <c r="V10" s="1456">
        <f>+T10+R10</f>
        <v>0</v>
      </c>
      <c r="W10" s="559"/>
      <c r="X10" s="563"/>
      <c r="Y10" s="4299">
        <f t="shared" ref="Y10:Z15" si="63">+O10+S10+W10</f>
        <v>0</v>
      </c>
      <c r="Z10" s="4299">
        <f t="shared" si="63"/>
        <v>0</v>
      </c>
      <c r="AA10" s="4289">
        <f t="shared" ref="AA10:AB15" si="64">+M10+Y10</f>
        <v>0</v>
      </c>
      <c r="AB10" s="4290">
        <f t="shared" si="64"/>
        <v>0</v>
      </c>
      <c r="AC10" s="559"/>
      <c r="AD10" s="563"/>
      <c r="AE10" s="1455">
        <f>+AA10+AC10</f>
        <v>0</v>
      </c>
      <c r="AF10" s="1456">
        <f>+AD10+AB10</f>
        <v>0</v>
      </c>
      <c r="AG10" s="559">
        <v>0</v>
      </c>
      <c r="AH10" s="563">
        <v>0</v>
      </c>
      <c r="AI10" s="1455">
        <f>+AE10+AG10</f>
        <v>0</v>
      </c>
      <c r="AJ10" s="1456">
        <f>+AH10+AF10</f>
        <v>0</v>
      </c>
      <c r="AK10" s="559">
        <v>0</v>
      </c>
      <c r="AL10" s="563">
        <v>0</v>
      </c>
      <c r="AM10" s="1105">
        <f t="shared" ref="AM10:AM15" si="65">+AC10+AG10+AK10</f>
        <v>0</v>
      </c>
      <c r="AN10" s="1105">
        <f t="shared" ref="AN10:AN15" si="66">+AD10+AH10+AL10</f>
        <v>0</v>
      </c>
      <c r="AO10" s="1455">
        <f>+AI10+AK10</f>
        <v>0</v>
      </c>
      <c r="AP10" s="1456">
        <f>+AL10+AJ10</f>
        <v>0</v>
      </c>
      <c r="AQ10" s="559">
        <v>0</v>
      </c>
      <c r="AR10" s="563">
        <v>0</v>
      </c>
      <c r="AS10" s="1455">
        <f>+AO10+AQ10</f>
        <v>0</v>
      </c>
      <c r="AT10" s="1456">
        <f>+AR10+AP10</f>
        <v>0</v>
      </c>
      <c r="AU10" s="559">
        <v>0</v>
      </c>
      <c r="AV10" s="563">
        <v>0</v>
      </c>
      <c r="AW10" s="1455">
        <f>+AS10+AU10</f>
        <v>0</v>
      </c>
      <c r="AX10" s="1456">
        <f>+AV10+AT10</f>
        <v>0</v>
      </c>
      <c r="AY10" s="559">
        <v>0</v>
      </c>
      <c r="AZ10" s="563">
        <v>0</v>
      </c>
      <c r="BA10" s="1105">
        <f t="shared" ref="BA10:BA15" si="67">+AQ10+AU10+AY10</f>
        <v>0</v>
      </c>
      <c r="BB10" s="1105">
        <f t="shared" ref="BB10:BB15" si="68">+AR10+AV10+AZ10</f>
        <v>0</v>
      </c>
      <c r="BC10" s="1628">
        <f t="shared" ref="BC10:BC15" si="69">+AM10+BA10</f>
        <v>0</v>
      </c>
      <c r="BD10" s="1628">
        <f t="shared" ref="BD10:BD15" si="70">+AN10+BB10</f>
        <v>0</v>
      </c>
      <c r="BE10" s="1455">
        <f>+AW10+AY10</f>
        <v>0</v>
      </c>
      <c r="BF10" s="1456">
        <f>+AZ10+AX10</f>
        <v>0</v>
      </c>
      <c r="BG10" s="26"/>
      <c r="BH10" s="26"/>
      <c r="BI10" s="26"/>
      <c r="BJ10" s="26"/>
    </row>
    <row r="11" spans="3:62" x14ac:dyDescent="0.25">
      <c r="C11" s="6353"/>
      <c r="D11" s="2072" t="s">
        <v>2001</v>
      </c>
      <c r="E11" s="559">
        <v>5058.57</v>
      </c>
      <c r="F11" s="563">
        <v>2606.42</v>
      </c>
      <c r="G11" s="559">
        <v>2936.62</v>
      </c>
      <c r="H11" s="563">
        <v>3329.1699999999996</v>
      </c>
      <c r="I11" s="1455">
        <f t="shared" ref="I11:I15" si="71">+E11+G11</f>
        <v>7995.19</v>
      </c>
      <c r="J11" s="1456">
        <f t="shared" ref="J11:J15" si="72">+H11+F11</f>
        <v>5935.59</v>
      </c>
      <c r="K11" s="559">
        <v>1650.3149999999996</v>
      </c>
      <c r="L11" s="563">
        <v>2553.2999999999997</v>
      </c>
      <c r="M11" s="4299">
        <f t="shared" si="62"/>
        <v>9645.5049999999992</v>
      </c>
      <c r="N11" s="4306">
        <f t="shared" si="62"/>
        <v>8488.89</v>
      </c>
      <c r="O11" s="559">
        <v>3276.0899999999988</v>
      </c>
      <c r="P11" s="563">
        <v>2770.58</v>
      </c>
      <c r="Q11" s="1455">
        <f t="shared" ref="Q11:Q15" si="73">+M11+O11</f>
        <v>12921.594999999998</v>
      </c>
      <c r="R11" s="1456">
        <f t="shared" ref="R11:R15" si="74">+P11+N11</f>
        <v>11259.47</v>
      </c>
      <c r="S11" s="559"/>
      <c r="T11" s="563">
        <v>1418.6100000000001</v>
      </c>
      <c r="U11" s="1455">
        <f t="shared" ref="U11:U15" si="75">+Q11+S11</f>
        <v>12921.594999999998</v>
      </c>
      <c r="V11" s="1456">
        <f t="shared" ref="V11:V15" si="76">+T11+R11</f>
        <v>12678.08</v>
      </c>
      <c r="W11" s="559">
        <v>2259.7249999999995</v>
      </c>
      <c r="X11" s="563">
        <v>763.62000000000012</v>
      </c>
      <c r="Y11" s="4299">
        <f t="shared" si="63"/>
        <v>5535.8149999999987</v>
      </c>
      <c r="Z11" s="4299">
        <f t="shared" si="63"/>
        <v>4952.8100000000004</v>
      </c>
      <c r="AA11" s="4289">
        <f t="shared" si="64"/>
        <v>15181.319999999998</v>
      </c>
      <c r="AB11" s="4290">
        <f t="shared" si="64"/>
        <v>13441.7</v>
      </c>
      <c r="AC11" s="559"/>
      <c r="AD11" s="563"/>
      <c r="AE11" s="1455">
        <f t="shared" ref="AE11:AE15" si="77">+AA11+AC11</f>
        <v>15181.319999999998</v>
      </c>
      <c r="AF11" s="1456">
        <f t="shared" ref="AF11:AF15" si="78">+AD11+AB11</f>
        <v>13441.7</v>
      </c>
      <c r="AG11" s="559">
        <v>0</v>
      </c>
      <c r="AH11" s="563">
        <v>0</v>
      </c>
      <c r="AI11" s="1455">
        <f t="shared" ref="AI11:AI15" si="79">+AE11+AG11</f>
        <v>15181.319999999998</v>
      </c>
      <c r="AJ11" s="1456">
        <f t="shared" ref="AJ11:AJ15" si="80">+AH11+AF11</f>
        <v>13441.7</v>
      </c>
      <c r="AK11" s="559">
        <v>3042.9599999999991</v>
      </c>
      <c r="AL11" s="563">
        <v>3012.9300000000007</v>
      </c>
      <c r="AM11" s="1105">
        <f t="shared" si="65"/>
        <v>3042.9599999999991</v>
      </c>
      <c r="AN11" s="1105">
        <f t="shared" si="66"/>
        <v>3012.9300000000007</v>
      </c>
      <c r="AO11" s="1455">
        <f t="shared" ref="AO11:AO15" si="81">+AI11+AK11</f>
        <v>18224.28</v>
      </c>
      <c r="AP11" s="1456">
        <f t="shared" ref="AP11:AP15" si="82">+AL11+AJ11</f>
        <v>16454.63</v>
      </c>
      <c r="AQ11" s="559">
        <v>3615.5599999999995</v>
      </c>
      <c r="AR11" s="563">
        <v>3426.1200000000003</v>
      </c>
      <c r="AS11" s="1455">
        <f>+AO11+AQ11</f>
        <v>21839.839999999997</v>
      </c>
      <c r="AT11" s="1456">
        <f t="shared" ref="AT11:AT15" si="83">+AR11+AP11</f>
        <v>19880.75</v>
      </c>
      <c r="AU11" s="559">
        <v>3969.3449999999993</v>
      </c>
      <c r="AV11" s="563">
        <v>3574.9399999999996</v>
      </c>
      <c r="AW11" s="1455">
        <f t="shared" ref="AW11:AW15" si="84">+AS11+AU11</f>
        <v>25809.184999999998</v>
      </c>
      <c r="AX11" s="1456">
        <f t="shared" ref="AX11:AX15" si="85">+AV11+AT11</f>
        <v>23455.69</v>
      </c>
      <c r="AY11" s="559">
        <v>5505.8849999999993</v>
      </c>
      <c r="AZ11" s="563">
        <v>5975.59</v>
      </c>
      <c r="BA11" s="1105">
        <f>+AQ11+AU11+AY11</f>
        <v>13090.789999999997</v>
      </c>
      <c r="BB11" s="1105">
        <f t="shared" si="68"/>
        <v>12976.65</v>
      </c>
      <c r="BC11" s="1628">
        <f t="shared" si="69"/>
        <v>16133.749999999996</v>
      </c>
      <c r="BD11" s="1628">
        <f t="shared" si="70"/>
        <v>15989.58</v>
      </c>
      <c r="BE11" s="1455">
        <f t="shared" ref="BE11:BE15" si="86">+AW11+AY11</f>
        <v>31315.069999999996</v>
      </c>
      <c r="BF11" s="1456">
        <f t="shared" ref="BF11:BF15" si="87">+AZ11+AX11</f>
        <v>29431.279999999999</v>
      </c>
      <c r="BG11" s="26"/>
      <c r="BH11" s="26"/>
      <c r="BI11" s="26"/>
      <c r="BJ11" s="26"/>
    </row>
    <row r="12" spans="3:62" x14ac:dyDescent="0.25">
      <c r="C12" s="6353"/>
      <c r="D12" s="2072" t="s">
        <v>1348</v>
      </c>
      <c r="E12" s="559"/>
      <c r="F12" s="563"/>
      <c r="G12" s="559"/>
      <c r="H12" s="563"/>
      <c r="I12" s="1455">
        <f t="shared" si="71"/>
        <v>0</v>
      </c>
      <c r="J12" s="1456">
        <f t="shared" si="72"/>
        <v>0</v>
      </c>
      <c r="K12" s="559"/>
      <c r="L12" s="563"/>
      <c r="M12" s="4299">
        <f t="shared" si="62"/>
        <v>0</v>
      </c>
      <c r="N12" s="4306">
        <f t="shared" si="62"/>
        <v>0</v>
      </c>
      <c r="O12" s="559"/>
      <c r="P12" s="563"/>
      <c r="Q12" s="1455">
        <f t="shared" si="73"/>
        <v>0</v>
      </c>
      <c r="R12" s="1456">
        <f t="shared" si="74"/>
        <v>0</v>
      </c>
      <c r="S12" s="559"/>
      <c r="T12" s="563"/>
      <c r="U12" s="1455">
        <f t="shared" si="75"/>
        <v>0</v>
      </c>
      <c r="V12" s="1456">
        <f t="shared" si="76"/>
        <v>0</v>
      </c>
      <c r="W12" s="559"/>
      <c r="X12" s="563"/>
      <c r="Y12" s="4299">
        <f t="shared" si="63"/>
        <v>0</v>
      </c>
      <c r="Z12" s="4299">
        <f t="shared" si="63"/>
        <v>0</v>
      </c>
      <c r="AA12" s="4289">
        <f t="shared" si="64"/>
        <v>0</v>
      </c>
      <c r="AB12" s="4290">
        <f t="shared" si="64"/>
        <v>0</v>
      </c>
      <c r="AC12" s="559"/>
      <c r="AD12" s="563"/>
      <c r="AE12" s="1455">
        <f t="shared" si="77"/>
        <v>0</v>
      </c>
      <c r="AF12" s="1456">
        <f t="shared" si="78"/>
        <v>0</v>
      </c>
      <c r="AG12" s="559">
        <v>0</v>
      </c>
      <c r="AH12" s="563">
        <v>0</v>
      </c>
      <c r="AI12" s="1455">
        <f t="shared" si="79"/>
        <v>0</v>
      </c>
      <c r="AJ12" s="1456">
        <f t="shared" si="80"/>
        <v>0</v>
      </c>
      <c r="AK12" s="559"/>
      <c r="AL12" s="563">
        <v>0</v>
      </c>
      <c r="AM12" s="1105">
        <f t="shared" si="65"/>
        <v>0</v>
      </c>
      <c r="AN12" s="1105">
        <f t="shared" si="66"/>
        <v>0</v>
      </c>
      <c r="AO12" s="1455">
        <f t="shared" si="81"/>
        <v>0</v>
      </c>
      <c r="AP12" s="1456">
        <f t="shared" si="82"/>
        <v>0</v>
      </c>
      <c r="AQ12" s="559"/>
      <c r="AR12" s="563"/>
      <c r="AS12" s="1455">
        <f t="shared" ref="AS12:AS15" si="88">+AO12+AQ12</f>
        <v>0</v>
      </c>
      <c r="AT12" s="1456">
        <f t="shared" si="83"/>
        <v>0</v>
      </c>
      <c r="AU12" s="559"/>
      <c r="AV12" s="563"/>
      <c r="AW12" s="1455">
        <f t="shared" si="84"/>
        <v>0</v>
      </c>
      <c r="AX12" s="1456">
        <f t="shared" si="85"/>
        <v>0</v>
      </c>
      <c r="AY12" s="559"/>
      <c r="AZ12" s="563"/>
      <c r="BA12" s="1105">
        <f t="shared" si="67"/>
        <v>0</v>
      </c>
      <c r="BB12" s="1105">
        <f t="shared" si="68"/>
        <v>0</v>
      </c>
      <c r="BC12" s="1628">
        <f t="shared" si="69"/>
        <v>0</v>
      </c>
      <c r="BD12" s="1628">
        <f t="shared" si="70"/>
        <v>0</v>
      </c>
      <c r="BE12" s="1455">
        <f t="shared" si="86"/>
        <v>0</v>
      </c>
      <c r="BF12" s="1456">
        <f t="shared" si="87"/>
        <v>0</v>
      </c>
      <c r="BG12" s="26"/>
      <c r="BH12" s="26"/>
      <c r="BI12" s="26"/>
      <c r="BJ12" s="26"/>
    </row>
    <row r="13" spans="3:62" x14ac:dyDescent="0.25">
      <c r="C13" s="6353"/>
      <c r="D13" s="2072" t="s">
        <v>1196</v>
      </c>
      <c r="E13" s="559">
        <v>14295.540000000015</v>
      </c>
      <c r="F13" s="563">
        <v>14131.059999999992</v>
      </c>
      <c r="G13" s="563">
        <v>8564.9000000000124</v>
      </c>
      <c r="H13" s="563">
        <v>6163.3799999999992</v>
      </c>
      <c r="I13" s="1455">
        <f t="shared" si="71"/>
        <v>22860.440000000028</v>
      </c>
      <c r="J13" s="1456">
        <f t="shared" si="72"/>
        <v>20294.439999999991</v>
      </c>
      <c r="K13" s="559">
        <v>7993.1250000000064</v>
      </c>
      <c r="L13" s="563">
        <v>4807.3</v>
      </c>
      <c r="M13" s="4299">
        <f t="shared" si="62"/>
        <v>30853.565000000035</v>
      </c>
      <c r="N13" s="4306">
        <f t="shared" si="62"/>
        <v>25101.739999999991</v>
      </c>
      <c r="O13" s="559">
        <v>7960.655000000007</v>
      </c>
      <c r="P13" s="563">
        <v>11289.410000000002</v>
      </c>
      <c r="Q13" s="1455">
        <f t="shared" si="73"/>
        <v>38814.220000000045</v>
      </c>
      <c r="R13" s="1456">
        <f t="shared" si="74"/>
        <v>36391.149999999994</v>
      </c>
      <c r="S13" s="559">
        <v>7257.2500000000045</v>
      </c>
      <c r="T13" s="563">
        <v>9006</v>
      </c>
      <c r="U13" s="1455">
        <f t="shared" si="75"/>
        <v>46071.470000000052</v>
      </c>
      <c r="V13" s="1456">
        <f t="shared" si="76"/>
        <v>45397.149999999994</v>
      </c>
      <c r="W13" s="1201">
        <v>13499.48500000001</v>
      </c>
      <c r="X13" s="563">
        <v>8734.58</v>
      </c>
      <c r="Y13" s="4299">
        <f t="shared" si="63"/>
        <v>28717.390000000021</v>
      </c>
      <c r="Z13" s="4299">
        <f t="shared" si="63"/>
        <v>29029.990000000005</v>
      </c>
      <c r="AA13" s="4289">
        <f t="shared" si="64"/>
        <v>59570.95500000006</v>
      </c>
      <c r="AB13" s="4290">
        <f t="shared" si="64"/>
        <v>54131.729999999996</v>
      </c>
      <c r="AC13" s="559">
        <v>11021.86</v>
      </c>
      <c r="AD13" s="563">
        <v>7111.8199999999988</v>
      </c>
      <c r="AE13" s="1455">
        <f t="shared" si="77"/>
        <v>70592.815000000061</v>
      </c>
      <c r="AF13" s="1456">
        <f t="shared" si="78"/>
        <v>61243.549999999996</v>
      </c>
      <c r="AG13" s="559">
        <v>0</v>
      </c>
      <c r="AH13" s="563">
        <v>3798.27</v>
      </c>
      <c r="AI13" s="1455">
        <f t="shared" si="79"/>
        <v>70592.815000000061</v>
      </c>
      <c r="AJ13" s="1456">
        <f t="shared" si="80"/>
        <v>65041.819999999992</v>
      </c>
      <c r="AK13" s="559">
        <v>11115.110000000017</v>
      </c>
      <c r="AL13" s="563">
        <v>9699.6000000000022</v>
      </c>
      <c r="AM13" s="1105">
        <f t="shared" si="65"/>
        <v>22136.970000000016</v>
      </c>
      <c r="AN13" s="1105">
        <f t="shared" si="66"/>
        <v>20609.690000000002</v>
      </c>
      <c r="AO13" s="1455">
        <f t="shared" si="81"/>
        <v>81707.925000000076</v>
      </c>
      <c r="AP13" s="1456">
        <f t="shared" si="82"/>
        <v>74741.42</v>
      </c>
      <c r="AQ13" s="559">
        <v>10765.540000000045</v>
      </c>
      <c r="AR13" s="563">
        <v>11362.95</v>
      </c>
      <c r="AS13" s="1455">
        <f t="shared" si="88"/>
        <v>92473.465000000113</v>
      </c>
      <c r="AT13" s="1456">
        <f t="shared" si="83"/>
        <v>86104.37</v>
      </c>
      <c r="AU13" s="559">
        <v>12197.285000000036</v>
      </c>
      <c r="AV13" s="563">
        <v>12260.820000000003</v>
      </c>
      <c r="AW13" s="1455">
        <f t="shared" si="84"/>
        <v>104670.75000000015</v>
      </c>
      <c r="AX13" s="1456">
        <f t="shared" si="85"/>
        <v>98365.19</v>
      </c>
      <c r="AY13" s="559">
        <v>12472.825000000019</v>
      </c>
      <c r="AZ13" s="563">
        <v>12275.069999999996</v>
      </c>
      <c r="BA13" s="1105">
        <f t="shared" si="67"/>
        <v>35435.650000000096</v>
      </c>
      <c r="BB13" s="1105">
        <f t="shared" si="68"/>
        <v>35898.839999999997</v>
      </c>
      <c r="BC13" s="1628">
        <f t="shared" si="69"/>
        <v>57572.620000000112</v>
      </c>
      <c r="BD13" s="1628">
        <f t="shared" si="70"/>
        <v>56508.53</v>
      </c>
      <c r="BE13" s="1455">
        <f t="shared" si="86"/>
        <v>117143.57500000016</v>
      </c>
      <c r="BF13" s="1456">
        <f t="shared" si="87"/>
        <v>110640.26</v>
      </c>
      <c r="BG13" s="26"/>
      <c r="BH13" s="26"/>
      <c r="BI13" s="26"/>
      <c r="BJ13" s="26"/>
    </row>
    <row r="14" spans="3:62" x14ac:dyDescent="0.25">
      <c r="C14" s="6353"/>
      <c r="D14" s="2072" t="s">
        <v>1195</v>
      </c>
      <c r="E14" s="559">
        <v>3836.4199999999996</v>
      </c>
      <c r="F14" s="563">
        <v>2155.3900000000003</v>
      </c>
      <c r="G14" s="559">
        <v>8096.2000000000035</v>
      </c>
      <c r="H14" s="563">
        <v>10114.569999999998</v>
      </c>
      <c r="I14" s="1455">
        <f t="shared" si="71"/>
        <v>11932.620000000003</v>
      </c>
      <c r="J14" s="1456">
        <f t="shared" si="72"/>
        <v>12269.96</v>
      </c>
      <c r="K14" s="559">
        <v>10118.940000000015</v>
      </c>
      <c r="L14" s="563">
        <v>9903.4400000000023</v>
      </c>
      <c r="M14" s="4299">
        <f t="shared" si="62"/>
        <v>22051.560000000019</v>
      </c>
      <c r="N14" s="4306">
        <f t="shared" si="62"/>
        <v>22173.4</v>
      </c>
      <c r="O14" s="559">
        <v>7626.2800000000061</v>
      </c>
      <c r="P14" s="563">
        <v>7580.22</v>
      </c>
      <c r="Q14" s="1455">
        <f t="shared" si="73"/>
        <v>29677.840000000026</v>
      </c>
      <c r="R14" s="1456">
        <f t="shared" si="74"/>
        <v>29753.620000000003</v>
      </c>
      <c r="S14" s="559">
        <v>10797.600000000008</v>
      </c>
      <c r="T14" s="563">
        <v>9293.1999999999971</v>
      </c>
      <c r="U14" s="1455">
        <f t="shared" si="75"/>
        <v>40475.440000000031</v>
      </c>
      <c r="V14" s="1456">
        <f t="shared" si="76"/>
        <v>39046.82</v>
      </c>
      <c r="W14" s="1201">
        <v>4776.67</v>
      </c>
      <c r="X14" s="563">
        <v>3702.84</v>
      </c>
      <c r="Y14" s="4299">
        <f t="shared" si="63"/>
        <v>23200.55000000001</v>
      </c>
      <c r="Z14" s="4299">
        <f t="shared" si="63"/>
        <v>20576.259999999998</v>
      </c>
      <c r="AA14" s="4289">
        <f t="shared" si="64"/>
        <v>45252.11000000003</v>
      </c>
      <c r="AB14" s="4290">
        <f t="shared" si="64"/>
        <v>42749.66</v>
      </c>
      <c r="AC14" s="559">
        <v>15172.55</v>
      </c>
      <c r="AD14" s="563">
        <v>15211.889999999996</v>
      </c>
      <c r="AE14" s="1455">
        <f t="shared" si="77"/>
        <v>60424.660000000033</v>
      </c>
      <c r="AF14" s="1456">
        <f t="shared" si="78"/>
        <v>57961.55</v>
      </c>
      <c r="AG14" s="559">
        <v>0</v>
      </c>
      <c r="AH14" s="563">
        <v>63.66</v>
      </c>
      <c r="AI14" s="1455">
        <f t="shared" si="79"/>
        <v>60424.660000000033</v>
      </c>
      <c r="AJ14" s="1456">
        <f t="shared" si="80"/>
        <v>58025.210000000006</v>
      </c>
      <c r="AK14" s="559">
        <v>10141.085000000015</v>
      </c>
      <c r="AL14" s="563">
        <v>9978.9400000000023</v>
      </c>
      <c r="AM14" s="1105">
        <f t="shared" si="65"/>
        <v>25313.635000000017</v>
      </c>
      <c r="AN14" s="1105">
        <f t="shared" si="66"/>
        <v>25254.489999999998</v>
      </c>
      <c r="AO14" s="1455">
        <f t="shared" si="81"/>
        <v>70565.745000000054</v>
      </c>
      <c r="AP14" s="1456">
        <f t="shared" si="82"/>
        <v>68004.150000000009</v>
      </c>
      <c r="AQ14" s="559">
        <v>11311.77000000003</v>
      </c>
      <c r="AR14" s="563">
        <v>11094.81</v>
      </c>
      <c r="AS14" s="1455">
        <f t="shared" si="88"/>
        <v>81877.515000000087</v>
      </c>
      <c r="AT14" s="1456">
        <f t="shared" si="83"/>
        <v>79098.960000000006</v>
      </c>
      <c r="AU14" s="559">
        <v>8294.9450000000033</v>
      </c>
      <c r="AV14" s="563">
        <v>7065.4400000000023</v>
      </c>
      <c r="AW14" s="1455">
        <f t="shared" si="84"/>
        <v>90172.460000000094</v>
      </c>
      <c r="AX14" s="1456">
        <f t="shared" si="85"/>
        <v>86164.400000000009</v>
      </c>
      <c r="AY14" s="559">
        <v>12979.250000000018</v>
      </c>
      <c r="AZ14" s="563">
        <v>13521.100000000002</v>
      </c>
      <c r="BA14" s="1105">
        <f t="shared" si="67"/>
        <v>32585.965000000051</v>
      </c>
      <c r="BB14" s="1105">
        <f t="shared" si="68"/>
        <v>31681.350000000002</v>
      </c>
      <c r="BC14" s="1628">
        <f t="shared" si="69"/>
        <v>57899.600000000064</v>
      </c>
      <c r="BD14" s="1628">
        <f t="shared" si="70"/>
        <v>56935.839999999997</v>
      </c>
      <c r="BE14" s="1455">
        <f t="shared" si="86"/>
        <v>103151.71000000011</v>
      </c>
      <c r="BF14" s="1456">
        <f t="shared" si="87"/>
        <v>99685.500000000015</v>
      </c>
      <c r="BG14" s="26"/>
      <c r="BH14" s="26"/>
      <c r="BI14" s="26"/>
      <c r="BJ14" s="26"/>
    </row>
    <row r="15" spans="3:62" ht="15.75" thickBot="1" x14ac:dyDescent="0.3">
      <c r="C15" s="6353"/>
      <c r="D15" s="2072" t="s">
        <v>1194</v>
      </c>
      <c r="E15" s="559">
        <v>8355.6899999999987</v>
      </c>
      <c r="F15" s="563">
        <v>8244.4799999999977</v>
      </c>
      <c r="G15" s="559">
        <v>9685.2300000000105</v>
      </c>
      <c r="H15" s="563">
        <v>9649.5299999999952</v>
      </c>
      <c r="I15" s="1455">
        <f t="shared" si="71"/>
        <v>18040.920000000009</v>
      </c>
      <c r="J15" s="1456">
        <f t="shared" si="72"/>
        <v>17894.009999999995</v>
      </c>
      <c r="K15" s="559">
        <v>12248.71500000002</v>
      </c>
      <c r="L15" s="563">
        <v>11997.7</v>
      </c>
      <c r="M15" s="4299">
        <f t="shared" si="62"/>
        <v>30289.635000000031</v>
      </c>
      <c r="N15" s="4306">
        <f t="shared" si="62"/>
        <v>29891.709999999995</v>
      </c>
      <c r="O15" s="559"/>
      <c r="P15" s="563">
        <v>70.990000000000009</v>
      </c>
      <c r="Q15" s="1455">
        <f t="shared" si="73"/>
        <v>30289.635000000031</v>
      </c>
      <c r="R15" s="1456">
        <f t="shared" si="74"/>
        <v>29962.699999999997</v>
      </c>
      <c r="S15" s="559">
        <v>10931.275000000014</v>
      </c>
      <c r="T15" s="563">
        <v>10838.53</v>
      </c>
      <c r="U15" s="1455">
        <f t="shared" si="75"/>
        <v>41220.910000000047</v>
      </c>
      <c r="V15" s="1456">
        <f t="shared" si="76"/>
        <v>40801.229999999996</v>
      </c>
      <c r="W15" s="1201">
        <v>8653.0450000000092</v>
      </c>
      <c r="X15" s="563">
        <v>8827.9800000000014</v>
      </c>
      <c r="Y15" s="4299">
        <f t="shared" si="63"/>
        <v>19584.320000000022</v>
      </c>
      <c r="Z15" s="4299">
        <f t="shared" si="63"/>
        <v>19737.5</v>
      </c>
      <c r="AA15" s="4289">
        <f t="shared" si="64"/>
        <v>49873.955000000053</v>
      </c>
      <c r="AB15" s="4290">
        <f t="shared" si="64"/>
        <v>49629.209999999992</v>
      </c>
      <c r="AC15" s="559">
        <v>8169.78</v>
      </c>
      <c r="AD15" s="563">
        <v>8195.2000000000007</v>
      </c>
      <c r="AE15" s="1455">
        <f t="shared" si="77"/>
        <v>58043.735000000052</v>
      </c>
      <c r="AF15" s="1456">
        <f t="shared" si="78"/>
        <v>57824.409999999989</v>
      </c>
      <c r="AG15" s="559">
        <v>1494.8950000000002</v>
      </c>
      <c r="AH15" s="563">
        <v>1487.46</v>
      </c>
      <c r="AI15" s="1455">
        <f t="shared" si="79"/>
        <v>59538.630000000048</v>
      </c>
      <c r="AJ15" s="1456">
        <f t="shared" si="80"/>
        <v>59311.869999999988</v>
      </c>
      <c r="AK15" s="559">
        <v>9599.7750000000106</v>
      </c>
      <c r="AL15" s="563">
        <v>9575.2900000000009</v>
      </c>
      <c r="AM15" s="1105">
        <f t="shared" si="65"/>
        <v>19264.450000000012</v>
      </c>
      <c r="AN15" s="1105">
        <f t="shared" si="66"/>
        <v>19257.95</v>
      </c>
      <c r="AO15" s="1455">
        <f t="shared" si="81"/>
        <v>69138.405000000057</v>
      </c>
      <c r="AP15" s="1456">
        <f t="shared" si="82"/>
        <v>68887.159999999989</v>
      </c>
      <c r="AQ15" s="559">
        <v>9831.3050000000112</v>
      </c>
      <c r="AR15" s="563">
        <v>9671.7299999999977</v>
      </c>
      <c r="AS15" s="1455">
        <f t="shared" si="88"/>
        <v>78969.710000000065</v>
      </c>
      <c r="AT15" s="1456">
        <f t="shared" si="83"/>
        <v>78558.889999999985</v>
      </c>
      <c r="AU15" s="559">
        <v>4459.2950000000001</v>
      </c>
      <c r="AV15" s="563">
        <v>1823.8900000000003</v>
      </c>
      <c r="AW15" s="1455">
        <f t="shared" si="84"/>
        <v>83429.005000000063</v>
      </c>
      <c r="AX15" s="1456">
        <f t="shared" si="85"/>
        <v>80382.779999999984</v>
      </c>
      <c r="AY15" s="559">
        <v>4327.2199999999993</v>
      </c>
      <c r="AZ15" s="563">
        <v>6921.8799999999974</v>
      </c>
      <c r="BA15" s="1105">
        <f t="shared" si="67"/>
        <v>18617.820000000011</v>
      </c>
      <c r="BB15" s="1105">
        <f t="shared" si="68"/>
        <v>18417.499999999996</v>
      </c>
      <c r="BC15" s="1628">
        <f t="shared" si="69"/>
        <v>37882.270000000019</v>
      </c>
      <c r="BD15" s="1628">
        <f t="shared" si="70"/>
        <v>37675.449999999997</v>
      </c>
      <c r="BE15" s="1455">
        <f t="shared" si="86"/>
        <v>87756.225000000064</v>
      </c>
      <c r="BF15" s="1456">
        <f t="shared" si="87"/>
        <v>87304.659999999974</v>
      </c>
      <c r="BG15" s="26"/>
      <c r="BH15" s="26"/>
      <c r="BI15" s="26"/>
      <c r="BJ15" s="26"/>
    </row>
    <row r="16" spans="3:62" ht="15.75" thickBot="1" x14ac:dyDescent="0.3">
      <c r="C16" s="6354"/>
      <c r="D16" s="2074" t="s">
        <v>2</v>
      </c>
      <c r="E16" s="567">
        <f t="shared" ref="E16:AJ16" si="89">SUM(E10:E15)</f>
        <v>31546.220000000012</v>
      </c>
      <c r="F16" s="558">
        <f t="shared" si="89"/>
        <v>27137.349999999991</v>
      </c>
      <c r="G16" s="567">
        <f t="shared" si="89"/>
        <v>29282.950000000026</v>
      </c>
      <c r="H16" s="558">
        <f t="shared" si="89"/>
        <v>29256.649999999991</v>
      </c>
      <c r="I16" s="1457">
        <f t="shared" si="89"/>
        <v>60829.170000000042</v>
      </c>
      <c r="J16" s="1458">
        <f t="shared" si="89"/>
        <v>56393.999999999985</v>
      </c>
      <c r="K16" s="1334">
        <f t="shared" si="89"/>
        <v>32011.095000000038</v>
      </c>
      <c r="L16" s="1334">
        <f t="shared" si="89"/>
        <v>29261.74</v>
      </c>
      <c r="M16" s="4302">
        <f t="shared" si="89"/>
        <v>92840.265000000087</v>
      </c>
      <c r="N16" s="4307">
        <f t="shared" si="89"/>
        <v>85655.739999999991</v>
      </c>
      <c r="O16" s="1334">
        <f t="shared" ref="O16:P16" si="90">SUM(O10:O15)</f>
        <v>18863.025000000012</v>
      </c>
      <c r="P16" s="1334">
        <f t="shared" si="90"/>
        <v>21711.200000000004</v>
      </c>
      <c r="Q16" s="1457">
        <f t="shared" si="89"/>
        <v>111703.2900000001</v>
      </c>
      <c r="R16" s="1458">
        <f t="shared" si="89"/>
        <v>107366.93999999999</v>
      </c>
      <c r="S16" s="1334">
        <f t="shared" si="89"/>
        <v>28986.125000000029</v>
      </c>
      <c r="T16" s="558">
        <f t="shared" si="89"/>
        <v>30556.339999999997</v>
      </c>
      <c r="U16" s="1457">
        <f t="shared" si="89"/>
        <v>140689.41500000012</v>
      </c>
      <c r="V16" s="1458">
        <f t="shared" si="89"/>
        <v>137923.27999999997</v>
      </c>
      <c r="W16" s="1334">
        <f t="shared" si="89"/>
        <v>29188.925000000021</v>
      </c>
      <c r="X16" s="558">
        <f t="shared" si="89"/>
        <v>22029.020000000004</v>
      </c>
      <c r="Y16" s="4302">
        <f t="shared" si="89"/>
        <v>77038.075000000041</v>
      </c>
      <c r="Z16" s="4303">
        <f t="shared" si="89"/>
        <v>74296.56</v>
      </c>
      <c r="AA16" s="4293">
        <f t="shared" si="89"/>
        <v>169878.34000000014</v>
      </c>
      <c r="AB16" s="4294">
        <f t="shared" si="89"/>
        <v>159952.29999999999</v>
      </c>
      <c r="AC16" s="1334">
        <f t="shared" si="89"/>
        <v>34364.19</v>
      </c>
      <c r="AD16" s="558">
        <f t="shared" si="89"/>
        <v>30518.909999999996</v>
      </c>
      <c r="AE16" s="1457">
        <f t="shared" si="89"/>
        <v>204242.53000000014</v>
      </c>
      <c r="AF16" s="1458">
        <f t="shared" si="89"/>
        <v>190471.20999999996</v>
      </c>
      <c r="AG16" s="1334">
        <f t="shared" si="89"/>
        <v>1494.8950000000002</v>
      </c>
      <c r="AH16" s="558">
        <f t="shared" si="89"/>
        <v>5349.3899999999994</v>
      </c>
      <c r="AI16" s="1457">
        <f t="shared" si="89"/>
        <v>205737.42500000016</v>
      </c>
      <c r="AJ16" s="1458">
        <f t="shared" si="89"/>
        <v>195820.59999999998</v>
      </c>
      <c r="AK16" s="1334">
        <f t="shared" ref="AK16:BF16" si="91">SUM(AK10:AK15)</f>
        <v>33898.930000000044</v>
      </c>
      <c r="AL16" s="558">
        <f t="shared" si="91"/>
        <v>32266.760000000006</v>
      </c>
      <c r="AM16" s="1108">
        <f t="shared" si="91"/>
        <v>69758.015000000043</v>
      </c>
      <c r="AN16" s="1109">
        <f t="shared" si="91"/>
        <v>68135.06</v>
      </c>
      <c r="AO16" s="1457">
        <f t="shared" si="91"/>
        <v>239636.35500000019</v>
      </c>
      <c r="AP16" s="1458">
        <f t="shared" si="91"/>
        <v>228087.36</v>
      </c>
      <c r="AQ16" s="1334">
        <f t="shared" si="91"/>
        <v>35524.17500000009</v>
      </c>
      <c r="AR16" s="558">
        <f t="shared" si="91"/>
        <v>35555.61</v>
      </c>
      <c r="AS16" s="1457">
        <f t="shared" si="91"/>
        <v>275160.53000000026</v>
      </c>
      <c r="AT16" s="1458">
        <f t="shared" si="91"/>
        <v>263642.96999999997</v>
      </c>
      <c r="AU16" s="1334">
        <f t="shared" si="91"/>
        <v>28920.870000000039</v>
      </c>
      <c r="AV16" s="558">
        <f t="shared" si="91"/>
        <v>24725.090000000004</v>
      </c>
      <c r="AW16" s="1457">
        <f t="shared" si="91"/>
        <v>304081.40000000031</v>
      </c>
      <c r="AX16" s="1458">
        <f t="shared" si="91"/>
        <v>288368.06</v>
      </c>
      <c r="AY16" s="1334">
        <f t="shared" si="91"/>
        <v>35285.180000000037</v>
      </c>
      <c r="AZ16" s="558">
        <f t="shared" si="91"/>
        <v>38693.64</v>
      </c>
      <c r="BA16" s="1108">
        <f t="shared" si="91"/>
        <v>99730.225000000151</v>
      </c>
      <c r="BB16" s="1109">
        <f t="shared" si="91"/>
        <v>98974.34</v>
      </c>
      <c r="BC16" s="1631">
        <f t="shared" si="91"/>
        <v>169488.24000000019</v>
      </c>
      <c r="BD16" s="1632">
        <f t="shared" si="91"/>
        <v>167109.4</v>
      </c>
      <c r="BE16" s="1457">
        <f t="shared" si="91"/>
        <v>339366.58000000031</v>
      </c>
      <c r="BF16" s="1458">
        <f t="shared" si="91"/>
        <v>327061.69999999995</v>
      </c>
      <c r="BG16" s="26"/>
      <c r="BH16" s="26"/>
      <c r="BI16" s="26"/>
      <c r="BJ16" s="26"/>
    </row>
    <row r="17" spans="3:62" ht="18" thickBot="1" x14ac:dyDescent="0.35">
      <c r="C17" s="6345" t="s">
        <v>985</v>
      </c>
      <c r="D17" s="6346"/>
      <c r="E17" s="562">
        <f t="shared" ref="E17:AJ17" si="92">+E9+E16</f>
        <v>31546.220000000012</v>
      </c>
      <c r="F17" s="571">
        <f t="shared" si="92"/>
        <v>27137.349999999991</v>
      </c>
      <c r="G17" s="562">
        <f t="shared" si="92"/>
        <v>29282.950000000026</v>
      </c>
      <c r="H17" s="571">
        <f t="shared" si="92"/>
        <v>29256.649999999991</v>
      </c>
      <c r="I17" s="1114">
        <f t="shared" si="92"/>
        <v>60829.170000000042</v>
      </c>
      <c r="J17" s="1115">
        <f t="shared" si="92"/>
        <v>56393.999999999985</v>
      </c>
      <c r="K17" s="1335">
        <f t="shared" si="92"/>
        <v>32011.095000000038</v>
      </c>
      <c r="L17" s="562">
        <f t="shared" si="92"/>
        <v>29261.74</v>
      </c>
      <c r="M17" s="4304">
        <f t="shared" si="92"/>
        <v>92840.265000000087</v>
      </c>
      <c r="N17" s="4308">
        <f t="shared" si="92"/>
        <v>85655.739999999991</v>
      </c>
      <c r="O17" s="1335">
        <f t="shared" ref="O17:P17" si="93">+O9+O16</f>
        <v>18863.025000000012</v>
      </c>
      <c r="P17" s="562">
        <f t="shared" si="93"/>
        <v>21711.200000000004</v>
      </c>
      <c r="Q17" s="1114">
        <f t="shared" si="92"/>
        <v>111703.2900000001</v>
      </c>
      <c r="R17" s="1115">
        <f t="shared" si="92"/>
        <v>107366.93999999999</v>
      </c>
      <c r="S17" s="562">
        <f t="shared" si="92"/>
        <v>28986.125000000029</v>
      </c>
      <c r="T17" s="571">
        <f t="shared" si="92"/>
        <v>30556.339999999997</v>
      </c>
      <c r="U17" s="1114">
        <f t="shared" si="92"/>
        <v>140689.41500000012</v>
      </c>
      <c r="V17" s="1115">
        <f t="shared" si="92"/>
        <v>137923.27999999997</v>
      </c>
      <c r="W17" s="562">
        <f t="shared" si="92"/>
        <v>29188.925000000021</v>
      </c>
      <c r="X17" s="571">
        <f t="shared" si="92"/>
        <v>22029.020000000004</v>
      </c>
      <c r="Y17" s="4304">
        <f t="shared" si="92"/>
        <v>77038.075000000041</v>
      </c>
      <c r="Z17" s="4305">
        <f t="shared" si="92"/>
        <v>74296.56</v>
      </c>
      <c r="AA17" s="4295">
        <f t="shared" si="92"/>
        <v>169878.34000000014</v>
      </c>
      <c r="AB17" s="4296">
        <f t="shared" si="92"/>
        <v>159952.29999999999</v>
      </c>
      <c r="AC17" s="562">
        <f t="shared" si="92"/>
        <v>34364.19</v>
      </c>
      <c r="AD17" s="571">
        <f t="shared" si="92"/>
        <v>30518.909999999996</v>
      </c>
      <c r="AE17" s="1114">
        <f t="shared" si="92"/>
        <v>204242.53000000014</v>
      </c>
      <c r="AF17" s="1115">
        <f t="shared" si="92"/>
        <v>190471.20999999996</v>
      </c>
      <c r="AG17" s="562">
        <f t="shared" si="92"/>
        <v>1494.8950000000002</v>
      </c>
      <c r="AH17" s="571">
        <f t="shared" si="92"/>
        <v>5349.3899999999994</v>
      </c>
      <c r="AI17" s="1114">
        <f t="shared" si="92"/>
        <v>205737.42500000016</v>
      </c>
      <c r="AJ17" s="1115">
        <f t="shared" si="92"/>
        <v>195820.59999999998</v>
      </c>
      <c r="AK17" s="562">
        <f t="shared" ref="AK17:BF17" si="94">+AK9+AK16</f>
        <v>33898.930000000044</v>
      </c>
      <c r="AL17" s="571">
        <f t="shared" si="94"/>
        <v>32266.760000000006</v>
      </c>
      <c r="AM17" s="1110">
        <f t="shared" si="94"/>
        <v>69758.015000000043</v>
      </c>
      <c r="AN17" s="1111">
        <f t="shared" si="94"/>
        <v>68135.06</v>
      </c>
      <c r="AO17" s="1114">
        <f t="shared" si="94"/>
        <v>239636.35500000019</v>
      </c>
      <c r="AP17" s="1115">
        <f t="shared" si="94"/>
        <v>228087.36</v>
      </c>
      <c r="AQ17" s="562">
        <f t="shared" si="94"/>
        <v>35524.17500000009</v>
      </c>
      <c r="AR17" s="571">
        <f t="shared" si="94"/>
        <v>35555.61</v>
      </c>
      <c r="AS17" s="1114">
        <f t="shared" si="94"/>
        <v>275160.53000000026</v>
      </c>
      <c r="AT17" s="1115">
        <f t="shared" si="94"/>
        <v>263642.96999999997</v>
      </c>
      <c r="AU17" s="562">
        <f t="shared" si="94"/>
        <v>28920.870000000039</v>
      </c>
      <c r="AV17" s="571">
        <f t="shared" si="94"/>
        <v>24725.090000000004</v>
      </c>
      <c r="AW17" s="1114">
        <f t="shared" si="94"/>
        <v>304081.40000000031</v>
      </c>
      <c r="AX17" s="1115">
        <f t="shared" si="94"/>
        <v>288368.06</v>
      </c>
      <c r="AY17" s="562">
        <f t="shared" si="94"/>
        <v>35285.180000000037</v>
      </c>
      <c r="AZ17" s="571">
        <f t="shared" si="94"/>
        <v>38693.64</v>
      </c>
      <c r="BA17" s="1110">
        <f t="shared" si="94"/>
        <v>99730.225000000151</v>
      </c>
      <c r="BB17" s="1111">
        <f t="shared" si="94"/>
        <v>98974.34</v>
      </c>
      <c r="BC17" s="1633">
        <f t="shared" si="94"/>
        <v>169488.24000000019</v>
      </c>
      <c r="BD17" s="1634">
        <f t="shared" si="94"/>
        <v>167109.4</v>
      </c>
      <c r="BE17" s="1114">
        <f t="shared" si="94"/>
        <v>339366.58000000031</v>
      </c>
      <c r="BF17" s="1115">
        <f t="shared" si="94"/>
        <v>327061.69999999995</v>
      </c>
      <c r="BG17" s="26"/>
      <c r="BH17" s="26"/>
      <c r="BI17" s="26"/>
      <c r="BJ17" s="26"/>
    </row>
    <row r="19" spans="3:62" ht="14.45" x14ac:dyDescent="0.3">
      <c r="Z19" s="26"/>
    </row>
    <row r="20" spans="3:62" ht="14.45" x14ac:dyDescent="0.3">
      <c r="Z20" s="26"/>
    </row>
    <row r="21" spans="3:62" ht="23.45" hidden="1" x14ac:dyDescent="0.45">
      <c r="D21" s="6339" t="s">
        <v>1104</v>
      </c>
      <c r="E21" s="6339"/>
      <c r="F21" s="6339"/>
      <c r="G21" s="6339"/>
      <c r="H21" s="6339"/>
      <c r="I21" s="6339"/>
      <c r="J21" s="6339"/>
      <c r="K21" s="6339"/>
      <c r="L21" s="6339"/>
      <c r="M21" s="6339"/>
      <c r="N21" s="6339"/>
      <c r="O21" s="6339"/>
      <c r="P21" s="6339"/>
      <c r="Q21" s="6339"/>
      <c r="R21" s="6339"/>
      <c r="S21" s="6339"/>
      <c r="T21" s="6339"/>
    </row>
    <row r="22" spans="3:62" ht="14.45" hidden="1" x14ac:dyDescent="0.3"/>
    <row r="23" spans="3:62" ht="14.45" hidden="1" x14ac:dyDescent="0.3">
      <c r="D23" s="184"/>
      <c r="E23" s="184"/>
      <c r="F23" s="274" t="s">
        <v>966</v>
      </c>
      <c r="G23" s="274" t="s">
        <v>988</v>
      </c>
      <c r="H23" s="274" t="s">
        <v>992</v>
      </c>
      <c r="I23" s="274"/>
      <c r="J23" s="274"/>
      <c r="K23" s="274" t="s">
        <v>637</v>
      </c>
      <c r="L23" s="274" t="s">
        <v>1001</v>
      </c>
      <c r="M23" s="274" t="s">
        <v>1023</v>
      </c>
      <c r="N23" s="274" t="s">
        <v>1072</v>
      </c>
      <c r="O23" s="274" t="s">
        <v>660</v>
      </c>
      <c r="P23" s="274" t="s">
        <v>657</v>
      </c>
      <c r="Q23" s="274"/>
      <c r="R23" s="274"/>
      <c r="S23" s="274" t="s">
        <v>1099</v>
      </c>
      <c r="T23" s="274" t="s">
        <v>1100</v>
      </c>
    </row>
    <row r="24" spans="3:62" ht="14.45" hidden="1" x14ac:dyDescent="0.3">
      <c r="D24" s="184" t="s">
        <v>971</v>
      </c>
      <c r="E24" s="184" t="s">
        <v>66</v>
      </c>
      <c r="F24" s="351">
        <v>0</v>
      </c>
      <c r="G24" s="351">
        <v>0</v>
      </c>
      <c r="H24" s="351">
        <v>1279.2</v>
      </c>
      <c r="I24" s="351"/>
      <c r="J24" s="351"/>
      <c r="K24" s="351">
        <f>SUM(F24:H24)</f>
        <v>1279.2</v>
      </c>
      <c r="L24" s="351">
        <v>0</v>
      </c>
      <c r="M24" s="351">
        <v>850.75</v>
      </c>
      <c r="N24" s="351">
        <v>1435</v>
      </c>
      <c r="O24" s="351">
        <f>SUM(L24:N24)</f>
        <v>2285.75</v>
      </c>
      <c r="P24" s="351">
        <f>+O24+K24</f>
        <v>3564.95</v>
      </c>
      <c r="Q24" s="351"/>
      <c r="R24" s="351"/>
      <c r="S24" s="351">
        <v>988.1</v>
      </c>
      <c r="T24" s="351">
        <f>P24+S24</f>
        <v>4553.05</v>
      </c>
    </row>
    <row r="25" spans="3:62" ht="14.45" hidden="1" x14ac:dyDescent="0.3">
      <c r="D25" s="184" t="s">
        <v>974</v>
      </c>
      <c r="E25" s="184" t="s">
        <v>66</v>
      </c>
      <c r="F25" s="351">
        <v>516.12</v>
      </c>
      <c r="G25" s="351">
        <v>332.09999999999997</v>
      </c>
      <c r="H25" s="351">
        <v>0</v>
      </c>
      <c r="I25" s="351"/>
      <c r="J25" s="351"/>
      <c r="K25" s="351">
        <f t="shared" ref="K25:K31" si="95">SUM(F25:H25)</f>
        <v>848.22</v>
      </c>
      <c r="L25" s="351">
        <v>0</v>
      </c>
      <c r="M25" s="351">
        <v>0</v>
      </c>
      <c r="N25" s="351">
        <v>529</v>
      </c>
      <c r="O25" s="351">
        <f t="shared" ref="O25:O31" si="96">SUM(L25:N25)</f>
        <v>529</v>
      </c>
      <c r="P25" s="351">
        <f t="shared" ref="P25:P31" si="97">+O25+K25</f>
        <v>1377.22</v>
      </c>
      <c r="Q25" s="351"/>
      <c r="R25" s="351"/>
      <c r="S25" s="351">
        <v>740.05</v>
      </c>
      <c r="T25" s="351">
        <f t="shared" ref="T25:T30" si="98">P25+S25</f>
        <v>2117.27</v>
      </c>
    </row>
    <row r="26" spans="3:62" ht="14.45" hidden="1" x14ac:dyDescent="0.3">
      <c r="D26" s="184" t="s">
        <v>973</v>
      </c>
      <c r="E26" s="184" t="s">
        <v>66</v>
      </c>
      <c r="F26" s="351">
        <v>367.24799999999999</v>
      </c>
      <c r="G26" s="351">
        <v>0</v>
      </c>
      <c r="H26" s="351">
        <v>393.6</v>
      </c>
      <c r="I26" s="351"/>
      <c r="J26" s="351"/>
      <c r="K26" s="351">
        <f t="shared" si="95"/>
        <v>760.84799999999996</v>
      </c>
      <c r="L26" s="351">
        <v>1521.1</v>
      </c>
      <c r="M26" s="351">
        <v>742.09999999999991</v>
      </c>
      <c r="N26" s="351">
        <v>845</v>
      </c>
      <c r="O26" s="351">
        <f t="shared" si="96"/>
        <v>3108.2</v>
      </c>
      <c r="P26" s="351">
        <f t="shared" si="97"/>
        <v>3869.0479999999998</v>
      </c>
      <c r="Q26" s="351"/>
      <c r="R26" s="351"/>
      <c r="S26" s="351">
        <v>1566.2</v>
      </c>
      <c r="T26" s="351">
        <f t="shared" si="98"/>
        <v>5435.2479999999996</v>
      </c>
    </row>
    <row r="27" spans="3:62" ht="14.45" hidden="1" x14ac:dyDescent="0.3">
      <c r="D27" s="184" t="s">
        <v>975</v>
      </c>
      <c r="E27" s="184" t="s">
        <v>66</v>
      </c>
      <c r="F27" s="351">
        <v>1028.192</v>
      </c>
      <c r="G27" s="351">
        <v>313.64999999999998</v>
      </c>
      <c r="H27" s="351">
        <v>1558</v>
      </c>
      <c r="I27" s="351"/>
      <c r="J27" s="351"/>
      <c r="K27" s="351">
        <f t="shared" si="95"/>
        <v>2899.8420000000001</v>
      </c>
      <c r="L27" s="351">
        <v>1033.1999999999998</v>
      </c>
      <c r="M27" s="351">
        <v>491.99999999999994</v>
      </c>
      <c r="N27" s="351">
        <v>759</v>
      </c>
      <c r="O27" s="351">
        <f t="shared" si="96"/>
        <v>2284.1999999999998</v>
      </c>
      <c r="P27" s="351">
        <f t="shared" si="97"/>
        <v>5184.0419999999995</v>
      </c>
      <c r="Q27" s="351"/>
      <c r="R27" s="351"/>
      <c r="S27" s="351">
        <v>1221.8</v>
      </c>
      <c r="T27" s="351">
        <f t="shared" si="98"/>
        <v>6405.8419999999996</v>
      </c>
    </row>
    <row r="28" spans="3:62" ht="14.45" hidden="1" x14ac:dyDescent="0.3">
      <c r="D28" s="184" t="s">
        <v>989</v>
      </c>
      <c r="E28" s="184" t="s">
        <v>66</v>
      </c>
      <c r="F28" s="351">
        <v>0</v>
      </c>
      <c r="G28" s="351">
        <v>143.5</v>
      </c>
      <c r="H28" s="351">
        <v>0</v>
      </c>
      <c r="I28" s="351"/>
      <c r="J28" s="351"/>
      <c r="K28" s="351">
        <f t="shared" si="95"/>
        <v>143.5</v>
      </c>
      <c r="L28" s="351">
        <v>0</v>
      </c>
      <c r="M28" s="351">
        <v>0</v>
      </c>
      <c r="N28" s="351">
        <v>0</v>
      </c>
      <c r="O28" s="351">
        <f t="shared" si="96"/>
        <v>0</v>
      </c>
      <c r="P28" s="351">
        <f t="shared" si="97"/>
        <v>143.5</v>
      </c>
      <c r="Q28" s="351"/>
      <c r="R28" s="351"/>
      <c r="S28" s="351">
        <v>0</v>
      </c>
      <c r="T28" s="351">
        <f t="shared" si="98"/>
        <v>143.5</v>
      </c>
    </row>
    <row r="29" spans="3:62" ht="14.45" hidden="1" x14ac:dyDescent="0.3">
      <c r="D29" s="184" t="s">
        <v>976</v>
      </c>
      <c r="E29" s="184" t="s">
        <v>66</v>
      </c>
      <c r="F29" s="351">
        <v>42.84</v>
      </c>
      <c r="G29" s="351">
        <v>0</v>
      </c>
      <c r="H29" s="351">
        <v>0</v>
      </c>
      <c r="I29" s="351"/>
      <c r="J29" s="351"/>
      <c r="K29" s="351">
        <f t="shared" si="95"/>
        <v>42.84</v>
      </c>
      <c r="L29" s="351">
        <v>0</v>
      </c>
      <c r="M29" s="351">
        <v>153.75</v>
      </c>
      <c r="N29" s="351">
        <v>0</v>
      </c>
      <c r="O29" s="351">
        <f t="shared" si="96"/>
        <v>153.75</v>
      </c>
      <c r="P29" s="351">
        <f t="shared" si="97"/>
        <v>196.59</v>
      </c>
      <c r="Q29" s="351"/>
      <c r="R29" s="351"/>
      <c r="S29" s="351">
        <v>0</v>
      </c>
      <c r="T29" s="351">
        <f t="shared" si="98"/>
        <v>196.59</v>
      </c>
    </row>
    <row r="30" spans="3:62" ht="14.45" hidden="1" x14ac:dyDescent="0.3">
      <c r="D30" s="184" t="s">
        <v>921</v>
      </c>
      <c r="E30" s="184" t="s">
        <v>66</v>
      </c>
      <c r="F30" s="351">
        <v>2756.5039999999999</v>
      </c>
      <c r="G30" s="351">
        <v>3013.4999999999995</v>
      </c>
      <c r="H30" s="351">
        <v>6814.2</v>
      </c>
      <c r="I30" s="351"/>
      <c r="J30" s="351"/>
      <c r="K30" s="351">
        <f t="shared" si="95"/>
        <v>12584.203999999998</v>
      </c>
      <c r="L30" s="351">
        <v>5334.0999999999995</v>
      </c>
      <c r="M30" s="351">
        <v>6262.75</v>
      </c>
      <c r="N30" s="351">
        <v>9301</v>
      </c>
      <c r="O30" s="351">
        <f t="shared" si="96"/>
        <v>20897.849999999999</v>
      </c>
      <c r="P30" s="351">
        <f t="shared" si="97"/>
        <v>33482.053999999996</v>
      </c>
      <c r="Q30" s="351"/>
      <c r="R30" s="351"/>
      <c r="S30" s="351">
        <v>7052</v>
      </c>
      <c r="T30" s="351">
        <f t="shared" si="98"/>
        <v>40534.053999999996</v>
      </c>
    </row>
    <row r="31" spans="3:62" ht="18" hidden="1" x14ac:dyDescent="0.35">
      <c r="D31" s="1047" t="s">
        <v>2</v>
      </c>
      <c r="E31" s="1047"/>
      <c r="F31" s="1048">
        <f>SUM(F24:F30)</f>
        <v>4710.9039999999995</v>
      </c>
      <c r="G31" s="1048">
        <f t="shared" ref="G31:S31" si="99">SUM(G24:G30)</f>
        <v>3802.7499999999995</v>
      </c>
      <c r="H31" s="1048">
        <f t="shared" si="99"/>
        <v>10045</v>
      </c>
      <c r="I31" s="1048"/>
      <c r="J31" s="1048"/>
      <c r="K31" s="1048">
        <f t="shared" si="95"/>
        <v>18558.653999999999</v>
      </c>
      <c r="L31" s="1048">
        <f t="shared" si="99"/>
        <v>7888.4</v>
      </c>
      <c r="M31" s="1048">
        <f t="shared" si="99"/>
        <v>8501.35</v>
      </c>
      <c r="N31" s="1048">
        <f t="shared" si="99"/>
        <v>12869</v>
      </c>
      <c r="O31" s="1048">
        <f t="shared" si="96"/>
        <v>29258.75</v>
      </c>
      <c r="P31" s="1048">
        <f t="shared" si="97"/>
        <v>47817.403999999995</v>
      </c>
      <c r="Q31" s="1048"/>
      <c r="R31" s="1048"/>
      <c r="S31" s="1048">
        <f t="shared" si="99"/>
        <v>11568.150000000001</v>
      </c>
      <c r="T31" s="1048">
        <f>SUM(T24:T30)</f>
        <v>59385.553999999996</v>
      </c>
    </row>
  </sheetData>
  <mergeCells count="32">
    <mergeCell ref="AY3:AZ3"/>
    <mergeCell ref="BE3:BF3"/>
    <mergeCell ref="BA3:BB3"/>
    <mergeCell ref="BC3:BD3"/>
    <mergeCell ref="D21:T21"/>
    <mergeCell ref="C17:D17"/>
    <mergeCell ref="S3:T3"/>
    <mergeCell ref="O3:P3"/>
    <mergeCell ref="E3:F3"/>
    <mergeCell ref="C5:C9"/>
    <mergeCell ref="I3:J3"/>
    <mergeCell ref="K3:L3"/>
    <mergeCell ref="M3:N3"/>
    <mergeCell ref="Q3:R3"/>
    <mergeCell ref="AA3:AB3"/>
    <mergeCell ref="C10:C16"/>
    <mergeCell ref="C1:T1"/>
    <mergeCell ref="G3:H3"/>
    <mergeCell ref="U3:V3"/>
    <mergeCell ref="W3:X3"/>
    <mergeCell ref="Y3:Z3"/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</mergeCells>
  <printOptions horizontalCentered="1" verticalCentered="1"/>
  <pageMargins left="0" right="0" top="0" bottom="0" header="0" footer="0"/>
  <pageSetup paperSize="9" scale="8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92D050"/>
  </sheetPr>
  <dimension ref="D2:BM18"/>
  <sheetViews>
    <sheetView topLeftCell="G1" workbookViewId="0">
      <selection activeCell="BN16" sqref="BN16"/>
    </sheetView>
  </sheetViews>
  <sheetFormatPr defaultRowHeight="15" x14ac:dyDescent="0.25"/>
  <cols>
    <col min="4" max="4" width="38.7109375" bestFit="1" customWidth="1"/>
    <col min="5" max="5" width="12.140625" customWidth="1"/>
    <col min="6" max="6" width="9.140625" hidden="1" customWidth="1"/>
    <col min="7" max="7" width="10.85546875" customWidth="1"/>
    <col min="8" max="8" width="2.7109375" hidden="1" customWidth="1"/>
    <col min="9" max="9" width="10.7109375" customWidth="1"/>
    <col min="10" max="10" width="2.7109375" hidden="1" customWidth="1"/>
    <col min="11" max="11" width="8.42578125" hidden="1" customWidth="1"/>
    <col min="12" max="12" width="2.7109375" hidden="1" customWidth="1"/>
    <col min="13" max="13" width="11.140625" customWidth="1"/>
    <col min="14" max="14" width="2.7109375" hidden="1" customWidth="1"/>
    <col min="15" max="15" width="10.28515625" customWidth="1"/>
    <col min="16" max="16" width="2.7109375" hidden="1" customWidth="1"/>
    <col min="17" max="17" width="10" customWidth="1"/>
    <col min="18" max="18" width="2.7109375" hidden="1" customWidth="1"/>
    <col min="19" max="19" width="8.42578125" hidden="1" customWidth="1"/>
    <col min="20" max="20" width="2.7109375" hidden="1" customWidth="1"/>
    <col min="21" max="21" width="9.5703125" customWidth="1"/>
    <col min="22" max="22" width="2.7109375" hidden="1" customWidth="1"/>
    <col min="23" max="23" width="10.85546875" hidden="1" customWidth="1"/>
    <col min="24" max="24" width="2.7109375" hidden="1" customWidth="1"/>
    <col min="25" max="25" width="8.42578125" customWidth="1"/>
    <col min="26" max="26" width="2.7109375" hidden="1" customWidth="1"/>
    <col min="27" max="27" width="8.85546875" customWidth="1"/>
    <col min="28" max="28" width="2.7109375" hidden="1" customWidth="1"/>
    <col min="29" max="29" width="8.42578125" customWidth="1"/>
    <col min="30" max="32" width="9.140625" hidden="1" customWidth="1"/>
    <col min="33" max="33" width="9.85546875" hidden="1" customWidth="1"/>
    <col min="34" max="36" width="9.140625" hidden="1" customWidth="1"/>
    <col min="37" max="37" width="9.85546875" hidden="1" customWidth="1"/>
    <col min="38" max="42" width="9.140625" hidden="1" customWidth="1"/>
    <col min="43" max="43" width="9.85546875" hidden="1" customWidth="1"/>
    <col min="44" max="46" width="9.140625" hidden="1" customWidth="1"/>
    <col min="47" max="47" width="9.85546875" hidden="1" customWidth="1"/>
    <col min="48" max="50" width="9.140625" hidden="1" customWidth="1"/>
    <col min="51" max="51" width="9.85546875" hidden="1" customWidth="1"/>
    <col min="52" max="56" width="9.140625" hidden="1" customWidth="1"/>
    <col min="57" max="57" width="9.85546875" hidden="1" customWidth="1"/>
    <col min="58" max="58" width="9.140625" hidden="1" customWidth="1"/>
    <col min="59" max="59" width="9.85546875" hidden="1" customWidth="1"/>
    <col min="60" max="60" width="9.140625" hidden="1" customWidth="1"/>
    <col min="61" max="61" width="9.140625" customWidth="1"/>
  </cols>
  <sheetData>
    <row r="2" spans="4:65" ht="26.45" thickBot="1" x14ac:dyDescent="0.55000000000000004">
      <c r="D2" s="6364" t="s">
        <v>1869</v>
      </c>
      <c r="E2" s="6364"/>
      <c r="F2" s="6364"/>
      <c r="G2" s="6364"/>
      <c r="H2" s="6364"/>
      <c r="I2" s="6364"/>
      <c r="J2" s="6364"/>
      <c r="K2" s="6364"/>
      <c r="L2" s="6364"/>
      <c r="M2" s="6364"/>
      <c r="N2" s="6364"/>
      <c r="O2" s="6364"/>
      <c r="P2" s="6364"/>
      <c r="Q2" s="6364"/>
      <c r="R2" s="6364"/>
      <c r="S2" s="6364"/>
      <c r="T2" s="6364"/>
      <c r="U2" s="6364"/>
      <c r="V2" s="6364"/>
      <c r="W2" s="6364"/>
      <c r="X2" s="6364"/>
      <c r="Y2" s="6364"/>
      <c r="Z2" s="6364"/>
      <c r="AA2" s="6364"/>
      <c r="AB2" s="6364"/>
      <c r="AC2" s="6364"/>
      <c r="AD2" s="6364"/>
      <c r="AE2" s="6364"/>
      <c r="AF2" s="6364"/>
      <c r="AG2" s="6364"/>
      <c r="AH2" s="6364"/>
      <c r="AI2" s="6364"/>
      <c r="AJ2" s="6364"/>
      <c r="AK2" s="6364"/>
    </row>
    <row r="3" spans="4:65" s="33" customFormat="1" ht="18" x14ac:dyDescent="0.3">
      <c r="D3" s="1173"/>
      <c r="E3" s="1174"/>
      <c r="F3" s="6355" t="s">
        <v>2226</v>
      </c>
      <c r="G3" s="6356"/>
      <c r="H3" s="6355" t="s">
        <v>2242</v>
      </c>
      <c r="I3" s="6356"/>
      <c r="J3" s="6357" t="s">
        <v>658</v>
      </c>
      <c r="K3" s="6358"/>
      <c r="L3" s="6355" t="s">
        <v>2273</v>
      </c>
      <c r="M3" s="6356"/>
      <c r="N3" s="6359" t="s">
        <v>637</v>
      </c>
      <c r="O3" s="6360"/>
      <c r="P3" s="6355" t="s">
        <v>2296</v>
      </c>
      <c r="Q3" s="6356"/>
      <c r="R3" s="6357" t="s">
        <v>651</v>
      </c>
      <c r="S3" s="6358"/>
      <c r="T3" s="6355" t="s">
        <v>2299</v>
      </c>
      <c r="U3" s="6356"/>
      <c r="V3" s="6357" t="s">
        <v>18</v>
      </c>
      <c r="W3" s="6358"/>
      <c r="X3" s="6355" t="s">
        <v>2344</v>
      </c>
      <c r="Y3" s="6356"/>
      <c r="Z3" s="6359" t="s">
        <v>660</v>
      </c>
      <c r="AA3" s="6360"/>
      <c r="AB3" s="6365" t="s">
        <v>657</v>
      </c>
      <c r="AC3" s="6366"/>
      <c r="AD3" s="6355" t="s">
        <v>1954</v>
      </c>
      <c r="AE3" s="6356"/>
      <c r="AF3" s="6357" t="s">
        <v>24</v>
      </c>
      <c r="AG3" s="6358"/>
      <c r="AH3" s="6355" t="s">
        <v>1970</v>
      </c>
      <c r="AI3" s="6356"/>
      <c r="AJ3" s="6357" t="s">
        <v>27</v>
      </c>
      <c r="AK3" s="6358"/>
      <c r="AL3" s="6355" t="s">
        <v>1985</v>
      </c>
      <c r="AM3" s="6356"/>
      <c r="AN3" s="6359" t="s">
        <v>662</v>
      </c>
      <c r="AO3" s="6360"/>
      <c r="AP3" s="6357" t="s">
        <v>1666</v>
      </c>
      <c r="AQ3" s="6358"/>
      <c r="AR3" s="6355" t="s">
        <v>2085</v>
      </c>
      <c r="AS3" s="6356"/>
      <c r="AT3" s="6357" t="s">
        <v>28</v>
      </c>
      <c r="AU3" s="6358"/>
      <c r="AV3" s="6355" t="s">
        <v>2099</v>
      </c>
      <c r="AW3" s="6356"/>
      <c r="AX3" s="6357" t="s">
        <v>30</v>
      </c>
      <c r="AY3" s="6358"/>
      <c r="AZ3" s="6355" t="s">
        <v>2111</v>
      </c>
      <c r="BA3" s="6356"/>
      <c r="BB3" s="6359" t="s">
        <v>663</v>
      </c>
      <c r="BC3" s="6360"/>
      <c r="BD3" s="6365" t="s">
        <v>671</v>
      </c>
      <c r="BE3" s="6366"/>
      <c r="BF3" s="6357" t="s">
        <v>1745</v>
      </c>
      <c r="BG3" s="6358"/>
    </row>
    <row r="4" spans="4:65" ht="18.75" x14ac:dyDescent="0.3">
      <c r="D4" s="1175" t="s">
        <v>971</v>
      </c>
      <c r="E4" s="6361" t="s">
        <v>66</v>
      </c>
      <c r="F4" s="1118"/>
      <c r="G4" s="1118">
        <f>+'Value added steel '!G12</f>
        <v>1096.75</v>
      </c>
      <c r="H4" s="1118"/>
      <c r="I4" s="1118">
        <f>+'Value added steel '!I12</f>
        <v>223.45000000000002</v>
      </c>
      <c r="J4" s="629"/>
      <c r="K4" s="629">
        <f>+G4+I4</f>
        <v>1320.2</v>
      </c>
      <c r="L4" s="1118"/>
      <c r="M4" s="1118">
        <f>+'Value added steel '!M12</f>
        <v>701.1</v>
      </c>
      <c r="N4" s="633"/>
      <c r="O4" s="633">
        <f>+G4+I4+M4</f>
        <v>2021.3000000000002</v>
      </c>
      <c r="P4" s="1118"/>
      <c r="Q4" s="1118">
        <f>+'Value added steel '!Q12</f>
        <v>455.09999999999997</v>
      </c>
      <c r="R4" s="629"/>
      <c r="S4" s="629">
        <f>+O4+Q4</f>
        <v>2476.4</v>
      </c>
      <c r="T4" s="1118"/>
      <c r="U4" s="1118">
        <f>+'Value added steel '!U12</f>
        <v>1242.3</v>
      </c>
      <c r="V4" s="629"/>
      <c r="W4" s="629">
        <f>+S4+U4</f>
        <v>3718.7</v>
      </c>
      <c r="X4" s="1118"/>
      <c r="Y4" s="1118">
        <f>+'Value added steel '!Y12</f>
        <v>742.1</v>
      </c>
      <c r="Z4" s="633"/>
      <c r="AA4" s="633">
        <f>+Q4+U4+Y4</f>
        <v>2439.5</v>
      </c>
      <c r="AB4" s="1172"/>
      <c r="AC4" s="1172">
        <f>+O4+AA4</f>
        <v>4460.8</v>
      </c>
      <c r="AD4" s="1118"/>
      <c r="AE4" s="1118">
        <f>+'Value added steel '!AE12</f>
        <v>770.80000000000018</v>
      </c>
      <c r="AF4" s="629"/>
      <c r="AG4" s="629">
        <f>+AC4+AE4</f>
        <v>5231.6000000000004</v>
      </c>
      <c r="AH4" s="1118"/>
      <c r="AI4" s="1118">
        <f>+'Value added steel '!AI12</f>
        <v>0</v>
      </c>
      <c r="AJ4" s="629"/>
      <c r="AK4" s="629">
        <f>+AG4+AI4</f>
        <v>5231.6000000000004</v>
      </c>
      <c r="AL4" s="1118"/>
      <c r="AM4" s="1118">
        <f>+'Value added steel '!AM12</f>
        <v>1014.7500000000001</v>
      </c>
      <c r="AN4" s="633"/>
      <c r="AO4" s="633">
        <f>+AE4+AI4+AM4</f>
        <v>1785.5500000000002</v>
      </c>
      <c r="AP4" s="629"/>
      <c r="AQ4" s="629">
        <f>+AK4+AM4</f>
        <v>6246.35</v>
      </c>
      <c r="AR4" s="1118"/>
      <c r="AS4" s="1118">
        <f>+'Value added steel '!AS12</f>
        <v>1070.1000000000004</v>
      </c>
      <c r="AT4" s="629"/>
      <c r="AU4" s="629">
        <f>+AQ4+AS4</f>
        <v>7316.4500000000007</v>
      </c>
      <c r="AV4" s="1118"/>
      <c r="AW4" s="1118">
        <f>+'Value added steel '!AW12</f>
        <v>604.75</v>
      </c>
      <c r="AX4" s="629"/>
      <c r="AY4" s="629">
        <f>+AU4+AW4</f>
        <v>7921.2000000000007</v>
      </c>
      <c r="AZ4" s="1118"/>
      <c r="BA4" s="1118">
        <f>+'Value added steel '!BA12</f>
        <v>104.55</v>
      </c>
      <c r="BB4" s="633"/>
      <c r="BC4" s="633">
        <f>+AS4+AW4+BA4</f>
        <v>1779.4000000000003</v>
      </c>
      <c r="BD4" s="1172"/>
      <c r="BE4" s="1172">
        <f>+AO4+BC4</f>
        <v>3564.9500000000007</v>
      </c>
      <c r="BF4" s="629"/>
      <c r="BG4" s="629">
        <f>+AY4+BA4</f>
        <v>8025.7500000000009</v>
      </c>
      <c r="BH4" s="26"/>
      <c r="BI4" s="26"/>
      <c r="BJ4" s="26"/>
    </row>
    <row r="5" spans="4:65" ht="18.75" x14ac:dyDescent="0.3">
      <c r="D5" s="1175" t="s">
        <v>1632</v>
      </c>
      <c r="E5" s="6362"/>
      <c r="F5" s="1118"/>
      <c r="G5" s="1118">
        <f>+'Value added steel '!G13</f>
        <v>0</v>
      </c>
      <c r="H5" s="1118"/>
      <c r="I5" s="1118">
        <f>+'Value added steel '!I13</f>
        <v>0</v>
      </c>
      <c r="J5" s="629"/>
      <c r="K5" s="629">
        <f t="shared" ref="K5:K15" si="0">+G5+I5</f>
        <v>0</v>
      </c>
      <c r="L5" s="1118"/>
      <c r="M5" s="1118">
        <f>+'Value added steel '!M13</f>
        <v>0</v>
      </c>
      <c r="N5" s="633"/>
      <c r="O5" s="633">
        <f t="shared" ref="O5:O15" si="1">+G5+I5+M5</f>
        <v>0</v>
      </c>
      <c r="P5" s="1118"/>
      <c r="Q5" s="1118">
        <f>+'Value added steel '!Q13</f>
        <v>0</v>
      </c>
      <c r="R5" s="629"/>
      <c r="S5" s="629">
        <f t="shared" ref="S5:S15" si="2">+O5+Q5</f>
        <v>0</v>
      </c>
      <c r="T5" s="1118"/>
      <c r="U5" s="1118">
        <f>+'Value added steel '!U13</f>
        <v>0</v>
      </c>
      <c r="V5" s="629"/>
      <c r="W5" s="629">
        <f t="shared" ref="W5:W14" si="3">+S5+U5</f>
        <v>0</v>
      </c>
      <c r="X5" s="1118"/>
      <c r="Y5" s="1118">
        <f>+'Value added steel '!Y13</f>
        <v>0</v>
      </c>
      <c r="Z5" s="633"/>
      <c r="AA5" s="633">
        <f t="shared" ref="AA5:AA15" si="4">+Q5+U5+Y5</f>
        <v>0</v>
      </c>
      <c r="AB5" s="1172"/>
      <c r="AC5" s="1172">
        <f t="shared" ref="AC5:AC15" si="5">+O5+AA5</f>
        <v>0</v>
      </c>
      <c r="AD5" s="1118"/>
      <c r="AE5" s="1118">
        <f>+'Value added steel '!AE13</f>
        <v>0</v>
      </c>
      <c r="AF5" s="629"/>
      <c r="AG5" s="629">
        <f t="shared" ref="AG5:AG13" si="6">+AC5+AE5</f>
        <v>0</v>
      </c>
      <c r="AH5" s="1118"/>
      <c r="AI5" s="1118">
        <f>+'Value added steel '!AI13</f>
        <v>0</v>
      </c>
      <c r="AJ5" s="629"/>
      <c r="AK5" s="629">
        <f t="shared" ref="AK5:AK15" si="7">+AG5+AI5</f>
        <v>0</v>
      </c>
      <c r="AL5" s="1118"/>
      <c r="AM5" s="1118">
        <f>+'Value added steel '!AM13</f>
        <v>0</v>
      </c>
      <c r="AN5" s="633"/>
      <c r="AO5" s="633">
        <f t="shared" ref="AO5:AO15" si="8">+AE5+AI5+AM5</f>
        <v>0</v>
      </c>
      <c r="AP5" s="629"/>
      <c r="AQ5" s="629">
        <f t="shared" ref="AQ5:AQ14" si="9">+AK5+AM5</f>
        <v>0</v>
      </c>
      <c r="AR5" s="1118"/>
      <c r="AS5" s="1118">
        <f>+'Value added steel '!AS13</f>
        <v>0</v>
      </c>
      <c r="AT5" s="629"/>
      <c r="AU5" s="629">
        <f t="shared" ref="AU5:AU14" si="10">+AQ5+AS5</f>
        <v>0</v>
      </c>
      <c r="AV5" s="1118"/>
      <c r="AW5" s="1118">
        <f>+'Value added steel '!AW13</f>
        <v>0</v>
      </c>
      <c r="AX5" s="629"/>
      <c r="AY5" s="629">
        <f t="shared" ref="AY5:AY15" si="11">+AU5+AW5</f>
        <v>0</v>
      </c>
      <c r="AZ5" s="1118"/>
      <c r="BA5" s="1118">
        <f>+'Value added steel '!BA13</f>
        <v>0</v>
      </c>
      <c r="BB5" s="633"/>
      <c r="BC5" s="633">
        <f t="shared" ref="BC5:BC12" si="12">+AS5+AW5+BA5</f>
        <v>0</v>
      </c>
      <c r="BD5" s="1172"/>
      <c r="BE5" s="1172">
        <f t="shared" ref="BE5:BE12" si="13">+AO5+BC5</f>
        <v>0</v>
      </c>
      <c r="BF5" s="629"/>
      <c r="BG5" s="629">
        <f t="shared" ref="BG5:BG12" si="14">+AY5+BA5</f>
        <v>0</v>
      </c>
      <c r="BH5" s="26"/>
      <c r="BI5" s="26"/>
      <c r="BJ5" s="26"/>
    </row>
    <row r="6" spans="4:65" ht="18.75" x14ac:dyDescent="0.3">
      <c r="D6" s="1175" t="s">
        <v>974</v>
      </c>
      <c r="E6" s="6362"/>
      <c r="F6" s="4666"/>
      <c r="G6" s="1118">
        <f>+'Value added steel '!G14</f>
        <v>559.65</v>
      </c>
      <c r="H6" s="4666"/>
      <c r="I6" s="1118">
        <f>+'Value added steel '!I14</f>
        <v>565.79999999999995</v>
      </c>
      <c r="J6" s="4667"/>
      <c r="K6" s="629">
        <f t="shared" si="0"/>
        <v>1125.4499999999998</v>
      </c>
      <c r="L6" s="4666"/>
      <c r="M6" s="1118">
        <f>+'Value added steel '!M14</f>
        <v>502.24999999999994</v>
      </c>
      <c r="N6" s="4668"/>
      <c r="O6" s="633">
        <f t="shared" si="1"/>
        <v>1627.6999999999998</v>
      </c>
      <c r="P6" s="4666"/>
      <c r="Q6" s="1118">
        <f>+'Value added steel '!Q14</f>
        <v>338.25</v>
      </c>
      <c r="R6" s="4667"/>
      <c r="S6" s="629">
        <f t="shared" si="2"/>
        <v>1965.9499999999998</v>
      </c>
      <c r="T6" s="4666"/>
      <c r="U6" s="1118">
        <f>+'Value added steel '!U14</f>
        <v>340.3</v>
      </c>
      <c r="V6" s="4667"/>
      <c r="W6" s="629">
        <f t="shared" si="3"/>
        <v>2306.25</v>
      </c>
      <c r="X6" s="4666"/>
      <c r="Y6" s="1118">
        <f>+'Value added steel '!Y14</f>
        <v>319.8</v>
      </c>
      <c r="Z6" s="4668"/>
      <c r="AA6" s="633">
        <f t="shared" si="4"/>
        <v>998.34999999999991</v>
      </c>
      <c r="AB6" s="4669"/>
      <c r="AC6" s="1172">
        <f t="shared" si="5"/>
        <v>2626.0499999999997</v>
      </c>
      <c r="AD6" s="4666"/>
      <c r="AE6" s="1118">
        <f>+'Value added steel '!AE14</f>
        <v>287</v>
      </c>
      <c r="AF6" s="4667"/>
      <c r="AG6" s="629">
        <f t="shared" si="6"/>
        <v>2913.0499999999997</v>
      </c>
      <c r="AH6" s="4666"/>
      <c r="AI6" s="1118">
        <f>+'Value added steel '!AI14</f>
        <v>0</v>
      </c>
      <c r="AJ6" s="4667"/>
      <c r="AK6" s="629">
        <f t="shared" si="7"/>
        <v>2913.0499999999997</v>
      </c>
      <c r="AL6" s="4666"/>
      <c r="AM6" s="1118">
        <f>+'Value added steel '!AM14</f>
        <v>524.79999999999995</v>
      </c>
      <c r="AN6" s="4668"/>
      <c r="AO6" s="633">
        <f t="shared" si="8"/>
        <v>811.8</v>
      </c>
      <c r="AP6" s="4667"/>
      <c r="AQ6" s="629">
        <f t="shared" si="9"/>
        <v>3437.8499999999995</v>
      </c>
      <c r="AR6" s="4666"/>
      <c r="AS6" s="1118">
        <f>+'Value added steel '!AS14</f>
        <v>694.95</v>
      </c>
      <c r="AT6" s="4667"/>
      <c r="AU6" s="629">
        <f t="shared" si="10"/>
        <v>4132.7999999999993</v>
      </c>
      <c r="AV6" s="4666"/>
      <c r="AW6" s="1118">
        <f>+'Value added steel '!AW14</f>
        <v>1381.6999999999998</v>
      </c>
      <c r="AX6" s="4667"/>
      <c r="AY6" s="629">
        <f t="shared" si="11"/>
        <v>5514.4999999999991</v>
      </c>
      <c r="AZ6" s="4666"/>
      <c r="BA6" s="1118">
        <f>+'Value added steel '!BA14</f>
        <v>442.7999999999999</v>
      </c>
      <c r="BB6" s="4668"/>
      <c r="BC6" s="633">
        <f t="shared" si="12"/>
        <v>2519.4499999999994</v>
      </c>
      <c r="BD6" s="4669"/>
      <c r="BE6" s="1172">
        <f t="shared" si="13"/>
        <v>3331.2499999999991</v>
      </c>
      <c r="BF6" s="4667"/>
      <c r="BG6" s="629">
        <f t="shared" si="14"/>
        <v>5957.2999999999993</v>
      </c>
      <c r="BH6" s="26"/>
      <c r="BI6" s="26"/>
      <c r="BJ6" s="26"/>
    </row>
    <row r="7" spans="4:65" ht="18.75" x14ac:dyDescent="0.3">
      <c r="D7" s="1175" t="s">
        <v>973</v>
      </c>
      <c r="E7" s="6362"/>
      <c r="F7" s="4666"/>
      <c r="G7" s="1118">
        <f>+'Value added steel '!G15</f>
        <v>596.54999999999995</v>
      </c>
      <c r="H7" s="4666"/>
      <c r="I7" s="1118">
        <f>+'Value added steel '!I15</f>
        <v>906.1</v>
      </c>
      <c r="J7" s="4667"/>
      <c r="K7" s="629">
        <f t="shared" si="0"/>
        <v>1502.65</v>
      </c>
      <c r="L7" s="4666"/>
      <c r="M7" s="1118">
        <f>+'Value added steel '!M15</f>
        <v>1012.7</v>
      </c>
      <c r="N7" s="4668"/>
      <c r="O7" s="633">
        <f t="shared" si="1"/>
        <v>2515.3500000000004</v>
      </c>
      <c r="P7" s="4666"/>
      <c r="Q7" s="1118">
        <f>+'Value added steel '!Q15</f>
        <v>1246.3999999999999</v>
      </c>
      <c r="R7" s="4667"/>
      <c r="S7" s="629">
        <f t="shared" si="2"/>
        <v>3761.75</v>
      </c>
      <c r="T7" s="4666"/>
      <c r="U7" s="1118">
        <f>+'Value added steel '!U15</f>
        <v>1609.25</v>
      </c>
      <c r="V7" s="4667"/>
      <c r="W7" s="629">
        <f t="shared" si="3"/>
        <v>5371</v>
      </c>
      <c r="X7" s="4666"/>
      <c r="Y7" s="1118">
        <f>+'Value added steel '!Y15</f>
        <v>1783.5</v>
      </c>
      <c r="Z7" s="4668"/>
      <c r="AA7" s="633">
        <f t="shared" si="4"/>
        <v>4639.1499999999996</v>
      </c>
      <c r="AB7" s="4669"/>
      <c r="AC7" s="1172">
        <f t="shared" si="5"/>
        <v>7154.5</v>
      </c>
      <c r="AD7" s="4666"/>
      <c r="AE7" s="1118">
        <f>+'Value added steel '!AE15</f>
        <v>2459.9900000000007</v>
      </c>
      <c r="AF7" s="4667"/>
      <c r="AG7" s="629">
        <f t="shared" si="6"/>
        <v>9614.4900000000016</v>
      </c>
      <c r="AH7" s="4666"/>
      <c r="AI7" s="1118">
        <f>+'Value added steel '!AI15</f>
        <v>1221.8000000000002</v>
      </c>
      <c r="AJ7" s="4667"/>
      <c r="AK7" s="629">
        <f t="shared" si="7"/>
        <v>10836.29</v>
      </c>
      <c r="AL7" s="4666"/>
      <c r="AM7" s="1118">
        <f>+'Value added steel '!AM15</f>
        <v>2088.9499999999998</v>
      </c>
      <c r="AN7" s="4668"/>
      <c r="AO7" s="633">
        <f t="shared" si="8"/>
        <v>5770.7400000000007</v>
      </c>
      <c r="AP7" s="4667"/>
      <c r="AQ7" s="629">
        <f t="shared" si="9"/>
        <v>12925.240000000002</v>
      </c>
      <c r="AR7" s="4666"/>
      <c r="AS7" s="1118">
        <f>+'Value added steel '!AS15</f>
        <v>1227.95</v>
      </c>
      <c r="AT7" s="4667"/>
      <c r="AU7" s="629">
        <f t="shared" si="10"/>
        <v>14153.190000000002</v>
      </c>
      <c r="AV7" s="4666"/>
      <c r="AW7" s="1118">
        <f>+'Value added steel '!AW15</f>
        <v>2193.5</v>
      </c>
      <c r="AX7" s="4667"/>
      <c r="AY7" s="629">
        <f t="shared" si="11"/>
        <v>16346.690000000002</v>
      </c>
      <c r="AZ7" s="4666"/>
      <c r="BA7" s="1118">
        <f>+'Value added steel '!BA15</f>
        <v>2525.6</v>
      </c>
      <c r="BB7" s="4668"/>
      <c r="BC7" s="633">
        <f t="shared" si="12"/>
        <v>5947.0499999999993</v>
      </c>
      <c r="BD7" s="4669"/>
      <c r="BE7" s="1172">
        <f t="shared" si="13"/>
        <v>11717.79</v>
      </c>
      <c r="BF7" s="4667"/>
      <c r="BG7" s="629">
        <f t="shared" si="14"/>
        <v>18872.29</v>
      </c>
      <c r="BH7" s="26"/>
      <c r="BI7" s="26"/>
      <c r="BJ7" s="26"/>
    </row>
    <row r="8" spans="4:65" ht="18.75" x14ac:dyDescent="0.3">
      <c r="D8" s="1175" t="s">
        <v>1136</v>
      </c>
      <c r="E8" s="6362"/>
      <c r="F8" s="4666"/>
      <c r="G8" s="1118">
        <f>+'Value added steel '!G16</f>
        <v>252.14999999999998</v>
      </c>
      <c r="H8" s="4666"/>
      <c r="I8" s="1118">
        <f>+'Value added steel '!I16</f>
        <v>243.95000000000002</v>
      </c>
      <c r="J8" s="4667"/>
      <c r="K8" s="629">
        <f t="shared" si="0"/>
        <v>496.1</v>
      </c>
      <c r="L8" s="4666"/>
      <c r="M8" s="1118">
        <f>+'Value added steel '!M16</f>
        <v>0</v>
      </c>
      <c r="N8" s="4668"/>
      <c r="O8" s="633">
        <f t="shared" si="1"/>
        <v>496.1</v>
      </c>
      <c r="P8" s="4666"/>
      <c r="Q8" s="1118">
        <f>+'Value added steel '!Q16</f>
        <v>202.95</v>
      </c>
      <c r="R8" s="4667"/>
      <c r="S8" s="629">
        <f t="shared" si="2"/>
        <v>699.05</v>
      </c>
      <c r="T8" s="4666"/>
      <c r="U8" s="1118">
        <f>+'Value added steel '!U16</f>
        <v>399.74999999999994</v>
      </c>
      <c r="V8" s="4667"/>
      <c r="W8" s="629">
        <f t="shared" si="3"/>
        <v>1098.8</v>
      </c>
      <c r="X8" s="4666"/>
      <c r="Y8" s="1118">
        <f>+'Value added steel '!Y16</f>
        <v>0</v>
      </c>
      <c r="Z8" s="4668"/>
      <c r="AA8" s="633">
        <f t="shared" si="4"/>
        <v>602.69999999999993</v>
      </c>
      <c r="AB8" s="4669"/>
      <c r="AC8" s="1172">
        <f t="shared" si="5"/>
        <v>1098.8</v>
      </c>
      <c r="AD8" s="4666"/>
      <c r="AE8" s="1118">
        <f>+'Value added steel '!AE16</f>
        <v>0</v>
      </c>
      <c r="AF8" s="4667"/>
      <c r="AG8" s="629">
        <f t="shared" si="6"/>
        <v>1098.8</v>
      </c>
      <c r="AH8" s="4666"/>
      <c r="AI8" s="1118">
        <f>+'Value added steel '!AI16</f>
        <v>0</v>
      </c>
      <c r="AJ8" s="4667"/>
      <c r="AK8" s="629">
        <f t="shared" si="7"/>
        <v>1098.8</v>
      </c>
      <c r="AL8" s="4666"/>
      <c r="AM8" s="1118">
        <f>+'Value added steel '!AM16</f>
        <v>0</v>
      </c>
      <c r="AN8" s="4668"/>
      <c r="AO8" s="633">
        <f t="shared" si="8"/>
        <v>0</v>
      </c>
      <c r="AP8" s="4667"/>
      <c r="AQ8" s="629">
        <f t="shared" si="9"/>
        <v>1098.8</v>
      </c>
      <c r="AR8" s="4666"/>
      <c r="AS8" s="1118">
        <f>+'Value added steel '!AS16</f>
        <v>221.40000000000003</v>
      </c>
      <c r="AT8" s="4667"/>
      <c r="AU8" s="629">
        <f t="shared" si="10"/>
        <v>1320.2</v>
      </c>
      <c r="AV8" s="4666"/>
      <c r="AW8" s="1118">
        <f>+'Value added steel '!AW16</f>
        <v>0</v>
      </c>
      <c r="AX8" s="4667"/>
      <c r="AY8" s="629">
        <f t="shared" si="11"/>
        <v>1320.2</v>
      </c>
      <c r="AZ8" s="4666"/>
      <c r="BA8" s="1118">
        <f>+'Value added steel '!BA16</f>
        <v>0</v>
      </c>
      <c r="BB8" s="4668"/>
      <c r="BC8" s="633">
        <f t="shared" si="12"/>
        <v>221.40000000000003</v>
      </c>
      <c r="BD8" s="4669"/>
      <c r="BE8" s="1172">
        <f t="shared" si="13"/>
        <v>221.40000000000003</v>
      </c>
      <c r="BF8" s="4667"/>
      <c r="BG8" s="629">
        <f t="shared" si="14"/>
        <v>1320.2</v>
      </c>
      <c r="BH8" s="26"/>
      <c r="BI8" s="26"/>
      <c r="BJ8" s="26"/>
    </row>
    <row r="9" spans="4:65" ht="18.75" x14ac:dyDescent="0.3">
      <c r="D9" s="1175" t="s">
        <v>975</v>
      </c>
      <c r="E9" s="6362"/>
      <c r="F9" s="4666"/>
      <c r="G9" s="1118">
        <f>+'Value added steel '!G17</f>
        <v>1332.4999999999995</v>
      </c>
      <c r="H9" s="4666"/>
      <c r="I9" s="1118">
        <f>+'Value added steel '!I17</f>
        <v>2179.1499999999996</v>
      </c>
      <c r="J9" s="4667"/>
      <c r="K9" s="629">
        <f t="shared" si="0"/>
        <v>3511.6499999999992</v>
      </c>
      <c r="L9" s="4666"/>
      <c r="M9" s="1118">
        <f>+'Value added steel '!M17</f>
        <v>1922.8999999999994</v>
      </c>
      <c r="N9" s="4668"/>
      <c r="O9" s="633">
        <f t="shared" si="1"/>
        <v>5434.5499999999984</v>
      </c>
      <c r="P9" s="4666"/>
      <c r="Q9" s="1118">
        <f>+'Value added steel '!Q17</f>
        <v>1215.6499999999999</v>
      </c>
      <c r="R9" s="4667"/>
      <c r="S9" s="629">
        <f t="shared" si="2"/>
        <v>6650.199999999998</v>
      </c>
      <c r="T9" s="4666"/>
      <c r="U9" s="1118">
        <f>+'Value added steel '!U17</f>
        <v>2289.85</v>
      </c>
      <c r="V9" s="4667"/>
      <c r="W9" s="629">
        <f t="shared" si="3"/>
        <v>8940.0499999999975</v>
      </c>
      <c r="X9" s="4666"/>
      <c r="Y9" s="1118">
        <f>+'Value added steel '!Y17</f>
        <v>1029.0999999999999</v>
      </c>
      <c r="Z9" s="4668"/>
      <c r="AA9" s="633">
        <f t="shared" si="4"/>
        <v>4534.6000000000004</v>
      </c>
      <c r="AB9" s="4669"/>
      <c r="AC9" s="1172">
        <f t="shared" si="5"/>
        <v>9969.1499999999978</v>
      </c>
      <c r="AD9" s="4666"/>
      <c r="AE9" s="1118">
        <f>+'Value added steel '!AE17</f>
        <v>1045.5</v>
      </c>
      <c r="AF9" s="4667"/>
      <c r="AG9" s="629">
        <f t="shared" si="6"/>
        <v>11014.649999999998</v>
      </c>
      <c r="AH9" s="4666"/>
      <c r="AI9" s="1118">
        <f>+'Value added steel '!AI17</f>
        <v>0</v>
      </c>
      <c r="AJ9" s="4667"/>
      <c r="AK9" s="629">
        <f t="shared" si="7"/>
        <v>11014.649999999998</v>
      </c>
      <c r="AL9" s="4666"/>
      <c r="AM9" s="1118">
        <f>+'Value added steel '!AM17</f>
        <v>2144.2999999999997</v>
      </c>
      <c r="AN9" s="4668"/>
      <c r="AO9" s="633">
        <f t="shared" si="8"/>
        <v>3189.7999999999997</v>
      </c>
      <c r="AP9" s="4667"/>
      <c r="AQ9" s="629">
        <f t="shared" si="9"/>
        <v>13158.949999999997</v>
      </c>
      <c r="AR9" s="4666"/>
      <c r="AS9" s="1118">
        <f>+'Value added steel '!AS17</f>
        <v>1896.2500000000002</v>
      </c>
      <c r="AT9" s="4667"/>
      <c r="AU9" s="629">
        <f t="shared" si="10"/>
        <v>15055.199999999997</v>
      </c>
      <c r="AV9" s="4666"/>
      <c r="AW9" s="1118">
        <f>+'Value added steel '!AW17</f>
        <v>2480.5</v>
      </c>
      <c r="AX9" s="4667"/>
      <c r="AY9" s="629">
        <f t="shared" si="11"/>
        <v>17535.699999999997</v>
      </c>
      <c r="AZ9" s="4666"/>
      <c r="BA9" s="1118">
        <f>+'Value added steel '!BA17</f>
        <v>971.7</v>
      </c>
      <c r="BB9" s="4668"/>
      <c r="BC9" s="633">
        <f t="shared" si="12"/>
        <v>5348.45</v>
      </c>
      <c r="BD9" s="4669"/>
      <c r="BE9" s="1172">
        <f t="shared" si="13"/>
        <v>8538.25</v>
      </c>
      <c r="BF9" s="4667"/>
      <c r="BG9" s="629">
        <f t="shared" si="14"/>
        <v>18507.399999999998</v>
      </c>
      <c r="BH9" s="26"/>
      <c r="BI9" s="26"/>
      <c r="BJ9" s="26"/>
    </row>
    <row r="10" spans="4:65" ht="18.75" x14ac:dyDescent="0.3">
      <c r="D10" s="1175" t="s">
        <v>1140</v>
      </c>
      <c r="E10" s="6362"/>
      <c r="F10" s="2821"/>
      <c r="G10" s="1118">
        <f>+'Value added steel '!G18</f>
        <v>18.45</v>
      </c>
      <c r="H10" s="2821"/>
      <c r="I10" s="1118">
        <f>+'Value added steel '!I18</f>
        <v>4.0999999999999996</v>
      </c>
      <c r="J10" s="2822"/>
      <c r="K10" s="629">
        <f t="shared" si="0"/>
        <v>22.549999999999997</v>
      </c>
      <c r="L10" s="2821"/>
      <c r="M10" s="1118">
        <f>+'Value added steel '!M18</f>
        <v>98.4</v>
      </c>
      <c r="N10" s="2823"/>
      <c r="O10" s="633">
        <f t="shared" si="1"/>
        <v>120.95</v>
      </c>
      <c r="P10" s="2821"/>
      <c r="Q10" s="1118">
        <f>+'Value added steel '!Q18</f>
        <v>6.1499999999999995</v>
      </c>
      <c r="R10" s="2822"/>
      <c r="S10" s="629">
        <f t="shared" si="2"/>
        <v>127.10000000000001</v>
      </c>
      <c r="T10" s="2821"/>
      <c r="U10" s="1118">
        <f>+'Value added steel '!U18</f>
        <v>6.15</v>
      </c>
      <c r="V10" s="2822"/>
      <c r="W10" s="629">
        <f t="shared" si="3"/>
        <v>133.25</v>
      </c>
      <c r="X10" s="2821"/>
      <c r="Y10" s="1118">
        <f>+'Value added steel '!Y18</f>
        <v>0</v>
      </c>
      <c r="Z10" s="2823"/>
      <c r="AA10" s="633">
        <f t="shared" si="4"/>
        <v>12.3</v>
      </c>
      <c r="AB10" s="1172"/>
      <c r="AC10" s="1172">
        <f t="shared" si="5"/>
        <v>133.25</v>
      </c>
      <c r="AD10" s="2821"/>
      <c r="AE10" s="1118">
        <f>+'Value added steel '!AE18</f>
        <v>0</v>
      </c>
      <c r="AF10" s="2822"/>
      <c r="AG10" s="629">
        <f t="shared" si="6"/>
        <v>133.25</v>
      </c>
      <c r="AH10" s="2821"/>
      <c r="AI10" s="1118">
        <f>+'Value added steel '!AI18</f>
        <v>0</v>
      </c>
      <c r="AJ10" s="2822"/>
      <c r="AK10" s="629">
        <f t="shared" si="7"/>
        <v>133.25</v>
      </c>
      <c r="AL10" s="2821"/>
      <c r="AM10" s="1118">
        <f>+'Value added steel '!AM18</f>
        <v>4.0999999999999996</v>
      </c>
      <c r="AN10" s="2823"/>
      <c r="AO10" s="633">
        <f t="shared" si="8"/>
        <v>4.0999999999999996</v>
      </c>
      <c r="AP10" s="2822"/>
      <c r="AQ10" s="629">
        <f t="shared" si="9"/>
        <v>137.35</v>
      </c>
      <c r="AR10" s="2821"/>
      <c r="AS10" s="1118">
        <f>+'Value added steel '!AS18</f>
        <v>174.25</v>
      </c>
      <c r="AT10" s="2822"/>
      <c r="AU10" s="629">
        <f t="shared" si="10"/>
        <v>311.60000000000002</v>
      </c>
      <c r="AV10" s="2821"/>
      <c r="AW10" s="1118">
        <f>+'Value added steel '!AW18</f>
        <v>77.900000000000006</v>
      </c>
      <c r="AX10" s="2822"/>
      <c r="AY10" s="629">
        <f t="shared" si="11"/>
        <v>389.5</v>
      </c>
      <c r="AZ10" s="2821"/>
      <c r="BA10" s="1118">
        <f>+'Value added steel '!BA18</f>
        <v>0</v>
      </c>
      <c r="BB10" s="2823"/>
      <c r="BC10" s="633">
        <f t="shared" si="12"/>
        <v>252.15</v>
      </c>
      <c r="BD10" s="2824"/>
      <c r="BE10" s="1172">
        <f t="shared" si="13"/>
        <v>256.25</v>
      </c>
      <c r="BF10" s="2822"/>
      <c r="BG10" s="629">
        <f t="shared" si="14"/>
        <v>389.5</v>
      </c>
      <c r="BH10" s="26"/>
      <c r="BI10" s="26"/>
      <c r="BJ10" s="26"/>
      <c r="BM10" s="26"/>
    </row>
    <row r="11" spans="4:65" ht="18.75" x14ac:dyDescent="0.3">
      <c r="D11" s="1175" t="s">
        <v>976</v>
      </c>
      <c r="E11" s="6362"/>
      <c r="F11" s="1118"/>
      <c r="G11" s="1118">
        <f>+'Value added steel '!G19</f>
        <v>108.65</v>
      </c>
      <c r="H11" s="1118"/>
      <c r="I11" s="1118">
        <f>+'Value added steel '!I19</f>
        <v>0</v>
      </c>
      <c r="J11" s="629"/>
      <c r="K11" s="629">
        <f t="shared" si="0"/>
        <v>108.65</v>
      </c>
      <c r="L11" s="1118"/>
      <c r="M11" s="1118">
        <f>+'Value added steel '!M19</f>
        <v>0</v>
      </c>
      <c r="N11" s="633"/>
      <c r="O11" s="633">
        <f t="shared" si="1"/>
        <v>108.65</v>
      </c>
      <c r="P11" s="1118"/>
      <c r="Q11" s="1118">
        <f>+'Value added steel '!Q19</f>
        <v>0</v>
      </c>
      <c r="R11" s="629"/>
      <c r="S11" s="629">
        <f t="shared" si="2"/>
        <v>108.65</v>
      </c>
      <c r="T11" s="1118"/>
      <c r="U11" s="1118">
        <f>+'Value added steel '!U19</f>
        <v>0</v>
      </c>
      <c r="V11" s="629"/>
      <c r="W11" s="629">
        <f t="shared" si="3"/>
        <v>108.65</v>
      </c>
      <c r="X11" s="1118"/>
      <c r="Y11" s="1118">
        <f>+'Value added steel '!Y19</f>
        <v>0</v>
      </c>
      <c r="Z11" s="633"/>
      <c r="AA11" s="633">
        <f t="shared" si="4"/>
        <v>0</v>
      </c>
      <c r="AB11" s="1172"/>
      <c r="AC11" s="1172">
        <f t="shared" si="5"/>
        <v>108.65</v>
      </c>
      <c r="AD11" s="1118"/>
      <c r="AE11" s="1118">
        <f>+'Value added steel '!AE19</f>
        <v>0</v>
      </c>
      <c r="AF11" s="629"/>
      <c r="AG11" s="629">
        <f t="shared" si="6"/>
        <v>108.65</v>
      </c>
      <c r="AH11" s="1118"/>
      <c r="AI11" s="1118">
        <f>+'Value added steel '!AI19</f>
        <v>0</v>
      </c>
      <c r="AJ11" s="629"/>
      <c r="AK11" s="629">
        <f t="shared" si="7"/>
        <v>108.65</v>
      </c>
      <c r="AL11" s="1118"/>
      <c r="AM11" s="1118">
        <f>+'Value added steel '!AM19</f>
        <v>104.55000000000001</v>
      </c>
      <c r="AN11" s="633"/>
      <c r="AO11" s="633">
        <f t="shared" si="8"/>
        <v>104.55000000000001</v>
      </c>
      <c r="AP11" s="629"/>
      <c r="AQ11" s="629">
        <f t="shared" si="9"/>
        <v>213.20000000000002</v>
      </c>
      <c r="AR11" s="1118"/>
      <c r="AS11" s="1118">
        <f>+'Value added steel '!AS19</f>
        <v>0</v>
      </c>
      <c r="AT11" s="629"/>
      <c r="AU11" s="629">
        <f t="shared" si="10"/>
        <v>213.20000000000002</v>
      </c>
      <c r="AV11" s="1118"/>
      <c r="AW11" s="1118">
        <f>+'Value added steel '!AW19</f>
        <v>0</v>
      </c>
      <c r="AX11" s="629"/>
      <c r="AY11" s="629">
        <f t="shared" si="11"/>
        <v>213.20000000000002</v>
      </c>
      <c r="AZ11" s="1118"/>
      <c r="BA11" s="1118">
        <f>+'Value added steel '!BA19</f>
        <v>0</v>
      </c>
      <c r="BB11" s="633"/>
      <c r="BC11" s="633">
        <f t="shared" si="12"/>
        <v>0</v>
      </c>
      <c r="BD11" s="1172"/>
      <c r="BE11" s="1172">
        <f t="shared" si="13"/>
        <v>104.55000000000001</v>
      </c>
      <c r="BF11" s="629"/>
      <c r="BG11" s="629">
        <f t="shared" si="14"/>
        <v>213.20000000000002</v>
      </c>
      <c r="BH11" s="26"/>
      <c r="BI11" s="26"/>
      <c r="BJ11" s="26"/>
      <c r="BM11" s="26"/>
    </row>
    <row r="12" spans="4:65" ht="18.75" x14ac:dyDescent="0.3">
      <c r="D12" s="1175" t="s">
        <v>1962</v>
      </c>
      <c r="E12" s="6362"/>
      <c r="F12" s="1118"/>
      <c r="G12" s="1118">
        <f>+'Value added steel '!G20</f>
        <v>0</v>
      </c>
      <c r="H12" s="1118"/>
      <c r="I12" s="1118">
        <f>+'Value added steel '!I20</f>
        <v>0</v>
      </c>
      <c r="J12" s="629"/>
      <c r="K12" s="629">
        <f t="shared" si="0"/>
        <v>0</v>
      </c>
      <c r="L12" s="1118"/>
      <c r="M12" s="1118">
        <f>+'Value added steel '!M20</f>
        <v>79.95</v>
      </c>
      <c r="N12" s="633"/>
      <c r="O12" s="633">
        <f t="shared" si="1"/>
        <v>79.95</v>
      </c>
      <c r="P12" s="1118"/>
      <c r="Q12" s="1118">
        <f>+'Value added steel '!Q20</f>
        <v>0</v>
      </c>
      <c r="R12" s="629"/>
      <c r="S12" s="629">
        <f t="shared" si="2"/>
        <v>79.95</v>
      </c>
      <c r="T12" s="1118"/>
      <c r="U12" s="1118">
        <f>+'Value added steel '!U20</f>
        <v>0</v>
      </c>
      <c r="V12" s="629"/>
      <c r="W12" s="629">
        <f t="shared" si="3"/>
        <v>79.95</v>
      </c>
      <c r="X12" s="1118"/>
      <c r="Y12" s="1118">
        <f>+'Value added steel '!Y20</f>
        <v>0</v>
      </c>
      <c r="Z12" s="633"/>
      <c r="AA12" s="633">
        <f t="shared" si="4"/>
        <v>0</v>
      </c>
      <c r="AB12" s="1172"/>
      <c r="AC12" s="1172">
        <f t="shared" si="5"/>
        <v>79.95</v>
      </c>
      <c r="AD12" s="1118"/>
      <c r="AE12" s="1118">
        <f>+'Value added steel '!AE20</f>
        <v>131.19999999999999</v>
      </c>
      <c r="AF12" s="629"/>
      <c r="AG12" s="629">
        <f t="shared" si="6"/>
        <v>211.14999999999998</v>
      </c>
      <c r="AH12" s="1118"/>
      <c r="AI12" s="1118">
        <f>+'Value added steel '!AI20</f>
        <v>0</v>
      </c>
      <c r="AJ12" s="629"/>
      <c r="AK12" s="629">
        <f t="shared" si="7"/>
        <v>211.14999999999998</v>
      </c>
      <c r="AL12" s="1118"/>
      <c r="AM12" s="1118">
        <f>+'Value added steel '!AM20</f>
        <v>0</v>
      </c>
      <c r="AN12" s="633"/>
      <c r="AO12" s="633">
        <f t="shared" si="8"/>
        <v>131.19999999999999</v>
      </c>
      <c r="AP12" s="629"/>
      <c r="AQ12" s="629">
        <f t="shared" si="9"/>
        <v>211.14999999999998</v>
      </c>
      <c r="AR12" s="1118"/>
      <c r="AS12" s="1118">
        <f>+'Value added steel '!AS20</f>
        <v>403.85</v>
      </c>
      <c r="AT12" s="629"/>
      <c r="AU12" s="629">
        <f t="shared" si="10"/>
        <v>615</v>
      </c>
      <c r="AV12" s="1118"/>
      <c r="AW12" s="1118">
        <f>+'Value added steel '!AW20</f>
        <v>0</v>
      </c>
      <c r="AX12" s="629"/>
      <c r="AY12" s="629">
        <f t="shared" si="11"/>
        <v>615</v>
      </c>
      <c r="AZ12" s="1118"/>
      <c r="BA12" s="1118">
        <f>+'Value added steel '!BA20</f>
        <v>0</v>
      </c>
      <c r="BB12" s="633"/>
      <c r="BC12" s="633">
        <f t="shared" si="12"/>
        <v>403.85</v>
      </c>
      <c r="BD12" s="1172"/>
      <c r="BE12" s="1172">
        <f t="shared" si="13"/>
        <v>535.04999999999995</v>
      </c>
      <c r="BF12" s="629"/>
      <c r="BG12" s="629">
        <f t="shared" si="14"/>
        <v>615</v>
      </c>
      <c r="BH12" s="26"/>
      <c r="BI12" s="26"/>
      <c r="BJ12" s="26"/>
      <c r="BM12" s="26"/>
    </row>
    <row r="13" spans="4:65" ht="18.75" x14ac:dyDescent="0.3">
      <c r="D13" s="1175" t="s">
        <v>1963</v>
      </c>
      <c r="E13" s="6362"/>
      <c r="F13" s="1118"/>
      <c r="G13" s="1118">
        <f>+'Value added steel '!G21</f>
        <v>498.15000000000003</v>
      </c>
      <c r="H13" s="1118"/>
      <c r="I13" s="1118">
        <f>+'Value added steel '!I21</f>
        <v>590.4</v>
      </c>
      <c r="J13" s="629"/>
      <c r="K13" s="629">
        <f t="shared" si="0"/>
        <v>1088.55</v>
      </c>
      <c r="L13" s="1118"/>
      <c r="M13" s="1118">
        <f>+'Value added steel '!M21</f>
        <v>434.6</v>
      </c>
      <c r="N13" s="633"/>
      <c r="O13" s="633">
        <f t="shared" si="1"/>
        <v>1523.15</v>
      </c>
      <c r="P13" s="1118"/>
      <c r="Q13" s="1118">
        <f>+'Value added steel '!Q21</f>
        <v>0</v>
      </c>
      <c r="R13" s="629"/>
      <c r="S13" s="629">
        <f t="shared" si="2"/>
        <v>1523.15</v>
      </c>
      <c r="T13" s="1118"/>
      <c r="U13" s="1118">
        <f>+'Value added steel '!U21</f>
        <v>0</v>
      </c>
      <c r="V13" s="629"/>
      <c r="W13" s="629">
        <f t="shared" si="3"/>
        <v>1523.15</v>
      </c>
      <c r="X13" s="1118"/>
      <c r="Y13" s="1118">
        <f>+'Value added steel '!Y21</f>
        <v>0</v>
      </c>
      <c r="Z13" s="633"/>
      <c r="AA13" s="633">
        <f t="shared" si="4"/>
        <v>0</v>
      </c>
      <c r="AB13" s="1172"/>
      <c r="AC13" s="1172">
        <f t="shared" si="5"/>
        <v>1523.15</v>
      </c>
      <c r="AD13" s="1118"/>
      <c r="AE13" s="1118">
        <f>+'Value added steel '!AE21</f>
        <v>67.650000000000006</v>
      </c>
      <c r="AF13" s="629"/>
      <c r="AG13" s="629">
        <f t="shared" si="6"/>
        <v>1590.8000000000002</v>
      </c>
      <c r="AH13" s="1118"/>
      <c r="AI13" s="1118">
        <f>+'Value added steel '!AI21</f>
        <v>0</v>
      </c>
      <c r="AJ13" s="629"/>
      <c r="AK13" s="629">
        <f t="shared" si="7"/>
        <v>1590.8000000000002</v>
      </c>
      <c r="AL13" s="1118"/>
      <c r="AM13" s="1118">
        <f>+'Value added steel '!AM21</f>
        <v>0</v>
      </c>
      <c r="AN13" s="633"/>
      <c r="AO13" s="633">
        <f t="shared" si="8"/>
        <v>67.650000000000006</v>
      </c>
      <c r="AP13" s="629"/>
      <c r="AQ13" s="629">
        <f t="shared" si="9"/>
        <v>1590.8000000000002</v>
      </c>
      <c r="AR13" s="1118"/>
      <c r="AS13" s="1118">
        <f>+'Value added steel '!AS21</f>
        <v>0</v>
      </c>
      <c r="AT13" s="629"/>
      <c r="AU13" s="629">
        <f t="shared" si="10"/>
        <v>1590.8000000000002</v>
      </c>
      <c r="AV13" s="1118"/>
      <c r="AW13" s="1118">
        <f>+'Value added steel '!AW21</f>
        <v>0</v>
      </c>
      <c r="AX13" s="629"/>
      <c r="AY13" s="629">
        <f t="shared" si="11"/>
        <v>1590.8000000000002</v>
      </c>
      <c r="AZ13" s="1118"/>
      <c r="BA13" s="1118">
        <f>+'Value added steel '!BA21</f>
        <v>446.89999999999992</v>
      </c>
      <c r="BB13" s="633"/>
      <c r="BC13" s="633">
        <f t="shared" ref="BC13:BC15" si="15">+AS13+AW13+BA13</f>
        <v>446.89999999999992</v>
      </c>
      <c r="BD13" s="1172"/>
      <c r="BE13" s="1172">
        <f t="shared" ref="BE13:BE15" si="16">+AO13+BC13</f>
        <v>514.54999999999995</v>
      </c>
      <c r="BF13" s="629"/>
      <c r="BG13" s="629">
        <f t="shared" ref="BG13:BG15" si="17">+AY13+BA13</f>
        <v>2037.7</v>
      </c>
      <c r="BH13" s="26"/>
      <c r="BI13" s="26"/>
      <c r="BJ13" s="26"/>
      <c r="BM13" s="26"/>
    </row>
    <row r="14" spans="4:65" ht="18.75" x14ac:dyDescent="0.3">
      <c r="D14" s="1175" t="s">
        <v>1908</v>
      </c>
      <c r="E14" s="6362"/>
      <c r="F14" s="1118"/>
      <c r="G14" s="1118">
        <f>+'Value added steel '!G22</f>
        <v>0</v>
      </c>
      <c r="H14" s="1118"/>
      <c r="I14" s="1118">
        <f>+'Value added steel '!I22</f>
        <v>0</v>
      </c>
      <c r="J14" s="629"/>
      <c r="K14" s="629">
        <f t="shared" si="0"/>
        <v>0</v>
      </c>
      <c r="L14" s="1118"/>
      <c r="M14" s="1118">
        <f>+'Value added steel '!M22</f>
        <v>0</v>
      </c>
      <c r="N14" s="633"/>
      <c r="O14" s="633">
        <f t="shared" si="1"/>
        <v>0</v>
      </c>
      <c r="P14" s="1118"/>
      <c r="Q14" s="1118">
        <f>+'Value added steel '!Q22</f>
        <v>0</v>
      </c>
      <c r="R14" s="629"/>
      <c r="S14" s="629">
        <f t="shared" si="2"/>
        <v>0</v>
      </c>
      <c r="T14" s="1118"/>
      <c r="U14" s="1118">
        <f>+'Value added steel '!U22</f>
        <v>0</v>
      </c>
      <c r="V14" s="629"/>
      <c r="W14" s="629">
        <f t="shared" si="3"/>
        <v>0</v>
      </c>
      <c r="X14" s="1118"/>
      <c r="Y14" s="1118">
        <f>+'Value added steel '!Y22</f>
        <v>0</v>
      </c>
      <c r="Z14" s="633"/>
      <c r="AA14" s="633">
        <f t="shared" si="4"/>
        <v>0</v>
      </c>
      <c r="AB14" s="1172"/>
      <c r="AC14" s="1172">
        <f t="shared" si="5"/>
        <v>0</v>
      </c>
      <c r="AD14" s="1118"/>
      <c r="AE14" s="1118">
        <f>+'Value added steel '!AE22</f>
        <v>0</v>
      </c>
      <c r="AF14" s="629"/>
      <c r="AG14" s="629">
        <f t="shared" ref="AG14:AG15" si="18">+AC14+AE14</f>
        <v>0</v>
      </c>
      <c r="AH14" s="1118"/>
      <c r="AI14" s="1118">
        <f>+'Value added steel '!AI22</f>
        <v>0</v>
      </c>
      <c r="AJ14" s="629"/>
      <c r="AK14" s="629">
        <f t="shared" si="7"/>
        <v>0</v>
      </c>
      <c r="AL14" s="1118"/>
      <c r="AM14" s="1118">
        <f>+'Value added steel '!AM22</f>
        <v>0</v>
      </c>
      <c r="AN14" s="633"/>
      <c r="AO14" s="633">
        <f t="shared" si="8"/>
        <v>0</v>
      </c>
      <c r="AP14" s="629"/>
      <c r="AQ14" s="629">
        <f t="shared" si="9"/>
        <v>0</v>
      </c>
      <c r="AR14" s="1118"/>
      <c r="AS14" s="1118">
        <f>+'Value added steel '!AS22</f>
        <v>0</v>
      </c>
      <c r="AT14" s="629"/>
      <c r="AU14" s="629">
        <f t="shared" si="10"/>
        <v>0</v>
      </c>
      <c r="AV14" s="1118"/>
      <c r="AW14" s="1118">
        <f>+'Value added steel '!AW22</f>
        <v>0</v>
      </c>
      <c r="AX14" s="629"/>
      <c r="AY14" s="629">
        <f t="shared" si="11"/>
        <v>0</v>
      </c>
      <c r="AZ14" s="1118"/>
      <c r="BA14" s="1118">
        <f>+'Value added steel '!BA22</f>
        <v>0</v>
      </c>
      <c r="BB14" s="633"/>
      <c r="BC14" s="633">
        <f t="shared" si="15"/>
        <v>0</v>
      </c>
      <c r="BD14" s="1172"/>
      <c r="BE14" s="1172">
        <f t="shared" si="16"/>
        <v>0</v>
      </c>
      <c r="BF14" s="629"/>
      <c r="BG14" s="629">
        <f t="shared" si="17"/>
        <v>0</v>
      </c>
      <c r="BH14" s="26"/>
      <c r="BI14" s="26"/>
      <c r="BJ14" s="26"/>
      <c r="BM14" s="26"/>
    </row>
    <row r="15" spans="4:65" ht="18.75" x14ac:dyDescent="0.3">
      <c r="D15" s="1175" t="s">
        <v>1141</v>
      </c>
      <c r="E15" s="6362"/>
      <c r="F15" s="1118"/>
      <c r="G15" s="1118">
        <f>+'Value added steel '!G24</f>
        <v>6223.8</v>
      </c>
      <c r="H15" s="1118"/>
      <c r="I15" s="1118">
        <f>+'Value added steel '!I24</f>
        <v>3849.9</v>
      </c>
      <c r="J15" s="629"/>
      <c r="K15" s="629">
        <f t="shared" si="0"/>
        <v>10073.700000000001</v>
      </c>
      <c r="L15" s="1118"/>
      <c r="M15" s="1118">
        <f>+'Value added steel '!M24</f>
        <v>6943.3499999999995</v>
      </c>
      <c r="N15" s="633"/>
      <c r="O15" s="633">
        <f t="shared" si="1"/>
        <v>17017.05</v>
      </c>
      <c r="P15" s="1118"/>
      <c r="Q15" s="1118">
        <f>+'Value added steel '!Q24</f>
        <v>6264.8</v>
      </c>
      <c r="R15" s="629"/>
      <c r="S15" s="629">
        <f t="shared" si="2"/>
        <v>23281.85</v>
      </c>
      <c r="T15" s="1118"/>
      <c r="U15" s="1118">
        <f>+'Value added steel '!U24</f>
        <v>4844.1500000000005</v>
      </c>
      <c r="V15" s="629"/>
      <c r="W15" s="629">
        <f t="shared" ref="W15" si="19">+S15+U15</f>
        <v>28126</v>
      </c>
      <c r="X15" s="1118"/>
      <c r="Y15" s="1118">
        <f>+'Value added steel '!Y24</f>
        <v>6642</v>
      </c>
      <c r="Z15" s="633"/>
      <c r="AA15" s="633">
        <f t="shared" si="4"/>
        <v>17750.95</v>
      </c>
      <c r="AB15" s="1172"/>
      <c r="AC15" s="1172">
        <f t="shared" si="5"/>
        <v>34768</v>
      </c>
      <c r="AD15" s="1118"/>
      <c r="AE15" s="1118">
        <f>+'Value added steel '!AE24</f>
        <v>13357.8</v>
      </c>
      <c r="AF15" s="629"/>
      <c r="AG15" s="629">
        <f t="shared" si="18"/>
        <v>48125.8</v>
      </c>
      <c r="AH15" s="1118"/>
      <c r="AI15" s="1118">
        <f>+'Value added steel '!AI24</f>
        <v>7810.5000000000036</v>
      </c>
      <c r="AJ15" s="629"/>
      <c r="AK15" s="629">
        <f t="shared" si="7"/>
        <v>55936.3</v>
      </c>
      <c r="AL15" s="1118"/>
      <c r="AM15" s="1118">
        <f>+'Value added steel '!AM24</f>
        <v>8860.1000000000095</v>
      </c>
      <c r="AN15" s="633"/>
      <c r="AO15" s="633">
        <f t="shared" si="8"/>
        <v>30028.400000000012</v>
      </c>
      <c r="AP15" s="629"/>
      <c r="AQ15" s="629">
        <f t="shared" ref="AQ15" si="20">+AK15+AM15</f>
        <v>64796.400000000009</v>
      </c>
      <c r="AR15" s="1118"/>
      <c r="AS15" s="1118">
        <f>+'Value added steel '!AS24</f>
        <v>12025.300000000001</v>
      </c>
      <c r="AT15" s="629"/>
      <c r="AU15" s="629">
        <f t="shared" ref="AU15" si="21">+AQ15+AS15</f>
        <v>76821.700000000012</v>
      </c>
      <c r="AV15" s="1118"/>
      <c r="AW15" s="1118">
        <f>+'Value added steel '!AW24</f>
        <v>6549.7500000000009</v>
      </c>
      <c r="AX15" s="629"/>
      <c r="AY15" s="629">
        <f t="shared" si="11"/>
        <v>83371.450000000012</v>
      </c>
      <c r="AZ15" s="1118"/>
      <c r="BA15" s="1118">
        <f>+'Value added steel '!BA24</f>
        <v>6424.7000000000044</v>
      </c>
      <c r="BB15" s="633"/>
      <c r="BC15" s="633">
        <f t="shared" si="15"/>
        <v>24999.750000000007</v>
      </c>
      <c r="BD15" s="1172"/>
      <c r="BE15" s="1172">
        <f t="shared" si="16"/>
        <v>55028.150000000023</v>
      </c>
      <c r="BF15" s="629"/>
      <c r="BG15" s="629">
        <f t="shared" si="17"/>
        <v>89796.150000000023</v>
      </c>
      <c r="BH15" s="26"/>
      <c r="BI15" s="26"/>
      <c r="BJ15" s="26"/>
      <c r="BM15" s="26"/>
    </row>
    <row r="16" spans="4:65" ht="19.5" thickBot="1" x14ac:dyDescent="0.35">
      <c r="D16" s="1176" t="s">
        <v>2</v>
      </c>
      <c r="E16" s="6363"/>
      <c r="F16" s="1177"/>
      <c r="G16" s="1177">
        <f>SUM(G4:G15)</f>
        <v>10686.65</v>
      </c>
      <c r="H16" s="1177">
        <f t="shared" ref="H16:AK16" si="22">SUM(H4:H15)</f>
        <v>0</v>
      </c>
      <c r="I16" s="1177">
        <f>SUM(I4:I15)</f>
        <v>8562.85</v>
      </c>
      <c r="J16" s="1177">
        <f t="shared" si="22"/>
        <v>0</v>
      </c>
      <c r="K16" s="1177">
        <f t="shared" si="22"/>
        <v>19249.5</v>
      </c>
      <c r="L16" s="1177">
        <f t="shared" si="22"/>
        <v>0</v>
      </c>
      <c r="M16" s="1177">
        <f>SUM(M4:M15)</f>
        <v>11695.25</v>
      </c>
      <c r="N16" s="1177">
        <f t="shared" si="22"/>
        <v>0</v>
      </c>
      <c r="O16" s="1177">
        <f t="shared" si="22"/>
        <v>30944.75</v>
      </c>
      <c r="P16" s="1177">
        <f t="shared" si="22"/>
        <v>0</v>
      </c>
      <c r="Q16" s="1177">
        <f t="shared" si="22"/>
        <v>9729.2999999999993</v>
      </c>
      <c r="R16" s="1177">
        <f t="shared" si="22"/>
        <v>0</v>
      </c>
      <c r="S16" s="1177">
        <f t="shared" si="22"/>
        <v>40674.050000000003</v>
      </c>
      <c r="T16" s="1177">
        <f t="shared" si="22"/>
        <v>0</v>
      </c>
      <c r="U16" s="1177">
        <f t="shared" si="22"/>
        <v>10731.75</v>
      </c>
      <c r="V16" s="1177">
        <f t="shared" si="22"/>
        <v>0</v>
      </c>
      <c r="W16" s="1177">
        <f t="shared" si="22"/>
        <v>51405.8</v>
      </c>
      <c r="X16" s="1177">
        <f t="shared" si="22"/>
        <v>0</v>
      </c>
      <c r="Y16" s="1177">
        <f t="shared" si="22"/>
        <v>10516.5</v>
      </c>
      <c r="Z16" s="1177">
        <f t="shared" si="22"/>
        <v>0</v>
      </c>
      <c r="AA16" s="1177">
        <f t="shared" si="22"/>
        <v>30977.550000000003</v>
      </c>
      <c r="AB16" s="1177">
        <f t="shared" si="22"/>
        <v>0</v>
      </c>
      <c r="AC16" s="1177">
        <f t="shared" si="22"/>
        <v>61922.3</v>
      </c>
      <c r="AD16" s="1177">
        <f t="shared" si="22"/>
        <v>0</v>
      </c>
      <c r="AE16" s="1177">
        <f t="shared" si="22"/>
        <v>18119.939999999999</v>
      </c>
      <c r="AF16" s="1177">
        <f t="shared" si="22"/>
        <v>0</v>
      </c>
      <c r="AG16" s="1177">
        <f t="shared" si="22"/>
        <v>80042.240000000005</v>
      </c>
      <c r="AH16" s="1177">
        <f t="shared" si="22"/>
        <v>0</v>
      </c>
      <c r="AI16" s="1177">
        <f t="shared" si="22"/>
        <v>9032.3000000000029</v>
      </c>
      <c r="AJ16" s="1177">
        <f t="shared" si="22"/>
        <v>0</v>
      </c>
      <c r="AK16" s="1177">
        <f t="shared" si="22"/>
        <v>89074.540000000008</v>
      </c>
      <c r="AL16" s="1177">
        <f t="shared" ref="AL16:BG16" si="23">SUM(AL4:AL15)</f>
        <v>0</v>
      </c>
      <c r="AM16" s="1177">
        <f t="shared" si="23"/>
        <v>14741.55000000001</v>
      </c>
      <c r="AN16" s="1177">
        <f t="shared" si="23"/>
        <v>0</v>
      </c>
      <c r="AO16" s="1177">
        <f t="shared" si="23"/>
        <v>41893.790000000008</v>
      </c>
      <c r="AP16" s="1177">
        <f t="shared" si="23"/>
        <v>0</v>
      </c>
      <c r="AQ16" s="1177">
        <f t="shared" si="23"/>
        <v>103816.09000000001</v>
      </c>
      <c r="AR16" s="1177">
        <f t="shared" si="23"/>
        <v>0</v>
      </c>
      <c r="AS16" s="1177">
        <f t="shared" ref="AS16" si="24">SUM(AS4:AS15)</f>
        <v>17714.050000000003</v>
      </c>
      <c r="AT16" s="1177">
        <f t="shared" si="23"/>
        <v>0</v>
      </c>
      <c r="AU16" s="1177">
        <f t="shared" si="23"/>
        <v>121530.14000000001</v>
      </c>
      <c r="AV16" s="1177">
        <f t="shared" si="23"/>
        <v>0</v>
      </c>
      <c r="AW16" s="1177">
        <f t="shared" si="23"/>
        <v>13288.1</v>
      </c>
      <c r="AX16" s="1177">
        <f t="shared" ref="AX16:AY16" si="25">SUM(AX4:AX15)</f>
        <v>0</v>
      </c>
      <c r="AY16" s="1177">
        <f t="shared" si="25"/>
        <v>134818.24000000002</v>
      </c>
      <c r="AZ16" s="1177">
        <f t="shared" si="23"/>
        <v>0</v>
      </c>
      <c r="BA16" s="1177">
        <f t="shared" ref="BA16" si="26">SUM(BA4:BA15)</f>
        <v>10916.250000000004</v>
      </c>
      <c r="BB16" s="1177">
        <f t="shared" si="23"/>
        <v>0</v>
      </c>
      <c r="BC16" s="1177">
        <f t="shared" si="23"/>
        <v>41918.400000000009</v>
      </c>
      <c r="BD16" s="1177">
        <f t="shared" si="23"/>
        <v>0</v>
      </c>
      <c r="BE16" s="1177">
        <f t="shared" si="23"/>
        <v>83812.190000000031</v>
      </c>
      <c r="BF16" s="1177">
        <f t="shared" si="23"/>
        <v>0</v>
      </c>
      <c r="BG16" s="1177">
        <f t="shared" si="23"/>
        <v>145734.49</v>
      </c>
      <c r="BH16" s="26"/>
      <c r="BI16" s="26"/>
      <c r="BJ16" s="26"/>
      <c r="BM16" s="26"/>
    </row>
    <row r="17" spans="65:65" ht="14.45" x14ac:dyDescent="0.3">
      <c r="BM17" s="26"/>
    </row>
    <row r="18" spans="65:65" ht="14.45" x14ac:dyDescent="0.3">
      <c r="BM18" s="26"/>
    </row>
  </sheetData>
  <mergeCells count="29"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  <mergeCell ref="E4:E16"/>
    <mergeCell ref="F3:G3"/>
    <mergeCell ref="H3:I3"/>
    <mergeCell ref="J3:K3"/>
    <mergeCell ref="L3:M3"/>
    <mergeCell ref="AR3:AS3"/>
    <mergeCell ref="AT3:AU3"/>
    <mergeCell ref="AD3:AE3"/>
    <mergeCell ref="AF3:AG3"/>
    <mergeCell ref="AL3:AM3"/>
    <mergeCell ref="AP3:AQ3"/>
    <mergeCell ref="AN3:AO3"/>
    <mergeCell ref="AJ3:AK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0000FF"/>
    <pageSetUpPr fitToPage="1"/>
  </sheetPr>
  <dimension ref="C2:BI17"/>
  <sheetViews>
    <sheetView zoomScaleNormal="100" workbookViewId="0">
      <pane xSplit="3" topLeftCell="M1" activePane="topRight" state="frozen"/>
      <selection pane="topRight" activeCell="Y24" sqref="Y24"/>
    </sheetView>
  </sheetViews>
  <sheetFormatPr defaultColWidth="8.85546875" defaultRowHeight="18.75" x14ac:dyDescent="0.3"/>
  <cols>
    <col min="1" max="2" width="8.85546875" style="542"/>
    <col min="3" max="3" width="53.140625" style="542" customWidth="1"/>
    <col min="4" max="4" width="19.42578125" style="542" customWidth="1"/>
    <col min="5" max="5" width="11.7109375" style="542" customWidth="1"/>
    <col min="6" max="6" width="13.5703125" style="542" customWidth="1"/>
    <col min="7" max="8" width="9.140625" style="542" customWidth="1"/>
    <col min="9" max="10" width="9.140625" style="542" hidden="1" customWidth="1"/>
    <col min="11" max="16" width="9.140625" style="542" customWidth="1"/>
    <col min="17" max="18" width="9.140625" style="542" hidden="1" customWidth="1"/>
    <col min="19" max="20" width="9.140625" style="542" customWidth="1"/>
    <col min="21" max="22" width="9.140625" style="542" hidden="1" customWidth="1"/>
    <col min="23" max="28" width="9.140625" style="542" customWidth="1"/>
    <col min="29" max="59" width="8.85546875" style="542" hidden="1" customWidth="1"/>
    <col min="60" max="16384" width="8.85546875" style="542"/>
  </cols>
  <sheetData>
    <row r="2" spans="3:61" ht="18" x14ac:dyDescent="0.35">
      <c r="C2" s="2163" t="s">
        <v>668</v>
      </c>
    </row>
    <row r="3" spans="3:61" ht="15.75" customHeight="1" thickBot="1" x14ac:dyDescent="0.4">
      <c r="C3" s="2164"/>
    </row>
    <row r="4" spans="3:61" ht="19.5" thickBot="1" x14ac:dyDescent="0.35">
      <c r="C4" s="6376" t="s">
        <v>592</v>
      </c>
      <c r="D4" s="6378" t="s">
        <v>172</v>
      </c>
      <c r="E4" s="6371" t="s">
        <v>2190</v>
      </c>
      <c r="F4" s="6380"/>
      <c r="G4" s="6371" t="s">
        <v>2242</v>
      </c>
      <c r="H4" s="6371"/>
      <c r="I4" s="6369" t="s">
        <v>14</v>
      </c>
      <c r="J4" s="6370"/>
      <c r="K4" s="6372" t="s">
        <v>2273</v>
      </c>
      <c r="L4" s="6373"/>
      <c r="M4" s="6374" t="s">
        <v>138</v>
      </c>
      <c r="N4" s="6375"/>
      <c r="O4" s="6371" t="s">
        <v>2296</v>
      </c>
      <c r="P4" s="6371"/>
      <c r="Q4" s="6369" t="s">
        <v>17</v>
      </c>
      <c r="R4" s="6370"/>
      <c r="S4" s="6371" t="s">
        <v>2299</v>
      </c>
      <c r="T4" s="6371"/>
      <c r="U4" s="6369" t="s">
        <v>18</v>
      </c>
      <c r="V4" s="6370"/>
      <c r="W4" s="6371" t="s">
        <v>2344</v>
      </c>
      <c r="X4" s="6371"/>
      <c r="Y4" s="6381" t="s">
        <v>139</v>
      </c>
      <c r="Z4" s="6375"/>
      <c r="AA4" s="6382" t="s">
        <v>512</v>
      </c>
      <c r="AB4" s="6383"/>
      <c r="AC4" s="6371" t="s">
        <v>1954</v>
      </c>
      <c r="AD4" s="6371"/>
      <c r="AE4" s="6369" t="s">
        <v>24</v>
      </c>
      <c r="AF4" s="6370"/>
      <c r="AG4" s="6371" t="s">
        <v>1970</v>
      </c>
      <c r="AH4" s="6371"/>
      <c r="AI4" s="6369" t="s">
        <v>27</v>
      </c>
      <c r="AJ4" s="6370"/>
      <c r="AK4" s="6371" t="s">
        <v>1985</v>
      </c>
      <c r="AL4" s="6371"/>
      <c r="AM4" s="6381" t="s">
        <v>1668</v>
      </c>
      <c r="AN4" s="6375"/>
      <c r="AO4" s="6369" t="s">
        <v>1666</v>
      </c>
      <c r="AP4" s="6370"/>
      <c r="AQ4" s="6372" t="s">
        <v>2085</v>
      </c>
      <c r="AR4" s="6373"/>
      <c r="AS4" s="6367" t="s">
        <v>28</v>
      </c>
      <c r="AT4" s="6368"/>
      <c r="AU4" s="6372" t="s">
        <v>2099</v>
      </c>
      <c r="AV4" s="6373"/>
      <c r="AW4" s="6367" t="s">
        <v>30</v>
      </c>
      <c r="AX4" s="6368"/>
      <c r="AY4" s="6372" t="s">
        <v>2111</v>
      </c>
      <c r="AZ4" s="6373"/>
      <c r="BA4" s="6381" t="s">
        <v>1711</v>
      </c>
      <c r="BB4" s="6375"/>
      <c r="BC4" s="6382" t="s">
        <v>550</v>
      </c>
      <c r="BD4" s="6383"/>
      <c r="BE4" s="6367" t="s">
        <v>1745</v>
      </c>
      <c r="BF4" s="6368"/>
    </row>
    <row r="5" spans="3:61" ht="19.5" thickBot="1" x14ac:dyDescent="0.35">
      <c r="C5" s="6377"/>
      <c r="D5" s="6379"/>
      <c r="E5" s="2165" t="s">
        <v>173</v>
      </c>
      <c r="F5" s="2166" t="s">
        <v>174</v>
      </c>
      <c r="G5" s="2165" t="s">
        <v>173</v>
      </c>
      <c r="H5" s="2167" t="s">
        <v>174</v>
      </c>
      <c r="I5" s="2168" t="s">
        <v>173</v>
      </c>
      <c r="J5" s="2169" t="s">
        <v>174</v>
      </c>
      <c r="K5" s="2170" t="s">
        <v>173</v>
      </c>
      <c r="L5" s="2171" t="s">
        <v>174</v>
      </c>
      <c r="M5" s="2172" t="s">
        <v>173</v>
      </c>
      <c r="N5" s="2173" t="s">
        <v>174</v>
      </c>
      <c r="O5" s="2165" t="s">
        <v>173</v>
      </c>
      <c r="P5" s="2167" t="s">
        <v>174</v>
      </c>
      <c r="Q5" s="2168" t="s">
        <v>173</v>
      </c>
      <c r="R5" s="2169" t="s">
        <v>174</v>
      </c>
      <c r="S5" s="2165" t="s">
        <v>173</v>
      </c>
      <c r="T5" s="2167" t="s">
        <v>174</v>
      </c>
      <c r="U5" s="2168" t="s">
        <v>173</v>
      </c>
      <c r="V5" s="2169" t="s">
        <v>174</v>
      </c>
      <c r="W5" s="2165" t="s">
        <v>173</v>
      </c>
      <c r="X5" s="2167" t="s">
        <v>174</v>
      </c>
      <c r="Y5" s="2174" t="s">
        <v>173</v>
      </c>
      <c r="Z5" s="2173" t="s">
        <v>174</v>
      </c>
      <c r="AA5" s="2175" t="s">
        <v>173</v>
      </c>
      <c r="AB5" s="2176" t="s">
        <v>174</v>
      </c>
      <c r="AC5" s="2165" t="s">
        <v>173</v>
      </c>
      <c r="AD5" s="2167" t="s">
        <v>174</v>
      </c>
      <c r="AE5" s="2168" t="s">
        <v>173</v>
      </c>
      <c r="AF5" s="2169" t="s">
        <v>174</v>
      </c>
      <c r="AG5" s="2165" t="s">
        <v>173</v>
      </c>
      <c r="AH5" s="2167" t="s">
        <v>174</v>
      </c>
      <c r="AI5" s="2168" t="s">
        <v>173</v>
      </c>
      <c r="AJ5" s="2169" t="s">
        <v>174</v>
      </c>
      <c r="AK5" s="2165" t="s">
        <v>173</v>
      </c>
      <c r="AL5" s="2167" t="s">
        <v>174</v>
      </c>
      <c r="AM5" s="2174" t="s">
        <v>173</v>
      </c>
      <c r="AN5" s="2173" t="s">
        <v>174</v>
      </c>
      <c r="AO5" s="2168" t="s">
        <v>173</v>
      </c>
      <c r="AP5" s="2169" t="s">
        <v>174</v>
      </c>
      <c r="AQ5" s="2165" t="s">
        <v>173</v>
      </c>
      <c r="AR5" s="2167" t="s">
        <v>174</v>
      </c>
      <c r="AS5" s="2168" t="s">
        <v>173</v>
      </c>
      <c r="AT5" s="2169" t="s">
        <v>174</v>
      </c>
      <c r="AU5" s="2165" t="s">
        <v>173</v>
      </c>
      <c r="AV5" s="2167" t="s">
        <v>174</v>
      </c>
      <c r="AW5" s="2168" t="s">
        <v>173</v>
      </c>
      <c r="AX5" s="2169" t="s">
        <v>174</v>
      </c>
      <c r="AY5" s="2165" t="s">
        <v>173</v>
      </c>
      <c r="AZ5" s="2167" t="s">
        <v>174</v>
      </c>
      <c r="BA5" s="2174" t="s">
        <v>173</v>
      </c>
      <c r="BB5" s="2173" t="s">
        <v>174</v>
      </c>
      <c r="BC5" s="2175" t="s">
        <v>173</v>
      </c>
      <c r="BD5" s="2176" t="s">
        <v>174</v>
      </c>
      <c r="BE5" s="2168" t="s">
        <v>173</v>
      </c>
      <c r="BF5" s="2169" t="s">
        <v>174</v>
      </c>
    </row>
    <row r="6" spans="3:61" ht="18.600000000000001" thickBot="1" x14ac:dyDescent="0.4">
      <c r="C6" s="2177" t="s">
        <v>7</v>
      </c>
      <c r="D6" s="2178" t="s">
        <v>50</v>
      </c>
      <c r="E6" s="2179">
        <v>99</v>
      </c>
      <c r="F6" s="2180">
        <v>97.16</v>
      </c>
      <c r="G6" s="2181">
        <v>101</v>
      </c>
      <c r="H6" s="2180">
        <v>92.66</v>
      </c>
      <c r="I6" s="2182">
        <f t="shared" ref="I6:J8" si="0">+E6+G6</f>
        <v>200</v>
      </c>
      <c r="J6" s="2183">
        <f t="shared" si="0"/>
        <v>189.82</v>
      </c>
      <c r="K6" s="2181">
        <v>100</v>
      </c>
      <c r="L6" s="2180">
        <v>92.57</v>
      </c>
      <c r="M6" s="2184">
        <f t="shared" ref="M6:N8" si="1">+I6+K6</f>
        <v>300</v>
      </c>
      <c r="N6" s="2185">
        <f t="shared" si="1"/>
        <v>282.39</v>
      </c>
      <c r="O6" s="2181">
        <v>101</v>
      </c>
      <c r="P6" s="2180">
        <v>132.46</v>
      </c>
      <c r="Q6" s="2182">
        <f t="shared" ref="Q6:R8" si="2">+M6+O6</f>
        <v>401</v>
      </c>
      <c r="R6" s="2183">
        <f t="shared" si="2"/>
        <v>414.85</v>
      </c>
      <c r="S6" s="2181">
        <v>101</v>
      </c>
      <c r="T6" s="2180">
        <v>151.11000000000001</v>
      </c>
      <c r="U6" s="2182">
        <f t="shared" ref="U6:U8" si="3">+Q6+S6</f>
        <v>502</v>
      </c>
      <c r="V6" s="2183">
        <f t="shared" ref="V6:V8" si="4">+R6+T6</f>
        <v>565.96</v>
      </c>
      <c r="W6" s="2181">
        <v>99</v>
      </c>
      <c r="X6" s="2180">
        <v>141.69</v>
      </c>
      <c r="Y6" s="2184">
        <f t="shared" ref="Y6:Z8" si="5">+O6+S6+W6</f>
        <v>301</v>
      </c>
      <c r="Z6" s="2185">
        <f t="shared" si="5"/>
        <v>425.26000000000005</v>
      </c>
      <c r="AA6" s="2186">
        <f t="shared" ref="AA6:AB8" si="6">+U6+W6</f>
        <v>601</v>
      </c>
      <c r="AB6" s="2187">
        <f t="shared" si="6"/>
        <v>707.65000000000009</v>
      </c>
      <c r="AC6" s="2181">
        <v>100</v>
      </c>
      <c r="AD6" s="2180">
        <v>65.930000000000007</v>
      </c>
      <c r="AE6" s="2182">
        <f t="shared" ref="AE6:AE8" si="7">+AA6+AC6</f>
        <v>701</v>
      </c>
      <c r="AF6" s="2183">
        <f t="shared" ref="AF6:AF8" si="8">+AB6+AD6</f>
        <v>773.58000000000015</v>
      </c>
      <c r="AG6" s="2181">
        <v>100</v>
      </c>
      <c r="AH6" s="2180">
        <v>175.16</v>
      </c>
      <c r="AI6" s="2182">
        <f t="shared" ref="AI6:AI8" si="9">+AE6+AG6</f>
        <v>801</v>
      </c>
      <c r="AJ6" s="2183">
        <f t="shared" ref="AJ6:AJ8" si="10">+AF6+AH6</f>
        <v>948.74000000000012</v>
      </c>
      <c r="AK6" s="2181">
        <v>100</v>
      </c>
      <c r="AL6" s="2180">
        <v>82.98</v>
      </c>
      <c r="AM6" s="2184">
        <f t="shared" ref="AM6:AM8" si="11">+AC6+AG6+AK6</f>
        <v>300</v>
      </c>
      <c r="AN6" s="2185">
        <f t="shared" ref="AN6:AN8" si="12">+AD6+AH6+AL6</f>
        <v>324.07</v>
      </c>
      <c r="AO6" s="2182">
        <f t="shared" ref="AO6:AO8" si="13">+AI6+AK6</f>
        <v>901</v>
      </c>
      <c r="AP6" s="2183">
        <f t="shared" ref="AP6:AP8" si="14">+AJ6+AL6</f>
        <v>1031.72</v>
      </c>
      <c r="AQ6" s="2181">
        <v>100</v>
      </c>
      <c r="AR6" s="2180">
        <v>112.16</v>
      </c>
      <c r="AS6" s="2182">
        <f t="shared" ref="AS6:AS8" si="15">+AO6+AQ6</f>
        <v>1001</v>
      </c>
      <c r="AT6" s="2183">
        <f t="shared" ref="AT6:AT8" si="16">+AP6+AR6</f>
        <v>1143.8800000000001</v>
      </c>
      <c r="AU6" s="2181">
        <v>97</v>
      </c>
      <c r="AV6" s="2180">
        <v>116.32</v>
      </c>
      <c r="AW6" s="2182">
        <f t="shared" ref="AW6:AW8" si="17">+AS6+AU6</f>
        <v>1098</v>
      </c>
      <c r="AX6" s="2183">
        <f t="shared" ref="AX6:AX8" si="18">+AT6+AV6</f>
        <v>1260.2</v>
      </c>
      <c r="AY6" s="2181">
        <v>100</v>
      </c>
      <c r="AZ6" s="2180">
        <v>106.56</v>
      </c>
      <c r="BA6" s="2184">
        <f t="shared" ref="BA6:BA8" si="19">+AQ6+AU6+AY6</f>
        <v>297</v>
      </c>
      <c r="BB6" s="2185">
        <f t="shared" ref="BB6:BB8" si="20">+AR6+AV6+AZ6</f>
        <v>335.03999999999996</v>
      </c>
      <c r="BC6" s="2186">
        <f>AM6+BA6</f>
        <v>597</v>
      </c>
      <c r="BD6" s="2186">
        <f>AN6+BB6</f>
        <v>659.1099999999999</v>
      </c>
      <c r="BE6" s="2182">
        <f t="shared" ref="BE6:BE8" si="21">+AW6+AY6</f>
        <v>1198</v>
      </c>
      <c r="BF6" s="2183">
        <f t="shared" ref="BF6:BF8" si="22">+AX6+AZ6</f>
        <v>1366.76</v>
      </c>
      <c r="BG6" s="585"/>
      <c r="BH6" s="585"/>
      <c r="BI6" s="585"/>
    </row>
    <row r="7" spans="3:61" ht="18.600000000000001" thickBot="1" x14ac:dyDescent="0.4">
      <c r="C7" s="2188" t="s">
        <v>593</v>
      </c>
      <c r="D7" s="2189" t="s">
        <v>50</v>
      </c>
      <c r="E7" s="2190">
        <v>150</v>
      </c>
      <c r="F7" s="2191">
        <v>143.6</v>
      </c>
      <c r="G7" s="2192">
        <v>150</v>
      </c>
      <c r="H7" s="2191">
        <v>124</v>
      </c>
      <c r="I7" s="2193">
        <f t="shared" si="0"/>
        <v>300</v>
      </c>
      <c r="J7" s="2194">
        <f t="shared" si="0"/>
        <v>267.60000000000002</v>
      </c>
      <c r="K7" s="2192">
        <v>150</v>
      </c>
      <c r="L7" s="2191">
        <v>134.4</v>
      </c>
      <c r="M7" s="2195">
        <f t="shared" si="1"/>
        <v>450</v>
      </c>
      <c r="N7" s="2196">
        <f t="shared" si="1"/>
        <v>402</v>
      </c>
      <c r="O7" s="2192">
        <v>150</v>
      </c>
      <c r="P7" s="2191">
        <v>111</v>
      </c>
      <c r="Q7" s="2193">
        <f t="shared" si="2"/>
        <v>600</v>
      </c>
      <c r="R7" s="2194">
        <f t="shared" si="2"/>
        <v>513</v>
      </c>
      <c r="S7" s="2192">
        <v>151</v>
      </c>
      <c r="T7" s="2191">
        <v>143.9</v>
      </c>
      <c r="U7" s="2193">
        <f t="shared" si="3"/>
        <v>751</v>
      </c>
      <c r="V7" s="2194">
        <f t="shared" si="4"/>
        <v>656.9</v>
      </c>
      <c r="W7" s="2192">
        <v>150</v>
      </c>
      <c r="X7" s="2191">
        <v>129.5</v>
      </c>
      <c r="Y7" s="2195">
        <f t="shared" si="5"/>
        <v>451</v>
      </c>
      <c r="Z7" s="2196">
        <f t="shared" si="5"/>
        <v>384.4</v>
      </c>
      <c r="AA7" s="2197">
        <f t="shared" si="6"/>
        <v>901</v>
      </c>
      <c r="AB7" s="2198">
        <f t="shared" si="6"/>
        <v>786.4</v>
      </c>
      <c r="AC7" s="2192">
        <v>150</v>
      </c>
      <c r="AD7" s="2191">
        <v>125.95</v>
      </c>
      <c r="AE7" s="2193">
        <f t="shared" si="7"/>
        <v>1051</v>
      </c>
      <c r="AF7" s="2194">
        <f t="shared" si="8"/>
        <v>912.35</v>
      </c>
      <c r="AG7" s="2192">
        <v>150</v>
      </c>
      <c r="AH7" s="2191">
        <v>134.05000000000001</v>
      </c>
      <c r="AI7" s="2193">
        <f t="shared" si="9"/>
        <v>1201</v>
      </c>
      <c r="AJ7" s="2194">
        <f t="shared" si="10"/>
        <v>1046.4000000000001</v>
      </c>
      <c r="AK7" s="2192">
        <v>150</v>
      </c>
      <c r="AL7" s="2191">
        <v>137</v>
      </c>
      <c r="AM7" s="2195">
        <f t="shared" si="11"/>
        <v>450</v>
      </c>
      <c r="AN7" s="2196">
        <f t="shared" si="12"/>
        <v>397</v>
      </c>
      <c r="AO7" s="2193">
        <f t="shared" si="13"/>
        <v>1351</v>
      </c>
      <c r="AP7" s="2194">
        <f t="shared" si="14"/>
        <v>1183.4000000000001</v>
      </c>
      <c r="AQ7" s="2192">
        <v>150</v>
      </c>
      <c r="AR7" s="2191">
        <v>113.71</v>
      </c>
      <c r="AS7" s="2193">
        <f t="shared" si="15"/>
        <v>1501</v>
      </c>
      <c r="AT7" s="2194">
        <f t="shared" si="16"/>
        <v>1297.1100000000001</v>
      </c>
      <c r="AU7" s="2192">
        <v>150</v>
      </c>
      <c r="AV7" s="2191">
        <v>143.21</v>
      </c>
      <c r="AW7" s="2193">
        <f t="shared" si="17"/>
        <v>1651</v>
      </c>
      <c r="AX7" s="2194">
        <f t="shared" si="18"/>
        <v>1440.3200000000002</v>
      </c>
      <c r="AY7" s="2192">
        <v>150</v>
      </c>
      <c r="AZ7" s="2191">
        <v>153.80000000000001</v>
      </c>
      <c r="BA7" s="2195">
        <f t="shared" si="19"/>
        <v>450</v>
      </c>
      <c r="BB7" s="2196">
        <f t="shared" si="20"/>
        <v>410.72</v>
      </c>
      <c r="BC7" s="2186">
        <f>AM7+BA7</f>
        <v>900</v>
      </c>
      <c r="BD7" s="2186">
        <f>AN7+BB7</f>
        <v>807.72</v>
      </c>
      <c r="BE7" s="2193">
        <f t="shared" si="21"/>
        <v>1801</v>
      </c>
      <c r="BF7" s="2194">
        <f t="shared" si="22"/>
        <v>1594.1200000000001</v>
      </c>
      <c r="BG7" s="585"/>
      <c r="BH7" s="585"/>
      <c r="BI7" s="585"/>
    </row>
    <row r="8" spans="3:61" ht="15.95" customHeight="1" thickBot="1" x14ac:dyDescent="0.4">
      <c r="C8" s="2199" t="s">
        <v>8</v>
      </c>
      <c r="D8" s="2200" t="s">
        <v>50</v>
      </c>
      <c r="E8" s="2201">
        <v>4</v>
      </c>
      <c r="F8" s="2202">
        <v>4</v>
      </c>
      <c r="G8" s="2203">
        <v>4</v>
      </c>
      <c r="H8" s="2202">
        <v>4</v>
      </c>
      <c r="I8" s="2204">
        <f t="shared" si="0"/>
        <v>8</v>
      </c>
      <c r="J8" s="2205">
        <f t="shared" si="0"/>
        <v>8</v>
      </c>
      <c r="K8" s="2203">
        <v>4</v>
      </c>
      <c r="L8" s="2202">
        <v>5</v>
      </c>
      <c r="M8" s="2206">
        <f t="shared" si="1"/>
        <v>12</v>
      </c>
      <c r="N8" s="2207">
        <f t="shared" si="1"/>
        <v>13</v>
      </c>
      <c r="O8" s="2203">
        <v>5</v>
      </c>
      <c r="P8" s="2202">
        <v>4.7</v>
      </c>
      <c r="Q8" s="2204">
        <f t="shared" si="2"/>
        <v>17</v>
      </c>
      <c r="R8" s="2205">
        <f t="shared" si="2"/>
        <v>17.7</v>
      </c>
      <c r="S8" s="2203">
        <v>5</v>
      </c>
      <c r="T8" s="2202">
        <v>4.75</v>
      </c>
      <c r="U8" s="2204">
        <f t="shared" si="3"/>
        <v>22</v>
      </c>
      <c r="V8" s="2205">
        <f t="shared" si="4"/>
        <v>22.45</v>
      </c>
      <c r="W8" s="2203">
        <v>4</v>
      </c>
      <c r="X8" s="2202">
        <v>4</v>
      </c>
      <c r="Y8" s="2206">
        <f t="shared" si="5"/>
        <v>14</v>
      </c>
      <c r="Z8" s="2207">
        <f t="shared" si="5"/>
        <v>13.45</v>
      </c>
      <c r="AA8" s="2208">
        <f t="shared" si="6"/>
        <v>26</v>
      </c>
      <c r="AB8" s="2209">
        <f t="shared" si="6"/>
        <v>26.45</v>
      </c>
      <c r="AC8" s="2203">
        <v>4</v>
      </c>
      <c r="AD8" s="2202">
        <v>3.95</v>
      </c>
      <c r="AE8" s="2204">
        <f t="shared" si="7"/>
        <v>30</v>
      </c>
      <c r="AF8" s="2205">
        <f t="shared" si="8"/>
        <v>30.4</v>
      </c>
      <c r="AG8" s="2203">
        <v>4</v>
      </c>
      <c r="AH8" s="2202">
        <v>4.2300000000000004</v>
      </c>
      <c r="AI8" s="2204">
        <f t="shared" si="9"/>
        <v>34</v>
      </c>
      <c r="AJ8" s="2205">
        <f t="shared" si="10"/>
        <v>34.629999999999995</v>
      </c>
      <c r="AK8" s="2203">
        <v>4</v>
      </c>
      <c r="AL8" s="2202">
        <v>4.3499999999999996</v>
      </c>
      <c r="AM8" s="2206">
        <f t="shared" si="11"/>
        <v>12</v>
      </c>
      <c r="AN8" s="2207">
        <f t="shared" si="12"/>
        <v>12.53</v>
      </c>
      <c r="AO8" s="2204">
        <f t="shared" si="13"/>
        <v>38</v>
      </c>
      <c r="AP8" s="2205">
        <f t="shared" si="14"/>
        <v>38.979999999999997</v>
      </c>
      <c r="AQ8" s="2203">
        <v>4</v>
      </c>
      <c r="AR8" s="2202">
        <v>4.1500000000000004</v>
      </c>
      <c r="AS8" s="2204">
        <f t="shared" si="15"/>
        <v>42</v>
      </c>
      <c r="AT8" s="2205">
        <f t="shared" si="16"/>
        <v>43.129999999999995</v>
      </c>
      <c r="AU8" s="2203">
        <v>4</v>
      </c>
      <c r="AV8" s="2202">
        <v>4.1900000000000004</v>
      </c>
      <c r="AW8" s="2204">
        <f t="shared" si="17"/>
        <v>46</v>
      </c>
      <c r="AX8" s="2205">
        <f t="shared" si="18"/>
        <v>47.319999999999993</v>
      </c>
      <c r="AY8" s="2203">
        <v>4</v>
      </c>
      <c r="AZ8" s="2202">
        <v>4</v>
      </c>
      <c r="BA8" s="2206">
        <f t="shared" si="19"/>
        <v>12</v>
      </c>
      <c r="BB8" s="2207">
        <f t="shared" si="20"/>
        <v>12.34</v>
      </c>
      <c r="BC8" s="2186">
        <f t="shared" ref="BC8:BD8" si="23">AM8+BA8</f>
        <v>24</v>
      </c>
      <c r="BD8" s="2186">
        <f t="shared" si="23"/>
        <v>24.869999999999997</v>
      </c>
      <c r="BE8" s="2204">
        <f t="shared" si="21"/>
        <v>50</v>
      </c>
      <c r="BF8" s="2205">
        <f t="shared" si="22"/>
        <v>51.319999999999993</v>
      </c>
      <c r="BG8" s="585"/>
      <c r="BH8" s="585"/>
      <c r="BI8" s="585"/>
    </row>
    <row r="13" spans="3:61" ht="18" x14ac:dyDescent="0.35">
      <c r="K13" s="2210"/>
      <c r="L13" s="2211"/>
    </row>
    <row r="14" spans="3:61" ht="18" x14ac:dyDescent="0.35">
      <c r="K14" s="2210"/>
      <c r="L14" s="2212"/>
    </row>
    <row r="15" spans="3:61" ht="18" x14ac:dyDescent="0.35">
      <c r="K15" s="2210"/>
      <c r="L15" s="2211"/>
    </row>
    <row r="17" spans="3:3" ht="18" x14ac:dyDescent="0.35">
      <c r="C17" s="543"/>
    </row>
  </sheetData>
  <mergeCells count="29"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  <mergeCell ref="K4:L4"/>
    <mergeCell ref="M4:N4"/>
    <mergeCell ref="S4:T4"/>
    <mergeCell ref="C4:C5"/>
    <mergeCell ref="D4:D5"/>
    <mergeCell ref="E4:F4"/>
    <mergeCell ref="G4:H4"/>
    <mergeCell ref="I4:J4"/>
    <mergeCell ref="AS4:AT4"/>
    <mergeCell ref="AO4:AP4"/>
    <mergeCell ref="AG4:AH4"/>
    <mergeCell ref="AI4:AJ4"/>
    <mergeCell ref="AC4:AD4"/>
  </mergeCells>
  <pageMargins left="0.7" right="0.7" top="0.75" bottom="0.75" header="0.3" footer="0.3"/>
  <pageSetup scale="8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CC98B4"/>
    <pageSetUpPr fitToPage="1"/>
  </sheetPr>
  <dimension ref="D1:AA66"/>
  <sheetViews>
    <sheetView topLeftCell="A53" zoomScale="70" zoomScaleNormal="70" workbookViewId="0">
      <selection activeCell="R74" sqref="R74"/>
    </sheetView>
  </sheetViews>
  <sheetFormatPr defaultColWidth="9.140625" defaultRowHeight="15.75" x14ac:dyDescent="0.25"/>
  <cols>
    <col min="1" max="3" width="9.140625" style="1705"/>
    <col min="4" max="4" width="30.42578125" style="1705" customWidth="1"/>
    <col min="5" max="5" width="16.140625" style="1705" hidden="1" customWidth="1"/>
    <col min="6" max="6" width="15.42578125" style="1705" customWidth="1"/>
    <col min="7" max="7" width="15.7109375" style="1705" bestFit="1" customWidth="1"/>
    <col min="8" max="8" width="16.42578125" style="1705" bestFit="1" customWidth="1"/>
    <col min="9" max="9" width="5.85546875" style="2620" customWidth="1"/>
    <col min="10" max="10" width="30.85546875" style="1705" customWidth="1"/>
    <col min="11" max="11" width="15.42578125" style="1705" hidden="1" customWidth="1"/>
    <col min="12" max="13" width="15.7109375" style="1705" bestFit="1" customWidth="1"/>
    <col min="14" max="14" width="16.42578125" style="1705" bestFit="1" customWidth="1"/>
    <col min="15" max="15" width="3.140625" style="2620" customWidth="1"/>
    <col min="16" max="16" width="30" style="1705" customWidth="1"/>
    <col min="17" max="17" width="5.7109375" style="1705" hidden="1" customWidth="1"/>
    <col min="18" max="18" width="13.85546875" style="1705" customWidth="1"/>
    <col min="19" max="19" width="14" style="1705" bestFit="1" customWidth="1"/>
    <col min="20" max="20" width="16.42578125" style="1705" customWidth="1"/>
    <col min="21" max="21" width="17.140625" style="1705" bestFit="1" customWidth="1"/>
    <col min="22" max="22" width="3" style="1705" customWidth="1"/>
    <col min="23" max="23" width="32" style="1705" hidden="1" customWidth="1"/>
    <col min="24" max="24" width="12" style="1705" hidden="1" customWidth="1"/>
    <col min="25" max="25" width="13.42578125" style="1705" hidden="1" customWidth="1"/>
    <col min="26" max="26" width="16.28515625" style="1705" hidden="1" customWidth="1"/>
    <col min="27" max="27" width="15.28515625" style="1705" hidden="1" customWidth="1"/>
    <col min="28" max="28" width="0" style="1705" hidden="1" customWidth="1"/>
    <col min="29" max="16384" width="9.140625" style="1705"/>
  </cols>
  <sheetData>
    <row r="1" spans="4:27" ht="15.6" x14ac:dyDescent="0.3">
      <c r="Y1" s="3243"/>
      <c r="Z1" s="3243"/>
    </row>
    <row r="2" spans="4:27" ht="15.6" x14ac:dyDescent="0.3">
      <c r="Y2" s="3243"/>
      <c r="Z2" s="3243"/>
    </row>
    <row r="3" spans="4:27" ht="15.6" x14ac:dyDescent="0.3">
      <c r="Y3" s="3243"/>
      <c r="Z3" s="3243"/>
    </row>
    <row r="4" spans="4:27" ht="15.6" x14ac:dyDescent="0.3">
      <c r="Y4" s="3243"/>
      <c r="Z4" s="3243"/>
    </row>
    <row r="5" spans="4:27" ht="28.9" x14ac:dyDescent="0.55000000000000004">
      <c r="D5" s="6384" t="s">
        <v>1485</v>
      </c>
      <c r="E5" s="6384"/>
      <c r="F5" s="6384"/>
      <c r="G5" s="6384"/>
      <c r="H5" s="6384"/>
      <c r="J5" s="6384" t="s">
        <v>1486</v>
      </c>
      <c r="K5" s="6384"/>
      <c r="L5" s="6384"/>
      <c r="M5" s="6384"/>
      <c r="N5" s="6384"/>
      <c r="P5" s="6385" t="s">
        <v>60</v>
      </c>
      <c r="Q5" s="6386"/>
      <c r="R5" s="6386"/>
      <c r="S5" s="6386"/>
      <c r="T5" s="6386"/>
      <c r="U5" s="6387"/>
      <c r="W5" s="6385" t="s">
        <v>1303</v>
      </c>
      <c r="X5" s="6386"/>
      <c r="Y5" s="6386"/>
      <c r="Z5" s="6386"/>
      <c r="AA5" s="6387"/>
    </row>
    <row r="6" spans="4:27" ht="28.9" x14ac:dyDescent="0.3">
      <c r="D6" s="2474"/>
      <c r="E6" s="2474"/>
      <c r="F6" s="2475" t="s">
        <v>1487</v>
      </c>
      <c r="G6" s="2475" t="s">
        <v>1488</v>
      </c>
      <c r="H6" s="2475" t="s">
        <v>1489</v>
      </c>
      <c r="I6" s="2621"/>
      <c r="J6" s="2474"/>
      <c r="K6" s="2474"/>
      <c r="L6" s="2475" t="s">
        <v>1487</v>
      </c>
      <c r="M6" s="2475" t="s">
        <v>1488</v>
      </c>
      <c r="N6" s="2475" t="s">
        <v>1489</v>
      </c>
      <c r="P6" s="2474"/>
      <c r="Q6" s="2474"/>
      <c r="R6" s="2475" t="s">
        <v>1487</v>
      </c>
      <c r="S6" s="2475" t="s">
        <v>1488</v>
      </c>
      <c r="T6" s="2475" t="s">
        <v>1489</v>
      </c>
      <c r="U6" s="2475" t="s">
        <v>1645</v>
      </c>
      <c r="W6" s="2474"/>
      <c r="X6" s="2475" t="s">
        <v>1487</v>
      </c>
      <c r="Y6" s="2475" t="s">
        <v>2157</v>
      </c>
      <c r="Z6" s="2475" t="s">
        <v>2158</v>
      </c>
      <c r="AA6" s="2475" t="s">
        <v>434</v>
      </c>
    </row>
    <row r="7" spans="4:27" ht="32.25" customHeight="1" x14ac:dyDescent="0.45">
      <c r="D7" s="2520" t="s">
        <v>1490</v>
      </c>
      <c r="E7" s="2521"/>
      <c r="F7" s="2522">
        <v>62.592421052631636</v>
      </c>
      <c r="G7" s="2522">
        <v>2.7966315789473684</v>
      </c>
      <c r="H7" s="2522">
        <v>3.3077368421052609</v>
      </c>
      <c r="J7" s="2520" t="s">
        <v>1490</v>
      </c>
      <c r="K7" s="2521"/>
      <c r="L7" s="2522">
        <v>63.913176470588255</v>
      </c>
      <c r="M7" s="2522">
        <v>1.8717647058823521</v>
      </c>
      <c r="N7" s="2522">
        <v>2.5894117647058814</v>
      </c>
      <c r="P7" s="2520" t="s">
        <v>1490</v>
      </c>
      <c r="Q7" s="2521"/>
      <c r="R7" s="2522">
        <v>57.384682274928792</v>
      </c>
      <c r="S7" s="2522">
        <v>4.061069698250412</v>
      </c>
      <c r="T7" s="2522">
        <v>2.9385519762231174</v>
      </c>
      <c r="U7" s="2522">
        <v>2.0851733646466379</v>
      </c>
      <c r="W7" s="2520" t="s">
        <v>1490</v>
      </c>
      <c r="X7" s="6391" t="s">
        <v>2134</v>
      </c>
      <c r="Y7" s="6392"/>
      <c r="Z7" s="6392"/>
      <c r="AA7" s="6393"/>
    </row>
    <row r="8" spans="4:27" ht="28.5" x14ac:dyDescent="0.45">
      <c r="D8" s="2520" t="s">
        <v>1491</v>
      </c>
      <c r="E8" s="2521"/>
      <c r="F8" s="2522">
        <v>62.414772946859848</v>
      </c>
      <c r="G8" s="2522">
        <v>3.0926360708534615</v>
      </c>
      <c r="H8" s="2522">
        <v>3.2114518760195785</v>
      </c>
      <c r="J8" s="2520" t="s">
        <v>1491</v>
      </c>
      <c r="K8" s="2521"/>
      <c r="L8" s="2522">
        <v>62.616530612244915</v>
      </c>
      <c r="M8" s="2522">
        <v>2.7822448979591838</v>
      </c>
      <c r="N8" s="2522">
        <v>3.0315918367346955</v>
      </c>
      <c r="P8" s="2520" t="s">
        <v>1491</v>
      </c>
      <c r="Q8" s="2521"/>
      <c r="R8" s="2522">
        <v>57.666494386436916</v>
      </c>
      <c r="S8" s="2522">
        <v>4.2392835375161679</v>
      </c>
      <c r="T8" s="2522">
        <v>3.0860570231678586</v>
      </c>
      <c r="U8" s="2522">
        <v>1.991930149178982</v>
      </c>
      <c r="W8" s="2520" t="s">
        <v>1491</v>
      </c>
      <c r="X8" s="6394"/>
      <c r="Y8" s="6395"/>
      <c r="Z8" s="6395"/>
      <c r="AA8" s="6396"/>
    </row>
    <row r="9" spans="4:27" ht="28.5" x14ac:dyDescent="0.45">
      <c r="D9" s="2520" t="s">
        <v>1492</v>
      </c>
      <c r="E9" s="2521"/>
      <c r="F9" s="2522">
        <v>62.249008403361287</v>
      </c>
      <c r="G9" s="2522">
        <v>3.7766554621848756</v>
      </c>
      <c r="H9" s="2522">
        <v>2.8714453781512606</v>
      </c>
      <c r="J9" s="2520" t="s">
        <v>1492</v>
      </c>
      <c r="K9" s="2521"/>
      <c r="L9" s="2522">
        <v>62.877727272727292</v>
      </c>
      <c r="M9" s="2522">
        <v>3.2952447552447564</v>
      </c>
      <c r="N9" s="2522">
        <v>2.1003496503496493</v>
      </c>
      <c r="P9" s="2520" t="s">
        <v>1492</v>
      </c>
      <c r="Q9" s="2521"/>
      <c r="R9" s="2522">
        <v>56.516058983090353</v>
      </c>
      <c r="S9" s="2522">
        <v>4.6805393152959391</v>
      </c>
      <c r="T9" s="2522">
        <v>2.9923282891980403</v>
      </c>
      <c r="U9" s="2522">
        <v>1.9580285119928031</v>
      </c>
      <c r="W9" s="2520" t="s">
        <v>1492</v>
      </c>
      <c r="X9" s="6394"/>
      <c r="Y9" s="6395"/>
      <c r="Z9" s="6395"/>
      <c r="AA9" s="6396"/>
    </row>
    <row r="10" spans="4:27" ht="28.5" x14ac:dyDescent="0.45">
      <c r="D10" s="2520" t="s">
        <v>1493</v>
      </c>
      <c r="E10" s="2521"/>
      <c r="F10" s="2522">
        <v>62.630572774869059</v>
      </c>
      <c r="G10" s="2522">
        <v>3.8978219895288015</v>
      </c>
      <c r="H10" s="2522">
        <v>2.2407120418848168</v>
      </c>
      <c r="J10" s="2520" t="s">
        <v>1493</v>
      </c>
      <c r="K10" s="2521"/>
      <c r="L10" s="2522">
        <v>63.026620999999963</v>
      </c>
      <c r="M10" s="2522">
        <v>3.7217741935483826</v>
      </c>
      <c r="N10" s="2522">
        <v>1.7948387096774181</v>
      </c>
      <c r="P10" s="2520" t="s">
        <v>1493</v>
      </c>
      <c r="Q10" s="2521"/>
      <c r="R10" s="2522">
        <v>56.248274943557462</v>
      </c>
      <c r="S10" s="2522">
        <v>4.8152999238446981</v>
      </c>
      <c r="T10" s="2522">
        <v>2.7998356123762473</v>
      </c>
      <c r="U10" s="2522">
        <v>1.9306909509977692</v>
      </c>
      <c r="W10" s="2520" t="s">
        <v>1493</v>
      </c>
      <c r="X10" s="6394"/>
      <c r="Y10" s="6395"/>
      <c r="Z10" s="6395"/>
      <c r="AA10" s="6396"/>
    </row>
    <row r="11" spans="4:27" ht="28.5" x14ac:dyDescent="0.45">
      <c r="D11" s="2520" t="s">
        <v>1494</v>
      </c>
      <c r="E11" s="2521"/>
      <c r="F11" s="2522">
        <v>61.856832946635677</v>
      </c>
      <c r="G11" s="2522">
        <v>4.2113573085846827</v>
      </c>
      <c r="H11" s="2522">
        <v>2.9364037122969839</v>
      </c>
      <c r="J11" s="2520" t="s">
        <v>1494</v>
      </c>
      <c r="K11" s="2521"/>
      <c r="L11" s="2522">
        <v>63.031521739130476</v>
      </c>
      <c r="M11" s="2522">
        <v>3.6093675889328081</v>
      </c>
      <c r="N11" s="2522">
        <v>1.8816403162055333</v>
      </c>
      <c r="P11" s="2520" t="s">
        <v>1494</v>
      </c>
      <c r="Q11" s="2521"/>
      <c r="R11" s="2522">
        <v>54.658268778978936</v>
      </c>
      <c r="S11" s="2522">
        <v>5.7694903097523493</v>
      </c>
      <c r="T11" s="2522">
        <v>2.9344785604493309</v>
      </c>
      <c r="U11" s="2522">
        <v>1.8331881373504406</v>
      </c>
      <c r="W11" s="2520" t="s">
        <v>1494</v>
      </c>
      <c r="X11" s="6394"/>
      <c r="Y11" s="6395"/>
      <c r="Z11" s="6395"/>
      <c r="AA11" s="6396"/>
    </row>
    <row r="12" spans="4:27" ht="28.5" x14ac:dyDescent="0.45">
      <c r="D12" s="2520" t="s">
        <v>1495</v>
      </c>
      <c r="E12" s="2521"/>
      <c r="F12" s="2522">
        <v>62.0164385093167</v>
      </c>
      <c r="G12" s="2522">
        <v>4.8478136645962682</v>
      </c>
      <c r="H12" s="2522">
        <v>2.1067950310558992</v>
      </c>
      <c r="J12" s="2520" t="s">
        <v>1495</v>
      </c>
      <c r="K12" s="2521"/>
      <c r="L12" s="2522">
        <v>62.828988919667516</v>
      </c>
      <c r="M12" s="2522">
        <v>4.1222160664819949</v>
      </c>
      <c r="N12" s="2522">
        <v>1.5608310249307473</v>
      </c>
      <c r="P12" s="2520" t="s">
        <v>1495</v>
      </c>
      <c r="Q12" s="2521"/>
      <c r="R12" s="2522">
        <v>54.557901847922452</v>
      </c>
      <c r="S12" s="2522">
        <v>5.9917244627008408</v>
      </c>
      <c r="T12" s="2522">
        <v>2.300313254544184</v>
      </c>
      <c r="U12" s="2522">
        <v>1.8502380482071401</v>
      </c>
      <c r="W12" s="2520" t="s">
        <v>1495</v>
      </c>
      <c r="X12" s="6397"/>
      <c r="Y12" s="6398"/>
      <c r="Z12" s="6398"/>
      <c r="AA12" s="6399"/>
    </row>
    <row r="13" spans="4:27" ht="9.75" customHeight="1" x14ac:dyDescent="0.55000000000000004">
      <c r="D13" s="2476"/>
      <c r="E13" s="2477"/>
      <c r="F13" s="2478"/>
      <c r="G13" s="2478"/>
      <c r="H13" s="2478"/>
      <c r="J13" s="2476"/>
      <c r="K13" s="2477"/>
      <c r="L13" s="2478"/>
      <c r="M13" s="2478"/>
      <c r="N13" s="2478"/>
      <c r="P13" s="2476"/>
      <c r="Q13" s="2477"/>
      <c r="R13" s="2478"/>
      <c r="S13" s="2478"/>
      <c r="T13" s="2478"/>
      <c r="U13" s="2478"/>
      <c r="W13" s="2476"/>
      <c r="X13" s="2478"/>
      <c r="Y13" s="2478"/>
      <c r="Z13" s="2478"/>
      <c r="AA13" s="2478"/>
    </row>
    <row r="14" spans="4:27" ht="28.9" x14ac:dyDescent="0.55000000000000004">
      <c r="D14" s="2523" t="s">
        <v>1496</v>
      </c>
      <c r="E14" s="2524"/>
      <c r="F14" s="2525">
        <v>61.36</v>
      </c>
      <c r="G14" s="2525">
        <v>4.2300000000000004</v>
      </c>
      <c r="H14" s="2525">
        <v>2.64</v>
      </c>
      <c r="J14" s="2523" t="s">
        <v>1496</v>
      </c>
      <c r="K14" s="2524"/>
      <c r="L14" s="2525">
        <v>62.43</v>
      </c>
      <c r="M14" s="2525">
        <v>3.52</v>
      </c>
      <c r="N14" s="2525">
        <v>2.2000000000000002</v>
      </c>
      <c r="P14" s="2523" t="s">
        <v>1496</v>
      </c>
      <c r="Q14" s="2524"/>
      <c r="R14" s="2525" t="s">
        <v>1646</v>
      </c>
      <c r="S14" s="2525" t="s">
        <v>1647</v>
      </c>
      <c r="T14" s="2525" t="s">
        <v>1648</v>
      </c>
      <c r="U14" s="2525">
        <v>1.85</v>
      </c>
      <c r="W14" s="2523"/>
      <c r="X14" s="5353"/>
      <c r="Y14" s="5354"/>
      <c r="Z14" s="5354"/>
      <c r="AA14" s="5355"/>
    </row>
    <row r="15" spans="4:27" ht="28.5" hidden="1" customHeight="1" x14ac:dyDescent="0.55000000000000004">
      <c r="D15" s="6388" t="s">
        <v>1497</v>
      </c>
      <c r="E15" s="2524" t="s">
        <v>1498</v>
      </c>
      <c r="F15" s="2525">
        <v>62.26452542372882</v>
      </c>
      <c r="G15" s="2525">
        <v>4.0506779661016958</v>
      </c>
      <c r="H15" s="2525">
        <v>2.4597457627118628</v>
      </c>
      <c r="J15" s="2523"/>
      <c r="K15" s="2524" t="s">
        <v>1498</v>
      </c>
      <c r="L15" s="2525">
        <v>63.255868686868716</v>
      </c>
      <c r="M15" s="2525">
        <v>2.9725252525252523</v>
      </c>
      <c r="N15" s="2525">
        <v>1.8761616161616164</v>
      </c>
      <c r="P15" s="2523"/>
      <c r="Q15" s="2524"/>
      <c r="R15" s="2525"/>
      <c r="S15" s="2525"/>
      <c r="T15" s="2525"/>
      <c r="U15" s="2525"/>
      <c r="W15" s="2523"/>
      <c r="X15" s="2525"/>
      <c r="Y15" s="2525"/>
      <c r="Z15" s="2525"/>
      <c r="AA15" s="2525"/>
    </row>
    <row r="16" spans="4:27" ht="28.5" hidden="1" customHeight="1" x14ac:dyDescent="0.55000000000000004">
      <c r="D16" s="6389"/>
      <c r="E16" s="2524" t="s">
        <v>1499</v>
      </c>
      <c r="F16" s="2525">
        <v>60.557013432835802</v>
      </c>
      <c r="G16" s="2525">
        <v>6.7840298507462693</v>
      </c>
      <c r="H16" s="2525">
        <v>2.5667164179104476</v>
      </c>
      <c r="J16" s="2523"/>
      <c r="K16" s="2524"/>
      <c r="L16" s="2525"/>
      <c r="M16" s="2525"/>
      <c r="N16" s="2525"/>
      <c r="P16" s="2523"/>
      <c r="Q16" s="2524"/>
      <c r="R16" s="2525"/>
      <c r="S16" s="2525"/>
      <c r="T16" s="2525"/>
      <c r="U16" s="2525"/>
      <c r="W16" s="2523"/>
      <c r="X16" s="2525"/>
      <c r="Y16" s="2525"/>
      <c r="Z16" s="2525"/>
      <c r="AA16" s="2525"/>
    </row>
    <row r="17" spans="4:27" ht="28.5" hidden="1" customHeight="1" x14ac:dyDescent="0.55000000000000004">
      <c r="D17" s="6389"/>
      <c r="E17" s="2524" t="s">
        <v>1500</v>
      </c>
      <c r="F17" s="2525">
        <v>59.483333333333348</v>
      </c>
      <c r="G17" s="2525">
        <v>5.6566666666666663</v>
      </c>
      <c r="H17" s="2525">
        <v>5.4725000000000001</v>
      </c>
      <c r="J17" s="2523"/>
      <c r="K17" s="2524"/>
      <c r="L17" s="2525"/>
      <c r="M17" s="2525"/>
      <c r="N17" s="2525"/>
      <c r="P17" s="2523"/>
      <c r="Q17" s="2524"/>
      <c r="R17" s="2525"/>
      <c r="S17" s="2525"/>
      <c r="T17" s="2525"/>
      <c r="U17" s="2525"/>
      <c r="W17" s="2523"/>
      <c r="X17" s="2525"/>
      <c r="Y17" s="2525"/>
      <c r="Z17" s="2525"/>
      <c r="AA17" s="2525"/>
    </row>
    <row r="18" spans="4:27" ht="28.5" hidden="1" customHeight="1" x14ac:dyDescent="0.55000000000000004">
      <c r="D18" s="6389"/>
      <c r="E18" s="2524" t="s">
        <v>1501</v>
      </c>
      <c r="F18" s="2525">
        <v>60.085000000000001</v>
      </c>
      <c r="G18" s="2525">
        <v>6.68</v>
      </c>
      <c r="H18" s="2525">
        <v>3.2549999999999999</v>
      </c>
      <c r="J18" s="2523"/>
      <c r="K18" s="2524"/>
      <c r="L18" s="2525"/>
      <c r="M18" s="2525"/>
      <c r="N18" s="2525"/>
      <c r="P18" s="2523"/>
      <c r="Q18" s="2524"/>
      <c r="R18" s="2525"/>
      <c r="S18" s="2525"/>
      <c r="T18" s="2525"/>
      <c r="U18" s="2525"/>
      <c r="W18" s="2523"/>
      <c r="X18" s="2525"/>
      <c r="Y18" s="2525"/>
      <c r="Z18" s="2525"/>
      <c r="AA18" s="2525"/>
    </row>
    <row r="19" spans="4:27" ht="28.5" hidden="1" customHeight="1" x14ac:dyDescent="0.55000000000000004">
      <c r="D19" s="6389"/>
      <c r="E19" s="2524" t="s">
        <v>1502</v>
      </c>
      <c r="F19" s="2525">
        <v>61.6405009428032</v>
      </c>
      <c r="G19" s="2525">
        <v>4.9323067253299859</v>
      </c>
      <c r="H19" s="2525">
        <v>2.6575109993714601</v>
      </c>
      <c r="J19" s="2523"/>
      <c r="K19" s="2524"/>
      <c r="L19" s="2525"/>
      <c r="M19" s="2525"/>
      <c r="N19" s="2525"/>
      <c r="P19" s="2523"/>
      <c r="Q19" s="2524"/>
      <c r="R19" s="2525"/>
      <c r="S19" s="2525"/>
      <c r="T19" s="2525"/>
      <c r="U19" s="2525"/>
      <c r="W19" s="2523"/>
      <c r="X19" s="2525"/>
      <c r="Y19" s="2525"/>
      <c r="Z19" s="2525"/>
      <c r="AA19" s="2525"/>
    </row>
    <row r="20" spans="4:27" ht="27.75" customHeight="1" x14ac:dyDescent="0.45">
      <c r="D20" s="6390"/>
      <c r="E20" s="2524" t="s">
        <v>1503</v>
      </c>
      <c r="F20" s="2525">
        <v>61.65299988764054</v>
      </c>
      <c r="G20" s="2525">
        <v>4.8020112359550522</v>
      </c>
      <c r="H20" s="2525">
        <v>2.6520674157303348</v>
      </c>
      <c r="J20" s="2523" t="s">
        <v>1497</v>
      </c>
      <c r="K20" s="2524" t="s">
        <v>1503</v>
      </c>
      <c r="L20" s="2525">
        <v>62.937881390593041</v>
      </c>
      <c r="M20" s="2525">
        <v>3.5104498977505156</v>
      </c>
      <c r="N20" s="2525">
        <v>1.8599591002044982</v>
      </c>
      <c r="P20" s="2523" t="s">
        <v>1497</v>
      </c>
      <c r="Q20" s="2524" t="s">
        <v>1503</v>
      </c>
      <c r="R20" s="2525">
        <v>53.472138936884413</v>
      </c>
      <c r="S20" s="2525">
        <v>6.2968578269727109</v>
      </c>
      <c r="T20" s="2525">
        <v>2.6378704610110186</v>
      </c>
      <c r="U20" s="2525">
        <v>1.8678503639381072</v>
      </c>
      <c r="W20" s="2523" t="s">
        <v>1497</v>
      </c>
      <c r="X20" s="2525">
        <v>63.880192825112047</v>
      </c>
      <c r="Y20" s="2525">
        <v>3.9038116591928254</v>
      </c>
      <c r="Z20" s="2525">
        <v>3.4786995515695067</v>
      </c>
      <c r="AA20" s="2525">
        <v>0.20896141721670083</v>
      </c>
    </row>
    <row r="21" spans="4:27" ht="26.25" hidden="1" customHeight="1" x14ac:dyDescent="0.55000000000000004">
      <c r="D21" s="2523" t="s">
        <v>1504</v>
      </c>
      <c r="E21" s="2524"/>
      <c r="F21" s="2525">
        <v>61.5</v>
      </c>
      <c r="G21" s="2525">
        <v>4.2</v>
      </c>
      <c r="H21" s="2525">
        <v>2.5</v>
      </c>
      <c r="J21" s="2523" t="s">
        <v>1504</v>
      </c>
      <c r="K21" s="2524"/>
      <c r="L21" s="2525">
        <v>62.8</v>
      </c>
      <c r="M21" s="2525">
        <v>3.5</v>
      </c>
      <c r="N21" s="2525">
        <v>1.9</v>
      </c>
      <c r="P21" s="2523" t="s">
        <v>1504</v>
      </c>
      <c r="Q21" s="2524"/>
      <c r="R21" s="2525">
        <v>53.37822824219618</v>
      </c>
      <c r="S21" s="2525">
        <v>5.9162847311280826</v>
      </c>
      <c r="T21" s="2525">
        <v>3.1141975851535659</v>
      </c>
      <c r="U21" s="2525">
        <v>1.8680849713778922</v>
      </c>
      <c r="W21" s="2523" t="s">
        <v>1504</v>
      </c>
      <c r="X21" s="2525">
        <v>53.37822824219618</v>
      </c>
      <c r="Y21" s="2525">
        <v>5.9162847311280826</v>
      </c>
      <c r="Z21" s="2525">
        <v>3.1141975851535659</v>
      </c>
      <c r="AA21" s="2525">
        <v>1.8680849713778922</v>
      </c>
    </row>
    <row r="22" spans="4:27" ht="29.25" customHeight="1" x14ac:dyDescent="0.55000000000000004">
      <c r="D22" s="2523" t="s">
        <v>1758</v>
      </c>
      <c r="E22" s="2524"/>
      <c r="F22" s="2525">
        <v>61.37</v>
      </c>
      <c r="G22" s="2525">
        <v>4.9800000000000004</v>
      </c>
      <c r="H22" s="2525">
        <v>2.65</v>
      </c>
      <c r="J22" s="2523" t="s">
        <v>1758</v>
      </c>
      <c r="K22" s="2524"/>
      <c r="L22" s="2525">
        <v>62.5</v>
      </c>
      <c r="M22" s="2525">
        <v>3.95</v>
      </c>
      <c r="N22" s="2525">
        <v>2.0299999999999998</v>
      </c>
      <c r="P22" s="2523" t="s">
        <v>1758</v>
      </c>
      <c r="Q22" s="2524"/>
      <c r="R22" s="2525">
        <v>53.37822824219618</v>
      </c>
      <c r="S22" s="2525">
        <v>5.9162847311280826</v>
      </c>
      <c r="T22" s="2525">
        <v>3.1141975851535659</v>
      </c>
      <c r="U22" s="2525">
        <v>1.8680849713778922</v>
      </c>
      <c r="W22" s="2523" t="s">
        <v>1758</v>
      </c>
      <c r="X22" s="2525"/>
      <c r="Y22" s="2525"/>
      <c r="Z22" s="2525"/>
      <c r="AA22" s="2525"/>
    </row>
    <row r="23" spans="4:27" ht="114" hidden="1" customHeight="1" x14ac:dyDescent="0.55000000000000004">
      <c r="D23" s="2526" t="s">
        <v>1686</v>
      </c>
      <c r="E23" s="2527"/>
      <c r="F23" s="2528">
        <v>60.83</v>
      </c>
      <c r="G23" s="2528">
        <v>4.82</v>
      </c>
      <c r="H23" s="2528">
        <v>3.32</v>
      </c>
      <c r="J23" s="2526" t="s">
        <v>1686</v>
      </c>
      <c r="K23" s="2527"/>
      <c r="L23" s="2528">
        <v>62.45</v>
      </c>
      <c r="M23" s="2528">
        <v>2.85</v>
      </c>
      <c r="N23" s="2528">
        <v>2.29</v>
      </c>
      <c r="P23" s="2526" t="s">
        <v>1686</v>
      </c>
      <c r="Q23" s="2527"/>
      <c r="R23" s="2528">
        <v>53.16</v>
      </c>
      <c r="S23" s="2528">
        <v>6.19</v>
      </c>
      <c r="T23" s="2528">
        <v>3.12</v>
      </c>
      <c r="U23" s="2528">
        <v>1.87</v>
      </c>
      <c r="W23" s="2526" t="s">
        <v>1686</v>
      </c>
      <c r="X23" s="2528">
        <v>53.16</v>
      </c>
      <c r="Y23" s="2528">
        <v>6.19</v>
      </c>
      <c r="Z23" s="2528">
        <v>3.12</v>
      </c>
      <c r="AA23" s="2528">
        <v>1.87</v>
      </c>
    </row>
    <row r="24" spans="4:27" ht="114" hidden="1" customHeight="1" x14ac:dyDescent="0.55000000000000004">
      <c r="D24" s="2526" t="s">
        <v>1678</v>
      </c>
      <c r="E24" s="2527"/>
      <c r="F24" s="2528">
        <v>61.312799999999982</v>
      </c>
      <c r="G24" s="2528">
        <v>3.6630000000000003</v>
      </c>
      <c r="H24" s="2528">
        <v>2.8299999999999987</v>
      </c>
      <c r="J24" s="2526" t="s">
        <v>1678</v>
      </c>
      <c r="K24" s="2527"/>
      <c r="L24" s="2528">
        <v>62.771507246376814</v>
      </c>
      <c r="M24" s="2528">
        <v>2.4013043478260871</v>
      </c>
      <c r="N24" s="2528">
        <v>1.6024637681159422</v>
      </c>
      <c r="P24" s="2526" t="s">
        <v>1678</v>
      </c>
      <c r="Q24" s="2527"/>
      <c r="R24" s="2528">
        <v>52.19</v>
      </c>
      <c r="S24" s="2528">
        <v>6.36</v>
      </c>
      <c r="T24" s="2528">
        <v>3.15</v>
      </c>
      <c r="U24" s="2528">
        <v>1.85</v>
      </c>
      <c r="W24" s="2526" t="s">
        <v>1678</v>
      </c>
      <c r="X24" s="2528">
        <v>52.19</v>
      </c>
      <c r="Y24" s="2528">
        <v>6.36</v>
      </c>
      <c r="Z24" s="2528">
        <v>3.15</v>
      </c>
      <c r="AA24" s="2528">
        <v>1.85</v>
      </c>
    </row>
    <row r="25" spans="4:27" ht="114" hidden="1" customHeight="1" x14ac:dyDescent="0.55000000000000004">
      <c r="D25" s="2526" t="s">
        <v>1680</v>
      </c>
      <c r="E25" s="2527"/>
      <c r="F25" s="2528">
        <v>61.834753424657535</v>
      </c>
      <c r="G25" s="2528">
        <v>3.0872602739726025</v>
      </c>
      <c r="H25" s="2528">
        <v>2.512876712328767</v>
      </c>
      <c r="J25" s="2526" t="s">
        <v>1680</v>
      </c>
      <c r="K25" s="2527"/>
      <c r="L25" s="2528">
        <v>62.529117647058818</v>
      </c>
      <c r="M25" s="2528">
        <v>2.3072549019607846</v>
      </c>
      <c r="N25" s="2528">
        <v>1.975490196078431</v>
      </c>
      <c r="P25" s="2526" t="s">
        <v>1680</v>
      </c>
      <c r="Q25" s="2527"/>
      <c r="R25" s="2528">
        <v>55.08</v>
      </c>
      <c r="S25" s="2528">
        <v>5.1260000000000003</v>
      </c>
      <c r="T25" s="2528">
        <v>2.67</v>
      </c>
      <c r="U25" s="2528">
        <v>1.87</v>
      </c>
      <c r="W25" s="2526" t="s">
        <v>1680</v>
      </c>
      <c r="X25" s="2528">
        <v>55.08</v>
      </c>
      <c r="Y25" s="2528">
        <v>5.1260000000000003</v>
      </c>
      <c r="Z25" s="2528">
        <v>2.67</v>
      </c>
      <c r="AA25" s="2528">
        <v>1.87</v>
      </c>
    </row>
    <row r="26" spans="4:27" ht="114" hidden="1" customHeight="1" x14ac:dyDescent="0.55000000000000004">
      <c r="D26" s="2526" t="s">
        <v>1679</v>
      </c>
      <c r="E26" s="2527"/>
      <c r="F26" s="2528">
        <v>61.09731868131869</v>
      </c>
      <c r="G26" s="2528">
        <v>4.4797802197802179</v>
      </c>
      <c r="H26" s="2528">
        <v>2.3717582417582417</v>
      </c>
      <c r="I26" s="2620">
        <v>61.09731868131869</v>
      </c>
      <c r="J26" s="2526" t="s">
        <v>1679</v>
      </c>
      <c r="K26" s="2527"/>
      <c r="L26" s="2528">
        <v>62.505999999999993</v>
      </c>
      <c r="M26" s="2528">
        <v>2.7073170731707319</v>
      </c>
      <c r="N26" s="2528">
        <v>1.6843902439024394</v>
      </c>
      <c r="P26" s="2526" t="s">
        <v>1679</v>
      </c>
      <c r="Q26" s="2527"/>
      <c r="R26" s="2528">
        <v>52.78</v>
      </c>
      <c r="S26" s="2528">
        <v>6.24</v>
      </c>
      <c r="T26" s="2528">
        <v>2.65</v>
      </c>
      <c r="U26" s="2528">
        <v>1.86</v>
      </c>
      <c r="W26" s="2526" t="s">
        <v>1679</v>
      </c>
      <c r="X26" s="2528">
        <v>52.78</v>
      </c>
      <c r="Y26" s="2528">
        <v>6.24</v>
      </c>
      <c r="Z26" s="2528">
        <v>2.65</v>
      </c>
      <c r="AA26" s="2528">
        <v>1.86</v>
      </c>
    </row>
    <row r="27" spans="4:27" ht="114" hidden="1" customHeight="1" x14ac:dyDescent="0.55000000000000004">
      <c r="D27" s="2526" t="s">
        <v>1681</v>
      </c>
      <c r="E27" s="2527"/>
      <c r="F27" s="2528">
        <v>60.579487804878084</v>
      </c>
      <c r="G27" s="2528">
        <v>5.0039024390243911</v>
      </c>
      <c r="H27" s="2528">
        <v>2.4721951219512199</v>
      </c>
      <c r="J27" s="2526" t="s">
        <v>1681</v>
      </c>
      <c r="K27" s="2527"/>
      <c r="L27" s="2528">
        <v>62.400642857142863</v>
      </c>
      <c r="M27" s="2528">
        <v>3.3657142857142861</v>
      </c>
      <c r="N27" s="2528">
        <v>1.3010714285714289</v>
      </c>
      <c r="P27" s="2526" t="s">
        <v>1681</v>
      </c>
      <c r="Q27" s="2527"/>
      <c r="R27" s="2528">
        <v>52.52</v>
      </c>
      <c r="S27" s="2528">
        <v>6.63</v>
      </c>
      <c r="T27" s="2528">
        <v>2.58</v>
      </c>
      <c r="U27" s="2528">
        <v>1.81</v>
      </c>
      <c r="W27" s="2526" t="s">
        <v>1681</v>
      </c>
      <c r="X27" s="2528">
        <v>52.52</v>
      </c>
      <c r="Y27" s="2528">
        <v>6.63</v>
      </c>
      <c r="Z27" s="2528">
        <v>2.58</v>
      </c>
      <c r="AA27" s="2528">
        <v>1.81</v>
      </c>
    </row>
    <row r="28" spans="4:27" ht="114" hidden="1" customHeight="1" x14ac:dyDescent="0.55000000000000004">
      <c r="D28" s="2526" t="s">
        <v>1682</v>
      </c>
      <c r="E28" s="2527"/>
      <c r="F28" s="2528">
        <v>61.352785714285709</v>
      </c>
      <c r="G28" s="2528">
        <v>4.1680000000000019</v>
      </c>
      <c r="H28" s="2528">
        <v>2.0210000000000008</v>
      </c>
      <c r="J28" s="2526" t="s">
        <v>1682</v>
      </c>
      <c r="K28" s="2527"/>
      <c r="L28" s="2528">
        <v>62.178060606060612</v>
      </c>
      <c r="M28" s="2528">
        <v>3.3260606060606062</v>
      </c>
      <c r="N28" s="2528">
        <v>1.4766666666666668</v>
      </c>
      <c r="P28" s="2526" t="s">
        <v>1682</v>
      </c>
      <c r="Q28" s="2527"/>
      <c r="R28" s="2528">
        <v>52.6</v>
      </c>
      <c r="S28" s="2528">
        <v>6.63</v>
      </c>
      <c r="T28" s="2528">
        <v>2.42</v>
      </c>
      <c r="U28" s="2528">
        <v>1.75</v>
      </c>
      <c r="W28" s="2526" t="s">
        <v>1682</v>
      </c>
      <c r="X28" s="2528">
        <v>52.6</v>
      </c>
      <c r="Y28" s="2528">
        <v>6.63</v>
      </c>
      <c r="Z28" s="2528">
        <v>2.42</v>
      </c>
      <c r="AA28" s="2528">
        <v>1.75</v>
      </c>
    </row>
    <row r="29" spans="4:27" ht="114" hidden="1" customHeight="1" x14ac:dyDescent="0.55000000000000004">
      <c r="D29" s="2526" t="s">
        <v>1683</v>
      </c>
      <c r="E29" s="2527"/>
      <c r="F29" s="2528">
        <v>60.652396039603971</v>
      </c>
      <c r="G29" s="2528">
        <v>4.925841584158416</v>
      </c>
      <c r="H29" s="2528">
        <v>2.2668316831683168</v>
      </c>
      <c r="J29" s="2526" t="s">
        <v>1683</v>
      </c>
      <c r="K29" s="2527"/>
      <c r="L29" s="2528">
        <v>62.535204545454569</v>
      </c>
      <c r="M29" s="2528">
        <v>2.8165909090909089</v>
      </c>
      <c r="N29" s="2528">
        <v>1.3911363636363632</v>
      </c>
      <c r="P29" s="2526" t="s">
        <v>1683</v>
      </c>
      <c r="Q29" s="2527"/>
      <c r="R29" s="2528">
        <v>53.18</v>
      </c>
      <c r="S29" s="2528">
        <v>6.46</v>
      </c>
      <c r="T29" s="2528">
        <v>2.27</v>
      </c>
      <c r="U29" s="2528">
        <v>1.75</v>
      </c>
      <c r="W29" s="2526" t="s">
        <v>1683</v>
      </c>
      <c r="X29" s="2528">
        <v>53.18</v>
      </c>
      <c r="Y29" s="2528">
        <v>6.46</v>
      </c>
      <c r="Z29" s="2528">
        <v>2.27</v>
      </c>
      <c r="AA29" s="2528">
        <v>1.75</v>
      </c>
    </row>
    <row r="30" spans="4:27" ht="114" hidden="1" customHeight="1" x14ac:dyDescent="0.55000000000000004">
      <c r="D30" s="2526" t="s">
        <v>1684</v>
      </c>
      <c r="E30" s="2527"/>
      <c r="F30" s="2528">
        <v>61.29</v>
      </c>
      <c r="G30" s="2528">
        <v>4.04</v>
      </c>
      <c r="H30" s="2528">
        <v>2.21</v>
      </c>
      <c r="J30" s="2526" t="s">
        <v>1684</v>
      </c>
      <c r="K30" s="2527"/>
      <c r="L30" s="2528">
        <v>62.22</v>
      </c>
      <c r="M30" s="2528">
        <v>3.19</v>
      </c>
      <c r="N30" s="2528">
        <v>1.7</v>
      </c>
      <c r="P30" s="2526" t="s">
        <v>1684</v>
      </c>
      <c r="Q30" s="2527"/>
      <c r="R30" s="2528">
        <v>53.3</v>
      </c>
      <c r="S30" s="2528">
        <v>6.38</v>
      </c>
      <c r="T30" s="2528">
        <v>2.41</v>
      </c>
      <c r="U30" s="2528">
        <v>1.74</v>
      </c>
      <c r="W30" s="2526" t="s">
        <v>1684</v>
      </c>
      <c r="X30" s="2528">
        <v>53.3</v>
      </c>
      <c r="Y30" s="2528">
        <v>6.38</v>
      </c>
      <c r="Z30" s="2528">
        <v>2.41</v>
      </c>
      <c r="AA30" s="2528">
        <v>1.74</v>
      </c>
    </row>
    <row r="31" spans="4:27" ht="114" hidden="1" customHeight="1" x14ac:dyDescent="0.55000000000000004">
      <c r="D31" s="2526" t="s">
        <v>1685</v>
      </c>
      <c r="E31" s="2527"/>
      <c r="F31" s="2528">
        <v>61.497297029702963</v>
      </c>
      <c r="G31" s="2528">
        <v>4.2097029702970303</v>
      </c>
      <c r="H31" s="2528">
        <v>1.8356435643564362</v>
      </c>
      <c r="J31" s="2526" t="s">
        <v>1685</v>
      </c>
      <c r="K31" s="2527"/>
      <c r="L31" s="2528">
        <v>62.373446808510671</v>
      </c>
      <c r="M31" s="2528">
        <v>3.2148936170212763</v>
      </c>
      <c r="N31" s="2528">
        <v>1.4134042553191488</v>
      </c>
      <c r="P31" s="2526" t="s">
        <v>1685</v>
      </c>
      <c r="Q31" s="2527"/>
      <c r="R31" s="2528">
        <v>53.96</v>
      </c>
      <c r="S31" s="2528">
        <v>6.1</v>
      </c>
      <c r="T31" s="2528">
        <v>2.21</v>
      </c>
      <c r="U31" s="2528">
        <v>1.74</v>
      </c>
      <c r="W31" s="2526" t="s">
        <v>1685</v>
      </c>
      <c r="X31" s="2528">
        <v>53.96</v>
      </c>
      <c r="Y31" s="2528">
        <v>6.1</v>
      </c>
      <c r="Z31" s="2528">
        <v>2.21</v>
      </c>
      <c r="AA31" s="2528">
        <v>1.74</v>
      </c>
    </row>
    <row r="32" spans="4:27" ht="114" hidden="1" customHeight="1" x14ac:dyDescent="0.55000000000000004">
      <c r="D32" s="2526" t="s">
        <v>1692</v>
      </c>
      <c r="E32" s="2527"/>
      <c r="F32" s="2528">
        <v>61.49</v>
      </c>
      <c r="G32" s="2528">
        <v>3.8231868131868114</v>
      </c>
      <c r="H32" s="2528">
        <v>2.1123076923076924</v>
      </c>
      <c r="J32" s="2526" t="s">
        <v>1692</v>
      </c>
      <c r="K32" s="2527"/>
      <c r="L32" s="2528">
        <v>62</v>
      </c>
      <c r="M32" s="2528">
        <v>3.22</v>
      </c>
      <c r="N32" s="2528">
        <v>1.89</v>
      </c>
      <c r="P32" s="2526" t="s">
        <v>1692</v>
      </c>
      <c r="Q32" s="2527"/>
      <c r="R32" s="2528">
        <v>53.82</v>
      </c>
      <c r="S32" s="2528">
        <v>6.04</v>
      </c>
      <c r="T32" s="2528">
        <v>2.4</v>
      </c>
      <c r="U32" s="2528">
        <v>1.76</v>
      </c>
      <c r="W32" s="2526" t="s">
        <v>1692</v>
      </c>
      <c r="X32" s="2528">
        <v>53.82</v>
      </c>
      <c r="Y32" s="2528">
        <v>6.04</v>
      </c>
      <c r="Z32" s="2528">
        <v>2.4</v>
      </c>
      <c r="AA32" s="2528">
        <v>1.76</v>
      </c>
    </row>
    <row r="33" spans="4:27" ht="114" hidden="1" customHeight="1" x14ac:dyDescent="0.55000000000000004">
      <c r="D33" s="2529" t="s">
        <v>1705</v>
      </c>
      <c r="E33" s="2530"/>
      <c r="F33" s="2531">
        <v>60.483788732394359</v>
      </c>
      <c r="G33" s="2531">
        <v>4.5140845070422539</v>
      </c>
      <c r="H33" s="2531">
        <v>2.9476056338028171</v>
      </c>
      <c r="J33" s="2529" t="s">
        <v>1705</v>
      </c>
      <c r="K33" s="2530"/>
      <c r="L33" s="2531">
        <v>61.784959183673486</v>
      </c>
      <c r="M33" s="2531">
        <v>3.1918367346938772</v>
      </c>
      <c r="N33" s="2531">
        <v>2.2140816326530612</v>
      </c>
      <c r="P33" s="2529" t="s">
        <v>1705</v>
      </c>
      <c r="Q33" s="2530"/>
      <c r="R33" s="2531">
        <v>53.01</v>
      </c>
      <c r="S33" s="2531">
        <v>6.26</v>
      </c>
      <c r="T33" s="2531">
        <v>2.79</v>
      </c>
      <c r="U33" s="2531">
        <v>1.77</v>
      </c>
      <c r="W33" s="2529" t="s">
        <v>1705</v>
      </c>
      <c r="X33" s="2531">
        <v>53.01</v>
      </c>
      <c r="Y33" s="2531">
        <v>6.26</v>
      </c>
      <c r="Z33" s="2531">
        <v>2.79</v>
      </c>
      <c r="AA33" s="2531">
        <v>1.77</v>
      </c>
    </row>
    <row r="34" spans="4:27" ht="114" hidden="1" customHeight="1" x14ac:dyDescent="0.55000000000000004">
      <c r="D34" s="2638" t="s">
        <v>1718</v>
      </c>
      <c r="E34" s="2639"/>
      <c r="F34" s="2640">
        <v>60.709963855421684</v>
      </c>
      <c r="G34" s="2640">
        <v>4.3401204819277126</v>
      </c>
      <c r="H34" s="2640">
        <v>2.8090361445783141</v>
      </c>
      <c r="J34" s="2638" t="s">
        <v>1718</v>
      </c>
      <c r="K34" s="2639"/>
      <c r="L34" s="2640">
        <v>62.315816326530602</v>
      </c>
      <c r="M34" s="2640">
        <v>2.6636734693877555</v>
      </c>
      <c r="N34" s="2640">
        <v>1.9604081632653059</v>
      </c>
      <c r="P34" s="2638" t="s">
        <v>1718</v>
      </c>
      <c r="Q34" s="2639"/>
      <c r="R34" s="2640">
        <v>51.75</v>
      </c>
      <c r="S34" s="2640">
        <v>6.94</v>
      </c>
      <c r="T34" s="2640">
        <v>3.05</v>
      </c>
      <c r="U34" s="2640">
        <v>1.75</v>
      </c>
      <c r="W34" s="2638" t="s">
        <v>1718</v>
      </c>
      <c r="X34" s="2640">
        <v>51.75</v>
      </c>
      <c r="Y34" s="2640">
        <v>6.94</v>
      </c>
      <c r="Z34" s="2640">
        <v>3.05</v>
      </c>
      <c r="AA34" s="2640">
        <v>1.75</v>
      </c>
    </row>
    <row r="35" spans="4:27" ht="28.9" x14ac:dyDescent="0.55000000000000004">
      <c r="D35" s="2641" t="s">
        <v>1759</v>
      </c>
      <c r="E35" s="2642"/>
      <c r="F35" s="2643">
        <f>+AVERAGE(F23:F34)</f>
        <v>61.094215940188583</v>
      </c>
      <c r="G35" s="2643">
        <f>+AVERAGE(G23:G34)</f>
        <v>4.2562399407824527</v>
      </c>
      <c r="H35" s="2643">
        <f>+AVERAGE(H23:H34)</f>
        <v>2.4757712328543167</v>
      </c>
      <c r="J35" s="2641" t="s">
        <v>1759</v>
      </c>
      <c r="K35" s="2642"/>
      <c r="L35" s="2643">
        <f>+AVERAGE(L23:L34)</f>
        <v>62.338729601734038</v>
      </c>
      <c r="M35" s="2643">
        <f t="shared" ref="M35:N35" si="0">+AVERAGE(M23:M34)</f>
        <v>2.9378871620771925</v>
      </c>
      <c r="N35" s="2643">
        <f t="shared" si="0"/>
        <v>1.7415927265173989</v>
      </c>
      <c r="P35" s="2641" t="s">
        <v>1759</v>
      </c>
      <c r="Q35" s="2642"/>
      <c r="R35" s="2643">
        <f t="shared" ref="R35" si="1">+AVERAGE(R23:R34)</f>
        <v>53.112500000000004</v>
      </c>
      <c r="S35" s="2643">
        <f t="shared" ref="S35" si="2">+AVERAGE(S23:S34)</f>
        <v>6.2796666666666674</v>
      </c>
      <c r="T35" s="2643">
        <f t="shared" ref="T35" si="3">+AVERAGE(T23:T34)</f>
        <v>2.6433333333333331</v>
      </c>
      <c r="U35" s="2643">
        <f t="shared" ref="U35" si="4">+AVERAGE(U23:U34)</f>
        <v>1.7933333333333332</v>
      </c>
      <c r="W35" s="2641" t="s">
        <v>1759</v>
      </c>
      <c r="X35" s="2643">
        <v>63.59238773333329</v>
      </c>
      <c r="Y35" s="2643">
        <v>4.1958666666666664</v>
      </c>
      <c r="Z35" s="2643">
        <v>2.3663466666666677</v>
      </c>
      <c r="AA35" s="2643">
        <v>0.19394146867642459</v>
      </c>
    </row>
    <row r="36" spans="4:27" ht="6.75" customHeight="1" x14ac:dyDescent="0.3">
      <c r="I36" s="1705"/>
      <c r="O36" s="1705"/>
    </row>
    <row r="37" spans="4:27" ht="28.9" x14ac:dyDescent="0.55000000000000004">
      <c r="D37" s="2523" t="s">
        <v>1732</v>
      </c>
      <c r="F37" s="2525">
        <v>61.57</v>
      </c>
      <c r="G37" s="2525">
        <v>4.67</v>
      </c>
      <c r="H37" s="2525">
        <v>2.59</v>
      </c>
      <c r="I37" s="1705"/>
      <c r="J37" s="2523" t="s">
        <v>1732</v>
      </c>
      <c r="L37" s="2525">
        <v>62.47</v>
      </c>
      <c r="M37" s="2525">
        <v>3.84</v>
      </c>
      <c r="N37" s="2525">
        <v>2.13</v>
      </c>
      <c r="O37" s="1705"/>
      <c r="P37" s="2523" t="s">
        <v>1732</v>
      </c>
      <c r="R37" s="2525">
        <f>+SINTER!D106</f>
        <v>55.430739802849317</v>
      </c>
      <c r="S37" s="2525">
        <f>+SINTER!D108</f>
        <v>5.3691091749165931</v>
      </c>
      <c r="T37" s="2525">
        <f>+SINTER!D109</f>
        <v>2.7277716029417967</v>
      </c>
      <c r="U37" s="2525">
        <f>+SINTER!D112</f>
        <v>1.7221171729653546</v>
      </c>
      <c r="W37" s="2523"/>
      <c r="X37" s="2525"/>
      <c r="Y37" s="2525"/>
      <c r="Z37" s="2525"/>
      <c r="AA37" s="2525"/>
    </row>
    <row r="38" spans="4:27" ht="28.9" hidden="1" x14ac:dyDescent="0.55000000000000004">
      <c r="D38" s="2818" t="s">
        <v>1753</v>
      </c>
      <c r="E38" s="2819"/>
      <c r="F38" s="2820">
        <v>61.297225352112704</v>
      </c>
      <c r="G38" s="2820">
        <v>4.1054929577464776</v>
      </c>
      <c r="H38" s="2820">
        <v>2.1745070422535218</v>
      </c>
      <c r="I38" s="1705"/>
      <c r="J38" s="2818" t="s">
        <v>1753</v>
      </c>
      <c r="K38" s="2819"/>
      <c r="L38" s="2820">
        <v>61.974096774193548</v>
      </c>
      <c r="M38" s="2820">
        <v>3.3241935483870959</v>
      </c>
      <c r="N38" s="2820">
        <v>1.9058064516129034</v>
      </c>
      <c r="O38" s="1705"/>
      <c r="P38" s="2818" t="s">
        <v>1753</v>
      </c>
      <c r="Q38" s="2819"/>
      <c r="R38" s="2820">
        <v>53.9</v>
      </c>
      <c r="S38" s="2820">
        <v>6</v>
      </c>
      <c r="T38" s="2820">
        <v>2.5099999999999998</v>
      </c>
      <c r="U38" s="2820">
        <v>1.76</v>
      </c>
      <c r="W38" s="2818" t="s">
        <v>1753</v>
      </c>
      <c r="X38" s="2820">
        <v>63.742094999999999</v>
      </c>
      <c r="Y38" s="2820">
        <v>3.8819999999999997</v>
      </c>
      <c r="Z38" s="2820">
        <v>2.1846666666666668</v>
      </c>
      <c r="AA38" s="2820">
        <v>0.26200318757664653</v>
      </c>
    </row>
    <row r="39" spans="4:27" ht="28.9" hidden="1" x14ac:dyDescent="0.55000000000000004">
      <c r="D39" s="2818" t="s">
        <v>1870</v>
      </c>
      <c r="E39" s="2819"/>
      <c r="F39" s="2820">
        <v>60.624448275862093</v>
      </c>
      <c r="G39" s="2820">
        <v>4.3388505747126436</v>
      </c>
      <c r="H39" s="2820">
        <v>3.0133333333333336</v>
      </c>
      <c r="I39" s="1705"/>
      <c r="J39" s="2818" t="s">
        <v>1870</v>
      </c>
      <c r="K39" s="2819"/>
      <c r="L39" s="2820">
        <v>62.292258620689672</v>
      </c>
      <c r="M39" s="2820">
        <v>2.7684482758620699</v>
      </c>
      <c r="N39" s="2820">
        <v>1.9418965517241378</v>
      </c>
      <c r="O39" s="1705"/>
      <c r="P39" s="2818" t="s">
        <v>1870</v>
      </c>
      <c r="Q39" s="2819"/>
      <c r="R39" s="2820">
        <v>54.71</v>
      </c>
      <c r="S39" s="2820">
        <v>5.6</v>
      </c>
      <c r="T39" s="2820">
        <v>2.5299999999999998</v>
      </c>
      <c r="U39" s="2820">
        <v>1.76</v>
      </c>
      <c r="W39" s="2818" t="s">
        <v>1870</v>
      </c>
      <c r="X39" s="2820">
        <v>63.722999999999999</v>
      </c>
      <c r="Y39" s="2820">
        <v>3.8580000000000005</v>
      </c>
      <c r="Z39" s="2820">
        <v>2.2210000000000001</v>
      </c>
      <c r="AA39" s="2820">
        <v>0.24424809766926642</v>
      </c>
    </row>
    <row r="40" spans="4:27" ht="28.9" hidden="1" x14ac:dyDescent="0.55000000000000004">
      <c r="D40" s="2818" t="s">
        <v>1905</v>
      </c>
      <c r="E40" s="2819"/>
      <c r="F40" s="2820">
        <v>61.508841269841277</v>
      </c>
      <c r="G40" s="2820">
        <v>3.5650793650793644</v>
      </c>
      <c r="H40" s="2820">
        <v>2.4058730158730164</v>
      </c>
      <c r="I40" s="1705"/>
      <c r="J40" s="2818" t="s">
        <v>1905</v>
      </c>
      <c r="K40" s="2819"/>
      <c r="L40" s="2820">
        <v>62.426810810810807</v>
      </c>
      <c r="M40" s="2820">
        <v>2.7586486486486481</v>
      </c>
      <c r="N40" s="2820">
        <v>1.7997297297297299</v>
      </c>
      <c r="O40" s="1705"/>
      <c r="P40" s="2818" t="s">
        <v>1905</v>
      </c>
      <c r="Q40" s="2819"/>
      <c r="R40" s="2820">
        <v>55.77</v>
      </c>
      <c r="S40" s="2820">
        <v>5.04</v>
      </c>
      <c r="T40" s="2820">
        <v>2.65</v>
      </c>
      <c r="U40" s="2820">
        <v>1.79</v>
      </c>
      <c r="W40" s="2818" t="s">
        <v>1905</v>
      </c>
      <c r="X40" s="2820">
        <v>63.663076923076922</v>
      </c>
      <c r="Y40" s="2820">
        <v>3.79</v>
      </c>
      <c r="Z40" s="2820">
        <v>2.4600000000000004</v>
      </c>
      <c r="AA40" s="2820">
        <v>0.25097425509297505</v>
      </c>
    </row>
    <row r="41" spans="4:27" ht="28.9" hidden="1" x14ac:dyDescent="0.55000000000000004">
      <c r="D41" s="2818" t="s">
        <v>1923</v>
      </c>
      <c r="E41" s="2819"/>
      <c r="F41" s="2820">
        <v>61.76</v>
      </c>
      <c r="G41" s="2820">
        <v>3.52</v>
      </c>
      <c r="H41" s="2820">
        <v>2.09</v>
      </c>
      <c r="I41" s="1705"/>
      <c r="J41" s="2818" t="s">
        <v>1923</v>
      </c>
      <c r="K41" s="2819"/>
      <c r="L41" s="2820">
        <v>62.4</v>
      </c>
      <c r="M41" s="2820">
        <v>2.99</v>
      </c>
      <c r="N41" s="2820">
        <v>1.62</v>
      </c>
      <c r="O41" s="1705"/>
      <c r="P41" s="2818" t="s">
        <v>1923</v>
      </c>
      <c r="Q41" s="2819"/>
      <c r="R41" s="2820">
        <v>55.7</v>
      </c>
      <c r="S41" s="2820">
        <v>5.23</v>
      </c>
      <c r="T41" s="2820">
        <v>2.71</v>
      </c>
      <c r="U41" s="2820">
        <v>1.79</v>
      </c>
      <c r="W41" s="2818" t="s">
        <v>1923</v>
      </c>
      <c r="X41" s="2820">
        <v>63.581379310344822</v>
      </c>
      <c r="Y41" s="2820">
        <v>3.9189655172413791</v>
      </c>
      <c r="Z41" s="2820">
        <v>2.4296551724137938</v>
      </c>
      <c r="AA41" s="2820">
        <v>0.23173078734818464</v>
      </c>
    </row>
    <row r="42" spans="4:27" ht="28.9" hidden="1" x14ac:dyDescent="0.55000000000000004">
      <c r="D42" s="2818" t="s">
        <v>1941</v>
      </c>
      <c r="E42" s="2819"/>
      <c r="F42" s="2820">
        <v>61.220569444444465</v>
      </c>
      <c r="G42" s="2820">
        <v>4.3161111111111099</v>
      </c>
      <c r="H42" s="2820">
        <v>2.3977777777777782</v>
      </c>
      <c r="I42" s="1705"/>
      <c r="J42" s="2818" t="s">
        <v>1941</v>
      </c>
      <c r="K42" s="2819"/>
      <c r="L42" s="2820">
        <v>62.312097560975616</v>
      </c>
      <c r="M42" s="2820">
        <v>3.2736585365853652</v>
      </c>
      <c r="N42" s="2820">
        <v>1.6480487804878043</v>
      </c>
      <c r="O42" s="1705"/>
      <c r="P42" s="2818" t="s">
        <v>1941</v>
      </c>
      <c r="Q42" s="2819"/>
      <c r="R42" s="2820">
        <v>55.53</v>
      </c>
      <c r="S42" s="2820">
        <v>5.43</v>
      </c>
      <c r="T42" s="2820">
        <v>2.5</v>
      </c>
      <c r="U42" s="2820">
        <v>1.76</v>
      </c>
      <c r="W42" s="2818" t="s">
        <v>1941</v>
      </c>
      <c r="X42" s="2820">
        <v>63.542749999999984</v>
      </c>
      <c r="Y42" s="2820">
        <v>4.3265000000000002</v>
      </c>
      <c r="Z42" s="2820">
        <v>2.011166666666667</v>
      </c>
      <c r="AA42" s="2820">
        <v>0.20099980381637836</v>
      </c>
    </row>
    <row r="43" spans="4:27" ht="28.9" hidden="1" x14ac:dyDescent="0.55000000000000004">
      <c r="D43" s="2818" t="s">
        <v>1952</v>
      </c>
      <c r="E43" s="2819"/>
      <c r="F43" s="2820">
        <v>60.76</v>
      </c>
      <c r="G43" s="2820">
        <v>4.8</v>
      </c>
      <c r="H43" s="2820">
        <v>2.64</v>
      </c>
      <c r="I43" s="1705"/>
      <c r="J43" s="2818" t="s">
        <v>1952</v>
      </c>
      <c r="K43" s="2819"/>
      <c r="L43" s="2820">
        <v>62.21</v>
      </c>
      <c r="M43" s="2820">
        <v>3.43</v>
      </c>
      <c r="N43" s="2820">
        <v>1.65</v>
      </c>
      <c r="O43" s="1705"/>
      <c r="P43" s="2818" t="s">
        <v>1952</v>
      </c>
      <c r="Q43" s="2819"/>
      <c r="R43" s="2820">
        <v>55.61</v>
      </c>
      <c r="S43" s="2820">
        <v>5.49</v>
      </c>
      <c r="T43" s="2820">
        <v>2.5299999999999998</v>
      </c>
      <c r="U43" s="2820">
        <v>1.76</v>
      </c>
      <c r="W43" s="2818" t="s">
        <v>1952</v>
      </c>
      <c r="X43" s="2820">
        <v>63.683207547169815</v>
      </c>
      <c r="Y43" s="2820">
        <v>4.268301886792452</v>
      </c>
      <c r="Z43" s="2820">
        <v>1.9194339622641508</v>
      </c>
      <c r="AA43" s="2820">
        <v>0.22300139315036285</v>
      </c>
    </row>
    <row r="44" spans="4:27" ht="28.9" hidden="1" x14ac:dyDescent="0.55000000000000004">
      <c r="D44" s="2818" t="s">
        <v>1969</v>
      </c>
      <c r="E44" s="2819"/>
      <c r="F44" s="2820">
        <v>60.77</v>
      </c>
      <c r="G44" s="2820">
        <v>5.14</v>
      </c>
      <c r="H44" s="2820">
        <v>2.27</v>
      </c>
      <c r="I44" s="1705"/>
      <c r="J44" s="2818" t="s">
        <v>1969</v>
      </c>
      <c r="K44" s="2819"/>
      <c r="L44" s="2820">
        <v>61.98</v>
      </c>
      <c r="M44" s="2820">
        <v>4.04</v>
      </c>
      <c r="N44" s="2820">
        <v>1.47</v>
      </c>
      <c r="O44" s="1705"/>
      <c r="P44" s="2818" t="s">
        <v>1969</v>
      </c>
      <c r="Q44" s="2819"/>
      <c r="R44" s="2820">
        <v>55.38</v>
      </c>
      <c r="S44" s="2820">
        <v>5.92</v>
      </c>
      <c r="T44" s="2820">
        <v>2.21</v>
      </c>
      <c r="U44" s="2820">
        <v>1.71</v>
      </c>
      <c r="W44" s="2818" t="s">
        <v>1969</v>
      </c>
      <c r="X44" s="2820">
        <v>63.17813559322034</v>
      </c>
      <c r="Y44" s="2820">
        <v>4.8271186440677969</v>
      </c>
      <c r="Z44" s="2820">
        <v>2.095084745762712</v>
      </c>
      <c r="AA44" s="2820">
        <v>0.2069234884341811</v>
      </c>
    </row>
    <row r="45" spans="4:27" ht="28.9" hidden="1" x14ac:dyDescent="0.55000000000000004">
      <c r="D45" s="4425" t="s">
        <v>1971</v>
      </c>
      <c r="E45" s="4426"/>
      <c r="F45" s="4427">
        <v>60.28</v>
      </c>
      <c r="G45" s="4427">
        <v>5.9</v>
      </c>
      <c r="H45" s="4427">
        <v>2.3199999999999998</v>
      </c>
      <c r="I45" s="1705"/>
      <c r="J45" s="4425" t="s">
        <v>1971</v>
      </c>
      <c r="K45" s="4426"/>
      <c r="L45" s="4427">
        <v>63.36</v>
      </c>
      <c r="M45" s="4427">
        <v>1.94</v>
      </c>
      <c r="N45" s="4427">
        <v>1.1599999999999999</v>
      </c>
      <c r="O45" s="1705"/>
      <c r="P45" s="4425" t="s">
        <v>1971</v>
      </c>
      <c r="Q45" s="4426"/>
      <c r="R45" s="4427">
        <v>55.14</v>
      </c>
      <c r="S45" s="4427">
        <v>6.21</v>
      </c>
      <c r="T45" s="4427">
        <v>1.86</v>
      </c>
      <c r="U45" s="4427">
        <v>1.65</v>
      </c>
      <c r="W45" s="4425" t="s">
        <v>1971</v>
      </c>
      <c r="X45" s="4427">
        <v>63.24</v>
      </c>
      <c r="Y45" s="4427">
        <v>4.7233333333333336</v>
      </c>
      <c r="Z45" s="4427">
        <v>1.9799999999999998</v>
      </c>
      <c r="AA45" s="4427">
        <v>0.21128274280341786</v>
      </c>
    </row>
    <row r="46" spans="4:27" ht="28.9" hidden="1" x14ac:dyDescent="0.55000000000000004">
      <c r="D46" s="4425" t="s">
        <v>2002</v>
      </c>
      <c r="E46" s="4426"/>
      <c r="F46" s="4427">
        <v>60.800194029850751</v>
      </c>
      <c r="G46" s="4427">
        <v>5.4104477611940291</v>
      </c>
      <c r="H46" s="4427">
        <v>2.5916417910447751</v>
      </c>
      <c r="I46" s="1705"/>
      <c r="J46" s="4425" t="s">
        <v>2002</v>
      </c>
      <c r="K46" s="4426"/>
      <c r="L46" s="4427">
        <v>62.609470588235297</v>
      </c>
      <c r="M46" s="4427">
        <v>3.2664705882352947</v>
      </c>
      <c r="N46" s="4427">
        <v>1.8623529411764705</v>
      </c>
      <c r="O46" s="1705"/>
      <c r="P46" s="4425" t="s">
        <v>2002</v>
      </c>
      <c r="Q46" s="4426"/>
      <c r="R46" s="4427">
        <v>55.163473084886107</v>
      </c>
      <c r="S46" s="4427">
        <v>6.0949327122153214</v>
      </c>
      <c r="T46" s="4427">
        <v>2.0597308488612844</v>
      </c>
      <c r="U46" s="4427">
        <v>1.6836904761904761</v>
      </c>
      <c r="W46" s="4425" t="s">
        <v>2002</v>
      </c>
      <c r="X46" s="4427">
        <v>63.52533333333335</v>
      </c>
      <c r="Y46" s="4427">
        <v>4.3021666666666674</v>
      </c>
      <c r="Z46" s="4427">
        <v>2.052</v>
      </c>
      <c r="AA46" s="4427">
        <v>0.23174986094325872</v>
      </c>
    </row>
    <row r="47" spans="4:27" ht="28.9" hidden="1" x14ac:dyDescent="0.55000000000000004">
      <c r="D47" s="4737" t="s">
        <v>2094</v>
      </c>
      <c r="E47" s="4738"/>
      <c r="F47" s="4739">
        <v>61.573957142857161</v>
      </c>
      <c r="G47" s="4739">
        <v>4.7048571428571444</v>
      </c>
      <c r="H47" s="4739">
        <v>2.452285714285714</v>
      </c>
      <c r="I47" s="1705"/>
      <c r="J47" s="4737" t="s">
        <v>2094</v>
      </c>
      <c r="K47" s="4738"/>
      <c r="L47" s="4739">
        <v>62.925323529411756</v>
      </c>
      <c r="M47" s="4739">
        <v>3.1526470588235291</v>
      </c>
      <c r="N47" s="4739">
        <v>1.9364705882352942</v>
      </c>
      <c r="O47" s="1705"/>
      <c r="P47" s="4737" t="s">
        <v>2094</v>
      </c>
      <c r="Q47" s="4738"/>
      <c r="R47" s="4739">
        <v>55.2</v>
      </c>
      <c r="S47" s="4739">
        <v>6.21</v>
      </c>
      <c r="T47" s="4739">
        <v>2.08</v>
      </c>
      <c r="U47" s="4739">
        <v>1.67</v>
      </c>
      <c r="W47" s="4737" t="s">
        <v>2094</v>
      </c>
      <c r="X47" s="4739">
        <v>63.535666666666678</v>
      </c>
      <c r="Y47" s="4739">
        <v>4.4913333333333316</v>
      </c>
      <c r="Z47" s="4739">
        <v>1.9189999999999994</v>
      </c>
      <c r="AA47" s="4739">
        <v>0.23026334028515716</v>
      </c>
    </row>
    <row r="48" spans="4:27" ht="28.9" hidden="1" x14ac:dyDescent="0.55000000000000004">
      <c r="D48" s="4766" t="s">
        <v>2102</v>
      </c>
      <c r="E48" s="4767"/>
      <c r="F48" s="4768">
        <v>61.4</v>
      </c>
      <c r="G48" s="4768">
        <v>4.8082857142857129</v>
      </c>
      <c r="H48" s="4768">
        <v>2.6940000000000004</v>
      </c>
      <c r="I48" s="1705"/>
      <c r="J48" s="4766" t="s">
        <v>2102</v>
      </c>
      <c r="K48" s="4767"/>
      <c r="L48" s="4768">
        <v>62.508307692307682</v>
      </c>
      <c r="M48" s="4768">
        <v>3.5346153846153849</v>
      </c>
      <c r="N48" s="4768">
        <v>2.2957692307692303</v>
      </c>
      <c r="O48" s="1705"/>
      <c r="P48" s="4766" t="s">
        <v>2102</v>
      </c>
      <c r="Q48" s="4767"/>
      <c r="R48" s="4768">
        <v>56.4</v>
      </c>
      <c r="S48" s="4768">
        <v>5.55</v>
      </c>
      <c r="T48" s="4768">
        <v>2.15</v>
      </c>
      <c r="U48" s="4768">
        <v>1.68</v>
      </c>
      <c r="W48" s="4766" t="s">
        <v>2102</v>
      </c>
      <c r="X48" s="4768">
        <v>63.485769230769215</v>
      </c>
      <c r="Y48" s="4768">
        <v>4.4263461538461533</v>
      </c>
      <c r="Z48" s="4768">
        <v>2.1021153846153844</v>
      </c>
      <c r="AA48" s="4768">
        <v>0.22496538083195233</v>
      </c>
    </row>
    <row r="49" spans="4:27" ht="28.9" hidden="1" x14ac:dyDescent="0.55000000000000004">
      <c r="D49" s="4902" t="s">
        <v>2124</v>
      </c>
      <c r="E49" s="4903"/>
      <c r="F49" s="4904">
        <v>61.197309278350545</v>
      </c>
      <c r="G49" s="4904">
        <v>4.8077319587628855</v>
      </c>
      <c r="H49" s="4904">
        <v>3.0503092783505159</v>
      </c>
      <c r="I49" s="1705"/>
      <c r="J49" s="4902" t="s">
        <v>2124</v>
      </c>
      <c r="K49" s="4903"/>
      <c r="L49" s="4904">
        <v>62.936629032258054</v>
      </c>
      <c r="M49" s="4904">
        <v>3.0269354838709677</v>
      </c>
      <c r="N49" s="4904">
        <v>2.02</v>
      </c>
      <c r="O49" s="1705"/>
      <c r="P49" s="4902" t="s">
        <v>2124</v>
      </c>
      <c r="Q49" s="4903"/>
      <c r="R49" s="4904">
        <v>55.72</v>
      </c>
      <c r="S49" s="4904">
        <v>5.85</v>
      </c>
      <c r="T49" s="4904">
        <v>2.48</v>
      </c>
      <c r="U49" s="4904">
        <v>1.66</v>
      </c>
      <c r="W49" s="4902" t="s">
        <v>2124</v>
      </c>
      <c r="X49" s="4904">
        <v>63.674318181818172</v>
      </c>
      <c r="Y49" s="4904">
        <v>4.153863636363635</v>
      </c>
      <c r="Z49" s="4904">
        <v>2.2145454545454539</v>
      </c>
      <c r="AA49" s="4904">
        <v>0.23569111501689316</v>
      </c>
    </row>
    <row r="50" spans="4:27" ht="28.9" x14ac:dyDescent="0.55000000000000004">
      <c r="D50" s="2641" t="s">
        <v>2233</v>
      </c>
      <c r="E50" s="2642"/>
      <c r="F50" s="2643">
        <f>AVERAGE(F38:F49)</f>
        <v>61.099378732776579</v>
      </c>
      <c r="G50" s="2643">
        <f t="shared" ref="G50:H50" si="5">AVERAGE(G38:G49)</f>
        <v>4.6180713821457813</v>
      </c>
      <c r="H50" s="2643">
        <f t="shared" si="5"/>
        <v>2.5083106627432215</v>
      </c>
      <c r="J50" s="2641" t="s">
        <v>2233</v>
      </c>
      <c r="K50" s="2642"/>
      <c r="L50" s="2643">
        <f>AVERAGE(L38:L49)</f>
        <v>62.49458288407353</v>
      </c>
      <c r="M50" s="2643">
        <f t="shared" ref="M50:N50" si="6">AVERAGE(M38:M49)</f>
        <v>3.1254681270856959</v>
      </c>
      <c r="N50" s="2643">
        <f t="shared" si="6"/>
        <v>1.7758395228112978</v>
      </c>
      <c r="P50" s="2641" t="s">
        <v>2233</v>
      </c>
      <c r="Q50" s="2642"/>
      <c r="R50" s="2643">
        <v>55.364096471484046</v>
      </c>
      <c r="S50" s="2643">
        <v>5.691699348023473</v>
      </c>
      <c r="T50" s="2643">
        <v>2.3946434167015349</v>
      </c>
      <c r="U50" s="2643">
        <v>1.7271057079087773</v>
      </c>
      <c r="W50" s="2641" t="s">
        <v>2233</v>
      </c>
      <c r="X50" s="2643">
        <v>63.552863669724786</v>
      </c>
      <c r="Y50" s="2643">
        <v>4.261779816513755</v>
      </c>
      <c r="Z50" s="2643">
        <v>2.1195045871559608</v>
      </c>
      <c r="AA50" s="2643">
        <v>0.22869575335704986</v>
      </c>
    </row>
    <row r="51" spans="4:27" ht="10.5" customHeight="1" x14ac:dyDescent="0.3">
      <c r="I51" s="1705"/>
      <c r="O51" s="1705"/>
    </row>
    <row r="52" spans="4:27" ht="28.9" x14ac:dyDescent="0.55000000000000004">
      <c r="D52" s="2523" t="s">
        <v>2193</v>
      </c>
      <c r="F52" s="2525">
        <v>61.06</v>
      </c>
      <c r="G52" s="2525">
        <v>4.62</v>
      </c>
      <c r="H52" s="2525">
        <v>2.98</v>
      </c>
      <c r="I52" s="1705"/>
      <c r="J52" s="2523" t="s">
        <v>2193</v>
      </c>
      <c r="L52" s="2525">
        <v>62.47</v>
      </c>
      <c r="M52" s="2525">
        <v>3.84</v>
      </c>
      <c r="N52" s="2525">
        <v>2.13</v>
      </c>
      <c r="O52" s="1705"/>
      <c r="P52" s="2523" t="s">
        <v>2193</v>
      </c>
      <c r="R52" s="2525">
        <v>55.430739802849317</v>
      </c>
      <c r="S52" s="2525">
        <v>5.3691091749165931</v>
      </c>
      <c r="T52" s="2525">
        <v>2.7277716029417967</v>
      </c>
      <c r="U52" s="2525">
        <v>1.7221171729653546</v>
      </c>
      <c r="W52" s="2523"/>
      <c r="X52" s="2525"/>
      <c r="Y52" s="2525"/>
      <c r="Z52" s="2525"/>
      <c r="AA52" s="2525"/>
    </row>
    <row r="53" spans="4:27" ht="28.9" x14ac:dyDescent="0.55000000000000004">
      <c r="D53" s="2818" t="s">
        <v>2232</v>
      </c>
      <c r="E53" s="2819"/>
      <c r="F53" s="2820">
        <v>61.33</v>
      </c>
      <c r="G53" s="2820">
        <v>4.9000000000000004</v>
      </c>
      <c r="H53" s="2820">
        <v>2.75</v>
      </c>
      <c r="I53" s="1705"/>
      <c r="J53" s="2818" t="s">
        <v>2232</v>
      </c>
      <c r="K53" s="2819"/>
      <c r="L53" s="2820">
        <v>62.97</v>
      </c>
      <c r="M53" s="2820">
        <v>3.26</v>
      </c>
      <c r="N53" s="2820">
        <v>1.76</v>
      </c>
      <c r="O53" s="1705"/>
      <c r="P53" s="2818" t="s">
        <v>2232</v>
      </c>
      <c r="Q53" s="2819"/>
      <c r="R53" s="2820">
        <v>57.06</v>
      </c>
      <c r="S53" s="2820">
        <v>5.18</v>
      </c>
      <c r="T53" s="2820">
        <v>2.21</v>
      </c>
      <c r="U53" s="2820">
        <v>1.67</v>
      </c>
      <c r="W53" s="2818" t="s">
        <v>2232</v>
      </c>
      <c r="X53" s="2820"/>
      <c r="Y53" s="2820"/>
      <c r="Z53" s="2820"/>
      <c r="AA53" s="2820"/>
    </row>
    <row r="54" spans="4:27" ht="28.9" x14ac:dyDescent="0.55000000000000004">
      <c r="D54" s="2818" t="s">
        <v>2259</v>
      </c>
      <c r="E54" s="2819"/>
      <c r="F54" s="2820">
        <v>62.17</v>
      </c>
      <c r="G54" s="2820">
        <v>4.08</v>
      </c>
      <c r="H54" s="2820">
        <v>2.25</v>
      </c>
      <c r="I54" s="1705"/>
      <c r="J54" s="2818" t="s">
        <v>2259</v>
      </c>
      <c r="K54" s="2819"/>
      <c r="L54" s="2820">
        <v>63.05</v>
      </c>
      <c r="M54" s="2820">
        <v>3.07</v>
      </c>
      <c r="N54" s="2820">
        <v>1.79</v>
      </c>
      <c r="O54" s="1705"/>
      <c r="P54" s="2818" t="s">
        <v>2259</v>
      </c>
      <c r="Q54" s="2819"/>
      <c r="R54" s="2820">
        <v>56.88</v>
      </c>
      <c r="S54" s="2820">
        <v>5.22</v>
      </c>
      <c r="T54" s="2820">
        <v>2.36</v>
      </c>
      <c r="U54" s="2820">
        <v>1.67</v>
      </c>
      <c r="W54" s="2818"/>
      <c r="X54" s="2820"/>
      <c r="Y54" s="2820"/>
      <c r="Z54" s="2820"/>
      <c r="AA54" s="2820"/>
    </row>
    <row r="55" spans="4:27" ht="28.9" x14ac:dyDescent="0.55000000000000004">
      <c r="D55" s="2818" t="s">
        <v>2295</v>
      </c>
      <c r="E55" s="2819"/>
      <c r="F55" s="2820">
        <v>62.248035714285727</v>
      </c>
      <c r="G55" s="2820">
        <v>4.3788095238095242</v>
      </c>
      <c r="H55" s="2820">
        <v>1.8026190476190478</v>
      </c>
      <c r="I55" s="1705"/>
      <c r="J55" s="2818" t="s">
        <v>2295</v>
      </c>
      <c r="K55" s="2819"/>
      <c r="L55" s="2820">
        <v>63.086674418604645</v>
      </c>
      <c r="M55" s="2820">
        <v>3.4095348837209305</v>
      </c>
      <c r="N55" s="2820">
        <v>1.40139534883721</v>
      </c>
      <c r="O55" s="1705"/>
      <c r="P55" s="2818" t="s">
        <v>2295</v>
      </c>
      <c r="Q55" s="2819"/>
      <c r="R55" s="2820">
        <v>56.59</v>
      </c>
      <c r="S55" s="2820">
        <v>5.53</v>
      </c>
      <c r="T55" s="2820">
        <v>2.1800000000000002</v>
      </c>
      <c r="U55" s="2820">
        <v>1.67</v>
      </c>
      <c r="W55" s="2818"/>
      <c r="X55" s="2820"/>
      <c r="Y55" s="2820"/>
      <c r="Z55" s="2820"/>
      <c r="AA55" s="2820"/>
    </row>
    <row r="56" spans="4:27" ht="28.9" x14ac:dyDescent="0.55000000000000004">
      <c r="D56" s="2818" t="s">
        <v>2307</v>
      </c>
      <c r="E56" s="2819"/>
      <c r="F56" s="2820">
        <v>61.9</v>
      </c>
      <c r="G56" s="2820">
        <v>4.83</v>
      </c>
      <c r="H56" s="2820">
        <v>1.94</v>
      </c>
      <c r="I56" s="1705"/>
      <c r="J56" s="2818" t="s">
        <v>2307</v>
      </c>
      <c r="K56" s="2819"/>
      <c r="L56" s="2820">
        <v>62.5</v>
      </c>
      <c r="M56" s="2820">
        <v>4.16</v>
      </c>
      <c r="N56" s="2820">
        <v>1.59</v>
      </c>
      <c r="O56" s="1705"/>
      <c r="P56" s="2818" t="s">
        <v>2307</v>
      </c>
      <c r="Q56" s="2819"/>
      <c r="R56" s="2820">
        <v>55.77</v>
      </c>
      <c r="S56" s="2820">
        <v>5.97</v>
      </c>
      <c r="T56" s="2820">
        <v>2.06</v>
      </c>
      <c r="U56" s="2820">
        <v>1.68</v>
      </c>
      <c r="W56" s="2818"/>
      <c r="X56" s="2820"/>
      <c r="Y56" s="2820"/>
      <c r="Z56" s="2820"/>
      <c r="AA56" s="2820"/>
    </row>
    <row r="57" spans="4:27" ht="28.9" x14ac:dyDescent="0.55000000000000004">
      <c r="D57" s="2818" t="s">
        <v>2340</v>
      </c>
      <c r="E57" s="2819"/>
      <c r="F57" s="2820">
        <v>62.336177215189885</v>
      </c>
      <c r="G57" s="2820">
        <v>4.4302531645569596</v>
      </c>
      <c r="H57" s="2820">
        <v>1.7729113924050632</v>
      </c>
      <c r="I57" s="1705"/>
      <c r="J57" s="2818" t="s">
        <v>2340</v>
      </c>
      <c r="K57" s="2819"/>
      <c r="L57" s="2820">
        <v>63.167023255813973</v>
      </c>
      <c r="M57" s="2820">
        <v>3.5416279069767445</v>
      </c>
      <c r="N57" s="2820">
        <v>1.35</v>
      </c>
      <c r="O57" s="1705"/>
      <c r="P57" s="2818" t="s">
        <v>2340</v>
      </c>
      <c r="Q57" s="2819"/>
      <c r="R57" s="2820">
        <v>56.09</v>
      </c>
      <c r="S57" s="2820">
        <v>5.79</v>
      </c>
      <c r="T57" s="2820">
        <v>2.0299999999999998</v>
      </c>
      <c r="U57" s="2820">
        <v>1.66</v>
      </c>
      <c r="W57" s="2818"/>
      <c r="X57" s="2820"/>
      <c r="Y57" s="2820"/>
      <c r="Z57" s="2820"/>
      <c r="AA57" s="2820"/>
    </row>
    <row r="58" spans="4:27" ht="28.9" x14ac:dyDescent="0.55000000000000004">
      <c r="D58" s="2818" t="s">
        <v>2367</v>
      </c>
      <c r="E58" s="2819"/>
      <c r="F58" s="2820">
        <v>62.11</v>
      </c>
      <c r="G58" s="2820">
        <v>4.82</v>
      </c>
      <c r="H58" s="2820">
        <v>1.83</v>
      </c>
      <c r="I58" s="1705"/>
      <c r="J58" s="2818" t="s">
        <v>2367</v>
      </c>
      <c r="K58" s="2819"/>
      <c r="L58" s="2820">
        <v>62.72</v>
      </c>
      <c r="M58" s="2820">
        <v>4.03</v>
      </c>
      <c r="N58" s="2820">
        <v>1.65</v>
      </c>
      <c r="O58" s="1705"/>
      <c r="P58" s="2818" t="s">
        <v>2367</v>
      </c>
      <c r="Q58" s="2819"/>
      <c r="R58" s="2820">
        <v>55.81</v>
      </c>
      <c r="S58" s="2820">
        <v>6.16</v>
      </c>
      <c r="T58" s="2820">
        <v>2.06</v>
      </c>
      <c r="U58" s="2820">
        <v>1.65</v>
      </c>
      <c r="W58" s="2818"/>
      <c r="X58" s="2820"/>
      <c r="Y58" s="2820"/>
      <c r="Z58" s="2820"/>
      <c r="AA58" s="2820"/>
    </row>
    <row r="59" spans="4:27" ht="28.9" hidden="1" x14ac:dyDescent="0.55000000000000004">
      <c r="D59" s="2818"/>
      <c r="E59" s="2819"/>
      <c r="F59" s="2820"/>
      <c r="G59" s="2820"/>
      <c r="H59" s="2820"/>
      <c r="I59" s="1705"/>
      <c r="J59" s="2818"/>
      <c r="K59" s="2819"/>
      <c r="L59" s="2820"/>
      <c r="M59" s="2820"/>
      <c r="N59" s="2820"/>
      <c r="O59" s="1705"/>
      <c r="P59" s="2818"/>
      <c r="Q59" s="2819"/>
      <c r="R59" s="2820"/>
      <c r="S59" s="2820"/>
      <c r="T59" s="2820"/>
      <c r="U59" s="2820"/>
      <c r="W59" s="2818"/>
      <c r="X59" s="2820"/>
      <c r="Y59" s="2820"/>
      <c r="Z59" s="2820"/>
      <c r="AA59" s="2820"/>
    </row>
    <row r="60" spans="4:27" ht="28.9" hidden="1" x14ac:dyDescent="0.55000000000000004">
      <c r="D60" s="4425"/>
      <c r="E60" s="4426"/>
      <c r="F60" s="4427"/>
      <c r="G60" s="4427"/>
      <c r="H60" s="4427"/>
      <c r="I60" s="1705"/>
      <c r="J60" s="4425"/>
      <c r="K60" s="4426"/>
      <c r="L60" s="4427"/>
      <c r="M60" s="4427"/>
      <c r="N60" s="4427"/>
      <c r="O60" s="1705"/>
      <c r="P60" s="4425"/>
      <c r="Q60" s="4426"/>
      <c r="R60" s="4427"/>
      <c r="S60" s="4427"/>
      <c r="T60" s="4427"/>
      <c r="U60" s="4427"/>
      <c r="W60" s="4425"/>
      <c r="X60" s="4427"/>
      <c r="Y60" s="4427"/>
      <c r="Z60" s="4427"/>
      <c r="AA60" s="4427"/>
    </row>
    <row r="61" spans="4:27" ht="28.9" hidden="1" x14ac:dyDescent="0.55000000000000004">
      <c r="D61" s="4425"/>
      <c r="E61" s="4426"/>
      <c r="F61" s="4427"/>
      <c r="G61" s="4427"/>
      <c r="H61" s="4427"/>
      <c r="I61" s="1705"/>
      <c r="J61" s="4425"/>
      <c r="K61" s="4426"/>
      <c r="L61" s="4427"/>
      <c r="M61" s="4427"/>
      <c r="N61" s="4427"/>
      <c r="O61" s="1705"/>
      <c r="P61" s="4425"/>
      <c r="Q61" s="4426"/>
      <c r="R61" s="4427"/>
      <c r="S61" s="4427"/>
      <c r="T61" s="4427"/>
      <c r="U61" s="4427"/>
      <c r="W61" s="4425"/>
      <c r="X61" s="4427"/>
      <c r="Y61" s="4427"/>
      <c r="Z61" s="4427"/>
      <c r="AA61" s="4427"/>
    </row>
    <row r="62" spans="4:27" ht="28.9" hidden="1" x14ac:dyDescent="0.55000000000000004">
      <c r="D62" s="4737"/>
      <c r="E62" s="4738"/>
      <c r="F62" s="4739"/>
      <c r="G62" s="4739"/>
      <c r="H62" s="4739"/>
      <c r="I62" s="1705"/>
      <c r="J62" s="4737"/>
      <c r="K62" s="4738"/>
      <c r="L62" s="4739"/>
      <c r="M62" s="4739"/>
      <c r="N62" s="4739"/>
      <c r="O62" s="1705"/>
      <c r="P62" s="4737"/>
      <c r="Q62" s="4738"/>
      <c r="R62" s="4739"/>
      <c r="S62" s="4739"/>
      <c r="T62" s="4739"/>
      <c r="U62" s="4739"/>
      <c r="W62" s="4737"/>
      <c r="X62" s="4739"/>
      <c r="Y62" s="4739"/>
      <c r="Z62" s="4739"/>
      <c r="AA62" s="4739"/>
    </row>
    <row r="63" spans="4:27" ht="28.9" hidden="1" x14ac:dyDescent="0.55000000000000004">
      <c r="D63" s="4766"/>
      <c r="E63" s="4767"/>
      <c r="F63" s="4768"/>
      <c r="G63" s="4768"/>
      <c r="H63" s="4768"/>
      <c r="I63" s="1705"/>
      <c r="J63" s="4766"/>
      <c r="K63" s="4767"/>
      <c r="L63" s="4768"/>
      <c r="M63" s="4768"/>
      <c r="N63" s="4768"/>
      <c r="O63" s="1705"/>
      <c r="P63" s="4766"/>
      <c r="Q63" s="4767"/>
      <c r="R63" s="4768"/>
      <c r="S63" s="4768"/>
      <c r="T63" s="4768"/>
      <c r="U63" s="4768"/>
      <c r="W63" s="4766"/>
      <c r="X63" s="4768"/>
      <c r="Y63" s="4768"/>
      <c r="Z63" s="4768"/>
      <c r="AA63" s="4768"/>
    </row>
    <row r="64" spans="4:27" ht="28.9" hidden="1" x14ac:dyDescent="0.55000000000000004">
      <c r="D64" s="4902"/>
      <c r="E64" s="4903"/>
      <c r="F64" s="4904"/>
      <c r="G64" s="4904"/>
      <c r="H64" s="4904"/>
      <c r="I64" s="1705"/>
      <c r="J64" s="4902"/>
      <c r="K64" s="4903"/>
      <c r="L64" s="4904"/>
      <c r="M64" s="4904"/>
      <c r="N64" s="4904"/>
      <c r="O64" s="1705"/>
      <c r="P64" s="4902"/>
      <c r="Q64" s="4903"/>
      <c r="R64" s="4904"/>
      <c r="S64" s="4904"/>
      <c r="T64" s="4904"/>
      <c r="U64" s="4904"/>
      <c r="W64" s="4902"/>
      <c r="X64" s="4904"/>
      <c r="Y64" s="4904"/>
      <c r="Z64" s="4904"/>
      <c r="AA64" s="4904"/>
    </row>
    <row r="65" spans="4:27" ht="28.9" x14ac:dyDescent="0.55000000000000004">
      <c r="D65" s="4381" t="s">
        <v>1503</v>
      </c>
      <c r="E65" s="4382"/>
      <c r="F65" s="4383">
        <f>AVERAGE(F53:F64)</f>
        <v>62.01570215491261</v>
      </c>
      <c r="G65" s="4383">
        <f t="shared" ref="G65:H65" si="7">AVERAGE(G53:G64)</f>
        <v>4.5731771147277476</v>
      </c>
      <c r="H65" s="4383">
        <f t="shared" si="7"/>
        <v>2.0575884066706851</v>
      </c>
      <c r="I65" s="1705"/>
      <c r="J65" s="4381" t="s">
        <v>1503</v>
      </c>
      <c r="K65" s="4382"/>
      <c r="L65" s="4383">
        <f>AVERAGE(L53:L64)</f>
        <v>62.915616279069773</v>
      </c>
      <c r="M65" s="4383">
        <f>AVERAGE(M53:M64)</f>
        <v>3.5785271317829461</v>
      </c>
      <c r="N65" s="4383">
        <f>AVERAGE(N53:N64)</f>
        <v>1.5902325581395349</v>
      </c>
      <c r="O65" s="1705"/>
      <c r="P65" s="4381" t="s">
        <v>1503</v>
      </c>
      <c r="Q65" s="4382"/>
      <c r="R65" s="4383">
        <v>56.33836324809343</v>
      </c>
      <c r="S65" s="4383">
        <v>5.6603821107999552</v>
      </c>
      <c r="T65" s="4383">
        <v>2.1453306450408336</v>
      </c>
      <c r="U65" s="4383">
        <v>1.6666741681765493</v>
      </c>
      <c r="W65" s="4381"/>
      <c r="X65" s="4383">
        <v>63.552863669724786</v>
      </c>
      <c r="Y65" s="4383">
        <v>4.261779816513755</v>
      </c>
      <c r="Z65" s="4383">
        <v>2.1195045871559608</v>
      </c>
      <c r="AA65" s="4383">
        <v>0.22869575335704986</v>
      </c>
    </row>
    <row r="66" spans="4:27" ht="15.6" x14ac:dyDescent="0.3">
      <c r="G66" s="3243"/>
    </row>
  </sheetData>
  <mergeCells count="6">
    <mergeCell ref="D5:H5"/>
    <mergeCell ref="J5:N5"/>
    <mergeCell ref="P5:U5"/>
    <mergeCell ref="D15:D20"/>
    <mergeCell ref="W5:AA5"/>
    <mergeCell ref="X7:AA12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D5:AE19"/>
  <sheetViews>
    <sheetView topLeftCell="J1" workbookViewId="0">
      <selection activeCell="AC18" sqref="AC18"/>
    </sheetView>
  </sheetViews>
  <sheetFormatPr defaultColWidth="9.140625" defaultRowHeight="15" x14ac:dyDescent="0.25"/>
  <cols>
    <col min="3" max="3" width="15.140625" bestFit="1" customWidth="1"/>
    <col min="4" max="4" width="34.140625" style="261" customWidth="1"/>
    <col min="5" max="5" width="12.140625" customWidth="1"/>
    <col min="6" max="6" width="10.85546875" customWidth="1"/>
    <col min="7" max="18" width="10.5703125" bestFit="1" customWidth="1"/>
    <col min="20" max="20" width="9.5703125" bestFit="1" customWidth="1"/>
    <col min="22" max="22" width="11.28515625" customWidth="1"/>
  </cols>
  <sheetData>
    <row r="5" spans="4:31" thickBot="1" x14ac:dyDescent="0.35"/>
    <row r="6" spans="4:31" ht="20.45" x14ac:dyDescent="0.3">
      <c r="D6" s="1727"/>
      <c r="E6" s="1728" t="s">
        <v>172</v>
      </c>
      <c r="F6" s="1728" t="s">
        <v>1551</v>
      </c>
      <c r="G6" s="1728" t="s">
        <v>1277</v>
      </c>
      <c r="H6" s="1728" t="s">
        <v>1285</v>
      </c>
      <c r="I6" s="1728" t="s">
        <v>1300</v>
      </c>
      <c r="J6" s="1728" t="s">
        <v>1325</v>
      </c>
      <c r="K6" s="1728" t="s">
        <v>1340</v>
      </c>
      <c r="L6" s="1728" t="s">
        <v>1346</v>
      </c>
      <c r="M6" s="1728" t="s">
        <v>1354</v>
      </c>
      <c r="N6" s="1728" t="s">
        <v>1365</v>
      </c>
      <c r="O6" s="1728" t="s">
        <v>1371</v>
      </c>
      <c r="P6" s="1728" t="s">
        <v>1404</v>
      </c>
      <c r="Q6" s="1728" t="s">
        <v>1461</v>
      </c>
      <c r="R6" s="1728" t="s">
        <v>1522</v>
      </c>
      <c r="S6" s="1728" t="s">
        <v>1555</v>
      </c>
      <c r="T6" s="1728" t="s">
        <v>1580</v>
      </c>
      <c r="U6" s="1728" t="s">
        <v>1630</v>
      </c>
      <c r="V6" s="1728" t="s">
        <v>1649</v>
      </c>
      <c r="W6" s="1728" t="s">
        <v>1664</v>
      </c>
      <c r="X6" s="1728" t="s">
        <v>1687</v>
      </c>
      <c r="Y6" s="1728" t="s">
        <v>1696</v>
      </c>
      <c r="Z6" s="1728" t="s">
        <v>1710</v>
      </c>
      <c r="AA6" s="1728" t="s">
        <v>1730</v>
      </c>
      <c r="AB6" s="1728" t="s">
        <v>1846</v>
      </c>
      <c r="AC6" s="1728" t="s">
        <v>1881</v>
      </c>
      <c r="AD6" s="1728" t="s">
        <v>1907</v>
      </c>
      <c r="AE6" s="1728" t="s">
        <v>1924</v>
      </c>
    </row>
    <row r="7" spans="4:31" ht="20.45" x14ac:dyDescent="0.3">
      <c r="D7" s="1729" t="s">
        <v>1058</v>
      </c>
      <c r="E7" s="1730" t="s">
        <v>242</v>
      </c>
      <c r="F7" s="1731">
        <v>374.24192914750546</v>
      </c>
      <c r="G7" s="1731">
        <v>357.13669784896041</v>
      </c>
      <c r="H7" s="1731">
        <v>472</v>
      </c>
      <c r="I7" s="1731">
        <v>409.69792586754374</v>
      </c>
      <c r="J7" s="1731">
        <v>440.43140676817086</v>
      </c>
      <c r="K7" s="1731">
        <v>481.25602212932353</v>
      </c>
      <c r="L7" s="1731">
        <v>451.91513133247309</v>
      </c>
      <c r="M7" s="1731">
        <v>426.63557542874275</v>
      </c>
      <c r="N7" s="1731">
        <v>401.9331179747503</v>
      </c>
      <c r="O7" s="1731">
        <v>455.89765866079711</v>
      </c>
      <c r="P7" s="1731">
        <v>487.6115537966208</v>
      </c>
      <c r="Q7" s="1731">
        <v>400.09125379052409</v>
      </c>
      <c r="R7" s="1731">
        <v>459.97111985484503</v>
      </c>
      <c r="S7" s="1732">
        <v>478.76881203570764</v>
      </c>
      <c r="T7" s="1732">
        <f>'B-FCE'!X82</f>
        <v>352.01502802742641</v>
      </c>
      <c r="U7" s="1732">
        <v>430.55008343128634</v>
      </c>
      <c r="V7" s="1732">
        <v>450.85902064106665</v>
      </c>
      <c r="W7" s="1732">
        <v>454.32705717078858</v>
      </c>
      <c r="X7" s="1732">
        <v>402.60355006683147</v>
      </c>
      <c r="Y7" s="1732">
        <v>434.45952244838372</v>
      </c>
      <c r="Z7" s="1732">
        <v>474.25515248511829</v>
      </c>
      <c r="AA7" s="1732">
        <v>425.42493880593219</v>
      </c>
      <c r="AB7" s="1732">
        <v>422.86102463240701</v>
      </c>
      <c r="AC7" s="1732">
        <v>431.81690095398017</v>
      </c>
      <c r="AD7" s="1732">
        <v>391.22822874347389</v>
      </c>
      <c r="AE7" s="1732">
        <v>394.64163765643218</v>
      </c>
    </row>
    <row r="8" spans="4:31" ht="21" thickBot="1" x14ac:dyDescent="0.35">
      <c r="D8" s="1733"/>
      <c r="E8" s="1734"/>
      <c r="F8" s="1734"/>
      <c r="G8" s="1734"/>
      <c r="H8" s="1734"/>
      <c r="I8" s="1734"/>
      <c r="J8" s="1734"/>
      <c r="K8" s="1734"/>
      <c r="L8" s="1734"/>
      <c r="M8" s="1734"/>
      <c r="N8" s="1734"/>
      <c r="O8" s="1734"/>
      <c r="P8" s="1734"/>
      <c r="Q8" s="1734"/>
      <c r="R8" s="1734"/>
      <c r="S8" s="1735"/>
      <c r="T8" s="1735"/>
      <c r="U8" s="1735"/>
      <c r="V8" s="1735"/>
      <c r="W8" s="1735"/>
      <c r="X8" s="1735"/>
      <c r="Y8" s="1735"/>
      <c r="Z8" s="1735"/>
      <c r="AA8" s="1735"/>
      <c r="AB8" s="1735"/>
      <c r="AC8" s="1735"/>
      <c r="AD8" s="1735"/>
      <c r="AE8" s="1735"/>
    </row>
    <row r="9" spans="4:31" ht="20.45" x14ac:dyDescent="0.3">
      <c r="D9" s="1736" t="s">
        <v>1552</v>
      </c>
      <c r="E9" s="1737"/>
      <c r="F9" s="1737"/>
      <c r="G9" s="1737"/>
      <c r="H9" s="1737"/>
      <c r="I9" s="1737"/>
      <c r="J9" s="1737"/>
      <c r="K9" s="1737"/>
      <c r="L9" s="1737"/>
      <c r="M9" s="1737"/>
      <c r="N9" s="1737"/>
      <c r="O9" s="1737"/>
      <c r="P9" s="1737"/>
      <c r="Q9" s="1737"/>
      <c r="R9" s="1737"/>
      <c r="S9" s="1738"/>
      <c r="T9" s="1738"/>
      <c r="U9" s="1738"/>
      <c r="V9" s="1738"/>
      <c r="W9" s="1738"/>
      <c r="X9" s="1738"/>
      <c r="Y9" s="1738"/>
      <c r="Z9" s="1738"/>
      <c r="AA9" s="1738"/>
      <c r="AB9" s="1738"/>
      <c r="AC9" s="1738"/>
      <c r="AD9" s="1738"/>
      <c r="AE9" s="1738"/>
    </row>
    <row r="10" spans="4:31" ht="20.25" x14ac:dyDescent="0.25">
      <c r="D10" s="1739" t="s">
        <v>430</v>
      </c>
      <c r="E10" s="6400" t="s">
        <v>49</v>
      </c>
      <c r="F10" s="1740">
        <v>4.9267088607594935</v>
      </c>
      <c r="G10" s="1740">
        <v>4.7988888888888859</v>
      </c>
      <c r="H10" s="1740">
        <v>5.7245762711864421</v>
      </c>
      <c r="I10" s="1740">
        <v>4.9452564102564098</v>
      </c>
      <c r="J10" s="1740">
        <v>6.1471428571428559</v>
      </c>
      <c r="K10" s="1740">
        <v>5.0889473684210529</v>
      </c>
      <c r="L10" s="1740">
        <v>4.9205882352941179</v>
      </c>
      <c r="M10" s="1740">
        <v>4.1611627906976736</v>
      </c>
      <c r="N10" s="1740">
        <v>3.4794444444444457</v>
      </c>
      <c r="O10" s="1740">
        <v>4.817380952380951</v>
      </c>
      <c r="P10" s="1740">
        <v>3.6630000000000003</v>
      </c>
      <c r="Q10" s="1740">
        <v>3.0872602739726025</v>
      </c>
      <c r="R10" s="1740">
        <v>4.4797802197802179</v>
      </c>
      <c r="S10" s="1741">
        <v>5.0039024390243911</v>
      </c>
      <c r="T10" s="1741">
        <f>Quality!G28</f>
        <v>4.1680000000000019</v>
      </c>
      <c r="U10" s="1741">
        <v>4.925841584158416</v>
      </c>
      <c r="V10" s="1741">
        <v>4.04</v>
      </c>
      <c r="W10" s="1741">
        <v>4.2097029702970303</v>
      </c>
      <c r="X10" s="1741">
        <v>3.8231868131868114</v>
      </c>
      <c r="Y10" s="1741">
        <v>4.5140845070422539</v>
      </c>
      <c r="Z10" s="1741">
        <v>4.3401204819277126</v>
      </c>
      <c r="AA10" s="1741">
        <v>4.1054929577464776</v>
      </c>
      <c r="AB10" s="1741">
        <v>4.34</v>
      </c>
      <c r="AC10" s="1741">
        <v>3.5650793650793644</v>
      </c>
      <c r="AD10" s="1741"/>
      <c r="AE10" s="1741"/>
    </row>
    <row r="11" spans="4:31" ht="20.25" x14ac:dyDescent="0.25">
      <c r="D11" s="1739" t="s">
        <v>431</v>
      </c>
      <c r="E11" s="6400"/>
      <c r="F11" s="1740">
        <v>2.4696202531645577</v>
      </c>
      <c r="G11" s="1740">
        <v>3.0506349206349213</v>
      </c>
      <c r="H11" s="1740">
        <v>3.3566101694915251</v>
      </c>
      <c r="I11" s="1740">
        <v>1.8442307692307698</v>
      </c>
      <c r="J11" s="1740">
        <v>2.6771428571428584</v>
      </c>
      <c r="K11" s="1740">
        <v>3.5796491228070182</v>
      </c>
      <c r="L11" s="1740">
        <v>2.886470588235293</v>
      </c>
      <c r="M11" s="1740">
        <v>2.9701162790697668</v>
      </c>
      <c r="N11" s="1740">
        <v>2.5795555555555554</v>
      </c>
      <c r="O11" s="1740">
        <v>3.3175000000000003</v>
      </c>
      <c r="P11" s="1740">
        <v>2.8299999999999987</v>
      </c>
      <c r="Q11" s="1740">
        <v>2.512876712328767</v>
      </c>
      <c r="R11" s="1740">
        <v>2.3717582417582417</v>
      </c>
      <c r="S11" s="1741">
        <v>2.4721951219512199</v>
      </c>
      <c r="T11" s="1741">
        <f>Quality!H28</f>
        <v>2.0210000000000008</v>
      </c>
      <c r="U11" s="1741">
        <v>2.2668316831683168</v>
      </c>
      <c r="V11" s="1741">
        <v>2.21</v>
      </c>
      <c r="W11" s="1741">
        <v>1.8356435643564362</v>
      </c>
      <c r="X11" s="1741">
        <v>2.1123076923076924</v>
      </c>
      <c r="Y11" s="1741">
        <v>2.9476056338028171</v>
      </c>
      <c r="Z11" s="1741">
        <v>2.8090361445783141</v>
      </c>
      <c r="AA11" s="1741">
        <v>2.1745070422535218</v>
      </c>
      <c r="AB11" s="1741">
        <v>3.01</v>
      </c>
      <c r="AC11" s="1741">
        <v>2.4058730158730164</v>
      </c>
      <c r="AD11" s="1741"/>
      <c r="AE11" s="1741"/>
    </row>
    <row r="12" spans="4:31" ht="20.25" x14ac:dyDescent="0.25">
      <c r="D12" s="1739" t="s">
        <v>1553</v>
      </c>
      <c r="E12" s="6400"/>
      <c r="F12" s="1740">
        <f>SUM(F10:F11)</f>
        <v>7.3963291139240512</v>
      </c>
      <c r="G12" s="1740">
        <f t="shared" ref="G12:Q12" si="0">SUM(G10:G11)</f>
        <v>7.8495238095238076</v>
      </c>
      <c r="H12" s="1740">
        <f t="shared" si="0"/>
        <v>9.0811864406779677</v>
      </c>
      <c r="I12" s="1740">
        <f t="shared" si="0"/>
        <v>6.7894871794871801</v>
      </c>
      <c r="J12" s="1740">
        <f t="shared" si="0"/>
        <v>8.8242857142857147</v>
      </c>
      <c r="K12" s="1740">
        <f t="shared" si="0"/>
        <v>8.6685964912280706</v>
      </c>
      <c r="L12" s="1740">
        <f t="shared" si="0"/>
        <v>7.8070588235294114</v>
      </c>
      <c r="M12" s="1740">
        <f t="shared" si="0"/>
        <v>7.1312790697674409</v>
      </c>
      <c r="N12" s="1740">
        <f t="shared" si="0"/>
        <v>6.0590000000000011</v>
      </c>
      <c r="O12" s="1740">
        <f t="shared" si="0"/>
        <v>8.1348809523809518</v>
      </c>
      <c r="P12" s="1740">
        <f t="shared" si="0"/>
        <v>6.4929999999999986</v>
      </c>
      <c r="Q12" s="1740">
        <f t="shared" si="0"/>
        <v>5.6001369863013695</v>
      </c>
      <c r="R12" s="1740">
        <f>SUM(R10:R11)</f>
        <v>6.8515384615384596</v>
      </c>
      <c r="S12" s="1741">
        <f>SUM(S10:S11)</f>
        <v>7.4760975609756111</v>
      </c>
      <c r="T12" s="1741">
        <f>SUM(T10:T11)</f>
        <v>6.1890000000000027</v>
      </c>
      <c r="U12" s="1741">
        <f t="shared" ref="U12:Z12" si="1">SUM(U10:U11)</f>
        <v>7.1926732673267324</v>
      </c>
      <c r="V12" s="1741">
        <f t="shared" si="1"/>
        <v>6.25</v>
      </c>
      <c r="W12" s="1741">
        <f t="shared" si="1"/>
        <v>6.0453465346534667</v>
      </c>
      <c r="X12" s="1741">
        <f t="shared" si="1"/>
        <v>5.9354945054945034</v>
      </c>
      <c r="Y12" s="1741">
        <f t="shared" si="1"/>
        <v>7.4616901408450715</v>
      </c>
      <c r="Z12" s="1741">
        <f t="shared" si="1"/>
        <v>7.1491566265060271</v>
      </c>
      <c r="AA12" s="1741">
        <f t="shared" ref="AA12:AB12" si="2">SUM(AA10:AA11)</f>
        <v>6.2799999999999994</v>
      </c>
      <c r="AB12" s="1741">
        <f t="shared" si="2"/>
        <v>7.35</v>
      </c>
      <c r="AC12" s="1741">
        <f t="shared" ref="AC12" si="3">SUM(AC10:AC11)</f>
        <v>5.9709523809523812</v>
      </c>
      <c r="AD12" s="1741"/>
      <c r="AE12" s="1741"/>
    </row>
    <row r="13" spans="4:31" ht="20.25" x14ac:dyDescent="0.25">
      <c r="D13" s="1739" t="s">
        <v>428</v>
      </c>
      <c r="E13" s="6400"/>
      <c r="F13" s="1740">
        <v>61.774987341772153</v>
      </c>
      <c r="G13" s="1740">
        <v>61.472809523809531</v>
      </c>
      <c r="H13" s="1740">
        <v>60.75215254237289</v>
      </c>
      <c r="I13" s="1740">
        <v>62.145769230769218</v>
      </c>
      <c r="J13" s="1740">
        <v>60.922680952380958</v>
      </c>
      <c r="K13" s="2076">
        <v>60.607298245614054</v>
      </c>
      <c r="L13" s="1740">
        <v>61.293882352941161</v>
      </c>
      <c r="M13" s="1740">
        <v>61.731558139534869</v>
      </c>
      <c r="N13" s="1740">
        <v>62.468644444444443</v>
      </c>
      <c r="O13" s="1740">
        <v>60.834380952380947</v>
      </c>
      <c r="P13" s="1740">
        <v>61.312799999999982</v>
      </c>
      <c r="Q13" s="1740">
        <v>61.834753424657535</v>
      </c>
      <c r="R13" s="1740">
        <v>61.09731868131869</v>
      </c>
      <c r="S13" s="1741">
        <v>60.579487804878084</v>
      </c>
      <c r="T13" s="1741">
        <f>Quality!F28</f>
        <v>61.352785714285709</v>
      </c>
      <c r="U13" s="1741">
        <v>60.652396039603971</v>
      </c>
      <c r="V13" s="1741">
        <v>61.29</v>
      </c>
      <c r="W13" s="1741">
        <v>61.497297029702963</v>
      </c>
      <c r="X13" s="1741">
        <v>61.49</v>
      </c>
      <c r="Y13" s="2619">
        <v>60.483788732394359</v>
      </c>
      <c r="Z13" s="1741">
        <v>60.709963855421684</v>
      </c>
      <c r="AA13" s="1741">
        <v>61.297225352112704</v>
      </c>
      <c r="AB13" s="1741">
        <v>60.62</v>
      </c>
      <c r="AC13" s="1741">
        <v>61.508841269841277</v>
      </c>
      <c r="AD13" s="1741"/>
      <c r="AE13" s="1741"/>
    </row>
    <row r="14" spans="4:31" ht="21" thickBot="1" x14ac:dyDescent="0.3">
      <c r="D14" s="1742" t="s">
        <v>1554</v>
      </c>
      <c r="E14" s="6401"/>
      <c r="F14" s="1743">
        <v>0.52992225621988387</v>
      </c>
      <c r="G14" s="1743">
        <v>0.67291826643164032</v>
      </c>
      <c r="H14" s="1743">
        <v>0.60981126148708042</v>
      </c>
      <c r="I14" s="1743">
        <v>0.38686942150253145</v>
      </c>
      <c r="J14" s="1743">
        <v>0.51310760194134475</v>
      </c>
      <c r="K14" s="1743">
        <v>0.75329559029059001</v>
      </c>
      <c r="L14" s="1743">
        <v>0.60371236906661097</v>
      </c>
      <c r="M14" s="1743">
        <v>0.7561847282687979</v>
      </c>
      <c r="N14" s="1743">
        <v>0.77364592036626434</v>
      </c>
      <c r="O14" s="1743">
        <v>0.74214809932243708</v>
      </c>
      <c r="P14" s="1743">
        <v>0.81354824866349373</v>
      </c>
      <c r="Q14" s="1743">
        <v>0.88543883501455878</v>
      </c>
      <c r="R14" s="1743">
        <f>+R11/R10</f>
        <v>0.52943629495167566</v>
      </c>
      <c r="S14" s="1744">
        <f>S11/S10</f>
        <v>0.49405342171963346</v>
      </c>
      <c r="T14" s="1744">
        <f>T11/T10</f>
        <v>0.48488483685220723</v>
      </c>
      <c r="U14" s="1744">
        <f t="shared" ref="U14:Z14" si="4">U11/U10</f>
        <v>0.46019175493959918</v>
      </c>
      <c r="V14" s="1744">
        <f t="shared" si="4"/>
        <v>0.54702970297029707</v>
      </c>
      <c r="W14" s="1744">
        <f t="shared" si="4"/>
        <v>0.43605061385766036</v>
      </c>
      <c r="X14" s="1744">
        <f t="shared" si="4"/>
        <v>0.55249920956569254</v>
      </c>
      <c r="Y14" s="1744">
        <f t="shared" si="4"/>
        <v>0.65297971918876752</v>
      </c>
      <c r="Z14" s="1744">
        <f t="shared" si="4"/>
        <v>0.64722538378258332</v>
      </c>
      <c r="AA14" s="1744">
        <f t="shared" ref="AA14:AB14" si="5">AA11/AA10</f>
        <v>0.52965796425263334</v>
      </c>
      <c r="AB14" s="1744">
        <f t="shared" si="5"/>
        <v>0.69354838709677413</v>
      </c>
      <c r="AC14" s="1744">
        <f t="shared" ref="AC14" si="6">AC11/AC10</f>
        <v>0.67484416740872688</v>
      </c>
      <c r="AD14" s="1744"/>
      <c r="AE14" s="1744"/>
    </row>
    <row r="19" spans="8:18" ht="14.45" x14ac:dyDescent="0.3"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">
    <mergeCell ref="E10:E14"/>
  </mergeCells>
  <phoneticPr fontId="85" type="noConversion"/>
  <conditionalFormatting sqref="F13:Y13">
    <cfRule type="top10" dxfId="5" priority="2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0" operator="containsText" id="{DE5C8A43-BADF-482E-B9BD-5398072B7DB8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F12:Y12</xm:sqref>
        </x14:conditionalFormatting>
        <x14:conditionalFormatting xmlns:xm="http://schemas.microsoft.com/office/excel/2006/main">
          <x14:cfRule type="containsText" priority="3" operator="containsText" id="{97705EA4-3A14-4F97-A778-86E5B14131C9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F7:AE7</xm:sqref>
        </x14:conditionalFormatting>
        <x14:conditionalFormatting xmlns:xm="http://schemas.microsoft.com/office/excel/2006/main">
          <x14:cfRule type="containsText" priority="5" operator="containsText" id="{925F52DA-01AF-49D2-BE6B-1CA9CC6DB26B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F10:AE10</xm:sqref>
        </x14:conditionalFormatting>
        <x14:conditionalFormatting xmlns:xm="http://schemas.microsoft.com/office/excel/2006/main">
          <x14:cfRule type="containsText" priority="4" operator="containsText" id="{7CEED210-1ABB-43F5-93C6-96A582D2CC29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F11:AE11</xm:sqref>
        </x14:conditionalFormatting>
        <x14:conditionalFormatting xmlns:xm="http://schemas.microsoft.com/office/excel/2006/main">
          <x14:cfRule type="containsText" priority="1" operator="containsText" id="{196C031E-F5BB-4BA2-8127-BF887E5337D8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Z12:AE13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FFC000"/>
    <pageSetUpPr fitToPage="1"/>
  </sheetPr>
  <dimension ref="C1:BJ86"/>
  <sheetViews>
    <sheetView workbookViewId="0">
      <pane xSplit="4" ySplit="3" topLeftCell="M4" activePane="bottomRight" state="frozen"/>
      <selection pane="topRight" activeCell="E1" sqref="E1"/>
      <selection pane="bottomLeft" activeCell="A4" sqref="A4"/>
      <selection pane="bottomRight" activeCell="AA52" sqref="AA52:AC67"/>
    </sheetView>
  </sheetViews>
  <sheetFormatPr defaultRowHeight="18.75" x14ac:dyDescent="0.3"/>
  <cols>
    <col min="2" max="2" width="30.140625" bestFit="1" customWidth="1"/>
    <col min="3" max="3" width="24.5703125" bestFit="1" customWidth="1"/>
    <col min="4" max="4" width="51.7109375" bestFit="1" customWidth="1"/>
    <col min="5" max="5" width="9.85546875" bestFit="1" customWidth="1"/>
    <col min="6" max="6" width="15.42578125" hidden="1" customWidth="1"/>
    <col min="7" max="7" width="12.5703125" bestFit="1" customWidth="1"/>
    <col min="8" max="8" width="9.85546875" hidden="1" customWidth="1"/>
    <col min="9" max="9" width="15.5703125" customWidth="1"/>
    <col min="10" max="12" width="10.140625" hidden="1" customWidth="1"/>
    <col min="13" max="13" width="11.5703125" customWidth="1"/>
    <col min="14" max="14" width="10.140625" hidden="1" customWidth="1"/>
    <col min="15" max="15" width="9.85546875" customWidth="1"/>
    <col min="16" max="16" width="9.140625" hidden="1" customWidth="1"/>
    <col min="17" max="17" width="9.85546875" customWidth="1"/>
    <col min="18" max="18" width="9.140625" hidden="1" customWidth="1"/>
    <col min="19" max="20" width="9.85546875" hidden="1" customWidth="1"/>
    <col min="21" max="21" width="9.85546875" customWidth="1"/>
    <col min="22" max="22" width="9.140625" hidden="1" customWidth="1"/>
    <col min="23" max="23" width="11.42578125" customWidth="1"/>
    <col min="24" max="24" width="11.42578125" hidden="1" customWidth="1"/>
    <col min="25" max="25" width="9.85546875" customWidth="1"/>
    <col min="26" max="26" width="9.140625" hidden="1" customWidth="1"/>
    <col min="27" max="27" width="11.42578125" customWidth="1"/>
    <col min="28" max="28" width="9.140625" hidden="1" customWidth="1"/>
    <col min="29" max="29" width="11.28515625" style="542" customWidth="1"/>
    <col min="30" max="30" width="9.140625" hidden="1" customWidth="1"/>
    <col min="31" max="31" width="9.85546875" hidden="1" customWidth="1"/>
    <col min="32" max="32" width="9.140625" hidden="1" customWidth="1"/>
    <col min="33" max="33" width="11.28515625" hidden="1" customWidth="1"/>
    <col min="34" max="34" width="9.140625" hidden="1" customWidth="1"/>
    <col min="35" max="35" width="9.85546875" hidden="1" customWidth="1"/>
    <col min="36" max="36" width="9.140625" hidden="1" customWidth="1"/>
    <col min="37" max="37" width="11.28515625" hidden="1" customWidth="1"/>
    <col min="38" max="38" width="9.140625" hidden="1" customWidth="1"/>
    <col min="39" max="41" width="9.85546875" hidden="1" customWidth="1"/>
    <col min="42" max="42" width="9.140625" hidden="1" customWidth="1"/>
    <col min="43" max="43" width="11.28515625" hidden="1" customWidth="1"/>
    <col min="44" max="44" width="9.140625" hidden="1" customWidth="1"/>
    <col min="45" max="45" width="9.85546875" hidden="1" customWidth="1"/>
    <col min="46" max="46" width="9.140625" hidden="1" customWidth="1"/>
    <col min="47" max="47" width="11.28515625" hidden="1" customWidth="1"/>
    <col min="48" max="48" width="9.140625" hidden="1" customWidth="1"/>
    <col min="49" max="49" width="9.85546875" hidden="1" customWidth="1"/>
    <col min="50" max="50" width="9.140625" hidden="1" customWidth="1"/>
    <col min="51" max="51" width="11.28515625" hidden="1" customWidth="1"/>
    <col min="52" max="52" width="9.140625" hidden="1" customWidth="1"/>
    <col min="53" max="53" width="9.85546875" hidden="1" customWidth="1"/>
    <col min="54" max="54" width="9.140625" hidden="1" customWidth="1"/>
    <col min="55" max="55" width="9.85546875" hidden="1" customWidth="1"/>
    <col min="56" max="56" width="9.140625" hidden="1" customWidth="1"/>
    <col min="57" max="57" width="11.28515625" hidden="1" customWidth="1"/>
    <col min="58" max="58" width="9.140625" hidden="1" customWidth="1"/>
    <col min="59" max="59" width="11.28515625" hidden="1" customWidth="1"/>
    <col min="60" max="60" width="9.140625" hidden="1" customWidth="1"/>
    <col min="61" max="61" width="9.5703125" bestFit="1" customWidth="1"/>
  </cols>
  <sheetData>
    <row r="1" spans="3:62" ht="23.45" x14ac:dyDescent="0.45">
      <c r="C1" s="6339" t="s">
        <v>2100</v>
      </c>
      <c r="D1" s="6339"/>
      <c r="E1" s="6339"/>
      <c r="F1" s="6339"/>
      <c r="G1" s="6339"/>
      <c r="H1" s="6339"/>
      <c r="I1" s="6339"/>
      <c r="J1" s="6339"/>
      <c r="K1" s="6339"/>
      <c r="L1" s="6339"/>
      <c r="M1" s="6339"/>
      <c r="N1" s="6339"/>
      <c r="O1" s="6339"/>
    </row>
    <row r="3" spans="3:62" ht="17.45" x14ac:dyDescent="0.3">
      <c r="C3" s="553" t="s">
        <v>965</v>
      </c>
      <c r="D3" s="553" t="s">
        <v>850</v>
      </c>
      <c r="E3" s="553" t="s">
        <v>172</v>
      </c>
      <c r="F3" s="6411" t="s">
        <v>2226</v>
      </c>
      <c r="G3" s="6410"/>
      <c r="H3" s="6411" t="s">
        <v>2242</v>
      </c>
      <c r="I3" s="6410"/>
      <c r="J3" s="6404" t="s">
        <v>658</v>
      </c>
      <c r="K3" s="6405"/>
      <c r="L3" s="6411" t="s">
        <v>2273</v>
      </c>
      <c r="M3" s="6410"/>
      <c r="N3" s="6406" t="s">
        <v>637</v>
      </c>
      <c r="O3" s="6407"/>
      <c r="P3" s="6411" t="s">
        <v>2296</v>
      </c>
      <c r="Q3" s="6410"/>
      <c r="R3" s="6406" t="s">
        <v>651</v>
      </c>
      <c r="S3" s="6407"/>
      <c r="T3" s="6402">
        <v>45870</v>
      </c>
      <c r="U3" s="6410"/>
      <c r="V3" s="6406" t="s">
        <v>836</v>
      </c>
      <c r="W3" s="6407"/>
      <c r="X3" s="6402">
        <v>45901</v>
      </c>
      <c r="Y3" s="6403"/>
      <c r="Z3" s="6406" t="s">
        <v>660</v>
      </c>
      <c r="AA3" s="6408"/>
      <c r="AB3" s="6409" t="s">
        <v>512</v>
      </c>
      <c r="AC3" s="6409"/>
      <c r="AD3" s="6402">
        <v>45566</v>
      </c>
      <c r="AE3" s="6403"/>
      <c r="AF3" s="6406" t="s">
        <v>1100</v>
      </c>
      <c r="AG3" s="6407"/>
      <c r="AH3" s="6402">
        <v>45597</v>
      </c>
      <c r="AI3" s="6403"/>
      <c r="AJ3" s="6404" t="s">
        <v>1650</v>
      </c>
      <c r="AK3" s="6405"/>
      <c r="AL3" s="6402">
        <v>45627</v>
      </c>
      <c r="AM3" s="6403"/>
      <c r="AN3" s="6406" t="s">
        <v>662</v>
      </c>
      <c r="AO3" s="6408"/>
      <c r="AP3" s="6404" t="s">
        <v>917</v>
      </c>
      <c r="AQ3" s="6405"/>
      <c r="AR3" s="6402" t="s">
        <v>1687</v>
      </c>
      <c r="AS3" s="6403"/>
      <c r="AT3" s="6404" t="s">
        <v>1688</v>
      </c>
      <c r="AU3" s="6405"/>
      <c r="AV3" s="6402" t="s">
        <v>2099</v>
      </c>
      <c r="AW3" s="6403"/>
      <c r="AX3" s="6404" t="s">
        <v>1697</v>
      </c>
      <c r="AY3" s="6405"/>
      <c r="AZ3" s="6402" t="s">
        <v>2111</v>
      </c>
      <c r="BA3" s="6403"/>
      <c r="BB3" s="6406" t="s">
        <v>663</v>
      </c>
      <c r="BC3" s="6408"/>
      <c r="BD3" s="6409" t="s">
        <v>550</v>
      </c>
      <c r="BE3" s="6409"/>
      <c r="BF3" s="6404" t="s">
        <v>1745</v>
      </c>
      <c r="BG3" s="6405"/>
    </row>
    <row r="4" spans="3:62" ht="18" x14ac:dyDescent="0.35">
      <c r="C4" s="554" t="s">
        <v>16</v>
      </c>
      <c r="D4" s="1635" t="s">
        <v>1376</v>
      </c>
      <c r="E4" s="4746"/>
      <c r="F4" s="554"/>
      <c r="G4" s="555">
        <f>+SUMIF(WRM!$C$7:$C$122,$D4,WRM!$F$7:$F$122)</f>
        <v>475.60000000000008</v>
      </c>
      <c r="H4" s="555"/>
      <c r="I4" s="555">
        <f>+SUMIF(WRM!$C$7:$C$122,$D4,WRM!$H$7:$H$122)</f>
        <v>1963.9</v>
      </c>
      <c r="J4" s="625"/>
      <c r="K4" s="625">
        <f t="shared" ref="K4:K37" si="0">+G4+I4</f>
        <v>2439.5</v>
      </c>
      <c r="L4" s="555"/>
      <c r="M4" s="555">
        <f>+SUMIF(WRM!$C$7:$C$122,$D4,WRM!$L$7:$L$122)</f>
        <v>301.34999999999997</v>
      </c>
      <c r="N4" s="630"/>
      <c r="O4" s="630">
        <f t="shared" ref="O4:O37" si="1">+G4+I4+M4</f>
        <v>2740.85</v>
      </c>
      <c r="P4" s="555"/>
      <c r="Q4" s="555">
        <f>+SUMIF(WRM!$C$7:$C$122,$D4,WRM!P$7:$P$122)</f>
        <v>990.15000000000009</v>
      </c>
      <c r="R4" s="630"/>
      <c r="S4" s="630">
        <f>O4+Q4</f>
        <v>3731</v>
      </c>
      <c r="T4" s="555"/>
      <c r="U4" s="555">
        <f>+SUMIF(WRM!$C$7:$C$122,$D4,WRM!$T$7:T$122)</f>
        <v>303.39999999999998</v>
      </c>
      <c r="V4" s="630"/>
      <c r="W4" s="630">
        <f>S4+U4</f>
        <v>4034.4</v>
      </c>
      <c r="X4" s="630"/>
      <c r="Y4" s="555">
        <f>+SUMIF(WRM!$C$7:$C$122,$D4,WRM!$X$7:X$122)</f>
        <v>1195.1500000000001</v>
      </c>
      <c r="Z4" s="630"/>
      <c r="AA4" s="2213">
        <f>Q4+U4+Y4</f>
        <v>2488.7000000000003</v>
      </c>
      <c r="AB4" s="2255"/>
      <c r="AC4" s="1172">
        <f>O4+AA4</f>
        <v>5229.55</v>
      </c>
      <c r="AD4" s="630"/>
      <c r="AE4" s="555">
        <f>+SUMIF(WRM!$C$7:$C$122,$D4,WRM!$AD$7:$AD$122)</f>
        <v>1795.8</v>
      </c>
      <c r="AF4" s="630"/>
      <c r="AG4" s="630">
        <f>AC4+AE4</f>
        <v>7025.35</v>
      </c>
      <c r="AH4" s="630"/>
      <c r="AI4" s="555">
        <f>+SUMIF(WRM!$C$7:$C$122,$D4,WRM!$AH$7:$AH$122)</f>
        <v>569.90000000000009</v>
      </c>
      <c r="AJ4" s="625"/>
      <c r="AK4" s="625">
        <f>AG4+AI4</f>
        <v>7595.25</v>
      </c>
      <c r="AL4" s="630"/>
      <c r="AM4" s="555">
        <f>+SUMIF(WRM!$C$7:$C$122,$D4,WRM!$AL$7:$AL$122)</f>
        <v>3212.3500000000004</v>
      </c>
      <c r="AN4" s="630"/>
      <c r="AO4" s="2213">
        <f>AE4+AI4+AM4</f>
        <v>5578.05</v>
      </c>
      <c r="AP4" s="625"/>
      <c r="AQ4" s="625">
        <f>AK4+AM4</f>
        <v>10807.6</v>
      </c>
      <c r="AR4" s="630"/>
      <c r="AS4" s="555">
        <f>+SUMIF(WRM!$C$7:$C$122,$D4,WRM!$AR$7:$AR$122)</f>
        <v>1314.05</v>
      </c>
      <c r="AT4" s="625"/>
      <c r="AU4" s="625">
        <f>AQ4+AS4</f>
        <v>12121.65</v>
      </c>
      <c r="AV4" s="630"/>
      <c r="AW4" s="555">
        <f>+SUMIF(WRM!$C$7:$C$122,$D4,WRM!$AV$7:$AV$122)</f>
        <v>1385.8000000000002</v>
      </c>
      <c r="AX4" s="625"/>
      <c r="AY4" s="625">
        <f>AU4+AW4</f>
        <v>13507.45</v>
      </c>
      <c r="AZ4" s="630"/>
      <c r="BA4" s="555">
        <f>+SUMIF(WRM!$C$7:$C$122,$D4,WRM!$AZ$7:$AZ$122)</f>
        <v>1594.9</v>
      </c>
      <c r="BB4" s="630"/>
      <c r="BC4" s="2213">
        <f>AS4+AW4+BA4</f>
        <v>4294.75</v>
      </c>
      <c r="BD4" s="2255"/>
      <c r="BE4" s="1172">
        <f>AO4+BC4</f>
        <v>9872.7999999999993</v>
      </c>
      <c r="BF4" s="625"/>
      <c r="BG4" s="625">
        <f>AY4+BA4</f>
        <v>15102.35</v>
      </c>
      <c r="BH4" s="26"/>
      <c r="BI4" s="26"/>
      <c r="BJ4" s="26"/>
    </row>
    <row r="5" spans="3:62" ht="18" x14ac:dyDescent="0.35">
      <c r="C5" s="554" t="s">
        <v>16</v>
      </c>
      <c r="D5" s="1635" t="s">
        <v>1944</v>
      </c>
      <c r="E5" s="4747"/>
      <c r="F5" s="554"/>
      <c r="G5" s="555">
        <f>+SUMIF(WRM!$C$7:$C$122,$D5,WRM!$F$7:$F$122)</f>
        <v>1262.8000000000002</v>
      </c>
      <c r="H5" s="555"/>
      <c r="I5" s="555">
        <f>+SUMIF(WRM!$C$7:$C$122,$D5,WRM!$H$7:$H$122)</f>
        <v>0</v>
      </c>
      <c r="J5" s="625"/>
      <c r="K5" s="625">
        <f t="shared" si="0"/>
        <v>1262.8000000000002</v>
      </c>
      <c r="L5" s="555"/>
      <c r="M5" s="555">
        <f>+SUMIF(WRM!$C$7:$C$122,$D5,WRM!$L$7:$L$122)</f>
        <v>0</v>
      </c>
      <c r="N5" s="630"/>
      <c r="O5" s="630">
        <f t="shared" si="1"/>
        <v>1262.8000000000002</v>
      </c>
      <c r="P5" s="555"/>
      <c r="Q5" s="555">
        <f>+SUMIF(WRM!$C$7:$C$122,$D5,WRM!P$7:$P$122)</f>
        <v>0</v>
      </c>
      <c r="R5" s="630"/>
      <c r="S5" s="630">
        <f t="shared" ref="S5:S24" si="2">O5+Q5</f>
        <v>1262.8000000000002</v>
      </c>
      <c r="T5" s="555"/>
      <c r="U5" s="555">
        <f>+SUMIF(WRM!$C$7:$C$122,$D5,WRM!$T$7:T$122)</f>
        <v>0</v>
      </c>
      <c r="V5" s="630"/>
      <c r="W5" s="630">
        <f t="shared" ref="W5:W37" si="3">S5+U5</f>
        <v>1262.8000000000002</v>
      </c>
      <c r="X5" s="630"/>
      <c r="Y5" s="555">
        <f>+SUMIF(WRM!$C$7:$C$122,$D5,WRM!$X$7:X$122)</f>
        <v>0</v>
      </c>
      <c r="Z5" s="630"/>
      <c r="AA5" s="2213">
        <f t="shared" ref="AA5:AA37" si="4">Q5+U5+Y5</f>
        <v>0</v>
      </c>
      <c r="AB5" s="2255"/>
      <c r="AC5" s="1172">
        <f t="shared" ref="AC5:AC37" si="5">O5+AA5</f>
        <v>1262.8000000000002</v>
      </c>
      <c r="AD5" s="630"/>
      <c r="AE5" s="555">
        <f>+SUMIF(WRM!$C$7:$C$122,$D5,WRM!$AD$7:$AD$122)</f>
        <v>0</v>
      </c>
      <c r="AF5" s="630"/>
      <c r="AG5" s="630">
        <f t="shared" ref="AG5:AG37" si="6">AC5+AE5</f>
        <v>1262.8000000000002</v>
      </c>
      <c r="AH5" s="630"/>
      <c r="AI5" s="555">
        <f>+SUMIF(WRM!$C$7:$C$122,$D5,WRM!$AH$7:$AH$122)</f>
        <v>0</v>
      </c>
      <c r="AJ5" s="625"/>
      <c r="AK5" s="625">
        <f t="shared" ref="AK5:AK37" si="7">AG5+AI5</f>
        <v>1262.8000000000002</v>
      </c>
      <c r="AL5" s="630"/>
      <c r="AM5" s="555">
        <f>+SUMIF(WRM!$C$7:$C$122,$D5,WRM!$AL$7:$AL$122)</f>
        <v>0</v>
      </c>
      <c r="AN5" s="630"/>
      <c r="AO5" s="2213">
        <f t="shared" ref="AO5:AO37" si="8">AE5+AI5+AM5</f>
        <v>0</v>
      </c>
      <c r="AP5" s="625"/>
      <c r="AQ5" s="625">
        <f t="shared" ref="AQ5:AQ37" si="9">AK5+AM5</f>
        <v>1262.8000000000002</v>
      </c>
      <c r="AR5" s="630"/>
      <c r="AS5" s="555">
        <f>+SUMIF(WRM!$C$7:$C$122,$D5,WRM!$AR$7:$AR$122)</f>
        <v>678.55000000000007</v>
      </c>
      <c r="AT5" s="625"/>
      <c r="AU5" s="625">
        <f t="shared" ref="AU5:AU37" si="10">AQ5+AS5</f>
        <v>1941.3500000000004</v>
      </c>
      <c r="AV5" s="630"/>
      <c r="AW5" s="555">
        <f>+SUMIF(WRM!$C$7:$C$122,$D5,WRM!$AV$7:$AV$122)</f>
        <v>0</v>
      </c>
      <c r="AX5" s="625"/>
      <c r="AY5" s="625">
        <f t="shared" ref="AY5:AY37" si="11">AU5+AW5</f>
        <v>1941.3500000000004</v>
      </c>
      <c r="AZ5" s="630"/>
      <c r="BA5" s="555">
        <f>+SUMIF(WRM!$C$7:$C$122,$D5,WRM!$AZ$7:$AZ$122)</f>
        <v>0</v>
      </c>
      <c r="BB5" s="630"/>
      <c r="BC5" s="2213">
        <f t="shared" ref="BC5:BC37" si="12">AS5+AW5+BA5</f>
        <v>678.55000000000007</v>
      </c>
      <c r="BD5" s="2255"/>
      <c r="BE5" s="1172">
        <f t="shared" ref="BE5:BE68" si="13">AO5+BC5</f>
        <v>678.55000000000007</v>
      </c>
      <c r="BF5" s="625"/>
      <c r="BG5" s="625">
        <f t="shared" ref="BG5:BG70" si="14">AY5+BA5</f>
        <v>1941.3500000000004</v>
      </c>
      <c r="BH5" s="26"/>
      <c r="BI5" s="26"/>
      <c r="BJ5" s="26"/>
    </row>
    <row r="6" spans="3:62" ht="18" x14ac:dyDescent="0.35">
      <c r="C6" s="554" t="s">
        <v>16</v>
      </c>
      <c r="D6" s="1635" t="s">
        <v>1326</v>
      </c>
      <c r="E6" s="4747"/>
      <c r="F6" s="554"/>
      <c r="G6" s="555">
        <f>+SUMIF(WRM!$C$7:$C$122,$D6,WRM!$F$7:$F$122)</f>
        <v>0</v>
      </c>
      <c r="H6" s="555"/>
      <c r="I6" s="555">
        <f>+SUMIF(WRM!$C$7:$C$122,$D6,WRM!$H$7:$H$122)</f>
        <v>0</v>
      </c>
      <c r="J6" s="625"/>
      <c r="K6" s="625">
        <f t="shared" si="0"/>
        <v>0</v>
      </c>
      <c r="L6" s="555"/>
      <c r="M6" s="555">
        <f>+SUMIF(WRM!$C$7:$C$122,$D6,WRM!$L$7:$L$122)</f>
        <v>161.95000000000002</v>
      </c>
      <c r="N6" s="630"/>
      <c r="O6" s="630">
        <f t="shared" si="1"/>
        <v>161.95000000000002</v>
      </c>
      <c r="P6" s="555"/>
      <c r="Q6" s="555">
        <f>+SUMIF(WRM!$C$7:$C$122,$D6,WRM!P$7:$P$122)</f>
        <v>676.5</v>
      </c>
      <c r="R6" s="630"/>
      <c r="S6" s="630">
        <f t="shared" si="2"/>
        <v>838.45</v>
      </c>
      <c r="T6" s="555"/>
      <c r="U6" s="555">
        <f>+SUMIF(WRM!$C$7:$C$122,$D6,WRM!$T$7:T$122)</f>
        <v>211.14999999999998</v>
      </c>
      <c r="V6" s="630"/>
      <c r="W6" s="630">
        <f t="shared" si="3"/>
        <v>1049.5999999999999</v>
      </c>
      <c r="X6" s="630"/>
      <c r="Y6" s="555">
        <f>+SUMIF(WRM!$C$7:$C$122,$D6,WRM!$X$7:X$122)</f>
        <v>1326.3500000000001</v>
      </c>
      <c r="Z6" s="630"/>
      <c r="AA6" s="2213">
        <f t="shared" si="4"/>
        <v>2214</v>
      </c>
      <c r="AB6" s="2255"/>
      <c r="AC6" s="1172">
        <f t="shared" si="5"/>
        <v>2375.9499999999998</v>
      </c>
      <c r="AD6" s="630"/>
      <c r="AE6" s="555">
        <f>+SUMIF(WRM!$C$7:$C$122,$D6,WRM!$AD$7:$AD$122)</f>
        <v>731.85000000000014</v>
      </c>
      <c r="AF6" s="630"/>
      <c r="AG6" s="630">
        <f t="shared" si="6"/>
        <v>3107.8</v>
      </c>
      <c r="AH6" s="630"/>
      <c r="AI6" s="555">
        <f>+SUMIF(WRM!$C$7:$C$122,$D6,WRM!$AH$7:$AH$122)</f>
        <v>147.6</v>
      </c>
      <c r="AJ6" s="625"/>
      <c r="AK6" s="625">
        <f t="shared" si="7"/>
        <v>3255.4</v>
      </c>
      <c r="AL6" s="630"/>
      <c r="AM6" s="555">
        <f>+SUMIF(WRM!$C$7:$C$122,$D6,WRM!$AL$7:$AL$122)</f>
        <v>573.99999999999989</v>
      </c>
      <c r="AN6" s="630"/>
      <c r="AO6" s="2213">
        <f t="shared" si="8"/>
        <v>1453.45</v>
      </c>
      <c r="AP6" s="625"/>
      <c r="AQ6" s="625">
        <f t="shared" si="9"/>
        <v>3829.4</v>
      </c>
      <c r="AR6" s="630"/>
      <c r="AS6" s="555">
        <f>+SUMIF(WRM!$C$7:$C$122,$D6,WRM!$AR$7:$AR$122)</f>
        <v>196.79999999999998</v>
      </c>
      <c r="AT6" s="625"/>
      <c r="AU6" s="625">
        <f t="shared" si="10"/>
        <v>4026.2000000000003</v>
      </c>
      <c r="AV6" s="630"/>
      <c r="AW6" s="555">
        <f>+SUMIF(WRM!$C$7:$C$122,$D6,WRM!$AV$7:$AV$122)</f>
        <v>592.45000000000005</v>
      </c>
      <c r="AX6" s="625"/>
      <c r="AY6" s="625">
        <f t="shared" si="11"/>
        <v>4618.6500000000005</v>
      </c>
      <c r="AZ6" s="630"/>
      <c r="BA6" s="555">
        <f>+SUMIF(WRM!$C$7:$C$122,$D6,WRM!$AZ$7:$AZ$122)</f>
        <v>0</v>
      </c>
      <c r="BB6" s="630"/>
      <c r="BC6" s="2213">
        <f t="shared" si="12"/>
        <v>789.25</v>
      </c>
      <c r="BD6" s="2255"/>
      <c r="BE6" s="1172">
        <f t="shared" si="13"/>
        <v>2242.6999999999998</v>
      </c>
      <c r="BF6" s="625"/>
      <c r="BG6" s="625">
        <f t="shared" si="14"/>
        <v>4618.6500000000005</v>
      </c>
      <c r="BH6" s="26"/>
      <c r="BI6" s="26"/>
      <c r="BJ6" s="26"/>
    </row>
    <row r="7" spans="3:62" ht="18" x14ac:dyDescent="0.35">
      <c r="C7" s="554" t="s">
        <v>16</v>
      </c>
      <c r="D7" s="1635" t="s">
        <v>950</v>
      </c>
      <c r="E7" s="4747"/>
      <c r="F7" s="554"/>
      <c r="G7" s="555">
        <f>+SUMIF(WRM!$C$7:$C$122,$D7,WRM!$F$7:$F$122)</f>
        <v>0</v>
      </c>
      <c r="H7" s="555"/>
      <c r="I7" s="555">
        <f>+SUMIF(WRM!$C$7:$C$122,$D7,WRM!$H$7:$H$122)</f>
        <v>104.55</v>
      </c>
      <c r="J7" s="625"/>
      <c r="K7" s="625">
        <f t="shared" si="0"/>
        <v>104.55</v>
      </c>
      <c r="L7" s="555"/>
      <c r="M7" s="555">
        <f>+SUMIF(WRM!$C$7:$C$122,$D7,WRM!$L$7:$L$122)</f>
        <v>0</v>
      </c>
      <c r="N7" s="630"/>
      <c r="O7" s="630">
        <f t="shared" si="1"/>
        <v>104.55</v>
      </c>
      <c r="P7" s="555"/>
      <c r="Q7" s="555">
        <f>+SUMIF(WRM!$C$7:$C$122,$D7,WRM!P$7:$P$122)</f>
        <v>0</v>
      </c>
      <c r="R7" s="630"/>
      <c r="S7" s="630">
        <f t="shared" si="2"/>
        <v>104.55</v>
      </c>
      <c r="T7" s="555"/>
      <c r="U7" s="555">
        <f>+SUMIF(WRM!$C$7:$C$122,$D7,WRM!$T$7:T$122)</f>
        <v>0</v>
      </c>
      <c r="V7" s="630"/>
      <c r="W7" s="630">
        <f t="shared" si="3"/>
        <v>104.55</v>
      </c>
      <c r="X7" s="630"/>
      <c r="Y7" s="555">
        <f>+SUMIF(WRM!$C$7:$C$122,$D7,WRM!$X$7:X$122)</f>
        <v>0</v>
      </c>
      <c r="Z7" s="630"/>
      <c r="AA7" s="2213">
        <f t="shared" si="4"/>
        <v>0</v>
      </c>
      <c r="AB7" s="2255"/>
      <c r="AC7" s="1172">
        <f t="shared" si="5"/>
        <v>104.55</v>
      </c>
      <c r="AD7" s="630"/>
      <c r="AE7" s="555">
        <f>+SUMIF(WRM!$C$7:$C$122,$D7,WRM!$AD$7:$AD$122)</f>
        <v>0</v>
      </c>
      <c r="AF7" s="630"/>
      <c r="AG7" s="630">
        <f t="shared" si="6"/>
        <v>104.55</v>
      </c>
      <c r="AH7" s="630"/>
      <c r="AI7" s="555">
        <f>+SUMIF(WRM!$C$7:$C$122,$D7,WRM!$AH$7:$AH$122)</f>
        <v>0</v>
      </c>
      <c r="AJ7" s="625"/>
      <c r="AK7" s="625">
        <f t="shared" si="7"/>
        <v>104.55</v>
      </c>
      <c r="AL7" s="630"/>
      <c r="AM7" s="555">
        <f>+SUMIF(WRM!$C$7:$C$122,$D7,WRM!$AL$7:$AL$122)</f>
        <v>0</v>
      </c>
      <c r="AN7" s="630"/>
      <c r="AO7" s="2213">
        <f t="shared" si="8"/>
        <v>0</v>
      </c>
      <c r="AP7" s="625"/>
      <c r="AQ7" s="625">
        <f t="shared" si="9"/>
        <v>104.55</v>
      </c>
      <c r="AR7" s="630"/>
      <c r="AS7" s="555">
        <f>+SUMIF(WRM!$C$7:$C$122,$D7,WRM!$AR$7:$AR$122)</f>
        <v>0</v>
      </c>
      <c r="AT7" s="625"/>
      <c r="AU7" s="625">
        <f t="shared" si="10"/>
        <v>104.55</v>
      </c>
      <c r="AV7" s="630"/>
      <c r="AW7" s="555">
        <f>+SUMIF(WRM!$C$7:$C$122,$D7,WRM!$AV$7:$AV$122)</f>
        <v>0</v>
      </c>
      <c r="AX7" s="625"/>
      <c r="AY7" s="625">
        <f t="shared" si="11"/>
        <v>104.55</v>
      </c>
      <c r="AZ7" s="630"/>
      <c r="BA7" s="555">
        <f>+SUMIF(WRM!$C$7:$C$122,$D7,WRM!$AZ$7:$AZ$122)</f>
        <v>0</v>
      </c>
      <c r="BB7" s="630"/>
      <c r="BC7" s="2213">
        <f t="shared" si="12"/>
        <v>0</v>
      </c>
      <c r="BD7" s="2255"/>
      <c r="BE7" s="1172">
        <f t="shared" si="13"/>
        <v>0</v>
      </c>
      <c r="BF7" s="625"/>
      <c r="BG7" s="625">
        <f t="shared" si="14"/>
        <v>104.55</v>
      </c>
      <c r="BH7" s="26"/>
      <c r="BI7" s="26"/>
      <c r="BJ7" s="26"/>
    </row>
    <row r="8" spans="3:62" ht="18" x14ac:dyDescent="0.35">
      <c r="C8" s="554" t="s">
        <v>16</v>
      </c>
      <c r="D8" s="1635" t="s">
        <v>1377</v>
      </c>
      <c r="E8" s="4747"/>
      <c r="F8" s="554"/>
      <c r="G8" s="555">
        <f>+SUMIF(WRM!$C$7:$C$122,$D8,WRM!$F$7:$F$122)</f>
        <v>0</v>
      </c>
      <c r="H8" s="555"/>
      <c r="I8" s="555">
        <f>+SUMIF(WRM!$C$7:$C$122,$D8,WRM!$H$7:$H$122)</f>
        <v>0</v>
      </c>
      <c r="J8" s="625"/>
      <c r="K8" s="625">
        <f t="shared" si="0"/>
        <v>0</v>
      </c>
      <c r="L8" s="555"/>
      <c r="M8" s="555">
        <f>+SUMIF(WRM!$C$7:$C$122,$D8,WRM!$L$7:$L$122)</f>
        <v>0</v>
      </c>
      <c r="N8" s="630"/>
      <c r="O8" s="630">
        <f t="shared" si="1"/>
        <v>0</v>
      </c>
      <c r="P8" s="555"/>
      <c r="Q8" s="555">
        <f>+SUMIF(WRM!$C$7:$C$122,$D8,WRM!P$7:$P$122)</f>
        <v>0</v>
      </c>
      <c r="R8" s="630"/>
      <c r="S8" s="630">
        <f t="shared" si="2"/>
        <v>0</v>
      </c>
      <c r="T8" s="555"/>
      <c r="U8" s="555">
        <f>+SUMIF(WRM!$C$7:$C$122,$D8,WRM!$T$7:T$122)</f>
        <v>0</v>
      </c>
      <c r="V8" s="630"/>
      <c r="W8" s="630">
        <f t="shared" si="3"/>
        <v>0</v>
      </c>
      <c r="X8" s="630"/>
      <c r="Y8" s="555">
        <f>+SUMIF(WRM!$C$7:$C$122,$D8,WRM!$X$7:X$122)</f>
        <v>0</v>
      </c>
      <c r="Z8" s="630"/>
      <c r="AA8" s="2213">
        <f t="shared" si="4"/>
        <v>0</v>
      </c>
      <c r="AB8" s="2255"/>
      <c r="AC8" s="1172">
        <f t="shared" si="5"/>
        <v>0</v>
      </c>
      <c r="AD8" s="630"/>
      <c r="AE8" s="555">
        <f>+SUMIF(WRM!$C$7:$C$122,$D8,WRM!$AD$7:$AD$122)</f>
        <v>0</v>
      </c>
      <c r="AF8" s="630"/>
      <c r="AG8" s="630">
        <f t="shared" si="6"/>
        <v>0</v>
      </c>
      <c r="AH8" s="630"/>
      <c r="AI8" s="555">
        <f>+SUMIF(WRM!$C$7:$C$122,$D8,WRM!$AH$7:$AH$122)</f>
        <v>0</v>
      </c>
      <c r="AJ8" s="625"/>
      <c r="AK8" s="625">
        <f t="shared" si="7"/>
        <v>0</v>
      </c>
      <c r="AL8" s="630"/>
      <c r="AM8" s="555">
        <f>+SUMIF(WRM!$C$7:$C$122,$D8,WRM!$AL$7:$AL$122)</f>
        <v>0</v>
      </c>
      <c r="AN8" s="630"/>
      <c r="AO8" s="2213">
        <f t="shared" si="8"/>
        <v>0</v>
      </c>
      <c r="AP8" s="625"/>
      <c r="AQ8" s="625">
        <f t="shared" si="9"/>
        <v>0</v>
      </c>
      <c r="AR8" s="630"/>
      <c r="AS8" s="555">
        <f>+SUMIF(WRM!$C$7:$C$122,$D8,WRM!$AR$7:$AR$122)</f>
        <v>0</v>
      </c>
      <c r="AT8" s="625"/>
      <c r="AU8" s="625">
        <f t="shared" si="10"/>
        <v>0</v>
      </c>
      <c r="AV8" s="630"/>
      <c r="AW8" s="555">
        <f>+SUMIF(WRM!$C$7:$C$122,$D8,WRM!$AV$7:$AV$122)</f>
        <v>0</v>
      </c>
      <c r="AX8" s="625"/>
      <c r="AY8" s="625">
        <f t="shared" si="11"/>
        <v>0</v>
      </c>
      <c r="AZ8" s="630"/>
      <c r="BA8" s="555">
        <f>+SUMIF(WRM!$C$7:$C$122,$D8,WRM!$AZ$7:$AZ$122)</f>
        <v>0</v>
      </c>
      <c r="BB8" s="630"/>
      <c r="BC8" s="2213">
        <f t="shared" si="12"/>
        <v>0</v>
      </c>
      <c r="BD8" s="2255"/>
      <c r="BE8" s="1172">
        <f t="shared" si="13"/>
        <v>0</v>
      </c>
      <c r="BF8" s="625"/>
      <c r="BG8" s="625">
        <f t="shared" si="14"/>
        <v>0</v>
      </c>
      <c r="BH8" s="26"/>
      <c r="BI8" s="26"/>
      <c r="BJ8" s="26"/>
    </row>
    <row r="9" spans="3:62" ht="18" x14ac:dyDescent="0.35">
      <c r="C9" s="554" t="s">
        <v>16</v>
      </c>
      <c r="D9" s="1635" t="s">
        <v>874</v>
      </c>
      <c r="E9" s="4747"/>
      <c r="F9" s="554"/>
      <c r="G9" s="555">
        <f>+SUMIF(WRM!$C$7:$C$122,$D9,WRM!$F$7:$F$122)</f>
        <v>4233.3500000000004</v>
      </c>
      <c r="H9" s="555"/>
      <c r="I9" s="555">
        <f>+SUMIF(WRM!$C$7:$C$122,$D9,WRM!$H$7:$H$122)</f>
        <v>9493.5499999999993</v>
      </c>
      <c r="J9" s="625"/>
      <c r="K9" s="625">
        <f t="shared" si="0"/>
        <v>13726.9</v>
      </c>
      <c r="L9" s="555"/>
      <c r="M9" s="555">
        <f>+SUMIF(WRM!$C$7:$C$122,$D9,WRM!$L$7:$L$122)</f>
        <v>4954.8500000000004</v>
      </c>
      <c r="N9" s="630"/>
      <c r="O9" s="630">
        <f t="shared" si="1"/>
        <v>18681.75</v>
      </c>
      <c r="P9" s="555"/>
      <c r="Q9" s="555">
        <f>+SUMIF(WRM!$C$7:$C$122,$D9,WRM!P$7:$P$122)</f>
        <v>7790.0000000000009</v>
      </c>
      <c r="R9" s="630"/>
      <c r="S9" s="630">
        <f t="shared" si="2"/>
        <v>26471.75</v>
      </c>
      <c r="T9" s="555"/>
      <c r="U9" s="555">
        <f>+SUMIF(WRM!$C$7:$C$122,$D9,WRM!$T$7:T$122)</f>
        <v>6562.05</v>
      </c>
      <c r="V9" s="630"/>
      <c r="W9" s="630">
        <f t="shared" si="3"/>
        <v>33033.800000000003</v>
      </c>
      <c r="X9" s="630"/>
      <c r="Y9" s="555">
        <f>+SUMIF(WRM!$C$7:$C$122,$D9,WRM!$X$7:X$122)</f>
        <v>8247.15</v>
      </c>
      <c r="Z9" s="630"/>
      <c r="AA9" s="2213">
        <f t="shared" si="4"/>
        <v>22599.200000000001</v>
      </c>
      <c r="AB9" s="2255"/>
      <c r="AC9" s="1172">
        <f t="shared" si="5"/>
        <v>41280.949999999997</v>
      </c>
      <c r="AD9" s="630"/>
      <c r="AE9" s="555">
        <f>+SUMIF(WRM!$C$7:$C$122,$D9,WRM!$AD$7:$AD$122)</f>
        <v>7002.8000000000075</v>
      </c>
      <c r="AF9" s="630"/>
      <c r="AG9" s="630">
        <f t="shared" si="6"/>
        <v>48283.750000000007</v>
      </c>
      <c r="AH9" s="630"/>
      <c r="AI9" s="555">
        <f>+SUMIF(WRM!$C$7:$C$122,$D9,WRM!$AH$7:$AH$122)</f>
        <v>3649</v>
      </c>
      <c r="AJ9" s="625"/>
      <c r="AK9" s="625">
        <f t="shared" si="7"/>
        <v>51932.750000000007</v>
      </c>
      <c r="AL9" s="630"/>
      <c r="AM9" s="555">
        <f>+SUMIF(WRM!$C$7:$C$122,$D9,WRM!$AL$7:$AL$122)</f>
        <v>6063.9</v>
      </c>
      <c r="AN9" s="630"/>
      <c r="AO9" s="2213">
        <f t="shared" si="8"/>
        <v>16715.700000000004</v>
      </c>
      <c r="AP9" s="625"/>
      <c r="AQ9" s="625">
        <f t="shared" si="9"/>
        <v>57996.650000000009</v>
      </c>
      <c r="AR9" s="630"/>
      <c r="AS9" s="555">
        <f>+SUMIF(WRM!$C$7:$C$122,$D9,WRM!$AR$7:$AR$122)</f>
        <v>7312.35</v>
      </c>
      <c r="AT9" s="625"/>
      <c r="AU9" s="625">
        <f t="shared" si="10"/>
        <v>65309.000000000007</v>
      </c>
      <c r="AV9" s="630"/>
      <c r="AW9" s="555">
        <f>+SUMIF(WRM!$C$7:$C$122,$D9,WRM!$AV$7:$AV$122)</f>
        <v>7252.9</v>
      </c>
      <c r="AX9" s="625"/>
      <c r="AY9" s="625">
        <f t="shared" si="11"/>
        <v>72561.900000000009</v>
      </c>
      <c r="AZ9" s="630"/>
      <c r="BA9" s="555">
        <f>+SUMIF(WRM!$C$7:$C$122,$D9,WRM!$AZ$7:$AZ$122)</f>
        <v>4592.0000000000009</v>
      </c>
      <c r="BB9" s="630"/>
      <c r="BC9" s="2213">
        <f t="shared" si="12"/>
        <v>19157.25</v>
      </c>
      <c r="BD9" s="2255"/>
      <c r="BE9" s="1172">
        <f t="shared" si="13"/>
        <v>35872.950000000004</v>
      </c>
      <c r="BF9" s="625"/>
      <c r="BG9" s="625">
        <f t="shared" si="14"/>
        <v>77153.900000000009</v>
      </c>
      <c r="BH9" s="26"/>
      <c r="BI9" s="26"/>
      <c r="BJ9" s="26"/>
    </row>
    <row r="10" spans="3:62" ht="18" x14ac:dyDescent="0.35">
      <c r="C10" s="554" t="s">
        <v>16</v>
      </c>
      <c r="D10" s="1635" t="s">
        <v>2275</v>
      </c>
      <c r="E10" s="4747"/>
      <c r="F10" s="554"/>
      <c r="G10" s="555">
        <f>+SUMIF(WRM!$C$7:$C$122,$D10,WRM!$F$7:$F$122)</f>
        <v>0</v>
      </c>
      <c r="H10" s="555"/>
      <c r="I10" s="555">
        <f>+SUMIF(WRM!$C$7:$C$122,$D10,WRM!$H$7:$H$122)</f>
        <v>0</v>
      </c>
      <c r="J10" s="625"/>
      <c r="K10" s="625">
        <f t="shared" si="0"/>
        <v>0</v>
      </c>
      <c r="L10" s="555"/>
      <c r="M10" s="555">
        <f>+SUMIF(WRM!$C$7:$C$122,$D10,WRM!$L$7:$L$122)</f>
        <v>3761.75</v>
      </c>
      <c r="N10" s="630"/>
      <c r="O10" s="630">
        <f t="shared" si="1"/>
        <v>3761.75</v>
      </c>
      <c r="P10" s="555"/>
      <c r="Q10" s="555">
        <f>+SUMIF(WRM!$C$7:$C$122,$D10,WRM!P$7:$P$122)</f>
        <v>9542.7500000000018</v>
      </c>
      <c r="R10" s="630"/>
      <c r="S10" s="630">
        <f t="shared" si="2"/>
        <v>13304.500000000002</v>
      </c>
      <c r="T10" s="555"/>
      <c r="U10" s="555">
        <f>+SUMIF(WRM!$C$7:$C$122,$D10,WRM!$T$7:T$122)</f>
        <v>0</v>
      </c>
      <c r="V10" s="630"/>
      <c r="W10" s="630">
        <f t="shared" si="3"/>
        <v>13304.500000000002</v>
      </c>
      <c r="X10" s="630"/>
      <c r="Y10" s="555">
        <f>+SUMIF(WRM!$C$7:$C$122,$D10,WRM!$X$7:X$122)</f>
        <v>0</v>
      </c>
      <c r="Z10" s="630"/>
      <c r="AA10" s="2213">
        <f t="shared" si="4"/>
        <v>9542.7500000000018</v>
      </c>
      <c r="AB10" s="2255"/>
      <c r="AC10" s="1172">
        <f t="shared" si="5"/>
        <v>13304.500000000002</v>
      </c>
      <c r="AD10" s="630"/>
      <c r="AE10" s="555">
        <f>+SUMIF(WRM!$C$7:$C$122,$D10,WRM!$AD$7:$AD$122)</f>
        <v>0</v>
      </c>
      <c r="AF10" s="630"/>
      <c r="AG10" s="630">
        <f t="shared" si="6"/>
        <v>13304.500000000002</v>
      </c>
      <c r="AH10" s="630"/>
      <c r="AI10" s="555">
        <f>+SUMIF(WRM!$C$7:$C$122,$D10,WRM!$AH$7:$AH$122)</f>
        <v>0</v>
      </c>
      <c r="AJ10" s="625"/>
      <c r="AK10" s="625">
        <f t="shared" si="7"/>
        <v>13304.500000000002</v>
      </c>
      <c r="AL10" s="630"/>
      <c r="AM10" s="555">
        <f>+SUMIF(WRM!$C$7:$C$122,$D10,WRM!$AL$7:$AL$122)</f>
        <v>0</v>
      </c>
      <c r="AN10" s="630"/>
      <c r="AO10" s="2213">
        <f t="shared" si="8"/>
        <v>0</v>
      </c>
      <c r="AP10" s="625"/>
      <c r="AQ10" s="625">
        <f t="shared" si="9"/>
        <v>13304.500000000002</v>
      </c>
      <c r="AR10" s="630"/>
      <c r="AS10" s="555">
        <f>+SUMIF(WRM!$C$7:$C$122,$D10,WRM!$AR$7:$AR$122)</f>
        <v>0</v>
      </c>
      <c r="AT10" s="625"/>
      <c r="AU10" s="625">
        <f t="shared" si="10"/>
        <v>13304.500000000002</v>
      </c>
      <c r="AV10" s="630"/>
      <c r="AW10" s="555">
        <f>+SUMIF(WRM!$C$7:$C$122,$D10,WRM!$AV$7:$AV$122)</f>
        <v>0</v>
      </c>
      <c r="AX10" s="625"/>
      <c r="AY10" s="625">
        <f t="shared" si="11"/>
        <v>13304.500000000002</v>
      </c>
      <c r="AZ10" s="630"/>
      <c r="BA10" s="555">
        <f>+SUMIF(WRM!$C$7:$C$122,$D10,WRM!$AZ$7:$AZ$122)</f>
        <v>0</v>
      </c>
      <c r="BB10" s="630"/>
      <c r="BC10" s="2213">
        <f t="shared" si="12"/>
        <v>0</v>
      </c>
      <c r="BD10" s="2255"/>
      <c r="BE10" s="1172">
        <f t="shared" si="13"/>
        <v>0</v>
      </c>
      <c r="BF10" s="625"/>
      <c r="BG10" s="625">
        <f t="shared" si="14"/>
        <v>13304.500000000002</v>
      </c>
      <c r="BH10" s="26"/>
      <c r="BI10" s="26"/>
      <c r="BJ10" s="26"/>
    </row>
    <row r="11" spans="3:62" ht="18" x14ac:dyDescent="0.35">
      <c r="C11" s="554" t="s">
        <v>16</v>
      </c>
      <c r="D11" s="1635" t="s">
        <v>1269</v>
      </c>
      <c r="E11" s="4747"/>
      <c r="F11" s="554"/>
      <c r="G11" s="555">
        <f>+SUMIF(WRM!$C$7:$C$122,$D11,WRM!$F$7:$F$122)</f>
        <v>0</v>
      </c>
      <c r="H11" s="555"/>
      <c r="I11" s="555">
        <f>+SUMIF(WRM!$C$7:$C$122,$D11,WRM!$H$7:$H$122)</f>
        <v>0</v>
      </c>
      <c r="J11" s="625"/>
      <c r="K11" s="625">
        <f t="shared" si="0"/>
        <v>0</v>
      </c>
      <c r="L11" s="555"/>
      <c r="M11" s="555">
        <f>+SUMIF(WRM!$C$7:$C$122,$D11,WRM!$L$7:$L$122)</f>
        <v>5602.0499999999993</v>
      </c>
      <c r="N11" s="630"/>
      <c r="O11" s="630">
        <f t="shared" si="1"/>
        <v>5602.0499999999993</v>
      </c>
      <c r="P11" s="555"/>
      <c r="Q11" s="555">
        <f>+SUMIF(WRM!$C$7:$C$122,$D11,WRM!P$7:$P$122)</f>
        <v>1707.6499999999999</v>
      </c>
      <c r="R11" s="630"/>
      <c r="S11" s="630">
        <f t="shared" si="2"/>
        <v>7309.6999999999989</v>
      </c>
      <c r="T11" s="555"/>
      <c r="U11" s="555">
        <f>+SUMIF(WRM!$C$7:$C$122,$D11,WRM!$T$7:T$122)</f>
        <v>0</v>
      </c>
      <c r="V11" s="630"/>
      <c r="W11" s="630">
        <f t="shared" si="3"/>
        <v>7309.6999999999989</v>
      </c>
      <c r="X11" s="630"/>
      <c r="Y11" s="555">
        <f>+SUMIF(WRM!$C$7:$C$122,$D11,WRM!$X$7:X$122)</f>
        <v>0</v>
      </c>
      <c r="Z11" s="630"/>
      <c r="AA11" s="2213">
        <f t="shared" si="4"/>
        <v>1707.6499999999999</v>
      </c>
      <c r="AB11" s="2255"/>
      <c r="AC11" s="1172">
        <f t="shared" si="5"/>
        <v>7309.6999999999989</v>
      </c>
      <c r="AD11" s="630"/>
      <c r="AE11" s="555">
        <f>+SUMIF(WRM!$C$7:$C$122,$D11,WRM!$AD$7:$AD$122)</f>
        <v>0</v>
      </c>
      <c r="AF11" s="630"/>
      <c r="AG11" s="630">
        <f t="shared" si="6"/>
        <v>7309.6999999999989</v>
      </c>
      <c r="AH11" s="630"/>
      <c r="AI11" s="555">
        <f>+SUMIF(WRM!$C$7:$C$122,$D11,WRM!$AH$7:$AH$122)</f>
        <v>0</v>
      </c>
      <c r="AJ11" s="625"/>
      <c r="AK11" s="625">
        <f t="shared" si="7"/>
        <v>7309.6999999999989</v>
      </c>
      <c r="AL11" s="630"/>
      <c r="AM11" s="555">
        <f>+SUMIF(WRM!$C$7:$C$122,$D11,WRM!$AL$7:$AL$122)</f>
        <v>0</v>
      </c>
      <c r="AN11" s="630"/>
      <c r="AO11" s="2213">
        <f t="shared" si="8"/>
        <v>0</v>
      </c>
      <c r="AP11" s="625"/>
      <c r="AQ11" s="625">
        <f t="shared" si="9"/>
        <v>7309.6999999999989</v>
      </c>
      <c r="AR11" s="630"/>
      <c r="AS11" s="555">
        <f>+SUMIF(WRM!$C$7:$C$122,$D11,WRM!$AR$7:$AR$122)</f>
        <v>0</v>
      </c>
      <c r="AT11" s="625"/>
      <c r="AU11" s="625">
        <f t="shared" si="10"/>
        <v>7309.6999999999989</v>
      </c>
      <c r="AV11" s="630"/>
      <c r="AW11" s="555">
        <f>+SUMIF(WRM!$C$7:$C$122,$D11,WRM!$AV$7:$AV$122)</f>
        <v>0</v>
      </c>
      <c r="AX11" s="625"/>
      <c r="AY11" s="625">
        <f t="shared" si="11"/>
        <v>7309.6999999999989</v>
      </c>
      <c r="AZ11" s="630"/>
      <c r="BA11" s="555">
        <f>+SUMIF(WRM!$C$7:$C$122,$D11,WRM!$AZ$7:$AZ$122)</f>
        <v>0</v>
      </c>
      <c r="BB11" s="630"/>
      <c r="BC11" s="2213">
        <f t="shared" si="12"/>
        <v>0</v>
      </c>
      <c r="BD11" s="2255"/>
      <c r="BE11" s="1172">
        <f t="shared" si="13"/>
        <v>0</v>
      </c>
      <c r="BF11" s="625"/>
      <c r="BG11" s="625">
        <f t="shared" si="14"/>
        <v>7309.6999999999989</v>
      </c>
      <c r="BH11" s="26"/>
      <c r="BI11" s="26"/>
      <c r="BJ11" s="26"/>
    </row>
    <row r="12" spans="3:62" ht="18" x14ac:dyDescent="0.35">
      <c r="C12" s="554" t="s">
        <v>16</v>
      </c>
      <c r="D12" s="1635" t="s">
        <v>971</v>
      </c>
      <c r="E12" s="4747"/>
      <c r="F12" s="554"/>
      <c r="G12" s="555">
        <f>+SUMIF(WRM!$C$7:$C$122,$D12,WRM!$F$7:$F$122)</f>
        <v>1096.75</v>
      </c>
      <c r="H12" s="555"/>
      <c r="I12" s="555">
        <f>+SUMIF(WRM!$C$7:$C$122,$D12,WRM!$H$7:$H$122)</f>
        <v>223.45000000000002</v>
      </c>
      <c r="J12" s="625"/>
      <c r="K12" s="625">
        <f t="shared" si="0"/>
        <v>1320.2</v>
      </c>
      <c r="L12" s="555"/>
      <c r="M12" s="555">
        <f>+SUMIF(WRM!$C$7:$C$122,$D12,WRM!$L$7:$L$122)</f>
        <v>701.1</v>
      </c>
      <c r="N12" s="630"/>
      <c r="O12" s="630">
        <f t="shared" si="1"/>
        <v>2021.3000000000002</v>
      </c>
      <c r="P12" s="555"/>
      <c r="Q12" s="555">
        <f>+SUMIF(WRM!$C$7:$C$122,$D12,WRM!P$7:$P$122)</f>
        <v>455.09999999999997</v>
      </c>
      <c r="R12" s="630"/>
      <c r="S12" s="630">
        <f t="shared" si="2"/>
        <v>2476.4</v>
      </c>
      <c r="T12" s="555"/>
      <c r="U12" s="555">
        <f>+SUMIF(WRM!$C$7:$C$122,$D12,WRM!$T$7:T$122)</f>
        <v>1242.3</v>
      </c>
      <c r="V12" s="630"/>
      <c r="W12" s="630">
        <f t="shared" si="3"/>
        <v>3718.7</v>
      </c>
      <c r="X12" s="630"/>
      <c r="Y12" s="555">
        <f>+SUMIF(WRM!$C$7:$C$122,$D12,WRM!$X$7:X$122)</f>
        <v>742.1</v>
      </c>
      <c r="Z12" s="630"/>
      <c r="AA12" s="2213">
        <f t="shared" si="4"/>
        <v>2439.5</v>
      </c>
      <c r="AB12" s="2255"/>
      <c r="AC12" s="1172">
        <f t="shared" si="5"/>
        <v>4460.8</v>
      </c>
      <c r="AD12" s="630"/>
      <c r="AE12" s="555">
        <f>+SUMIF(WRM!$C$7:$C$122,$D12,WRM!$AD$7:$AD$122)</f>
        <v>770.80000000000018</v>
      </c>
      <c r="AF12" s="630"/>
      <c r="AG12" s="630">
        <f t="shared" si="6"/>
        <v>5231.6000000000004</v>
      </c>
      <c r="AH12" s="630"/>
      <c r="AI12" s="555">
        <f>+SUMIF(WRM!$C$7:$C$122,$D12,WRM!$AH$7:$AH$122)</f>
        <v>0</v>
      </c>
      <c r="AJ12" s="625"/>
      <c r="AK12" s="625">
        <f t="shared" si="7"/>
        <v>5231.6000000000004</v>
      </c>
      <c r="AL12" s="630"/>
      <c r="AM12" s="555">
        <f>+SUMIF(WRM!$C$7:$C$122,$D12,WRM!$AL$7:$AL$122)</f>
        <v>1014.7500000000001</v>
      </c>
      <c r="AN12" s="630"/>
      <c r="AO12" s="2213">
        <f t="shared" si="8"/>
        <v>1785.5500000000002</v>
      </c>
      <c r="AP12" s="625"/>
      <c r="AQ12" s="625">
        <f t="shared" si="9"/>
        <v>6246.35</v>
      </c>
      <c r="AR12" s="630"/>
      <c r="AS12" s="555">
        <f>+SUMIF(WRM!$C$7:$C$122,$D12,WRM!$AR$7:$AR$122)</f>
        <v>1070.1000000000004</v>
      </c>
      <c r="AT12" s="625"/>
      <c r="AU12" s="625">
        <f t="shared" si="10"/>
        <v>7316.4500000000007</v>
      </c>
      <c r="AV12" s="630"/>
      <c r="AW12" s="555">
        <f>+SUMIF(WRM!$C$7:$C$122,$D12,WRM!$AV$7:$AV$122)</f>
        <v>604.75</v>
      </c>
      <c r="AX12" s="625"/>
      <c r="AY12" s="625">
        <f t="shared" si="11"/>
        <v>7921.2000000000007</v>
      </c>
      <c r="AZ12" s="630"/>
      <c r="BA12" s="555">
        <f>+SUMIF(WRM!$C$7:$C$122,$D12,WRM!$AZ$7:$AZ$122)</f>
        <v>104.55</v>
      </c>
      <c r="BB12" s="630"/>
      <c r="BC12" s="2213">
        <f t="shared" si="12"/>
        <v>1779.4000000000003</v>
      </c>
      <c r="BD12" s="2255"/>
      <c r="BE12" s="1172">
        <f t="shared" si="13"/>
        <v>3564.9500000000007</v>
      </c>
      <c r="BF12" s="625"/>
      <c r="BG12" s="625">
        <f t="shared" si="14"/>
        <v>8025.7500000000009</v>
      </c>
      <c r="BH12" s="26"/>
      <c r="BI12" s="26"/>
      <c r="BJ12" s="26"/>
    </row>
    <row r="13" spans="3:62" ht="18" x14ac:dyDescent="0.35">
      <c r="C13" s="554" t="s">
        <v>16</v>
      </c>
      <c r="D13" s="1635" t="s">
        <v>1632</v>
      </c>
      <c r="E13" s="4747"/>
      <c r="F13" s="554"/>
      <c r="G13" s="555">
        <f>+SUMIF(WRM!$C$7:$C$122,$D13,WRM!$F$7:$F$122)</f>
        <v>0</v>
      </c>
      <c r="H13" s="555"/>
      <c r="I13" s="555">
        <f>+SUMIF(WRM!$C$7:$C$122,$D13,WRM!$H$7:$H$122)</f>
        <v>0</v>
      </c>
      <c r="J13" s="625"/>
      <c r="K13" s="625">
        <f t="shared" si="0"/>
        <v>0</v>
      </c>
      <c r="L13" s="555"/>
      <c r="M13" s="555">
        <f>+SUMIF(WRM!$C$7:$C$122,$D13,WRM!$L$7:$L$122)</f>
        <v>0</v>
      </c>
      <c r="N13" s="630"/>
      <c r="O13" s="630">
        <f t="shared" si="1"/>
        <v>0</v>
      </c>
      <c r="P13" s="555"/>
      <c r="Q13" s="555">
        <f>+SUMIF(WRM!$C$7:$C$122,$D13,WRM!P$7:$P$122)</f>
        <v>0</v>
      </c>
      <c r="R13" s="630"/>
      <c r="S13" s="630">
        <f t="shared" si="2"/>
        <v>0</v>
      </c>
      <c r="T13" s="555"/>
      <c r="U13" s="555">
        <f>+SUMIF(WRM!$C$7:$C$122,$D13,WRM!$T$7:T$122)</f>
        <v>0</v>
      </c>
      <c r="V13" s="630"/>
      <c r="W13" s="630">
        <f t="shared" si="3"/>
        <v>0</v>
      </c>
      <c r="X13" s="630"/>
      <c r="Y13" s="555">
        <f>+SUMIF(WRM!$C$7:$C$122,$D13,WRM!$X$7:X$122)</f>
        <v>0</v>
      </c>
      <c r="Z13" s="630"/>
      <c r="AA13" s="2213">
        <f t="shared" si="4"/>
        <v>0</v>
      </c>
      <c r="AB13" s="2255"/>
      <c r="AC13" s="1172">
        <f t="shared" si="5"/>
        <v>0</v>
      </c>
      <c r="AD13" s="630"/>
      <c r="AE13" s="555">
        <f>+SUMIF(WRM!$C$7:$C$122,$D13,WRM!$AD$7:$AD$122)</f>
        <v>0</v>
      </c>
      <c r="AF13" s="630"/>
      <c r="AG13" s="630">
        <f t="shared" si="6"/>
        <v>0</v>
      </c>
      <c r="AH13" s="630"/>
      <c r="AI13" s="555">
        <f>+SUMIF(WRM!$C$7:$C$122,$D13,WRM!$AH$7:$AH$122)</f>
        <v>0</v>
      </c>
      <c r="AJ13" s="625"/>
      <c r="AK13" s="625">
        <f t="shared" si="7"/>
        <v>0</v>
      </c>
      <c r="AL13" s="630"/>
      <c r="AM13" s="555">
        <f>+SUMIF(WRM!$C$7:$C$122,$D13,WRM!$AL$7:$AL$122)</f>
        <v>0</v>
      </c>
      <c r="AN13" s="630"/>
      <c r="AO13" s="2213">
        <f t="shared" si="8"/>
        <v>0</v>
      </c>
      <c r="AP13" s="625"/>
      <c r="AQ13" s="625">
        <f t="shared" si="9"/>
        <v>0</v>
      </c>
      <c r="AR13" s="630"/>
      <c r="AS13" s="555">
        <f>+SUMIF(WRM!$C$7:$C$122,$D13,WRM!$AR$7:$AR$122)</f>
        <v>0</v>
      </c>
      <c r="AT13" s="625"/>
      <c r="AU13" s="625">
        <f t="shared" si="10"/>
        <v>0</v>
      </c>
      <c r="AV13" s="630"/>
      <c r="AW13" s="555">
        <f>+SUMIF(WRM!$C$7:$C$122,$D13,WRM!$AV$7:$AV$122)</f>
        <v>0</v>
      </c>
      <c r="AX13" s="625"/>
      <c r="AY13" s="625">
        <f t="shared" si="11"/>
        <v>0</v>
      </c>
      <c r="AZ13" s="630"/>
      <c r="BA13" s="555">
        <f>+SUMIF(WRM!$C$7:$C$122,$D13,WRM!$AZ$7:$AZ$122)</f>
        <v>0</v>
      </c>
      <c r="BB13" s="630"/>
      <c r="BC13" s="2213">
        <f t="shared" si="12"/>
        <v>0</v>
      </c>
      <c r="BD13" s="2255"/>
      <c r="BE13" s="1172">
        <f t="shared" si="13"/>
        <v>0</v>
      </c>
      <c r="BF13" s="625"/>
      <c r="BG13" s="625">
        <f t="shared" si="14"/>
        <v>0</v>
      </c>
      <c r="BH13" s="26"/>
      <c r="BI13" s="26"/>
      <c r="BJ13" s="26"/>
    </row>
    <row r="14" spans="3:62" ht="18" x14ac:dyDescent="0.35">
      <c r="C14" s="2825" t="s">
        <v>16</v>
      </c>
      <c r="D14" s="2826" t="s">
        <v>974</v>
      </c>
      <c r="E14" s="4747"/>
      <c r="F14" s="2825"/>
      <c r="G14" s="555">
        <f>+SUMIF(WRM!$C$7:$C$122,$D14,WRM!$F$7:$F$122)</f>
        <v>559.65</v>
      </c>
      <c r="H14" s="2827"/>
      <c r="I14" s="555">
        <f>+SUMIF(WRM!$C$7:$C$122,$D14,WRM!$H$7:$H$122)</f>
        <v>565.79999999999995</v>
      </c>
      <c r="J14" s="2828"/>
      <c r="K14" s="625">
        <f t="shared" si="0"/>
        <v>1125.4499999999998</v>
      </c>
      <c r="L14" s="2827"/>
      <c r="M14" s="555">
        <f>+SUMIF(WRM!$C$7:$C$122,$D14,WRM!$L$7:$L$122)</f>
        <v>502.24999999999994</v>
      </c>
      <c r="N14" s="2829"/>
      <c r="O14" s="630">
        <f t="shared" si="1"/>
        <v>1627.6999999999998</v>
      </c>
      <c r="P14" s="2827"/>
      <c r="Q14" s="555">
        <f>+SUMIF(WRM!$C$7:$C$122,$D14,WRM!P$7:$P$122)</f>
        <v>338.25</v>
      </c>
      <c r="R14" s="2829"/>
      <c r="S14" s="630">
        <f t="shared" si="2"/>
        <v>1965.9499999999998</v>
      </c>
      <c r="T14" s="2827"/>
      <c r="U14" s="555">
        <f>+SUMIF(WRM!$C$7:$C$122,$D14,WRM!$T$7:T$122)</f>
        <v>340.3</v>
      </c>
      <c r="V14" s="2829"/>
      <c r="W14" s="630">
        <f t="shared" si="3"/>
        <v>2306.25</v>
      </c>
      <c r="X14" s="2829"/>
      <c r="Y14" s="555">
        <f>+SUMIF(WRM!$C$7:$C$122,$D14,WRM!$X$7:X$122)</f>
        <v>319.8</v>
      </c>
      <c r="Z14" s="2829"/>
      <c r="AA14" s="2213">
        <f t="shared" si="4"/>
        <v>998.34999999999991</v>
      </c>
      <c r="AB14" s="2255"/>
      <c r="AC14" s="1172">
        <f t="shared" si="5"/>
        <v>2626.0499999999997</v>
      </c>
      <c r="AD14" s="2829"/>
      <c r="AE14" s="555">
        <f>+SUMIF(WRM!$C$7:$C$122,$D14,WRM!$AD$7:$AD$122)</f>
        <v>287</v>
      </c>
      <c r="AF14" s="2829"/>
      <c r="AG14" s="630">
        <f t="shared" si="6"/>
        <v>2913.0499999999997</v>
      </c>
      <c r="AH14" s="2829"/>
      <c r="AI14" s="555">
        <f>+SUMIF(WRM!$C$7:$C$122,$D14,WRM!$AH$7:$AH$122)</f>
        <v>0</v>
      </c>
      <c r="AJ14" s="2828"/>
      <c r="AK14" s="625">
        <f t="shared" si="7"/>
        <v>2913.0499999999997</v>
      </c>
      <c r="AL14" s="2829"/>
      <c r="AM14" s="555">
        <f>+SUMIF(WRM!$C$7:$C$122,$D14,WRM!$AL$7:$AL$122)</f>
        <v>524.79999999999995</v>
      </c>
      <c r="AN14" s="2829"/>
      <c r="AO14" s="2213">
        <f t="shared" si="8"/>
        <v>811.8</v>
      </c>
      <c r="AP14" s="2828"/>
      <c r="AQ14" s="625">
        <f t="shared" si="9"/>
        <v>3437.8499999999995</v>
      </c>
      <c r="AR14" s="2829"/>
      <c r="AS14" s="555">
        <f>+SUMIF(WRM!$C$7:$C$122,$D14,WRM!$AR$7:$AR$122)</f>
        <v>694.95</v>
      </c>
      <c r="AT14" s="2828"/>
      <c r="AU14" s="625">
        <f t="shared" si="10"/>
        <v>4132.7999999999993</v>
      </c>
      <c r="AV14" s="2829"/>
      <c r="AW14" s="555">
        <f>+SUMIF(WRM!$C$7:$C$122,$D14,WRM!$AV$7:$AV$122)</f>
        <v>1381.6999999999998</v>
      </c>
      <c r="AX14" s="2828"/>
      <c r="AY14" s="625">
        <f t="shared" si="11"/>
        <v>5514.4999999999991</v>
      </c>
      <c r="AZ14" s="2829"/>
      <c r="BA14" s="555">
        <f>+SUMIF(WRM!$C$7:$C$122,$D14,WRM!$AZ$7:$AZ$122)</f>
        <v>442.7999999999999</v>
      </c>
      <c r="BB14" s="2829"/>
      <c r="BC14" s="2213">
        <f t="shared" si="12"/>
        <v>2519.4499999999994</v>
      </c>
      <c r="BD14" s="2830"/>
      <c r="BE14" s="1172">
        <f t="shared" si="13"/>
        <v>3331.2499999999991</v>
      </c>
      <c r="BF14" s="2828"/>
      <c r="BG14" s="625">
        <f t="shared" si="14"/>
        <v>5957.2999999999993</v>
      </c>
      <c r="BH14" s="26"/>
      <c r="BI14" s="26"/>
      <c r="BJ14" s="26"/>
    </row>
    <row r="15" spans="3:62" ht="18" x14ac:dyDescent="0.35">
      <c r="C15" s="554" t="s">
        <v>16</v>
      </c>
      <c r="D15" s="1635" t="s">
        <v>973</v>
      </c>
      <c r="E15" s="4747"/>
      <c r="F15" s="554"/>
      <c r="G15" s="555">
        <f>+SUMIF(WRM!$C$7:$C$122,$D15,WRM!$F$7:$F$122)</f>
        <v>596.54999999999995</v>
      </c>
      <c r="H15" s="555"/>
      <c r="I15" s="555">
        <f>+SUMIF(WRM!$C$7:$C$122,$D15,WRM!$H$7:$H$122)</f>
        <v>906.1</v>
      </c>
      <c r="J15" s="625"/>
      <c r="K15" s="625">
        <f t="shared" si="0"/>
        <v>1502.65</v>
      </c>
      <c r="L15" s="555"/>
      <c r="M15" s="555">
        <f>+SUMIF(WRM!$C$7:$C$122,$D15,WRM!$L$7:$L$122)</f>
        <v>1012.7</v>
      </c>
      <c r="N15" s="630"/>
      <c r="O15" s="630">
        <f t="shared" si="1"/>
        <v>2515.3500000000004</v>
      </c>
      <c r="P15" s="555"/>
      <c r="Q15" s="555">
        <f>+SUMIF(WRM!$C$7:$C$122,$D15,WRM!P$7:$P$122)</f>
        <v>1246.3999999999999</v>
      </c>
      <c r="R15" s="630"/>
      <c r="S15" s="630">
        <f t="shared" si="2"/>
        <v>3761.75</v>
      </c>
      <c r="T15" s="555"/>
      <c r="U15" s="555">
        <f>+SUMIF(WRM!$C$7:$C$122,$D15,WRM!$T$7:T$122)</f>
        <v>1609.25</v>
      </c>
      <c r="V15" s="630"/>
      <c r="W15" s="630">
        <f t="shared" si="3"/>
        <v>5371</v>
      </c>
      <c r="X15" s="630"/>
      <c r="Y15" s="555">
        <f>+SUMIF(WRM!$C$7:$C$122,$D15,WRM!$X$7:X$122)</f>
        <v>1783.5</v>
      </c>
      <c r="Z15" s="630"/>
      <c r="AA15" s="2213">
        <f t="shared" si="4"/>
        <v>4639.1499999999996</v>
      </c>
      <c r="AB15" s="2255"/>
      <c r="AC15" s="1172">
        <f t="shared" si="5"/>
        <v>7154.5</v>
      </c>
      <c r="AD15" s="630"/>
      <c r="AE15" s="555">
        <f>+SUMIF(WRM!$C$7:$C$122,$D15,WRM!$AD$7:$AD$122)</f>
        <v>2459.9900000000007</v>
      </c>
      <c r="AF15" s="630"/>
      <c r="AG15" s="630">
        <f t="shared" si="6"/>
        <v>9614.4900000000016</v>
      </c>
      <c r="AH15" s="630"/>
      <c r="AI15" s="555">
        <f>+SUMIF(WRM!$C$7:$C$122,$D15,WRM!$AH$7:$AH$122)</f>
        <v>1221.8000000000002</v>
      </c>
      <c r="AJ15" s="625"/>
      <c r="AK15" s="625">
        <f t="shared" si="7"/>
        <v>10836.29</v>
      </c>
      <c r="AL15" s="630"/>
      <c r="AM15" s="555">
        <f>+SUMIF(WRM!$C$7:$C$122,$D15,WRM!$AL$7:$AL$122)</f>
        <v>2088.9499999999998</v>
      </c>
      <c r="AN15" s="630"/>
      <c r="AO15" s="2213">
        <f t="shared" si="8"/>
        <v>5770.7400000000007</v>
      </c>
      <c r="AP15" s="625"/>
      <c r="AQ15" s="625">
        <f t="shared" si="9"/>
        <v>12925.240000000002</v>
      </c>
      <c r="AR15" s="630"/>
      <c r="AS15" s="555">
        <f>+SUMIF(WRM!$C$7:$C$122,$D15,WRM!$AR$7:$AR$122)</f>
        <v>1227.95</v>
      </c>
      <c r="AT15" s="625"/>
      <c r="AU15" s="625">
        <f t="shared" si="10"/>
        <v>14153.190000000002</v>
      </c>
      <c r="AV15" s="630"/>
      <c r="AW15" s="555">
        <f>+SUMIF(WRM!$C$7:$C$122,$D15,WRM!$AV$7:$AV$122)</f>
        <v>2193.5</v>
      </c>
      <c r="AX15" s="625"/>
      <c r="AY15" s="625">
        <f t="shared" si="11"/>
        <v>16346.690000000002</v>
      </c>
      <c r="AZ15" s="630"/>
      <c r="BA15" s="555">
        <f>+SUMIF(WRM!$C$7:$C$122,$D15,WRM!$AZ$7:$AZ$122)</f>
        <v>2525.6</v>
      </c>
      <c r="BB15" s="630"/>
      <c r="BC15" s="2213">
        <f t="shared" si="12"/>
        <v>5947.0499999999993</v>
      </c>
      <c r="BD15" s="2255"/>
      <c r="BE15" s="1172">
        <f t="shared" si="13"/>
        <v>11717.79</v>
      </c>
      <c r="BF15" s="625"/>
      <c r="BG15" s="625">
        <f t="shared" si="14"/>
        <v>18872.29</v>
      </c>
      <c r="BH15" s="26"/>
      <c r="BI15" s="26"/>
      <c r="BJ15" s="26"/>
    </row>
    <row r="16" spans="3:62" ht="18" x14ac:dyDescent="0.35">
      <c r="C16" s="554" t="s">
        <v>16</v>
      </c>
      <c r="D16" s="1635" t="s">
        <v>1136</v>
      </c>
      <c r="E16" s="4747"/>
      <c r="F16" s="554"/>
      <c r="G16" s="555">
        <f>+SUMIF(WRM!$C$7:$C$122,$D16,WRM!$F$7:$F$122)</f>
        <v>252.14999999999998</v>
      </c>
      <c r="H16" s="555"/>
      <c r="I16" s="555">
        <f>+SUMIF(WRM!$C$7:$C$122,$D16,WRM!$H$7:$H$122)</f>
        <v>243.95000000000002</v>
      </c>
      <c r="J16" s="625"/>
      <c r="K16" s="625">
        <f t="shared" si="0"/>
        <v>496.1</v>
      </c>
      <c r="L16" s="555"/>
      <c r="M16" s="555">
        <f>+SUMIF(WRM!$C$7:$C$122,$D16,WRM!$L$7:$L$122)</f>
        <v>0</v>
      </c>
      <c r="N16" s="630"/>
      <c r="O16" s="630">
        <f t="shared" si="1"/>
        <v>496.1</v>
      </c>
      <c r="P16" s="555"/>
      <c r="Q16" s="555">
        <f>+SUMIF(WRM!$C$7:$C$122,$D16,WRM!P$7:$P$122)</f>
        <v>202.95</v>
      </c>
      <c r="R16" s="630"/>
      <c r="S16" s="630">
        <f t="shared" si="2"/>
        <v>699.05</v>
      </c>
      <c r="T16" s="555"/>
      <c r="U16" s="555">
        <f>+SUMIF(WRM!$C$7:$C$122,$D16,WRM!$T$7:T$122)</f>
        <v>399.74999999999994</v>
      </c>
      <c r="V16" s="630"/>
      <c r="W16" s="630">
        <f t="shared" si="3"/>
        <v>1098.8</v>
      </c>
      <c r="X16" s="630"/>
      <c r="Y16" s="555">
        <f>+SUMIF(WRM!$C$7:$C$122,$D16,WRM!$X$7:X$122)</f>
        <v>0</v>
      </c>
      <c r="Z16" s="630"/>
      <c r="AA16" s="2213">
        <f t="shared" si="4"/>
        <v>602.69999999999993</v>
      </c>
      <c r="AB16" s="2255"/>
      <c r="AC16" s="1172">
        <f t="shared" si="5"/>
        <v>1098.8</v>
      </c>
      <c r="AD16" s="630"/>
      <c r="AE16" s="555">
        <f>+SUMIF(WRM!$C$7:$C$122,$D16,WRM!$AD$7:$AD$122)</f>
        <v>0</v>
      </c>
      <c r="AF16" s="630"/>
      <c r="AG16" s="630">
        <f t="shared" si="6"/>
        <v>1098.8</v>
      </c>
      <c r="AH16" s="630"/>
      <c r="AI16" s="555">
        <f>+SUMIF(WRM!$C$7:$C$122,$D16,WRM!$AH$7:$AH$122)</f>
        <v>0</v>
      </c>
      <c r="AJ16" s="625"/>
      <c r="AK16" s="625">
        <f t="shared" si="7"/>
        <v>1098.8</v>
      </c>
      <c r="AL16" s="630"/>
      <c r="AM16" s="555">
        <f>+SUMIF(WRM!$C$7:$C$122,$D16,WRM!$AL$7:$AL$122)</f>
        <v>0</v>
      </c>
      <c r="AN16" s="630"/>
      <c r="AO16" s="2213">
        <f t="shared" si="8"/>
        <v>0</v>
      </c>
      <c r="AP16" s="625"/>
      <c r="AQ16" s="625">
        <f t="shared" si="9"/>
        <v>1098.8</v>
      </c>
      <c r="AR16" s="630"/>
      <c r="AS16" s="555">
        <f>+SUMIF(WRM!$C$7:$C$122,$D16,WRM!$AR$7:$AR$122)</f>
        <v>221.40000000000003</v>
      </c>
      <c r="AT16" s="625"/>
      <c r="AU16" s="625">
        <f t="shared" si="10"/>
        <v>1320.2</v>
      </c>
      <c r="AV16" s="630"/>
      <c r="AW16" s="555">
        <f>+SUMIF(WRM!$C$7:$C$122,$D16,WRM!$AV$7:$AV$122)</f>
        <v>0</v>
      </c>
      <c r="AX16" s="625"/>
      <c r="AY16" s="625">
        <f t="shared" si="11"/>
        <v>1320.2</v>
      </c>
      <c r="AZ16" s="630"/>
      <c r="BA16" s="555">
        <f>+SUMIF(WRM!$C$7:$C$122,$D16,WRM!$AZ$7:$AZ$122)</f>
        <v>0</v>
      </c>
      <c r="BB16" s="630"/>
      <c r="BC16" s="2213">
        <f t="shared" si="12"/>
        <v>221.40000000000003</v>
      </c>
      <c r="BD16" s="2255"/>
      <c r="BE16" s="1172">
        <f t="shared" si="13"/>
        <v>221.40000000000003</v>
      </c>
      <c r="BF16" s="625"/>
      <c r="BG16" s="625">
        <f t="shared" si="14"/>
        <v>1320.2</v>
      </c>
      <c r="BH16" s="26"/>
      <c r="BI16" s="26"/>
      <c r="BJ16" s="26"/>
    </row>
    <row r="17" spans="3:62" ht="18" x14ac:dyDescent="0.35">
      <c r="C17" s="554" t="s">
        <v>16</v>
      </c>
      <c r="D17" s="1635" t="s">
        <v>975</v>
      </c>
      <c r="E17" s="4747"/>
      <c r="F17" s="554"/>
      <c r="G17" s="555">
        <f>+SUMIF(WRM!$C$7:$C$122,$D17,WRM!$F$7:$F$122)</f>
        <v>1332.4999999999995</v>
      </c>
      <c r="H17" s="555"/>
      <c r="I17" s="555">
        <f>+SUMIF(WRM!$C$7:$C$122,$D17,WRM!$H$7:$H$122)</f>
        <v>2179.1499999999996</v>
      </c>
      <c r="J17" s="625"/>
      <c r="K17" s="625">
        <f t="shared" si="0"/>
        <v>3511.6499999999992</v>
      </c>
      <c r="L17" s="555"/>
      <c r="M17" s="555">
        <f>+SUMIF(WRM!$C$7:$C$122,$D17,WRM!$L$7:$L$122)</f>
        <v>1922.8999999999994</v>
      </c>
      <c r="N17" s="630"/>
      <c r="O17" s="630">
        <f t="shared" si="1"/>
        <v>5434.5499999999984</v>
      </c>
      <c r="P17" s="555"/>
      <c r="Q17" s="555">
        <f>+SUMIF(WRM!$C$7:$C$122,$D17,WRM!P$7:$P$122)</f>
        <v>1215.6499999999999</v>
      </c>
      <c r="R17" s="630"/>
      <c r="S17" s="630">
        <f t="shared" si="2"/>
        <v>6650.199999999998</v>
      </c>
      <c r="T17" s="555"/>
      <c r="U17" s="555">
        <f>+SUMIF(WRM!$C$7:$C$122,$D17,WRM!$T$7:T$122)</f>
        <v>2289.85</v>
      </c>
      <c r="V17" s="630"/>
      <c r="W17" s="630">
        <f t="shared" si="3"/>
        <v>8940.0499999999975</v>
      </c>
      <c r="X17" s="630"/>
      <c r="Y17" s="555">
        <f>+SUMIF(WRM!$C$7:$C$122,$D17,WRM!$X$7:X$122)</f>
        <v>1029.0999999999999</v>
      </c>
      <c r="Z17" s="630"/>
      <c r="AA17" s="2213">
        <f t="shared" si="4"/>
        <v>4534.6000000000004</v>
      </c>
      <c r="AB17" s="2255"/>
      <c r="AC17" s="1172">
        <f t="shared" si="5"/>
        <v>9969.1499999999978</v>
      </c>
      <c r="AD17" s="630"/>
      <c r="AE17" s="555">
        <f>+SUMIF(WRM!$C$7:$C$122,$D17,WRM!$AD$7:$AD$122)</f>
        <v>1045.5</v>
      </c>
      <c r="AF17" s="630"/>
      <c r="AG17" s="630">
        <f t="shared" si="6"/>
        <v>11014.649999999998</v>
      </c>
      <c r="AH17" s="630"/>
      <c r="AI17" s="555">
        <f>+SUMIF(WRM!$C$7:$C$122,$D17,WRM!$AH$7:$AH$122)</f>
        <v>0</v>
      </c>
      <c r="AJ17" s="625"/>
      <c r="AK17" s="625">
        <f t="shared" si="7"/>
        <v>11014.649999999998</v>
      </c>
      <c r="AL17" s="630"/>
      <c r="AM17" s="555">
        <f>+SUMIF(WRM!$C$7:$C$122,$D17,WRM!$AL$7:$AL$122)</f>
        <v>2144.2999999999997</v>
      </c>
      <c r="AN17" s="630"/>
      <c r="AO17" s="2213">
        <f t="shared" si="8"/>
        <v>3189.7999999999997</v>
      </c>
      <c r="AP17" s="625"/>
      <c r="AQ17" s="625">
        <f t="shared" si="9"/>
        <v>13158.949999999997</v>
      </c>
      <c r="AR17" s="630"/>
      <c r="AS17" s="555">
        <f>+SUMIF(WRM!$C$7:$C$122,$D17,WRM!$AR$7:$AR$122)</f>
        <v>1896.2500000000002</v>
      </c>
      <c r="AT17" s="625"/>
      <c r="AU17" s="625">
        <f t="shared" si="10"/>
        <v>15055.199999999997</v>
      </c>
      <c r="AV17" s="630"/>
      <c r="AW17" s="555">
        <f>+SUMIF(WRM!$C$7:$C$122,$D17,WRM!$AV$7:$AV$122)</f>
        <v>2480.5</v>
      </c>
      <c r="AX17" s="625"/>
      <c r="AY17" s="625">
        <f t="shared" si="11"/>
        <v>17535.699999999997</v>
      </c>
      <c r="AZ17" s="630"/>
      <c r="BA17" s="555">
        <f>+SUMIF(WRM!$C$7:$C$122,$D17,WRM!$AZ$7:$AZ$122)</f>
        <v>971.7</v>
      </c>
      <c r="BB17" s="630"/>
      <c r="BC17" s="2213">
        <f t="shared" si="12"/>
        <v>5348.45</v>
      </c>
      <c r="BD17" s="2255"/>
      <c r="BE17" s="1172">
        <f t="shared" si="13"/>
        <v>8538.25</v>
      </c>
      <c r="BF17" s="625"/>
      <c r="BG17" s="625">
        <f t="shared" si="14"/>
        <v>18507.399999999998</v>
      </c>
      <c r="BH17" s="26"/>
      <c r="BI17" s="26"/>
      <c r="BJ17" s="26"/>
    </row>
    <row r="18" spans="3:62" ht="18" x14ac:dyDescent="0.35">
      <c r="C18" s="554" t="s">
        <v>16</v>
      </c>
      <c r="D18" s="1635" t="s">
        <v>1140</v>
      </c>
      <c r="E18" s="4747"/>
      <c r="F18" s="554"/>
      <c r="G18" s="555">
        <f>+SUMIF(WRM!$C$7:$C$122,$D18,WRM!$F$7:$F$122)</f>
        <v>18.45</v>
      </c>
      <c r="H18" s="555"/>
      <c r="I18" s="555">
        <f>+SUMIF(WRM!$C$7:$C$122,$D18,WRM!$H$7:$H$122)</f>
        <v>4.0999999999999996</v>
      </c>
      <c r="J18" s="625"/>
      <c r="K18" s="625">
        <f t="shared" si="0"/>
        <v>22.549999999999997</v>
      </c>
      <c r="L18" s="555"/>
      <c r="M18" s="555">
        <f>+SUMIF(WRM!$C$7:$C$122,$D18,WRM!$L$7:$L$122)</f>
        <v>98.4</v>
      </c>
      <c r="N18" s="630"/>
      <c r="O18" s="630">
        <f t="shared" si="1"/>
        <v>120.95</v>
      </c>
      <c r="P18" s="555"/>
      <c r="Q18" s="555">
        <f>+SUMIF(WRM!$C$7:$C$122,$D18,WRM!P$7:$P$122)</f>
        <v>6.1499999999999995</v>
      </c>
      <c r="R18" s="630"/>
      <c r="S18" s="630">
        <f t="shared" si="2"/>
        <v>127.10000000000001</v>
      </c>
      <c r="T18" s="555"/>
      <c r="U18" s="555">
        <f>+SUMIF(WRM!$C$7:$C$122,$D18,WRM!$T$7:T$122)</f>
        <v>6.15</v>
      </c>
      <c r="V18" s="630"/>
      <c r="W18" s="630">
        <f t="shared" si="3"/>
        <v>133.25</v>
      </c>
      <c r="X18" s="630"/>
      <c r="Y18" s="555">
        <f>+SUMIF(WRM!$C$7:$C$122,$D18,WRM!$X$7:X$122)</f>
        <v>0</v>
      </c>
      <c r="Z18" s="630"/>
      <c r="AA18" s="2213">
        <f t="shared" si="4"/>
        <v>12.3</v>
      </c>
      <c r="AB18" s="2255"/>
      <c r="AC18" s="1172">
        <f t="shared" si="5"/>
        <v>133.25</v>
      </c>
      <c r="AD18" s="630"/>
      <c r="AE18" s="555">
        <f>+SUMIF(WRM!$C$7:$C$122,$D18,WRM!$AD$7:$AD$122)</f>
        <v>0</v>
      </c>
      <c r="AF18" s="630"/>
      <c r="AG18" s="630">
        <f t="shared" si="6"/>
        <v>133.25</v>
      </c>
      <c r="AH18" s="630"/>
      <c r="AI18" s="555">
        <f>+SUMIF(WRM!$C$7:$C$122,$D18,WRM!$AH$7:$AH$122)</f>
        <v>0</v>
      </c>
      <c r="AJ18" s="625"/>
      <c r="AK18" s="625">
        <f t="shared" si="7"/>
        <v>133.25</v>
      </c>
      <c r="AL18" s="630"/>
      <c r="AM18" s="555">
        <f>+SUMIF(WRM!$C$7:$C$122,$D18,WRM!$AL$7:$AL$122)</f>
        <v>4.0999999999999996</v>
      </c>
      <c r="AN18" s="630"/>
      <c r="AO18" s="2213">
        <f t="shared" si="8"/>
        <v>4.0999999999999996</v>
      </c>
      <c r="AP18" s="625"/>
      <c r="AQ18" s="625">
        <f t="shared" si="9"/>
        <v>137.35</v>
      </c>
      <c r="AR18" s="630"/>
      <c r="AS18" s="555">
        <f>+SUMIF(WRM!$C$7:$C$122,$D18,WRM!$AR$7:$AR$122)</f>
        <v>174.25</v>
      </c>
      <c r="AT18" s="625"/>
      <c r="AU18" s="625">
        <f t="shared" si="10"/>
        <v>311.60000000000002</v>
      </c>
      <c r="AV18" s="630"/>
      <c r="AW18" s="555">
        <f>+SUMIF(WRM!$C$7:$C$122,$D18,WRM!$AV$7:$AV$122)</f>
        <v>77.900000000000006</v>
      </c>
      <c r="AX18" s="625"/>
      <c r="AY18" s="625">
        <f t="shared" si="11"/>
        <v>389.5</v>
      </c>
      <c r="AZ18" s="630"/>
      <c r="BA18" s="555">
        <f>+SUMIF(WRM!$C$7:$C$122,$D18,WRM!$AZ$7:$AZ$122)</f>
        <v>0</v>
      </c>
      <c r="BB18" s="630"/>
      <c r="BC18" s="2213">
        <f t="shared" si="12"/>
        <v>252.15</v>
      </c>
      <c r="BD18" s="2255"/>
      <c r="BE18" s="1172">
        <f t="shared" si="13"/>
        <v>256.25</v>
      </c>
      <c r="BF18" s="625"/>
      <c r="BG18" s="625">
        <f t="shared" si="14"/>
        <v>389.5</v>
      </c>
      <c r="BH18" s="26"/>
      <c r="BI18" s="26"/>
      <c r="BJ18" s="26"/>
    </row>
    <row r="19" spans="3:62" ht="18" x14ac:dyDescent="0.35">
      <c r="C19" s="554" t="s">
        <v>16</v>
      </c>
      <c r="D19" s="1635" t="s">
        <v>976</v>
      </c>
      <c r="E19" s="4747"/>
      <c r="F19" s="554"/>
      <c r="G19" s="555">
        <f>+SUMIF(WRM!$C$7:$C$122,$D19,WRM!$F$7:$F$122)</f>
        <v>108.65</v>
      </c>
      <c r="H19" s="555"/>
      <c r="I19" s="555">
        <f>+SUMIF(WRM!$C$7:$C$122,$D19,WRM!$H$7:$H$122)</f>
        <v>0</v>
      </c>
      <c r="J19" s="625"/>
      <c r="K19" s="625">
        <f t="shared" si="0"/>
        <v>108.65</v>
      </c>
      <c r="L19" s="555"/>
      <c r="M19" s="555">
        <f>+SUMIF(WRM!$C$7:$C$122,$D19,WRM!$L$7:$L$122)</f>
        <v>0</v>
      </c>
      <c r="N19" s="630"/>
      <c r="O19" s="630">
        <f t="shared" si="1"/>
        <v>108.65</v>
      </c>
      <c r="P19" s="555"/>
      <c r="Q19" s="555">
        <f>+SUMIF(WRM!$C$7:$C$122,$D19,WRM!P$7:$P$122)</f>
        <v>0</v>
      </c>
      <c r="R19" s="630"/>
      <c r="S19" s="630">
        <f t="shared" si="2"/>
        <v>108.65</v>
      </c>
      <c r="T19" s="555"/>
      <c r="U19" s="555">
        <f>+SUMIF(WRM!$C$7:$C$122,$D19,WRM!$T$7:T$122)</f>
        <v>0</v>
      </c>
      <c r="V19" s="630"/>
      <c r="W19" s="630">
        <f t="shared" si="3"/>
        <v>108.65</v>
      </c>
      <c r="X19" s="630"/>
      <c r="Y19" s="555">
        <f>+SUMIF(WRM!$C$7:$C$122,$D19,WRM!$X$7:X$122)</f>
        <v>0</v>
      </c>
      <c r="Z19" s="630"/>
      <c r="AA19" s="2213">
        <f t="shared" si="4"/>
        <v>0</v>
      </c>
      <c r="AB19" s="2255"/>
      <c r="AC19" s="1172">
        <f t="shared" si="5"/>
        <v>108.65</v>
      </c>
      <c r="AD19" s="630"/>
      <c r="AE19" s="555">
        <f>+SUMIF(WRM!$C$7:$C$122,$D19,WRM!$AD$7:$AD$122)</f>
        <v>0</v>
      </c>
      <c r="AF19" s="630"/>
      <c r="AG19" s="630">
        <f t="shared" si="6"/>
        <v>108.65</v>
      </c>
      <c r="AH19" s="630"/>
      <c r="AI19" s="555">
        <f>+SUMIF(WRM!$C$7:$C$122,$D19,WRM!$AH$7:$AH$122)</f>
        <v>0</v>
      </c>
      <c r="AJ19" s="625"/>
      <c r="AK19" s="625">
        <f t="shared" si="7"/>
        <v>108.65</v>
      </c>
      <c r="AL19" s="630"/>
      <c r="AM19" s="555">
        <f>+SUMIF(WRM!$C$7:$C$122,$D19,WRM!$AL$7:$AL$122)</f>
        <v>104.55000000000001</v>
      </c>
      <c r="AN19" s="630"/>
      <c r="AO19" s="2213">
        <f t="shared" si="8"/>
        <v>104.55000000000001</v>
      </c>
      <c r="AP19" s="625"/>
      <c r="AQ19" s="625">
        <f t="shared" si="9"/>
        <v>213.20000000000002</v>
      </c>
      <c r="AR19" s="630"/>
      <c r="AS19" s="555">
        <f>+SUMIF(WRM!$C$7:$C$122,$D19,WRM!$AR$7:$AR$122)</f>
        <v>0</v>
      </c>
      <c r="AT19" s="625"/>
      <c r="AU19" s="625">
        <f t="shared" si="10"/>
        <v>213.20000000000002</v>
      </c>
      <c r="AV19" s="630"/>
      <c r="AW19" s="555">
        <f>+SUMIF(WRM!$C$7:$C$122,$D19,WRM!$AV$7:$AV$122)</f>
        <v>0</v>
      </c>
      <c r="AX19" s="625"/>
      <c r="AY19" s="625">
        <f t="shared" si="11"/>
        <v>213.20000000000002</v>
      </c>
      <c r="AZ19" s="630"/>
      <c r="BA19" s="555">
        <f>+SUMIF(WRM!$C$7:$C$122,$D19,WRM!$AZ$7:$AZ$122)</f>
        <v>0</v>
      </c>
      <c r="BB19" s="630"/>
      <c r="BC19" s="2213">
        <f t="shared" si="12"/>
        <v>0</v>
      </c>
      <c r="BD19" s="2255"/>
      <c r="BE19" s="1172">
        <f t="shared" si="13"/>
        <v>104.55000000000001</v>
      </c>
      <c r="BF19" s="625"/>
      <c r="BG19" s="625">
        <f t="shared" si="14"/>
        <v>213.20000000000002</v>
      </c>
      <c r="BH19" s="26"/>
      <c r="BI19" s="26"/>
      <c r="BJ19" s="26"/>
    </row>
    <row r="20" spans="3:62" ht="18" x14ac:dyDescent="0.35">
      <c r="C20" s="4749" t="s">
        <v>16</v>
      </c>
      <c r="D20" s="4750" t="s">
        <v>1962</v>
      </c>
      <c r="E20" s="4747"/>
      <c r="F20" s="4749"/>
      <c r="G20" s="555">
        <f>+SUMIF(WRM!$C$7:$C$122,$D20,WRM!$F$7:$F$122)</f>
        <v>0</v>
      </c>
      <c r="H20" s="555"/>
      <c r="I20" s="555">
        <f>+SUMIF(WRM!$C$7:$C$122,$D20,WRM!$H$7:$H$122)</f>
        <v>0</v>
      </c>
      <c r="J20" s="625"/>
      <c r="K20" s="625">
        <f t="shared" ref="K20:K21" si="15">+G20+I20</f>
        <v>0</v>
      </c>
      <c r="L20" s="555"/>
      <c r="M20" s="555">
        <f>+SUMIF(WRM!$C$7:$C$122,$D20,WRM!$L$7:$L$122)</f>
        <v>79.95</v>
      </c>
      <c r="N20" s="630"/>
      <c r="O20" s="630">
        <f t="shared" si="1"/>
        <v>79.95</v>
      </c>
      <c r="P20" s="555"/>
      <c r="Q20" s="555">
        <f>+SUMIF(WRM!$C$7:$C$122,$D20,WRM!P$7:$P$122)</f>
        <v>0</v>
      </c>
      <c r="R20" s="630"/>
      <c r="S20" s="630">
        <f t="shared" ref="S20:S21" si="16">O20+Q20</f>
        <v>79.95</v>
      </c>
      <c r="T20" s="555"/>
      <c r="U20" s="555">
        <f>+SUMIF(WRM!$C$7:$C$122,$D20,WRM!$T$7:T$122)</f>
        <v>0</v>
      </c>
      <c r="V20" s="630"/>
      <c r="W20" s="630">
        <f t="shared" ref="W20:W21" si="17">S20+U20</f>
        <v>79.95</v>
      </c>
      <c r="X20" s="630"/>
      <c r="Y20" s="555">
        <f>+SUMIF(WRM!$C$7:$C$122,$D20,WRM!$X$7:X$122)</f>
        <v>0</v>
      </c>
      <c r="Z20" s="630"/>
      <c r="AA20" s="2213">
        <f t="shared" si="4"/>
        <v>0</v>
      </c>
      <c r="AB20" s="2255"/>
      <c r="AC20" s="1172">
        <f t="shared" si="5"/>
        <v>79.95</v>
      </c>
      <c r="AD20" s="630"/>
      <c r="AE20" s="555">
        <f>+SUMIF(WRM!$C$7:$C$122,$D20,WRM!$AD$7:$AD$122)</f>
        <v>131.19999999999999</v>
      </c>
      <c r="AF20" s="630"/>
      <c r="AG20" s="630">
        <f t="shared" si="6"/>
        <v>211.14999999999998</v>
      </c>
      <c r="AH20" s="630"/>
      <c r="AI20" s="555">
        <f>+SUMIF(WRM!$C$7:$C$122,$D20,WRM!$AH$7:$AH$122)</f>
        <v>0</v>
      </c>
      <c r="AJ20" s="625"/>
      <c r="AK20" s="625">
        <f t="shared" si="7"/>
        <v>211.14999999999998</v>
      </c>
      <c r="AL20" s="630"/>
      <c r="AM20" s="555">
        <f>+SUMIF(WRM!$C$7:$C$122,$D20,WRM!$AL$7:$AL$122)</f>
        <v>0</v>
      </c>
      <c r="AN20" s="630"/>
      <c r="AO20" s="2213">
        <f t="shared" ref="AO20:AO21" si="18">AE20+AI20+AM20</f>
        <v>131.19999999999999</v>
      </c>
      <c r="AP20" s="625"/>
      <c r="AQ20" s="625">
        <f t="shared" si="9"/>
        <v>211.14999999999998</v>
      </c>
      <c r="AR20" s="630"/>
      <c r="AS20" s="555">
        <f>+SUMIF(WRM!$C$7:$C$122,$D20,WRM!$AR$7:$AR$122)</f>
        <v>403.85</v>
      </c>
      <c r="AT20" s="625"/>
      <c r="AU20" s="625">
        <f t="shared" ref="AU20:AU21" si="19">AQ20+AS20</f>
        <v>615</v>
      </c>
      <c r="AV20" s="630"/>
      <c r="AW20" s="555">
        <f>+SUMIF(WRM!$C$7:$C$122,$D20,WRM!$AV$7:$AV$122)</f>
        <v>0</v>
      </c>
      <c r="AX20" s="625"/>
      <c r="AY20" s="625">
        <f t="shared" si="11"/>
        <v>615</v>
      </c>
      <c r="AZ20" s="630"/>
      <c r="BA20" s="555">
        <f>+SUMIF(WRM!$C$7:$C$122,$D20,WRM!$AZ$7:$AZ$122)</f>
        <v>0</v>
      </c>
      <c r="BB20" s="630"/>
      <c r="BC20" s="2213">
        <f t="shared" si="12"/>
        <v>403.85</v>
      </c>
      <c r="BD20" s="2255"/>
      <c r="BE20" s="1172">
        <f t="shared" si="13"/>
        <v>535.04999999999995</v>
      </c>
      <c r="BF20" s="625"/>
      <c r="BG20" s="625">
        <f t="shared" si="14"/>
        <v>615</v>
      </c>
      <c r="BH20" s="26"/>
      <c r="BI20" s="26"/>
      <c r="BJ20" s="26"/>
    </row>
    <row r="21" spans="3:62" ht="18" x14ac:dyDescent="0.35">
      <c r="C21" s="4749" t="s">
        <v>16</v>
      </c>
      <c r="D21" s="4750" t="s">
        <v>1963</v>
      </c>
      <c r="E21" s="4747"/>
      <c r="F21" s="4749"/>
      <c r="G21" s="555">
        <f>+SUMIF(WRM!$C$7:$C$122,$D21,WRM!$F$7:$F$122)</f>
        <v>498.15000000000003</v>
      </c>
      <c r="H21" s="555"/>
      <c r="I21" s="555">
        <f>+SUMIF(WRM!$C$7:$C$122,$D21,WRM!$H$7:$H$122)</f>
        <v>590.4</v>
      </c>
      <c r="J21" s="625"/>
      <c r="K21" s="625">
        <f t="shared" si="15"/>
        <v>1088.55</v>
      </c>
      <c r="L21" s="555"/>
      <c r="M21" s="555">
        <f>+SUMIF(WRM!$C$7:$C$122,$D21,WRM!$L$7:$L$122)</f>
        <v>434.6</v>
      </c>
      <c r="N21" s="630"/>
      <c r="O21" s="630">
        <f t="shared" si="1"/>
        <v>1523.15</v>
      </c>
      <c r="P21" s="555"/>
      <c r="Q21" s="555">
        <f>+SUMIF(WRM!$C$7:$C$122,$D21,WRM!P$7:$P$122)</f>
        <v>0</v>
      </c>
      <c r="R21" s="630"/>
      <c r="S21" s="630">
        <f t="shared" si="16"/>
        <v>1523.15</v>
      </c>
      <c r="T21" s="555"/>
      <c r="U21" s="555">
        <f>+SUMIF(WRM!$C$7:$C$122,$D21,WRM!$T$7:T$122)</f>
        <v>0</v>
      </c>
      <c r="V21" s="630"/>
      <c r="W21" s="630">
        <f t="shared" si="17"/>
        <v>1523.15</v>
      </c>
      <c r="X21" s="630"/>
      <c r="Y21" s="555">
        <f>+SUMIF(WRM!$C$7:$C$122,$D21,WRM!$X$7:X$122)</f>
        <v>0</v>
      </c>
      <c r="Z21" s="630"/>
      <c r="AA21" s="2213">
        <f t="shared" si="4"/>
        <v>0</v>
      </c>
      <c r="AB21" s="2255"/>
      <c r="AC21" s="1172">
        <f t="shared" si="5"/>
        <v>1523.15</v>
      </c>
      <c r="AD21" s="630"/>
      <c r="AE21" s="555">
        <f>+SUMIF(WRM!$C$7:$C$122,$D21,WRM!$AD$7:$AD$122)</f>
        <v>67.650000000000006</v>
      </c>
      <c r="AF21" s="630"/>
      <c r="AG21" s="630">
        <f t="shared" si="6"/>
        <v>1590.8000000000002</v>
      </c>
      <c r="AH21" s="630"/>
      <c r="AI21" s="555">
        <f>+SUMIF(WRM!$C$7:$C$122,$D21,WRM!$AH$7:$AH$122)</f>
        <v>0</v>
      </c>
      <c r="AJ21" s="625"/>
      <c r="AK21" s="625">
        <f t="shared" si="7"/>
        <v>1590.8000000000002</v>
      </c>
      <c r="AL21" s="630"/>
      <c r="AM21" s="555">
        <f>+SUMIF(WRM!$C$7:$C$122,$D21,WRM!$AL$7:$AL$122)</f>
        <v>0</v>
      </c>
      <c r="AN21" s="630"/>
      <c r="AO21" s="2213">
        <f t="shared" si="18"/>
        <v>67.650000000000006</v>
      </c>
      <c r="AP21" s="625"/>
      <c r="AQ21" s="625">
        <f t="shared" si="9"/>
        <v>1590.8000000000002</v>
      </c>
      <c r="AR21" s="630"/>
      <c r="AS21" s="555">
        <f>+SUMIF(WRM!$C$7:$C$122,$D21,WRM!$AR$7:$AR$122)</f>
        <v>0</v>
      </c>
      <c r="AT21" s="625"/>
      <c r="AU21" s="625">
        <f t="shared" si="19"/>
        <v>1590.8000000000002</v>
      </c>
      <c r="AV21" s="630"/>
      <c r="AW21" s="555">
        <f>+SUMIF(WRM!$C$7:$C$122,$D21,WRM!$AV$7:$AV$122)</f>
        <v>0</v>
      </c>
      <c r="AX21" s="625"/>
      <c r="AY21" s="625">
        <f t="shared" si="11"/>
        <v>1590.8000000000002</v>
      </c>
      <c r="AZ21" s="630"/>
      <c r="BA21" s="555">
        <f>+SUMIF(WRM!$C$7:$C$122,$D21,WRM!$AZ$7:$AZ$122)</f>
        <v>446.89999999999992</v>
      </c>
      <c r="BB21" s="630"/>
      <c r="BC21" s="2213">
        <f t="shared" si="12"/>
        <v>446.89999999999992</v>
      </c>
      <c r="BD21" s="2255"/>
      <c r="BE21" s="1172">
        <f t="shared" si="13"/>
        <v>514.54999999999995</v>
      </c>
      <c r="BF21" s="625"/>
      <c r="BG21" s="625">
        <f t="shared" si="14"/>
        <v>2037.7</v>
      </c>
      <c r="BH21" s="26"/>
      <c r="BI21" s="26"/>
      <c r="BJ21" s="26"/>
    </row>
    <row r="22" spans="3:62" ht="18" x14ac:dyDescent="0.35">
      <c r="C22" s="4749" t="s">
        <v>16</v>
      </c>
      <c r="D22" s="4750" t="s">
        <v>1908</v>
      </c>
      <c r="E22" s="4747"/>
      <c r="F22" s="4749"/>
      <c r="G22" s="555">
        <f>+SUMIF(WRM!$C$7:$C$122,$D22,WRM!$F$7:$F$122)</f>
        <v>0</v>
      </c>
      <c r="H22" s="555"/>
      <c r="I22" s="555">
        <f>+SUMIF(WRM!$C$7:$C$122,$D22,WRM!$H$7:$H$122)</f>
        <v>0</v>
      </c>
      <c r="J22" s="625"/>
      <c r="K22" s="625">
        <f t="shared" ref="K22" si="20">+G22+I22</f>
        <v>0</v>
      </c>
      <c r="L22" s="555"/>
      <c r="M22" s="555">
        <f>+SUMIF(WRM!$C$7:$C$122,$D22,WRM!$L$7:$L$122)</f>
        <v>0</v>
      </c>
      <c r="N22" s="630"/>
      <c r="O22" s="630">
        <f t="shared" si="1"/>
        <v>0</v>
      </c>
      <c r="P22" s="555"/>
      <c r="Q22" s="555">
        <f>+SUMIF(WRM!$C$7:$C$122,$D22,WRM!P$7:$P$122)</f>
        <v>0</v>
      </c>
      <c r="R22" s="630"/>
      <c r="S22" s="630">
        <f t="shared" ref="S22" si="21">O22+Q22</f>
        <v>0</v>
      </c>
      <c r="T22" s="555"/>
      <c r="U22" s="555">
        <f>+SUMIF(WRM!$C$7:$C$122,$D22,WRM!$T$7:T$122)</f>
        <v>0</v>
      </c>
      <c r="V22" s="630"/>
      <c r="W22" s="630">
        <f t="shared" ref="W22" si="22">S22+U22</f>
        <v>0</v>
      </c>
      <c r="X22" s="630"/>
      <c r="Y22" s="555">
        <f>+SUMIF(WRM!$C$7:$C$122,$D22,WRM!$X$7:X$122)</f>
        <v>0</v>
      </c>
      <c r="Z22" s="630"/>
      <c r="AA22" s="2213">
        <f t="shared" si="4"/>
        <v>0</v>
      </c>
      <c r="AB22" s="2255"/>
      <c r="AC22" s="1172">
        <f t="shared" si="5"/>
        <v>0</v>
      </c>
      <c r="AD22" s="630"/>
      <c r="AE22" s="555">
        <f>+SUMIF(WRM!$C$7:$C$122,$D22,WRM!$AD$7:$AD$122)</f>
        <v>0</v>
      </c>
      <c r="AF22" s="630"/>
      <c r="AG22" s="630">
        <f t="shared" si="6"/>
        <v>0</v>
      </c>
      <c r="AH22" s="630"/>
      <c r="AI22" s="555">
        <f>+SUMIF(WRM!$C$7:$C$122,$D22,WRM!$AH$7:$AH$122)</f>
        <v>0</v>
      </c>
      <c r="AJ22" s="625"/>
      <c r="AK22" s="625">
        <f t="shared" si="7"/>
        <v>0</v>
      </c>
      <c r="AL22" s="630"/>
      <c r="AM22" s="555">
        <f>+SUMIF(WRM!$C$7:$C$122,$D22,WRM!$AL$7:$AL$122)</f>
        <v>0</v>
      </c>
      <c r="AN22" s="630"/>
      <c r="AO22" s="2213">
        <f t="shared" ref="AO22" si="23">AE22+AI22+AM22</f>
        <v>0</v>
      </c>
      <c r="AP22" s="625"/>
      <c r="AQ22" s="625">
        <f t="shared" si="9"/>
        <v>0</v>
      </c>
      <c r="AR22" s="630"/>
      <c r="AS22" s="555">
        <f>+SUMIF(WRM!$C$7:$C$122,$D22,WRM!$AR$7:$AR$122)</f>
        <v>0</v>
      </c>
      <c r="AT22" s="625"/>
      <c r="AU22" s="625">
        <f t="shared" ref="AU22" si="24">AQ22+AS22</f>
        <v>0</v>
      </c>
      <c r="AV22" s="630"/>
      <c r="AW22" s="555">
        <f>+SUMIF(WRM!$C$7:$C$122,$D22,WRM!$AV$7:$AV$122)</f>
        <v>0</v>
      </c>
      <c r="AX22" s="625"/>
      <c r="AY22" s="625">
        <f t="shared" si="11"/>
        <v>0</v>
      </c>
      <c r="AZ22" s="630"/>
      <c r="BA22" s="555">
        <f>+SUMIF(WRM!$C$7:$C$122,$D22,WRM!$AZ$7:$AZ$122)</f>
        <v>0</v>
      </c>
      <c r="BB22" s="630"/>
      <c r="BC22" s="2213">
        <f t="shared" si="12"/>
        <v>0</v>
      </c>
      <c r="BD22" s="2255"/>
      <c r="BE22" s="1172">
        <f t="shared" si="13"/>
        <v>0</v>
      </c>
      <c r="BF22" s="625"/>
      <c r="BG22" s="625">
        <f t="shared" si="14"/>
        <v>0</v>
      </c>
      <c r="BH22" s="26"/>
      <c r="BI22" s="26"/>
      <c r="BJ22" s="26"/>
    </row>
    <row r="23" spans="3:62" ht="18" x14ac:dyDescent="0.35">
      <c r="C23" s="4749" t="s">
        <v>16</v>
      </c>
      <c r="D23" s="4750" t="s">
        <v>1612</v>
      </c>
      <c r="E23" s="4747"/>
      <c r="F23" s="4749"/>
      <c r="G23" s="555">
        <f>+SUMIF(WRM!$C$7:$C$122,$D23,WRM!$F$7:$F$122)</f>
        <v>627.29999999999995</v>
      </c>
      <c r="H23" s="555"/>
      <c r="I23" s="555">
        <f>+SUMIF(WRM!$C$7:$C$122,$D23,WRM!$H$7:$H$122)</f>
        <v>0</v>
      </c>
      <c r="J23" s="625"/>
      <c r="K23" s="625">
        <f t="shared" ref="K23" si="25">+G23+I23</f>
        <v>627.29999999999995</v>
      </c>
      <c r="L23" s="555"/>
      <c r="M23" s="555">
        <f>+SUMIF(WRM!$C$7:$C$122,$D23,WRM!$L$7:$L$122)</f>
        <v>0</v>
      </c>
      <c r="N23" s="630"/>
      <c r="O23" s="630">
        <f t="shared" si="1"/>
        <v>627.29999999999995</v>
      </c>
      <c r="P23" s="555"/>
      <c r="Q23" s="555">
        <f>+SUMIF(WRM!$C$7:$C$122,$D23,WRM!P$7:$P$122)</f>
        <v>0</v>
      </c>
      <c r="R23" s="630"/>
      <c r="S23" s="630">
        <f t="shared" ref="S23" si="26">O23+Q23</f>
        <v>627.29999999999995</v>
      </c>
      <c r="T23" s="555"/>
      <c r="U23" s="555">
        <f>+SUMIF(WRM!$C$7:$C$122,$D23,WRM!$T$7:T$122)</f>
        <v>0</v>
      </c>
      <c r="V23" s="630"/>
      <c r="W23" s="630">
        <f t="shared" ref="W23" si="27">S23+U23</f>
        <v>627.29999999999995</v>
      </c>
      <c r="X23" s="630"/>
      <c r="Y23" s="555">
        <f>+SUMIF(WRM!$C$7:$C$122,$D23,WRM!$X$7:X$122)</f>
        <v>0</v>
      </c>
      <c r="Z23" s="630"/>
      <c r="AA23" s="2213">
        <f t="shared" si="4"/>
        <v>0</v>
      </c>
      <c r="AB23" s="2255"/>
      <c r="AC23" s="1172">
        <f t="shared" si="5"/>
        <v>627.29999999999995</v>
      </c>
      <c r="AD23" s="630"/>
      <c r="AE23" s="555">
        <f>+SUMIF(WRM!$C$7:$C$122,$D23,WRM!$AD$7:$AD$122)</f>
        <v>0</v>
      </c>
      <c r="AF23" s="630"/>
      <c r="AG23" s="630">
        <f t="shared" si="6"/>
        <v>627.29999999999995</v>
      </c>
      <c r="AH23" s="630"/>
      <c r="AI23" s="555">
        <f>+SUMIF(WRM!$C$7:$C$122,$D23,WRM!$AH$7:$AH$122)</f>
        <v>0</v>
      </c>
      <c r="AJ23" s="625"/>
      <c r="AK23" s="625">
        <f t="shared" si="7"/>
        <v>627.29999999999995</v>
      </c>
      <c r="AL23" s="630"/>
      <c r="AM23" s="555">
        <f>+SUMIF(WRM!$C$7:$C$122,$D23,WRM!$AL$7:$AL$122)</f>
        <v>0</v>
      </c>
      <c r="AN23" s="630"/>
      <c r="AO23" s="2213">
        <f t="shared" ref="AO23" si="28">AE23+AI23+AM23</f>
        <v>0</v>
      </c>
      <c r="AP23" s="625"/>
      <c r="AQ23" s="625">
        <f t="shared" si="9"/>
        <v>627.29999999999995</v>
      </c>
      <c r="AR23" s="630"/>
      <c r="AS23" s="555">
        <f>+SUMIF(WRM!$C$7:$C$122,$D23,WRM!$AR$7:$AR$122)</f>
        <v>55.35</v>
      </c>
      <c r="AT23" s="625"/>
      <c r="AU23" s="625">
        <f t="shared" ref="AU23" si="29">AQ23+AS23</f>
        <v>682.65</v>
      </c>
      <c r="AV23" s="630"/>
      <c r="AW23" s="555">
        <f>+SUMIF(WRM!$C$7:$C$122,$D23,WRM!$AV$7:$AV$122)</f>
        <v>0</v>
      </c>
      <c r="AX23" s="625"/>
      <c r="AY23" s="625">
        <f t="shared" si="11"/>
        <v>682.65</v>
      </c>
      <c r="AZ23" s="630"/>
      <c r="BA23" s="555">
        <f>+SUMIF(WRM!$C$7:$C$122,$D23,WRM!$AZ$7:$AZ$122)</f>
        <v>0</v>
      </c>
      <c r="BB23" s="630"/>
      <c r="BC23" s="2213">
        <f t="shared" si="12"/>
        <v>55.35</v>
      </c>
      <c r="BD23" s="2255"/>
      <c r="BE23" s="1172">
        <f t="shared" si="13"/>
        <v>55.35</v>
      </c>
      <c r="BF23" s="625"/>
      <c r="BG23" s="625">
        <f t="shared" si="14"/>
        <v>682.65</v>
      </c>
      <c r="BH23" s="26"/>
      <c r="BI23" s="26"/>
      <c r="BJ23" s="26"/>
    </row>
    <row r="24" spans="3:62" ht="18" x14ac:dyDescent="0.35">
      <c r="C24" s="554" t="s">
        <v>16</v>
      </c>
      <c r="D24" s="1635" t="s">
        <v>1141</v>
      </c>
      <c r="E24" s="4747"/>
      <c r="F24" s="554"/>
      <c r="G24" s="555">
        <f>+SUMIF(WRM!$C$7:$C$122,$D24,WRM!$F$7:$F$122)</f>
        <v>6223.8</v>
      </c>
      <c r="H24" s="555"/>
      <c r="I24" s="555">
        <f>+SUMIF(WRM!$C$7:$C$122,$D24,WRM!$H$7:$H$122)</f>
        <v>3849.9</v>
      </c>
      <c r="J24" s="625"/>
      <c r="K24" s="625">
        <f t="shared" si="0"/>
        <v>10073.700000000001</v>
      </c>
      <c r="L24" s="555"/>
      <c r="M24" s="555">
        <f>+SUMIF(WRM!$C$7:$C$122,$D24,WRM!$L$7:$L$122)</f>
        <v>6943.3499999999995</v>
      </c>
      <c r="N24" s="630"/>
      <c r="O24" s="630">
        <f t="shared" si="1"/>
        <v>17017.05</v>
      </c>
      <c r="P24" s="555"/>
      <c r="Q24" s="555">
        <f>+SUMIF(WRM!$C$7:$C$122,$D24,WRM!P$7:$P$122)</f>
        <v>6264.8</v>
      </c>
      <c r="R24" s="630"/>
      <c r="S24" s="630">
        <f t="shared" si="2"/>
        <v>23281.85</v>
      </c>
      <c r="T24" s="555"/>
      <c r="U24" s="555">
        <f>+SUMIF(WRM!$C$7:$C$122,$D24,WRM!$T$7:T$122)</f>
        <v>4844.1500000000005</v>
      </c>
      <c r="V24" s="630"/>
      <c r="W24" s="630">
        <f t="shared" si="3"/>
        <v>28126</v>
      </c>
      <c r="X24" s="630"/>
      <c r="Y24" s="555">
        <f>+SUMIF(WRM!$C$7:$C$122,$D24,WRM!$X$7:X$122)</f>
        <v>6642</v>
      </c>
      <c r="Z24" s="630"/>
      <c r="AA24" s="2213">
        <f t="shared" si="4"/>
        <v>17750.95</v>
      </c>
      <c r="AB24" s="2255"/>
      <c r="AC24" s="1172">
        <f t="shared" si="5"/>
        <v>34768</v>
      </c>
      <c r="AD24" s="630"/>
      <c r="AE24" s="555">
        <f>+SUMIF(WRM!$C$7:$C$122,$D24,WRM!$AD$7:$AD$122)</f>
        <v>13357.8</v>
      </c>
      <c r="AF24" s="630"/>
      <c r="AG24" s="630">
        <f t="shared" si="6"/>
        <v>48125.8</v>
      </c>
      <c r="AH24" s="630"/>
      <c r="AI24" s="555">
        <f>+SUMIF(WRM!$C$7:$C$122,$D24,WRM!$AH$7:$AH$122)</f>
        <v>7810.5000000000036</v>
      </c>
      <c r="AJ24" s="625"/>
      <c r="AK24" s="625">
        <f t="shared" si="7"/>
        <v>55936.3</v>
      </c>
      <c r="AL24" s="630"/>
      <c r="AM24" s="555">
        <f>+SUMIF(WRM!$C$7:$C$122,$D24,WRM!$AL$7:$AL$122)</f>
        <v>8860.1000000000095</v>
      </c>
      <c r="AN24" s="630"/>
      <c r="AO24" s="2213">
        <f t="shared" si="8"/>
        <v>30028.400000000012</v>
      </c>
      <c r="AP24" s="625"/>
      <c r="AQ24" s="625">
        <f t="shared" si="9"/>
        <v>64796.400000000009</v>
      </c>
      <c r="AR24" s="630"/>
      <c r="AS24" s="555">
        <f>+SUMIF(WRM!$C$7:$C$122,$D24,WRM!$AR$7:$AR$122)</f>
        <v>12025.300000000001</v>
      </c>
      <c r="AT24" s="625"/>
      <c r="AU24" s="625">
        <f t="shared" si="10"/>
        <v>76821.700000000012</v>
      </c>
      <c r="AV24" s="630"/>
      <c r="AW24" s="555">
        <f>+SUMIF(WRM!$C$7:$C$122,$D24,WRM!$AV$7:$AV$122)</f>
        <v>6549.7500000000009</v>
      </c>
      <c r="AX24" s="625"/>
      <c r="AY24" s="625">
        <f t="shared" si="11"/>
        <v>83371.450000000012</v>
      </c>
      <c r="AZ24" s="630"/>
      <c r="BA24" s="555">
        <f>+SUMIF(WRM!$C$7:$C$122,$D24,WRM!$AZ$7:$AZ$122)</f>
        <v>6424.7000000000044</v>
      </c>
      <c r="BB24" s="630"/>
      <c r="BC24" s="2213">
        <f t="shared" si="12"/>
        <v>24999.750000000007</v>
      </c>
      <c r="BD24" s="2255"/>
      <c r="BE24" s="1172">
        <f t="shared" si="13"/>
        <v>55028.150000000023</v>
      </c>
      <c r="BF24" s="625"/>
      <c r="BG24" s="625">
        <f t="shared" si="14"/>
        <v>89796.150000000023</v>
      </c>
      <c r="BH24" s="26"/>
      <c r="BI24" s="26"/>
      <c r="BJ24" s="26"/>
    </row>
    <row r="25" spans="3:62" ht="18" x14ac:dyDescent="0.35">
      <c r="C25" s="554" t="s">
        <v>16</v>
      </c>
      <c r="D25" s="1635" t="s">
        <v>875</v>
      </c>
      <c r="E25" s="4747"/>
      <c r="F25" s="554"/>
      <c r="G25" s="555">
        <f>+SUMIF(WRM!$C$7:$C$122,$D25,WRM!$F$7:$F$122)</f>
        <v>522.75</v>
      </c>
      <c r="H25" s="555"/>
      <c r="I25" s="555">
        <f>+SUMIF(WRM!$C$7:$C$122,$D25,WRM!$H$7:$H$122)</f>
        <v>485.84999999999997</v>
      </c>
      <c r="J25" s="625"/>
      <c r="K25" s="625">
        <f t="shared" si="0"/>
        <v>1008.5999999999999</v>
      </c>
      <c r="L25" s="555"/>
      <c r="M25" s="555">
        <f>+SUMIF(WRM!$C$7:$C$122,$D25,WRM!$L$7:$L$122)</f>
        <v>508.40000000000003</v>
      </c>
      <c r="N25" s="630"/>
      <c r="O25" s="630">
        <f t="shared" si="1"/>
        <v>1517</v>
      </c>
      <c r="P25" s="555"/>
      <c r="Q25" s="555">
        <f>+SUMIF(WRM!$C$7:$C$122,$D25,WRM!P$7:$P$122)</f>
        <v>0</v>
      </c>
      <c r="R25" s="630"/>
      <c r="S25" s="630">
        <f t="shared" ref="S25:S68" si="30">O25+Q25</f>
        <v>1517</v>
      </c>
      <c r="T25" s="555"/>
      <c r="U25" s="555">
        <f>+SUMIF(WRM!$C$7:$C$122,$D25,WRM!$T$7:T$122)</f>
        <v>0</v>
      </c>
      <c r="V25" s="630"/>
      <c r="W25" s="630">
        <f t="shared" si="3"/>
        <v>1517</v>
      </c>
      <c r="X25" s="630"/>
      <c r="Y25" s="555">
        <f>+SUMIF(WRM!$C$7:$C$122,$D25,WRM!$X$7:X$122)</f>
        <v>0</v>
      </c>
      <c r="Z25" s="630"/>
      <c r="AA25" s="2213">
        <f t="shared" si="4"/>
        <v>0</v>
      </c>
      <c r="AB25" s="2255"/>
      <c r="AC25" s="1172">
        <f t="shared" si="5"/>
        <v>1517</v>
      </c>
      <c r="AD25" s="630"/>
      <c r="AE25" s="555">
        <f>+SUMIF(WRM!$C$7:$C$122,$D25,WRM!$AD$7:$AD$122)</f>
        <v>1414.5000000000002</v>
      </c>
      <c r="AF25" s="630"/>
      <c r="AG25" s="630">
        <f t="shared" si="6"/>
        <v>2931.5</v>
      </c>
      <c r="AH25" s="630"/>
      <c r="AI25" s="555">
        <f>+SUMIF(WRM!$C$7:$C$122,$D25,WRM!$AH$7:$AH$122)</f>
        <v>764.65</v>
      </c>
      <c r="AJ25" s="625"/>
      <c r="AK25" s="625">
        <f t="shared" si="7"/>
        <v>3696.15</v>
      </c>
      <c r="AL25" s="630"/>
      <c r="AM25" s="555">
        <f>+SUMIF(WRM!$C$7:$C$122,$D25,WRM!$AL$7:$AL$122)</f>
        <v>772.85</v>
      </c>
      <c r="AN25" s="630"/>
      <c r="AO25" s="2213">
        <f t="shared" si="8"/>
        <v>2952</v>
      </c>
      <c r="AP25" s="625"/>
      <c r="AQ25" s="625">
        <f t="shared" si="9"/>
        <v>4469</v>
      </c>
      <c r="AR25" s="630"/>
      <c r="AS25" s="555">
        <f>+SUMIF(WRM!$C$7:$C$122,$D25,WRM!$AR$7:$AR$122)</f>
        <v>133.25</v>
      </c>
      <c r="AT25" s="625"/>
      <c r="AU25" s="625">
        <f t="shared" si="10"/>
        <v>4602.25</v>
      </c>
      <c r="AV25" s="630"/>
      <c r="AW25" s="555">
        <f>+SUMIF(WRM!$C$7:$C$122,$D25,WRM!$AV$7:$AV$122)</f>
        <v>205</v>
      </c>
      <c r="AX25" s="625"/>
      <c r="AY25" s="625">
        <f t="shared" si="11"/>
        <v>4807.25</v>
      </c>
      <c r="AZ25" s="630"/>
      <c r="BA25" s="555">
        <f>+SUMIF(WRM!$C$7:$C$122,$D25,WRM!$AZ$7:$AZ$122)</f>
        <v>0</v>
      </c>
      <c r="BB25" s="630"/>
      <c r="BC25" s="2213">
        <f t="shared" si="12"/>
        <v>338.25</v>
      </c>
      <c r="BD25" s="2255"/>
      <c r="BE25" s="1172">
        <f t="shared" si="13"/>
        <v>3290.25</v>
      </c>
      <c r="BF25" s="625"/>
      <c r="BG25" s="625">
        <f t="shared" si="14"/>
        <v>4807.25</v>
      </c>
      <c r="BH25" s="26"/>
      <c r="BI25" s="26"/>
      <c r="BJ25" s="26"/>
    </row>
    <row r="26" spans="3:62" ht="18" x14ac:dyDescent="0.35">
      <c r="C26" s="4749" t="s">
        <v>16</v>
      </c>
      <c r="D26" s="4750" t="s">
        <v>1960</v>
      </c>
      <c r="E26" s="4747"/>
      <c r="F26" s="4749"/>
      <c r="G26" s="555">
        <f>+SUMIF(WRM!$C$7:$C$122,$D26,WRM!$F$7:$F$122)</f>
        <v>116.85000000000001</v>
      </c>
      <c r="H26" s="555"/>
      <c r="I26" s="555">
        <f>+SUMIF(WRM!$C$7:$C$122,$D26,WRM!$H$7:$H$122)</f>
        <v>0</v>
      </c>
      <c r="J26" s="625"/>
      <c r="K26" s="625">
        <f t="shared" ref="K26" si="31">+G26+I26</f>
        <v>116.85000000000001</v>
      </c>
      <c r="L26" s="555"/>
      <c r="M26" s="555">
        <f>+SUMIF(WRM!$C$7:$C$122,$D26,WRM!$L$7:$L$122)</f>
        <v>0</v>
      </c>
      <c r="N26" s="630"/>
      <c r="O26" s="630">
        <f t="shared" si="1"/>
        <v>116.85000000000001</v>
      </c>
      <c r="P26" s="555"/>
      <c r="Q26" s="555">
        <f>+SUMIF(WRM!$C$7:$C$122,$D26,WRM!P$7:$P$122)</f>
        <v>0</v>
      </c>
      <c r="R26" s="630"/>
      <c r="S26" s="630">
        <f t="shared" ref="S26" si="32">O26+Q26</f>
        <v>116.85000000000001</v>
      </c>
      <c r="T26" s="555"/>
      <c r="U26" s="555">
        <f>+SUMIF(WRM!$C$7:$C$122,$D26,WRM!$T$7:T$122)</f>
        <v>0</v>
      </c>
      <c r="V26" s="630"/>
      <c r="W26" s="630">
        <f t="shared" ref="W26" si="33">S26+U26</f>
        <v>116.85000000000001</v>
      </c>
      <c r="X26" s="630"/>
      <c r="Y26" s="555">
        <f>+SUMIF(WRM!$C$7:$C$122,$D26,WRM!$X$7:X$122)</f>
        <v>0</v>
      </c>
      <c r="Z26" s="630"/>
      <c r="AA26" s="2213">
        <f t="shared" si="4"/>
        <v>0</v>
      </c>
      <c r="AB26" s="2255"/>
      <c r="AC26" s="1172">
        <f t="shared" si="5"/>
        <v>116.85000000000001</v>
      </c>
      <c r="AD26" s="630"/>
      <c r="AE26" s="555">
        <f>+SUMIF(WRM!$C$7:$C$122,$D26,WRM!$AD$7:$AD$122)</f>
        <v>205</v>
      </c>
      <c r="AF26" s="630"/>
      <c r="AG26" s="630">
        <f t="shared" ref="AG26" si="34">AC26+AE26</f>
        <v>321.85000000000002</v>
      </c>
      <c r="AH26" s="630"/>
      <c r="AI26" s="555">
        <f>+SUMIF(WRM!$C$7:$C$122,$D26,WRM!$AH$7:$AH$122)</f>
        <v>0</v>
      </c>
      <c r="AJ26" s="625"/>
      <c r="AK26" s="625">
        <f t="shared" ref="AK26" si="35">AG26+AI26</f>
        <v>321.85000000000002</v>
      </c>
      <c r="AL26" s="630"/>
      <c r="AM26" s="555">
        <f>+SUMIF(WRM!$C$7:$C$122,$D26,WRM!$AL$7:$AL$122)</f>
        <v>0</v>
      </c>
      <c r="AN26" s="630"/>
      <c r="AO26" s="2213">
        <f t="shared" ref="AO26" si="36">AE26+AI26+AM26</f>
        <v>205</v>
      </c>
      <c r="AP26" s="625"/>
      <c r="AQ26" s="625">
        <f t="shared" ref="AQ26" si="37">AK26+AM26</f>
        <v>321.85000000000002</v>
      </c>
      <c r="AR26" s="630"/>
      <c r="AS26" s="555">
        <f>+SUMIF(WRM!$C$7:$C$122,$D26,WRM!$AR$7:$AR$122)</f>
        <v>0</v>
      </c>
      <c r="AT26" s="625"/>
      <c r="AU26" s="625">
        <f t="shared" ref="AU26" si="38">AQ26+AS26</f>
        <v>321.85000000000002</v>
      </c>
      <c r="AV26" s="630"/>
      <c r="AW26" s="555">
        <f>+SUMIF(WRM!$C$7:$C$122,$D26,WRM!$AV$7:$AV$122)</f>
        <v>0</v>
      </c>
      <c r="AX26" s="625"/>
      <c r="AY26" s="625">
        <f t="shared" si="11"/>
        <v>321.85000000000002</v>
      </c>
      <c r="AZ26" s="630"/>
      <c r="BA26" s="555">
        <f>+SUMIF(WRM!$C$7:$C$122,$D26,WRM!$AZ$7:$AZ$122)</f>
        <v>0</v>
      </c>
      <c r="BB26" s="630"/>
      <c r="BC26" s="2213">
        <f t="shared" si="12"/>
        <v>0</v>
      </c>
      <c r="BD26" s="2255"/>
      <c r="BE26" s="1172">
        <f t="shared" si="13"/>
        <v>205</v>
      </c>
      <c r="BF26" s="625"/>
      <c r="BG26" s="625">
        <f t="shared" si="14"/>
        <v>321.85000000000002</v>
      </c>
      <c r="BH26" s="26"/>
      <c r="BI26" s="26"/>
      <c r="BJ26" s="26"/>
    </row>
    <row r="27" spans="3:62" ht="18" x14ac:dyDescent="0.35">
      <c r="C27" s="554" t="s">
        <v>16</v>
      </c>
      <c r="D27" s="1635" t="s">
        <v>970</v>
      </c>
      <c r="E27" s="4747"/>
      <c r="F27" s="554"/>
      <c r="G27" s="555">
        <f>+SUMIF(WRM!$C$7:$C$122,$D27,WRM!$F$7:$F$122)</f>
        <v>4930.2300000000005</v>
      </c>
      <c r="H27" s="555"/>
      <c r="I27" s="555">
        <f>+SUMIF(WRM!$C$7:$C$122,$D27,WRM!$H$7:$H$122)</f>
        <v>5530.9</v>
      </c>
      <c r="J27" s="625"/>
      <c r="K27" s="625">
        <f t="shared" si="0"/>
        <v>10461.130000000001</v>
      </c>
      <c r="L27" s="555"/>
      <c r="M27" s="555">
        <f>+SUMIF(WRM!$C$7:$C$122,$D27,WRM!$L$7:$L$122)</f>
        <v>4952.8</v>
      </c>
      <c r="N27" s="630"/>
      <c r="O27" s="630">
        <f t="shared" si="1"/>
        <v>15413.93</v>
      </c>
      <c r="P27" s="555"/>
      <c r="Q27" s="555">
        <f>+SUMIF(WRM!$C$7:$C$122,$D27,WRM!P$7:$P$122)</f>
        <v>9462.7999999999993</v>
      </c>
      <c r="R27" s="630"/>
      <c r="S27" s="630">
        <f t="shared" si="30"/>
        <v>24876.73</v>
      </c>
      <c r="T27" s="555"/>
      <c r="U27" s="555">
        <f>+SUMIF(WRM!$C$7:$C$122,$D27,WRM!$T$7:T$122)</f>
        <v>10547.25</v>
      </c>
      <c r="V27" s="630"/>
      <c r="W27" s="630">
        <f t="shared" si="3"/>
        <v>35423.979999999996</v>
      </c>
      <c r="X27" s="630"/>
      <c r="Y27" s="555">
        <f>+SUMIF(WRM!$C$7:$C$122,$D27,WRM!$X$7:X$122)</f>
        <v>10947</v>
      </c>
      <c r="Z27" s="630"/>
      <c r="AA27" s="2213">
        <f t="shared" si="4"/>
        <v>30957.05</v>
      </c>
      <c r="AB27" s="2255"/>
      <c r="AC27" s="1172">
        <f t="shared" si="5"/>
        <v>46370.979999999996</v>
      </c>
      <c r="AD27" s="630"/>
      <c r="AE27" s="555">
        <f>+SUMIF(WRM!$C$7:$C$122,$D27,WRM!$AD$7:$AD$122)</f>
        <v>3950.35</v>
      </c>
      <c r="AF27" s="630"/>
      <c r="AG27" s="630">
        <f t="shared" si="6"/>
        <v>50321.329999999994</v>
      </c>
      <c r="AH27" s="630"/>
      <c r="AI27" s="555">
        <f>+SUMIF(WRM!$C$7:$C$122,$D27,WRM!$AH$7:$AH$122)</f>
        <v>1066</v>
      </c>
      <c r="AJ27" s="625"/>
      <c r="AK27" s="625">
        <f t="shared" si="7"/>
        <v>51387.329999999994</v>
      </c>
      <c r="AL27" s="630"/>
      <c r="AM27" s="555">
        <f>+SUMIF(WRM!$C$7:$C$122,$D27,WRM!$AL$7:$AL$122)</f>
        <v>2179.15</v>
      </c>
      <c r="AN27" s="630"/>
      <c r="AO27" s="2213">
        <f t="shared" si="8"/>
        <v>7195.5</v>
      </c>
      <c r="AP27" s="625"/>
      <c r="AQ27" s="625">
        <f t="shared" si="9"/>
        <v>53566.479999999996</v>
      </c>
      <c r="AR27" s="630"/>
      <c r="AS27" s="555">
        <f>+SUMIF(WRM!$C$7:$C$122,$D27,WRM!$AR$7:$AR$122)</f>
        <v>4042.6</v>
      </c>
      <c r="AT27" s="625"/>
      <c r="AU27" s="625">
        <f t="shared" si="10"/>
        <v>57609.079999999994</v>
      </c>
      <c r="AV27" s="630"/>
      <c r="AW27" s="555">
        <f>+SUMIF(WRM!$C$7:$C$122,$D27,WRM!$AV$7:$AV$122)</f>
        <v>6957.6</v>
      </c>
      <c r="AX27" s="625"/>
      <c r="AY27" s="625">
        <f t="shared" si="11"/>
        <v>64566.679999999993</v>
      </c>
      <c r="AZ27" s="630"/>
      <c r="BA27" s="555">
        <f>+SUMIF(WRM!$C$7:$C$122,$D27,WRM!$AZ$7:$AZ$122)</f>
        <v>8398.8500000000022</v>
      </c>
      <c r="BB27" s="630"/>
      <c r="BC27" s="2213">
        <f t="shared" si="12"/>
        <v>19399.050000000003</v>
      </c>
      <c r="BD27" s="2255"/>
      <c r="BE27" s="1172">
        <f t="shared" si="13"/>
        <v>26594.550000000003</v>
      </c>
      <c r="BF27" s="625"/>
      <c r="BG27" s="625">
        <f t="shared" si="14"/>
        <v>72965.53</v>
      </c>
      <c r="BH27" s="26"/>
      <c r="BI27" s="26"/>
      <c r="BJ27" s="26"/>
    </row>
    <row r="28" spans="3:62" ht="18" x14ac:dyDescent="0.35">
      <c r="C28" s="5645" t="s">
        <v>16</v>
      </c>
      <c r="D28" s="5646" t="s">
        <v>2349</v>
      </c>
      <c r="E28" s="4747"/>
      <c r="F28" s="5645"/>
      <c r="G28" s="555">
        <f>+SUMIF(WRM!$C$7:$C$122,$D28,WRM!$F$7:$F$122)</f>
        <v>0</v>
      </c>
      <c r="H28" s="555"/>
      <c r="I28" s="555">
        <f>+SUMIF(WRM!$C$7:$C$122,$D28,WRM!$H$7:$H$122)</f>
        <v>0</v>
      </c>
      <c r="J28" s="625"/>
      <c r="K28" s="625">
        <f t="shared" ref="K28" si="39">+G28+I28</f>
        <v>0</v>
      </c>
      <c r="L28" s="555"/>
      <c r="M28" s="555">
        <f>+SUMIF(WRM!$C$7:$C$122,$D28,WRM!$L$7:$L$122)</f>
        <v>0</v>
      </c>
      <c r="N28" s="630"/>
      <c r="O28" s="630">
        <f t="shared" ref="O28" si="40">+G28+I28+M28</f>
        <v>0</v>
      </c>
      <c r="P28" s="555"/>
      <c r="Q28" s="555">
        <f>+SUMIF(WRM!$C$7:$C$122,$D28,WRM!P$7:$P$122)</f>
        <v>0</v>
      </c>
      <c r="R28" s="630"/>
      <c r="S28" s="630">
        <f t="shared" ref="S28" si="41">O28+Q28</f>
        <v>0</v>
      </c>
      <c r="T28" s="555"/>
      <c r="U28" s="555">
        <f>+SUMIF(WRM!$C$7:$C$122,$D28,WRM!$T$7:T$122)</f>
        <v>0</v>
      </c>
      <c r="V28" s="630"/>
      <c r="W28" s="630">
        <f t="shared" ref="W28" si="42">S28+U28</f>
        <v>0</v>
      </c>
      <c r="X28" s="630"/>
      <c r="Y28" s="555">
        <f>+SUMIF(WRM!$C$7:$C$122,$D28,WRM!$X$7:X$122)</f>
        <v>94.3</v>
      </c>
      <c r="Z28" s="630"/>
      <c r="AA28" s="2213">
        <f t="shared" si="4"/>
        <v>94.3</v>
      </c>
      <c r="AB28" s="2255"/>
      <c r="AC28" s="1172">
        <f t="shared" si="5"/>
        <v>94.3</v>
      </c>
      <c r="AD28" s="630"/>
      <c r="AE28" s="555">
        <f>+SUMIF(WRM!$C$7:$C$122,$D28,WRM!$AD$7:$AD$122)</f>
        <v>0</v>
      </c>
      <c r="AF28" s="630"/>
      <c r="AG28" s="630">
        <f t="shared" ref="AG28" si="43">AC28+AE28</f>
        <v>94.3</v>
      </c>
      <c r="AH28" s="630"/>
      <c r="AI28" s="555">
        <f>+SUMIF(WRM!$C$7:$C$122,$D28,WRM!$AH$7:$AH$122)</f>
        <v>0</v>
      </c>
      <c r="AJ28" s="625"/>
      <c r="AK28" s="625">
        <f t="shared" ref="AK28" si="44">AG28+AI28</f>
        <v>94.3</v>
      </c>
      <c r="AL28" s="630"/>
      <c r="AM28" s="555">
        <f>+SUMIF(WRM!$C$7:$C$122,$D28,WRM!$AL$7:$AL$122)</f>
        <v>0</v>
      </c>
      <c r="AN28" s="630"/>
      <c r="AO28" s="2213">
        <f t="shared" ref="AO28" si="45">AE28+AI28+AM28</f>
        <v>0</v>
      </c>
      <c r="AP28" s="625"/>
      <c r="AQ28" s="625">
        <f t="shared" ref="AQ28" si="46">AK28+AM28</f>
        <v>94.3</v>
      </c>
      <c r="AR28" s="630"/>
      <c r="AS28" s="555">
        <f>+SUMIF(WRM!$C$7:$C$122,$D28,WRM!$AR$7:$AR$122)</f>
        <v>0</v>
      </c>
      <c r="AT28" s="625"/>
      <c r="AU28" s="625">
        <f t="shared" ref="AU28" si="47">AQ28+AS28</f>
        <v>94.3</v>
      </c>
      <c r="AV28" s="630"/>
      <c r="AW28" s="555">
        <f>+SUMIF(WRM!$C$7:$C$122,$D28,WRM!$AV$7:$AV$122)</f>
        <v>0</v>
      </c>
      <c r="AX28" s="625"/>
      <c r="AY28" s="625">
        <f t="shared" ref="AY28" si="48">AU28+AW28</f>
        <v>94.3</v>
      </c>
      <c r="AZ28" s="630"/>
      <c r="BA28" s="555">
        <f>+SUMIF(WRM!$C$7:$C$122,$D28,WRM!$AZ$7:$AZ$122)</f>
        <v>0</v>
      </c>
      <c r="BB28" s="630"/>
      <c r="BC28" s="2213">
        <f t="shared" ref="BC28" si="49">AS28+AW28+BA28</f>
        <v>0</v>
      </c>
      <c r="BD28" s="2255"/>
      <c r="BE28" s="1172">
        <f t="shared" ref="BE28" si="50">AO28+BC28</f>
        <v>0</v>
      </c>
      <c r="BF28" s="625"/>
      <c r="BG28" s="625">
        <f t="shared" ref="BG28" si="51">AY28+BA28</f>
        <v>94.3</v>
      </c>
      <c r="BH28" s="26"/>
      <c r="BI28" s="26"/>
      <c r="BJ28" s="26"/>
    </row>
    <row r="29" spans="3:62" ht="18" x14ac:dyDescent="0.35">
      <c r="C29" s="554" t="s">
        <v>16</v>
      </c>
      <c r="D29" s="1635" t="s">
        <v>972</v>
      </c>
      <c r="E29" s="4747"/>
      <c r="F29" s="554"/>
      <c r="G29" s="555">
        <f>+SUMIF(WRM!$C$7:$C$122,$D29,WRM!$F$7:$F$122)</f>
        <v>2039.65</v>
      </c>
      <c r="H29" s="555"/>
      <c r="I29" s="555">
        <f>+SUMIF(WRM!$C$7:$C$122,$D29,WRM!$H$7:$H$122)</f>
        <v>2564.5499999999997</v>
      </c>
      <c r="J29" s="625"/>
      <c r="K29" s="625">
        <f t="shared" si="0"/>
        <v>4604.2</v>
      </c>
      <c r="L29" s="555"/>
      <c r="M29" s="555">
        <f>+SUMIF(WRM!$C$7:$C$122,$D29,WRM!$L$7:$L$122)</f>
        <v>1920.8500000000001</v>
      </c>
      <c r="N29" s="630"/>
      <c r="O29" s="630">
        <f t="shared" si="1"/>
        <v>6525.05</v>
      </c>
      <c r="P29" s="555"/>
      <c r="Q29" s="555">
        <f>+SUMIF(WRM!$C$7:$C$122,$D29,WRM!P$7:$P$122)</f>
        <v>2345.1999999999985</v>
      </c>
      <c r="R29" s="630"/>
      <c r="S29" s="630">
        <f t="shared" si="30"/>
        <v>8870.2499999999982</v>
      </c>
      <c r="T29" s="555"/>
      <c r="U29" s="555">
        <f>+SUMIF(WRM!$C$7:$C$122,$D29,WRM!$T$7:T$122)</f>
        <v>1430.9</v>
      </c>
      <c r="V29" s="630"/>
      <c r="W29" s="630">
        <f t="shared" si="3"/>
        <v>10301.149999999998</v>
      </c>
      <c r="X29" s="630"/>
      <c r="Y29" s="555">
        <f>+SUMIF(WRM!$C$7:$C$122,$D29,WRM!$X$7:X$122)</f>
        <v>1492.4</v>
      </c>
      <c r="Z29" s="630"/>
      <c r="AA29" s="2213">
        <f t="shared" si="4"/>
        <v>5268.4999999999982</v>
      </c>
      <c r="AB29" s="2255"/>
      <c r="AC29" s="1172">
        <f t="shared" si="5"/>
        <v>11793.55</v>
      </c>
      <c r="AD29" s="630"/>
      <c r="AE29" s="555">
        <f>+SUMIF(WRM!$C$7:$C$122,$D29,WRM!$AD$7:$AD$122)</f>
        <v>867.15</v>
      </c>
      <c r="AF29" s="630"/>
      <c r="AG29" s="630">
        <f t="shared" si="6"/>
        <v>12660.699999999999</v>
      </c>
      <c r="AH29" s="630"/>
      <c r="AI29" s="555">
        <f>+SUMIF(WRM!$C$7:$C$122,$D29,WRM!$AH$7:$AH$122)</f>
        <v>1605.15</v>
      </c>
      <c r="AJ29" s="625"/>
      <c r="AK29" s="625">
        <f t="shared" si="7"/>
        <v>14265.849999999999</v>
      </c>
      <c r="AL29" s="630"/>
      <c r="AM29" s="555">
        <f>+SUMIF(WRM!$C$7:$C$122,$D29,WRM!$AL$7:$AL$122)</f>
        <v>2175.0499999999988</v>
      </c>
      <c r="AN29" s="630"/>
      <c r="AO29" s="2213">
        <f t="shared" si="8"/>
        <v>4647.3499999999985</v>
      </c>
      <c r="AP29" s="625"/>
      <c r="AQ29" s="625">
        <f t="shared" si="9"/>
        <v>16440.899999999998</v>
      </c>
      <c r="AR29" s="630"/>
      <c r="AS29" s="555">
        <f>+SUMIF(WRM!$C$7:$C$122,$D29,WRM!$AR$7:$AR$122)</f>
        <v>1785.5500000000002</v>
      </c>
      <c r="AT29" s="625"/>
      <c r="AU29" s="625">
        <f t="shared" si="10"/>
        <v>18226.449999999997</v>
      </c>
      <c r="AV29" s="630"/>
      <c r="AW29" s="555">
        <f>+SUMIF(WRM!$C$7:$C$122,$D29,WRM!$AV$7:$AV$122)</f>
        <v>2632.2</v>
      </c>
      <c r="AX29" s="625"/>
      <c r="AY29" s="625">
        <f t="shared" si="11"/>
        <v>20858.649999999998</v>
      </c>
      <c r="AZ29" s="630"/>
      <c r="BA29" s="555">
        <f>+SUMIF(WRM!$C$7:$C$122,$D29,WRM!$AZ$7:$AZ$122)</f>
        <v>9173.7500000000036</v>
      </c>
      <c r="BB29" s="630"/>
      <c r="BC29" s="2213">
        <f t="shared" si="12"/>
        <v>13591.500000000004</v>
      </c>
      <c r="BD29" s="2255"/>
      <c r="BE29" s="1172">
        <f t="shared" si="13"/>
        <v>18238.850000000002</v>
      </c>
      <c r="BF29" s="625"/>
      <c r="BG29" s="625">
        <f t="shared" si="14"/>
        <v>30032.400000000001</v>
      </c>
      <c r="BH29" s="26"/>
      <c r="BI29" s="26"/>
      <c r="BJ29" s="26"/>
    </row>
    <row r="30" spans="3:62" ht="18" x14ac:dyDescent="0.35">
      <c r="C30" s="554" t="s">
        <v>16</v>
      </c>
      <c r="D30" s="1635" t="s">
        <v>1122</v>
      </c>
      <c r="E30" s="4747"/>
      <c r="F30" s="554"/>
      <c r="G30" s="555">
        <f>+SUMIF(WRM!$C$7:$C$122,$D30,WRM!$F$7:$F$122)</f>
        <v>1906.5</v>
      </c>
      <c r="H30" s="555"/>
      <c r="I30" s="555">
        <f>+SUMIF(WRM!$C$7:$C$122,$D30,WRM!$H$7:$H$122)</f>
        <v>2402.5999999999995</v>
      </c>
      <c r="J30" s="625"/>
      <c r="K30" s="625">
        <f t="shared" si="0"/>
        <v>4309.0999999999995</v>
      </c>
      <c r="L30" s="555"/>
      <c r="M30" s="555">
        <f>+SUMIF(WRM!$C$7:$C$122,$D30,WRM!$L$7:$L$122)</f>
        <v>0</v>
      </c>
      <c r="N30" s="630"/>
      <c r="O30" s="630">
        <f t="shared" si="1"/>
        <v>4309.0999999999995</v>
      </c>
      <c r="P30" s="555"/>
      <c r="Q30" s="555">
        <f>+SUMIF(WRM!$C$7:$C$122,$D30,WRM!P$7:$P$122)</f>
        <v>0</v>
      </c>
      <c r="R30" s="630"/>
      <c r="S30" s="630">
        <f t="shared" si="30"/>
        <v>4309.0999999999995</v>
      </c>
      <c r="T30" s="555"/>
      <c r="U30" s="555">
        <f>+SUMIF(WRM!$C$7:$C$122,$D30,WRM!$T$7:T$122)</f>
        <v>940.95000000000016</v>
      </c>
      <c r="V30" s="630"/>
      <c r="W30" s="630">
        <f t="shared" si="3"/>
        <v>5250.0499999999993</v>
      </c>
      <c r="X30" s="630"/>
      <c r="Y30" s="555">
        <f>+SUMIF(WRM!$C$7:$C$122,$D30,WRM!$X$7:X$122)</f>
        <v>1281.25</v>
      </c>
      <c r="Z30" s="630"/>
      <c r="AA30" s="2213">
        <f t="shared" si="4"/>
        <v>2222.2000000000003</v>
      </c>
      <c r="AB30" s="2255"/>
      <c r="AC30" s="1172">
        <f t="shared" si="5"/>
        <v>6531.2999999999993</v>
      </c>
      <c r="AD30" s="630"/>
      <c r="AE30" s="555">
        <f>+SUMIF(WRM!$C$7:$C$122,$D30,WRM!$AD$7:$AD$122)</f>
        <v>4007.75</v>
      </c>
      <c r="AF30" s="630"/>
      <c r="AG30" s="630">
        <f t="shared" si="6"/>
        <v>10539.05</v>
      </c>
      <c r="AH30" s="630"/>
      <c r="AI30" s="555">
        <f>+SUMIF(WRM!$C$7:$C$122,$D30,WRM!$AH$7:$AH$122)</f>
        <v>1394</v>
      </c>
      <c r="AJ30" s="625"/>
      <c r="AK30" s="625">
        <f t="shared" si="7"/>
        <v>11933.05</v>
      </c>
      <c r="AL30" s="630"/>
      <c r="AM30" s="555">
        <f>+SUMIF(WRM!$C$7:$C$122,$D30,WRM!$AL$7:$AL$122)</f>
        <v>1818.3500000000006</v>
      </c>
      <c r="AN30" s="630"/>
      <c r="AO30" s="2213">
        <f t="shared" si="8"/>
        <v>7220.1</v>
      </c>
      <c r="AP30" s="625"/>
      <c r="AQ30" s="625">
        <f t="shared" si="9"/>
        <v>13751.4</v>
      </c>
      <c r="AR30" s="630"/>
      <c r="AS30" s="555">
        <f>+SUMIF(WRM!$C$7:$C$122,$D30,WRM!$AR$7:$AR$122)</f>
        <v>0</v>
      </c>
      <c r="AT30" s="625"/>
      <c r="AU30" s="625">
        <f t="shared" si="10"/>
        <v>13751.4</v>
      </c>
      <c r="AV30" s="630"/>
      <c r="AW30" s="555">
        <f>+SUMIF(WRM!$C$7:$C$122,$D30,WRM!$AV$7:$AV$122)</f>
        <v>1025</v>
      </c>
      <c r="AX30" s="625"/>
      <c r="AY30" s="625">
        <f t="shared" si="11"/>
        <v>14776.4</v>
      </c>
      <c r="AZ30" s="630"/>
      <c r="BA30" s="555">
        <f>+SUMIF(WRM!$C$7:$C$122,$D30,WRM!$AZ$7:$AZ$122)</f>
        <v>1512.9</v>
      </c>
      <c r="BB30" s="630"/>
      <c r="BC30" s="2213">
        <f t="shared" si="12"/>
        <v>2537.9</v>
      </c>
      <c r="BD30" s="2255"/>
      <c r="BE30" s="1172">
        <f t="shared" si="13"/>
        <v>9758</v>
      </c>
      <c r="BF30" s="625"/>
      <c r="BG30" s="625">
        <f t="shared" si="14"/>
        <v>16289.3</v>
      </c>
      <c r="BH30" s="26"/>
      <c r="BI30" s="26"/>
      <c r="BJ30" s="26"/>
    </row>
    <row r="31" spans="3:62" ht="18" x14ac:dyDescent="0.35">
      <c r="C31" s="554" t="s">
        <v>16</v>
      </c>
      <c r="D31" s="1635" t="s">
        <v>1037</v>
      </c>
      <c r="E31" s="4747"/>
      <c r="F31" s="554"/>
      <c r="G31" s="555">
        <f>+SUMIF(WRM!$C$7:$C$122,$D31,WRM!$F$7:$F$122)</f>
        <v>3593.6499999999996</v>
      </c>
      <c r="H31" s="555"/>
      <c r="I31" s="555">
        <f>+SUMIF(WRM!$C$7:$C$122,$D31,WRM!$H$7:$H$122)</f>
        <v>2585.0500000000002</v>
      </c>
      <c r="J31" s="625"/>
      <c r="K31" s="625">
        <f t="shared" si="0"/>
        <v>6178.7</v>
      </c>
      <c r="L31" s="555"/>
      <c r="M31" s="555">
        <f>+SUMIF(WRM!$C$7:$C$122,$D31,WRM!$L$7:$L$122)</f>
        <v>1785.55</v>
      </c>
      <c r="N31" s="630"/>
      <c r="O31" s="630">
        <f t="shared" si="1"/>
        <v>7964.25</v>
      </c>
      <c r="P31" s="555"/>
      <c r="Q31" s="555">
        <f>+SUMIF(WRM!$C$7:$C$122,$D31,WRM!P$7:$P$122)</f>
        <v>820</v>
      </c>
      <c r="R31" s="630"/>
      <c r="S31" s="630">
        <f t="shared" si="30"/>
        <v>8784.25</v>
      </c>
      <c r="T31" s="555"/>
      <c r="U31" s="555">
        <f>+SUMIF(WRM!$C$7:$C$122,$D31,WRM!$T$7:T$122)</f>
        <v>578.1</v>
      </c>
      <c r="V31" s="630"/>
      <c r="W31" s="630">
        <f t="shared" si="3"/>
        <v>9362.35</v>
      </c>
      <c r="X31" s="630"/>
      <c r="Y31" s="555">
        <f>+SUMIF(WRM!$C$7:$C$122,$D31,WRM!$X$7:X$122)</f>
        <v>0</v>
      </c>
      <c r="Z31" s="630"/>
      <c r="AA31" s="2213">
        <f t="shared" si="4"/>
        <v>1398.1</v>
      </c>
      <c r="AB31" s="2255"/>
      <c r="AC31" s="1172">
        <f t="shared" si="5"/>
        <v>9362.35</v>
      </c>
      <c r="AD31" s="630"/>
      <c r="AE31" s="555">
        <f>+SUMIF(WRM!$C$7:$C$122,$D31,WRM!$AD$7:$AD$122)</f>
        <v>67.650000000000006</v>
      </c>
      <c r="AF31" s="630"/>
      <c r="AG31" s="630">
        <f t="shared" si="6"/>
        <v>9430</v>
      </c>
      <c r="AH31" s="630"/>
      <c r="AI31" s="555">
        <f>+SUMIF(WRM!$C$7:$C$122,$D31,WRM!$AH$7:$AH$122)</f>
        <v>910.2</v>
      </c>
      <c r="AJ31" s="625"/>
      <c r="AK31" s="625">
        <f t="shared" si="7"/>
        <v>10340.200000000001</v>
      </c>
      <c r="AL31" s="630"/>
      <c r="AM31" s="555">
        <f>+SUMIF(WRM!$C$7:$C$122,$D31,WRM!$AL$7:$AL$122)</f>
        <v>2747</v>
      </c>
      <c r="AN31" s="630"/>
      <c r="AO31" s="2213">
        <f t="shared" si="8"/>
        <v>3724.85</v>
      </c>
      <c r="AP31" s="625"/>
      <c r="AQ31" s="625">
        <f t="shared" si="9"/>
        <v>13087.2</v>
      </c>
      <c r="AR31" s="630"/>
      <c r="AS31" s="555">
        <f>+SUMIF(WRM!$C$7:$C$122,$D31,WRM!$AR$7:$AR$122)</f>
        <v>922.50000000000011</v>
      </c>
      <c r="AT31" s="625"/>
      <c r="AU31" s="625">
        <f t="shared" si="10"/>
        <v>14009.7</v>
      </c>
      <c r="AV31" s="630"/>
      <c r="AW31" s="555">
        <f>+SUMIF(WRM!$C$7:$C$122,$D31,WRM!$AV$7:$AV$122)</f>
        <v>0</v>
      </c>
      <c r="AX31" s="625"/>
      <c r="AY31" s="625">
        <f t="shared" si="11"/>
        <v>14009.7</v>
      </c>
      <c r="AZ31" s="630"/>
      <c r="BA31" s="555">
        <f>+SUMIF(WRM!$C$7:$C$122,$D31,WRM!$AZ$7:$AZ$122)</f>
        <v>2240.6499999999996</v>
      </c>
      <c r="BB31" s="630"/>
      <c r="BC31" s="2213">
        <f t="shared" si="12"/>
        <v>3163.1499999999996</v>
      </c>
      <c r="BD31" s="2255"/>
      <c r="BE31" s="1172">
        <f t="shared" si="13"/>
        <v>6888</v>
      </c>
      <c r="BF31" s="625"/>
      <c r="BG31" s="625">
        <f t="shared" si="14"/>
        <v>16250.35</v>
      </c>
      <c r="BH31" s="26"/>
      <c r="BI31" s="26"/>
      <c r="BJ31" s="26"/>
    </row>
    <row r="32" spans="3:62" ht="18" x14ac:dyDescent="0.35">
      <c r="C32" s="554" t="s">
        <v>16</v>
      </c>
      <c r="D32" s="1635" t="s">
        <v>1038</v>
      </c>
      <c r="E32" s="4747"/>
      <c r="F32" s="554"/>
      <c r="G32" s="555">
        <f>+SUMIF(WRM!$C$7:$C$122,$D32,WRM!$F$7:$F$122)</f>
        <v>4366.5</v>
      </c>
      <c r="H32" s="555"/>
      <c r="I32" s="555">
        <f>+SUMIF(WRM!$C$7:$C$122,$D32,WRM!$H$7:$H$122)</f>
        <v>2429.25</v>
      </c>
      <c r="J32" s="625"/>
      <c r="K32" s="625">
        <f t="shared" si="0"/>
        <v>6795.75</v>
      </c>
      <c r="L32" s="555"/>
      <c r="M32" s="555">
        <f>+SUMIF(WRM!$C$7:$C$122,$D32,WRM!$L$7:$L$122)</f>
        <v>1814.25</v>
      </c>
      <c r="N32" s="630"/>
      <c r="O32" s="630">
        <f t="shared" si="1"/>
        <v>8610</v>
      </c>
      <c r="P32" s="555"/>
      <c r="Q32" s="555">
        <f>+SUMIF(WRM!$C$7:$C$122,$D32,WRM!P$7:$P$122)</f>
        <v>1137.75</v>
      </c>
      <c r="R32" s="630"/>
      <c r="S32" s="630">
        <f t="shared" si="30"/>
        <v>9747.75</v>
      </c>
      <c r="T32" s="555"/>
      <c r="U32" s="555">
        <f>+SUMIF(WRM!$C$7:$C$122,$D32,WRM!$T$7:T$122)</f>
        <v>2359.5500000000002</v>
      </c>
      <c r="V32" s="630"/>
      <c r="W32" s="630">
        <f t="shared" si="3"/>
        <v>12107.3</v>
      </c>
      <c r="X32" s="630"/>
      <c r="Y32" s="555">
        <f>+SUMIF(WRM!$C$7:$C$122,$D32,WRM!$X$7:X$122)</f>
        <v>2312.3999999999996</v>
      </c>
      <c r="Z32" s="630"/>
      <c r="AA32" s="2213">
        <f t="shared" si="4"/>
        <v>5809.7</v>
      </c>
      <c r="AB32" s="2255"/>
      <c r="AC32" s="1172">
        <f t="shared" si="5"/>
        <v>14419.7</v>
      </c>
      <c r="AD32" s="630"/>
      <c r="AE32" s="555">
        <f>+SUMIF(WRM!$C$7:$C$122,$D32,WRM!$AD$7:$AD$122)</f>
        <v>2119.6999999999998</v>
      </c>
      <c r="AF32" s="630"/>
      <c r="AG32" s="630">
        <f t="shared" si="6"/>
        <v>16539.400000000001</v>
      </c>
      <c r="AH32" s="630"/>
      <c r="AI32" s="555">
        <f>+SUMIF(WRM!$C$7:$C$122,$D32,WRM!$AH$7:$AH$122)</f>
        <v>627.30000000000007</v>
      </c>
      <c r="AJ32" s="625"/>
      <c r="AK32" s="625">
        <f t="shared" si="7"/>
        <v>17166.7</v>
      </c>
      <c r="AL32" s="630"/>
      <c r="AM32" s="555">
        <f>+SUMIF(WRM!$C$7:$C$122,$D32,WRM!$AL$7:$AL$122)</f>
        <v>4175.8500000000004</v>
      </c>
      <c r="AN32" s="630"/>
      <c r="AO32" s="2213">
        <f t="shared" si="8"/>
        <v>6922.85</v>
      </c>
      <c r="AP32" s="625"/>
      <c r="AQ32" s="625">
        <f t="shared" si="9"/>
        <v>21342.550000000003</v>
      </c>
      <c r="AR32" s="630"/>
      <c r="AS32" s="555">
        <f>+SUMIF(WRM!$C$7:$C$122,$D32,WRM!$AR$7:$AR$122)</f>
        <v>2429.25</v>
      </c>
      <c r="AT32" s="625"/>
      <c r="AU32" s="625">
        <f t="shared" si="10"/>
        <v>23771.800000000003</v>
      </c>
      <c r="AV32" s="630"/>
      <c r="AW32" s="555">
        <f>+SUMIF(WRM!$C$7:$C$122,$D32,WRM!$AV$7:$AV$122)</f>
        <v>0</v>
      </c>
      <c r="AX32" s="625"/>
      <c r="AY32" s="625">
        <f t="shared" si="11"/>
        <v>23771.800000000003</v>
      </c>
      <c r="AZ32" s="630"/>
      <c r="BA32" s="555">
        <f>+SUMIF(WRM!$C$7:$C$122,$D32,WRM!$AZ$7:$AZ$122)</f>
        <v>2291.9</v>
      </c>
      <c r="BB32" s="630"/>
      <c r="BC32" s="2213">
        <f t="shared" si="12"/>
        <v>4721.1499999999996</v>
      </c>
      <c r="BD32" s="2255"/>
      <c r="BE32" s="1172">
        <f t="shared" si="13"/>
        <v>11644</v>
      </c>
      <c r="BF32" s="625"/>
      <c r="BG32" s="625">
        <f t="shared" si="14"/>
        <v>26063.700000000004</v>
      </c>
      <c r="BH32" s="26"/>
      <c r="BI32" s="26"/>
      <c r="BJ32" s="26"/>
    </row>
    <row r="33" spans="3:62" ht="18" x14ac:dyDescent="0.35">
      <c r="C33" s="554" t="s">
        <v>16</v>
      </c>
      <c r="D33" s="1635" t="s">
        <v>1613</v>
      </c>
      <c r="E33" s="4747"/>
      <c r="F33" s="554"/>
      <c r="G33" s="555">
        <f>+SUMIF(WRM!$C$7:$C$122,$D33,WRM!$F$7:$F$122)</f>
        <v>0</v>
      </c>
      <c r="H33" s="555"/>
      <c r="I33" s="555">
        <f>+SUMIF(WRM!$C$7:$C$122,$D33,WRM!$H$7:$H$122)</f>
        <v>0</v>
      </c>
      <c r="J33" s="625"/>
      <c r="K33" s="625">
        <f t="shared" si="0"/>
        <v>0</v>
      </c>
      <c r="L33" s="555"/>
      <c r="M33" s="555">
        <f>+SUMIF(WRM!$C$7:$C$122,$D33,WRM!$L$7:$L$122)</f>
        <v>0</v>
      </c>
      <c r="N33" s="630"/>
      <c r="O33" s="630">
        <f t="shared" si="1"/>
        <v>0</v>
      </c>
      <c r="P33" s="555"/>
      <c r="Q33" s="555">
        <f>+SUMIF(WRM!$C$7:$C$122,$D33,WRM!P$7:$P$122)</f>
        <v>0</v>
      </c>
      <c r="R33" s="630"/>
      <c r="S33" s="630">
        <f t="shared" si="30"/>
        <v>0</v>
      </c>
      <c r="T33" s="555"/>
      <c r="U33" s="555">
        <f>+SUMIF(WRM!$C$7:$C$122,$D33,WRM!$T$7:T$122)</f>
        <v>0</v>
      </c>
      <c r="V33" s="630"/>
      <c r="W33" s="630">
        <f t="shared" si="3"/>
        <v>0</v>
      </c>
      <c r="X33" s="630"/>
      <c r="Y33" s="555">
        <f>+SUMIF(WRM!$C$7:$C$122,$D33,WRM!$X$7:X$122)</f>
        <v>0</v>
      </c>
      <c r="Z33" s="630"/>
      <c r="AA33" s="2213">
        <f t="shared" si="4"/>
        <v>0</v>
      </c>
      <c r="AB33" s="2255"/>
      <c r="AC33" s="1172">
        <f t="shared" si="5"/>
        <v>0</v>
      </c>
      <c r="AD33" s="630"/>
      <c r="AE33" s="555">
        <f>+SUMIF(WRM!$C$7:$C$122,$D33,WRM!$AD$7:$AD$122)</f>
        <v>0</v>
      </c>
      <c r="AF33" s="630"/>
      <c r="AG33" s="630">
        <f t="shared" si="6"/>
        <v>0</v>
      </c>
      <c r="AH33" s="630"/>
      <c r="AI33" s="555">
        <f>+SUMIF(WRM!$C$7:$C$122,$D33,WRM!$AH$7:$AH$122)</f>
        <v>0</v>
      </c>
      <c r="AJ33" s="625"/>
      <c r="AK33" s="625">
        <f t="shared" si="7"/>
        <v>0</v>
      </c>
      <c r="AL33" s="630"/>
      <c r="AM33" s="555">
        <f>+SUMIF(WRM!$C$7:$C$122,$D33,WRM!$AL$7:$AL$122)</f>
        <v>0</v>
      </c>
      <c r="AN33" s="630"/>
      <c r="AO33" s="2213">
        <f t="shared" si="8"/>
        <v>0</v>
      </c>
      <c r="AP33" s="625"/>
      <c r="AQ33" s="625">
        <f t="shared" si="9"/>
        <v>0</v>
      </c>
      <c r="AR33" s="630"/>
      <c r="AS33" s="555">
        <f>+SUMIF(WRM!$C$7:$C$122,$D33,WRM!$AR$7:$AR$122)</f>
        <v>0</v>
      </c>
      <c r="AT33" s="625"/>
      <c r="AU33" s="625">
        <f t="shared" si="10"/>
        <v>0</v>
      </c>
      <c r="AV33" s="635"/>
      <c r="AW33" s="555">
        <f>+SUMIF(WRM!$C$7:$C$122,$D33,WRM!$AV$7:$AV$122)</f>
        <v>0</v>
      </c>
      <c r="AX33" s="625"/>
      <c r="AY33" s="625">
        <f t="shared" si="11"/>
        <v>0</v>
      </c>
      <c r="AZ33" s="635"/>
      <c r="BA33" s="555">
        <f>+SUMIF(WRM!$C$7:$C$122,$D33,WRM!$AZ$7:$AZ$122)</f>
        <v>0</v>
      </c>
      <c r="BB33" s="635"/>
      <c r="BC33" s="2213">
        <f t="shared" si="12"/>
        <v>0</v>
      </c>
      <c r="BD33" s="2255"/>
      <c r="BE33" s="1172">
        <f t="shared" si="13"/>
        <v>0</v>
      </c>
      <c r="BF33" s="635"/>
      <c r="BG33" s="625">
        <f t="shared" si="14"/>
        <v>0</v>
      </c>
      <c r="BH33" s="26"/>
      <c r="BI33" s="26"/>
      <c r="BJ33" s="26"/>
    </row>
    <row r="34" spans="3:62" x14ac:dyDescent="0.3">
      <c r="C34" s="554" t="s">
        <v>16</v>
      </c>
      <c r="D34" s="1635" t="s">
        <v>1407</v>
      </c>
      <c r="E34" s="4747"/>
      <c r="F34" s="554"/>
      <c r="G34" s="555">
        <f>+SUMIF(WRM!$C$7:$C$122,$D34,WRM!$F$7:$F$122)</f>
        <v>0</v>
      </c>
      <c r="H34" s="555"/>
      <c r="I34" s="555">
        <f>+SUMIF(WRM!$C$7:$C$122,$D34,WRM!$H$7:$H$122)</f>
        <v>0</v>
      </c>
      <c r="J34" s="625"/>
      <c r="K34" s="625">
        <f t="shared" si="0"/>
        <v>0</v>
      </c>
      <c r="L34" s="555"/>
      <c r="M34" s="555">
        <f>+SUMIF(WRM!$C$7:$C$122,$D34,WRM!$L$7:$L$122)</f>
        <v>0</v>
      </c>
      <c r="N34" s="630"/>
      <c r="O34" s="630">
        <f t="shared" si="1"/>
        <v>0</v>
      </c>
      <c r="P34" s="555"/>
      <c r="Q34" s="555">
        <f>+SUMIF(WRM!$C$7:$C$122,$D34,WRM!P$7:$P$122)</f>
        <v>0</v>
      </c>
      <c r="R34" s="630"/>
      <c r="S34" s="630">
        <f t="shared" si="30"/>
        <v>0</v>
      </c>
      <c r="T34" s="555"/>
      <c r="U34" s="555">
        <f>+SUMIF(WRM!$C$7:$C$122,$D34,WRM!$T$7:T$122)</f>
        <v>0</v>
      </c>
      <c r="V34" s="630"/>
      <c r="W34" s="630">
        <f t="shared" si="3"/>
        <v>0</v>
      </c>
      <c r="X34" s="630"/>
      <c r="Y34" s="555">
        <f>+SUMIF(WRM!$C$7:$C$122,$D34,WRM!$X$7:X$122)</f>
        <v>0</v>
      </c>
      <c r="Z34" s="630"/>
      <c r="AA34" s="2213">
        <f t="shared" si="4"/>
        <v>0</v>
      </c>
      <c r="AB34" s="2255"/>
      <c r="AC34" s="1172">
        <f t="shared" si="5"/>
        <v>0</v>
      </c>
      <c r="AD34" s="630"/>
      <c r="AE34" s="555">
        <f>+SUMIF(WRM!$C$7:$C$122,$D34,WRM!$AD$7:$AD$122)</f>
        <v>0</v>
      </c>
      <c r="AF34" s="630"/>
      <c r="AG34" s="630">
        <f t="shared" si="6"/>
        <v>0</v>
      </c>
      <c r="AH34" s="630"/>
      <c r="AI34" s="555">
        <f>+SUMIF(WRM!$C$7:$C$122,$D34,WRM!$AH$7:$AH$122)</f>
        <v>0</v>
      </c>
      <c r="AJ34" s="625"/>
      <c r="AK34" s="625">
        <f t="shared" si="7"/>
        <v>0</v>
      </c>
      <c r="AL34" s="630"/>
      <c r="AM34" s="555">
        <f>+SUMIF(WRM!$C$7:$C$122,$D34,WRM!$AL$7:$AL$122)</f>
        <v>0</v>
      </c>
      <c r="AN34" s="630"/>
      <c r="AO34" s="2213">
        <f t="shared" si="8"/>
        <v>0</v>
      </c>
      <c r="AP34" s="625"/>
      <c r="AQ34" s="625">
        <f t="shared" si="9"/>
        <v>0</v>
      </c>
      <c r="AR34" s="630"/>
      <c r="AS34" s="555">
        <f>+SUMIF(WRM!$C$7:$C$122,$D34,WRM!$AR$7:$AR$122)</f>
        <v>0</v>
      </c>
      <c r="AT34" s="625"/>
      <c r="AU34" s="625">
        <f t="shared" si="10"/>
        <v>0</v>
      </c>
      <c r="AV34" s="630"/>
      <c r="AW34" s="555">
        <f>+SUMIF(WRM!$C$7:$C$122,$D34,WRM!$AV$7:$AV$122)</f>
        <v>0</v>
      </c>
      <c r="AX34" s="625"/>
      <c r="AY34" s="625">
        <f t="shared" si="11"/>
        <v>0</v>
      </c>
      <c r="AZ34" s="630"/>
      <c r="BA34" s="555">
        <f>+SUMIF(WRM!$C$7:$C$122,$D34,WRM!$AZ$7:$AZ$122)</f>
        <v>0</v>
      </c>
      <c r="BB34" s="630"/>
      <c r="BC34" s="2213">
        <f t="shared" si="12"/>
        <v>0</v>
      </c>
      <c r="BD34" s="2255"/>
      <c r="BE34" s="1172">
        <f t="shared" si="13"/>
        <v>0</v>
      </c>
      <c r="BF34" s="630"/>
      <c r="BG34" s="625">
        <f t="shared" si="14"/>
        <v>0</v>
      </c>
      <c r="BH34" s="26"/>
      <c r="BI34" s="26"/>
      <c r="BJ34" s="26"/>
    </row>
    <row r="35" spans="3:62" x14ac:dyDescent="0.3">
      <c r="C35" s="554" t="s">
        <v>16</v>
      </c>
      <c r="D35" s="1635" t="s">
        <v>1464</v>
      </c>
      <c r="E35" s="4747"/>
      <c r="F35" s="554"/>
      <c r="G35" s="555">
        <f>+SUMIF(WRM!$C$7:$C$122,$D35,WRM!$F$7:$F$122)</f>
        <v>229.6</v>
      </c>
      <c r="H35" s="555"/>
      <c r="I35" s="555">
        <f>+SUMIF(WRM!$C$7:$C$122,$D35,WRM!$H$7:$H$122)</f>
        <v>0</v>
      </c>
      <c r="J35" s="625"/>
      <c r="K35" s="625">
        <f t="shared" si="0"/>
        <v>229.6</v>
      </c>
      <c r="L35" s="555"/>
      <c r="M35" s="555">
        <f>+SUMIF(WRM!$C$7:$C$122,$D35,WRM!$L$7:$L$122)</f>
        <v>0</v>
      </c>
      <c r="N35" s="630"/>
      <c r="O35" s="630">
        <f t="shared" si="1"/>
        <v>229.6</v>
      </c>
      <c r="P35" s="555"/>
      <c r="Q35" s="555">
        <f>+SUMIF(WRM!$C$7:$C$122,$D35,WRM!P$7:$P$122)</f>
        <v>0</v>
      </c>
      <c r="R35" s="630"/>
      <c r="S35" s="630">
        <f t="shared" si="30"/>
        <v>229.6</v>
      </c>
      <c r="T35" s="555"/>
      <c r="U35" s="555">
        <f>+SUMIF(WRM!$C$7:$C$122,$D35,WRM!$T$7:T$122)</f>
        <v>0</v>
      </c>
      <c r="V35" s="630"/>
      <c r="W35" s="630">
        <f t="shared" si="3"/>
        <v>229.6</v>
      </c>
      <c r="X35" s="630"/>
      <c r="Y35" s="555">
        <f>+SUMIF(WRM!$C$7:$C$122,$D35,WRM!$X$7:X$122)</f>
        <v>0</v>
      </c>
      <c r="Z35" s="630"/>
      <c r="AA35" s="2213">
        <f t="shared" si="4"/>
        <v>0</v>
      </c>
      <c r="AB35" s="2255"/>
      <c r="AC35" s="1172">
        <f t="shared" si="5"/>
        <v>229.6</v>
      </c>
      <c r="AD35" s="630"/>
      <c r="AE35" s="555">
        <f>+SUMIF(WRM!$C$7:$C$122,$D35,WRM!$AD$7:$AD$122)</f>
        <v>0</v>
      </c>
      <c r="AF35" s="630"/>
      <c r="AG35" s="630">
        <f t="shared" si="6"/>
        <v>229.6</v>
      </c>
      <c r="AH35" s="630"/>
      <c r="AI35" s="555">
        <f>+SUMIF(WRM!$C$7:$C$122,$D35,WRM!$AH$7:$AH$122)</f>
        <v>0</v>
      </c>
      <c r="AJ35" s="625"/>
      <c r="AK35" s="625">
        <f t="shared" si="7"/>
        <v>229.6</v>
      </c>
      <c r="AL35" s="630"/>
      <c r="AM35" s="555">
        <f>+SUMIF(WRM!$C$7:$C$122,$D35,WRM!$AL$7:$AL$122)</f>
        <v>202.95</v>
      </c>
      <c r="AN35" s="630"/>
      <c r="AO35" s="2213">
        <f t="shared" si="8"/>
        <v>202.95</v>
      </c>
      <c r="AP35" s="625"/>
      <c r="AQ35" s="625">
        <f t="shared" si="9"/>
        <v>432.54999999999995</v>
      </c>
      <c r="AR35" s="630"/>
      <c r="AS35" s="555">
        <f>+SUMIF(WRM!$C$7:$C$122,$D35,WRM!$AR$7:$AR$122)</f>
        <v>885.59999999999991</v>
      </c>
      <c r="AT35" s="625"/>
      <c r="AU35" s="625">
        <f t="shared" si="10"/>
        <v>1318.1499999999999</v>
      </c>
      <c r="AV35" s="630"/>
      <c r="AW35" s="555">
        <f>+SUMIF(WRM!$C$7:$C$122,$D35,WRM!$AV$7:$AV$122)</f>
        <v>0</v>
      </c>
      <c r="AX35" s="625"/>
      <c r="AY35" s="625">
        <f t="shared" si="11"/>
        <v>1318.1499999999999</v>
      </c>
      <c r="AZ35" s="630"/>
      <c r="BA35" s="555">
        <f>+SUMIF(WRM!$C$7:$C$122,$D35,WRM!$AZ$7:$AZ$122)</f>
        <v>381.3</v>
      </c>
      <c r="BB35" s="630"/>
      <c r="BC35" s="2213">
        <f t="shared" si="12"/>
        <v>1266.8999999999999</v>
      </c>
      <c r="BD35" s="2255"/>
      <c r="BE35" s="1172">
        <f t="shared" si="13"/>
        <v>1469.85</v>
      </c>
      <c r="BF35" s="630"/>
      <c r="BG35" s="625">
        <f t="shared" si="14"/>
        <v>1699.4499999999998</v>
      </c>
      <c r="BH35" s="26"/>
      <c r="BI35" s="26"/>
      <c r="BJ35" s="26"/>
    </row>
    <row r="36" spans="3:62" x14ac:dyDescent="0.3">
      <c r="C36" s="554" t="s">
        <v>16</v>
      </c>
      <c r="D36" s="1635" t="s">
        <v>1524</v>
      </c>
      <c r="E36" s="4747"/>
      <c r="F36" s="554"/>
      <c r="G36" s="555">
        <f>+SUMIF(WRM!$C$7:$C$122,$D36,WRM!$F$7:$F$122)</f>
        <v>0</v>
      </c>
      <c r="H36" s="555"/>
      <c r="I36" s="555">
        <f>+SUMIF(WRM!$C$7:$C$122,$D36,WRM!$H$7:$H$122)</f>
        <v>0</v>
      </c>
      <c r="J36" s="625"/>
      <c r="K36" s="625">
        <f t="shared" si="0"/>
        <v>0</v>
      </c>
      <c r="L36" s="555"/>
      <c r="M36" s="555">
        <f>+SUMIF(WRM!$C$7:$C$122,$D36,WRM!$L$7:$L$122)</f>
        <v>0</v>
      </c>
      <c r="N36" s="630"/>
      <c r="O36" s="630">
        <f t="shared" si="1"/>
        <v>0</v>
      </c>
      <c r="P36" s="555"/>
      <c r="Q36" s="555">
        <f>+SUMIF(WRM!$C$7:$C$122,$D36,WRM!P$7:$P$122)</f>
        <v>0</v>
      </c>
      <c r="R36" s="630"/>
      <c r="S36" s="630">
        <f t="shared" si="30"/>
        <v>0</v>
      </c>
      <c r="T36" s="555"/>
      <c r="U36" s="555">
        <f>+SUMIF(WRM!$C$7:$C$122,$D36,WRM!$T$7:T$122)</f>
        <v>0</v>
      </c>
      <c r="V36" s="630"/>
      <c r="W36" s="630">
        <f t="shared" si="3"/>
        <v>0</v>
      </c>
      <c r="X36" s="630"/>
      <c r="Y36" s="555">
        <f>+SUMIF(WRM!$C$7:$C$122,$D36,WRM!$X$7:X$122)</f>
        <v>0</v>
      </c>
      <c r="Z36" s="630"/>
      <c r="AA36" s="2213">
        <f t="shared" si="4"/>
        <v>0</v>
      </c>
      <c r="AB36" s="2255"/>
      <c r="AC36" s="1172">
        <f t="shared" si="5"/>
        <v>0</v>
      </c>
      <c r="AD36" s="630"/>
      <c r="AE36" s="555">
        <f>+SUMIF(WRM!$C$7:$C$122,$D36,WRM!$AD$7:$AD$122)</f>
        <v>0</v>
      </c>
      <c r="AF36" s="630"/>
      <c r="AG36" s="630">
        <f t="shared" si="6"/>
        <v>0</v>
      </c>
      <c r="AH36" s="630"/>
      <c r="AI36" s="555">
        <f>+SUMIF(WRM!$C$7:$C$122,$D36,WRM!$AH$7:$AH$122)</f>
        <v>0</v>
      </c>
      <c r="AJ36" s="625"/>
      <c r="AK36" s="625">
        <f t="shared" si="7"/>
        <v>0</v>
      </c>
      <c r="AL36" s="630"/>
      <c r="AM36" s="555">
        <f>+SUMIF(WRM!$C$7:$C$122,$D36,WRM!$AL$7:$AL$122)</f>
        <v>0</v>
      </c>
      <c r="AN36" s="630"/>
      <c r="AO36" s="2213">
        <f t="shared" si="8"/>
        <v>0</v>
      </c>
      <c r="AP36" s="625"/>
      <c r="AQ36" s="625">
        <f t="shared" si="9"/>
        <v>0</v>
      </c>
      <c r="AR36" s="630"/>
      <c r="AS36" s="555">
        <f>+SUMIF(WRM!$C$7:$C$122,$D36,WRM!$AR$7:$AR$122)</f>
        <v>0</v>
      </c>
      <c r="AT36" s="625"/>
      <c r="AU36" s="625">
        <f t="shared" si="10"/>
        <v>0</v>
      </c>
      <c r="AV36" s="630"/>
      <c r="AW36" s="555">
        <f>+SUMIF(WRM!$C$7:$C$122,$D36,WRM!$AV$7:$AV$122)</f>
        <v>0</v>
      </c>
      <c r="AX36" s="625"/>
      <c r="AY36" s="625">
        <f t="shared" si="11"/>
        <v>0</v>
      </c>
      <c r="AZ36" s="630"/>
      <c r="BA36" s="555">
        <f>+SUMIF(WRM!$C$7:$C$122,$D36,WRM!$AZ$7:$AZ$122)</f>
        <v>0</v>
      </c>
      <c r="BB36" s="630"/>
      <c r="BC36" s="2213">
        <f t="shared" si="12"/>
        <v>0</v>
      </c>
      <c r="BD36" s="2255"/>
      <c r="BE36" s="1172">
        <f t="shared" si="13"/>
        <v>0</v>
      </c>
      <c r="BF36" s="630"/>
      <c r="BG36" s="625">
        <f t="shared" si="14"/>
        <v>0</v>
      </c>
      <c r="BH36" s="26"/>
      <c r="BI36" s="26"/>
      <c r="BJ36" s="26"/>
    </row>
    <row r="37" spans="3:62" x14ac:dyDescent="0.3">
      <c r="C37" s="554" t="s">
        <v>16</v>
      </c>
      <c r="D37" s="1635" t="s">
        <v>1466</v>
      </c>
      <c r="E37" s="4747"/>
      <c r="F37" s="554"/>
      <c r="G37" s="555">
        <f>+SUMIF(WRM!$C$7:$C$122,$D37,WRM!$F$7:$F$122)</f>
        <v>412.05</v>
      </c>
      <c r="H37" s="555"/>
      <c r="I37" s="555">
        <f>+SUMIF(WRM!$C$7:$C$122,$D37,WRM!$H$7:$H$122)</f>
        <v>200.89999999999998</v>
      </c>
      <c r="J37" s="625"/>
      <c r="K37" s="625">
        <f t="shared" si="0"/>
        <v>612.95000000000005</v>
      </c>
      <c r="L37" s="555"/>
      <c r="M37" s="555">
        <f>+SUMIF(WRM!$C$7:$C$122,$D37,WRM!$L$7:$L$122)</f>
        <v>0</v>
      </c>
      <c r="N37" s="630"/>
      <c r="O37" s="630">
        <f t="shared" si="1"/>
        <v>612.95000000000005</v>
      </c>
      <c r="P37" s="555"/>
      <c r="Q37" s="555">
        <f>+SUMIF(WRM!$C$7:$C$122,$D37,WRM!P$7:$P$122)</f>
        <v>0</v>
      </c>
      <c r="R37" s="630"/>
      <c r="S37" s="630">
        <f t="shared" si="30"/>
        <v>612.95000000000005</v>
      </c>
      <c r="T37" s="555"/>
      <c r="U37" s="555">
        <f>+SUMIF(WRM!$C$7:$C$122,$D37,WRM!$T$7:T$122)</f>
        <v>0</v>
      </c>
      <c r="V37" s="630"/>
      <c r="W37" s="630">
        <f t="shared" si="3"/>
        <v>612.95000000000005</v>
      </c>
      <c r="X37" s="630"/>
      <c r="Y37" s="555">
        <f>+SUMIF(WRM!$C$7:$C$122,$D37,WRM!$X$7:X$122)</f>
        <v>0</v>
      </c>
      <c r="Z37" s="630"/>
      <c r="AA37" s="2213">
        <f t="shared" si="4"/>
        <v>0</v>
      </c>
      <c r="AB37" s="2255"/>
      <c r="AC37" s="1172">
        <f t="shared" si="5"/>
        <v>612.95000000000005</v>
      </c>
      <c r="AD37" s="630"/>
      <c r="AE37" s="555">
        <f>+SUMIF(WRM!$C$7:$C$122,$D37,WRM!$AD$7:$AD$122)</f>
        <v>414.1</v>
      </c>
      <c r="AF37" s="630"/>
      <c r="AG37" s="630">
        <f t="shared" si="6"/>
        <v>1027.0500000000002</v>
      </c>
      <c r="AH37" s="630"/>
      <c r="AI37" s="555">
        <f>+SUMIF(WRM!$C$7:$C$122,$D37,WRM!$AH$7:$AH$122)</f>
        <v>184.5</v>
      </c>
      <c r="AJ37" s="625"/>
      <c r="AK37" s="625">
        <f t="shared" si="7"/>
        <v>1211.5500000000002</v>
      </c>
      <c r="AL37" s="630"/>
      <c r="AM37" s="555">
        <f>+SUMIF(WRM!$C$7:$C$122,$D37,WRM!$AL$7:$AL$122)</f>
        <v>280.85000000000002</v>
      </c>
      <c r="AN37" s="630"/>
      <c r="AO37" s="2213">
        <f t="shared" si="8"/>
        <v>879.45</v>
      </c>
      <c r="AP37" s="625"/>
      <c r="AQ37" s="625">
        <f t="shared" si="9"/>
        <v>1492.4</v>
      </c>
      <c r="AR37" s="630"/>
      <c r="AS37" s="555">
        <f>+SUMIF(WRM!$C$7:$C$122,$D37,WRM!$AR$7:$AR$122)</f>
        <v>756.45</v>
      </c>
      <c r="AT37" s="625"/>
      <c r="AU37" s="625">
        <f t="shared" si="10"/>
        <v>2248.8500000000004</v>
      </c>
      <c r="AV37" s="630"/>
      <c r="AW37" s="555">
        <f>+SUMIF(WRM!$C$7:$C$122,$D37,WRM!$AV$7:$AV$122)</f>
        <v>0</v>
      </c>
      <c r="AX37" s="625"/>
      <c r="AY37" s="625">
        <f t="shared" si="11"/>
        <v>2248.8500000000004</v>
      </c>
      <c r="AZ37" s="630"/>
      <c r="BA37" s="555">
        <f>+SUMIF(WRM!$C$7:$C$122,$D37,WRM!$AZ$7:$AZ$122)</f>
        <v>397.7</v>
      </c>
      <c r="BB37" s="630"/>
      <c r="BC37" s="2213">
        <f t="shared" si="12"/>
        <v>1154.1500000000001</v>
      </c>
      <c r="BD37" s="2255"/>
      <c r="BE37" s="1172">
        <f t="shared" si="13"/>
        <v>2033.6000000000001</v>
      </c>
      <c r="BF37" s="630"/>
      <c r="BG37" s="625">
        <f t="shared" si="14"/>
        <v>2646.55</v>
      </c>
      <c r="BH37" s="26"/>
      <c r="BI37" s="26"/>
      <c r="BJ37" s="26"/>
    </row>
    <row r="38" spans="3:62" x14ac:dyDescent="0.3">
      <c r="C38" s="6415" t="s">
        <v>967</v>
      </c>
      <c r="D38" s="6415"/>
      <c r="E38" s="4747"/>
      <c r="F38" s="634"/>
      <c r="G38" s="635">
        <f>SUM(G4:G37)</f>
        <v>35403.480000000003</v>
      </c>
      <c r="H38" s="635"/>
      <c r="I38" s="635">
        <f>SUM(I4:I37)</f>
        <v>36323.949999999997</v>
      </c>
      <c r="J38" s="635"/>
      <c r="K38" s="636">
        <f>SUM(K4:K37)</f>
        <v>71727.430000000008</v>
      </c>
      <c r="L38" s="635"/>
      <c r="M38" s="635">
        <f>SUM(M4:M37)</f>
        <v>37459.050000000003</v>
      </c>
      <c r="N38" s="635"/>
      <c r="O38" s="635">
        <f>SUM(O4:O37)</f>
        <v>109186.48</v>
      </c>
      <c r="P38" s="635"/>
      <c r="Q38" s="635">
        <f>SUM(Q4:Q37)</f>
        <v>44202.100000000006</v>
      </c>
      <c r="R38" s="635"/>
      <c r="S38" s="635">
        <f>SUM(S4:S37)</f>
        <v>153388.58000000002</v>
      </c>
      <c r="T38" s="635"/>
      <c r="U38" s="635">
        <f>SUM(U4:U37)</f>
        <v>33665.1</v>
      </c>
      <c r="V38" s="635"/>
      <c r="W38" s="635">
        <f>SUM(W4:W37)</f>
        <v>187053.67999999996</v>
      </c>
      <c r="X38" s="635"/>
      <c r="Y38" s="635">
        <f>SUM(Y4:Y37)</f>
        <v>37412.5</v>
      </c>
      <c r="Z38" s="635"/>
      <c r="AA38" s="2214">
        <f>SUM(AA4:AA37)</f>
        <v>115279.70000000001</v>
      </c>
      <c r="AB38" s="2255"/>
      <c r="AC38" s="2214">
        <f t="shared" ref="AC38:AC76" si="52">O38+AA38</f>
        <v>224466.18</v>
      </c>
      <c r="AD38" s="635"/>
      <c r="AE38" s="635">
        <f>SUM(AE4:AE37)</f>
        <v>40696.590000000004</v>
      </c>
      <c r="AF38" s="635"/>
      <c r="AG38" s="635">
        <f>SUM(AG4:AG37)</f>
        <v>265162.76999999996</v>
      </c>
      <c r="AH38" s="635"/>
      <c r="AI38" s="635">
        <f>SUM(AI4:AI37)</f>
        <v>19950.600000000002</v>
      </c>
      <c r="AJ38" s="635"/>
      <c r="AK38" s="635">
        <f>SUM(AK4:AK37)</f>
        <v>285113.36999999994</v>
      </c>
      <c r="AL38" s="635"/>
      <c r="AM38" s="635">
        <f>SUM(AM4:AM37)</f>
        <v>38943.850000000006</v>
      </c>
      <c r="AN38" s="635"/>
      <c r="AO38" s="2214">
        <f>SUM(AO4:AO37)</f>
        <v>99591.040000000037</v>
      </c>
      <c r="AP38" s="635"/>
      <c r="AQ38" s="635">
        <f>SUM(AQ4:AQ37)</f>
        <v>324057.22000000009</v>
      </c>
      <c r="AR38" s="635"/>
      <c r="AS38" s="635">
        <f>SUM(AS4:AS37)</f>
        <v>38226.35</v>
      </c>
      <c r="AT38" s="635"/>
      <c r="AU38" s="635">
        <f>SUM(AU4:AU37)</f>
        <v>362283.57</v>
      </c>
      <c r="AV38" s="630"/>
      <c r="AW38" s="635">
        <f>SUM(AW4:AW37)</f>
        <v>33339.050000000003</v>
      </c>
      <c r="AX38" s="635"/>
      <c r="AY38" s="635">
        <f>SUM(AY4:AY37)</f>
        <v>395622.62000000005</v>
      </c>
      <c r="AZ38" s="630"/>
      <c r="BA38" s="635">
        <f>SUM(BA4:BA37)</f>
        <v>41500.200000000019</v>
      </c>
      <c r="BB38" s="630"/>
      <c r="BC38" s="2214">
        <f>SUM(BC4:BC37)</f>
        <v>113065.59999999998</v>
      </c>
      <c r="BD38" s="2255"/>
      <c r="BE38" s="2214">
        <f>AO38+BC38</f>
        <v>212656.64000000001</v>
      </c>
      <c r="BF38" s="630"/>
      <c r="BG38" s="635">
        <f>SUM(BG4:BG37)</f>
        <v>437122.82</v>
      </c>
      <c r="BH38" s="1546"/>
      <c r="BI38" s="26"/>
      <c r="BJ38" s="26"/>
    </row>
    <row r="39" spans="3:62" x14ac:dyDescent="0.3">
      <c r="C39" s="554" t="s">
        <v>91</v>
      </c>
      <c r="D39" s="554" t="s">
        <v>1042</v>
      </c>
      <c r="E39" s="4747"/>
      <c r="F39" s="554"/>
      <c r="G39" s="555">
        <f>+SUMIF(BM!$C$7:$C$42,$D39,BM!$F$7:$F$42)</f>
        <v>8938.2249999999985</v>
      </c>
      <c r="H39" s="555"/>
      <c r="I39" s="555">
        <f>+SUMIF(BM!$C$7:$C$42,$D39,BM!$H$7:$H$42)</f>
        <v>19895.290000000015</v>
      </c>
      <c r="J39" s="625"/>
      <c r="K39" s="625">
        <f t="shared" ref="K39:K76" si="53">+G39+I39</f>
        <v>28833.515000000014</v>
      </c>
      <c r="L39" s="555"/>
      <c r="M39" s="555">
        <f>+SUMIF(BM!$C$7:$C$42,$D39,BM!$L$7:$L$42)</f>
        <v>13893.16</v>
      </c>
      <c r="N39" s="630"/>
      <c r="O39" s="630">
        <f t="shared" ref="O39:O76" si="54">+G39+I39+M39</f>
        <v>42726.675000000017</v>
      </c>
      <c r="P39" s="555"/>
      <c r="Q39" s="555">
        <f>+SUMIF(BM!$C$7:$C$42,$D39,BM!$P$7:$P$42)</f>
        <v>22964.860000000015</v>
      </c>
      <c r="R39" s="630"/>
      <c r="S39" s="630">
        <f t="shared" si="30"/>
        <v>65691.535000000033</v>
      </c>
      <c r="T39" s="555"/>
      <c r="U39" s="555">
        <f>+SUMIF(BM!$C$7:$C$42,$D39,BM!$T$7:$T$42)</f>
        <v>5623.75</v>
      </c>
      <c r="V39" s="630"/>
      <c r="W39" s="630">
        <f t="shared" ref="W39:W44" si="55">S39+U39</f>
        <v>71315.285000000033</v>
      </c>
      <c r="X39" s="630"/>
      <c r="Y39" s="555">
        <f>+SUMIF(BM!$C$7:$C$42,$D39,BM!$X$7:$X$42)</f>
        <v>7496.6249999999991</v>
      </c>
      <c r="Z39" s="630"/>
      <c r="AA39" s="2213">
        <f>Q39+U39+Y39</f>
        <v>36085.235000000015</v>
      </c>
      <c r="AB39" s="2255"/>
      <c r="AC39" s="1172">
        <f t="shared" si="52"/>
        <v>78811.910000000033</v>
      </c>
      <c r="AD39" s="630"/>
      <c r="AE39" s="555">
        <f>+SUMIF(BM!$C$7:$C$42,$D39,BM!$AD$7:$AD$42)</f>
        <v>18856.439999999999</v>
      </c>
      <c r="AF39" s="630"/>
      <c r="AG39" s="630">
        <f t="shared" ref="AG39:AG44" si="56">AC39+AE39</f>
        <v>97668.350000000035</v>
      </c>
      <c r="AH39" s="630"/>
      <c r="AI39" s="555">
        <f>+SUMIF(BM!$C$7:$C$42,$D39,BM!$AH$7:$AH$42)</f>
        <v>1674.8249999999998</v>
      </c>
      <c r="AJ39" s="630"/>
      <c r="AK39" s="625">
        <f t="shared" ref="AK39:AK44" si="57">AG39+AI39</f>
        <v>99343.175000000032</v>
      </c>
      <c r="AL39" s="630"/>
      <c r="AM39" s="555">
        <f>+SUMIF(BM!$C$7:$C$42,$D39,BM!$AL$7:$AL$42)</f>
        <v>16538.060000000005</v>
      </c>
      <c r="AN39" s="630"/>
      <c r="AO39" s="2213">
        <f>AE39+AI39+AM39</f>
        <v>37069.325000000004</v>
      </c>
      <c r="AP39" s="630"/>
      <c r="AQ39" s="625">
        <f t="shared" ref="AQ39:AQ44" si="58">AK39+AM39</f>
        <v>115881.23500000004</v>
      </c>
      <c r="AR39" s="630"/>
      <c r="AS39" s="555">
        <f>+SUMIF(BM!$C$7:$C$42,$D39,BM!$AR$7:$AR$42)</f>
        <v>12937.125000000004</v>
      </c>
      <c r="AT39" s="630"/>
      <c r="AU39" s="625">
        <f t="shared" ref="AU39:AU44" si="59">AQ39+AS39</f>
        <v>128818.36000000004</v>
      </c>
      <c r="AV39" s="630"/>
      <c r="AW39" s="555">
        <f>+SUMIF(BM!$C$7:$C$42,$D39,BM!$AV$7:$AV$42)</f>
        <v>18126.165000000008</v>
      </c>
      <c r="AX39" s="630"/>
      <c r="AY39" s="625">
        <f t="shared" ref="AY39:AY44" si="60">AU39+AW39</f>
        <v>146944.52500000005</v>
      </c>
      <c r="AZ39" s="630"/>
      <c r="BA39" s="555">
        <f>+SUMIF(BM!$C$7:$C$42,$D39,BM!$AZ$7:$AZ$42)</f>
        <v>16234.730000000005</v>
      </c>
      <c r="BB39" s="630"/>
      <c r="BC39" s="2213">
        <f>AS39+AW39+BA39</f>
        <v>47298.020000000019</v>
      </c>
      <c r="BD39" s="2255"/>
      <c r="BE39" s="1172">
        <f t="shared" si="13"/>
        <v>84367.34500000003</v>
      </c>
      <c r="BF39" s="630"/>
      <c r="BG39" s="625">
        <f t="shared" si="14"/>
        <v>163179.25500000006</v>
      </c>
      <c r="BH39" s="26"/>
      <c r="BI39" s="26"/>
      <c r="BJ39" s="26"/>
    </row>
    <row r="40" spans="3:62" x14ac:dyDescent="0.3">
      <c r="C40" s="554" t="s">
        <v>91</v>
      </c>
      <c r="D40" s="554" t="s">
        <v>1043</v>
      </c>
      <c r="E40" s="4747"/>
      <c r="F40" s="554"/>
      <c r="G40" s="555">
        <f>+SUMIF(BM!$C$7:$C$42,$D40,BM!$F$7:$F$42)</f>
        <v>23478.605000000014</v>
      </c>
      <c r="H40" s="555"/>
      <c r="I40" s="555">
        <f>+SUMIF(BM!$C$7:$C$42,$D40,BM!$H$7:$H$42)</f>
        <v>26257.105000000018</v>
      </c>
      <c r="J40" s="625"/>
      <c r="K40" s="625">
        <f t="shared" si="53"/>
        <v>49735.710000000036</v>
      </c>
      <c r="L40" s="555"/>
      <c r="M40" s="555">
        <f>+SUMIF(BM!$C$7:$C$42,$D40,BM!$L$7:$L$42)</f>
        <v>24809.215000000015</v>
      </c>
      <c r="N40" s="630"/>
      <c r="O40" s="630">
        <f t="shared" si="54"/>
        <v>74544.925000000047</v>
      </c>
      <c r="P40" s="555"/>
      <c r="Q40" s="555">
        <f>+SUMIF(BM!$C$7:$C$42,$D40,BM!$P$7:$P$42)</f>
        <v>46228.605000000076</v>
      </c>
      <c r="R40" s="630"/>
      <c r="S40" s="630">
        <f t="shared" si="30"/>
        <v>120773.53000000012</v>
      </c>
      <c r="T40" s="555"/>
      <c r="U40" s="555">
        <f>+SUMIF(BM!$C$7:$C$42,$D40,BM!$T$7:$T$42)</f>
        <v>36993.745000000017</v>
      </c>
      <c r="V40" s="630"/>
      <c r="W40" s="630">
        <f t="shared" si="55"/>
        <v>157767.27500000014</v>
      </c>
      <c r="X40" s="630"/>
      <c r="Y40" s="555">
        <f>+SUMIF(BM!$C$7:$C$42,$D40,BM!$X$7:$X$42)</f>
        <v>36854.330000000053</v>
      </c>
      <c r="Z40" s="630"/>
      <c r="AA40" s="2213">
        <f t="shared" ref="AA40:AA44" si="61">Q40+U40+Y40</f>
        <v>120076.68000000014</v>
      </c>
      <c r="AB40" s="2255"/>
      <c r="AC40" s="1172">
        <f t="shared" si="52"/>
        <v>194621.60500000019</v>
      </c>
      <c r="AD40" s="630"/>
      <c r="AE40" s="555">
        <f>+SUMIF(BM!$C$7:$C$42,$D40,BM!$AD$7:$AD$42)</f>
        <v>11991.88</v>
      </c>
      <c r="AF40" s="630"/>
      <c r="AG40" s="630">
        <f t="shared" si="56"/>
        <v>206613.48500000019</v>
      </c>
      <c r="AH40" s="630"/>
      <c r="AI40" s="555">
        <f>+SUMIF(BM!$C$7:$C$42,$D40,BM!$AH$7:$AH$42)</f>
        <v>0</v>
      </c>
      <c r="AJ40" s="630"/>
      <c r="AK40" s="625">
        <f t="shared" si="57"/>
        <v>206613.48500000019</v>
      </c>
      <c r="AL40" s="630"/>
      <c r="AM40" s="555">
        <f>+SUMIF(BM!$C$7:$C$42,$D40,BM!$AL$7:$AL$42)</f>
        <v>19161.365000000013</v>
      </c>
      <c r="AN40" s="630"/>
      <c r="AO40" s="2213">
        <f t="shared" ref="AO40:AO44" si="62">AE40+AI40+AM40</f>
        <v>31153.24500000001</v>
      </c>
      <c r="AP40" s="630"/>
      <c r="AQ40" s="625">
        <f t="shared" si="58"/>
        <v>225774.85000000021</v>
      </c>
      <c r="AR40" s="630"/>
      <c r="AS40" s="555">
        <f>+SUMIF(BM!$C$7:$C$42,$D40,BM!$AR$7:$AR$42)</f>
        <v>19081.88</v>
      </c>
      <c r="AT40" s="630"/>
      <c r="AU40" s="625">
        <f t="shared" si="59"/>
        <v>244856.73000000021</v>
      </c>
      <c r="AV40" s="635"/>
      <c r="AW40" s="555">
        <f>+SUMIF(BM!$C$7:$C$42,$D40,BM!$AV$7:$AV$42)</f>
        <v>15918.410000000007</v>
      </c>
      <c r="AX40" s="630"/>
      <c r="AY40" s="625">
        <f t="shared" si="60"/>
        <v>260775.14000000022</v>
      </c>
      <c r="AZ40" s="635"/>
      <c r="BA40" s="555">
        <f>+SUMIF(BM!$C$7:$C$42,$D40,BM!$AZ$7:$AZ$42)</f>
        <v>26490.700000000019</v>
      </c>
      <c r="BB40" s="635"/>
      <c r="BC40" s="2213">
        <f t="shared" ref="BC40:BC44" si="63">AS40+AW40+BA40</f>
        <v>61490.990000000027</v>
      </c>
      <c r="BD40" s="2255"/>
      <c r="BE40" s="1172">
        <f t="shared" si="13"/>
        <v>92644.235000000044</v>
      </c>
      <c r="BF40" s="635"/>
      <c r="BG40" s="625">
        <f t="shared" si="14"/>
        <v>287265.84000000026</v>
      </c>
      <c r="BH40" s="26"/>
      <c r="BI40" s="26"/>
      <c r="BJ40" s="26"/>
    </row>
    <row r="41" spans="3:62" x14ac:dyDescent="0.3">
      <c r="C41" s="554" t="s">
        <v>91</v>
      </c>
      <c r="D41" s="554" t="s">
        <v>1147</v>
      </c>
      <c r="E41" s="4747"/>
      <c r="F41" s="554"/>
      <c r="G41" s="555">
        <f>+SUMIF(BM!$C$7:$C$42,$D41,BM!$F$7:$F$42)</f>
        <v>31546.220000000012</v>
      </c>
      <c r="H41" s="555"/>
      <c r="I41" s="555">
        <f>+SUMIF(BM!$C$7:$C$42,$D41,BM!$H$7:$H$42)</f>
        <v>29282.950000000026</v>
      </c>
      <c r="J41" s="625"/>
      <c r="K41" s="625">
        <f t="shared" si="53"/>
        <v>60829.170000000042</v>
      </c>
      <c r="L41" s="555"/>
      <c r="M41" s="555">
        <f>+SUMIF(BM!$C$7:$C$42,$D41,BM!$L$7:$L$42)</f>
        <v>32011.095000000038</v>
      </c>
      <c r="N41" s="630"/>
      <c r="O41" s="630">
        <f t="shared" si="54"/>
        <v>92840.265000000072</v>
      </c>
      <c r="P41" s="555"/>
      <c r="Q41" s="555">
        <f>+SUMIF(BM!$C$7:$C$42,$D41,BM!$P$7:$P$42)</f>
        <v>18863.025000000012</v>
      </c>
      <c r="R41" s="630"/>
      <c r="S41" s="630">
        <f t="shared" si="30"/>
        <v>111703.29000000008</v>
      </c>
      <c r="T41" s="555"/>
      <c r="U41" s="555">
        <f>+SUMIF(BM!$C$7:$C$42,$D41,BM!$T$7:$T$42)</f>
        <v>28986.125000000029</v>
      </c>
      <c r="V41" s="630"/>
      <c r="W41" s="630">
        <f t="shared" si="55"/>
        <v>140689.4150000001</v>
      </c>
      <c r="X41" s="630"/>
      <c r="Y41" s="555">
        <f>+SUMIF(BM!$C$7:$C$42,$D41,BM!$X$7:$X$42)</f>
        <v>29188.925000000021</v>
      </c>
      <c r="Z41" s="630"/>
      <c r="AA41" s="2213">
        <f t="shared" si="61"/>
        <v>77038.075000000055</v>
      </c>
      <c r="AB41" s="2255"/>
      <c r="AC41" s="1172">
        <f t="shared" si="52"/>
        <v>169878.34000000014</v>
      </c>
      <c r="AD41" s="630"/>
      <c r="AE41" s="555">
        <f>+SUMIF(BM!$C$7:$C$42,$D41,BM!$AD$7:$AD$42)</f>
        <v>34364.19</v>
      </c>
      <c r="AF41" s="630"/>
      <c r="AG41" s="630">
        <f t="shared" si="56"/>
        <v>204242.53000000014</v>
      </c>
      <c r="AH41" s="630"/>
      <c r="AI41" s="555">
        <f>+SUMIF(BM!$C$7:$C$42,$D41,BM!$AH$7:$AH$42)</f>
        <v>1494.8950000000002</v>
      </c>
      <c r="AJ41" s="630"/>
      <c r="AK41" s="625">
        <f t="shared" si="57"/>
        <v>205737.42500000013</v>
      </c>
      <c r="AL41" s="630"/>
      <c r="AM41" s="555">
        <f>+SUMIF(BM!$C$7:$C$42,$D41,BM!$AL$7:$AL$42)</f>
        <v>33898.930000000044</v>
      </c>
      <c r="AN41" s="630"/>
      <c r="AO41" s="2213">
        <f t="shared" si="62"/>
        <v>69758.015000000043</v>
      </c>
      <c r="AP41" s="630"/>
      <c r="AQ41" s="625">
        <f t="shared" si="58"/>
        <v>239636.35500000019</v>
      </c>
      <c r="AR41" s="630"/>
      <c r="AS41" s="555">
        <f>+SUMIF(BM!$C$7:$C$42,$D41,BM!$AR$7:$AR$42)</f>
        <v>35524.17500000009</v>
      </c>
      <c r="AT41" s="630"/>
      <c r="AU41" s="625">
        <f t="shared" si="59"/>
        <v>275160.53000000026</v>
      </c>
      <c r="AV41" s="630"/>
      <c r="AW41" s="555">
        <f>+SUMIF(BM!$C$7:$C$42,$D41,BM!$AV$7:$AV$42)</f>
        <v>28920.870000000039</v>
      </c>
      <c r="AX41" s="630"/>
      <c r="AY41" s="625">
        <f t="shared" si="60"/>
        <v>304081.40000000031</v>
      </c>
      <c r="AZ41" s="630"/>
      <c r="BA41" s="555">
        <f>+SUMIF(BM!$C$7:$C$42,$D41,BM!$AZ$7:$AZ$42)</f>
        <v>35285.180000000037</v>
      </c>
      <c r="BB41" s="630"/>
      <c r="BC41" s="2213">
        <f t="shared" si="63"/>
        <v>99730.225000000166</v>
      </c>
      <c r="BD41" s="2255"/>
      <c r="BE41" s="1172">
        <f t="shared" si="13"/>
        <v>169488.24000000022</v>
      </c>
      <c r="BF41" s="630"/>
      <c r="BG41" s="625">
        <f t="shared" si="14"/>
        <v>339366.58000000037</v>
      </c>
      <c r="BH41" s="26"/>
      <c r="BI41" s="26"/>
      <c r="BJ41" s="26"/>
    </row>
    <row r="42" spans="3:62" x14ac:dyDescent="0.3">
      <c r="C42" s="554" t="s">
        <v>91</v>
      </c>
      <c r="D42" s="554" t="s">
        <v>1125</v>
      </c>
      <c r="E42" s="4747"/>
      <c r="F42" s="554"/>
      <c r="G42" s="555">
        <f>+SUMIF(BM!$C$7:$C$42,$D42,BM!$F$7:$F$42)</f>
        <v>0</v>
      </c>
      <c r="H42" s="555"/>
      <c r="I42" s="555">
        <f>+SUMIF(BM!$C$7:$C$42,$D42,BM!$H$7:$H$42)</f>
        <v>137.01500000000001</v>
      </c>
      <c r="J42" s="625"/>
      <c r="K42" s="625">
        <f t="shared" si="53"/>
        <v>137.01500000000001</v>
      </c>
      <c r="L42" s="555"/>
      <c r="M42" s="555">
        <f>+SUMIF(BM!$C$7:$C$42,$D42,BM!$L$7:$L$42)</f>
        <v>1015.7500000000002</v>
      </c>
      <c r="N42" s="630"/>
      <c r="O42" s="630">
        <f t="shared" si="54"/>
        <v>1152.7650000000003</v>
      </c>
      <c r="P42" s="555"/>
      <c r="Q42" s="555">
        <f>+SUMIF(BM!$C$7:$C$42,$D42,BM!$P$7:$P$42)</f>
        <v>0</v>
      </c>
      <c r="R42" s="630"/>
      <c r="S42" s="630">
        <f t="shared" si="30"/>
        <v>1152.7650000000003</v>
      </c>
      <c r="T42" s="555"/>
      <c r="U42" s="555">
        <f>+SUMIF(BM!$C$7:$C$42,$D42,BM!$T$7:$T$42)</f>
        <v>0</v>
      </c>
      <c r="V42" s="630"/>
      <c r="W42" s="630">
        <f t="shared" si="55"/>
        <v>1152.7650000000003</v>
      </c>
      <c r="X42" s="630"/>
      <c r="Y42" s="555">
        <f>+SUMIF(BM!$C$7:$C$42,$D42,BM!$X$7:$X$42)</f>
        <v>0</v>
      </c>
      <c r="Z42" s="630"/>
      <c r="AA42" s="2213">
        <f t="shared" si="61"/>
        <v>0</v>
      </c>
      <c r="AB42" s="2255"/>
      <c r="AC42" s="1172">
        <f t="shared" si="52"/>
        <v>1152.7650000000003</v>
      </c>
      <c r="AD42" s="630"/>
      <c r="AE42" s="555">
        <f>+SUMIF(BM!$C$7:$C$42,$D42,BM!$AD$7:$AD$42)</f>
        <v>0</v>
      </c>
      <c r="AF42" s="630"/>
      <c r="AG42" s="630">
        <f t="shared" si="56"/>
        <v>1152.7650000000003</v>
      </c>
      <c r="AH42" s="630"/>
      <c r="AI42" s="555">
        <f>+SUMIF(BM!$C$7:$C$42,$D42,BM!$AH$7:$AH$42)</f>
        <v>0</v>
      </c>
      <c r="AJ42" s="630"/>
      <c r="AK42" s="625">
        <f t="shared" si="57"/>
        <v>1152.7650000000003</v>
      </c>
      <c r="AL42" s="630"/>
      <c r="AM42" s="555">
        <f>+SUMIF(BM!$C$7:$C$42,$D42,BM!$AL$7:$AL$42)</f>
        <v>0</v>
      </c>
      <c r="AN42" s="630"/>
      <c r="AO42" s="2213">
        <f t="shared" si="62"/>
        <v>0</v>
      </c>
      <c r="AP42" s="630"/>
      <c r="AQ42" s="625">
        <f t="shared" si="58"/>
        <v>1152.7650000000003</v>
      </c>
      <c r="AR42" s="630"/>
      <c r="AS42" s="555">
        <f>+SUMIF(BM!$C$7:$C$42,$D42,BM!$AR$7:$AR$42)</f>
        <v>0</v>
      </c>
      <c r="AT42" s="630"/>
      <c r="AU42" s="625">
        <f t="shared" si="59"/>
        <v>1152.7650000000003</v>
      </c>
      <c r="AV42" s="630"/>
      <c r="AW42" s="555">
        <f>+SUMIF(BM!$C$7:$C$42,$D42,BM!$AV$7:$AV$42)</f>
        <v>0</v>
      </c>
      <c r="AX42" s="630"/>
      <c r="AY42" s="625">
        <f t="shared" si="60"/>
        <v>1152.7650000000003</v>
      </c>
      <c r="AZ42" s="630"/>
      <c r="BA42" s="555">
        <f>+SUMIF(BM!$C$7:$C$42,$D42,BM!$AZ$7:$AZ$42)</f>
        <v>0</v>
      </c>
      <c r="BB42" s="630"/>
      <c r="BC42" s="2213">
        <f t="shared" si="63"/>
        <v>0</v>
      </c>
      <c r="BD42" s="2255"/>
      <c r="BE42" s="1172">
        <f t="shared" si="13"/>
        <v>0</v>
      </c>
      <c r="BF42" s="630"/>
      <c r="BG42" s="625">
        <f t="shared" si="14"/>
        <v>1152.7650000000003</v>
      </c>
      <c r="BH42" s="26"/>
      <c r="BI42" s="26"/>
      <c r="BJ42" s="26"/>
    </row>
    <row r="43" spans="3:62" x14ac:dyDescent="0.3">
      <c r="C43" s="554" t="s">
        <v>91</v>
      </c>
      <c r="D43" s="554" t="s">
        <v>1044</v>
      </c>
      <c r="E43" s="4747"/>
      <c r="F43" s="554"/>
      <c r="G43" s="555">
        <f>+SUMIF(BM!$C$7:$C$42,$D43,BM!$F$7:$F$42)</f>
        <v>2932.4049999999997</v>
      </c>
      <c r="H43" s="555"/>
      <c r="I43" s="555">
        <f>+SUMIF(BM!$C$7:$C$42,$D43,BM!$H$7:$H$42)</f>
        <v>603.27499999999998</v>
      </c>
      <c r="J43" s="625"/>
      <c r="K43" s="625">
        <f t="shared" si="53"/>
        <v>3535.68</v>
      </c>
      <c r="L43" s="555"/>
      <c r="M43" s="555">
        <f>+SUMIF(BM!$C$7:$C$42,$D43,BM!$L$7:$L$42)</f>
        <v>1914.7949999999998</v>
      </c>
      <c r="N43" s="630"/>
      <c r="O43" s="630">
        <f t="shared" si="54"/>
        <v>5450.4749999999995</v>
      </c>
      <c r="P43" s="555"/>
      <c r="Q43" s="555">
        <f>+SUMIF(BM!$C$7:$C$42,$D43,BM!$P$7:$P$42)</f>
        <v>0</v>
      </c>
      <c r="R43" s="630"/>
      <c r="S43" s="630">
        <f t="shared" si="30"/>
        <v>5450.4749999999995</v>
      </c>
      <c r="T43" s="555"/>
      <c r="U43" s="555">
        <f>+SUMIF(BM!$C$7:$C$42,$D43,BM!$T$7:$T$42)</f>
        <v>4250.0749999999998</v>
      </c>
      <c r="V43" s="630"/>
      <c r="W43" s="630">
        <f t="shared" si="55"/>
        <v>9700.5499999999993</v>
      </c>
      <c r="X43" s="630"/>
      <c r="Y43" s="555">
        <f>+SUMIF(BM!$C$7:$C$42,$D43,BM!$X$7:$X$42)</f>
        <v>2779.1549999999997</v>
      </c>
      <c r="Z43" s="630"/>
      <c r="AA43" s="2213">
        <f t="shared" si="61"/>
        <v>7029.23</v>
      </c>
      <c r="AB43" s="2255"/>
      <c r="AC43" s="1172">
        <f t="shared" si="52"/>
        <v>12479.704999999998</v>
      </c>
      <c r="AD43" s="630"/>
      <c r="AE43" s="555">
        <f>+SUMIF(BM!$C$7:$C$42,$D43,BM!$AD$7:$AD$42)</f>
        <v>0</v>
      </c>
      <c r="AF43" s="630"/>
      <c r="AG43" s="630">
        <f t="shared" si="56"/>
        <v>12479.704999999998</v>
      </c>
      <c r="AH43" s="630"/>
      <c r="AI43" s="555">
        <f>+SUMIF(BM!$C$7:$C$42,$D43,BM!$AH$7:$AH$42)</f>
        <v>0</v>
      </c>
      <c r="AJ43" s="630"/>
      <c r="AK43" s="625">
        <f t="shared" si="57"/>
        <v>12479.704999999998</v>
      </c>
      <c r="AL43" s="630"/>
      <c r="AM43" s="555">
        <f>+SUMIF(BM!$C$7:$C$42,$D43,BM!$AL$7:$AL$42)</f>
        <v>1032.2749999999999</v>
      </c>
      <c r="AN43" s="630"/>
      <c r="AO43" s="2213">
        <f t="shared" si="62"/>
        <v>1032.2749999999999</v>
      </c>
      <c r="AP43" s="630"/>
      <c r="AQ43" s="625">
        <f t="shared" si="58"/>
        <v>13511.979999999998</v>
      </c>
      <c r="AR43" s="630"/>
      <c r="AS43" s="555">
        <f>+SUMIF(BM!$C$7:$C$42,$D43,BM!$AR$7:$AR$42)</f>
        <v>1811.87</v>
      </c>
      <c r="AT43" s="630"/>
      <c r="AU43" s="625">
        <f t="shared" si="59"/>
        <v>15323.849999999999</v>
      </c>
      <c r="AV43" s="630"/>
      <c r="AW43" s="555">
        <f>+SUMIF(BM!$C$7:$C$42,$D43,BM!$AV$7:$AV$42)</f>
        <v>1799.5999999999995</v>
      </c>
      <c r="AX43" s="630"/>
      <c r="AY43" s="625">
        <f t="shared" si="60"/>
        <v>17123.449999999997</v>
      </c>
      <c r="AZ43" s="630"/>
      <c r="BA43" s="555">
        <f>+SUMIF(BM!$C$7:$C$42,$D43,BM!$AZ$7:$AZ$42)</f>
        <v>0</v>
      </c>
      <c r="BB43" s="630"/>
      <c r="BC43" s="2213">
        <f t="shared" si="63"/>
        <v>3611.4699999999993</v>
      </c>
      <c r="BD43" s="2255"/>
      <c r="BE43" s="1172">
        <f t="shared" si="13"/>
        <v>4643.744999999999</v>
      </c>
      <c r="BF43" s="630"/>
      <c r="BG43" s="625">
        <f t="shared" si="14"/>
        <v>17123.449999999997</v>
      </c>
      <c r="BH43" s="26"/>
      <c r="BI43" s="26"/>
      <c r="BJ43" s="26"/>
    </row>
    <row r="44" spans="3:62" x14ac:dyDescent="0.3">
      <c r="C44" s="554" t="s">
        <v>91</v>
      </c>
      <c r="D44" s="554" t="s">
        <v>1012</v>
      </c>
      <c r="E44" s="4747"/>
      <c r="F44" s="554"/>
      <c r="G44" s="555">
        <f>+SUMIF(BM!$C$7:$C$42,$D44,BM!$F$7:$F$42)</f>
        <v>0</v>
      </c>
      <c r="H44" s="555"/>
      <c r="I44" s="555">
        <f>+SUMIF(BM!$C$7:$C$42,$D44,BM!$H$7:$H$42)</f>
        <v>0</v>
      </c>
      <c r="J44" s="625"/>
      <c r="K44" s="625">
        <f t="shared" si="53"/>
        <v>0</v>
      </c>
      <c r="L44" s="555"/>
      <c r="M44" s="555">
        <f>+SUMIF(BM!$C$7:$C$42,$D44,BM!$L$7:$L$42)</f>
        <v>0</v>
      </c>
      <c r="N44" s="630"/>
      <c r="O44" s="630">
        <f t="shared" si="54"/>
        <v>0</v>
      </c>
      <c r="P44" s="555"/>
      <c r="Q44" s="555">
        <f>+SUMIF(BM!$C$7:$C$42,$D44,BM!$P$7:$P$42)</f>
        <v>0</v>
      </c>
      <c r="R44" s="630"/>
      <c r="S44" s="630">
        <f t="shared" si="30"/>
        <v>0</v>
      </c>
      <c r="T44" s="555"/>
      <c r="U44" s="555">
        <f>+SUMIF(BM!$C$7:$C$42,$D44,BM!$T$7:$T$42)</f>
        <v>0</v>
      </c>
      <c r="V44" s="630"/>
      <c r="W44" s="630">
        <f t="shared" si="55"/>
        <v>0</v>
      </c>
      <c r="X44" s="630"/>
      <c r="Y44" s="555">
        <f>+SUMIF(BM!$C$7:$C$42,$D44,BM!$X$7:$X$42)</f>
        <v>0</v>
      </c>
      <c r="Z44" s="630"/>
      <c r="AA44" s="2213">
        <f t="shared" si="61"/>
        <v>0</v>
      </c>
      <c r="AB44" s="2255"/>
      <c r="AC44" s="1172">
        <f t="shared" si="52"/>
        <v>0</v>
      </c>
      <c r="AD44" s="630"/>
      <c r="AE44" s="555">
        <f>+SUMIF(BM!$C$7:$C$42,$D44,BM!$AD$7:$AD$42)</f>
        <v>1535.2900000000002</v>
      </c>
      <c r="AF44" s="630"/>
      <c r="AG44" s="630">
        <f t="shared" si="56"/>
        <v>1535.2900000000002</v>
      </c>
      <c r="AH44" s="630"/>
      <c r="AI44" s="555">
        <f>+SUMIF(BM!$C$7:$C$42,$D44,BM!$AH$7:$AH$42)</f>
        <v>0</v>
      </c>
      <c r="AJ44" s="630"/>
      <c r="AK44" s="625">
        <f t="shared" si="57"/>
        <v>1535.2900000000002</v>
      </c>
      <c r="AL44" s="630"/>
      <c r="AM44" s="555">
        <f>+SUMIF(BM!$C$7:$C$42,$D44,BM!$AL$7:$AL$42)</f>
        <v>0</v>
      </c>
      <c r="AN44" s="630"/>
      <c r="AO44" s="2213">
        <f t="shared" si="62"/>
        <v>1535.2900000000002</v>
      </c>
      <c r="AP44" s="630"/>
      <c r="AQ44" s="625">
        <f t="shared" si="58"/>
        <v>1535.2900000000002</v>
      </c>
      <c r="AR44" s="630"/>
      <c r="AS44" s="555">
        <f>+SUMIF(BM!$C$7:$C$42,$D44,BM!$AR$7:$AR$42)</f>
        <v>730.06499999999994</v>
      </c>
      <c r="AT44" s="630"/>
      <c r="AU44" s="625">
        <f t="shared" si="59"/>
        <v>2265.355</v>
      </c>
      <c r="AV44" s="635"/>
      <c r="AW44" s="555">
        <f>+SUMIF(BM!$C$7:$C$42,$D44,BM!$AV$7:$AV$42)</f>
        <v>1224.9549999999997</v>
      </c>
      <c r="AX44" s="630"/>
      <c r="AY44" s="625">
        <f t="shared" si="60"/>
        <v>3490.3099999999995</v>
      </c>
      <c r="AZ44" s="635"/>
      <c r="BA44" s="555">
        <f>+SUMIF(BM!$C$7:$C$42,$D44,BM!$AZ$7:$AZ$42)</f>
        <v>0</v>
      </c>
      <c r="BB44" s="635"/>
      <c r="BC44" s="2213">
        <f t="shared" si="63"/>
        <v>1955.0199999999995</v>
      </c>
      <c r="BD44" s="2255"/>
      <c r="BE44" s="1172">
        <f t="shared" si="13"/>
        <v>3490.3099999999995</v>
      </c>
      <c r="BF44" s="635"/>
      <c r="BG44" s="625">
        <f t="shared" si="14"/>
        <v>3490.3099999999995</v>
      </c>
      <c r="BH44" s="26"/>
      <c r="BI44" s="26"/>
      <c r="BJ44" s="26"/>
    </row>
    <row r="45" spans="3:62" x14ac:dyDescent="0.3">
      <c r="C45" s="6415" t="s">
        <v>968</v>
      </c>
      <c r="D45" s="6415"/>
      <c r="E45" s="4747"/>
      <c r="F45" s="634"/>
      <c r="G45" s="635">
        <f>SUM(G39:G44)</f>
        <v>66895.455000000031</v>
      </c>
      <c r="H45" s="635"/>
      <c r="I45" s="635">
        <f>SUM(I39:I44)</f>
        <v>76175.635000000053</v>
      </c>
      <c r="J45" s="635"/>
      <c r="K45" s="636">
        <f>SUM(K39:K44)</f>
        <v>143071.09000000008</v>
      </c>
      <c r="L45" s="635"/>
      <c r="M45" s="635">
        <f>SUM(M39:M44)</f>
        <v>73644.015000000058</v>
      </c>
      <c r="N45" s="635"/>
      <c r="O45" s="635">
        <f>SUM(O39:O44)</f>
        <v>216715.10500000016</v>
      </c>
      <c r="P45" s="635"/>
      <c r="Q45" s="635">
        <f>SUM(Q39:Q44)</f>
        <v>88056.490000000093</v>
      </c>
      <c r="R45" s="635"/>
      <c r="S45" s="635">
        <f>SUM(S39:S44)</f>
        <v>304771.5950000002</v>
      </c>
      <c r="T45" s="635"/>
      <c r="U45" s="635">
        <f>SUM(U39:U44)</f>
        <v>75853.695000000051</v>
      </c>
      <c r="V45" s="635"/>
      <c r="W45" s="635">
        <f>SUM(W39:W44)</f>
        <v>380625.29000000027</v>
      </c>
      <c r="X45" s="635"/>
      <c r="Y45" s="635">
        <f>SUM(Y39:Y44)</f>
        <v>76319.035000000076</v>
      </c>
      <c r="Z45" s="635"/>
      <c r="AA45" s="2214">
        <f>SUM(AA39:AA44)</f>
        <v>240229.22000000023</v>
      </c>
      <c r="AB45" s="2255"/>
      <c r="AC45" s="2214">
        <f t="shared" si="52"/>
        <v>456944.32500000042</v>
      </c>
      <c r="AD45" s="635"/>
      <c r="AE45" s="635">
        <f>SUM(AE39:AE44)</f>
        <v>66747.8</v>
      </c>
      <c r="AF45" s="635"/>
      <c r="AG45" s="635">
        <f>SUM(AG39:AG44)</f>
        <v>523692.12500000035</v>
      </c>
      <c r="AH45" s="635"/>
      <c r="AI45" s="635">
        <f>SUM(AI39:AI44)</f>
        <v>3169.7200000000003</v>
      </c>
      <c r="AJ45" s="635"/>
      <c r="AK45" s="635">
        <f>SUM(AK39:AK44)</f>
        <v>526861.84500000032</v>
      </c>
      <c r="AL45" s="635"/>
      <c r="AM45" s="635">
        <f>SUM(AM39:AM44)</f>
        <v>70630.630000000063</v>
      </c>
      <c r="AN45" s="635"/>
      <c r="AO45" s="2214">
        <f>SUM(AO39:AO44)</f>
        <v>140548.15000000005</v>
      </c>
      <c r="AP45" s="635"/>
      <c r="AQ45" s="635">
        <f>SUM(AQ39:AQ44)</f>
        <v>597492.47500000044</v>
      </c>
      <c r="AR45" s="635"/>
      <c r="AS45" s="635">
        <f>SUM(AS39:AS44)</f>
        <v>70085.115000000093</v>
      </c>
      <c r="AT45" s="635"/>
      <c r="AU45" s="635">
        <f>SUM(AU39:AU44)</f>
        <v>667577.59000000055</v>
      </c>
      <c r="AV45" s="630"/>
      <c r="AW45" s="635">
        <f>SUM(AW39:AW44)</f>
        <v>65990.000000000044</v>
      </c>
      <c r="AX45" s="635"/>
      <c r="AY45" s="635">
        <f>SUM(AY39:AY44)</f>
        <v>733567.59000000067</v>
      </c>
      <c r="AZ45" s="630"/>
      <c r="BA45" s="635">
        <f>SUM(BA39:BA44)</f>
        <v>78010.610000000059</v>
      </c>
      <c r="BB45" s="630"/>
      <c r="BC45" s="2214">
        <f>SUM(BC39:BC44)</f>
        <v>214085.72500000021</v>
      </c>
      <c r="BD45" s="2255"/>
      <c r="BE45" s="2214">
        <f>AO45+BC45</f>
        <v>354633.87500000023</v>
      </c>
      <c r="BF45" s="630"/>
      <c r="BG45" s="635">
        <f>SUM(BG39:BG44)</f>
        <v>811578.20000000077</v>
      </c>
      <c r="BH45" s="26"/>
      <c r="BI45" s="26"/>
      <c r="BJ45" s="26"/>
    </row>
    <row r="46" spans="3:62" x14ac:dyDescent="0.3">
      <c r="C46" s="554" t="s">
        <v>109</v>
      </c>
      <c r="D46" s="554" t="s">
        <v>947</v>
      </c>
      <c r="E46" s="4747"/>
      <c r="F46" s="554"/>
      <c r="G46" s="555">
        <f>SUMIF(USM!$C$8:$C$91,$D46,USM!$G$8:$G$91)</f>
        <v>13213.612999999999</v>
      </c>
      <c r="H46" s="555"/>
      <c r="I46" s="555">
        <f>SUMIF(USM!$C$8:$C$91,$D46,USM!$I$8:$I$91)</f>
        <v>12437.809000000001</v>
      </c>
      <c r="J46" s="625"/>
      <c r="K46" s="625">
        <f t="shared" si="53"/>
        <v>25651.421999999999</v>
      </c>
      <c r="L46" s="555"/>
      <c r="M46" s="555">
        <f>SUMIF(USM!$C$8:$C$91,$D46,USM!$M$8:$M$91)</f>
        <v>15766.755000000001</v>
      </c>
      <c r="N46" s="630"/>
      <c r="O46" s="630">
        <f t="shared" si="54"/>
        <v>41418.176999999996</v>
      </c>
      <c r="P46" s="555"/>
      <c r="Q46" s="555">
        <f>SUMIF(USM!$C$8:$C$91,$D46,USM!$Q$8:$Q$91)</f>
        <v>11945.610999999999</v>
      </c>
      <c r="R46" s="630"/>
      <c r="S46" s="630">
        <f t="shared" si="30"/>
        <v>53363.787999999993</v>
      </c>
      <c r="T46" s="555"/>
      <c r="U46" s="555">
        <f>SUMIF(USM!$C$8:$C$91,$D46,USM!$U$8:$U$91)</f>
        <v>5801.0050000000001</v>
      </c>
      <c r="V46" s="630"/>
      <c r="W46" s="630">
        <f t="shared" ref="W46:W50" si="64">S46+U46</f>
        <v>59164.792999999991</v>
      </c>
      <c r="X46" s="630"/>
      <c r="Y46" s="555">
        <f>SUMIF(USM!$C$8:$C$91,$D46,USM!$Y$8:$Y$91)</f>
        <v>11490.274000000001</v>
      </c>
      <c r="Z46" s="630"/>
      <c r="AA46" s="2213">
        <f>Q46+U46+Y46</f>
        <v>29236.89</v>
      </c>
      <c r="AB46" s="2255"/>
      <c r="AC46" s="1172">
        <f t="shared" si="52"/>
        <v>70655.066999999995</v>
      </c>
      <c r="AD46" s="630"/>
      <c r="AE46" s="555">
        <f>SUMIF(USM!$C$8:$C$91,$D46,USM!$AE$8:$AE$91)</f>
        <v>7930.5840000000007</v>
      </c>
      <c r="AF46" s="630"/>
      <c r="AG46" s="630">
        <f t="shared" ref="AG46:AG50" si="65">AC46+AE46</f>
        <v>78585.650999999998</v>
      </c>
      <c r="AH46" s="630"/>
      <c r="AI46" s="555">
        <f>SUMIF(USM!$C$8:$C$91,$D46,USM!$AI$8:$AI$91)</f>
        <v>148.166</v>
      </c>
      <c r="AJ46" s="630"/>
      <c r="AK46" s="625">
        <f t="shared" ref="AK46:AK50" si="66">AG46+AI46</f>
        <v>78733.816999999995</v>
      </c>
      <c r="AL46" s="630"/>
      <c r="AM46" s="555">
        <f>SUMIF(USM!$C$8:$C$91,$D46,USM!$AM$8:$AM$91)</f>
        <v>9144.7129999999997</v>
      </c>
      <c r="AN46" s="630"/>
      <c r="AO46" s="2213">
        <f>AE46+AI46+AM46</f>
        <v>17223.463</v>
      </c>
      <c r="AP46" s="630"/>
      <c r="AQ46" s="625">
        <f t="shared" ref="AQ46:AQ50" si="67">AK46+AM46</f>
        <v>87878.53</v>
      </c>
      <c r="AR46" s="630"/>
      <c r="AS46" s="555">
        <f>SUMIF(USM!$C$8:$C$91,$D46,USM!$AS$8:$AS$91)</f>
        <v>12416.546000000002</v>
      </c>
      <c r="AT46" s="630"/>
      <c r="AU46" s="625">
        <f t="shared" ref="AU46:AU50" si="68">AQ46+AS46</f>
        <v>100295.076</v>
      </c>
      <c r="AV46" s="630"/>
      <c r="AW46" s="555">
        <f>SUMIF(USM!$C$8:$C$91,$D46,USM!$AW$8:$AW$91)</f>
        <v>16092.387999999999</v>
      </c>
      <c r="AX46" s="630"/>
      <c r="AY46" s="625">
        <f t="shared" ref="AY46:AY50" si="69">AU46+AW46</f>
        <v>116387.46400000001</v>
      </c>
      <c r="AZ46" s="630"/>
      <c r="BA46" s="555">
        <f>SUMIF(USM!$C$8:$C$91,$D46,USM!$BA$8:$BA$91)</f>
        <v>14494.944999999998</v>
      </c>
      <c r="BB46" s="630"/>
      <c r="BC46" s="2213">
        <f>AS46+AW46+BA46</f>
        <v>43003.879000000001</v>
      </c>
      <c r="BD46" s="2255"/>
      <c r="BE46" s="1172">
        <f t="shared" si="13"/>
        <v>60227.342000000004</v>
      </c>
      <c r="BF46" s="630"/>
      <c r="BG46" s="625">
        <f t="shared" si="14"/>
        <v>130882.409</v>
      </c>
      <c r="BH46" s="26"/>
      <c r="BI46" s="26"/>
      <c r="BJ46" s="26"/>
    </row>
    <row r="47" spans="3:62" x14ac:dyDescent="0.3">
      <c r="C47" s="4749" t="s">
        <v>109</v>
      </c>
      <c r="D47" s="4749" t="s">
        <v>1356</v>
      </c>
      <c r="E47" s="4747"/>
      <c r="F47" s="4749"/>
      <c r="G47" s="555">
        <f>SUMIF(USM!$C$8:$C$91,$D47,USM!$G$8:$G$91)</f>
        <v>2807.8309999999992</v>
      </c>
      <c r="H47" s="555"/>
      <c r="I47" s="555">
        <f>SUMIF(USM!$C$8:$C$91,$D47,USM!$I$8:$I$91)</f>
        <v>3069.2429999999995</v>
      </c>
      <c r="J47" s="625"/>
      <c r="K47" s="625">
        <f t="shared" ref="K47" si="70">+G47+I47</f>
        <v>5877.0739999999987</v>
      </c>
      <c r="L47" s="555"/>
      <c r="M47" s="555">
        <f>SUMIF(USM!$C$8:$C$91,$D47,USM!$M$8:$M$91)</f>
        <v>2518.1869999999999</v>
      </c>
      <c r="N47" s="630"/>
      <c r="O47" s="630">
        <f t="shared" ref="O47" si="71">+G47+I47+M47</f>
        <v>8395.2609999999986</v>
      </c>
      <c r="P47" s="555"/>
      <c r="Q47" s="555">
        <f>SUMIF(USM!$C$8:$C$91,$D47,USM!$Q$8:$Q$91)</f>
        <v>2855.9759999999992</v>
      </c>
      <c r="R47" s="630"/>
      <c r="S47" s="630">
        <f t="shared" ref="S47" si="72">O47+Q47</f>
        <v>11251.236999999997</v>
      </c>
      <c r="T47" s="555"/>
      <c r="U47" s="555">
        <f>SUMIF(USM!$C$8:$C$91,$D47,USM!$U$8:$U$91)</f>
        <v>1438.2529999999997</v>
      </c>
      <c r="V47" s="630"/>
      <c r="W47" s="630">
        <f t="shared" ref="W47" si="73">S47+U47</f>
        <v>12689.489999999998</v>
      </c>
      <c r="X47" s="630"/>
      <c r="Y47" s="555">
        <f>SUMIF(USM!$C$8:$C$91,$D47,USM!$Y$8:$Y$91)</f>
        <v>57.984000000000009</v>
      </c>
      <c r="Z47" s="630"/>
      <c r="AA47" s="2213">
        <f>Q47+U47+Y47</f>
        <v>4352.2129999999997</v>
      </c>
      <c r="AB47" s="2255"/>
      <c r="AC47" s="1172">
        <f t="shared" ref="AC47" si="74">O47+AA47</f>
        <v>12747.473999999998</v>
      </c>
      <c r="AD47" s="630"/>
      <c r="AE47" s="555">
        <f>SUMIF(USM!$C$8:$C$91,$D47,USM!$AE$8:$AE$91)</f>
        <v>71.840999999999994</v>
      </c>
      <c r="AF47" s="630"/>
      <c r="AG47" s="630">
        <f t="shared" ref="AG47" si="75">AC47+AE47</f>
        <v>12819.314999999999</v>
      </c>
      <c r="AH47" s="630"/>
      <c r="AI47" s="555">
        <f>SUMIF(USM!$C$8:$C$91,$D47,USM!$AI$8:$AI$91)</f>
        <v>0</v>
      </c>
      <c r="AJ47" s="630"/>
      <c r="AK47" s="625">
        <f t="shared" ref="AK47" si="76">AG47+AI47</f>
        <v>12819.314999999999</v>
      </c>
      <c r="AL47" s="630"/>
      <c r="AM47" s="555">
        <f>SUMIF(USM!$C$8:$C$91,$D47,USM!$AM$8:$AM$91)</f>
        <v>3830.9300000000003</v>
      </c>
      <c r="AN47" s="630"/>
      <c r="AO47" s="2213">
        <f>AE47+AI47+AM47</f>
        <v>3902.7710000000002</v>
      </c>
      <c r="AP47" s="630"/>
      <c r="AQ47" s="625">
        <f t="shared" ref="AQ47" si="77">AK47+AM47</f>
        <v>16650.244999999999</v>
      </c>
      <c r="AR47" s="630"/>
      <c r="AS47" s="555">
        <f>SUMIF(USM!$C$8:$C$91,$D47,USM!$AS$8:$AS$91)</f>
        <v>0</v>
      </c>
      <c r="AT47" s="630"/>
      <c r="AU47" s="625">
        <f t="shared" ref="AU47" si="78">AQ47+AS47</f>
        <v>16650.244999999999</v>
      </c>
      <c r="AV47" s="2829"/>
      <c r="AW47" s="555">
        <f>SUMIF(USM!$C$8:$C$91,$D47,USM!$AW$8:$AW$91)</f>
        <v>4167.0959999999995</v>
      </c>
      <c r="AX47" s="630"/>
      <c r="AY47" s="625">
        <f t="shared" si="69"/>
        <v>20817.341</v>
      </c>
      <c r="AZ47" s="2829"/>
      <c r="BA47" s="555">
        <f>SUMIF(USM!$C$8:$C$91,$D47,USM!$BA$8:$BA$91)</f>
        <v>2843.715999999999</v>
      </c>
      <c r="BB47" s="2829"/>
      <c r="BC47" s="2213">
        <f>AS47+AW47+BA47</f>
        <v>7010.8119999999981</v>
      </c>
      <c r="BD47" s="2830"/>
      <c r="BE47" s="1172">
        <f t="shared" si="13"/>
        <v>10913.582999999999</v>
      </c>
      <c r="BF47" s="2829"/>
      <c r="BG47" s="625">
        <f t="shared" si="14"/>
        <v>23661.057000000001</v>
      </c>
      <c r="BH47" s="26"/>
      <c r="BI47" s="26"/>
      <c r="BJ47" s="26"/>
    </row>
    <row r="48" spans="3:62" x14ac:dyDescent="0.3">
      <c r="C48" s="554" t="s">
        <v>109</v>
      </c>
      <c r="D48" s="554" t="s">
        <v>1634</v>
      </c>
      <c r="E48" s="4747"/>
      <c r="F48" s="554"/>
      <c r="G48" s="555">
        <f>SUMIF(USM!$C$8:$C$91,$D48,USM!$G$8:$G$91)</f>
        <v>0</v>
      </c>
      <c r="H48" s="555"/>
      <c r="I48" s="555">
        <f>SUMIF(USM!$C$8:$C$91,$D48,USM!$I$8:$I$91)</f>
        <v>0</v>
      </c>
      <c r="J48" s="625"/>
      <c r="K48" s="625">
        <f t="shared" si="53"/>
        <v>0</v>
      </c>
      <c r="L48" s="555"/>
      <c r="M48" s="555">
        <f>SUMIF(USM!$C$8:$C$91,$D48,USM!$M$8:$M$91)</f>
        <v>0</v>
      </c>
      <c r="N48" s="630"/>
      <c r="O48" s="630">
        <f t="shared" si="54"/>
        <v>0</v>
      </c>
      <c r="P48" s="555"/>
      <c r="Q48" s="555">
        <f>SUMIF(USM!$C$8:$C$91,$D48,USM!$Q$8:$Q$91)</f>
        <v>300.69599999999997</v>
      </c>
      <c r="R48" s="630"/>
      <c r="S48" s="630">
        <f t="shared" si="30"/>
        <v>300.69599999999997</v>
      </c>
      <c r="T48" s="555"/>
      <c r="U48" s="555">
        <f>SUMIF(USM!$C$8:$C$91,$D48,USM!$U$8:$U$91)</f>
        <v>792.84600000000012</v>
      </c>
      <c r="V48" s="630"/>
      <c r="W48" s="630">
        <f t="shared" si="64"/>
        <v>1093.5420000000001</v>
      </c>
      <c r="X48" s="630"/>
      <c r="Y48" s="555">
        <f>SUMIF(USM!$C$8:$C$91,$D48,USM!$Y$8:$Y$91)</f>
        <v>0</v>
      </c>
      <c r="Z48" s="630"/>
      <c r="AA48" s="2213">
        <f>Q48+U48+Y48</f>
        <v>1093.5420000000001</v>
      </c>
      <c r="AB48" s="2255"/>
      <c r="AC48" s="1172">
        <f t="shared" si="52"/>
        <v>1093.5420000000001</v>
      </c>
      <c r="AD48" s="630"/>
      <c r="AE48" s="555">
        <f>SUMIF(USM!$C$8:$C$91,$D48,USM!$AE$8:$AE$91)</f>
        <v>0</v>
      </c>
      <c r="AF48" s="630"/>
      <c r="AG48" s="630">
        <f t="shared" si="65"/>
        <v>1093.5420000000001</v>
      </c>
      <c r="AH48" s="630"/>
      <c r="AI48" s="555">
        <f>SUMIF(USM!$C$8:$C$91,$D48,USM!$AI$8:$AI$91)</f>
        <v>0</v>
      </c>
      <c r="AJ48" s="630"/>
      <c r="AK48" s="625">
        <f t="shared" si="66"/>
        <v>1093.5420000000001</v>
      </c>
      <c r="AL48" s="630"/>
      <c r="AM48" s="555">
        <f>SUMIF(USM!$C$8:$C$91,$D48,USM!$AM$8:$AM$91)</f>
        <v>0</v>
      </c>
      <c r="AN48" s="630"/>
      <c r="AO48" s="2213">
        <f t="shared" ref="AO48:AO50" si="79">AE48+AI48+AM48</f>
        <v>0</v>
      </c>
      <c r="AP48" s="630"/>
      <c r="AQ48" s="625">
        <f t="shared" si="67"/>
        <v>1093.5420000000001</v>
      </c>
      <c r="AR48" s="630"/>
      <c r="AS48" s="555">
        <f>SUMIF(USM!$C$8:$C$91,$D48,USM!$AS$8:$AS$91)</f>
        <v>0</v>
      </c>
      <c r="AT48" s="630"/>
      <c r="AU48" s="625">
        <f t="shared" si="68"/>
        <v>1093.5420000000001</v>
      </c>
      <c r="AV48" s="630"/>
      <c r="AW48" s="555">
        <f>SUMIF(USM!$C$8:$C$91,$D48,USM!$AW$8:$AW$91)</f>
        <v>0</v>
      </c>
      <c r="AX48" s="630"/>
      <c r="AY48" s="625">
        <f t="shared" si="69"/>
        <v>1093.5420000000001</v>
      </c>
      <c r="AZ48" s="630"/>
      <c r="BA48" s="555">
        <f>SUMIF(USM!$C$8:$C$91,$D48,USM!$BA$8:$BA$91)</f>
        <v>0</v>
      </c>
      <c r="BB48" s="630"/>
      <c r="BC48" s="2213">
        <f t="shared" ref="BC48:BC50" si="80">AS48+AW48+BA48</f>
        <v>0</v>
      </c>
      <c r="BD48" s="2255"/>
      <c r="BE48" s="1172">
        <f t="shared" si="13"/>
        <v>0</v>
      </c>
      <c r="BF48" s="630"/>
      <c r="BG48" s="625">
        <f t="shared" si="14"/>
        <v>1093.5420000000001</v>
      </c>
      <c r="BH48" s="26"/>
      <c r="BI48" s="26"/>
      <c r="BJ48" s="26"/>
    </row>
    <row r="49" spans="3:62" x14ac:dyDescent="0.3">
      <c r="C49" s="5460" t="s">
        <v>109</v>
      </c>
      <c r="D49" s="5460" t="s">
        <v>2278</v>
      </c>
      <c r="E49" s="4747"/>
      <c r="F49" s="5460"/>
      <c r="G49" s="555">
        <f>SUMIF(USM!$C$8:$C$91,$D49,USM!$G$8:$G$91)</f>
        <v>0</v>
      </c>
      <c r="H49" s="555"/>
      <c r="I49" s="555">
        <f>SUMIF(USM!$C$8:$C$91,$D49,USM!$I$8:$I$91)</f>
        <v>0</v>
      </c>
      <c r="J49" s="625"/>
      <c r="K49" s="625">
        <f t="shared" ref="K49" si="81">+G49+I49</f>
        <v>0</v>
      </c>
      <c r="L49" s="555"/>
      <c r="M49" s="555">
        <f>SUMIF(USM!$C$8:$C$91,$D49,USM!$M$8:$M$91)</f>
        <v>229.86200000000002</v>
      </c>
      <c r="N49" s="630"/>
      <c r="O49" s="630">
        <f t="shared" ref="O49" si="82">+G49+I49+M49</f>
        <v>229.86200000000002</v>
      </c>
      <c r="P49" s="555"/>
      <c r="Q49" s="555">
        <f>SUMIF(USM!$C$8:$C$91,$D49,USM!$Q$8:$Q$91)</f>
        <v>0</v>
      </c>
      <c r="R49" s="630"/>
      <c r="S49" s="630">
        <f t="shared" ref="S49" si="83">O49+Q49</f>
        <v>229.86200000000002</v>
      </c>
      <c r="T49" s="555"/>
      <c r="U49" s="555">
        <f>SUMIF(USM!$C$8:$C$91,$D49,USM!$U$8:$U$91)</f>
        <v>0</v>
      </c>
      <c r="V49" s="630"/>
      <c r="W49" s="630">
        <f t="shared" ref="W49" si="84">S49+U49</f>
        <v>229.86200000000002</v>
      </c>
      <c r="X49" s="630"/>
      <c r="Y49" s="555">
        <f>SUMIF(USM!$C$8:$C$91,$D49,USM!$Y$8:$Y$91)</f>
        <v>0</v>
      </c>
      <c r="Z49" s="630"/>
      <c r="AA49" s="2213">
        <f>Q49+U49+Y49</f>
        <v>0</v>
      </c>
      <c r="AB49" s="2255"/>
      <c r="AC49" s="1172">
        <f t="shared" ref="AC49" si="85">O49+AA49</f>
        <v>229.86200000000002</v>
      </c>
      <c r="AD49" s="630"/>
      <c r="AE49" s="555">
        <f>SUMIF(USM!$C$8:$C$91,$D49,USM!$AE$8:$AE$91)</f>
        <v>0</v>
      </c>
      <c r="AF49" s="630"/>
      <c r="AG49" s="630">
        <f t="shared" ref="AG49" si="86">AC49+AE49</f>
        <v>229.86200000000002</v>
      </c>
      <c r="AH49" s="630"/>
      <c r="AI49" s="555">
        <f>SUMIF(USM!$C$8:$C$91,$D49,USM!$AI$8:$AI$91)</f>
        <v>0</v>
      </c>
      <c r="AJ49" s="630"/>
      <c r="AK49" s="625">
        <f t="shared" ref="AK49" si="87">AG49+AI49</f>
        <v>229.86200000000002</v>
      </c>
      <c r="AL49" s="630"/>
      <c r="AM49" s="555">
        <f>SUMIF(USM!$C$8:$C$91,$D49,USM!$AM$8:$AM$91)</f>
        <v>0</v>
      </c>
      <c r="AN49" s="630"/>
      <c r="AO49" s="2213">
        <f t="shared" ref="AO49" si="88">AE49+AI49+AM49</f>
        <v>0</v>
      </c>
      <c r="AP49" s="630"/>
      <c r="AQ49" s="625">
        <f t="shared" ref="AQ49" si="89">AK49+AM49</f>
        <v>229.86200000000002</v>
      </c>
      <c r="AR49" s="630"/>
      <c r="AS49" s="555">
        <f>SUMIF(USM!$C$8:$C$91,$D49,USM!$AS$8:$AS$91)</f>
        <v>0</v>
      </c>
      <c r="AT49" s="630"/>
      <c r="AU49" s="625">
        <f t="shared" ref="AU49" si="90">AQ49+AS49</f>
        <v>229.86200000000002</v>
      </c>
      <c r="AV49" s="630"/>
      <c r="AW49" s="555">
        <f>SUMIF(USM!$C$8:$C$91,$D49,USM!$AW$8:$AW$91)</f>
        <v>0</v>
      </c>
      <c r="AX49" s="630"/>
      <c r="AY49" s="625">
        <f t="shared" ref="AY49" si="91">AU49+AW49</f>
        <v>229.86200000000002</v>
      </c>
      <c r="AZ49" s="630"/>
      <c r="BA49" s="555">
        <f>SUMIF(USM!$C$8:$C$91,$D49,USM!$BA$8:$BA$91)</f>
        <v>0</v>
      </c>
      <c r="BB49" s="630"/>
      <c r="BC49" s="2213">
        <f t="shared" ref="BC49" si="92">AS49+AW49+BA49</f>
        <v>0</v>
      </c>
      <c r="BD49" s="2255"/>
      <c r="BE49" s="1172">
        <f t="shared" ref="BE49" si="93">AO49+BC49</f>
        <v>0</v>
      </c>
      <c r="BF49" s="630"/>
      <c r="BG49" s="625">
        <f t="shared" ref="BG49" si="94">AY49+BA49</f>
        <v>229.86200000000002</v>
      </c>
      <c r="BH49" s="26"/>
      <c r="BI49" s="26"/>
      <c r="BJ49" s="26"/>
    </row>
    <row r="50" spans="3:62" x14ac:dyDescent="0.3">
      <c r="C50" s="554" t="s">
        <v>109</v>
      </c>
      <c r="D50" s="554" t="s">
        <v>1617</v>
      </c>
      <c r="E50" s="4747"/>
      <c r="F50" s="554"/>
      <c r="G50" s="555">
        <f>SUMIF(USM!$C$8:$C$91,$D50,USM!$G$8:$G$91)</f>
        <v>0</v>
      </c>
      <c r="H50" s="555"/>
      <c r="I50" s="555">
        <f>SUMIF(USM!$C$8:$C$91,$D50,USM!$I$8:$I$91)</f>
        <v>332.20299999999997</v>
      </c>
      <c r="J50" s="625"/>
      <c r="K50" s="625">
        <f t="shared" si="53"/>
        <v>332.20299999999997</v>
      </c>
      <c r="L50" s="555"/>
      <c r="M50" s="555">
        <f>SUMIF(USM!$C$8:$C$91,$D50,USM!$M$8:$M$91)</f>
        <v>700.48399999999992</v>
      </c>
      <c r="N50" s="630"/>
      <c r="O50" s="630">
        <f t="shared" si="54"/>
        <v>1032.6869999999999</v>
      </c>
      <c r="P50" s="555"/>
      <c r="Q50" s="555">
        <f>SUMIF(USM!$C$8:$C$91,$D50,USM!$Q$8:$Q$91)</f>
        <v>934.69800000000009</v>
      </c>
      <c r="R50" s="630"/>
      <c r="S50" s="630">
        <f t="shared" si="30"/>
        <v>1967.385</v>
      </c>
      <c r="T50" s="555"/>
      <c r="U50" s="555">
        <f>SUMIF(USM!$C$8:$C$91,$D50,USM!$U$8:$U$91)</f>
        <v>84.19</v>
      </c>
      <c r="V50" s="630"/>
      <c r="W50" s="630">
        <f t="shared" si="64"/>
        <v>2051.5749999999998</v>
      </c>
      <c r="X50" s="630"/>
      <c r="Y50" s="555">
        <f>SUMIF(USM!$C$8:$C$91,$D50,USM!$Y$8:$Y$91)</f>
        <v>471.18099999999998</v>
      </c>
      <c r="Z50" s="630"/>
      <c r="AA50" s="2213">
        <f>Q50+U50+Y50</f>
        <v>1490.0690000000002</v>
      </c>
      <c r="AB50" s="2255"/>
      <c r="AC50" s="1172">
        <f t="shared" si="52"/>
        <v>2522.7560000000003</v>
      </c>
      <c r="AD50" s="630"/>
      <c r="AE50" s="555">
        <f>SUMIF(USM!$C$8:$C$91,$D50,USM!$AE$8:$AE$91)</f>
        <v>0</v>
      </c>
      <c r="AF50" s="630"/>
      <c r="AG50" s="630">
        <f t="shared" si="65"/>
        <v>2522.7560000000003</v>
      </c>
      <c r="AH50" s="630"/>
      <c r="AI50" s="555">
        <f>SUMIF(USM!$C$8:$C$91,$D50,USM!$AI$8:$AI$91)</f>
        <v>0</v>
      </c>
      <c r="AJ50" s="630"/>
      <c r="AK50" s="625">
        <f t="shared" si="66"/>
        <v>2522.7560000000003</v>
      </c>
      <c r="AL50" s="630"/>
      <c r="AM50" s="555">
        <f>SUMIF(USM!$C$8:$C$91,$D50,USM!$AM$8:$AM$91)</f>
        <v>0</v>
      </c>
      <c r="AN50" s="630"/>
      <c r="AO50" s="2213">
        <f t="shared" si="79"/>
        <v>0</v>
      </c>
      <c r="AP50" s="630"/>
      <c r="AQ50" s="625">
        <f t="shared" si="67"/>
        <v>2522.7560000000003</v>
      </c>
      <c r="AR50" s="630"/>
      <c r="AS50" s="555">
        <f>SUMIF(USM!$C$8:$C$91,$D50,USM!$AS$8:$AS$91)</f>
        <v>558.58299999999997</v>
      </c>
      <c r="AT50" s="630"/>
      <c r="AU50" s="625">
        <f t="shared" si="68"/>
        <v>3081.3390000000004</v>
      </c>
      <c r="AV50" s="630"/>
      <c r="AW50" s="555">
        <f>SUMIF(USM!$C$8:$C$91,$D50,USM!$AW$8:$AW$91)</f>
        <v>0</v>
      </c>
      <c r="AX50" s="630"/>
      <c r="AY50" s="625">
        <f t="shared" si="69"/>
        <v>3081.3390000000004</v>
      </c>
      <c r="AZ50" s="630"/>
      <c r="BA50" s="555">
        <f>SUMIF(USM!$C$8:$C$91,$D50,USM!$BA$8:$BA$91)</f>
        <v>0</v>
      </c>
      <c r="BB50" s="630"/>
      <c r="BC50" s="2213">
        <f t="shared" si="80"/>
        <v>558.58299999999997</v>
      </c>
      <c r="BD50" s="2255"/>
      <c r="BE50" s="1172">
        <f t="shared" si="13"/>
        <v>558.58299999999997</v>
      </c>
      <c r="BF50" s="630"/>
      <c r="BG50" s="625">
        <f t="shared" si="14"/>
        <v>3081.3390000000004</v>
      </c>
      <c r="BH50" s="26"/>
      <c r="BI50" s="26"/>
      <c r="BJ50" s="26"/>
    </row>
    <row r="51" spans="3:62" x14ac:dyDescent="0.3">
      <c r="C51" s="6415" t="s">
        <v>969</v>
      </c>
      <c r="D51" s="6415"/>
      <c r="E51" s="4747"/>
      <c r="F51" s="634"/>
      <c r="G51" s="635">
        <f>SUM(G46:G50)</f>
        <v>16021.444</v>
      </c>
      <c r="H51" s="635"/>
      <c r="I51" s="635">
        <f>SUM(I46:I50)</f>
        <v>15839.254999999999</v>
      </c>
      <c r="J51" s="635"/>
      <c r="K51" s="636">
        <f>SUM(K46:K50)</f>
        <v>31860.699000000001</v>
      </c>
      <c r="L51" s="635"/>
      <c r="M51" s="635">
        <f>SUM(M46:M50)</f>
        <v>19215.288000000004</v>
      </c>
      <c r="N51" s="635"/>
      <c r="O51" s="635">
        <f>SUM(O46:O50)</f>
        <v>51075.986999999994</v>
      </c>
      <c r="P51" s="635"/>
      <c r="Q51" s="635">
        <f>SUM(Q46:Q50)</f>
        <v>16036.980999999998</v>
      </c>
      <c r="R51" s="635"/>
      <c r="S51" s="635">
        <f>SUM(S46:S46)</f>
        <v>53363.787999999993</v>
      </c>
      <c r="T51" s="635"/>
      <c r="U51" s="635">
        <f>SUM(U46:U50)</f>
        <v>8116.2939999999999</v>
      </c>
      <c r="V51" s="635"/>
      <c r="W51" s="635">
        <f>SUM(W46:W46)</f>
        <v>59164.792999999991</v>
      </c>
      <c r="X51" s="635"/>
      <c r="Y51" s="635">
        <f>SUM(Y46:Y50)</f>
        <v>12019.439000000002</v>
      </c>
      <c r="Z51" s="635"/>
      <c r="AA51" s="2214">
        <f>SUM(AA46:AA50)</f>
        <v>36172.714000000007</v>
      </c>
      <c r="AB51" s="2255"/>
      <c r="AC51" s="2214">
        <f>SUM(AC46:AC50)</f>
        <v>87248.700999999986</v>
      </c>
      <c r="AD51" s="635"/>
      <c r="AE51" s="635">
        <f>SUM(AE46:AE50)</f>
        <v>8002.4250000000011</v>
      </c>
      <c r="AF51" s="635"/>
      <c r="AG51" s="635">
        <f>SUM(AG46:AG46)</f>
        <v>78585.650999999998</v>
      </c>
      <c r="AH51" s="635"/>
      <c r="AI51" s="635">
        <f>SUM(AI46:AI50)</f>
        <v>148.166</v>
      </c>
      <c r="AJ51" s="635"/>
      <c r="AK51" s="635">
        <f>SUM(AK46:AK46)</f>
        <v>78733.816999999995</v>
      </c>
      <c r="AL51" s="635"/>
      <c r="AM51" s="635">
        <f>SUM(AM46:AM50)</f>
        <v>12975.643</v>
      </c>
      <c r="AN51" s="635"/>
      <c r="AO51" s="2214">
        <f>SUM(AO46:AO50)</f>
        <v>21126.234</v>
      </c>
      <c r="AP51" s="635"/>
      <c r="AQ51" s="635">
        <f>SUM(AQ46:AQ46)</f>
        <v>87878.53</v>
      </c>
      <c r="AR51" s="635"/>
      <c r="AS51" s="635">
        <f>SUM(AS46:AS50)</f>
        <v>12975.129000000003</v>
      </c>
      <c r="AT51" s="635"/>
      <c r="AU51" s="635">
        <f>SUM(AU46:AU50)</f>
        <v>121350.064</v>
      </c>
      <c r="AV51" s="630"/>
      <c r="AW51" s="635">
        <f>SUM(AW46:AW50)</f>
        <v>20259.483999999997</v>
      </c>
      <c r="AX51" s="635"/>
      <c r="AY51" s="635">
        <f>SUM(AY46:AY50)</f>
        <v>141609.54799999998</v>
      </c>
      <c r="AZ51" s="630"/>
      <c r="BA51" s="635">
        <f>SUM(BA46:BA50)</f>
        <v>17338.660999999996</v>
      </c>
      <c r="BB51" s="630"/>
      <c r="BC51" s="2214">
        <f>SUM(BC46:BC50)</f>
        <v>50573.273999999998</v>
      </c>
      <c r="BD51" s="2255"/>
      <c r="BE51" s="2214">
        <f>SUM(BE46:BE50)</f>
        <v>71699.508000000002</v>
      </c>
      <c r="BF51" s="630"/>
      <c r="BG51" s="635">
        <f>SUM(BG46:BG50)</f>
        <v>158948.209</v>
      </c>
      <c r="BH51" s="1219"/>
      <c r="BI51" s="26"/>
      <c r="BJ51" s="26"/>
    </row>
    <row r="52" spans="3:62" x14ac:dyDescent="0.3">
      <c r="C52" s="554" t="s">
        <v>978</v>
      </c>
      <c r="D52" s="554" t="s">
        <v>945</v>
      </c>
      <c r="E52" s="4747"/>
      <c r="F52" s="554"/>
      <c r="G52" s="581">
        <f>SUMIF('Value added steel '!$D$56:$D$78,'Special steel '!$D52,'Value added steel '!$G$56:$G$78)</f>
        <v>0</v>
      </c>
      <c r="H52" s="581"/>
      <c r="I52" s="581">
        <f>SUMIF('Value added steel '!$D$56:$D$78,'Special steel '!$D52,'Value added steel '!$I$56:$I$78)</f>
        <v>0</v>
      </c>
      <c r="J52" s="625"/>
      <c r="K52" s="625">
        <f t="shared" si="53"/>
        <v>0</v>
      </c>
      <c r="L52" s="581"/>
      <c r="M52" s="581">
        <f>SUMIF('Value added steel '!$D$56:$D$78,'Special steel '!$D52,'Value added steel '!$M$56:$M$78)</f>
        <v>0</v>
      </c>
      <c r="N52" s="630"/>
      <c r="O52" s="630">
        <f t="shared" si="54"/>
        <v>0</v>
      </c>
      <c r="P52" s="581"/>
      <c r="Q52" s="581">
        <f>SUMIF('Value added steel '!$D$56:$D$78,'Special steel '!$D52,'Value added steel '!$Q$56:$Q$78)</f>
        <v>0</v>
      </c>
      <c r="R52" s="630"/>
      <c r="S52" s="630">
        <f t="shared" si="30"/>
        <v>0</v>
      </c>
      <c r="T52" s="581"/>
      <c r="U52" s="581">
        <f>SUMIF('Value added steel '!$D$56:$D$78,'Special steel '!$D52,'Value added steel '!$U$56:$U$78)</f>
        <v>0</v>
      </c>
      <c r="V52" s="630"/>
      <c r="W52" s="630">
        <f t="shared" ref="W52:W68" si="95">S52+U52</f>
        <v>0</v>
      </c>
      <c r="X52" s="630"/>
      <c r="Y52" s="581">
        <f>SUMIF('Value added steel '!$D$56:$D$78,'Special steel '!$D52,'Value added steel '!$Y$56:$Y$78)</f>
        <v>0</v>
      </c>
      <c r="Z52" s="630"/>
      <c r="AA52" s="2213">
        <f>Q52+U52+Y52</f>
        <v>0</v>
      </c>
      <c r="AB52" s="2255"/>
      <c r="AC52" s="1172">
        <f t="shared" si="52"/>
        <v>0</v>
      </c>
      <c r="AD52" s="630"/>
      <c r="AE52" s="581">
        <f>SUMIF('Value added steel '!$D$56:$D$78,'Special steel '!$D52,'Value added steel '!$AE$56:$AE$78)</f>
        <v>0</v>
      </c>
      <c r="AF52" s="630"/>
      <c r="AG52" s="630">
        <f t="shared" ref="AG52:AG68" si="96">AC52+AE52</f>
        <v>0</v>
      </c>
      <c r="AH52" s="630"/>
      <c r="AI52" s="581">
        <f>SUMIF('Value added steel '!$D$56:$D$78,'Special steel '!$D52,'Value added steel '!$AI$56:$AI$78)</f>
        <v>0</v>
      </c>
      <c r="AJ52" s="630"/>
      <c r="AK52" s="625">
        <f t="shared" ref="AK52:AK68" si="97">AG52+AI52</f>
        <v>0</v>
      </c>
      <c r="AL52" s="630"/>
      <c r="AM52" s="581">
        <f>SUMIF('Value added steel '!$D$56:$D$78,'Special steel '!$D52,'Value added steel '!$AM$56:$AM$78)</f>
        <v>0</v>
      </c>
      <c r="AN52" s="630"/>
      <c r="AO52" s="2213">
        <f>AE52+AI52+AM52</f>
        <v>0</v>
      </c>
      <c r="AP52" s="630"/>
      <c r="AQ52" s="625">
        <f t="shared" ref="AQ52:AQ68" si="98">AK52+AM52</f>
        <v>0</v>
      </c>
      <c r="AR52" s="630"/>
      <c r="AS52" s="581">
        <f>SUMIF('Value added steel '!$D$56:$D$78,'Special steel '!$D52,'Value added steel '!$AS$56:$AS$78)</f>
        <v>0</v>
      </c>
      <c r="AT52" s="630"/>
      <c r="AU52" s="625">
        <f t="shared" ref="AU52:AU68" si="99">AQ52+AS52</f>
        <v>0</v>
      </c>
      <c r="AV52" s="630"/>
      <c r="AW52" s="581">
        <f>SUMIF('Value added steel '!$D$56:$D$78,'Special steel '!$D52,'Value added steel '!$AW$56:$AW$78)</f>
        <v>0</v>
      </c>
      <c r="AX52" s="630"/>
      <c r="AY52" s="625">
        <f t="shared" ref="AY52:AY68" si="100">AU52+AW52</f>
        <v>0</v>
      </c>
      <c r="AZ52" s="630"/>
      <c r="BA52" s="581">
        <f>SUMIF('Value added steel '!$D$56:$D$78,'Special steel '!$D52,'Value added steel '!$BA$56:$BA$78)</f>
        <v>0</v>
      </c>
      <c r="BB52" s="630"/>
      <c r="BC52" s="2213">
        <f>AS52+AW52+BA52</f>
        <v>0</v>
      </c>
      <c r="BD52" s="2255"/>
      <c r="BE52" s="1172">
        <f t="shared" si="13"/>
        <v>0</v>
      </c>
      <c r="BF52" s="630"/>
      <c r="BG52" s="625">
        <f t="shared" si="14"/>
        <v>0</v>
      </c>
      <c r="BH52" s="26"/>
      <c r="BI52" s="26"/>
      <c r="BJ52" s="26"/>
    </row>
    <row r="53" spans="3:62" x14ac:dyDescent="0.3">
      <c r="C53" s="554" t="s">
        <v>978</v>
      </c>
      <c r="D53" s="554" t="s">
        <v>1275</v>
      </c>
      <c r="E53" s="4747"/>
      <c r="F53" s="554"/>
      <c r="G53" s="581">
        <f>SUMIF('Value added steel '!$D$56:$D$78,'Special steel '!$D53,'Value added steel '!$G$56:$G$78)</f>
        <v>0</v>
      </c>
      <c r="H53" s="581"/>
      <c r="I53" s="581">
        <f>SUMIF('Value added steel '!$D$56:$D$78,'Special steel '!$D53,'Value added steel '!$I$56:$I$78)</f>
        <v>0</v>
      </c>
      <c r="J53" s="625"/>
      <c r="K53" s="625">
        <f t="shared" si="53"/>
        <v>0</v>
      </c>
      <c r="L53" s="581"/>
      <c r="M53" s="581">
        <f>SUMIF('Value added steel '!$D$56:$D$78,'Special steel '!$D53,'Value added steel '!$M$56:$M$78)</f>
        <v>0</v>
      </c>
      <c r="N53" s="630"/>
      <c r="O53" s="630">
        <f t="shared" si="54"/>
        <v>0</v>
      </c>
      <c r="P53" s="581"/>
      <c r="Q53" s="581">
        <f>SUMIF('Value added steel '!$D$56:$D$78,'Special steel '!$D53,'Value added steel '!$Q$56:$Q$78)</f>
        <v>0</v>
      </c>
      <c r="R53" s="630"/>
      <c r="S53" s="630">
        <f t="shared" si="30"/>
        <v>0</v>
      </c>
      <c r="T53" s="581"/>
      <c r="U53" s="581">
        <f>SUMIF('Value added steel '!$D$56:$D$78,'Special steel '!$D53,'Value added steel '!$U$56:$U$78)</f>
        <v>0</v>
      </c>
      <c r="V53" s="630"/>
      <c r="W53" s="630">
        <f t="shared" si="95"/>
        <v>0</v>
      </c>
      <c r="X53" s="630"/>
      <c r="Y53" s="581">
        <f>SUMIF('Value added steel '!$D$56:$D$78,'Special steel '!$D53,'Value added steel '!$Y$56:$Y$78)</f>
        <v>0</v>
      </c>
      <c r="Z53" s="630"/>
      <c r="AA53" s="2213">
        <f t="shared" ref="AA53:AA67" si="101">Q53+U53+Y53</f>
        <v>0</v>
      </c>
      <c r="AB53" s="2255"/>
      <c r="AC53" s="1172">
        <f t="shared" ref="AC53:AC67" si="102">O53+AA53</f>
        <v>0</v>
      </c>
      <c r="AD53" s="630"/>
      <c r="AE53" s="581">
        <f>SUMIF('Value added steel '!$D$56:$D$78,'Special steel '!$D53,'Value added steel '!$AE$56:$AE$78)</f>
        <v>0</v>
      </c>
      <c r="AF53" s="630"/>
      <c r="AG53" s="630">
        <f t="shared" si="96"/>
        <v>0</v>
      </c>
      <c r="AH53" s="630"/>
      <c r="AI53" s="581">
        <f>SUMIF('Value added steel '!$D$56:$D$78,'Special steel '!$D53,'Value added steel '!$AI$56:$AI$78)</f>
        <v>0</v>
      </c>
      <c r="AJ53" s="630"/>
      <c r="AK53" s="625">
        <f t="shared" si="97"/>
        <v>0</v>
      </c>
      <c r="AL53" s="630"/>
      <c r="AM53" s="581">
        <f>SUMIF('Value added steel '!$D$56:$D$78,'Special steel '!$D53,'Value added steel '!$AM$56:$AM$78)</f>
        <v>0</v>
      </c>
      <c r="AN53" s="630"/>
      <c r="AO53" s="2213">
        <f t="shared" ref="AO53:AO68" si="103">AE53+AI53+AM53</f>
        <v>0</v>
      </c>
      <c r="AP53" s="630"/>
      <c r="AQ53" s="625">
        <f t="shared" si="98"/>
        <v>0</v>
      </c>
      <c r="AR53" s="630"/>
      <c r="AS53" s="581">
        <f>SUMIF('Value added steel '!$D$56:$D$78,'Special steel '!$D53,'Value added steel '!$AS$56:$AS$78)</f>
        <v>0</v>
      </c>
      <c r="AT53" s="630"/>
      <c r="AU53" s="625">
        <f t="shared" si="99"/>
        <v>0</v>
      </c>
      <c r="AV53" s="630"/>
      <c r="AW53" s="581">
        <f>SUMIF('Value added steel '!$D$56:$D$78,'Special steel '!$D53,'Value added steel '!$AW$56:$AW$78)</f>
        <v>0</v>
      </c>
      <c r="AX53" s="630"/>
      <c r="AY53" s="625">
        <f t="shared" si="100"/>
        <v>0</v>
      </c>
      <c r="AZ53" s="630"/>
      <c r="BA53" s="581">
        <f>SUMIF('Value added steel '!$D$56:$D$78,'Special steel '!$D53,'Value added steel '!$BA$56:$BA$78)</f>
        <v>0</v>
      </c>
      <c r="BB53" s="630"/>
      <c r="BC53" s="2213">
        <f t="shared" ref="BC53:BC68" si="104">AS53+AW53+BA53</f>
        <v>0</v>
      </c>
      <c r="BD53" s="2255"/>
      <c r="BE53" s="1172">
        <f t="shared" si="13"/>
        <v>0</v>
      </c>
      <c r="BF53" s="630"/>
      <c r="BG53" s="625">
        <f t="shared" si="14"/>
        <v>0</v>
      </c>
      <c r="BH53" s="26"/>
      <c r="BI53" s="26"/>
    </row>
    <row r="54" spans="3:62" x14ac:dyDescent="0.3">
      <c r="C54" s="2825" t="s">
        <v>978</v>
      </c>
      <c r="D54" s="2825" t="s">
        <v>1925</v>
      </c>
      <c r="E54" s="4747"/>
      <c r="F54" s="2825"/>
      <c r="G54" s="581">
        <f>SUMIF('Value added steel '!$D$56:$D$78,'Special steel '!$D54,'Value added steel '!$G$56:$G$78)</f>
        <v>0</v>
      </c>
      <c r="H54" s="581"/>
      <c r="I54" s="581">
        <f>SUMIF('Value added steel '!$D$56:$D$78,'Special steel '!$D54,'Value added steel '!$I$56:$I$78)</f>
        <v>0</v>
      </c>
      <c r="J54" s="625"/>
      <c r="K54" s="625">
        <f t="shared" ref="K54" si="105">+G54+I54</f>
        <v>0</v>
      </c>
      <c r="L54" s="581"/>
      <c r="M54" s="581">
        <f>SUMIF('Value added steel '!$D$56:$D$78,'Special steel '!$D54,'Value added steel '!$M$56:$M$78)</f>
        <v>0</v>
      </c>
      <c r="N54" s="630"/>
      <c r="O54" s="630">
        <f t="shared" si="54"/>
        <v>0</v>
      </c>
      <c r="P54" s="2695"/>
      <c r="Q54" s="581">
        <f>SUMIF('Value added steel '!$D$56:$D$78,'Special steel '!$D54,'Value added steel '!$Q$56:$Q$78)</f>
        <v>0</v>
      </c>
      <c r="R54" s="2829"/>
      <c r="S54" s="630">
        <f t="shared" si="30"/>
        <v>0</v>
      </c>
      <c r="T54" s="2695"/>
      <c r="U54" s="581">
        <f>SUMIF('Value added steel '!$D$56:$D$78,'Special steel '!$D54,'Value added steel '!$U$56:$U$78)</f>
        <v>0</v>
      </c>
      <c r="V54" s="2829"/>
      <c r="W54" s="630">
        <f t="shared" si="95"/>
        <v>0</v>
      </c>
      <c r="X54" s="2829"/>
      <c r="Y54" s="581">
        <f>SUMIF('Value added steel '!$D$56:$D$78,'Special steel '!$D54,'Value added steel '!$Y$56:$Y$78)</f>
        <v>0</v>
      </c>
      <c r="Z54" s="2829"/>
      <c r="AA54" s="2213">
        <f t="shared" si="101"/>
        <v>0</v>
      </c>
      <c r="AB54" s="2255"/>
      <c r="AC54" s="1172">
        <f t="shared" si="102"/>
        <v>0</v>
      </c>
      <c r="AD54" s="2829"/>
      <c r="AE54" s="581">
        <f>SUMIF('Value added steel '!$D$56:$D$78,'Special steel '!$D54,'Value added steel '!$AE$56:$AE$78)</f>
        <v>0</v>
      </c>
      <c r="AF54" s="2829"/>
      <c r="AG54" s="2829"/>
      <c r="AH54" s="2829"/>
      <c r="AI54" s="581">
        <f>SUMIF('Value added steel '!$D$56:$D$78,'Special steel '!$D54,'Value added steel '!$AI$56:$AI$78)</f>
        <v>0</v>
      </c>
      <c r="AJ54" s="2829"/>
      <c r="AK54" s="625">
        <f t="shared" si="97"/>
        <v>0</v>
      </c>
      <c r="AL54" s="2829"/>
      <c r="AM54" s="581">
        <f>SUMIF('Value added steel '!$D$56:$D$78,'Special steel '!$D54,'Value added steel '!$AM$56:$AM$78)</f>
        <v>109.928</v>
      </c>
      <c r="AN54" s="2829"/>
      <c r="AO54" s="2213">
        <f t="shared" si="103"/>
        <v>109.928</v>
      </c>
      <c r="AP54" s="2829"/>
      <c r="AQ54" s="625">
        <f t="shared" si="98"/>
        <v>109.928</v>
      </c>
      <c r="AR54" s="2829"/>
      <c r="AS54" s="581">
        <f>SUMIF('Value added steel '!$D$56:$D$78,'Special steel '!$D54,'Value added steel '!$AS$56:$AS$78)</f>
        <v>0</v>
      </c>
      <c r="AT54" s="2829"/>
      <c r="AU54" s="625">
        <f t="shared" si="99"/>
        <v>109.928</v>
      </c>
      <c r="AV54" s="630"/>
      <c r="AW54" s="581">
        <f>SUMIF('Value added steel '!$D$56:$D$78,'Special steel '!$D54,'Value added steel '!$AW$56:$AW$78)</f>
        <v>0</v>
      </c>
      <c r="AX54" s="2829"/>
      <c r="AY54" s="625">
        <f t="shared" si="100"/>
        <v>109.928</v>
      </c>
      <c r="AZ54" s="630"/>
      <c r="BA54" s="581">
        <f>SUMIF('Value added steel '!$D$56:$D$78,'Special steel '!$D54,'Value added steel '!$BA$56:$BA$78)</f>
        <v>0</v>
      </c>
      <c r="BB54" s="630"/>
      <c r="BC54" s="2213">
        <f t="shared" si="104"/>
        <v>0</v>
      </c>
      <c r="BD54" s="2255"/>
      <c r="BE54" s="1172">
        <f t="shared" si="13"/>
        <v>109.928</v>
      </c>
      <c r="BF54" s="630"/>
      <c r="BG54" s="625">
        <f t="shared" si="14"/>
        <v>109.928</v>
      </c>
      <c r="BH54" s="26"/>
      <c r="BI54" s="26"/>
    </row>
    <row r="55" spans="3:62" x14ac:dyDescent="0.3">
      <c r="C55" s="554" t="s">
        <v>978</v>
      </c>
      <c r="D55" s="554" t="s">
        <v>1108</v>
      </c>
      <c r="E55" s="4747"/>
      <c r="F55" s="554"/>
      <c r="G55" s="581">
        <f>SUMIF('Value added steel '!$D$56:$D$78,'Special steel '!$D55,'Value added steel '!$G$56:$G$78)</f>
        <v>685</v>
      </c>
      <c r="H55" s="581"/>
      <c r="I55" s="581">
        <f>SUMIF('Value added steel '!$D$56:$D$78,'Special steel '!$D55,'Value added steel '!$I$56:$I$78)</f>
        <v>480</v>
      </c>
      <c r="J55" s="625"/>
      <c r="K55" s="625">
        <f t="shared" si="53"/>
        <v>1165</v>
      </c>
      <c r="L55" s="581"/>
      <c r="M55" s="581">
        <f>SUMIF('Value added steel '!$D$56:$D$78,'Special steel '!$D55,'Value added steel '!$M$56:$M$78)</f>
        <v>613</v>
      </c>
      <c r="N55" s="630"/>
      <c r="O55" s="630">
        <f t="shared" si="54"/>
        <v>1778</v>
      </c>
      <c r="P55" s="581"/>
      <c r="Q55" s="581">
        <f>SUMIF('Value added steel '!$D$56:$D$78,'Special steel '!$D55,'Value added steel '!$Q$56:$Q$78)</f>
        <v>0</v>
      </c>
      <c r="R55" s="630"/>
      <c r="S55" s="630">
        <f t="shared" si="30"/>
        <v>1778</v>
      </c>
      <c r="T55" s="581"/>
      <c r="U55" s="581">
        <f>SUMIF('Value added steel '!$D$56:$D$78,'Special steel '!$D55,'Value added steel '!$U$56:$U$78)</f>
        <v>0</v>
      </c>
      <c r="V55" s="630"/>
      <c r="W55" s="630">
        <f t="shared" si="95"/>
        <v>1778</v>
      </c>
      <c r="X55" s="630"/>
      <c r="Y55" s="581">
        <f>SUMIF('Value added steel '!$D$56:$D$78,'Special steel '!$D55,'Value added steel '!$Y$56:$Y$78)</f>
        <v>0</v>
      </c>
      <c r="Z55" s="630"/>
      <c r="AA55" s="2213">
        <f t="shared" si="101"/>
        <v>0</v>
      </c>
      <c r="AB55" s="2255"/>
      <c r="AC55" s="1172">
        <f t="shared" si="102"/>
        <v>1778</v>
      </c>
      <c r="AD55" s="630"/>
      <c r="AE55" s="581">
        <f>SUMIF('Value added steel '!$D$56:$D$78,'Special steel '!$D55,'Value added steel '!$AE$56:$AE$78)</f>
        <v>0</v>
      </c>
      <c r="AF55" s="630"/>
      <c r="AG55" s="630">
        <f t="shared" si="96"/>
        <v>1778</v>
      </c>
      <c r="AH55" s="630"/>
      <c r="AI55" s="581">
        <f>SUMIF('Value added steel '!$D$56:$D$78,'Special steel '!$D55,'Value added steel '!$AI$56:$AI$78)</f>
        <v>0</v>
      </c>
      <c r="AJ55" s="630"/>
      <c r="AK55" s="625">
        <f t="shared" si="97"/>
        <v>1778</v>
      </c>
      <c r="AL55" s="630"/>
      <c r="AM55" s="581">
        <f>SUMIF('Value added steel '!$D$56:$D$78,'Special steel '!$D55,'Value added steel '!$AM$56:$AM$78)</f>
        <v>0</v>
      </c>
      <c r="AN55" s="630"/>
      <c r="AO55" s="2213">
        <f t="shared" si="103"/>
        <v>0</v>
      </c>
      <c r="AP55" s="630"/>
      <c r="AQ55" s="625">
        <f t="shared" si="98"/>
        <v>1778</v>
      </c>
      <c r="AR55" s="630"/>
      <c r="AS55" s="581">
        <f>SUMIF('Value added steel '!$D$56:$D$78,'Special steel '!$D55,'Value added steel '!$AS$56:$AS$78)</f>
        <v>0</v>
      </c>
      <c r="AT55" s="630"/>
      <c r="AU55" s="625">
        <f t="shared" si="99"/>
        <v>1778</v>
      </c>
      <c r="AV55" s="630"/>
      <c r="AW55" s="581">
        <f>SUMIF('Value added steel '!$D$56:$D$78,'Special steel '!$D55,'Value added steel '!$AW$56:$AW$78)</f>
        <v>0</v>
      </c>
      <c r="AX55" s="630"/>
      <c r="AY55" s="625">
        <f t="shared" si="100"/>
        <v>1778</v>
      </c>
      <c r="AZ55" s="630"/>
      <c r="BA55" s="581">
        <f>SUMIF('Value added steel '!$D$56:$D$78,'Special steel '!$D55,'Value added steel '!$BA$56:$BA$78)</f>
        <v>0</v>
      </c>
      <c r="BB55" s="630"/>
      <c r="BC55" s="2213">
        <f t="shared" si="104"/>
        <v>0</v>
      </c>
      <c r="BD55" s="2255"/>
      <c r="BE55" s="1172">
        <f t="shared" si="13"/>
        <v>0</v>
      </c>
      <c r="BF55" s="630"/>
      <c r="BG55" s="625">
        <f t="shared" si="14"/>
        <v>1778</v>
      </c>
      <c r="BH55" s="26"/>
      <c r="BI55" s="26"/>
    </row>
    <row r="56" spans="3:62" x14ac:dyDescent="0.3">
      <c r="C56" s="554" t="s">
        <v>978</v>
      </c>
      <c r="D56" s="554" t="s">
        <v>1103</v>
      </c>
      <c r="E56" s="4747"/>
      <c r="F56" s="554"/>
      <c r="G56" s="581">
        <f>SUMIF('Value added steel '!$D$56:$D$78,'Special steel '!$D56,'Value added steel '!$G$56:$G$78)</f>
        <v>0</v>
      </c>
      <c r="H56" s="581"/>
      <c r="I56" s="581">
        <f>SUMIF('Value added steel '!$D$56:$D$78,'Special steel '!$D56,'Value added steel '!$I$56:$I$78)</f>
        <v>0</v>
      </c>
      <c r="J56" s="625"/>
      <c r="K56" s="625">
        <f t="shared" si="53"/>
        <v>0</v>
      </c>
      <c r="L56" s="581"/>
      <c r="M56" s="581">
        <f>SUMIF('Value added steel '!$D$56:$D$78,'Special steel '!$D56,'Value added steel '!$M$56:$M$78)</f>
        <v>0</v>
      </c>
      <c r="N56" s="630"/>
      <c r="O56" s="630">
        <f t="shared" si="54"/>
        <v>0</v>
      </c>
      <c r="P56" s="581"/>
      <c r="Q56" s="581">
        <f>SUMIF('Value added steel '!$D$56:$D$78,'Special steel '!$D56,'Value added steel '!$Q$56:$Q$78)</f>
        <v>0</v>
      </c>
      <c r="R56" s="630"/>
      <c r="S56" s="630">
        <f t="shared" si="30"/>
        <v>0</v>
      </c>
      <c r="T56" s="581"/>
      <c r="U56" s="581">
        <f>SUMIF('Value added steel '!$D$56:$D$78,'Special steel '!$D56,'Value added steel '!$U$56:$U$78)</f>
        <v>0</v>
      </c>
      <c r="V56" s="630"/>
      <c r="W56" s="630">
        <f t="shared" si="95"/>
        <v>0</v>
      </c>
      <c r="X56" s="630"/>
      <c r="Y56" s="581">
        <f>SUMIF('Value added steel '!$D$56:$D$78,'Special steel '!$D56,'Value added steel '!$Y$56:$Y$78)</f>
        <v>0</v>
      </c>
      <c r="Z56" s="630"/>
      <c r="AA56" s="2213">
        <f t="shared" si="101"/>
        <v>0</v>
      </c>
      <c r="AB56" s="2255"/>
      <c r="AC56" s="1172">
        <f t="shared" si="102"/>
        <v>0</v>
      </c>
      <c r="AD56" s="630"/>
      <c r="AE56" s="581">
        <f>SUMIF('Value added steel '!$D$56:$D$78,'Special steel '!$D56,'Value added steel '!$AE$56:$AE$78)</f>
        <v>0</v>
      </c>
      <c r="AF56" s="630"/>
      <c r="AG56" s="630">
        <f t="shared" si="96"/>
        <v>0</v>
      </c>
      <c r="AH56" s="630"/>
      <c r="AI56" s="581">
        <f>SUMIF('Value added steel '!$D$56:$D$78,'Special steel '!$D56,'Value added steel '!$AI$56:$AI$78)</f>
        <v>0</v>
      </c>
      <c r="AJ56" s="630"/>
      <c r="AK56" s="625">
        <f t="shared" si="97"/>
        <v>0</v>
      </c>
      <c r="AL56" s="630"/>
      <c r="AM56" s="581">
        <f>SUMIF('Value added steel '!$D$56:$D$78,'Special steel '!$D56,'Value added steel '!$AM$56:$AM$78)</f>
        <v>0</v>
      </c>
      <c r="AN56" s="630"/>
      <c r="AO56" s="2213">
        <f t="shared" si="103"/>
        <v>0</v>
      </c>
      <c r="AP56" s="630"/>
      <c r="AQ56" s="625">
        <f t="shared" si="98"/>
        <v>0</v>
      </c>
      <c r="AR56" s="630"/>
      <c r="AS56" s="581">
        <f>SUMIF('Value added steel '!$D$56:$D$78,'Special steel '!$D56,'Value added steel '!$AS$56:$AS$78)</f>
        <v>0</v>
      </c>
      <c r="AT56" s="630"/>
      <c r="AU56" s="625">
        <f t="shared" si="99"/>
        <v>0</v>
      </c>
      <c r="AV56" s="630"/>
      <c r="AW56" s="581">
        <f>SUMIF('Value added steel '!$D$56:$D$78,'Special steel '!$D56,'Value added steel '!$AW$56:$AW$78)</f>
        <v>0</v>
      </c>
      <c r="AX56" s="630"/>
      <c r="AY56" s="625">
        <f t="shared" si="100"/>
        <v>0</v>
      </c>
      <c r="AZ56" s="630"/>
      <c r="BA56" s="581">
        <f>SUMIF('Value added steel '!$D$56:$D$78,'Special steel '!$D56,'Value added steel '!$BA$56:$BA$78)</f>
        <v>0</v>
      </c>
      <c r="BB56" s="630"/>
      <c r="BC56" s="2213">
        <f t="shared" si="104"/>
        <v>0</v>
      </c>
      <c r="BD56" s="2255"/>
      <c r="BE56" s="1172">
        <f t="shared" si="13"/>
        <v>0</v>
      </c>
      <c r="BF56" s="630"/>
      <c r="BG56" s="625">
        <f t="shared" si="14"/>
        <v>0</v>
      </c>
      <c r="BH56" s="26"/>
      <c r="BI56" s="26"/>
    </row>
    <row r="57" spans="3:62" x14ac:dyDescent="0.3">
      <c r="C57" s="554" t="s">
        <v>978</v>
      </c>
      <c r="D57" s="554" t="s">
        <v>1075</v>
      </c>
      <c r="E57" s="4747"/>
      <c r="F57" s="554"/>
      <c r="G57" s="581">
        <f>SUMIF('Value added steel '!$D$56:$D$78,'Special steel '!$D57,'Value added steel '!$G$56:$G$78)</f>
        <v>0</v>
      </c>
      <c r="H57" s="581"/>
      <c r="I57" s="581">
        <f>SUMIF('Value added steel '!$D$56:$D$78,'Special steel '!$D57,'Value added steel '!$I$56:$I$78)</f>
        <v>0</v>
      </c>
      <c r="J57" s="625"/>
      <c r="K57" s="625">
        <f t="shared" si="53"/>
        <v>0</v>
      </c>
      <c r="L57" s="581"/>
      <c r="M57" s="581">
        <f>SUMIF('Value added steel '!$D$56:$D$78,'Special steel '!$D57,'Value added steel '!$M$56:$M$78)</f>
        <v>3911</v>
      </c>
      <c r="N57" s="630"/>
      <c r="O57" s="630">
        <f t="shared" si="54"/>
        <v>3911</v>
      </c>
      <c r="P57" s="581"/>
      <c r="Q57" s="581">
        <f>SUMIF('Value added steel '!$D$56:$D$78,'Special steel '!$D57,'Value added steel '!$Q$56:$Q$78)</f>
        <v>0</v>
      </c>
      <c r="R57" s="630"/>
      <c r="S57" s="630">
        <f t="shared" si="30"/>
        <v>3911</v>
      </c>
      <c r="T57" s="581"/>
      <c r="U57" s="581">
        <f>SUMIF('Value added steel '!$D$56:$D$78,'Special steel '!$D57,'Value added steel '!$U$56:$U$78)</f>
        <v>0</v>
      </c>
      <c r="V57" s="630"/>
      <c r="W57" s="630">
        <f t="shared" si="95"/>
        <v>3911</v>
      </c>
      <c r="X57" s="630"/>
      <c r="Y57" s="581">
        <f>SUMIF('Value added steel '!$D$56:$D$78,'Special steel '!$D57,'Value added steel '!$Y$56:$Y$78)</f>
        <v>1778</v>
      </c>
      <c r="Z57" s="630"/>
      <c r="AA57" s="2213">
        <f t="shared" si="101"/>
        <v>1778</v>
      </c>
      <c r="AB57" s="2255"/>
      <c r="AC57" s="1172">
        <f t="shared" si="102"/>
        <v>5689</v>
      </c>
      <c r="AD57" s="630"/>
      <c r="AE57" s="581">
        <f>SUMIF('Value added steel '!$D$56:$D$78,'Special steel '!$D57,'Value added steel '!$AE$56:$AE$78)</f>
        <v>0</v>
      </c>
      <c r="AF57" s="630"/>
      <c r="AG57" s="630">
        <f t="shared" si="96"/>
        <v>5689</v>
      </c>
      <c r="AH57" s="630"/>
      <c r="AI57" s="581">
        <f>SUMIF('Value added steel '!$D$56:$D$78,'Special steel '!$D57,'Value added steel '!$AI$56:$AI$78)</f>
        <v>0</v>
      </c>
      <c r="AJ57" s="630"/>
      <c r="AK57" s="625">
        <f t="shared" si="97"/>
        <v>5689</v>
      </c>
      <c r="AL57" s="630"/>
      <c r="AM57" s="581">
        <f>SUMIF('Value added steel '!$D$56:$D$78,'Special steel '!$D57,'Value added steel '!$AM$56:$AM$78)</f>
        <v>7426.482</v>
      </c>
      <c r="AN57" s="630"/>
      <c r="AO57" s="2213">
        <f t="shared" si="103"/>
        <v>7426.482</v>
      </c>
      <c r="AP57" s="630"/>
      <c r="AQ57" s="625">
        <f t="shared" si="98"/>
        <v>13115.482</v>
      </c>
      <c r="AR57" s="630"/>
      <c r="AS57" s="581">
        <f>SUMIF('Value added steel '!$D$56:$D$78,'Special steel '!$D57,'Value added steel '!$AS$56:$AS$78)</f>
        <v>5065.1440000000002</v>
      </c>
      <c r="AT57" s="630"/>
      <c r="AU57" s="625">
        <f t="shared" si="99"/>
        <v>18180.626</v>
      </c>
      <c r="AV57" s="630"/>
      <c r="AW57" s="581">
        <f>SUMIF('Value added steel '!$D$56:$D$78,'Special steel '!$D57,'Value added steel '!$AW$56:$AW$78)</f>
        <v>3792.5160000000001</v>
      </c>
      <c r="AX57" s="630"/>
      <c r="AY57" s="625">
        <f t="shared" si="100"/>
        <v>21973.142</v>
      </c>
      <c r="AZ57" s="630"/>
      <c r="BA57" s="581">
        <f>SUMIF('Value added steel '!$D$56:$D$78,'Special steel '!$D57,'Value added steel '!$BA$56:$BA$78)</f>
        <v>1951</v>
      </c>
      <c r="BB57" s="630"/>
      <c r="BC57" s="2213">
        <f t="shared" si="104"/>
        <v>10808.66</v>
      </c>
      <c r="BD57" s="2255"/>
      <c r="BE57" s="1172">
        <f t="shared" si="13"/>
        <v>18235.142</v>
      </c>
      <c r="BF57" s="630"/>
      <c r="BG57" s="625">
        <f t="shared" si="14"/>
        <v>23924.142</v>
      </c>
      <c r="BH57" s="26"/>
      <c r="BI57" s="26"/>
    </row>
    <row r="58" spans="3:62" x14ac:dyDescent="0.3">
      <c r="C58" s="554" t="s">
        <v>978</v>
      </c>
      <c r="D58" s="554" t="s">
        <v>1654</v>
      </c>
      <c r="E58" s="4747"/>
      <c r="F58" s="554"/>
      <c r="G58" s="581">
        <f>SUMIF('Value added steel '!$D$56:$D$78,'Special steel '!$D58,'Value added steel '!$G$56:$G$78)</f>
        <v>0</v>
      </c>
      <c r="H58" s="581"/>
      <c r="I58" s="581">
        <f>SUMIF('Value added steel '!$D$56:$D$78,'Special steel '!$D58,'Value added steel '!$I$56:$I$78)</f>
        <v>0</v>
      </c>
      <c r="J58" s="625"/>
      <c r="K58" s="625">
        <f t="shared" si="53"/>
        <v>0</v>
      </c>
      <c r="L58" s="581"/>
      <c r="M58" s="581">
        <f>SUMIF('Value added steel '!$D$56:$D$78,'Special steel '!$D58,'Value added steel '!$M$56:$M$78)</f>
        <v>0</v>
      </c>
      <c r="N58" s="630"/>
      <c r="O58" s="630">
        <f t="shared" si="54"/>
        <v>0</v>
      </c>
      <c r="P58" s="581"/>
      <c r="Q58" s="581">
        <f>SUMIF('Value added steel '!$D$56:$D$78,'Special steel '!$D58,'Value added steel '!$Q$56:$Q$78)</f>
        <v>0</v>
      </c>
      <c r="R58" s="630"/>
      <c r="S58" s="630">
        <f t="shared" si="30"/>
        <v>0</v>
      </c>
      <c r="T58" s="581"/>
      <c r="U58" s="581">
        <f>SUMIF('Value added steel '!$D$56:$D$78,'Special steel '!$D58,'Value added steel '!$U$56:$U$78)</f>
        <v>0</v>
      </c>
      <c r="V58" s="630"/>
      <c r="W58" s="630">
        <f t="shared" si="95"/>
        <v>0</v>
      </c>
      <c r="X58" s="630"/>
      <c r="Y58" s="581">
        <f>SUMIF('Value added steel '!$D$56:$D$78,'Special steel '!$D58,'Value added steel '!$Y$56:$Y$78)</f>
        <v>0</v>
      </c>
      <c r="Z58" s="630"/>
      <c r="AA58" s="2213">
        <f t="shared" si="101"/>
        <v>0</v>
      </c>
      <c r="AB58" s="2255"/>
      <c r="AC58" s="1172">
        <f t="shared" si="102"/>
        <v>0</v>
      </c>
      <c r="AD58" s="630"/>
      <c r="AE58" s="581">
        <f>SUMIF('Value added steel '!$D$56:$D$78,'Special steel '!$D58,'Value added steel '!$AE$56:$AE$78)</f>
        <v>0</v>
      </c>
      <c r="AF58" s="630"/>
      <c r="AG58" s="630">
        <f t="shared" si="96"/>
        <v>0</v>
      </c>
      <c r="AH58" s="630"/>
      <c r="AI58" s="581">
        <f>SUMIF('Value added steel '!$D$56:$D$78,'Special steel '!$D58,'Value added steel '!$AI$56:$AI$78)</f>
        <v>0</v>
      </c>
      <c r="AJ58" s="630"/>
      <c r="AK58" s="625">
        <f t="shared" si="97"/>
        <v>0</v>
      </c>
      <c r="AL58" s="630"/>
      <c r="AM58" s="581">
        <f>SUMIF('Value added steel '!$D$56:$D$78,'Special steel '!$D58,'Value added steel '!$AM$56:$AM$78)</f>
        <v>0</v>
      </c>
      <c r="AN58" s="630"/>
      <c r="AO58" s="2213">
        <f t="shared" si="103"/>
        <v>0</v>
      </c>
      <c r="AP58" s="630"/>
      <c r="AQ58" s="625">
        <f t="shared" si="98"/>
        <v>0</v>
      </c>
      <c r="AR58" s="630"/>
      <c r="AS58" s="581">
        <f>SUMIF('Value added steel '!$D$56:$D$78,'Special steel '!$D58,'Value added steel '!$AS$56:$AS$78)</f>
        <v>0</v>
      </c>
      <c r="AT58" s="630"/>
      <c r="AU58" s="625">
        <f t="shared" si="99"/>
        <v>0</v>
      </c>
      <c r="AV58" s="630"/>
      <c r="AW58" s="581">
        <f>SUMIF('Value added steel '!$D$56:$D$78,'Special steel '!$D58,'Value added steel '!$AW$56:$AW$78)</f>
        <v>0</v>
      </c>
      <c r="AX58" s="630"/>
      <c r="AY58" s="625">
        <f t="shared" si="100"/>
        <v>0</v>
      </c>
      <c r="AZ58" s="630"/>
      <c r="BA58" s="581">
        <f>SUMIF('Value added steel '!$D$56:$D$78,'Special steel '!$D58,'Value added steel '!$BA$56:$BA$78)</f>
        <v>0</v>
      </c>
      <c r="BB58" s="630"/>
      <c r="BC58" s="2213">
        <f t="shared" si="104"/>
        <v>0</v>
      </c>
      <c r="BD58" s="2255"/>
      <c r="BE58" s="1172">
        <f t="shared" si="13"/>
        <v>0</v>
      </c>
      <c r="BF58" s="630"/>
      <c r="BG58" s="625">
        <f t="shared" si="14"/>
        <v>0</v>
      </c>
      <c r="BH58" s="26"/>
      <c r="BI58" s="26"/>
    </row>
    <row r="59" spans="3:62" x14ac:dyDescent="0.3">
      <c r="C59" s="554" t="s">
        <v>978</v>
      </c>
      <c r="D59" s="554" t="s">
        <v>1655</v>
      </c>
      <c r="E59" s="4747"/>
      <c r="F59" s="554"/>
      <c r="G59" s="581">
        <f>SUMIF('Value added steel '!$D$56:$D$78,'Special steel '!$D59,'Value added steel '!$G$56:$G$78)</f>
        <v>0</v>
      </c>
      <c r="H59" s="581"/>
      <c r="I59" s="581">
        <f>SUMIF('Value added steel '!$D$56:$D$78,'Special steel '!$D59,'Value added steel '!$I$56:$I$78)</f>
        <v>0</v>
      </c>
      <c r="J59" s="625"/>
      <c r="K59" s="625">
        <f t="shared" si="53"/>
        <v>0</v>
      </c>
      <c r="L59" s="581"/>
      <c r="M59" s="581">
        <f>SUMIF('Value added steel '!$D$56:$D$78,'Special steel '!$D59,'Value added steel '!$M$56:$M$78)</f>
        <v>0</v>
      </c>
      <c r="N59" s="630"/>
      <c r="O59" s="630">
        <f t="shared" si="54"/>
        <v>0</v>
      </c>
      <c r="P59" s="581"/>
      <c r="Q59" s="581">
        <f>SUMIF('Value added steel '!$D$56:$D$78,'Special steel '!$D59,'Value added steel '!$Q$56:$Q$78)</f>
        <v>0</v>
      </c>
      <c r="R59" s="630"/>
      <c r="S59" s="630">
        <f t="shared" si="30"/>
        <v>0</v>
      </c>
      <c r="T59" s="581"/>
      <c r="U59" s="581">
        <f>SUMIF('Value added steel '!$D$56:$D$78,'Special steel '!$D59,'Value added steel '!$U$56:$U$78)</f>
        <v>0</v>
      </c>
      <c r="V59" s="630"/>
      <c r="W59" s="630">
        <f t="shared" si="95"/>
        <v>0</v>
      </c>
      <c r="X59" s="630"/>
      <c r="Y59" s="581">
        <f>SUMIF('Value added steel '!$D$56:$D$78,'Special steel '!$D59,'Value added steel '!$Y$56:$Y$78)</f>
        <v>0</v>
      </c>
      <c r="Z59" s="630"/>
      <c r="AA59" s="2213">
        <f t="shared" si="101"/>
        <v>0</v>
      </c>
      <c r="AB59" s="2255"/>
      <c r="AC59" s="1172">
        <f t="shared" si="102"/>
        <v>0</v>
      </c>
      <c r="AD59" s="630"/>
      <c r="AE59" s="581">
        <f>SUMIF('Value added steel '!$D$56:$D$78,'Special steel '!$D59,'Value added steel '!$AE$56:$AE$78)</f>
        <v>0</v>
      </c>
      <c r="AF59" s="630"/>
      <c r="AG59" s="630">
        <f t="shared" si="96"/>
        <v>0</v>
      </c>
      <c r="AH59" s="630"/>
      <c r="AI59" s="581">
        <f>SUMIF('Value added steel '!$D$56:$D$78,'Special steel '!$D59,'Value added steel '!$AI$56:$AI$78)</f>
        <v>0</v>
      </c>
      <c r="AJ59" s="630"/>
      <c r="AK59" s="625">
        <f t="shared" si="97"/>
        <v>0</v>
      </c>
      <c r="AL59" s="630"/>
      <c r="AM59" s="581">
        <f>SUMIF('Value added steel '!$D$56:$D$78,'Special steel '!$D59,'Value added steel '!$AM$56:$AM$78)</f>
        <v>0</v>
      </c>
      <c r="AN59" s="630"/>
      <c r="AO59" s="2213">
        <f t="shared" si="103"/>
        <v>0</v>
      </c>
      <c r="AP59" s="630"/>
      <c r="AQ59" s="625">
        <f t="shared" si="98"/>
        <v>0</v>
      </c>
      <c r="AR59" s="630"/>
      <c r="AS59" s="581">
        <f>SUMIF('Value added steel '!$D$56:$D$78,'Special steel '!$D59,'Value added steel '!$AS$56:$AS$78)</f>
        <v>0</v>
      </c>
      <c r="AT59" s="630"/>
      <c r="AU59" s="625">
        <f t="shared" si="99"/>
        <v>0</v>
      </c>
      <c r="AV59" s="630"/>
      <c r="AW59" s="581">
        <f>SUMIF('Value added steel '!$D$56:$D$78,'Special steel '!$D59,'Value added steel '!$AW$56:$AW$78)</f>
        <v>0</v>
      </c>
      <c r="AX59" s="630"/>
      <c r="AY59" s="625">
        <f t="shared" si="100"/>
        <v>0</v>
      </c>
      <c r="AZ59" s="630"/>
      <c r="BA59" s="581">
        <f>SUMIF('Value added steel '!$D$56:$D$78,'Special steel '!$D59,'Value added steel '!$BA$56:$BA$78)</f>
        <v>0</v>
      </c>
      <c r="BB59" s="630"/>
      <c r="BC59" s="2213">
        <f t="shared" si="104"/>
        <v>0</v>
      </c>
      <c r="BD59" s="2255"/>
      <c r="BE59" s="1172">
        <f t="shared" si="13"/>
        <v>0</v>
      </c>
      <c r="BF59" s="630"/>
      <c r="BG59" s="625">
        <f t="shared" si="14"/>
        <v>0</v>
      </c>
      <c r="BH59" s="26"/>
      <c r="BI59" s="26"/>
    </row>
    <row r="60" spans="3:62" x14ac:dyDescent="0.3">
      <c r="C60" s="554" t="s">
        <v>978</v>
      </c>
      <c r="D60" s="554" t="s">
        <v>1534</v>
      </c>
      <c r="E60" s="4747"/>
      <c r="F60" s="554"/>
      <c r="G60" s="581">
        <f>SUMIF('Value added steel '!$D$56:$D$78,'Special steel '!$D60,'Value added steel '!$G$56:$G$78)</f>
        <v>0</v>
      </c>
      <c r="H60" s="581"/>
      <c r="I60" s="581">
        <f>SUMIF('Value added steel '!$D$56:$D$78,'Special steel '!$D60,'Value added steel '!$I$56:$I$78)</f>
        <v>0</v>
      </c>
      <c r="J60" s="625"/>
      <c r="K60" s="625">
        <f t="shared" si="53"/>
        <v>0</v>
      </c>
      <c r="L60" s="581"/>
      <c r="M60" s="581">
        <f>SUMIF('Value added steel '!$D$56:$D$78,'Special steel '!$D60,'Value added steel '!$M$56:$M$78)</f>
        <v>0</v>
      </c>
      <c r="N60" s="630"/>
      <c r="O60" s="630">
        <f t="shared" si="54"/>
        <v>0</v>
      </c>
      <c r="P60" s="581"/>
      <c r="Q60" s="581">
        <f>SUMIF('Value added steel '!$D$56:$D$78,'Special steel '!$D60,'Value added steel '!$Q$56:$Q$78)</f>
        <v>0</v>
      </c>
      <c r="R60" s="630"/>
      <c r="S60" s="630">
        <f t="shared" si="30"/>
        <v>0</v>
      </c>
      <c r="T60" s="581"/>
      <c r="U60" s="581">
        <f>SUMIF('Value added steel '!$D$56:$D$78,'Special steel '!$D60,'Value added steel '!$U$56:$U$78)</f>
        <v>0</v>
      </c>
      <c r="V60" s="630"/>
      <c r="W60" s="630">
        <f t="shared" si="95"/>
        <v>0</v>
      </c>
      <c r="X60" s="630"/>
      <c r="Y60" s="581">
        <f>SUMIF('Value added steel '!$D$56:$D$78,'Special steel '!$D60,'Value added steel '!$Y$56:$Y$78)</f>
        <v>0</v>
      </c>
      <c r="Z60" s="630"/>
      <c r="AA60" s="2213">
        <f t="shared" si="101"/>
        <v>0</v>
      </c>
      <c r="AB60" s="2255"/>
      <c r="AC60" s="1172">
        <f t="shared" si="102"/>
        <v>0</v>
      </c>
      <c r="AD60" s="630"/>
      <c r="AE60" s="581">
        <f>SUMIF('Value added steel '!$D$56:$D$78,'Special steel '!$D60,'Value added steel '!$AE$56:$AE$78)</f>
        <v>0</v>
      </c>
      <c r="AF60" s="630"/>
      <c r="AG60" s="630">
        <f t="shared" si="96"/>
        <v>0</v>
      </c>
      <c r="AH60" s="630"/>
      <c r="AI60" s="581">
        <f>SUMIF('Value added steel '!$D$56:$D$78,'Special steel '!$D60,'Value added steel '!$AI$56:$AI$78)</f>
        <v>0</v>
      </c>
      <c r="AJ60" s="630"/>
      <c r="AK60" s="625">
        <f t="shared" si="97"/>
        <v>0</v>
      </c>
      <c r="AL60" s="630"/>
      <c r="AM60" s="581">
        <f>SUMIF('Value added steel '!$D$56:$D$78,'Special steel '!$D60,'Value added steel '!$AM$56:$AM$78)</f>
        <v>0</v>
      </c>
      <c r="AN60" s="630"/>
      <c r="AO60" s="2213">
        <f t="shared" si="103"/>
        <v>0</v>
      </c>
      <c r="AP60" s="630"/>
      <c r="AQ60" s="625">
        <f t="shared" si="98"/>
        <v>0</v>
      </c>
      <c r="AR60" s="630"/>
      <c r="AS60" s="581">
        <f>SUMIF('Value added steel '!$D$56:$D$78,'Special steel '!$D60,'Value added steel '!$AS$56:$AS$78)</f>
        <v>0</v>
      </c>
      <c r="AT60" s="630"/>
      <c r="AU60" s="625">
        <f t="shared" si="99"/>
        <v>0</v>
      </c>
      <c r="AV60" s="630"/>
      <c r="AW60" s="581">
        <f>SUMIF('Value added steel '!$D$56:$D$78,'Special steel '!$D60,'Value added steel '!$AW$56:$AW$78)</f>
        <v>0</v>
      </c>
      <c r="AX60" s="630"/>
      <c r="AY60" s="625">
        <f t="shared" si="100"/>
        <v>0</v>
      </c>
      <c r="AZ60" s="630"/>
      <c r="BA60" s="581">
        <f>SUMIF('Value added steel '!$D$56:$D$78,'Special steel '!$D60,'Value added steel '!$BA$56:$BA$78)</f>
        <v>0</v>
      </c>
      <c r="BB60" s="630"/>
      <c r="BC60" s="2213">
        <f t="shared" si="104"/>
        <v>0</v>
      </c>
      <c r="BD60" s="2255"/>
      <c r="BE60" s="1172">
        <f t="shared" si="13"/>
        <v>0</v>
      </c>
      <c r="BF60" s="630"/>
      <c r="BG60" s="625">
        <f t="shared" si="14"/>
        <v>0</v>
      </c>
      <c r="BH60" s="26"/>
      <c r="BI60" s="26"/>
    </row>
    <row r="61" spans="3:62" x14ac:dyDescent="0.3">
      <c r="C61" s="554" t="s">
        <v>978</v>
      </c>
      <c r="D61" s="554" t="s">
        <v>1076</v>
      </c>
      <c r="E61" s="4747"/>
      <c r="F61" s="554"/>
      <c r="G61" s="581">
        <f>SUMIF('Value added steel '!$D$56:$D$78,'Special steel '!$D61,'Value added steel '!$G$56:$G$78)</f>
        <v>0</v>
      </c>
      <c r="H61" s="581"/>
      <c r="I61" s="581">
        <f>SUMIF('Value added steel '!$D$56:$D$78,'Special steel '!$D61,'Value added steel '!$I$56:$I$78)</f>
        <v>0</v>
      </c>
      <c r="J61" s="625"/>
      <c r="K61" s="625">
        <f t="shared" si="53"/>
        <v>0</v>
      </c>
      <c r="L61" s="581"/>
      <c r="M61" s="581">
        <f>SUMIF('Value added steel '!$D$56:$D$78,'Special steel '!$D61,'Value added steel '!$M$56:$M$78)</f>
        <v>0</v>
      </c>
      <c r="N61" s="630"/>
      <c r="O61" s="630">
        <f t="shared" si="54"/>
        <v>0</v>
      </c>
      <c r="P61" s="581"/>
      <c r="Q61" s="581">
        <f>SUMIF('Value added steel '!$D$56:$D$78,'Special steel '!$D61,'Value added steel '!$Q$56:$Q$78)</f>
        <v>0</v>
      </c>
      <c r="R61" s="630"/>
      <c r="S61" s="630">
        <f t="shared" si="30"/>
        <v>0</v>
      </c>
      <c r="T61" s="581"/>
      <c r="U61" s="581">
        <f>SUMIF('Value added steel '!$D$56:$D$78,'Special steel '!$D61,'Value added steel '!$U$56:$U$78)</f>
        <v>0</v>
      </c>
      <c r="V61" s="630"/>
      <c r="W61" s="630">
        <f t="shared" si="95"/>
        <v>0</v>
      </c>
      <c r="X61" s="630"/>
      <c r="Y61" s="581">
        <f>SUMIF('Value added steel '!$D$56:$D$78,'Special steel '!$D61,'Value added steel '!$Y$56:$Y$78)</f>
        <v>0</v>
      </c>
      <c r="Z61" s="630"/>
      <c r="AA61" s="2213">
        <f t="shared" si="101"/>
        <v>0</v>
      </c>
      <c r="AB61" s="2255"/>
      <c r="AC61" s="1172">
        <f t="shared" si="102"/>
        <v>0</v>
      </c>
      <c r="AD61" s="630"/>
      <c r="AE61" s="581">
        <f>SUMIF('Value added steel '!$D$56:$D$78,'Special steel '!$D61,'Value added steel '!$AE$56:$AE$78)</f>
        <v>0</v>
      </c>
      <c r="AF61" s="630"/>
      <c r="AG61" s="630">
        <f t="shared" si="96"/>
        <v>0</v>
      </c>
      <c r="AH61" s="630"/>
      <c r="AI61" s="581">
        <f>SUMIF('Value added steel '!$D$56:$D$78,'Special steel '!$D61,'Value added steel '!$AI$56:$AI$78)</f>
        <v>0</v>
      </c>
      <c r="AJ61" s="630"/>
      <c r="AK61" s="625">
        <f t="shared" si="97"/>
        <v>0</v>
      </c>
      <c r="AL61" s="630"/>
      <c r="AM61" s="581">
        <f>SUMIF('Value added steel '!$D$56:$D$78,'Special steel '!$D61,'Value added steel '!$AM$56:$AM$78)</f>
        <v>0</v>
      </c>
      <c r="AN61" s="630"/>
      <c r="AO61" s="2213">
        <f t="shared" si="103"/>
        <v>0</v>
      </c>
      <c r="AP61" s="630"/>
      <c r="AQ61" s="625">
        <f t="shared" si="98"/>
        <v>0</v>
      </c>
      <c r="AR61" s="630"/>
      <c r="AS61" s="581">
        <f>SUMIF('Value added steel '!$D$56:$D$78,'Special steel '!$D61,'Value added steel '!$AS$56:$AS$78)</f>
        <v>0</v>
      </c>
      <c r="AT61" s="630"/>
      <c r="AU61" s="625">
        <f t="shared" si="99"/>
        <v>0</v>
      </c>
      <c r="AV61" s="630"/>
      <c r="AW61" s="581">
        <f>SUMIF('Value added steel '!$D$56:$D$78,'Special steel '!$D61,'Value added steel '!$AW$56:$AW$78)</f>
        <v>0</v>
      </c>
      <c r="AX61" s="630"/>
      <c r="AY61" s="625">
        <f t="shared" si="100"/>
        <v>0</v>
      </c>
      <c r="AZ61" s="630"/>
      <c r="BA61" s="581">
        <f>SUMIF('Value added steel '!$D$56:$D$78,'Special steel '!$D61,'Value added steel '!$BA$56:$BA$78)</f>
        <v>0</v>
      </c>
      <c r="BB61" s="632"/>
      <c r="BC61" s="2213">
        <f t="shared" si="104"/>
        <v>0</v>
      </c>
      <c r="BD61" s="2255"/>
      <c r="BE61" s="1172">
        <f t="shared" si="13"/>
        <v>0</v>
      </c>
      <c r="BF61" s="632"/>
      <c r="BG61" s="625">
        <f t="shared" si="14"/>
        <v>0</v>
      </c>
      <c r="BH61" s="26"/>
      <c r="BI61" s="26"/>
    </row>
    <row r="62" spans="3:62" x14ac:dyDescent="0.3">
      <c r="C62" s="554" t="s">
        <v>978</v>
      </c>
      <c r="D62" s="554" t="s">
        <v>1364</v>
      </c>
      <c r="E62" s="4747"/>
      <c r="F62" s="554"/>
      <c r="G62" s="581">
        <f>SUMIF('Value added steel '!$D$56:$D$78,'Special steel '!$D62,'Value added steel '!$G$56:$G$78)</f>
        <v>0</v>
      </c>
      <c r="H62" s="581"/>
      <c r="I62" s="581">
        <f>SUMIF('Value added steel '!$D$56:$D$78,'Special steel '!$D62,'Value added steel '!$I$56:$I$78)</f>
        <v>0</v>
      </c>
      <c r="J62" s="625"/>
      <c r="K62" s="625">
        <f t="shared" si="53"/>
        <v>0</v>
      </c>
      <c r="L62" s="581"/>
      <c r="M62" s="581">
        <f>SUMIF('Value added steel '!$D$56:$D$78,'Special steel '!$D62,'Value added steel '!$M$56:$M$78)</f>
        <v>0</v>
      </c>
      <c r="N62" s="630"/>
      <c r="O62" s="630">
        <f t="shared" si="54"/>
        <v>0</v>
      </c>
      <c r="P62" s="581"/>
      <c r="Q62" s="581">
        <f>SUMIF('Value added steel '!$D$56:$D$78,'Special steel '!$D62,'Value added steel '!$Q$56:$Q$78)</f>
        <v>0</v>
      </c>
      <c r="R62" s="630"/>
      <c r="S62" s="630">
        <f t="shared" si="30"/>
        <v>0</v>
      </c>
      <c r="T62" s="581"/>
      <c r="U62" s="581">
        <f>SUMIF('Value added steel '!$D$56:$D$78,'Special steel '!$D62,'Value added steel '!$U$56:$U$78)</f>
        <v>0</v>
      </c>
      <c r="V62" s="630"/>
      <c r="W62" s="630">
        <f t="shared" si="95"/>
        <v>0</v>
      </c>
      <c r="X62" s="630"/>
      <c r="Y62" s="581">
        <f>SUMIF('Value added steel '!$D$56:$D$78,'Special steel '!$D62,'Value added steel '!$Y$56:$Y$78)</f>
        <v>0</v>
      </c>
      <c r="Z62" s="630"/>
      <c r="AA62" s="2213">
        <f t="shared" si="101"/>
        <v>0</v>
      </c>
      <c r="AB62" s="2255"/>
      <c r="AC62" s="1172">
        <f t="shared" si="102"/>
        <v>0</v>
      </c>
      <c r="AD62" s="630"/>
      <c r="AE62" s="581">
        <f>SUMIF('Value added steel '!$D$56:$D$78,'Special steel '!$D62,'Value added steel '!$AE$56:$AE$78)</f>
        <v>0</v>
      </c>
      <c r="AF62" s="630"/>
      <c r="AG62" s="630">
        <f t="shared" si="96"/>
        <v>0</v>
      </c>
      <c r="AH62" s="630"/>
      <c r="AI62" s="581">
        <f>SUMIF('Value added steel '!$D$56:$D$78,'Special steel '!$D62,'Value added steel '!$AI$56:$AI$78)</f>
        <v>0</v>
      </c>
      <c r="AJ62" s="630"/>
      <c r="AK62" s="625">
        <f t="shared" si="97"/>
        <v>0</v>
      </c>
      <c r="AL62" s="630"/>
      <c r="AM62" s="581">
        <f>SUMIF('Value added steel '!$D$56:$D$78,'Special steel '!$D62,'Value added steel '!$AM$56:$AM$78)</f>
        <v>0</v>
      </c>
      <c r="AN62" s="630"/>
      <c r="AO62" s="2213">
        <f t="shared" si="103"/>
        <v>0</v>
      </c>
      <c r="AP62" s="630"/>
      <c r="AQ62" s="625">
        <f t="shared" si="98"/>
        <v>0</v>
      </c>
      <c r="AR62" s="630"/>
      <c r="AS62" s="581">
        <f>SUMIF('Value added steel '!$D$56:$D$78,'Special steel '!$D62,'Value added steel '!$AS$56:$AS$78)</f>
        <v>0</v>
      </c>
      <c r="AT62" s="630"/>
      <c r="AU62" s="625">
        <f t="shared" si="99"/>
        <v>0</v>
      </c>
      <c r="AV62" s="635"/>
      <c r="AW62" s="581">
        <f>SUMIF('Value added steel '!$D$56:$D$78,'Special steel '!$D62,'Value added steel '!$AW$56:$AW$78)</f>
        <v>0</v>
      </c>
      <c r="AX62" s="630"/>
      <c r="AY62" s="625">
        <f t="shared" si="100"/>
        <v>0</v>
      </c>
      <c r="AZ62" s="635"/>
      <c r="BA62" s="581">
        <f>SUMIF('Value added steel '!$D$56:$D$78,'Special steel '!$D62,'Value added steel '!$BA$56:$BA$78)</f>
        <v>0</v>
      </c>
      <c r="BB62" s="635"/>
      <c r="BC62" s="2213">
        <f t="shared" si="104"/>
        <v>0</v>
      </c>
      <c r="BD62" s="2255"/>
      <c r="BE62" s="1172">
        <f t="shared" si="13"/>
        <v>0</v>
      </c>
      <c r="BF62" s="635"/>
      <c r="BG62" s="625">
        <f t="shared" si="14"/>
        <v>0</v>
      </c>
      <c r="BH62" s="26"/>
      <c r="BI62" s="26"/>
    </row>
    <row r="63" spans="3:62" x14ac:dyDescent="0.3">
      <c r="C63" s="554" t="s">
        <v>978</v>
      </c>
      <c r="D63" s="554" t="s">
        <v>1572</v>
      </c>
      <c r="E63" s="4747"/>
      <c r="F63" s="554"/>
      <c r="G63" s="581">
        <f>SUMIF('Value added steel '!$D$56:$D$78,'Special steel '!$D63,'Value added steel '!$G$56:$G$78)</f>
        <v>723</v>
      </c>
      <c r="H63" s="581"/>
      <c r="I63" s="581">
        <f>SUMIF('Value added steel '!$D$56:$D$78,'Special steel '!$D63,'Value added steel '!$I$56:$I$78)</f>
        <v>590</v>
      </c>
      <c r="J63" s="625"/>
      <c r="K63" s="625">
        <f t="shared" si="53"/>
        <v>1313</v>
      </c>
      <c r="L63" s="581"/>
      <c r="M63" s="581">
        <f>SUMIF('Value added steel '!$D$56:$D$78,'Special steel '!$D63,'Value added steel '!$M$56:$M$78)</f>
        <v>619</v>
      </c>
      <c r="N63" s="630"/>
      <c r="O63" s="630">
        <f t="shared" si="54"/>
        <v>1932</v>
      </c>
      <c r="P63" s="581"/>
      <c r="Q63" s="581">
        <f>SUMIF('Value added steel '!$D$56:$D$78,'Special steel '!$D63,'Value added steel '!$Q$56:$Q$78)</f>
        <v>583</v>
      </c>
      <c r="R63" s="630"/>
      <c r="S63" s="630">
        <f t="shared" si="30"/>
        <v>2515</v>
      </c>
      <c r="T63" s="581"/>
      <c r="U63" s="581">
        <f>SUMIF('Value added steel '!$D$56:$D$78,'Special steel '!$D63,'Value added steel '!$U$56:$U$78)</f>
        <v>112.042</v>
      </c>
      <c r="V63" s="630"/>
      <c r="W63" s="630"/>
      <c r="X63" s="630"/>
      <c r="Y63" s="581">
        <f>SUMIF('Value added steel '!$D$56:$D$78,'Special steel '!$D63,'Value added steel '!$Y$56:$Y$78)</f>
        <v>674</v>
      </c>
      <c r="Z63" s="630"/>
      <c r="AA63" s="2213">
        <f t="shared" si="101"/>
        <v>1369.0419999999999</v>
      </c>
      <c r="AB63" s="2255"/>
      <c r="AC63" s="1172">
        <f t="shared" si="102"/>
        <v>3301.0419999999999</v>
      </c>
      <c r="AD63" s="630"/>
      <c r="AE63" s="581">
        <f>SUMIF('Value added steel '!$D$56:$D$78,'Special steel '!$D63,'Value added steel '!$AE$56:$AE$78)</f>
        <v>0</v>
      </c>
      <c r="AF63" s="630"/>
      <c r="AG63" s="630">
        <f t="shared" si="96"/>
        <v>3301.0419999999999</v>
      </c>
      <c r="AH63" s="630"/>
      <c r="AI63" s="581">
        <f>SUMIF('Value added steel '!$D$56:$D$78,'Special steel '!$D63,'Value added steel '!$AI$56:$AI$78)</f>
        <v>0</v>
      </c>
      <c r="AJ63" s="630"/>
      <c r="AK63" s="625">
        <f t="shared" si="97"/>
        <v>3301.0419999999999</v>
      </c>
      <c r="AL63" s="630"/>
      <c r="AM63" s="581">
        <f>SUMIF('Value added steel '!$D$56:$D$78,'Special steel '!$D63,'Value added steel '!$AM$56:$AM$78)</f>
        <v>0</v>
      </c>
      <c r="AN63" s="630"/>
      <c r="AO63" s="2213">
        <f t="shared" si="103"/>
        <v>0</v>
      </c>
      <c r="AP63" s="630"/>
      <c r="AQ63" s="625">
        <f t="shared" si="98"/>
        <v>3301.0419999999999</v>
      </c>
      <c r="AR63" s="630"/>
      <c r="AS63" s="581">
        <f>SUMIF('Value added steel '!$D$56:$D$78,'Special steel '!$D63,'Value added steel '!$AS$56:$AS$78)</f>
        <v>832.91600000000005</v>
      </c>
      <c r="AT63" s="630"/>
      <c r="AU63" s="625">
        <f t="shared" si="99"/>
        <v>4133.9579999999996</v>
      </c>
      <c r="AV63" s="630"/>
      <c r="AW63" s="581">
        <f>SUMIF('Value added steel '!$D$56:$D$78,'Special steel '!$D63,'Value added steel '!$AW$56:$AW$78)</f>
        <v>1663.7180000000001</v>
      </c>
      <c r="AX63" s="630"/>
      <c r="AY63" s="625">
        <f t="shared" si="100"/>
        <v>5797.6759999999995</v>
      </c>
      <c r="AZ63" s="630"/>
      <c r="BA63" s="581">
        <f>SUMIF('Value added steel '!$D$56:$D$78,'Special steel '!$D63,'Value added steel '!$BA$56:$BA$78)</f>
        <v>0</v>
      </c>
      <c r="BB63" s="632"/>
      <c r="BC63" s="2213">
        <f t="shared" si="104"/>
        <v>2496.634</v>
      </c>
      <c r="BD63" s="2255"/>
      <c r="BE63" s="1172">
        <f t="shared" si="13"/>
        <v>2496.634</v>
      </c>
      <c r="BF63" s="632"/>
      <c r="BG63" s="625">
        <f t="shared" si="14"/>
        <v>5797.6759999999995</v>
      </c>
      <c r="BH63" s="26"/>
      <c r="BI63" s="26"/>
    </row>
    <row r="64" spans="3:62" x14ac:dyDescent="0.3">
      <c r="C64" s="4769" t="s">
        <v>978</v>
      </c>
      <c r="D64" s="4769" t="s">
        <v>2101</v>
      </c>
      <c r="E64" s="4747"/>
      <c r="F64" s="4769"/>
      <c r="G64" s="581">
        <f>SUMIF('Value added steel '!$D$56:$D$78,'Special steel '!$D64,'Value added steel '!$G$56:$G$78)</f>
        <v>0</v>
      </c>
      <c r="H64" s="581"/>
      <c r="I64" s="581">
        <f>SUMIF('Value added steel '!$D$56:$D$78,'Special steel '!$D64,'Value added steel '!$I$56:$I$78)</f>
        <v>0</v>
      </c>
      <c r="J64" s="625"/>
      <c r="K64" s="625">
        <f t="shared" ref="K64" si="106">+G64+I64</f>
        <v>0</v>
      </c>
      <c r="L64" s="581"/>
      <c r="M64" s="581">
        <f>SUMIF('Value added steel '!$D$56:$D$78,'Special steel '!$D64,'Value added steel '!$M$56:$M$78)</f>
        <v>0</v>
      </c>
      <c r="N64" s="630"/>
      <c r="O64" s="630">
        <f t="shared" si="54"/>
        <v>0</v>
      </c>
      <c r="P64" s="581"/>
      <c r="Q64" s="581">
        <f>SUMIF('Value added steel '!$D$56:$D$78,'Special steel '!$D64,'Value added steel '!$Q$56:$Q$78)</f>
        <v>0</v>
      </c>
      <c r="R64" s="630"/>
      <c r="S64" s="630">
        <f t="shared" ref="S64" si="107">O64+Q64</f>
        <v>0</v>
      </c>
      <c r="T64" s="581"/>
      <c r="U64" s="581">
        <f>SUMIF('Value added steel '!$D$56:$D$78,'Special steel '!$D64,'Value added steel '!$U$56:$U$78)</f>
        <v>0</v>
      </c>
      <c r="V64" s="630"/>
      <c r="W64" s="630"/>
      <c r="X64" s="630"/>
      <c r="Y64" s="581">
        <f>SUMIF('Value added steel '!$D$56:$D$78,'Special steel '!$D64,'Value added steel '!$Y$56:$Y$78)</f>
        <v>0</v>
      </c>
      <c r="Z64" s="630"/>
      <c r="AA64" s="2213">
        <f t="shared" si="101"/>
        <v>0</v>
      </c>
      <c r="AB64" s="2255"/>
      <c r="AC64" s="1172">
        <f t="shared" si="102"/>
        <v>0</v>
      </c>
      <c r="AD64" s="630"/>
      <c r="AE64" s="581">
        <f>SUMIF('Value added steel '!$D$56:$D$78,'Special steel '!$D64,'Value added steel '!$AE$56:$AE$78)</f>
        <v>0</v>
      </c>
      <c r="AF64" s="630"/>
      <c r="AG64" s="630">
        <f t="shared" ref="AG64" si="108">AC64+AE64</f>
        <v>0</v>
      </c>
      <c r="AH64" s="630"/>
      <c r="AI64" s="581">
        <f>SUMIF('Value added steel '!$D$56:$D$78,'Special steel '!$D64,'Value added steel '!$AI$56:$AI$78)</f>
        <v>0</v>
      </c>
      <c r="AJ64" s="630"/>
      <c r="AK64" s="625">
        <f t="shared" ref="AK64" si="109">AG64+AI64</f>
        <v>0</v>
      </c>
      <c r="AL64" s="630"/>
      <c r="AM64" s="581">
        <f>SUMIF('Value added steel '!$D$56:$D$78,'Special steel '!$D64,'Value added steel '!$AM$56:$AM$78)</f>
        <v>0</v>
      </c>
      <c r="AN64" s="630"/>
      <c r="AO64" s="2213">
        <f t="shared" ref="AO64" si="110">AE64+AI64+AM64</f>
        <v>0</v>
      </c>
      <c r="AP64" s="630"/>
      <c r="AQ64" s="625">
        <f t="shared" ref="AQ64" si="111">AK64+AM64</f>
        <v>0</v>
      </c>
      <c r="AR64" s="630"/>
      <c r="AS64" s="581">
        <f>SUMIF('Value added steel '!$D$56:$D$78,'Special steel '!$D64,'Value added steel '!$AS$56:$AS$78)</f>
        <v>0</v>
      </c>
      <c r="AT64" s="630"/>
      <c r="AU64" s="625">
        <f t="shared" ref="AU64" si="112">AQ64+AS64</f>
        <v>0</v>
      </c>
      <c r="AV64" s="630"/>
      <c r="AW64" s="581">
        <f>SUMIF('Value added steel '!$D$56:$D$78,'Special steel '!$D64,'Value added steel '!$AW$56:$AW$78)</f>
        <v>0</v>
      </c>
      <c r="AX64" s="630"/>
      <c r="AY64" s="625">
        <f t="shared" si="100"/>
        <v>0</v>
      </c>
      <c r="AZ64" s="630"/>
      <c r="BA64" s="581">
        <f>SUMIF('Value added steel '!$D$56:$D$78,'Special steel '!$D64,'Value added steel '!$BA$56:$BA$78)</f>
        <v>0</v>
      </c>
      <c r="BB64" s="632"/>
      <c r="BC64" s="2213">
        <f t="shared" si="104"/>
        <v>0</v>
      </c>
      <c r="BD64" s="2255"/>
      <c r="BE64" s="1172">
        <f t="shared" si="13"/>
        <v>0</v>
      </c>
      <c r="BF64" s="632"/>
      <c r="BG64" s="625">
        <f t="shared" si="14"/>
        <v>0</v>
      </c>
      <c r="BH64" s="26"/>
      <c r="BI64" s="26"/>
    </row>
    <row r="65" spans="3:61" x14ac:dyDescent="0.3">
      <c r="C65" s="554" t="s">
        <v>978</v>
      </c>
      <c r="D65" s="554" t="s">
        <v>1276</v>
      </c>
      <c r="E65" s="4747"/>
      <c r="F65" s="554"/>
      <c r="G65" s="581">
        <f>SUMIF('Value added steel '!$D$56:$D$78,'Special steel '!$D65,'Value added steel '!$G$56:$G$78)</f>
        <v>0</v>
      </c>
      <c r="H65" s="581"/>
      <c r="I65" s="581">
        <f>SUMIF('Value added steel '!$D$56:$D$78,'Special steel '!$D65,'Value added steel '!$I$56:$I$78)</f>
        <v>0</v>
      </c>
      <c r="J65" s="625"/>
      <c r="K65" s="625">
        <f t="shared" si="53"/>
        <v>0</v>
      </c>
      <c r="L65" s="581"/>
      <c r="M65" s="581">
        <f>SUMIF('Value added steel '!$D$56:$D$78,'Special steel '!$D65,'Value added steel '!$M$56:$M$78)</f>
        <v>0</v>
      </c>
      <c r="N65" s="630"/>
      <c r="O65" s="630">
        <f t="shared" si="54"/>
        <v>0</v>
      </c>
      <c r="P65" s="581"/>
      <c r="Q65" s="581">
        <f>SUMIF('Value added steel '!$D$56:$D$78,'Special steel '!$D65,'Value added steel '!$Q$56:$Q$78)</f>
        <v>0</v>
      </c>
      <c r="R65" s="630"/>
      <c r="S65" s="630">
        <f t="shared" si="30"/>
        <v>0</v>
      </c>
      <c r="T65" s="581"/>
      <c r="U65" s="581">
        <f>SUMIF('Value added steel '!$D$56:$D$78,'Special steel '!$D65,'Value added steel '!$U$56:$U$78)</f>
        <v>0</v>
      </c>
      <c r="V65" s="630"/>
      <c r="W65" s="630">
        <f t="shared" si="95"/>
        <v>0</v>
      </c>
      <c r="X65" s="630"/>
      <c r="Y65" s="581">
        <f>SUMIF('Value added steel '!$D$56:$D$78,'Special steel '!$D65,'Value added steel '!$Y$56:$Y$78)</f>
        <v>0</v>
      </c>
      <c r="Z65" s="630"/>
      <c r="AA65" s="2213">
        <f t="shared" si="101"/>
        <v>0</v>
      </c>
      <c r="AB65" s="2255"/>
      <c r="AC65" s="1172">
        <f t="shared" si="102"/>
        <v>0</v>
      </c>
      <c r="AD65" s="630"/>
      <c r="AE65" s="581">
        <f>SUMIF('Value added steel '!$D$56:$D$78,'Special steel '!$D65,'Value added steel '!$AE$56:$AE$78)</f>
        <v>0</v>
      </c>
      <c r="AF65" s="630"/>
      <c r="AG65" s="630">
        <f t="shared" si="96"/>
        <v>0</v>
      </c>
      <c r="AH65" s="630"/>
      <c r="AI65" s="581">
        <f>SUMIF('Value added steel '!$D$56:$D$78,'Special steel '!$D65,'Value added steel '!$AI$56:$AI$78)</f>
        <v>0</v>
      </c>
      <c r="AJ65" s="630"/>
      <c r="AK65" s="625">
        <f t="shared" si="97"/>
        <v>0</v>
      </c>
      <c r="AL65" s="630"/>
      <c r="AM65" s="581">
        <f>SUMIF('Value added steel '!$D$56:$D$78,'Special steel '!$D65,'Value added steel '!$AM$56:$AM$78)</f>
        <v>0</v>
      </c>
      <c r="AN65" s="630"/>
      <c r="AO65" s="2213">
        <f t="shared" si="103"/>
        <v>0</v>
      </c>
      <c r="AP65" s="630"/>
      <c r="AQ65" s="625">
        <f t="shared" si="98"/>
        <v>0</v>
      </c>
      <c r="AR65" s="630"/>
      <c r="AS65" s="581">
        <f>SUMIF('Value added steel '!$D$56:$D$78,'Special steel '!$D65,'Value added steel '!$AS$56:$AS$78)</f>
        <v>0</v>
      </c>
      <c r="AT65" s="630"/>
      <c r="AU65" s="625">
        <f t="shared" si="99"/>
        <v>0</v>
      </c>
      <c r="AV65" s="630"/>
      <c r="AW65" s="581">
        <f>SUMIF('Value added steel '!$D$56:$D$78,'Special steel '!$D65,'Value added steel '!$AW$56:$AW$78)</f>
        <v>0</v>
      </c>
      <c r="AX65" s="630"/>
      <c r="AY65" s="625">
        <f t="shared" si="100"/>
        <v>0</v>
      </c>
      <c r="AZ65" s="630"/>
      <c r="BA65" s="581">
        <f>SUMIF('Value added steel '!$D$56:$D$78,'Special steel '!$D65,'Value added steel '!$BA$56:$BA$78)</f>
        <v>0</v>
      </c>
      <c r="BB65" s="632"/>
      <c r="BC65" s="2213">
        <f t="shared" si="104"/>
        <v>0</v>
      </c>
      <c r="BD65" s="2255"/>
      <c r="BE65" s="1172">
        <f t="shared" si="13"/>
        <v>0</v>
      </c>
      <c r="BF65" s="632"/>
      <c r="BG65" s="625">
        <f t="shared" si="14"/>
        <v>0</v>
      </c>
      <c r="BH65" s="26"/>
      <c r="BI65" s="26"/>
    </row>
    <row r="66" spans="3:61" x14ac:dyDescent="0.3">
      <c r="C66" s="554" t="s">
        <v>978</v>
      </c>
      <c r="D66" s="554" t="s">
        <v>1265</v>
      </c>
      <c r="E66" s="4747"/>
      <c r="F66" s="554"/>
      <c r="G66" s="581">
        <f>SUMIF('Value added steel '!$D$56:$D$78,'Special steel '!$D66,'Value added steel '!$G$56:$G$78)</f>
        <v>442</v>
      </c>
      <c r="H66" s="581"/>
      <c r="I66" s="581">
        <f>SUMIF('Value added steel '!$D$56:$D$78,'Special steel '!$D66,'Value added steel '!$I$56:$I$78)</f>
        <v>104</v>
      </c>
      <c r="J66" s="625"/>
      <c r="K66" s="625">
        <f t="shared" si="53"/>
        <v>546</v>
      </c>
      <c r="L66" s="581"/>
      <c r="M66" s="581">
        <f>SUMIF('Value added steel '!$D$56:$D$78,'Special steel '!$D66,'Value added steel '!$M$56:$M$78)</f>
        <v>235</v>
      </c>
      <c r="N66" s="630"/>
      <c r="O66" s="630">
        <f t="shared" si="54"/>
        <v>781</v>
      </c>
      <c r="P66" s="581"/>
      <c r="Q66" s="581">
        <f>SUMIF('Value added steel '!$D$56:$D$78,'Special steel '!$D66,'Value added steel '!$Q$56:$Q$78)</f>
        <v>116</v>
      </c>
      <c r="R66" s="630"/>
      <c r="S66" s="630">
        <f t="shared" si="30"/>
        <v>897</v>
      </c>
      <c r="T66" s="581"/>
      <c r="U66" s="581">
        <f>SUMIF('Value added steel '!$D$56:$D$78,'Special steel '!$D66,'Value added steel '!$U$56:$U$78)</f>
        <v>0</v>
      </c>
      <c r="V66" s="630"/>
      <c r="W66" s="630">
        <f t="shared" si="95"/>
        <v>897</v>
      </c>
      <c r="X66" s="630"/>
      <c r="Y66" s="581">
        <f>SUMIF('Value added steel '!$D$56:$D$78,'Special steel '!$D66,'Value added steel '!$Y$56:$Y$78)</f>
        <v>0</v>
      </c>
      <c r="Z66" s="630"/>
      <c r="AA66" s="2213">
        <f t="shared" si="101"/>
        <v>116</v>
      </c>
      <c r="AB66" s="2255"/>
      <c r="AC66" s="1172">
        <f t="shared" si="102"/>
        <v>897</v>
      </c>
      <c r="AD66" s="630"/>
      <c r="AE66" s="581">
        <f>SUMIF('Value added steel '!$D$56:$D$78,'Special steel '!$D66,'Value added steel '!$AE$56:$AE$78)</f>
        <v>0</v>
      </c>
      <c r="AF66" s="630"/>
      <c r="AG66" s="630">
        <f t="shared" si="96"/>
        <v>897</v>
      </c>
      <c r="AH66" s="630"/>
      <c r="AI66" s="581">
        <f>SUMIF('Value added steel '!$D$56:$D$78,'Special steel '!$D66,'Value added steel '!$AI$56:$AI$78)</f>
        <v>0</v>
      </c>
      <c r="AJ66" s="630"/>
      <c r="AK66" s="625">
        <f t="shared" si="97"/>
        <v>897</v>
      </c>
      <c r="AL66" s="630"/>
      <c r="AM66" s="581">
        <f>SUMIF('Value added steel '!$D$56:$D$78,'Special steel '!$D66,'Value added steel '!$AM$56:$AM$78)</f>
        <v>257.90800000000002</v>
      </c>
      <c r="AN66" s="630"/>
      <c r="AO66" s="2213">
        <f t="shared" si="103"/>
        <v>257.90800000000002</v>
      </c>
      <c r="AP66" s="630"/>
      <c r="AQ66" s="625">
        <f t="shared" si="98"/>
        <v>1154.9079999999999</v>
      </c>
      <c r="AR66" s="630"/>
      <c r="AS66" s="581">
        <f>SUMIF('Value added steel '!$D$56:$D$78,'Special steel '!$D66,'Value added steel '!$AS$56:$AS$78)</f>
        <v>0</v>
      </c>
      <c r="AT66" s="630"/>
      <c r="AU66" s="625">
        <f t="shared" si="99"/>
        <v>1154.9079999999999</v>
      </c>
      <c r="AV66" s="630"/>
      <c r="AW66" s="581">
        <f>SUMIF('Value added steel '!$D$56:$D$78,'Special steel '!$D66,'Value added steel '!$AW$56:$AW$78)</f>
        <v>215.62799999999999</v>
      </c>
      <c r="AX66" s="630"/>
      <c r="AY66" s="625">
        <f t="shared" si="100"/>
        <v>1370.5359999999998</v>
      </c>
      <c r="AZ66" s="630"/>
      <c r="BA66" s="581">
        <f>SUMIF('Value added steel '!$D$56:$D$78,'Special steel '!$D66,'Value added steel '!$BA$56:$BA$78)</f>
        <v>0</v>
      </c>
      <c r="BB66" s="632"/>
      <c r="BC66" s="2213">
        <f t="shared" si="104"/>
        <v>215.62799999999999</v>
      </c>
      <c r="BD66" s="2255"/>
      <c r="BE66" s="1172">
        <f t="shared" si="13"/>
        <v>473.536</v>
      </c>
      <c r="BF66" s="632"/>
      <c r="BG66" s="625">
        <f t="shared" si="14"/>
        <v>1370.5359999999998</v>
      </c>
      <c r="BH66" s="26"/>
      <c r="BI66" s="26"/>
    </row>
    <row r="67" spans="3:61" x14ac:dyDescent="0.3">
      <c r="C67" s="554" t="s">
        <v>978</v>
      </c>
      <c r="D67" s="554" t="s">
        <v>1133</v>
      </c>
      <c r="E67" s="4747"/>
      <c r="F67" s="554"/>
      <c r="G67" s="581">
        <f>SUMIF('Value added steel '!$D$56:$D$78,'Special steel '!$D67,'Value added steel '!$G$56:$G$78)</f>
        <v>0</v>
      </c>
      <c r="H67" s="581"/>
      <c r="I67" s="581">
        <f>SUMIF('Value added steel '!$D$56:$D$78,'Special steel '!$D67,'Value added steel '!$I$56:$I$78)</f>
        <v>268.39999999999998</v>
      </c>
      <c r="J67" s="625"/>
      <c r="K67" s="625">
        <f t="shared" si="53"/>
        <v>268.39999999999998</v>
      </c>
      <c r="L67" s="581"/>
      <c r="M67" s="581">
        <f>SUMIF('Value added steel '!$D$56:$D$78,'Special steel '!$D67,'Value added steel '!$M$56:$M$78)</f>
        <v>0</v>
      </c>
      <c r="N67" s="630"/>
      <c r="O67" s="630">
        <f t="shared" si="54"/>
        <v>268.39999999999998</v>
      </c>
      <c r="P67" s="581"/>
      <c r="Q67" s="581">
        <f>SUMIF('Value added steel '!$D$56:$D$78,'Special steel '!$D67,'Value added steel '!$Q$56:$Q$78)</f>
        <v>0</v>
      </c>
      <c r="R67" s="630"/>
      <c r="S67" s="630">
        <f t="shared" si="30"/>
        <v>268.39999999999998</v>
      </c>
      <c r="T67" s="581"/>
      <c r="U67" s="581">
        <f>SUMIF('Value added steel '!$D$56:$D$78,'Special steel '!$D67,'Value added steel '!$U$56:$U$78)</f>
        <v>353.03800000000001</v>
      </c>
      <c r="V67" s="630"/>
      <c r="W67" s="630">
        <f t="shared" si="95"/>
        <v>621.43799999999999</v>
      </c>
      <c r="X67" s="630"/>
      <c r="Y67" s="581">
        <f>SUMIF('Value added steel '!$D$56:$D$78,'Special steel '!$D67,'Value added steel '!$Y$56:$Y$78)</f>
        <v>114</v>
      </c>
      <c r="Z67" s="630"/>
      <c r="AA67" s="2213">
        <f t="shared" si="101"/>
        <v>467.03800000000001</v>
      </c>
      <c r="AB67" s="2255"/>
      <c r="AC67" s="1172">
        <f t="shared" si="102"/>
        <v>735.43799999999999</v>
      </c>
      <c r="AD67" s="630"/>
      <c r="AE67" s="581">
        <f>SUMIF('Value added steel '!$D$56:$D$78,'Special steel '!$D67,'Value added steel '!$AE$56:$AE$78)</f>
        <v>105.7</v>
      </c>
      <c r="AF67" s="630"/>
      <c r="AG67" s="630">
        <f t="shared" si="96"/>
        <v>841.13800000000003</v>
      </c>
      <c r="AH67" s="630"/>
      <c r="AI67" s="581">
        <f>SUMIF('Value added steel '!$D$56:$D$78,'Special steel '!$D67,'Value added steel '!$AI$56:$AI$78)</f>
        <v>0</v>
      </c>
      <c r="AJ67" s="630"/>
      <c r="AK67" s="625">
        <f t="shared" si="97"/>
        <v>841.13800000000003</v>
      </c>
      <c r="AL67" s="630"/>
      <c r="AM67" s="581">
        <f>SUMIF('Value added steel '!$D$56:$D$78,'Special steel '!$D67,'Value added steel '!$AM$56:$AM$78)</f>
        <v>1010.492</v>
      </c>
      <c r="AN67" s="630"/>
      <c r="AO67" s="2213">
        <f t="shared" si="103"/>
        <v>1116.192</v>
      </c>
      <c r="AP67" s="630"/>
      <c r="AQ67" s="625">
        <f t="shared" si="98"/>
        <v>1851.63</v>
      </c>
      <c r="AR67" s="630"/>
      <c r="AS67" s="581">
        <f>SUMIF('Value added steel '!$D$56:$D$78,'Special steel '!$D67,'Value added steel '!$AS$56:$AS$78)</f>
        <v>323.44200000000001</v>
      </c>
      <c r="AT67" s="630"/>
      <c r="AU67" s="625">
        <f t="shared" si="99"/>
        <v>2175.0720000000001</v>
      </c>
      <c r="AV67" s="630"/>
      <c r="AW67" s="581">
        <f>SUMIF('Value added steel '!$D$56:$D$78,'Special steel '!$D67,'Value added steel '!$AW$56:$AW$78)</f>
        <v>109.928</v>
      </c>
      <c r="AX67" s="630"/>
      <c r="AY67" s="625">
        <f t="shared" si="100"/>
        <v>2285</v>
      </c>
      <c r="AZ67" s="630"/>
      <c r="BA67" s="581">
        <f>SUMIF('Value added steel '!$D$56:$D$78,'Special steel '!$D67,'Value added steel '!$BA$56:$BA$78)</f>
        <v>0</v>
      </c>
      <c r="BB67" s="632"/>
      <c r="BC67" s="2213">
        <f t="shared" si="104"/>
        <v>433.37</v>
      </c>
      <c r="BD67" s="2255"/>
      <c r="BE67" s="1172">
        <f t="shared" si="13"/>
        <v>1549.5619999999999</v>
      </c>
      <c r="BF67" s="632"/>
      <c r="BG67" s="625">
        <f t="shared" si="14"/>
        <v>2285</v>
      </c>
      <c r="BH67" s="26"/>
      <c r="BI67" s="26"/>
    </row>
    <row r="68" spans="3:61" x14ac:dyDescent="0.3">
      <c r="C68" s="554" t="s">
        <v>978</v>
      </c>
      <c r="D68" s="554" t="s">
        <v>990</v>
      </c>
      <c r="E68" s="4747"/>
      <c r="F68" s="554"/>
      <c r="G68" s="581">
        <f>SUMIF('Value added steel '!$D$56:$D$78,'Special steel '!$D68,'Value added steel '!$G$56:$G$78)</f>
        <v>13156</v>
      </c>
      <c r="H68" s="580"/>
      <c r="I68" s="581">
        <f>SUMIF('Value added steel '!$D$56:$D$78,'Special steel '!$D68,'Value added steel '!$I$56:$I$78)</f>
        <v>13247</v>
      </c>
      <c r="J68" s="627"/>
      <c r="K68" s="625">
        <f t="shared" si="53"/>
        <v>26403</v>
      </c>
      <c r="L68" s="580"/>
      <c r="M68" s="581">
        <f>SUMIF('Value added steel '!$D$56:$D$78,'Special steel '!$D68,'Value added steel '!$M$56:$M$78)</f>
        <v>15189</v>
      </c>
      <c r="N68" s="632"/>
      <c r="O68" s="630">
        <f t="shared" si="54"/>
        <v>41592</v>
      </c>
      <c r="P68" s="580"/>
      <c r="Q68" s="581">
        <f>SUMIF('Value added steel '!$D$56:$D$78,'Special steel '!$D68,'Value added steel '!$Q$56:$Q$78)</f>
        <v>17017</v>
      </c>
      <c r="R68" s="632"/>
      <c r="S68" s="630">
        <f t="shared" si="30"/>
        <v>58609</v>
      </c>
      <c r="T68" s="580"/>
      <c r="U68" s="581">
        <f>SUMIF('Value added steel '!$D$56:$D$78,'Special steel '!$D68,'Value added steel '!$U$56:$U$78)</f>
        <v>14747.263999999999</v>
      </c>
      <c r="V68" s="632"/>
      <c r="W68" s="630">
        <f t="shared" si="95"/>
        <v>73356.263999999996</v>
      </c>
      <c r="X68" s="630"/>
      <c r="Y68" s="581">
        <f>SUMIF('Value added steel '!$D$56:$D$78,'Special steel '!$D68,'Value added steel '!$Y$56:$Y$78)</f>
        <v>10684</v>
      </c>
      <c r="Z68" s="632"/>
      <c r="AA68" s="2213">
        <f t="shared" ref="AA68" si="113">Q68+U68+Y68</f>
        <v>42448.263999999996</v>
      </c>
      <c r="AB68" s="2255"/>
      <c r="AC68" s="1172">
        <f t="shared" si="52"/>
        <v>84040.263999999996</v>
      </c>
      <c r="AD68" s="630"/>
      <c r="AE68" s="581">
        <f>SUMIF('Value added steel '!$D$56:$D$78,'Special steel '!$D68,'Value added steel '!$AE$56:$AE$78)</f>
        <v>105.7</v>
      </c>
      <c r="AF68" s="632"/>
      <c r="AG68" s="630">
        <f t="shared" si="96"/>
        <v>84145.963999999993</v>
      </c>
      <c r="AH68" s="630"/>
      <c r="AI68" s="581">
        <f>SUMIF('Value added steel '!$D$56:$D$78,'Special steel '!$D68,'Value added steel '!$AI$56:$AI$78)</f>
        <v>0</v>
      </c>
      <c r="AJ68" s="632"/>
      <c r="AK68" s="625">
        <f t="shared" si="97"/>
        <v>84145.963999999993</v>
      </c>
      <c r="AL68" s="630"/>
      <c r="AM68" s="581">
        <f>SUMIF('Value added steel '!$D$56:$D$78,'Special steel '!$D68,'Value added steel '!$AM$56:$AM$78)</f>
        <v>17175.242000000002</v>
      </c>
      <c r="AN68" s="632"/>
      <c r="AO68" s="2213">
        <f t="shared" si="103"/>
        <v>17280.942000000003</v>
      </c>
      <c r="AP68" s="632"/>
      <c r="AQ68" s="625">
        <f t="shared" si="98"/>
        <v>101321.20599999999</v>
      </c>
      <c r="AR68" s="630"/>
      <c r="AS68" s="581">
        <f>SUMIF('Value added steel '!$D$56:$D$78,'Special steel '!$D68,'Value added steel '!$AS$56:$AS$78)</f>
        <v>20455</v>
      </c>
      <c r="AT68" s="632"/>
      <c r="AU68" s="625">
        <f t="shared" si="99"/>
        <v>121776.20599999999</v>
      </c>
      <c r="AV68" s="630"/>
      <c r="AW68" s="581">
        <f>SUMIF('Value added steel '!$D$56:$D$78,'Special steel '!$D68,'Value added steel '!$AW$56:$AW$78)</f>
        <v>15495.62</v>
      </c>
      <c r="AX68" s="632"/>
      <c r="AY68" s="625">
        <f t="shared" si="100"/>
        <v>137271.826</v>
      </c>
      <c r="AZ68" s="630"/>
      <c r="BA68" s="581">
        <f>SUMIF('Value added steel '!$D$56:$D$78,'Special steel '!$D68,'Value added steel '!$BA$56:$BA$78)</f>
        <v>16130</v>
      </c>
      <c r="BB68" s="632"/>
      <c r="BC68" s="2213">
        <f t="shared" si="104"/>
        <v>52080.62</v>
      </c>
      <c r="BD68" s="2255"/>
      <c r="BE68" s="1172">
        <f t="shared" si="13"/>
        <v>69361.562000000005</v>
      </c>
      <c r="BF68" s="632"/>
      <c r="BG68" s="625">
        <f t="shared" si="14"/>
        <v>153401.826</v>
      </c>
      <c r="BH68" s="26"/>
      <c r="BI68" s="26"/>
    </row>
    <row r="69" spans="3:61" x14ac:dyDescent="0.3">
      <c r="C69" s="6415" t="s">
        <v>1040</v>
      </c>
      <c r="D69" s="6415"/>
      <c r="E69" s="4747"/>
      <c r="F69" s="634"/>
      <c r="G69" s="635">
        <f>SUM(G52:G68)</f>
        <v>15006</v>
      </c>
      <c r="H69" s="635"/>
      <c r="I69" s="635">
        <f>SUM(I52:I68)</f>
        <v>14689.4</v>
      </c>
      <c r="J69" s="635"/>
      <c r="K69" s="636">
        <f>SUM(K52:K68)</f>
        <v>29695.4</v>
      </c>
      <c r="L69" s="635"/>
      <c r="M69" s="635">
        <f>SUM(M52:M68)</f>
        <v>20567</v>
      </c>
      <c r="N69" s="635"/>
      <c r="O69" s="635">
        <f>SUM(O52:O68)</f>
        <v>50262.400000000001</v>
      </c>
      <c r="P69" s="635"/>
      <c r="Q69" s="635">
        <f>SUM(Q52:Q68)</f>
        <v>17716</v>
      </c>
      <c r="R69" s="635"/>
      <c r="S69" s="635">
        <f>SUM(S52:S68)</f>
        <v>67978.399999999994</v>
      </c>
      <c r="T69" s="635"/>
      <c r="U69" s="635">
        <f>SUM(U52:U68)</f>
        <v>15212.343999999999</v>
      </c>
      <c r="V69" s="635"/>
      <c r="W69" s="635">
        <f>SUM(W52:W68)</f>
        <v>80563.70199999999</v>
      </c>
      <c r="X69" s="635"/>
      <c r="Y69" s="635">
        <f>SUM(Y52:Y68)</f>
        <v>13250</v>
      </c>
      <c r="Z69" s="635"/>
      <c r="AA69" s="2214">
        <f>SUM(AA52:AA68)</f>
        <v>46178.343999999997</v>
      </c>
      <c r="AB69" s="2255"/>
      <c r="AC69" s="2214">
        <f t="shared" si="52"/>
        <v>96440.744000000006</v>
      </c>
      <c r="AD69" s="635"/>
      <c r="AE69" s="635">
        <f>SUM(AE52:AE68)</f>
        <v>211.4</v>
      </c>
      <c r="AF69" s="635"/>
      <c r="AG69" s="635">
        <f>SUM(AG52:AG68)</f>
        <v>96652.144</v>
      </c>
      <c r="AH69" s="635"/>
      <c r="AI69" s="635">
        <f>SUM(AI52:AI68)</f>
        <v>0</v>
      </c>
      <c r="AJ69" s="635"/>
      <c r="AK69" s="635">
        <f>SUM(AK52:AK68)</f>
        <v>96652.144</v>
      </c>
      <c r="AL69" s="635"/>
      <c r="AM69" s="635">
        <f>SUM(AM52:AM68)</f>
        <v>25980.052000000003</v>
      </c>
      <c r="AN69" s="635"/>
      <c r="AO69" s="2214">
        <f>SUM(AO52:AO68)</f>
        <v>26191.452000000005</v>
      </c>
      <c r="AP69" s="635"/>
      <c r="AQ69" s="635">
        <f>SUM(AQ52:AQ68)</f>
        <v>122632.196</v>
      </c>
      <c r="AR69" s="635"/>
      <c r="AS69" s="635">
        <f>SUM(AS52:AS68)</f>
        <v>26676.502</v>
      </c>
      <c r="AT69" s="635"/>
      <c r="AU69" s="635">
        <f>SUM(AU52:AU68)</f>
        <v>149308.69799999997</v>
      </c>
      <c r="AV69" s="630"/>
      <c r="AW69" s="635">
        <f>SUM(AW52:AW68)</f>
        <v>21277.41</v>
      </c>
      <c r="AX69" s="635"/>
      <c r="AY69" s="635">
        <f>SUM(AY52:AY68)</f>
        <v>170586.10800000001</v>
      </c>
      <c r="AZ69" s="630"/>
      <c r="BA69" s="635">
        <f>SUM(BA52:BA68)</f>
        <v>18081</v>
      </c>
      <c r="BB69" s="632"/>
      <c r="BC69" s="2214">
        <f>SUM(BC52:BC68)</f>
        <v>66034.912000000011</v>
      </c>
      <c r="BD69" s="2255"/>
      <c r="BE69" s="2214">
        <f>AO69+BC69</f>
        <v>92226.364000000016</v>
      </c>
      <c r="BF69" s="632"/>
      <c r="BG69" s="635">
        <f>SUM(BG52:BG68)</f>
        <v>188667.10800000001</v>
      </c>
      <c r="BH69" s="26"/>
      <c r="BI69" s="26"/>
    </row>
    <row r="70" spans="3:61" x14ac:dyDescent="0.3">
      <c r="C70" s="554" t="s">
        <v>979</v>
      </c>
      <c r="D70" s="554" t="s">
        <v>1624</v>
      </c>
      <c r="E70" s="4747"/>
      <c r="F70" s="554"/>
      <c r="G70" s="555">
        <f>SUMIF('Value added steel '!$D$80:$D$90,$D70,'Value added steel '!$G$80:$G$90)</f>
        <v>0</v>
      </c>
      <c r="H70" s="1092"/>
      <c r="I70" s="555">
        <f>SUMIF('Value added steel '!$D$80:$D$90,$D70,'Value added steel '!$I$80:$I$90)</f>
        <v>0</v>
      </c>
      <c r="J70" s="627"/>
      <c r="K70" s="625">
        <f t="shared" si="53"/>
        <v>0</v>
      </c>
      <c r="L70" s="1092"/>
      <c r="M70" s="555">
        <f>SUMIF('Value added steel '!$D$80:$D$90,$D70,'Value added steel '!$M$80:$M$90)</f>
        <v>0</v>
      </c>
      <c r="N70" s="632"/>
      <c r="O70" s="630">
        <f t="shared" si="54"/>
        <v>0</v>
      </c>
      <c r="P70" s="1092"/>
      <c r="Q70" s="555">
        <f>SUMIF('Value added steel '!$D$80:$D$90,$D70,'Value added steel '!$Q$80:$Q$90)</f>
        <v>0</v>
      </c>
      <c r="R70" s="632"/>
      <c r="S70" s="630">
        <f t="shared" ref="S70:S73" si="114">O70+Q70</f>
        <v>0</v>
      </c>
      <c r="T70" s="1092"/>
      <c r="U70" s="555">
        <f>SUMIF('Value added steel '!$D$80:$D$90,$D70,'Value added steel '!$U$80:$U$90)</f>
        <v>0</v>
      </c>
      <c r="V70" s="632"/>
      <c r="W70" s="630"/>
      <c r="X70" s="630"/>
      <c r="Y70" s="555">
        <f>SUMIF('Value added steel '!$D$80:$D$90,$D70,'Value added steel '!$Y$80:$Y$90)</f>
        <v>0</v>
      </c>
      <c r="Z70" s="632"/>
      <c r="AA70" s="2213">
        <f t="shared" ref="AA70:AA74" si="115">Q70+U70+Y70</f>
        <v>0</v>
      </c>
      <c r="AB70" s="2255"/>
      <c r="AC70" s="1172">
        <f t="shared" si="52"/>
        <v>0</v>
      </c>
      <c r="AD70" s="630"/>
      <c r="AE70" s="555">
        <f>SUMIF('Value added steel '!$D$80:$D$90,$D70,'Value added steel '!$AE$80:$AE$90)</f>
        <v>0</v>
      </c>
      <c r="AF70" s="632"/>
      <c r="AG70" s="630">
        <f t="shared" ref="AG70:AG74" si="116">+Y70+AA70+AE70</f>
        <v>0</v>
      </c>
      <c r="AH70" s="630"/>
      <c r="AI70" s="555">
        <f>SUMIF('Value added steel '!$D$80:$D$90,$D70,'Value added steel '!$AI$80:$AI$90)</f>
        <v>0</v>
      </c>
      <c r="AJ70" s="632"/>
      <c r="AK70" s="625">
        <f t="shared" ref="AK70:AK74" si="117">+AC70+AE70+AI70</f>
        <v>0</v>
      </c>
      <c r="AL70" s="630"/>
      <c r="AM70" s="555">
        <f>SUMIF('Value added steel '!$D$80:$D$90,$D70,'Value added steel '!$AM$80:$AM$90)</f>
        <v>0</v>
      </c>
      <c r="AN70" s="632"/>
      <c r="AO70" s="2213">
        <f t="shared" ref="AO70:AO74" si="118">AE70+AI70+AM70</f>
        <v>0</v>
      </c>
      <c r="AP70" s="632"/>
      <c r="AQ70" s="625">
        <f t="shared" ref="AQ70:AQ74" si="119">+AG70+AI70+AM70</f>
        <v>0</v>
      </c>
      <c r="AR70" s="630"/>
      <c r="AS70" s="555">
        <f>SUMIF('Value added steel '!$D$80:$D$90,$D70,'Value added steel '!$AS$80:$AS$90)</f>
        <v>0</v>
      </c>
      <c r="AT70" s="632"/>
      <c r="AU70" s="625">
        <f t="shared" ref="AU70:AU76" si="120">AQ70+AS70</f>
        <v>0</v>
      </c>
      <c r="AV70" s="635"/>
      <c r="AW70" s="555">
        <f>SUMIF('Value added steel '!$D$80:$D$90,$D70,'Value added steel '!$AW$80:$AW$90)</f>
        <v>0</v>
      </c>
      <c r="AX70" s="632"/>
      <c r="AY70" s="625">
        <f t="shared" ref="AY70:AY74" si="121">AU70+AW70</f>
        <v>0</v>
      </c>
      <c r="AZ70" s="635"/>
      <c r="BA70" s="555">
        <f>SUMIF('Value added steel '!$D$80:$D$90,$D70,'Value added steel '!$BA$80:$BA$90)</f>
        <v>0</v>
      </c>
      <c r="BB70" s="637"/>
      <c r="BC70" s="2213">
        <f t="shared" ref="BC70:BC74" si="122">AS70+AW70+BA70</f>
        <v>0</v>
      </c>
      <c r="BD70" s="2255"/>
      <c r="BE70" s="1172">
        <f>AO70+BC70</f>
        <v>0</v>
      </c>
      <c r="BF70" s="637"/>
      <c r="BG70" s="625">
        <f t="shared" si="14"/>
        <v>0</v>
      </c>
      <c r="BH70" s="26"/>
      <c r="BI70" s="26"/>
    </row>
    <row r="71" spans="3:61" x14ac:dyDescent="0.3">
      <c r="C71" s="554" t="s">
        <v>979</v>
      </c>
      <c r="D71" s="554" t="s">
        <v>676</v>
      </c>
      <c r="E71" s="4747"/>
      <c r="F71" s="554"/>
      <c r="G71" s="555">
        <f>SUMIF('Value added steel '!$D$80:$D$90,$D71,'Value added steel '!$G$80:$G$90)</f>
        <v>0</v>
      </c>
      <c r="H71" s="1092"/>
      <c r="I71" s="555">
        <f>SUMIF('Value added steel '!$D$80:$D$90,$D71,'Value added steel '!$I$80:$I$90)</f>
        <v>2204</v>
      </c>
      <c r="J71" s="627"/>
      <c r="K71" s="625">
        <f t="shared" si="53"/>
        <v>2204</v>
      </c>
      <c r="L71" s="1092"/>
      <c r="M71" s="555">
        <f>SUMIF('Value added steel '!$D$80:$D$90,$D71,'Value added steel '!$M$80:$M$90)</f>
        <v>0</v>
      </c>
      <c r="N71" s="632"/>
      <c r="O71" s="630">
        <f t="shared" si="54"/>
        <v>2204</v>
      </c>
      <c r="P71" s="1092"/>
      <c r="Q71" s="555">
        <f>SUMIF('Value added steel '!$D$80:$D$90,$D71,'Value added steel '!$Q$80:$Q$90)</f>
        <v>0</v>
      </c>
      <c r="R71" s="632"/>
      <c r="S71" s="630">
        <f t="shared" si="114"/>
        <v>2204</v>
      </c>
      <c r="T71" s="1092"/>
      <c r="U71" s="555">
        <f>SUMIF('Value added steel '!$D$80:$D$90,$D71,'Value added steel '!$U$80:$U$90)</f>
        <v>5899.3739999999998</v>
      </c>
      <c r="V71" s="632"/>
      <c r="W71" s="630">
        <f t="shared" ref="W71:W73" si="123">S71+U71</f>
        <v>8103.3739999999998</v>
      </c>
      <c r="X71" s="630"/>
      <c r="Y71" s="555">
        <f>SUMIF('Value added steel '!$D$80:$D$90,$D71,'Value added steel '!$Y$80:$Y$90)</f>
        <v>0</v>
      </c>
      <c r="Z71" s="632"/>
      <c r="AA71" s="2213">
        <f t="shared" si="115"/>
        <v>5899.3739999999998</v>
      </c>
      <c r="AB71" s="2255"/>
      <c r="AC71" s="1172">
        <f t="shared" si="52"/>
        <v>8103.3739999999998</v>
      </c>
      <c r="AD71" s="630"/>
      <c r="AE71" s="555">
        <f>SUMIF('Value added steel '!$D$80:$D$90,$D71,'Value added steel '!$AE$80:$AE$90)</f>
        <v>5183.3339999999998</v>
      </c>
      <c r="AF71" s="632"/>
      <c r="AG71" s="630">
        <f t="shared" si="116"/>
        <v>11082.707999999999</v>
      </c>
      <c r="AH71" s="630"/>
      <c r="AI71" s="555">
        <f>SUMIF('Value added steel '!$D$80:$D$90,$D71,'Value added steel '!$AI$80:$AI$90)</f>
        <v>0</v>
      </c>
      <c r="AJ71" s="632"/>
      <c r="AK71" s="625">
        <f t="shared" si="117"/>
        <v>13286.707999999999</v>
      </c>
      <c r="AL71" s="630"/>
      <c r="AM71" s="555">
        <f>SUMIF('Value added steel '!$D$80:$D$90,$D71,'Value added steel '!$AM$80:$AM$90)</f>
        <v>10406.448</v>
      </c>
      <c r="AN71" s="632"/>
      <c r="AO71" s="2213">
        <f t="shared" si="118"/>
        <v>15589.781999999999</v>
      </c>
      <c r="AP71" s="632"/>
      <c r="AQ71" s="625">
        <f t="shared" si="119"/>
        <v>21489.155999999999</v>
      </c>
      <c r="AR71" s="630"/>
      <c r="AS71" s="555">
        <f>SUMIF('Value added steel '!$D$80:$D$90,$D71,'Value added steel '!$AS$80:$AS$90)</f>
        <v>10251.306</v>
      </c>
      <c r="AT71" s="632"/>
      <c r="AU71" s="625">
        <f t="shared" si="120"/>
        <v>31740.462</v>
      </c>
      <c r="AV71" s="631"/>
      <c r="AW71" s="555">
        <f>SUMIF('Value added steel '!$D$80:$D$90,$D71,'Value added steel '!$AW$80:$AW$90)</f>
        <v>0</v>
      </c>
      <c r="AX71" s="632"/>
      <c r="AY71" s="625">
        <f t="shared" si="121"/>
        <v>31740.462</v>
      </c>
      <c r="AZ71" s="631"/>
      <c r="BA71" s="555">
        <f>SUMIF('Value added steel '!$D$80:$D$90,$D71,'Value added steel '!$BA$80:$BA$90)</f>
        <v>0</v>
      </c>
      <c r="BB71" s="631"/>
      <c r="BC71" s="2213">
        <f t="shared" si="122"/>
        <v>10251.306</v>
      </c>
      <c r="BD71" s="2255"/>
      <c r="BE71" s="1172">
        <f t="shared" ref="BE71:BE74" si="124">AO71+BC71</f>
        <v>25841.088</v>
      </c>
      <c r="BF71" s="631"/>
      <c r="BG71" s="625">
        <f t="shared" ref="BG71:BG74" si="125">AY71+BA71</f>
        <v>31740.462</v>
      </c>
      <c r="BH71" s="26"/>
      <c r="BI71" s="26"/>
    </row>
    <row r="72" spans="3:61" x14ac:dyDescent="0.3">
      <c r="C72" s="554" t="s">
        <v>979</v>
      </c>
      <c r="D72" s="554" t="s">
        <v>1121</v>
      </c>
      <c r="E72" s="4747"/>
      <c r="F72" s="554"/>
      <c r="G72" s="555">
        <f>SUMIF('Value added steel '!$D$80:$D$90,$D72,'Value added steel '!$G$80:$G$90)</f>
        <v>0</v>
      </c>
      <c r="H72" s="1092"/>
      <c r="I72" s="555">
        <f>SUMIF('Value added steel '!$D$80:$D$90,$D72,'Value added steel '!$I$80:$I$90)</f>
        <v>0</v>
      </c>
      <c r="J72" s="627"/>
      <c r="K72" s="625">
        <f t="shared" si="53"/>
        <v>0</v>
      </c>
      <c r="L72" s="1092"/>
      <c r="M72" s="555">
        <f>SUMIF('Value added steel '!$D$80:$D$90,$D72,'Value added steel '!$M$80:$M$90)</f>
        <v>0</v>
      </c>
      <c r="N72" s="632"/>
      <c r="O72" s="630">
        <f t="shared" si="54"/>
        <v>0</v>
      </c>
      <c r="P72" s="1092"/>
      <c r="Q72" s="555">
        <f>SUMIF('Value added steel '!$D$80:$D$90,$D72,'Value added steel '!$Q$80:$Q$90)</f>
        <v>0</v>
      </c>
      <c r="R72" s="632"/>
      <c r="S72" s="630">
        <f t="shared" si="114"/>
        <v>0</v>
      </c>
      <c r="T72" s="1092"/>
      <c r="U72" s="555">
        <f>SUMIF('Value added steel '!$D$80:$D$90,$D72,'Value added steel '!$U$80:$U$90)</f>
        <v>0</v>
      </c>
      <c r="V72" s="632"/>
      <c r="W72" s="630">
        <f t="shared" si="123"/>
        <v>0</v>
      </c>
      <c r="X72" s="630"/>
      <c r="Y72" s="555">
        <f>SUMIF('Value added steel '!$D$80:$D$90,$D72,'Value added steel '!$Y$80:$Y$90)</f>
        <v>0</v>
      </c>
      <c r="Z72" s="632"/>
      <c r="AA72" s="2213">
        <f t="shared" si="115"/>
        <v>0</v>
      </c>
      <c r="AB72" s="2255"/>
      <c r="AC72" s="1172">
        <f t="shared" si="52"/>
        <v>0</v>
      </c>
      <c r="AD72" s="630"/>
      <c r="AE72" s="555">
        <f>SUMIF('Value added steel '!$D$80:$D$90,$D72,'Value added steel '!$AE$80:$AE$90)</f>
        <v>0</v>
      </c>
      <c r="AF72" s="632"/>
      <c r="AG72" s="630">
        <f t="shared" si="116"/>
        <v>0</v>
      </c>
      <c r="AH72" s="630"/>
      <c r="AI72" s="555">
        <f>SUMIF('Value added steel '!$D$80:$D$90,$D72,'Value added steel '!$AI$80:$AI$90)</f>
        <v>0</v>
      </c>
      <c r="AJ72" s="632"/>
      <c r="AK72" s="625">
        <f t="shared" si="117"/>
        <v>0</v>
      </c>
      <c r="AL72" s="630"/>
      <c r="AM72" s="555">
        <f>SUMIF('Value added steel '!$D$80:$D$90,$D72,'Value added steel '!$AM$80:$AM$90)</f>
        <v>0</v>
      </c>
      <c r="AN72" s="632"/>
      <c r="AO72" s="2213">
        <f t="shared" si="118"/>
        <v>0</v>
      </c>
      <c r="AP72" s="632"/>
      <c r="AQ72" s="625">
        <f t="shared" si="119"/>
        <v>0</v>
      </c>
      <c r="AR72" s="630"/>
      <c r="AS72" s="555">
        <f>SUMIF('Value added steel '!$D$80:$D$90,$D72,'Value added steel '!$AS$80:$AS$90)</f>
        <v>0</v>
      </c>
      <c r="AT72" s="632"/>
      <c r="AU72" s="625">
        <f t="shared" si="120"/>
        <v>0</v>
      </c>
      <c r="AV72" s="699"/>
      <c r="AW72" s="555">
        <f>SUMIF('Value added steel '!$D$80:$D$90,$D72,'Value added steel '!$AW$80:$AW$90)</f>
        <v>0</v>
      </c>
      <c r="AX72" s="632"/>
      <c r="AY72" s="625">
        <f t="shared" si="121"/>
        <v>0</v>
      </c>
      <c r="AZ72" s="699"/>
      <c r="BA72" s="555">
        <f>SUMIF('Value added steel '!$D$80:$D$90,$D72,'Value added steel '!$BA$80:$BA$90)</f>
        <v>0</v>
      </c>
      <c r="BB72" s="699"/>
      <c r="BC72" s="2213">
        <f t="shared" si="122"/>
        <v>0</v>
      </c>
      <c r="BD72" s="2255"/>
      <c r="BE72" s="1172">
        <f t="shared" si="124"/>
        <v>0</v>
      </c>
      <c r="BF72" s="699"/>
      <c r="BG72" s="625">
        <f t="shared" si="125"/>
        <v>0</v>
      </c>
      <c r="BH72" s="26"/>
      <c r="BI72" s="1219"/>
    </row>
    <row r="73" spans="3:61" s="149" customFormat="1" x14ac:dyDescent="0.3">
      <c r="C73" s="554" t="s">
        <v>979</v>
      </c>
      <c r="D73" s="554" t="s">
        <v>675</v>
      </c>
      <c r="E73" s="4747"/>
      <c r="F73" s="554"/>
      <c r="G73" s="555">
        <f>SUMIF('Value added steel '!$D$80:$D$90,$D73,'Value added steel '!$G$80:$G$90)</f>
        <v>0</v>
      </c>
      <c r="H73" s="1092"/>
      <c r="I73" s="555">
        <f>SUMIF('Value added steel '!$D$80:$D$90,$D73,'Value added steel '!$I$80:$I$90)</f>
        <v>0</v>
      </c>
      <c r="J73" s="627"/>
      <c r="K73" s="625">
        <f t="shared" si="53"/>
        <v>0</v>
      </c>
      <c r="L73" s="1092"/>
      <c r="M73" s="555">
        <f>SUMIF('Value added steel '!$D$80:$D$90,$D73,'Value added steel '!$M$80:$M$90)</f>
        <v>0</v>
      </c>
      <c r="N73" s="632"/>
      <c r="O73" s="630">
        <f t="shared" si="54"/>
        <v>0</v>
      </c>
      <c r="P73" s="1092"/>
      <c r="Q73" s="555">
        <f>SUMIF('Value added steel '!$D$80:$D$90,$D73,'Value added steel '!$Q$80:$Q$90)</f>
        <v>0</v>
      </c>
      <c r="R73" s="632"/>
      <c r="S73" s="630">
        <f t="shared" si="114"/>
        <v>0</v>
      </c>
      <c r="T73" s="1092"/>
      <c r="U73" s="555">
        <f>SUMIF('Value added steel '!$D$80:$D$90,$D73,'Value added steel '!$U$80:$U$90)</f>
        <v>0</v>
      </c>
      <c r="V73" s="632"/>
      <c r="W73" s="630">
        <f t="shared" si="123"/>
        <v>0</v>
      </c>
      <c r="X73" s="630"/>
      <c r="Y73" s="555">
        <f>SUMIF('Value added steel '!$D$80:$D$90,$D73,'Value added steel '!$Y$80:$Y$90)</f>
        <v>0</v>
      </c>
      <c r="Z73" s="632"/>
      <c r="AA73" s="2213">
        <f t="shared" si="115"/>
        <v>0</v>
      </c>
      <c r="AB73" s="2255"/>
      <c r="AC73" s="1172">
        <f t="shared" si="52"/>
        <v>0</v>
      </c>
      <c r="AD73" s="630"/>
      <c r="AE73" s="555">
        <f>SUMIF('Value added steel '!$D$80:$D$90,$D73,'Value added steel '!$AE$80:$AE$90)</f>
        <v>0</v>
      </c>
      <c r="AF73" s="632"/>
      <c r="AG73" s="630">
        <f t="shared" si="116"/>
        <v>0</v>
      </c>
      <c r="AH73" s="630"/>
      <c r="AI73" s="555">
        <f>SUMIF('Value added steel '!$D$80:$D$90,$D73,'Value added steel '!$AI$80:$AI$90)</f>
        <v>0</v>
      </c>
      <c r="AJ73" s="632"/>
      <c r="AK73" s="625">
        <f t="shared" si="117"/>
        <v>0</v>
      </c>
      <c r="AL73" s="630"/>
      <c r="AM73" s="555">
        <f>SUMIF('Value added steel '!$D$80:$D$90,$D73,'Value added steel '!$AM$80:$AM$90)</f>
        <v>0</v>
      </c>
      <c r="AN73" s="632"/>
      <c r="AO73" s="2213">
        <f t="shared" si="118"/>
        <v>0</v>
      </c>
      <c r="AP73" s="632"/>
      <c r="AQ73" s="625">
        <f t="shared" si="119"/>
        <v>0</v>
      </c>
      <c r="AR73" s="630"/>
      <c r="AS73" s="555">
        <f>SUMIF('Value added steel '!$D$80:$D$90,$D73,'Value added steel '!$AS$80:$AS$90)</f>
        <v>0</v>
      </c>
      <c r="AT73" s="632"/>
      <c r="AU73" s="625">
        <f t="shared" si="120"/>
        <v>0</v>
      </c>
      <c r="AW73" s="555">
        <f>SUMIF('Value added steel '!$D$80:$D$90,$D73,'Value added steel '!$AW$80:$AW$90)</f>
        <v>0</v>
      </c>
      <c r="AX73" s="632"/>
      <c r="AY73" s="625">
        <f t="shared" si="121"/>
        <v>0</v>
      </c>
      <c r="BA73" s="555">
        <f>SUMIF('Value added steel '!$D$80:$D$90,$D73,'Value added steel '!$BA$80:$BA$90)</f>
        <v>0</v>
      </c>
      <c r="BC73" s="2213">
        <f t="shared" si="122"/>
        <v>0</v>
      </c>
      <c r="BE73" s="1172">
        <f t="shared" si="124"/>
        <v>0</v>
      </c>
      <c r="BG73" s="625">
        <f t="shared" si="125"/>
        <v>0</v>
      </c>
      <c r="BH73" s="26"/>
      <c r="BI73" s="26"/>
    </row>
    <row r="74" spans="3:61" x14ac:dyDescent="0.3">
      <c r="C74" s="554" t="s">
        <v>979</v>
      </c>
      <c r="D74" s="554" t="s">
        <v>1078</v>
      </c>
      <c r="E74" s="4747"/>
      <c r="F74" s="554"/>
      <c r="G74" s="555">
        <f>SUMIF('Value added steel '!$D$80:$D$90,$D74,'Value added steel '!$G$80:$G$90)</f>
        <v>0</v>
      </c>
      <c r="H74" s="1092"/>
      <c r="I74" s="555">
        <f>SUMIF('Value added steel '!$D$80:$D$90,$D74,'Value added steel '!$I$80:$I$90)</f>
        <v>0</v>
      </c>
      <c r="J74" s="627"/>
      <c r="K74" s="625">
        <f t="shared" si="53"/>
        <v>0</v>
      </c>
      <c r="L74" s="1092"/>
      <c r="M74" s="555">
        <f>SUMIF('Value added steel '!$D$80:$D$90,$D74,'Value added steel '!$M$80:$M$90)</f>
        <v>0</v>
      </c>
      <c r="N74" s="632"/>
      <c r="O74" s="630">
        <f t="shared" si="54"/>
        <v>0</v>
      </c>
      <c r="P74" s="1092"/>
      <c r="Q74" s="555">
        <f>SUMIF('Value added steel '!$D$80:$D$90,$D74,'Value added steel '!$Q$80:$Q$90)</f>
        <v>0</v>
      </c>
      <c r="R74" s="632"/>
      <c r="S74" s="630">
        <f t="shared" ref="S74" si="126">+K74+M74+Q74</f>
        <v>0</v>
      </c>
      <c r="T74" s="1092"/>
      <c r="U74" s="555">
        <f>SUMIF('Value added steel '!$D$80:$D$90,$D74,'Value added steel '!$U$80:$U$90)</f>
        <v>0</v>
      </c>
      <c r="V74" s="632"/>
      <c r="W74" s="630">
        <f t="shared" ref="W74" si="127">+O74+Q74+U74</f>
        <v>0</v>
      </c>
      <c r="X74" s="630"/>
      <c r="Y74" s="555">
        <f>SUMIF('Value added steel '!$D$80:$D$90,$D74,'Value added steel '!$Y$80:$Y$90)</f>
        <v>0</v>
      </c>
      <c r="Z74" s="632"/>
      <c r="AA74" s="2213">
        <f t="shared" si="115"/>
        <v>0</v>
      </c>
      <c r="AB74" s="2255"/>
      <c r="AC74" s="1172">
        <f t="shared" si="52"/>
        <v>0</v>
      </c>
      <c r="AD74" s="630"/>
      <c r="AE74" s="555">
        <f>SUMIF('Value added steel '!$D$80:$D$90,$D74,'Value added steel '!$AE$80:$AE$90)</f>
        <v>0</v>
      </c>
      <c r="AF74" s="632"/>
      <c r="AG74" s="630">
        <f t="shared" si="116"/>
        <v>0</v>
      </c>
      <c r="AH74" s="630"/>
      <c r="AI74" s="555">
        <f>SUMIF('Value added steel '!$D$80:$D$90,$D74,'Value added steel '!$AI$80:$AI$90)</f>
        <v>0</v>
      </c>
      <c r="AJ74" s="632"/>
      <c r="AK74" s="625">
        <f t="shared" si="117"/>
        <v>0</v>
      </c>
      <c r="AL74" s="630"/>
      <c r="AM74" s="555">
        <f>SUMIF('Value added steel '!$D$80:$D$90,$D74,'Value added steel '!$AM$80:$AM$90)</f>
        <v>0</v>
      </c>
      <c r="AN74" s="632"/>
      <c r="AO74" s="2213">
        <f t="shared" si="118"/>
        <v>0</v>
      </c>
      <c r="AP74" s="632"/>
      <c r="AQ74" s="625">
        <f t="shared" si="119"/>
        <v>0</v>
      </c>
      <c r="AR74" s="630"/>
      <c r="AS74" s="555">
        <f>SUMIF('Value added steel '!$D$80:$D$90,$D74,'Value added steel '!$AS$80:$AS$90)</f>
        <v>0</v>
      </c>
      <c r="AT74" s="632"/>
      <c r="AU74" s="625">
        <f t="shared" si="120"/>
        <v>0</v>
      </c>
      <c r="AW74" s="555">
        <f>SUMIF('Value added steel '!$D$80:$D$90,$D74,'Value added steel '!$AW$80:$AW$90)</f>
        <v>0</v>
      </c>
      <c r="AX74" s="632"/>
      <c r="AY74" s="625">
        <f t="shared" si="121"/>
        <v>0</v>
      </c>
      <c r="BA74" s="555">
        <f>SUMIF('Value added steel '!$D$80:$D$90,$D74,'Value added steel '!$BA$80:$BA$90)</f>
        <v>0</v>
      </c>
      <c r="BC74" s="2213">
        <f t="shared" si="122"/>
        <v>0</v>
      </c>
      <c r="BE74" s="1172">
        <f t="shared" si="124"/>
        <v>0</v>
      </c>
      <c r="BG74" s="625">
        <f t="shared" si="125"/>
        <v>0</v>
      </c>
      <c r="BH74" s="26"/>
    </row>
    <row r="75" spans="3:61" x14ac:dyDescent="0.3">
      <c r="C75" s="6415" t="s">
        <v>1041</v>
      </c>
      <c r="D75" s="6415"/>
      <c r="E75" s="4747"/>
      <c r="F75" s="634"/>
      <c r="G75" s="635">
        <f>SUM(G70:G74)</f>
        <v>0</v>
      </c>
      <c r="H75" s="637"/>
      <c r="I75" s="635">
        <f>SUM(I70:I74)</f>
        <v>2204</v>
      </c>
      <c r="J75" s="637"/>
      <c r="K75" s="636">
        <f>SUM(K70:K74)</f>
        <v>2204</v>
      </c>
      <c r="L75" s="637"/>
      <c r="M75" s="635">
        <f>SUM(M70:M74)</f>
        <v>0</v>
      </c>
      <c r="N75" s="637"/>
      <c r="O75" s="635">
        <f>SUM(O70:O74)</f>
        <v>2204</v>
      </c>
      <c r="P75" s="637"/>
      <c r="Q75" s="635">
        <f>SUM(Q70:Q74)</f>
        <v>0</v>
      </c>
      <c r="R75" s="637"/>
      <c r="S75" s="635">
        <f>SUM(S70:S74)</f>
        <v>2204</v>
      </c>
      <c r="T75" s="637"/>
      <c r="U75" s="635">
        <f>SUM(U70:U74)</f>
        <v>5899.3739999999998</v>
      </c>
      <c r="V75" s="637"/>
      <c r="W75" s="635">
        <f>SUM(W70:W74)</f>
        <v>8103.3739999999998</v>
      </c>
      <c r="X75" s="635"/>
      <c r="Y75" s="635">
        <f>SUM(Y70:Y74)</f>
        <v>0</v>
      </c>
      <c r="Z75" s="637"/>
      <c r="AA75" s="2214">
        <f>SUM(AA70:AA74)</f>
        <v>5899.3739999999998</v>
      </c>
      <c r="AB75" s="2255"/>
      <c r="AC75" s="2214">
        <f t="shared" si="52"/>
        <v>8103.3739999999998</v>
      </c>
      <c r="AD75" s="635"/>
      <c r="AE75" s="635">
        <f>SUM(AE70:AE74)</f>
        <v>5183.3339999999998</v>
      </c>
      <c r="AF75" s="637"/>
      <c r="AG75" s="635">
        <f>SUM(AG70:AG74)</f>
        <v>11082.707999999999</v>
      </c>
      <c r="AH75" s="635"/>
      <c r="AI75" s="635">
        <f>SUM(AI70:AI74)</f>
        <v>0</v>
      </c>
      <c r="AJ75" s="637"/>
      <c r="AK75" s="635">
        <f>SUM(AK70:AK74)</f>
        <v>13286.707999999999</v>
      </c>
      <c r="AL75" s="635"/>
      <c r="AM75" s="635">
        <f>SUM(AM70:AM74)</f>
        <v>10406.448</v>
      </c>
      <c r="AN75" s="637"/>
      <c r="AO75" s="2214">
        <f>SUM(AO70:AO74)</f>
        <v>15589.781999999999</v>
      </c>
      <c r="AP75" s="637"/>
      <c r="AQ75" s="635">
        <f>SUM(AQ70:AQ74)</f>
        <v>21489.155999999999</v>
      </c>
      <c r="AR75" s="635"/>
      <c r="AS75" s="635">
        <f>SUM(AS70:AS74)</f>
        <v>10251.306</v>
      </c>
      <c r="AT75" s="637"/>
      <c r="AU75" s="635">
        <f>SUM(AU70:AU74)</f>
        <v>31740.462</v>
      </c>
      <c r="AW75" s="635">
        <f>SUM(AW70:AW74)</f>
        <v>0</v>
      </c>
      <c r="AX75" s="637"/>
      <c r="AY75" s="635">
        <f>SUM(AY70:AY74)</f>
        <v>31740.462</v>
      </c>
      <c r="BA75" s="635">
        <f>SUM(BA70:BA74)</f>
        <v>0</v>
      </c>
      <c r="BC75" s="2214">
        <f>SUM(BC70:BC74)</f>
        <v>10251.306</v>
      </c>
      <c r="BE75" s="2214">
        <f>AO75+BC75</f>
        <v>25841.088</v>
      </c>
      <c r="BG75" s="635">
        <f>SUM(BG70:BG74)</f>
        <v>31740.462</v>
      </c>
    </row>
    <row r="76" spans="3:61" x14ac:dyDescent="0.3">
      <c r="C76" s="6416" t="s">
        <v>980</v>
      </c>
      <c r="D76" s="6416"/>
      <c r="E76" s="4748"/>
      <c r="F76" s="556"/>
      <c r="G76" s="557">
        <f>+G75+G69+G51+G45+G38</f>
        <v>133326.37900000004</v>
      </c>
      <c r="H76" s="557"/>
      <c r="I76" s="557">
        <f>+I75+I69+I51+I45+I38</f>
        <v>145232.24000000005</v>
      </c>
      <c r="J76" s="626"/>
      <c r="K76" s="625">
        <f t="shared" si="53"/>
        <v>278558.61900000006</v>
      </c>
      <c r="L76" s="557"/>
      <c r="M76" s="557">
        <f>+M75+M69+M51+M45+M38</f>
        <v>150885.35300000006</v>
      </c>
      <c r="N76" s="631"/>
      <c r="O76" s="631">
        <f t="shared" si="54"/>
        <v>429443.97200000013</v>
      </c>
      <c r="P76" s="557"/>
      <c r="Q76" s="557">
        <f>+Q75+Q69+Q51+Q45+Q38</f>
        <v>166011.57100000011</v>
      </c>
      <c r="R76" s="631"/>
      <c r="S76" s="631">
        <f t="shared" ref="S76" si="128">O76+Q76</f>
        <v>595455.5430000003</v>
      </c>
      <c r="T76" s="557"/>
      <c r="U76" s="557">
        <f>+U75+U69+U51+U45+U38</f>
        <v>138746.80700000006</v>
      </c>
      <c r="V76" s="631"/>
      <c r="W76" s="631">
        <f t="shared" ref="W76" si="129">S76+U76</f>
        <v>734202.35000000033</v>
      </c>
      <c r="X76" s="631"/>
      <c r="Y76" s="557">
        <f>+Y75+Y69+Y51+Y45+Y38</f>
        <v>139000.97400000007</v>
      </c>
      <c r="Z76" s="631"/>
      <c r="AA76" s="2215">
        <f>Q76+U76+Y76</f>
        <v>443759.35200000019</v>
      </c>
      <c r="AB76" s="2255"/>
      <c r="AC76" s="2445">
        <f t="shared" si="52"/>
        <v>873203.32400000026</v>
      </c>
      <c r="AD76" s="631"/>
      <c r="AE76" s="557">
        <f>+AE75+AE69+AE51+AE45+AE38</f>
        <v>120841.549</v>
      </c>
      <c r="AF76" s="631"/>
      <c r="AG76" s="631">
        <f t="shared" ref="AG76" si="130">AC76+AE76</f>
        <v>994044.87300000025</v>
      </c>
      <c r="AH76" s="631"/>
      <c r="AI76" s="557">
        <f>+AI75+AI69+AI51+AI45+AI38</f>
        <v>23268.486000000004</v>
      </c>
      <c r="AJ76" s="631"/>
      <c r="AK76" s="626">
        <f t="shared" ref="AK76" si="131">AG76+AI76</f>
        <v>1017313.3590000003</v>
      </c>
      <c r="AL76" s="631"/>
      <c r="AM76" s="557">
        <f>+AM75+AM69+AM51+AM45+AM38</f>
        <v>158936.62300000008</v>
      </c>
      <c r="AN76" s="631"/>
      <c r="AO76" s="2215">
        <f>AE76+AI76+AM76</f>
        <v>303046.65800000005</v>
      </c>
      <c r="AP76" s="631"/>
      <c r="AQ76" s="626">
        <f t="shared" ref="AQ76" si="132">AK76+AM76</f>
        <v>1176249.9820000003</v>
      </c>
      <c r="AR76" s="631"/>
      <c r="AS76" s="557">
        <f>+AS75+AS69+AS51+AS45+AS38</f>
        <v>158214.40200000009</v>
      </c>
      <c r="AT76" s="631"/>
      <c r="AU76" s="626">
        <f t="shared" si="120"/>
        <v>1334464.3840000003</v>
      </c>
      <c r="AW76" s="557">
        <f>+AW75+AW69+AW51+AW45+AW38</f>
        <v>140865.94400000005</v>
      </c>
      <c r="AX76" s="631"/>
      <c r="AY76" s="626">
        <f t="shared" ref="AY76" si="133">AU76+AW76</f>
        <v>1475330.3280000004</v>
      </c>
      <c r="BA76" s="557">
        <f>+BA75+BA69+BA51+BA45+BA38</f>
        <v>154930.47100000008</v>
      </c>
      <c r="BC76" s="2215">
        <f>AS76+AW76+BA76</f>
        <v>454010.81700000021</v>
      </c>
      <c r="BE76" s="2445">
        <f>AO76+BC76</f>
        <v>757057.47500000033</v>
      </c>
      <c r="BG76" s="625">
        <f t="shared" ref="BG76" si="134">AY76+BA76</f>
        <v>1630260.7990000006</v>
      </c>
    </row>
    <row r="77" spans="3:61" x14ac:dyDescent="0.3">
      <c r="C77" s="6412" t="s">
        <v>981</v>
      </c>
      <c r="D77" s="6412"/>
      <c r="E77" s="554" t="s">
        <v>982</v>
      </c>
      <c r="F77" s="554"/>
      <c r="G77" s="1121">
        <f>+G76/G79</f>
        <v>0.67065582997987949</v>
      </c>
      <c r="H77" s="638"/>
      <c r="I77" s="1121">
        <f>+I76/I79</f>
        <v>0.63607646094880776</v>
      </c>
      <c r="J77" s="1443"/>
      <c r="K77" s="1443">
        <f>+K76/K79</f>
        <v>0.65217099179383575</v>
      </c>
      <c r="L77" s="638"/>
      <c r="M77" s="1121">
        <f>+M76/M79</f>
        <v>0.66206781489233624</v>
      </c>
      <c r="N77" s="699"/>
      <c r="O77" s="699">
        <f>+O76/O79</f>
        <v>0.65561435120006839</v>
      </c>
      <c r="P77" s="638"/>
      <c r="Q77" s="1121">
        <f>+Q76/Q79</f>
        <v>0.68255744110966721</v>
      </c>
      <c r="R77" s="699"/>
      <c r="S77" s="699">
        <f>+S76/S79</f>
        <v>0.66290979383843185</v>
      </c>
      <c r="T77" s="638"/>
      <c r="U77" s="1121">
        <f>+U76/U79</f>
        <v>0.63342579325726178</v>
      </c>
      <c r="V77" s="699"/>
      <c r="W77" s="699">
        <f>+W76/W79</f>
        <v>0.65712951395559449</v>
      </c>
      <c r="X77" s="699"/>
      <c r="Y77" s="1121">
        <f>+Y76/Y79</f>
        <v>0.62381069361200037</v>
      </c>
      <c r="Z77" s="699"/>
      <c r="AA77" s="2216">
        <f>+AA76/AA79</f>
        <v>0.64774120084346731</v>
      </c>
      <c r="AB77" s="2255"/>
      <c r="AC77" s="2444">
        <f>AC76/AC79</f>
        <v>0.65158946859113542</v>
      </c>
      <c r="AD77" s="699"/>
      <c r="AE77" s="638">
        <f>+AE76/AE79</f>
        <v>0.6467981510450993</v>
      </c>
      <c r="AF77" s="699"/>
      <c r="AG77" s="699">
        <f>+AG76/AG79</f>
        <v>0.65100322296215996</v>
      </c>
      <c r="AH77" s="699"/>
      <c r="AI77" s="638">
        <f>+AI76/AI79</f>
        <v>0.57726641926201649</v>
      </c>
      <c r="AJ77" s="699"/>
      <c r="AK77" s="1443">
        <f>+AK76/AK79</f>
        <v>0.64910678978593794</v>
      </c>
      <c r="AL77" s="699"/>
      <c r="AM77" s="638">
        <f>+AM76/AM79</f>
        <v>0.69923570075064256</v>
      </c>
      <c r="AN77" s="699"/>
      <c r="AO77" s="2216">
        <f>+AO76/AO79</f>
        <v>0.66685891515697815</v>
      </c>
      <c r="AP77" s="699"/>
      <c r="AQ77" s="1443">
        <f>+AQ76/AQ79</f>
        <v>0.6554561899138196</v>
      </c>
      <c r="AR77" s="699"/>
      <c r="AS77" s="638">
        <f>+AS76/AS79</f>
        <v>0.67209971733302998</v>
      </c>
      <c r="AT77" s="699"/>
      <c r="AU77" s="1443">
        <f>+AU76/AU79</f>
        <v>0.65738625212346924</v>
      </c>
      <c r="AW77" s="638">
        <f>+AW76/AW79</f>
        <v>0.67459330961549446</v>
      </c>
      <c r="AX77" s="699"/>
      <c r="AY77" s="1443">
        <f>+AY76/AY79</f>
        <v>0.65899120000946998</v>
      </c>
      <c r="BA77" s="638">
        <f>+BA76/BA79</f>
        <v>0.64346563732413309</v>
      </c>
      <c r="BC77" s="2216">
        <f>+BC76/BC79</f>
        <v>0.66279501264825824</v>
      </c>
      <c r="BE77" s="2444">
        <f>BE76/BE79</f>
        <v>0.66441581451183906</v>
      </c>
      <c r="BG77" s="1443">
        <f>+BG76/BG79</f>
        <v>0.65748359813664714</v>
      </c>
    </row>
    <row r="78" spans="3:61" x14ac:dyDescent="0.3"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2225"/>
      <c r="AD78" s="149"/>
      <c r="AE78" s="149"/>
      <c r="AF78" s="149"/>
      <c r="AG78" s="149"/>
      <c r="AH78" s="149"/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W78" s="149"/>
      <c r="AX78" s="149"/>
      <c r="AY78" s="149"/>
      <c r="BA78" s="149"/>
      <c r="BC78" s="149"/>
      <c r="BE78" s="2225"/>
      <c r="BG78" s="149"/>
    </row>
    <row r="79" spans="3:61" x14ac:dyDescent="0.3">
      <c r="C79" s="6413" t="s">
        <v>1039</v>
      </c>
      <c r="D79" s="6414"/>
      <c r="E79" s="556" t="s">
        <v>66</v>
      </c>
      <c r="F79" s="624">
        <f>+'Maj Production Summ'!E37</f>
        <v>228999.81536860339</v>
      </c>
      <c r="G79" s="624">
        <f>+'Maj Production Summ'!F37</f>
        <v>198800</v>
      </c>
      <c r="H79" s="624"/>
      <c r="I79" s="624">
        <f>+'Maj Production Summ'!H37</f>
        <v>228325.12900000007</v>
      </c>
      <c r="J79" s="629"/>
      <c r="K79" s="629">
        <f>+'Maj Production Summ'!J37</f>
        <v>427125.12900000007</v>
      </c>
      <c r="L79" s="624">
        <f>+'Maj Production Summ'!K37</f>
        <v>229000.11088311521</v>
      </c>
      <c r="M79" s="624">
        <f>+'Maj Production Summ'!L37</f>
        <v>227900.14800000004</v>
      </c>
      <c r="N79" s="633"/>
      <c r="O79" s="633">
        <f>+G79+I79+M79</f>
        <v>655025.27700000012</v>
      </c>
      <c r="P79" s="624">
        <f>+'Maj Production Summ'!O37</f>
        <v>231500.1413553209</v>
      </c>
      <c r="Q79" s="624">
        <f>+'Maj Production Summ'!P37</f>
        <v>243219.92700000008</v>
      </c>
      <c r="R79" s="633"/>
      <c r="S79" s="633">
        <f t="shared" ref="S79" si="135">O79+Q79</f>
        <v>898245.20400000014</v>
      </c>
      <c r="T79" s="624">
        <f>+'Maj Production Summ'!S37</f>
        <v>231500.1413553209</v>
      </c>
      <c r="U79" s="624">
        <f>+'Maj Production Summ'!T37</f>
        <v>219041.92800000004</v>
      </c>
      <c r="V79" s="633"/>
      <c r="W79" s="633">
        <f t="shared" ref="W79" si="136">S79+U79</f>
        <v>1117287.1320000002</v>
      </c>
      <c r="X79" s="633"/>
      <c r="Y79" s="624">
        <f>+'Maj Production Summ'!X37</f>
        <v>222825.57100000005</v>
      </c>
      <c r="Z79" s="633"/>
      <c r="AA79" s="2217">
        <f>Q79+U79+Y79</f>
        <v>685087.42600000021</v>
      </c>
      <c r="AB79" s="2218"/>
      <c r="AC79" s="1172">
        <f>O79+AA79</f>
        <v>1340112.7030000002</v>
      </c>
      <c r="AD79" s="633"/>
      <c r="AE79" s="624">
        <f>+'Maj Production Summ'!AD37</f>
        <v>186830.38720000003</v>
      </c>
      <c r="AF79" s="633"/>
      <c r="AG79" s="633">
        <f t="shared" ref="AG79" si="137">AC79+AE79</f>
        <v>1526943.0902000002</v>
      </c>
      <c r="AH79" s="633"/>
      <c r="AI79" s="624">
        <f>+'Maj Production Summ'!AH37</f>
        <v>40308.054000000004</v>
      </c>
      <c r="AJ79" s="633"/>
      <c r="AK79" s="629">
        <f t="shared" ref="AK79" si="138">AG79+AI79</f>
        <v>1567251.1442000002</v>
      </c>
      <c r="AL79" s="633"/>
      <c r="AM79" s="624">
        <f>+'Maj Production Summ'!AL37</f>
        <v>227300.49800000008</v>
      </c>
      <c r="AN79" s="633"/>
      <c r="AO79" s="2217">
        <f>AE79+AI79+AM79</f>
        <v>454438.93920000014</v>
      </c>
      <c r="AP79" s="633"/>
      <c r="AQ79" s="629">
        <f t="shared" ref="AQ79" si="139">AK79+AM79</f>
        <v>1794551.6422000004</v>
      </c>
      <c r="AR79" s="633"/>
      <c r="AS79" s="624">
        <f>+'Maj Production Summ'!AR37</f>
        <v>235403.16700000007</v>
      </c>
      <c r="AT79" s="633"/>
      <c r="AU79" s="629">
        <f t="shared" ref="AU79" si="140">AQ79+AS79</f>
        <v>2029954.8092000005</v>
      </c>
      <c r="AW79" s="624">
        <f>+'Maj Production Summ'!AV37</f>
        <v>208816.1</v>
      </c>
      <c r="AX79" s="633"/>
      <c r="AY79" s="629">
        <f t="shared" ref="AY79" si="141">AU79+AW79</f>
        <v>2238770.9092000006</v>
      </c>
      <c r="BA79" s="624">
        <f>+'Maj Production Summ'!AZ37</f>
        <v>240775.0500000001</v>
      </c>
      <c r="BC79" s="2217">
        <f>AS79+AW79+BA79</f>
        <v>684994.31700000027</v>
      </c>
      <c r="BE79" s="1172">
        <f>AO79+BC79</f>
        <v>1139433.2562000004</v>
      </c>
      <c r="BG79" s="625">
        <f t="shared" ref="BG79" si="142">AY79+BA79</f>
        <v>2479545.9592000009</v>
      </c>
    </row>
    <row r="80" spans="3:61" x14ac:dyDescent="0.3">
      <c r="BE80" s="542"/>
    </row>
    <row r="82" spans="7:15" x14ac:dyDescent="0.3">
      <c r="G82" s="26"/>
      <c r="H82" s="26"/>
      <c r="I82" s="26"/>
      <c r="J82" s="26"/>
      <c r="K82" s="26"/>
      <c r="L82" s="26"/>
      <c r="M82" s="26"/>
      <c r="O82" s="26"/>
    </row>
    <row r="83" spans="7:15" x14ac:dyDescent="0.3">
      <c r="G83" s="26"/>
      <c r="I83" s="26"/>
      <c r="K83" s="26"/>
      <c r="M83" s="26"/>
      <c r="O83" s="26"/>
    </row>
    <row r="84" spans="7:15" x14ac:dyDescent="0.3">
      <c r="G84" s="26"/>
      <c r="I84" s="26"/>
      <c r="K84" s="26"/>
      <c r="M84" s="26"/>
      <c r="O84" s="26"/>
    </row>
    <row r="85" spans="7:15" x14ac:dyDescent="0.3">
      <c r="G85" s="26"/>
      <c r="I85" s="26"/>
      <c r="M85" s="26"/>
    </row>
    <row r="86" spans="7:15" x14ac:dyDescent="0.3">
      <c r="G86" s="26"/>
      <c r="I86" s="26"/>
      <c r="K86" s="26"/>
      <c r="M86" s="26"/>
    </row>
  </sheetData>
  <mergeCells count="36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P3:AQ3"/>
    <mergeCell ref="AN3:AO3"/>
    <mergeCell ref="C77:D77"/>
    <mergeCell ref="C79:D79"/>
    <mergeCell ref="C38:D38"/>
    <mergeCell ref="C45:D45"/>
    <mergeCell ref="C51:D51"/>
    <mergeCell ref="C69:D69"/>
    <mergeCell ref="C75:D75"/>
    <mergeCell ref="C76:D76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AH3:AI3"/>
    <mergeCell ref="AJ3:AK3"/>
    <mergeCell ref="AD3:AE3"/>
    <mergeCell ref="AF3:AG3"/>
    <mergeCell ref="Z3:AA3"/>
    <mergeCell ref="AB3:AC3"/>
  </mergeCells>
  <printOptions horizontalCentered="1" verticalCentered="1"/>
  <pageMargins left="0" right="0" top="0" bottom="0" header="0" footer="0"/>
  <pageSetup scale="5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B2:BF21"/>
  <sheetViews>
    <sheetView topLeftCell="B1" workbookViewId="0">
      <pane xSplit="2" topLeftCell="D1" activePane="topRight" state="frozen"/>
      <selection activeCell="B1" sqref="B1"/>
      <selection pane="topRight" activeCell="J21" sqref="J21"/>
    </sheetView>
  </sheetViews>
  <sheetFormatPr defaultRowHeight="15" x14ac:dyDescent="0.25"/>
  <cols>
    <col min="1" max="1" width="0" hidden="1" customWidth="1"/>
    <col min="2" max="2" width="27.140625" bestFit="1" customWidth="1"/>
    <col min="3" max="3" width="22.42578125" hidden="1" customWidth="1"/>
    <col min="4" max="4" width="8" bestFit="1" customWidth="1"/>
    <col min="5" max="16" width="9.140625" customWidth="1"/>
    <col min="17" max="23" width="9.140625" hidden="1" customWidth="1"/>
    <col min="24" max="24" width="9.42578125" hidden="1" customWidth="1"/>
    <col min="25" max="55" width="9.140625" hidden="1" customWidth="1"/>
    <col min="56" max="56" width="12.7109375" hidden="1" customWidth="1"/>
  </cols>
  <sheetData>
    <row r="2" spans="2:58" x14ac:dyDescent="0.25">
      <c r="B2" s="6417" t="s">
        <v>2243</v>
      </c>
      <c r="C2" s="6417"/>
      <c r="D2" s="6417"/>
      <c r="E2" s="6417"/>
      <c r="F2" s="6417"/>
      <c r="G2" s="6417"/>
      <c r="H2" s="6417"/>
      <c r="I2" s="6417"/>
      <c r="J2" s="6417"/>
      <c r="K2" s="6417"/>
      <c r="L2" s="6417"/>
      <c r="M2" s="6417"/>
      <c r="N2" s="6417"/>
      <c r="O2" s="6417"/>
      <c r="P2" s="6417"/>
      <c r="Q2" s="6417"/>
      <c r="R2" s="6417"/>
      <c r="S2" s="6417"/>
      <c r="T2" s="6417"/>
      <c r="U2" s="6417"/>
      <c r="V2" s="6417"/>
      <c r="W2" s="6417"/>
      <c r="X2" s="6417"/>
      <c r="Y2" s="6417"/>
      <c r="Z2" s="6417"/>
      <c r="AA2" s="6417"/>
      <c r="AB2" s="6417"/>
      <c r="AC2" s="6417"/>
      <c r="AD2" s="6417"/>
      <c r="AE2" s="6417"/>
      <c r="AF2" s="6417"/>
      <c r="AG2" s="6417"/>
      <c r="AH2" s="6417"/>
      <c r="AI2" s="6417"/>
      <c r="AJ2" s="6417"/>
      <c r="AK2" s="6417"/>
      <c r="AL2" s="6417"/>
      <c r="AM2" s="6417"/>
      <c r="AN2" s="6417"/>
      <c r="AO2" s="6417"/>
      <c r="AP2" s="6417"/>
      <c r="AQ2" s="6417"/>
      <c r="AR2" s="6417"/>
      <c r="AS2" s="6417"/>
      <c r="AT2" s="6417"/>
      <c r="AU2" s="6417"/>
      <c r="AV2" s="6417"/>
      <c r="AW2" s="6417"/>
      <c r="AX2" s="6417"/>
      <c r="AY2" s="6417"/>
      <c r="AZ2" s="6417"/>
      <c r="BA2" s="6417"/>
      <c r="BB2" s="6417"/>
      <c r="BC2" s="6417"/>
      <c r="BD2" s="6417"/>
    </row>
    <row r="3" spans="2:58" ht="21" customHeight="1" x14ac:dyDescent="0.25">
      <c r="B3" s="6417"/>
      <c r="C3" s="6417"/>
      <c r="D3" s="6417"/>
      <c r="E3" s="6417"/>
      <c r="F3" s="6417"/>
      <c r="G3" s="6417"/>
      <c r="H3" s="6417"/>
      <c r="I3" s="6417"/>
      <c r="J3" s="6417"/>
      <c r="K3" s="6417"/>
      <c r="L3" s="6417"/>
      <c r="M3" s="6417"/>
      <c r="N3" s="6417"/>
      <c r="O3" s="6417"/>
      <c r="P3" s="6417"/>
      <c r="Q3" s="6417"/>
      <c r="R3" s="6417"/>
      <c r="S3" s="6417"/>
      <c r="T3" s="6417"/>
      <c r="U3" s="6417"/>
      <c r="V3" s="6417"/>
      <c r="W3" s="6417"/>
      <c r="X3" s="6417"/>
      <c r="Y3" s="6417"/>
      <c r="Z3" s="6417"/>
      <c r="AA3" s="6417"/>
      <c r="AB3" s="6417"/>
      <c r="AC3" s="6417"/>
      <c r="AD3" s="6417"/>
      <c r="AE3" s="6417"/>
      <c r="AF3" s="6417"/>
      <c r="AG3" s="6417"/>
      <c r="AH3" s="6417"/>
      <c r="AI3" s="6417"/>
      <c r="AJ3" s="6417"/>
      <c r="AK3" s="6417"/>
      <c r="AL3" s="6417"/>
      <c r="AM3" s="6417"/>
      <c r="AN3" s="6417"/>
      <c r="AO3" s="6417"/>
      <c r="AP3" s="6417"/>
      <c r="AQ3" s="6417"/>
      <c r="AR3" s="6417"/>
      <c r="AS3" s="6417"/>
      <c r="AT3" s="6417"/>
      <c r="AU3" s="6417"/>
      <c r="AV3" s="6417"/>
      <c r="AW3" s="6417"/>
      <c r="AX3" s="6417"/>
      <c r="AY3" s="6417"/>
      <c r="AZ3" s="6417"/>
      <c r="BA3" s="6417"/>
      <c r="BB3" s="6417"/>
      <c r="BC3" s="6417"/>
      <c r="BD3" s="6417"/>
    </row>
    <row r="4" spans="2:58" thickBot="1" x14ac:dyDescent="0.35">
      <c r="B4" s="2836"/>
      <c r="C4" s="2836"/>
      <c r="D4" s="2836"/>
      <c r="E4" s="2836"/>
      <c r="F4" s="2836"/>
      <c r="G4" s="2836"/>
      <c r="H4" s="2836"/>
      <c r="I4" s="2836"/>
      <c r="J4" s="2836"/>
      <c r="K4" s="2836"/>
      <c r="L4" s="2836"/>
      <c r="M4" s="2836"/>
      <c r="N4" s="2836"/>
      <c r="O4" s="2836"/>
      <c r="P4" s="2836"/>
      <c r="Q4" s="2836"/>
      <c r="R4" s="2836"/>
      <c r="S4" s="2836"/>
      <c r="T4" s="2836"/>
      <c r="U4" s="2836"/>
      <c r="V4" s="2836"/>
      <c r="W4" s="2836"/>
    </row>
    <row r="5" spans="2:58" ht="20.45" x14ac:dyDescent="0.3">
      <c r="B5" s="4786" t="s">
        <v>1760</v>
      </c>
      <c r="C5" s="6424" t="s">
        <v>2190</v>
      </c>
      <c r="D5" s="6424"/>
      <c r="E5" s="6424" t="s">
        <v>2242</v>
      </c>
      <c r="F5" s="6424"/>
      <c r="G5" s="6424" t="s">
        <v>14</v>
      </c>
      <c r="H5" s="6424"/>
      <c r="I5" s="6418" t="s">
        <v>2273</v>
      </c>
      <c r="J5" s="6419"/>
      <c r="K5" s="6425" t="s">
        <v>637</v>
      </c>
      <c r="L5" s="6426"/>
      <c r="M5" s="6418" t="s">
        <v>2296</v>
      </c>
      <c r="N5" s="6419"/>
      <c r="O5" s="6420" t="s">
        <v>17</v>
      </c>
      <c r="P5" s="6420"/>
      <c r="Q5" s="6418" t="s">
        <v>1924</v>
      </c>
      <c r="R5" s="6419"/>
      <c r="S5" s="6420" t="s">
        <v>18</v>
      </c>
      <c r="T5" s="6420"/>
      <c r="U5" s="6418" t="s">
        <v>1942</v>
      </c>
      <c r="V5" s="6419"/>
      <c r="W5" s="6421" t="s">
        <v>839</v>
      </c>
      <c r="X5" s="6421"/>
      <c r="Y5" s="6422" t="s">
        <v>657</v>
      </c>
      <c r="Z5" s="6422"/>
      <c r="AA5" s="6418" t="s">
        <v>1954</v>
      </c>
      <c r="AB5" s="6419"/>
      <c r="AC5" s="6420" t="s">
        <v>24</v>
      </c>
      <c r="AD5" s="6420"/>
      <c r="AE5" s="6418" t="s">
        <v>1970</v>
      </c>
      <c r="AF5" s="6419"/>
      <c r="AG5" s="6420" t="s">
        <v>27</v>
      </c>
      <c r="AH5" s="6420"/>
      <c r="AI5" s="6418" t="s">
        <v>1985</v>
      </c>
      <c r="AJ5" s="6419"/>
      <c r="AK5" s="6421" t="s">
        <v>1665</v>
      </c>
      <c r="AL5" s="6421"/>
      <c r="AM5" s="6420" t="s">
        <v>1666</v>
      </c>
      <c r="AN5" s="6420"/>
      <c r="AO5" s="6418" t="s">
        <v>2085</v>
      </c>
      <c r="AP5" s="6419"/>
      <c r="AQ5" s="6420" t="s">
        <v>28</v>
      </c>
      <c r="AR5" s="6420"/>
      <c r="AS5" s="6418" t="s">
        <v>2099</v>
      </c>
      <c r="AT5" s="6419"/>
      <c r="AU5" s="6420" t="s">
        <v>30</v>
      </c>
      <c r="AV5" s="6420"/>
      <c r="AW5" s="6418" t="s">
        <v>2111</v>
      </c>
      <c r="AX5" s="6419"/>
      <c r="AY5" s="6421" t="s">
        <v>1709</v>
      </c>
      <c r="AZ5" s="6421"/>
      <c r="BA5" s="6422" t="s">
        <v>671</v>
      </c>
      <c r="BB5" s="6422"/>
      <c r="BC5" s="6420" t="s">
        <v>1745</v>
      </c>
      <c r="BD5" s="6423"/>
    </row>
    <row r="6" spans="2:58" ht="18" x14ac:dyDescent="0.3">
      <c r="B6" s="4787" t="s">
        <v>1761</v>
      </c>
      <c r="C6" s="4788"/>
      <c r="D6" s="4785">
        <v>31061</v>
      </c>
      <c r="E6" s="4788"/>
      <c r="F6" s="4785">
        <v>36376</v>
      </c>
      <c r="G6" s="4788"/>
      <c r="H6" s="4785">
        <f>D6+F6</f>
        <v>67437</v>
      </c>
      <c r="I6" s="4788"/>
      <c r="J6" s="4785">
        <v>34290</v>
      </c>
      <c r="K6" s="4789"/>
      <c r="L6" s="4789">
        <f>H6+J6</f>
        <v>101727</v>
      </c>
      <c r="M6" s="4789"/>
      <c r="N6" s="4789">
        <v>34942</v>
      </c>
      <c r="O6" s="4789"/>
      <c r="P6" s="4789">
        <f>L6+N6</f>
        <v>136669</v>
      </c>
      <c r="Q6" s="4789"/>
      <c r="R6" s="4789">
        <v>26202</v>
      </c>
      <c r="S6" s="4789"/>
      <c r="T6" s="4789">
        <f>P6+R6</f>
        <v>162871</v>
      </c>
      <c r="U6" s="4789"/>
      <c r="V6" s="4789">
        <v>26219</v>
      </c>
      <c r="W6" s="4790"/>
      <c r="X6" s="4791">
        <f>N6+R6+V6</f>
        <v>87363</v>
      </c>
      <c r="Y6" s="4792"/>
      <c r="Z6" s="4791">
        <f>L6+X6</f>
        <v>189090</v>
      </c>
      <c r="AA6" s="4792"/>
      <c r="AB6" s="4792">
        <v>25690</v>
      </c>
      <c r="AC6" s="4792"/>
      <c r="AD6" s="4791">
        <f>Z6+AB6</f>
        <v>214780</v>
      </c>
      <c r="AE6" s="4792"/>
      <c r="AF6" s="4792">
        <v>6802</v>
      </c>
      <c r="AG6" s="4792"/>
      <c r="AH6" s="4791">
        <f>AD6+AF6</f>
        <v>221582</v>
      </c>
      <c r="AI6" s="4792"/>
      <c r="AJ6" s="4792">
        <v>29413</v>
      </c>
      <c r="AK6" s="4792"/>
      <c r="AL6" s="4792">
        <f>AB6+AF6+AJ6</f>
        <v>61905</v>
      </c>
      <c r="AM6" s="4792"/>
      <c r="AN6" s="4791">
        <f>AH6+AJ6</f>
        <v>250995</v>
      </c>
      <c r="AO6" s="4792"/>
      <c r="AP6" s="4792">
        <v>27430</v>
      </c>
      <c r="AQ6" s="4792"/>
      <c r="AR6" s="4791">
        <f>AN6+AP6</f>
        <v>278425</v>
      </c>
      <c r="AS6" s="4792"/>
      <c r="AT6" s="4792">
        <v>23976</v>
      </c>
      <c r="AU6" s="4792"/>
      <c r="AV6" s="4791">
        <f>AR6+AT6</f>
        <v>302401</v>
      </c>
      <c r="AW6" s="4792"/>
      <c r="AX6" s="4792">
        <v>28936</v>
      </c>
      <c r="AY6" s="4792"/>
      <c r="AZ6" s="4792">
        <f>AP6+AT6+AX6</f>
        <v>80342</v>
      </c>
      <c r="BA6" s="4792"/>
      <c r="BB6" s="4792">
        <f>AL6+AZ6</f>
        <v>142247</v>
      </c>
      <c r="BC6" s="4792"/>
      <c r="BD6" s="4793">
        <f>AV6+AX6</f>
        <v>331337</v>
      </c>
      <c r="BF6" s="26"/>
    </row>
    <row r="7" spans="2:58" ht="18" x14ac:dyDescent="0.3">
      <c r="B7" s="4787" t="s">
        <v>1762</v>
      </c>
      <c r="C7" s="4788"/>
      <c r="D7" s="4785">
        <v>85589</v>
      </c>
      <c r="E7" s="4788"/>
      <c r="F7" s="4785">
        <v>61567</v>
      </c>
      <c r="G7" s="4788"/>
      <c r="H7" s="4785">
        <f t="shared" ref="H7:H21" si="0">D7+F7</f>
        <v>147156</v>
      </c>
      <c r="I7" s="4788"/>
      <c r="J7" s="4785">
        <v>66403</v>
      </c>
      <c r="K7" s="4789"/>
      <c r="L7" s="4789">
        <f t="shared" ref="L7:L21" si="1">H7+J7</f>
        <v>213559</v>
      </c>
      <c r="M7" s="4789"/>
      <c r="N7" s="4789">
        <v>60275</v>
      </c>
      <c r="O7" s="4789"/>
      <c r="P7" s="4789">
        <f t="shared" ref="P7:P20" si="2">L7+N7</f>
        <v>273834</v>
      </c>
      <c r="Q7" s="4789"/>
      <c r="R7" s="4789">
        <v>42448</v>
      </c>
      <c r="S7" s="4789"/>
      <c r="T7" s="4789">
        <f t="shared" ref="T7:T20" si="3">P7+R7</f>
        <v>316282</v>
      </c>
      <c r="U7" s="4789"/>
      <c r="V7" s="4789">
        <v>41058</v>
      </c>
      <c r="W7" s="4790"/>
      <c r="X7" s="4791">
        <f t="shared" ref="X7:X20" si="4">N7+R7+V7</f>
        <v>143781</v>
      </c>
      <c r="Y7" s="4792"/>
      <c r="Z7" s="4791">
        <f t="shared" ref="Z7:Z20" si="5">L7+X7</f>
        <v>357340</v>
      </c>
      <c r="AA7" s="4792"/>
      <c r="AB7" s="4792">
        <v>51726</v>
      </c>
      <c r="AC7" s="4792"/>
      <c r="AD7" s="4791">
        <f t="shared" ref="AD7:AD20" si="6">Z7+AB7</f>
        <v>409066</v>
      </c>
      <c r="AE7" s="4792"/>
      <c r="AF7" s="4792">
        <v>16386</v>
      </c>
      <c r="AG7" s="4792"/>
      <c r="AH7" s="4791">
        <f t="shared" ref="AH7:AH20" si="7">AD7+AF7</f>
        <v>425452</v>
      </c>
      <c r="AI7" s="4792"/>
      <c r="AJ7" s="4792">
        <v>46444</v>
      </c>
      <c r="AK7" s="4792"/>
      <c r="AL7" s="4792">
        <f t="shared" ref="AL7:AL20" si="8">AB7+AF7+AJ7</f>
        <v>114556</v>
      </c>
      <c r="AM7" s="4792"/>
      <c r="AN7" s="4791">
        <f t="shared" ref="AN7:AN20" si="9">AH7+AJ7</f>
        <v>471896</v>
      </c>
      <c r="AO7" s="4792"/>
      <c r="AP7" s="4792">
        <v>43058</v>
      </c>
      <c r="AQ7" s="4792"/>
      <c r="AR7" s="4791">
        <f t="shared" ref="AR7:AR20" si="10">AN7+AP7</f>
        <v>514954</v>
      </c>
      <c r="AS7" s="4792"/>
      <c r="AT7" s="4792">
        <v>42951</v>
      </c>
      <c r="AU7" s="4792"/>
      <c r="AV7" s="4791">
        <f t="shared" ref="AV7:AV20" si="11">AR7+AT7</f>
        <v>557905</v>
      </c>
      <c r="AW7" s="4792"/>
      <c r="AX7" s="4792">
        <v>93687</v>
      </c>
      <c r="AY7" s="4792"/>
      <c r="AZ7" s="4792">
        <f t="shared" ref="AZ7:AZ20" si="12">AP7+AT7+AX7</f>
        <v>179696</v>
      </c>
      <c r="BA7" s="4792"/>
      <c r="BB7" s="4792">
        <f t="shared" ref="BB7:BB20" si="13">AL7+AZ7</f>
        <v>294252</v>
      </c>
      <c r="BC7" s="4792"/>
      <c r="BD7" s="4793">
        <f t="shared" ref="BD7:BD20" si="14">AV7+AX7</f>
        <v>651592</v>
      </c>
      <c r="BF7" s="26"/>
    </row>
    <row r="8" spans="2:58" ht="18" x14ac:dyDescent="0.3">
      <c r="B8" s="4787" t="s">
        <v>1763</v>
      </c>
      <c r="C8" s="4788"/>
      <c r="D8" s="4785">
        <v>88480</v>
      </c>
      <c r="E8" s="4788"/>
      <c r="F8" s="4785">
        <v>66416</v>
      </c>
      <c r="G8" s="4788"/>
      <c r="H8" s="4785">
        <f t="shared" si="0"/>
        <v>154896</v>
      </c>
      <c r="I8" s="4788"/>
      <c r="J8" s="4785">
        <v>70582</v>
      </c>
      <c r="K8" s="4789"/>
      <c r="L8" s="4789">
        <f t="shared" si="1"/>
        <v>225478</v>
      </c>
      <c r="M8" s="4789"/>
      <c r="N8" s="4789">
        <v>64899</v>
      </c>
      <c r="O8" s="4789"/>
      <c r="P8" s="4789">
        <f t="shared" si="2"/>
        <v>290377</v>
      </c>
      <c r="Q8" s="4789"/>
      <c r="R8" s="4789">
        <v>49224</v>
      </c>
      <c r="S8" s="4789"/>
      <c r="T8" s="4789">
        <f t="shared" si="3"/>
        <v>339601</v>
      </c>
      <c r="U8" s="4789"/>
      <c r="V8" s="4789">
        <v>51868</v>
      </c>
      <c r="W8" s="4790"/>
      <c r="X8" s="4791">
        <f t="shared" si="4"/>
        <v>165991</v>
      </c>
      <c r="Y8" s="4792"/>
      <c r="Z8" s="4791">
        <f t="shared" si="5"/>
        <v>391469</v>
      </c>
      <c r="AA8" s="4792"/>
      <c r="AB8" s="4792">
        <v>58974</v>
      </c>
      <c r="AC8" s="4792"/>
      <c r="AD8" s="4791">
        <f t="shared" si="6"/>
        <v>450443</v>
      </c>
      <c r="AE8" s="4792"/>
      <c r="AF8" s="4792">
        <v>20312</v>
      </c>
      <c r="AG8" s="4792"/>
      <c r="AH8" s="4791">
        <f t="shared" si="7"/>
        <v>470755</v>
      </c>
      <c r="AI8" s="4792"/>
      <c r="AJ8" s="4792">
        <v>50334</v>
      </c>
      <c r="AK8" s="4792"/>
      <c r="AL8" s="4792">
        <f t="shared" si="8"/>
        <v>129620</v>
      </c>
      <c r="AM8" s="4792"/>
      <c r="AN8" s="4791">
        <f t="shared" si="9"/>
        <v>521089</v>
      </c>
      <c r="AO8" s="4792"/>
      <c r="AP8" s="4792">
        <v>47415</v>
      </c>
      <c r="AQ8" s="4792"/>
      <c r="AR8" s="4791">
        <f t="shared" si="10"/>
        <v>568504</v>
      </c>
      <c r="AS8" s="4792"/>
      <c r="AT8" s="4792">
        <v>48472</v>
      </c>
      <c r="AU8" s="4792"/>
      <c r="AV8" s="4791">
        <f t="shared" si="11"/>
        <v>616976</v>
      </c>
      <c r="AW8" s="4792"/>
      <c r="AX8" s="4792">
        <v>96800</v>
      </c>
      <c r="AY8" s="4792"/>
      <c r="AZ8" s="4792">
        <f t="shared" si="12"/>
        <v>192687</v>
      </c>
      <c r="BA8" s="4792"/>
      <c r="BB8" s="4792">
        <f t="shared" si="13"/>
        <v>322307</v>
      </c>
      <c r="BC8" s="4792"/>
      <c r="BD8" s="4793">
        <f t="shared" si="14"/>
        <v>713776</v>
      </c>
      <c r="BF8" s="26"/>
    </row>
    <row r="9" spans="2:58" ht="18" x14ac:dyDescent="0.3">
      <c r="B9" s="4787" t="s">
        <v>1764</v>
      </c>
      <c r="C9" s="4788"/>
      <c r="D9" s="4785">
        <v>62118</v>
      </c>
      <c r="E9" s="4788"/>
      <c r="F9" s="4785">
        <v>75231</v>
      </c>
      <c r="G9" s="4788"/>
      <c r="H9" s="4785">
        <f t="shared" si="0"/>
        <v>137349</v>
      </c>
      <c r="I9" s="4788"/>
      <c r="J9" s="4785">
        <v>70901</v>
      </c>
      <c r="K9" s="4789"/>
      <c r="L9" s="4789">
        <f t="shared" si="1"/>
        <v>208250</v>
      </c>
      <c r="M9" s="4789"/>
      <c r="N9" s="4789">
        <v>76172</v>
      </c>
      <c r="O9" s="4789"/>
      <c r="P9" s="4789">
        <f t="shared" si="2"/>
        <v>284422</v>
      </c>
      <c r="Q9" s="4789"/>
      <c r="R9" s="4789">
        <v>69863</v>
      </c>
      <c r="S9" s="4789"/>
      <c r="T9" s="4789">
        <f t="shared" si="3"/>
        <v>354285</v>
      </c>
      <c r="U9" s="4789"/>
      <c r="V9" s="4789">
        <v>67708</v>
      </c>
      <c r="W9" s="4790"/>
      <c r="X9" s="4791">
        <f t="shared" si="4"/>
        <v>213743</v>
      </c>
      <c r="Y9" s="4792"/>
      <c r="Z9" s="4791">
        <f t="shared" si="5"/>
        <v>421993</v>
      </c>
      <c r="AA9" s="4792"/>
      <c r="AB9" s="4792">
        <v>67235</v>
      </c>
      <c r="AC9" s="4792"/>
      <c r="AD9" s="4791">
        <f t="shared" si="6"/>
        <v>489228</v>
      </c>
      <c r="AE9" s="4792"/>
      <c r="AF9" s="4792">
        <v>52250</v>
      </c>
      <c r="AG9" s="4792"/>
      <c r="AH9" s="4791">
        <f t="shared" si="7"/>
        <v>541478</v>
      </c>
      <c r="AI9" s="4792"/>
      <c r="AJ9" s="4792">
        <v>74093</v>
      </c>
      <c r="AK9" s="4792"/>
      <c r="AL9" s="4792">
        <f t="shared" si="8"/>
        <v>193578</v>
      </c>
      <c r="AM9" s="4792"/>
      <c r="AN9" s="4791">
        <f t="shared" si="9"/>
        <v>615571</v>
      </c>
      <c r="AO9" s="4792"/>
      <c r="AP9" s="4792">
        <v>69686</v>
      </c>
      <c r="AQ9" s="4792"/>
      <c r="AR9" s="4791">
        <f t="shared" si="10"/>
        <v>685257</v>
      </c>
      <c r="AS9" s="4792"/>
      <c r="AT9" s="4792">
        <v>65099</v>
      </c>
      <c r="AU9" s="4792"/>
      <c r="AV9" s="4791">
        <f t="shared" si="11"/>
        <v>750356</v>
      </c>
      <c r="AW9" s="4792"/>
      <c r="AX9" s="4792">
        <v>63570</v>
      </c>
      <c r="AY9" s="4792"/>
      <c r="AZ9" s="4792">
        <f t="shared" si="12"/>
        <v>198355</v>
      </c>
      <c r="BA9" s="4792"/>
      <c r="BB9" s="4792">
        <f t="shared" si="13"/>
        <v>391933</v>
      </c>
      <c r="BC9" s="4792"/>
      <c r="BD9" s="4793">
        <f t="shared" si="14"/>
        <v>813926</v>
      </c>
      <c r="BF9" s="26"/>
    </row>
    <row r="10" spans="2:58" ht="18" x14ac:dyDescent="0.3">
      <c r="B10" s="4787" t="s">
        <v>15</v>
      </c>
      <c r="C10" s="4788"/>
      <c r="D10" s="4785">
        <v>149122</v>
      </c>
      <c r="E10" s="4788"/>
      <c r="F10" s="4785">
        <v>169374</v>
      </c>
      <c r="G10" s="4788"/>
      <c r="H10" s="4785">
        <f t="shared" si="0"/>
        <v>318496</v>
      </c>
      <c r="I10" s="4788"/>
      <c r="J10" s="4785">
        <v>185588</v>
      </c>
      <c r="K10" s="4789"/>
      <c r="L10" s="4789">
        <f t="shared" si="1"/>
        <v>504084</v>
      </c>
      <c r="M10" s="4789"/>
      <c r="N10" s="4789">
        <v>191100</v>
      </c>
      <c r="O10" s="4789"/>
      <c r="P10" s="4789">
        <f t="shared" si="2"/>
        <v>695184</v>
      </c>
      <c r="Q10" s="4789"/>
      <c r="R10" s="4789">
        <v>166219</v>
      </c>
      <c r="S10" s="4789"/>
      <c r="T10" s="4789">
        <f t="shared" si="3"/>
        <v>861403</v>
      </c>
      <c r="U10" s="4789"/>
      <c r="V10" s="4789">
        <v>165981</v>
      </c>
      <c r="W10" s="4790"/>
      <c r="X10" s="4791">
        <f t="shared" si="4"/>
        <v>523300</v>
      </c>
      <c r="Y10" s="4792"/>
      <c r="Z10" s="4791">
        <f t="shared" si="5"/>
        <v>1027384</v>
      </c>
      <c r="AA10" s="4792"/>
      <c r="AB10" s="4792">
        <v>158107</v>
      </c>
      <c r="AC10" s="4792"/>
      <c r="AD10" s="4791">
        <f t="shared" si="6"/>
        <v>1185491</v>
      </c>
      <c r="AE10" s="4792"/>
      <c r="AF10" s="4792">
        <v>61201</v>
      </c>
      <c r="AG10" s="4792"/>
      <c r="AH10" s="4791">
        <f t="shared" si="7"/>
        <v>1246692</v>
      </c>
      <c r="AI10" s="4792"/>
      <c r="AJ10" s="4792">
        <v>174558</v>
      </c>
      <c r="AK10" s="4792"/>
      <c r="AL10" s="4792">
        <f t="shared" si="8"/>
        <v>393866</v>
      </c>
      <c r="AM10" s="4792"/>
      <c r="AN10" s="4791">
        <f t="shared" si="9"/>
        <v>1421250</v>
      </c>
      <c r="AO10" s="4792"/>
      <c r="AP10" s="4792">
        <v>176198</v>
      </c>
      <c r="AQ10" s="4792"/>
      <c r="AR10" s="4791">
        <f t="shared" si="10"/>
        <v>1597448</v>
      </c>
      <c r="AS10" s="4792"/>
      <c r="AT10" s="4792">
        <v>155185</v>
      </c>
      <c r="AU10" s="4792"/>
      <c r="AV10" s="4791">
        <f t="shared" si="11"/>
        <v>1752633</v>
      </c>
      <c r="AW10" s="4792"/>
      <c r="AX10" s="4792">
        <v>181605</v>
      </c>
      <c r="AY10" s="4792"/>
      <c r="AZ10" s="4792">
        <f t="shared" si="12"/>
        <v>512988</v>
      </c>
      <c r="BA10" s="4792"/>
      <c r="BB10" s="4792">
        <f t="shared" si="13"/>
        <v>906854</v>
      </c>
      <c r="BC10" s="4792"/>
      <c r="BD10" s="4793">
        <f t="shared" si="14"/>
        <v>1934238</v>
      </c>
      <c r="BF10" s="26"/>
    </row>
    <row r="11" spans="2:58" ht="18" x14ac:dyDescent="0.3">
      <c r="B11" s="4787" t="s">
        <v>1765</v>
      </c>
      <c r="C11" s="4788"/>
      <c r="D11" s="4785">
        <v>6760</v>
      </c>
      <c r="E11" s="4788"/>
      <c r="F11" s="4785">
        <v>4193</v>
      </c>
      <c r="G11" s="4788"/>
      <c r="H11" s="4785">
        <f t="shared" si="0"/>
        <v>10953</v>
      </c>
      <c r="I11" s="4788"/>
      <c r="J11" s="4785">
        <v>410</v>
      </c>
      <c r="K11" s="4789"/>
      <c r="L11" s="4789">
        <f t="shared" si="1"/>
        <v>11363</v>
      </c>
      <c r="M11" s="4789"/>
      <c r="N11" s="4789">
        <v>725</v>
      </c>
      <c r="O11" s="4789"/>
      <c r="P11" s="4789">
        <f t="shared" si="2"/>
        <v>12088</v>
      </c>
      <c r="Q11" s="4789"/>
      <c r="R11" s="4789">
        <v>487</v>
      </c>
      <c r="S11" s="4789"/>
      <c r="T11" s="4789">
        <f t="shared" si="3"/>
        <v>12575</v>
      </c>
      <c r="U11" s="4789"/>
      <c r="V11" s="4789">
        <v>0</v>
      </c>
      <c r="W11" s="4790"/>
      <c r="X11" s="4791">
        <f t="shared" si="4"/>
        <v>1212</v>
      </c>
      <c r="Y11" s="4792"/>
      <c r="Z11" s="4791">
        <f t="shared" si="5"/>
        <v>12575</v>
      </c>
      <c r="AA11" s="4792"/>
      <c r="AB11" s="4792">
        <v>648</v>
      </c>
      <c r="AC11" s="4792"/>
      <c r="AD11" s="4791">
        <f t="shared" si="6"/>
        <v>13223</v>
      </c>
      <c r="AE11" s="4792"/>
      <c r="AF11" s="4792">
        <v>0</v>
      </c>
      <c r="AG11" s="4792"/>
      <c r="AH11" s="4791">
        <f t="shared" si="7"/>
        <v>13223</v>
      </c>
      <c r="AI11" s="4792"/>
      <c r="AJ11" s="4792">
        <v>1481</v>
      </c>
      <c r="AK11" s="4792"/>
      <c r="AL11" s="4792">
        <f t="shared" si="8"/>
        <v>2129</v>
      </c>
      <c r="AM11" s="4792"/>
      <c r="AN11" s="4791">
        <f t="shared" si="9"/>
        <v>14704</v>
      </c>
      <c r="AO11" s="4792"/>
      <c r="AP11" s="4792">
        <v>0</v>
      </c>
      <c r="AQ11" s="4792"/>
      <c r="AR11" s="4791">
        <f t="shared" si="10"/>
        <v>14704</v>
      </c>
      <c r="AS11" s="4792"/>
      <c r="AT11" s="4792">
        <v>236</v>
      </c>
      <c r="AU11" s="4792"/>
      <c r="AV11" s="4791">
        <f t="shared" si="11"/>
        <v>14940</v>
      </c>
      <c r="AW11" s="4792"/>
      <c r="AX11" s="4792">
        <v>0</v>
      </c>
      <c r="AY11" s="4792"/>
      <c r="AZ11" s="4792">
        <f t="shared" si="12"/>
        <v>236</v>
      </c>
      <c r="BA11" s="4792"/>
      <c r="BB11" s="4792">
        <f t="shared" si="13"/>
        <v>2365</v>
      </c>
      <c r="BC11" s="4792"/>
      <c r="BD11" s="4793">
        <f t="shared" si="14"/>
        <v>14940</v>
      </c>
      <c r="BF11" s="26"/>
    </row>
    <row r="12" spans="2:58" ht="18" x14ac:dyDescent="0.3">
      <c r="B12" s="4787" t="s">
        <v>1766</v>
      </c>
      <c r="C12" s="4788"/>
      <c r="D12" s="4785">
        <v>8963</v>
      </c>
      <c r="E12" s="4788"/>
      <c r="F12" s="4785">
        <v>10116</v>
      </c>
      <c r="G12" s="4788"/>
      <c r="H12" s="4785">
        <f t="shared" si="0"/>
        <v>19079</v>
      </c>
      <c r="I12" s="4788"/>
      <c r="J12" s="4785">
        <v>10441</v>
      </c>
      <c r="K12" s="4789"/>
      <c r="L12" s="4789">
        <f t="shared" si="1"/>
        <v>29520</v>
      </c>
      <c r="M12" s="4789"/>
      <c r="N12" s="4789">
        <v>10199</v>
      </c>
      <c r="O12" s="4789"/>
      <c r="P12" s="4789">
        <f t="shared" si="2"/>
        <v>39719</v>
      </c>
      <c r="Q12" s="4789"/>
      <c r="R12" s="4789">
        <v>9319</v>
      </c>
      <c r="S12" s="4789"/>
      <c r="T12" s="4789">
        <f t="shared" si="3"/>
        <v>49038</v>
      </c>
      <c r="U12" s="4789"/>
      <c r="V12" s="4789">
        <v>10025</v>
      </c>
      <c r="W12" s="4790"/>
      <c r="X12" s="4791">
        <f t="shared" si="4"/>
        <v>29543</v>
      </c>
      <c r="Y12" s="4792"/>
      <c r="Z12" s="4791">
        <f t="shared" si="5"/>
        <v>59063</v>
      </c>
      <c r="AA12" s="4792"/>
      <c r="AB12" s="4792">
        <v>9814</v>
      </c>
      <c r="AC12" s="4792"/>
      <c r="AD12" s="4791">
        <f t="shared" si="6"/>
        <v>68877</v>
      </c>
      <c r="AE12" s="4792"/>
      <c r="AF12" s="4792">
        <v>4827</v>
      </c>
      <c r="AG12" s="4792"/>
      <c r="AH12" s="4791">
        <f t="shared" si="7"/>
        <v>73704</v>
      </c>
      <c r="AI12" s="4792"/>
      <c r="AJ12" s="4792">
        <v>9331</v>
      </c>
      <c r="AK12" s="4792"/>
      <c r="AL12" s="4792">
        <f t="shared" si="8"/>
        <v>23972</v>
      </c>
      <c r="AM12" s="4792"/>
      <c r="AN12" s="4791">
        <f t="shared" si="9"/>
        <v>83035</v>
      </c>
      <c r="AO12" s="4792"/>
      <c r="AP12" s="4792">
        <v>9299</v>
      </c>
      <c r="AQ12" s="4792"/>
      <c r="AR12" s="4791">
        <f t="shared" si="10"/>
        <v>92334</v>
      </c>
      <c r="AS12" s="4792"/>
      <c r="AT12" s="4792">
        <v>8448</v>
      </c>
      <c r="AU12" s="4792"/>
      <c r="AV12" s="4791">
        <f t="shared" si="11"/>
        <v>100782</v>
      </c>
      <c r="AW12" s="4792"/>
      <c r="AX12" s="4792">
        <v>10076</v>
      </c>
      <c r="AY12" s="4792"/>
      <c r="AZ12" s="4792">
        <f t="shared" si="12"/>
        <v>27823</v>
      </c>
      <c r="BA12" s="4792"/>
      <c r="BB12" s="4792">
        <f t="shared" si="13"/>
        <v>51795</v>
      </c>
      <c r="BC12" s="4792"/>
      <c r="BD12" s="4793">
        <f t="shared" si="14"/>
        <v>110858</v>
      </c>
      <c r="BF12" s="26"/>
    </row>
    <row r="13" spans="2:58" ht="18" x14ac:dyDescent="0.3">
      <c r="B13" s="4787" t="s">
        <v>57</v>
      </c>
      <c r="C13" s="4788"/>
      <c r="D13" s="4785">
        <v>140723</v>
      </c>
      <c r="E13" s="4788"/>
      <c r="F13" s="4785">
        <v>137944</v>
      </c>
      <c r="G13" s="4788"/>
      <c r="H13" s="4785">
        <f t="shared" si="0"/>
        <v>278667</v>
      </c>
      <c r="I13" s="4788"/>
      <c r="J13" s="4785">
        <v>127977</v>
      </c>
      <c r="K13" s="4789"/>
      <c r="L13" s="4789">
        <f t="shared" si="1"/>
        <v>406644</v>
      </c>
      <c r="M13" s="4789"/>
      <c r="N13" s="4789">
        <v>132686</v>
      </c>
      <c r="O13" s="4789"/>
      <c r="P13" s="4789">
        <f t="shared" si="2"/>
        <v>539330</v>
      </c>
      <c r="Q13" s="4789"/>
      <c r="R13" s="4789">
        <v>158672</v>
      </c>
      <c r="S13" s="4789"/>
      <c r="T13" s="4789">
        <f t="shared" si="3"/>
        <v>698002</v>
      </c>
      <c r="U13" s="4789"/>
      <c r="V13" s="4789">
        <v>161035</v>
      </c>
      <c r="W13" s="4790"/>
      <c r="X13" s="4791">
        <f t="shared" si="4"/>
        <v>452393</v>
      </c>
      <c r="Y13" s="4792"/>
      <c r="Z13" s="4791">
        <f t="shared" si="5"/>
        <v>859037</v>
      </c>
      <c r="AA13" s="4792"/>
      <c r="AB13" s="4792">
        <v>153252</v>
      </c>
      <c r="AC13" s="4792"/>
      <c r="AD13" s="4791">
        <f t="shared" si="6"/>
        <v>1012289</v>
      </c>
      <c r="AE13" s="4792"/>
      <c r="AF13" s="4792">
        <v>27441</v>
      </c>
      <c r="AG13" s="4792"/>
      <c r="AH13" s="4791">
        <f t="shared" si="7"/>
        <v>1039730</v>
      </c>
      <c r="AI13" s="4792"/>
      <c r="AJ13" s="4792">
        <v>159510</v>
      </c>
      <c r="AK13" s="4792"/>
      <c r="AL13" s="4792">
        <f t="shared" si="8"/>
        <v>340203</v>
      </c>
      <c r="AM13" s="4792"/>
      <c r="AN13" s="4791">
        <f t="shared" si="9"/>
        <v>1199240</v>
      </c>
      <c r="AO13" s="4792"/>
      <c r="AP13" s="4792">
        <v>172843</v>
      </c>
      <c r="AQ13" s="4792"/>
      <c r="AR13" s="4791">
        <f t="shared" si="10"/>
        <v>1372083</v>
      </c>
      <c r="AS13" s="4792"/>
      <c r="AT13" s="4792">
        <v>146314</v>
      </c>
      <c r="AU13" s="4792"/>
      <c r="AV13" s="4791">
        <f t="shared" si="11"/>
        <v>1518397</v>
      </c>
      <c r="AW13" s="4792"/>
      <c r="AX13" s="4792">
        <v>165294</v>
      </c>
      <c r="AY13" s="4792"/>
      <c r="AZ13" s="4792">
        <f t="shared" si="12"/>
        <v>484451</v>
      </c>
      <c r="BA13" s="4792"/>
      <c r="BB13" s="4792">
        <f t="shared" si="13"/>
        <v>824654</v>
      </c>
      <c r="BC13" s="4792"/>
      <c r="BD13" s="4793">
        <f t="shared" si="14"/>
        <v>1683691</v>
      </c>
      <c r="BF13" s="26"/>
    </row>
    <row r="14" spans="2:58" ht="18" x14ac:dyDescent="0.3">
      <c r="B14" s="4787" t="s">
        <v>58</v>
      </c>
      <c r="C14" s="4788"/>
      <c r="D14" s="4785">
        <v>86786</v>
      </c>
      <c r="E14" s="4788"/>
      <c r="F14" s="4785">
        <v>111052</v>
      </c>
      <c r="G14" s="4788"/>
      <c r="H14" s="4785">
        <f t="shared" si="0"/>
        <v>197838</v>
      </c>
      <c r="I14" s="4788"/>
      <c r="J14" s="4785">
        <v>111943</v>
      </c>
      <c r="K14" s="4789"/>
      <c r="L14" s="4789">
        <f t="shared" si="1"/>
        <v>309781</v>
      </c>
      <c r="M14" s="4789"/>
      <c r="N14" s="4789">
        <v>113372</v>
      </c>
      <c r="O14" s="4789"/>
      <c r="P14" s="4789">
        <f t="shared" si="2"/>
        <v>423153</v>
      </c>
      <c r="Q14" s="4789"/>
      <c r="R14" s="4789">
        <v>97165</v>
      </c>
      <c r="S14" s="4789"/>
      <c r="T14" s="4789">
        <f t="shared" si="3"/>
        <v>520318</v>
      </c>
      <c r="U14" s="4789"/>
      <c r="V14" s="4789">
        <v>96442</v>
      </c>
      <c r="W14" s="4790"/>
      <c r="X14" s="4791">
        <f t="shared" si="4"/>
        <v>306979</v>
      </c>
      <c r="Y14" s="4792"/>
      <c r="Z14" s="4791">
        <f t="shared" si="5"/>
        <v>616760</v>
      </c>
      <c r="AA14" s="4792"/>
      <c r="AB14" s="4792">
        <v>97439</v>
      </c>
      <c r="AC14" s="4792"/>
      <c r="AD14" s="4791">
        <f t="shared" si="6"/>
        <v>714199</v>
      </c>
      <c r="AE14" s="4792"/>
      <c r="AF14" s="4792">
        <v>23184</v>
      </c>
      <c r="AG14" s="4792"/>
      <c r="AH14" s="4791">
        <f t="shared" si="7"/>
        <v>737383</v>
      </c>
      <c r="AI14" s="4792"/>
      <c r="AJ14" s="4792">
        <v>105436</v>
      </c>
      <c r="AK14" s="4792"/>
      <c r="AL14" s="4792">
        <f t="shared" si="8"/>
        <v>226059</v>
      </c>
      <c r="AM14" s="4792"/>
      <c r="AN14" s="4791">
        <f t="shared" si="9"/>
        <v>842819</v>
      </c>
      <c r="AO14" s="4792"/>
      <c r="AP14" s="4792">
        <v>101985</v>
      </c>
      <c r="AQ14" s="4792"/>
      <c r="AR14" s="4791">
        <f t="shared" si="10"/>
        <v>944804</v>
      </c>
      <c r="AS14" s="4792"/>
      <c r="AT14" s="4792">
        <v>92048</v>
      </c>
      <c r="AU14" s="4792"/>
      <c r="AV14" s="4791">
        <f t="shared" si="11"/>
        <v>1036852</v>
      </c>
      <c r="AW14" s="4792"/>
      <c r="AX14" s="4792">
        <v>99111</v>
      </c>
      <c r="AY14" s="4792"/>
      <c r="AZ14" s="4792">
        <f t="shared" si="12"/>
        <v>293144</v>
      </c>
      <c r="BA14" s="4792"/>
      <c r="BB14" s="4792">
        <f t="shared" si="13"/>
        <v>519203</v>
      </c>
      <c r="BC14" s="4792"/>
      <c r="BD14" s="4793">
        <f t="shared" si="14"/>
        <v>1135963</v>
      </c>
      <c r="BF14" s="26"/>
    </row>
    <row r="15" spans="2:58" ht="18" x14ac:dyDescent="0.3">
      <c r="B15" s="4787" t="s">
        <v>1297</v>
      </c>
      <c r="C15" s="4788"/>
      <c r="D15" s="4785">
        <v>43771</v>
      </c>
      <c r="E15" s="4788"/>
      <c r="F15" s="4785">
        <v>54495</v>
      </c>
      <c r="G15" s="4788"/>
      <c r="H15" s="4785">
        <f t="shared" si="0"/>
        <v>98266</v>
      </c>
      <c r="I15" s="4788"/>
      <c r="J15" s="4785">
        <v>66472</v>
      </c>
      <c r="K15" s="4789"/>
      <c r="L15" s="4789">
        <f t="shared" si="1"/>
        <v>164738</v>
      </c>
      <c r="M15" s="4789"/>
      <c r="N15" s="4789">
        <v>71613</v>
      </c>
      <c r="O15" s="4789"/>
      <c r="P15" s="4789">
        <f t="shared" si="2"/>
        <v>236351</v>
      </c>
      <c r="Q15" s="4789"/>
      <c r="R15" s="4789">
        <v>63358</v>
      </c>
      <c r="S15" s="4789"/>
      <c r="T15" s="4789">
        <f t="shared" si="3"/>
        <v>299709</v>
      </c>
      <c r="U15" s="4789"/>
      <c r="V15" s="4789">
        <v>61989</v>
      </c>
      <c r="W15" s="4790"/>
      <c r="X15" s="4791">
        <f t="shared" si="4"/>
        <v>196960</v>
      </c>
      <c r="Y15" s="4792"/>
      <c r="Z15" s="4791">
        <f t="shared" si="5"/>
        <v>361698</v>
      </c>
      <c r="AA15" s="4792"/>
      <c r="AB15" s="4792">
        <v>62188</v>
      </c>
      <c r="AC15" s="4792"/>
      <c r="AD15" s="4791">
        <f t="shared" si="6"/>
        <v>423886</v>
      </c>
      <c r="AE15" s="4792"/>
      <c r="AF15" s="4792">
        <v>18165</v>
      </c>
      <c r="AG15" s="4792"/>
      <c r="AH15" s="4791">
        <f t="shared" si="7"/>
        <v>442051</v>
      </c>
      <c r="AI15" s="4792"/>
      <c r="AJ15" s="4792">
        <v>67665</v>
      </c>
      <c r="AK15" s="4792"/>
      <c r="AL15" s="4792">
        <f t="shared" si="8"/>
        <v>148018</v>
      </c>
      <c r="AM15" s="4792"/>
      <c r="AN15" s="4791">
        <f t="shared" si="9"/>
        <v>509716</v>
      </c>
      <c r="AO15" s="4792"/>
      <c r="AP15" s="4792">
        <v>59125</v>
      </c>
      <c r="AQ15" s="4792"/>
      <c r="AR15" s="4791">
        <f t="shared" si="10"/>
        <v>568841</v>
      </c>
      <c r="AS15" s="4792"/>
      <c r="AT15" s="4792">
        <v>61109</v>
      </c>
      <c r="AU15" s="4792"/>
      <c r="AV15" s="4791">
        <f t="shared" si="11"/>
        <v>629950</v>
      </c>
      <c r="AW15" s="4792"/>
      <c r="AX15" s="4792">
        <v>60719</v>
      </c>
      <c r="AY15" s="4792"/>
      <c r="AZ15" s="4792">
        <f t="shared" si="12"/>
        <v>180953</v>
      </c>
      <c r="BA15" s="4792"/>
      <c r="BB15" s="4792">
        <f t="shared" si="13"/>
        <v>328971</v>
      </c>
      <c r="BC15" s="4792"/>
      <c r="BD15" s="4793">
        <f t="shared" si="14"/>
        <v>690669</v>
      </c>
      <c r="BF15" s="26"/>
    </row>
    <row r="16" spans="2:58" ht="18" x14ac:dyDescent="0.3">
      <c r="B16" s="4787" t="s">
        <v>1767</v>
      </c>
      <c r="C16" s="4788"/>
      <c r="D16" s="4785">
        <v>41946</v>
      </c>
      <c r="E16" s="4788"/>
      <c r="F16" s="4785">
        <v>43549</v>
      </c>
      <c r="G16" s="4788"/>
      <c r="H16" s="4785">
        <f t="shared" si="0"/>
        <v>85495</v>
      </c>
      <c r="I16" s="4788"/>
      <c r="J16" s="4785">
        <v>44300</v>
      </c>
      <c r="K16" s="4789"/>
      <c r="L16" s="4789">
        <f t="shared" si="1"/>
        <v>129795</v>
      </c>
      <c r="M16" s="4789"/>
      <c r="N16" s="4789">
        <v>47238</v>
      </c>
      <c r="O16" s="4789"/>
      <c r="P16" s="4789">
        <f t="shared" si="2"/>
        <v>177033</v>
      </c>
      <c r="Q16" s="4789"/>
      <c r="R16" s="4789">
        <v>40238</v>
      </c>
      <c r="S16" s="4789"/>
      <c r="T16" s="4789">
        <f t="shared" si="3"/>
        <v>217271</v>
      </c>
      <c r="U16" s="4789"/>
      <c r="V16" s="4789">
        <v>41378</v>
      </c>
      <c r="W16" s="4790"/>
      <c r="X16" s="4791">
        <f t="shared" si="4"/>
        <v>128854</v>
      </c>
      <c r="Y16" s="4792"/>
      <c r="Z16" s="4791">
        <f t="shared" si="5"/>
        <v>258649</v>
      </c>
      <c r="AA16" s="4792"/>
      <c r="AB16" s="4792">
        <v>42011</v>
      </c>
      <c r="AC16" s="4792"/>
      <c r="AD16" s="4791">
        <f t="shared" si="6"/>
        <v>300660</v>
      </c>
      <c r="AE16" s="4792"/>
      <c r="AF16" s="4792">
        <v>13901</v>
      </c>
      <c r="AG16" s="4792"/>
      <c r="AH16" s="4791">
        <f t="shared" si="7"/>
        <v>314561</v>
      </c>
      <c r="AI16" s="4792"/>
      <c r="AJ16" s="4792">
        <v>42654</v>
      </c>
      <c r="AK16" s="4792"/>
      <c r="AL16" s="4792">
        <f t="shared" si="8"/>
        <v>98566</v>
      </c>
      <c r="AM16" s="4792"/>
      <c r="AN16" s="4791">
        <f t="shared" si="9"/>
        <v>357215</v>
      </c>
      <c r="AO16" s="4792"/>
      <c r="AP16" s="4792">
        <v>41435</v>
      </c>
      <c r="AQ16" s="4792"/>
      <c r="AR16" s="4791">
        <f t="shared" si="10"/>
        <v>398650</v>
      </c>
      <c r="AS16" s="4792"/>
      <c r="AT16" s="4792">
        <v>41060</v>
      </c>
      <c r="AU16" s="4792"/>
      <c r="AV16" s="4791">
        <f t="shared" si="11"/>
        <v>439710</v>
      </c>
      <c r="AW16" s="4792"/>
      <c r="AX16" s="4792">
        <v>41782</v>
      </c>
      <c r="AY16" s="4792"/>
      <c r="AZ16" s="4792">
        <f t="shared" si="12"/>
        <v>124277</v>
      </c>
      <c r="BA16" s="4792"/>
      <c r="BB16" s="4792">
        <f t="shared" si="13"/>
        <v>222843</v>
      </c>
      <c r="BC16" s="4792"/>
      <c r="BD16" s="4793">
        <f t="shared" si="14"/>
        <v>481492</v>
      </c>
      <c r="BF16" s="26"/>
    </row>
    <row r="17" spans="2:58" ht="18" x14ac:dyDescent="0.3">
      <c r="B17" s="4787" t="s">
        <v>1768</v>
      </c>
      <c r="C17" s="4788"/>
      <c r="D17" s="4785">
        <v>38101</v>
      </c>
      <c r="E17" s="4788"/>
      <c r="F17" s="4785">
        <v>52933</v>
      </c>
      <c r="G17" s="4788"/>
      <c r="H17" s="4785">
        <f t="shared" si="0"/>
        <v>91034</v>
      </c>
      <c r="I17" s="4788"/>
      <c r="J17" s="4785">
        <v>59559</v>
      </c>
      <c r="K17" s="4789"/>
      <c r="L17" s="4789">
        <f t="shared" si="1"/>
        <v>150593</v>
      </c>
      <c r="M17" s="4789"/>
      <c r="N17" s="4789">
        <v>63986</v>
      </c>
      <c r="O17" s="4789"/>
      <c r="P17" s="4789">
        <f t="shared" si="2"/>
        <v>214579</v>
      </c>
      <c r="Q17" s="4789"/>
      <c r="R17" s="4789">
        <v>38702</v>
      </c>
      <c r="S17" s="4789"/>
      <c r="T17" s="4789">
        <f t="shared" si="3"/>
        <v>253281</v>
      </c>
      <c r="U17" s="4789"/>
      <c r="V17" s="4789">
        <v>39049</v>
      </c>
      <c r="W17" s="4790"/>
      <c r="X17" s="4791">
        <f t="shared" si="4"/>
        <v>141737</v>
      </c>
      <c r="Y17" s="4792"/>
      <c r="Z17" s="4791">
        <f t="shared" si="5"/>
        <v>292330</v>
      </c>
      <c r="AA17" s="4792"/>
      <c r="AB17" s="4792">
        <v>39547</v>
      </c>
      <c r="AC17" s="4792"/>
      <c r="AD17" s="4791">
        <f t="shared" si="6"/>
        <v>331877</v>
      </c>
      <c r="AE17" s="4792"/>
      <c r="AF17" s="4792">
        <v>37770</v>
      </c>
      <c r="AG17" s="4792"/>
      <c r="AH17" s="4791">
        <f t="shared" si="7"/>
        <v>369647</v>
      </c>
      <c r="AI17" s="4792"/>
      <c r="AJ17" s="4792">
        <v>36160</v>
      </c>
      <c r="AK17" s="4792"/>
      <c r="AL17" s="4792">
        <f t="shared" si="8"/>
        <v>113477</v>
      </c>
      <c r="AM17" s="4792"/>
      <c r="AN17" s="4791">
        <f t="shared" si="9"/>
        <v>405807</v>
      </c>
      <c r="AO17" s="4792"/>
      <c r="AP17" s="4792">
        <v>39213</v>
      </c>
      <c r="AQ17" s="4792"/>
      <c r="AR17" s="4791">
        <f t="shared" si="10"/>
        <v>445020</v>
      </c>
      <c r="AS17" s="4792"/>
      <c r="AT17" s="4792">
        <v>37166</v>
      </c>
      <c r="AU17" s="4792"/>
      <c r="AV17" s="4791">
        <f t="shared" si="11"/>
        <v>482186</v>
      </c>
      <c r="AW17" s="4792"/>
      <c r="AX17" s="4792">
        <v>41950</v>
      </c>
      <c r="AY17" s="4792"/>
      <c r="AZ17" s="4792">
        <f t="shared" si="12"/>
        <v>118329</v>
      </c>
      <c r="BA17" s="4792"/>
      <c r="BB17" s="4792">
        <f t="shared" si="13"/>
        <v>231806</v>
      </c>
      <c r="BC17" s="4792"/>
      <c r="BD17" s="4793">
        <f t="shared" si="14"/>
        <v>524136</v>
      </c>
      <c r="BF17" s="26"/>
    </row>
    <row r="18" spans="2:58" ht="18" x14ac:dyDescent="0.3">
      <c r="B18" s="4787" t="s">
        <v>1769</v>
      </c>
      <c r="C18" s="4788"/>
      <c r="D18" s="4785">
        <v>474899</v>
      </c>
      <c r="E18" s="4788"/>
      <c r="F18" s="4785">
        <v>473104</v>
      </c>
      <c r="G18" s="4788"/>
      <c r="H18" s="4785">
        <f t="shared" si="0"/>
        <v>948003</v>
      </c>
      <c r="I18" s="4788"/>
      <c r="J18" s="4785">
        <v>464550</v>
      </c>
      <c r="K18" s="4789"/>
      <c r="L18" s="4789">
        <f t="shared" si="1"/>
        <v>1412553</v>
      </c>
      <c r="M18" s="4789"/>
      <c r="N18" s="4789">
        <v>394916</v>
      </c>
      <c r="O18" s="4789"/>
      <c r="P18" s="4789">
        <f t="shared" si="2"/>
        <v>1807469</v>
      </c>
      <c r="Q18" s="4789"/>
      <c r="R18" s="4789">
        <v>435531</v>
      </c>
      <c r="S18" s="4789"/>
      <c r="T18" s="4789">
        <f t="shared" si="3"/>
        <v>2243000</v>
      </c>
      <c r="U18" s="4789"/>
      <c r="V18" s="4789">
        <v>367922</v>
      </c>
      <c r="W18" s="4790"/>
      <c r="X18" s="4791">
        <f t="shared" si="4"/>
        <v>1198369</v>
      </c>
      <c r="Y18" s="4792"/>
      <c r="Z18" s="4791">
        <f t="shared" si="5"/>
        <v>2610922</v>
      </c>
      <c r="AA18" s="4792"/>
      <c r="AB18" s="4792">
        <v>469523</v>
      </c>
      <c r="AC18" s="4792"/>
      <c r="AD18" s="4791">
        <f t="shared" si="6"/>
        <v>3080445</v>
      </c>
      <c r="AE18" s="4792"/>
      <c r="AF18" s="4792">
        <v>329732</v>
      </c>
      <c r="AG18" s="4792"/>
      <c r="AH18" s="4791">
        <f t="shared" si="7"/>
        <v>3410177</v>
      </c>
      <c r="AI18" s="4792"/>
      <c r="AJ18" s="4792">
        <v>399732</v>
      </c>
      <c r="AK18" s="4792"/>
      <c r="AL18" s="4792">
        <f t="shared" si="8"/>
        <v>1198987</v>
      </c>
      <c r="AM18" s="4792"/>
      <c r="AN18" s="4791">
        <f t="shared" si="9"/>
        <v>3809909</v>
      </c>
      <c r="AO18" s="4792"/>
      <c r="AP18" s="4792">
        <v>398642</v>
      </c>
      <c r="AQ18" s="4792"/>
      <c r="AR18" s="4791">
        <f t="shared" si="10"/>
        <v>4208551</v>
      </c>
      <c r="AS18" s="4792"/>
      <c r="AT18" s="4792">
        <v>374931</v>
      </c>
      <c r="AU18" s="4792"/>
      <c r="AV18" s="4791">
        <f t="shared" si="11"/>
        <v>4583482</v>
      </c>
      <c r="AW18" s="4792"/>
      <c r="AX18" s="4792">
        <v>466818</v>
      </c>
      <c r="AY18" s="4792"/>
      <c r="AZ18" s="4792">
        <f t="shared" si="12"/>
        <v>1240391</v>
      </c>
      <c r="BA18" s="4792"/>
      <c r="BB18" s="4792">
        <f t="shared" si="13"/>
        <v>2439378</v>
      </c>
      <c r="BC18" s="4792"/>
      <c r="BD18" s="4793">
        <f t="shared" si="14"/>
        <v>5050300</v>
      </c>
      <c r="BF18" s="26"/>
    </row>
    <row r="19" spans="2:58" ht="18" x14ac:dyDescent="0.3">
      <c r="B19" s="4787" t="s">
        <v>1770</v>
      </c>
      <c r="C19" s="4788"/>
      <c r="D19" s="4785">
        <v>7020</v>
      </c>
      <c r="E19" s="4788"/>
      <c r="F19" s="4785">
        <v>7983</v>
      </c>
      <c r="G19" s="4788"/>
      <c r="H19" s="4785">
        <f t="shared" si="0"/>
        <v>15003</v>
      </c>
      <c r="I19" s="4788"/>
      <c r="J19" s="4785">
        <v>7734</v>
      </c>
      <c r="K19" s="4789"/>
      <c r="L19" s="4789">
        <f t="shared" si="1"/>
        <v>22737</v>
      </c>
      <c r="M19" s="4789"/>
      <c r="N19" s="4789">
        <v>7728</v>
      </c>
      <c r="O19" s="4789"/>
      <c r="P19" s="4789">
        <f t="shared" si="2"/>
        <v>30465</v>
      </c>
      <c r="Q19" s="4789"/>
      <c r="R19" s="4789">
        <v>7279</v>
      </c>
      <c r="S19" s="4789"/>
      <c r="T19" s="4789">
        <f t="shared" si="3"/>
        <v>37744</v>
      </c>
      <c r="U19" s="4789"/>
      <c r="V19" s="4789">
        <v>8477</v>
      </c>
      <c r="W19" s="4790"/>
      <c r="X19" s="4791">
        <f t="shared" si="4"/>
        <v>23484</v>
      </c>
      <c r="Y19" s="4792"/>
      <c r="Z19" s="4791">
        <f t="shared" si="5"/>
        <v>46221</v>
      </c>
      <c r="AA19" s="4792"/>
      <c r="AB19" s="4792">
        <v>8913</v>
      </c>
      <c r="AC19" s="4792"/>
      <c r="AD19" s="4791">
        <f t="shared" si="6"/>
        <v>55134</v>
      </c>
      <c r="AE19" s="4792"/>
      <c r="AF19" s="4792">
        <v>6157</v>
      </c>
      <c r="AG19" s="4792"/>
      <c r="AH19" s="4791">
        <f t="shared" si="7"/>
        <v>61291</v>
      </c>
      <c r="AI19" s="4792"/>
      <c r="AJ19" s="4792">
        <v>8686</v>
      </c>
      <c r="AK19" s="4792"/>
      <c r="AL19" s="4792">
        <f t="shared" si="8"/>
        <v>23756</v>
      </c>
      <c r="AM19" s="4792"/>
      <c r="AN19" s="4791">
        <f t="shared" si="9"/>
        <v>69977</v>
      </c>
      <c r="AO19" s="4792"/>
      <c r="AP19" s="4792">
        <v>8435</v>
      </c>
      <c r="AQ19" s="4792"/>
      <c r="AR19" s="4791">
        <f t="shared" si="10"/>
        <v>78412</v>
      </c>
      <c r="AS19" s="4792"/>
      <c r="AT19" s="4792">
        <v>6343</v>
      </c>
      <c r="AU19" s="4792"/>
      <c r="AV19" s="4791">
        <f t="shared" si="11"/>
        <v>84755</v>
      </c>
      <c r="AW19" s="4792"/>
      <c r="AX19" s="4792">
        <v>8915</v>
      </c>
      <c r="AY19" s="4792"/>
      <c r="AZ19" s="4792">
        <f t="shared" si="12"/>
        <v>23693</v>
      </c>
      <c r="BA19" s="4792"/>
      <c r="BB19" s="4792">
        <f t="shared" si="13"/>
        <v>47449</v>
      </c>
      <c r="BC19" s="4792"/>
      <c r="BD19" s="4793">
        <f t="shared" si="14"/>
        <v>93670</v>
      </c>
      <c r="BF19" s="26"/>
    </row>
    <row r="20" spans="2:58" ht="18" x14ac:dyDescent="0.3">
      <c r="B20" s="4787" t="s">
        <v>1771</v>
      </c>
      <c r="C20" s="4788"/>
      <c r="D20" s="4785">
        <v>9430</v>
      </c>
      <c r="E20" s="4788"/>
      <c r="F20" s="4785">
        <v>8056</v>
      </c>
      <c r="G20" s="4788"/>
      <c r="H20" s="4785">
        <f t="shared" si="0"/>
        <v>17486</v>
      </c>
      <c r="I20" s="4788"/>
      <c r="J20" s="4785">
        <v>8863</v>
      </c>
      <c r="K20" s="4789"/>
      <c r="L20" s="4789">
        <f t="shared" si="1"/>
        <v>26349</v>
      </c>
      <c r="M20" s="4789"/>
      <c r="N20" s="4789">
        <v>9392</v>
      </c>
      <c r="O20" s="4789"/>
      <c r="P20" s="4789">
        <f t="shared" si="2"/>
        <v>35741</v>
      </c>
      <c r="Q20" s="4789"/>
      <c r="R20" s="4789">
        <v>9094</v>
      </c>
      <c r="S20" s="4789"/>
      <c r="T20" s="4789">
        <f t="shared" si="3"/>
        <v>44835</v>
      </c>
      <c r="U20" s="4789"/>
      <c r="V20" s="4789">
        <v>8879</v>
      </c>
      <c r="W20" s="4790"/>
      <c r="X20" s="4791">
        <f t="shared" si="4"/>
        <v>27365</v>
      </c>
      <c r="Y20" s="4792"/>
      <c r="Z20" s="4791">
        <f t="shared" si="5"/>
        <v>53714</v>
      </c>
      <c r="AA20" s="4792"/>
      <c r="AB20" s="4792">
        <v>9236</v>
      </c>
      <c r="AC20" s="4792"/>
      <c r="AD20" s="4791">
        <f t="shared" si="6"/>
        <v>62950</v>
      </c>
      <c r="AE20" s="4792"/>
      <c r="AF20" s="4792">
        <v>5883</v>
      </c>
      <c r="AG20" s="4792"/>
      <c r="AH20" s="4791">
        <f t="shared" si="7"/>
        <v>68833</v>
      </c>
      <c r="AI20" s="4792"/>
      <c r="AJ20" s="4792">
        <v>8902</v>
      </c>
      <c r="AK20" s="4792"/>
      <c r="AL20" s="4792">
        <f t="shared" si="8"/>
        <v>24021</v>
      </c>
      <c r="AM20" s="4792"/>
      <c r="AN20" s="4791">
        <f t="shared" si="9"/>
        <v>77735</v>
      </c>
      <c r="AO20" s="4792"/>
      <c r="AP20" s="4792">
        <v>8400</v>
      </c>
      <c r="AQ20" s="4792"/>
      <c r="AR20" s="4791">
        <f t="shared" si="10"/>
        <v>86135</v>
      </c>
      <c r="AS20" s="4792"/>
      <c r="AT20" s="4792">
        <v>7436</v>
      </c>
      <c r="AU20" s="4792"/>
      <c r="AV20" s="4791">
        <f t="shared" si="11"/>
        <v>93571</v>
      </c>
      <c r="AW20" s="4792"/>
      <c r="AX20" s="4792">
        <v>8119</v>
      </c>
      <c r="AY20" s="4792"/>
      <c r="AZ20" s="4792">
        <f t="shared" si="12"/>
        <v>23955</v>
      </c>
      <c r="BA20" s="4792"/>
      <c r="BB20" s="4792">
        <f t="shared" si="13"/>
        <v>47976</v>
      </c>
      <c r="BC20" s="4792"/>
      <c r="BD20" s="4793">
        <f t="shared" si="14"/>
        <v>101690</v>
      </c>
      <c r="BF20" s="26"/>
    </row>
    <row r="21" spans="2:58" ht="18.600000000000001" thickBot="1" x14ac:dyDescent="0.35">
      <c r="B21" s="4794" t="s">
        <v>1772</v>
      </c>
      <c r="C21" s="4795"/>
      <c r="D21" s="4796">
        <f>SUM(D6:D20)</f>
        <v>1274769</v>
      </c>
      <c r="E21" s="4795"/>
      <c r="F21" s="4796">
        <f>SUM(F6:F20)</f>
        <v>1312389</v>
      </c>
      <c r="G21" s="4795"/>
      <c r="H21" s="4796">
        <f t="shared" si="0"/>
        <v>2587158</v>
      </c>
      <c r="I21" s="4795"/>
      <c r="J21" s="4796">
        <f>SUM(J6:J20)</f>
        <v>1330013</v>
      </c>
      <c r="K21" s="4796"/>
      <c r="L21" s="4797">
        <f t="shared" si="1"/>
        <v>3917171</v>
      </c>
      <c r="M21" s="4796"/>
      <c r="N21" s="4796">
        <f t="shared" ref="N21:BD21" si="15">SUM(N6:N20)</f>
        <v>1279243</v>
      </c>
      <c r="O21" s="4796">
        <f t="shared" si="15"/>
        <v>0</v>
      </c>
      <c r="P21" s="4796">
        <f t="shared" si="15"/>
        <v>5196414</v>
      </c>
      <c r="Q21" s="4796">
        <f t="shared" si="15"/>
        <v>0</v>
      </c>
      <c r="R21" s="4796">
        <f t="shared" si="15"/>
        <v>1213801</v>
      </c>
      <c r="S21" s="4796">
        <f t="shared" si="15"/>
        <v>0</v>
      </c>
      <c r="T21" s="4796">
        <f t="shared" si="15"/>
        <v>6410215</v>
      </c>
      <c r="U21" s="4796">
        <f t="shared" si="15"/>
        <v>0</v>
      </c>
      <c r="V21" s="4796">
        <f t="shared" si="15"/>
        <v>1148030</v>
      </c>
      <c r="W21" s="4796">
        <f t="shared" si="15"/>
        <v>0</v>
      </c>
      <c r="X21" s="4796">
        <f t="shared" si="15"/>
        <v>3641074</v>
      </c>
      <c r="Y21" s="4796">
        <f t="shared" si="15"/>
        <v>0</v>
      </c>
      <c r="Z21" s="4796">
        <f t="shared" si="15"/>
        <v>7558245</v>
      </c>
      <c r="AA21" s="4796">
        <f t="shared" si="15"/>
        <v>0</v>
      </c>
      <c r="AB21" s="4796">
        <f t="shared" si="15"/>
        <v>1254303</v>
      </c>
      <c r="AC21" s="4796">
        <f t="shared" si="15"/>
        <v>0</v>
      </c>
      <c r="AD21" s="4796">
        <f t="shared" si="15"/>
        <v>8812548</v>
      </c>
      <c r="AE21" s="4796">
        <f t="shared" si="15"/>
        <v>0</v>
      </c>
      <c r="AF21" s="4796">
        <f t="shared" si="15"/>
        <v>624011</v>
      </c>
      <c r="AG21" s="4796">
        <f t="shared" si="15"/>
        <v>0</v>
      </c>
      <c r="AH21" s="4796">
        <f t="shared" si="15"/>
        <v>9436559</v>
      </c>
      <c r="AI21" s="4796">
        <f t="shared" si="15"/>
        <v>0</v>
      </c>
      <c r="AJ21" s="4796">
        <f t="shared" si="15"/>
        <v>1214399</v>
      </c>
      <c r="AK21" s="4796">
        <f t="shared" si="15"/>
        <v>0</v>
      </c>
      <c r="AL21" s="4796">
        <f t="shared" si="15"/>
        <v>3092713</v>
      </c>
      <c r="AM21" s="4796">
        <f t="shared" si="15"/>
        <v>0</v>
      </c>
      <c r="AN21" s="4796">
        <f t="shared" si="15"/>
        <v>10650958</v>
      </c>
      <c r="AO21" s="4796">
        <f t="shared" si="15"/>
        <v>0</v>
      </c>
      <c r="AP21" s="4796">
        <f t="shared" si="15"/>
        <v>1203164</v>
      </c>
      <c r="AQ21" s="4796">
        <f t="shared" si="15"/>
        <v>0</v>
      </c>
      <c r="AR21" s="4796">
        <f t="shared" si="15"/>
        <v>11854122</v>
      </c>
      <c r="AS21" s="4796">
        <f t="shared" si="15"/>
        <v>0</v>
      </c>
      <c r="AT21" s="4796">
        <f t="shared" si="15"/>
        <v>1110774</v>
      </c>
      <c r="AU21" s="4796">
        <f t="shared" si="15"/>
        <v>0</v>
      </c>
      <c r="AV21" s="4796">
        <f t="shared" si="15"/>
        <v>12964896</v>
      </c>
      <c r="AW21" s="4796">
        <f t="shared" si="15"/>
        <v>0</v>
      </c>
      <c r="AX21" s="4796">
        <f t="shared" si="15"/>
        <v>1367382</v>
      </c>
      <c r="AY21" s="4796">
        <f t="shared" si="15"/>
        <v>0</v>
      </c>
      <c r="AZ21" s="4796">
        <f t="shared" si="15"/>
        <v>3681320</v>
      </c>
      <c r="BA21" s="4796">
        <f t="shared" si="15"/>
        <v>0</v>
      </c>
      <c r="BB21" s="4796">
        <f t="shared" si="15"/>
        <v>6774033</v>
      </c>
      <c r="BC21" s="4796">
        <f t="shared" si="15"/>
        <v>0</v>
      </c>
      <c r="BD21" s="4798">
        <f t="shared" si="15"/>
        <v>14332278</v>
      </c>
      <c r="BF21" s="26"/>
    </row>
  </sheetData>
  <mergeCells count="28">
    <mergeCell ref="AA5:AB5"/>
    <mergeCell ref="AC5:AD5"/>
    <mergeCell ref="AE5:AF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B2:BD3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U5:V5"/>
    <mergeCell ref="W5:X5"/>
    <mergeCell ref="Y5:Z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D2:U41"/>
  <sheetViews>
    <sheetView zoomScaleNormal="100" workbookViewId="0">
      <selection activeCell="M16" sqref="M16"/>
    </sheetView>
  </sheetViews>
  <sheetFormatPr defaultRowHeight="15" x14ac:dyDescent="0.25"/>
  <cols>
    <col min="4" max="4" width="21.7109375" customWidth="1"/>
    <col min="5" max="5" width="14.5703125" customWidth="1"/>
    <col min="6" max="8" width="8.28515625" bestFit="1" customWidth="1"/>
    <col min="9" max="9" width="13.42578125" bestFit="1" customWidth="1"/>
    <col min="10" max="12" width="8.28515625" bestFit="1" customWidth="1"/>
    <col min="13" max="13" width="13.42578125" bestFit="1" customWidth="1"/>
    <col min="17" max="17" width="13.42578125" bestFit="1" customWidth="1"/>
    <col min="21" max="21" width="13.42578125" bestFit="1" customWidth="1"/>
  </cols>
  <sheetData>
    <row r="2" spans="4:21" ht="23.45" x14ac:dyDescent="0.4">
      <c r="D2" s="6431" t="s">
        <v>2312</v>
      </c>
      <c r="E2" s="6432"/>
      <c r="F2" s="6427" t="s">
        <v>2190</v>
      </c>
      <c r="G2" s="6427"/>
      <c r="H2" s="6427"/>
      <c r="I2" s="6427"/>
      <c r="J2" s="6427" t="s">
        <v>2242</v>
      </c>
      <c r="K2" s="6427"/>
      <c r="L2" s="6427"/>
      <c r="M2" s="6427"/>
      <c r="N2" s="6427" t="s">
        <v>2273</v>
      </c>
      <c r="O2" s="6427"/>
      <c r="P2" s="6427"/>
      <c r="Q2" s="6427"/>
      <c r="R2" s="6427" t="s">
        <v>2296</v>
      </c>
      <c r="S2" s="6427"/>
      <c r="T2" s="6427"/>
      <c r="U2" s="6427"/>
    </row>
    <row r="3" spans="4:21" ht="23.45" x14ac:dyDescent="0.45">
      <c r="D3" s="6430" t="s">
        <v>1782</v>
      </c>
      <c r="E3" s="6430"/>
      <c r="F3" s="2839" t="s">
        <v>1778</v>
      </c>
      <c r="G3" s="2839" t="s">
        <v>1779</v>
      </c>
      <c r="H3" s="2839" t="s">
        <v>1780</v>
      </c>
      <c r="I3" s="2839" t="s">
        <v>1781</v>
      </c>
      <c r="J3" s="2839" t="s">
        <v>1778</v>
      </c>
      <c r="K3" s="2839" t="s">
        <v>1779</v>
      </c>
      <c r="L3" s="2839" t="s">
        <v>1780</v>
      </c>
      <c r="M3" s="2839" t="s">
        <v>1781</v>
      </c>
      <c r="N3" s="2839" t="s">
        <v>1778</v>
      </c>
      <c r="O3" s="2839" t="s">
        <v>1779</v>
      </c>
      <c r="P3" s="2839" t="s">
        <v>1780</v>
      </c>
      <c r="Q3" s="2839" t="s">
        <v>1781</v>
      </c>
      <c r="R3" s="2839" t="s">
        <v>1778</v>
      </c>
      <c r="S3" s="2839" t="s">
        <v>1779</v>
      </c>
      <c r="T3" s="2839" t="s">
        <v>1780</v>
      </c>
      <c r="U3" s="2839" t="s">
        <v>1781</v>
      </c>
    </row>
    <row r="4" spans="4:21" ht="23.45" x14ac:dyDescent="0.45">
      <c r="D4" s="6428" t="s">
        <v>430</v>
      </c>
      <c r="E4" s="6428" t="s">
        <v>430</v>
      </c>
      <c r="F4" s="2838">
        <v>37.32</v>
      </c>
      <c r="G4" s="2838">
        <v>28.86</v>
      </c>
      <c r="H4" s="2838">
        <v>34.417910643889648</v>
      </c>
      <c r="I4" s="2838">
        <v>1.0812145813631775</v>
      </c>
      <c r="J4" s="2838">
        <v>36.71</v>
      </c>
      <c r="K4" s="2838">
        <v>31.31</v>
      </c>
      <c r="L4" s="2838">
        <v>33.910976717112909</v>
      </c>
      <c r="M4" s="2838">
        <v>0.90939350773184346</v>
      </c>
      <c r="N4" s="2838">
        <v>36.6</v>
      </c>
      <c r="O4" s="2838">
        <v>31.47</v>
      </c>
      <c r="P4" s="2838">
        <v>33.800293785310735</v>
      </c>
      <c r="Q4" s="2838">
        <v>0.7730389900311585</v>
      </c>
      <c r="R4" s="2838">
        <v>39.049999999999997</v>
      </c>
      <c r="S4" s="2838">
        <v>33.020000000000003</v>
      </c>
      <c r="T4" s="2838">
        <v>35.927606837606845</v>
      </c>
      <c r="U4" s="2838">
        <v>0.97838874381713026</v>
      </c>
    </row>
    <row r="5" spans="4:21" ht="23.45" x14ac:dyDescent="0.45">
      <c r="D5" s="6428" t="s">
        <v>431</v>
      </c>
      <c r="E5" s="6428" t="s">
        <v>431</v>
      </c>
      <c r="F5" s="2838">
        <v>21.87</v>
      </c>
      <c r="G5" s="2838">
        <v>14</v>
      </c>
      <c r="H5" s="2838">
        <v>18.332851511169526</v>
      </c>
      <c r="I5" s="2838">
        <v>1.1521923680193578</v>
      </c>
      <c r="J5" s="2838">
        <v>23.37</v>
      </c>
      <c r="K5" s="2838">
        <v>15.6</v>
      </c>
      <c r="L5" s="2838">
        <v>19.471373690337597</v>
      </c>
      <c r="M5" s="2838">
        <v>1.1485112381494058</v>
      </c>
      <c r="N5" s="2838">
        <v>21.74</v>
      </c>
      <c r="O5" s="2838">
        <v>15.16</v>
      </c>
      <c r="P5" s="2838">
        <v>18.639367231638438</v>
      </c>
      <c r="Q5" s="2838">
        <v>1.0138045172276877</v>
      </c>
      <c r="R5" s="2838">
        <v>19.21</v>
      </c>
      <c r="S5" s="2838">
        <v>12.79</v>
      </c>
      <c r="T5" s="2838">
        <v>15.460705128205131</v>
      </c>
      <c r="U5" s="2838">
        <v>0.97495182089402888</v>
      </c>
    </row>
    <row r="6" spans="4:21" ht="23.45" x14ac:dyDescent="0.45">
      <c r="D6" s="6428" t="s">
        <v>432</v>
      </c>
      <c r="E6" s="6428" t="s">
        <v>432</v>
      </c>
      <c r="F6" s="2838">
        <v>38.880000000000003</v>
      </c>
      <c r="G6" s="2838">
        <v>32.159999999999997</v>
      </c>
      <c r="H6" s="2838">
        <v>35.191879106438897</v>
      </c>
      <c r="I6" s="2838">
        <v>1.3447434762602366</v>
      </c>
      <c r="J6" s="2838">
        <v>38.29</v>
      </c>
      <c r="K6" s="2838">
        <v>31.56</v>
      </c>
      <c r="L6" s="2838">
        <v>34.512374854481969</v>
      </c>
      <c r="M6" s="2838">
        <v>1.1300501026997529</v>
      </c>
      <c r="N6" s="2838">
        <v>38.799999999999997</v>
      </c>
      <c r="O6" s="2838">
        <v>32.76</v>
      </c>
      <c r="P6" s="2838">
        <v>35.191344632768349</v>
      </c>
      <c r="Q6" s="2838">
        <v>1.0352682887717712</v>
      </c>
      <c r="R6" s="2838">
        <v>42.27</v>
      </c>
      <c r="S6" s="2838">
        <v>33.49</v>
      </c>
      <c r="T6" s="2838">
        <v>36.896420940170898</v>
      </c>
      <c r="U6" s="2838">
        <v>1.3744504045612083</v>
      </c>
    </row>
    <row r="7" spans="4:21" ht="23.45" x14ac:dyDescent="0.45">
      <c r="D7" s="6428" t="s">
        <v>433</v>
      </c>
      <c r="E7" s="6428" t="s">
        <v>433</v>
      </c>
      <c r="F7" s="2838">
        <v>10.41</v>
      </c>
      <c r="G7" s="2838">
        <v>7.53</v>
      </c>
      <c r="H7" s="2838">
        <v>8.9833377135348211</v>
      </c>
      <c r="I7" s="2838">
        <v>0.4973465410075093</v>
      </c>
      <c r="J7" s="2838">
        <v>10.71</v>
      </c>
      <c r="K7" s="2838">
        <v>7.63</v>
      </c>
      <c r="L7" s="2838">
        <v>9.058428405122223</v>
      </c>
      <c r="M7" s="2838">
        <v>0.58941476480751165</v>
      </c>
      <c r="N7" s="2838">
        <v>10.87</v>
      </c>
      <c r="O7" s="2838">
        <v>7.2</v>
      </c>
      <c r="P7" s="2838">
        <v>9.2041807909604518</v>
      </c>
      <c r="Q7" s="2838">
        <v>0.63131580887506111</v>
      </c>
      <c r="R7" s="2838">
        <v>10.99</v>
      </c>
      <c r="S7" s="2838">
        <v>7.6</v>
      </c>
      <c r="T7" s="2838">
        <v>9.23356837606838</v>
      </c>
      <c r="U7" s="2838">
        <v>0.64668060835582242</v>
      </c>
    </row>
    <row r="8" spans="4:21" ht="23.45" x14ac:dyDescent="0.45">
      <c r="D8" s="6428" t="s">
        <v>429</v>
      </c>
      <c r="E8" s="6428" t="s">
        <v>429</v>
      </c>
      <c r="F8" s="2838">
        <v>2.2999999999999998</v>
      </c>
      <c r="G8" s="2838">
        <v>0.08</v>
      </c>
      <c r="H8" s="2838">
        <v>0.55325886990801609</v>
      </c>
      <c r="I8" s="2838">
        <v>0.2392766456663768</v>
      </c>
      <c r="J8" s="2838">
        <v>1.69</v>
      </c>
      <c r="K8" s="2838">
        <v>0.15</v>
      </c>
      <c r="L8" s="2838">
        <v>0.56037252619324784</v>
      </c>
      <c r="M8" s="2838">
        <v>0.2520972191747442</v>
      </c>
      <c r="N8" s="2838">
        <v>1.91</v>
      </c>
      <c r="O8" s="2838">
        <v>0.14000000000000001</v>
      </c>
      <c r="P8" s="2838">
        <v>0.61033898305084744</v>
      </c>
      <c r="Q8" s="2838">
        <v>0.25694581516115139</v>
      </c>
      <c r="R8" s="2838">
        <v>2.04</v>
      </c>
      <c r="S8" s="2838">
        <v>0.1</v>
      </c>
      <c r="T8" s="2838">
        <v>0.33230769230769208</v>
      </c>
      <c r="U8" s="2838">
        <v>0.17411538182123545</v>
      </c>
    </row>
    <row r="9" spans="4:21" ht="23.45" x14ac:dyDescent="0.45">
      <c r="D9" s="6428" t="s">
        <v>1773</v>
      </c>
      <c r="E9" s="6428" t="s">
        <v>1773</v>
      </c>
      <c r="F9" s="2838">
        <v>1.1299999999999999</v>
      </c>
      <c r="G9" s="2838">
        <v>0.24</v>
      </c>
      <c r="H9" s="2838">
        <v>0.59027595269382382</v>
      </c>
      <c r="I9" s="2838">
        <v>0.10605387192325265</v>
      </c>
      <c r="J9" s="2838">
        <v>0.93</v>
      </c>
      <c r="K9" s="2838">
        <v>0.24</v>
      </c>
      <c r="L9" s="2838">
        <v>0.55669383003492423</v>
      </c>
      <c r="M9" s="2838">
        <v>0.11421573296409736</v>
      </c>
      <c r="N9" s="2838">
        <v>1.02</v>
      </c>
      <c r="O9" s="2838">
        <v>0.36</v>
      </c>
      <c r="P9" s="2838">
        <v>0.63425988700564928</v>
      </c>
      <c r="Q9" s="2838">
        <v>0.10321111467422377</v>
      </c>
      <c r="R9" s="2838">
        <v>0.84</v>
      </c>
      <c r="S9" s="2838">
        <v>0.2</v>
      </c>
      <c r="T9" s="2838">
        <v>0.51074786324786403</v>
      </c>
      <c r="U9" s="2838">
        <v>9.2707789424770412E-2</v>
      </c>
    </row>
    <row r="10" spans="4:21" ht="23.45" x14ac:dyDescent="0.45">
      <c r="D10" s="6428" t="s">
        <v>1774</v>
      </c>
      <c r="E10" s="6428" t="s">
        <v>1774</v>
      </c>
      <c r="F10" s="2838">
        <v>0.8</v>
      </c>
      <c r="G10" s="2838">
        <v>0.23</v>
      </c>
      <c r="H10" s="2838">
        <v>0.43060446780551898</v>
      </c>
      <c r="I10" s="2838">
        <v>7.3682479750059496E-2</v>
      </c>
      <c r="J10" s="2838">
        <v>0.73</v>
      </c>
      <c r="K10" s="2838">
        <v>0.28000000000000003</v>
      </c>
      <c r="L10" s="2838">
        <v>0.45660069848661211</v>
      </c>
      <c r="M10" s="2838">
        <v>7.8932815251459648E-2</v>
      </c>
      <c r="N10" s="2838">
        <v>0.95</v>
      </c>
      <c r="O10" s="2838">
        <v>0.21</v>
      </c>
      <c r="P10" s="2838">
        <v>0.50336723163841879</v>
      </c>
      <c r="Q10" s="2838">
        <v>9.9537196313268156E-2</v>
      </c>
      <c r="R10" s="2838">
        <v>0.73</v>
      </c>
      <c r="S10" s="2838">
        <v>0.22</v>
      </c>
      <c r="T10" s="2838">
        <v>0.4239102564102567</v>
      </c>
      <c r="U10" s="2838">
        <v>8.0849027201978008E-2</v>
      </c>
    </row>
    <row r="11" spans="4:21" ht="23.45" x14ac:dyDescent="0.45">
      <c r="D11" s="6428" t="s">
        <v>1775</v>
      </c>
      <c r="E11" s="6428" t="s">
        <v>1775</v>
      </c>
      <c r="F11" s="2838">
        <v>1.1599999999999999</v>
      </c>
      <c r="G11" s="2838">
        <v>0.47</v>
      </c>
      <c r="H11" s="2838">
        <v>0.8527201051248352</v>
      </c>
      <c r="I11" s="2838">
        <v>0.10286468745005842</v>
      </c>
      <c r="J11" s="2838">
        <v>1.1399999999999999</v>
      </c>
      <c r="K11" s="2838">
        <v>0.51</v>
      </c>
      <c r="L11" s="2838">
        <v>0.8212223515715944</v>
      </c>
      <c r="M11" s="2838">
        <v>0.10870940568525161</v>
      </c>
      <c r="N11" s="2838">
        <v>1.01</v>
      </c>
      <c r="O11" s="2838">
        <v>0.42</v>
      </c>
      <c r="P11" s="2838">
        <v>0.74769491525423826</v>
      </c>
      <c r="Q11" s="2838">
        <v>9.8507514167279958E-2</v>
      </c>
      <c r="R11" s="2838">
        <v>0.79</v>
      </c>
      <c r="S11" s="2838">
        <v>0.3</v>
      </c>
      <c r="T11" s="2838">
        <v>0.59601495726495735</v>
      </c>
      <c r="U11" s="2838">
        <v>7.1382346194524993E-2</v>
      </c>
    </row>
    <row r="12" spans="4:21" ht="23.45" x14ac:dyDescent="0.45">
      <c r="D12" s="6429" t="s">
        <v>1776</v>
      </c>
      <c r="E12" s="6429" t="s">
        <v>1776</v>
      </c>
      <c r="F12" s="2912">
        <v>1.35</v>
      </c>
      <c r="G12" s="2912">
        <v>0.9</v>
      </c>
      <c r="H12" s="2912">
        <v>1.0239684625492784</v>
      </c>
      <c r="I12" s="2912">
        <v>6.0589377685292586E-2</v>
      </c>
      <c r="J12" s="2912">
        <v>1.1499999999999999</v>
      </c>
      <c r="K12" s="2912">
        <v>0.86</v>
      </c>
      <c r="L12" s="2912">
        <v>1.0188940628637915</v>
      </c>
      <c r="M12" s="2912">
        <v>4.9018922179186193E-2</v>
      </c>
      <c r="N12" s="2912">
        <v>1.1599999999999999</v>
      </c>
      <c r="O12" s="2912">
        <v>0.92</v>
      </c>
      <c r="P12" s="2912">
        <v>1.0418757062146891</v>
      </c>
      <c r="Q12" s="2912">
        <v>4.458565308684577E-2</v>
      </c>
      <c r="R12" s="2912">
        <v>1.28</v>
      </c>
      <c r="S12" s="2912">
        <v>0.9</v>
      </c>
      <c r="T12" s="2912">
        <v>1.0280662393162392</v>
      </c>
      <c r="U12" s="2912">
        <v>5.5293092597030018E-2</v>
      </c>
    </row>
    <row r="13" spans="4:21" ht="23.45" x14ac:dyDescent="0.45">
      <c r="D13" s="6429" t="s">
        <v>1777</v>
      </c>
      <c r="E13" s="6429" t="s">
        <v>1777</v>
      </c>
      <c r="F13" s="2912">
        <v>1.6455301455301456</v>
      </c>
      <c r="G13" s="2912">
        <v>1.1328231757310738</v>
      </c>
      <c r="H13" s="2912">
        <v>1.2853339809871196</v>
      </c>
      <c r="I13" s="2912">
        <v>6.5040260001185846E-2</v>
      </c>
      <c r="J13" s="2912">
        <v>1.4131808606680711</v>
      </c>
      <c r="K13" s="2912">
        <v>0.98</v>
      </c>
      <c r="L13" s="2912">
        <v>1.2857830558292311</v>
      </c>
      <c r="M13" s="2912">
        <v>5.3956262164863218E-2</v>
      </c>
      <c r="N13" s="2912">
        <v>1.4598997493734334</v>
      </c>
      <c r="O13" s="2912">
        <v>1.1643564356435643</v>
      </c>
      <c r="P13" s="2912">
        <v>1.3145727960484208</v>
      </c>
      <c r="Q13" s="2912">
        <v>5.1750142197002032E-2</v>
      </c>
      <c r="R13" s="2912">
        <v>1.5766202301635373</v>
      </c>
      <c r="S13" s="2912">
        <v>0.59</v>
      </c>
      <c r="T13" s="2912">
        <v>1.2846882181755834</v>
      </c>
      <c r="U13" s="2912">
        <v>6.6193403130805836E-2</v>
      </c>
    </row>
    <row r="15" spans="4:21" ht="23.45" x14ac:dyDescent="0.3">
      <c r="D15" s="6441" t="s">
        <v>2313</v>
      </c>
      <c r="E15" s="6442"/>
      <c r="F15" s="6427" t="s">
        <v>2190</v>
      </c>
      <c r="G15" s="6427"/>
      <c r="H15" s="6427"/>
      <c r="J15" s="6427" t="s">
        <v>2242</v>
      </c>
      <c r="K15" s="6427"/>
      <c r="L15" s="6427"/>
      <c r="N15" s="6427" t="s">
        <v>2273</v>
      </c>
      <c r="O15" s="6427"/>
      <c r="P15" s="6427"/>
      <c r="R15" s="6427" t="s">
        <v>2296</v>
      </c>
      <c r="S15" s="6427"/>
      <c r="T15" s="6427"/>
    </row>
    <row r="16" spans="4:21" ht="23.45" x14ac:dyDescent="0.45">
      <c r="D16" s="6437" t="s">
        <v>1782</v>
      </c>
      <c r="E16" s="6438"/>
      <c r="F16" s="2839" t="s">
        <v>1778</v>
      </c>
      <c r="G16" s="2839" t="s">
        <v>1779</v>
      </c>
      <c r="H16" s="2839" t="s">
        <v>1780</v>
      </c>
      <c r="J16" s="2839" t="s">
        <v>1778</v>
      </c>
      <c r="K16" s="2839" t="s">
        <v>1779</v>
      </c>
      <c r="L16" s="2839" t="s">
        <v>1780</v>
      </c>
      <c r="N16" s="2839" t="s">
        <v>1778</v>
      </c>
      <c r="O16" s="2839" t="s">
        <v>1779</v>
      </c>
      <c r="P16" s="2839" t="s">
        <v>1780</v>
      </c>
      <c r="R16" s="2839" t="s">
        <v>1778</v>
      </c>
      <c r="S16" s="2839" t="s">
        <v>1779</v>
      </c>
      <c r="T16" s="2839" t="s">
        <v>1780</v>
      </c>
    </row>
    <row r="17" spans="4:20" ht="23.45" x14ac:dyDescent="0.3">
      <c r="D17" s="6433" t="s">
        <v>432</v>
      </c>
      <c r="E17" s="6434"/>
      <c r="F17" s="2838">
        <v>55.59</v>
      </c>
      <c r="G17" s="2838">
        <v>45.21</v>
      </c>
      <c r="H17" s="2838">
        <v>49.825262172284624</v>
      </c>
      <c r="J17" s="2838"/>
      <c r="K17" s="2838"/>
      <c r="L17" s="2838"/>
      <c r="N17" s="2838"/>
      <c r="O17" s="2838"/>
      <c r="P17" s="2838"/>
      <c r="R17" s="2838"/>
      <c r="S17" s="2838"/>
      <c r="T17" s="2838"/>
    </row>
    <row r="18" spans="4:20" ht="23.45" x14ac:dyDescent="0.3">
      <c r="D18" s="6433" t="s">
        <v>430</v>
      </c>
      <c r="E18" s="6434"/>
      <c r="F18" s="2838">
        <v>19.61</v>
      </c>
      <c r="G18" s="2838">
        <v>13.25</v>
      </c>
      <c r="H18" s="2838">
        <v>16.619307116104881</v>
      </c>
      <c r="J18" s="2838"/>
      <c r="K18" s="2838"/>
      <c r="L18" s="2838"/>
      <c r="N18" s="2838"/>
      <c r="O18" s="2838"/>
      <c r="P18" s="2838"/>
      <c r="R18" s="2838"/>
      <c r="S18" s="2838"/>
      <c r="T18" s="2838"/>
    </row>
    <row r="19" spans="4:20" ht="23.45" x14ac:dyDescent="0.3">
      <c r="D19" s="6433" t="s">
        <v>431</v>
      </c>
      <c r="E19" s="6434"/>
      <c r="F19" s="2838">
        <v>1.65</v>
      </c>
      <c r="G19" s="2838">
        <v>0.41</v>
      </c>
      <c r="H19" s="2838">
        <v>0.94357677902621739</v>
      </c>
      <c r="J19" s="2838"/>
      <c r="K19" s="2838"/>
      <c r="L19" s="2838"/>
      <c r="N19" s="2838"/>
      <c r="O19" s="2838"/>
      <c r="P19" s="2838"/>
      <c r="R19" s="2838"/>
      <c r="S19" s="2838"/>
      <c r="T19" s="2838"/>
    </row>
    <row r="20" spans="4:20" ht="23.45" x14ac:dyDescent="0.3">
      <c r="D20" s="6433" t="s">
        <v>433</v>
      </c>
      <c r="E20" s="6434"/>
      <c r="F20" s="2838">
        <v>10.07</v>
      </c>
      <c r="G20" s="2838">
        <v>3.19</v>
      </c>
      <c r="H20" s="2838">
        <v>6.5086142322097391</v>
      </c>
      <c r="J20" s="2838"/>
      <c r="K20" s="2838"/>
      <c r="L20" s="2838"/>
      <c r="N20" s="2838"/>
      <c r="O20" s="2838"/>
      <c r="P20" s="2838"/>
      <c r="R20" s="2838"/>
      <c r="S20" s="2838"/>
      <c r="T20" s="2838"/>
    </row>
    <row r="21" spans="4:20" ht="27" x14ac:dyDescent="0.3">
      <c r="D21" s="6433" t="s">
        <v>1787</v>
      </c>
      <c r="E21" s="6434"/>
      <c r="F21" s="2838">
        <v>24.72</v>
      </c>
      <c r="G21" s="2838">
        <v>8.2200000000000006</v>
      </c>
      <c r="H21" s="2838">
        <v>18.187415730337094</v>
      </c>
      <c r="J21" s="2838"/>
      <c r="K21" s="2838"/>
      <c r="L21" s="2838"/>
      <c r="N21" s="2838"/>
      <c r="O21" s="2838"/>
      <c r="P21" s="2838"/>
      <c r="R21" s="2838"/>
      <c r="S21" s="2838"/>
      <c r="T21" s="2838"/>
    </row>
    <row r="22" spans="4:20" ht="23.45" x14ac:dyDescent="0.3">
      <c r="D22" s="6433" t="s">
        <v>1783</v>
      </c>
      <c r="E22" s="6434"/>
      <c r="F22" s="2838">
        <v>2.57</v>
      </c>
      <c r="G22" s="2838">
        <v>0</v>
      </c>
      <c r="H22" s="2838">
        <v>1.327865168539325</v>
      </c>
      <c r="J22" s="2838"/>
      <c r="K22" s="2838"/>
      <c r="L22" s="2838"/>
      <c r="N22" s="2838"/>
      <c r="O22" s="2838"/>
      <c r="P22" s="2838"/>
      <c r="R22" s="2838"/>
      <c r="S22" s="2838"/>
      <c r="T22" s="2838"/>
    </row>
    <row r="23" spans="4:20" ht="23.45" x14ac:dyDescent="0.3">
      <c r="D23" s="6433" t="s">
        <v>1784</v>
      </c>
      <c r="E23" s="6434"/>
      <c r="F23" s="2838">
        <v>2.5499999999999998</v>
      </c>
      <c r="G23" s="2838">
        <v>1.21</v>
      </c>
      <c r="H23" s="2838">
        <v>1.813014981273408</v>
      </c>
      <c r="J23" s="2838"/>
      <c r="K23" s="2838"/>
      <c r="L23" s="2838"/>
      <c r="N23" s="2838"/>
      <c r="O23" s="2838"/>
      <c r="P23" s="2838"/>
      <c r="R23" s="2838"/>
      <c r="S23" s="2838"/>
      <c r="T23" s="2838"/>
    </row>
    <row r="24" spans="4:20" ht="23.45" x14ac:dyDescent="0.3">
      <c r="D24" s="6433" t="s">
        <v>1773</v>
      </c>
      <c r="E24" s="6434"/>
      <c r="F24" s="2838">
        <v>0.13</v>
      </c>
      <c r="G24" s="2838">
        <v>0</v>
      </c>
      <c r="H24" s="2838">
        <v>3.0205992509363094E-2</v>
      </c>
      <c r="J24" s="2838"/>
      <c r="K24" s="2838"/>
      <c r="L24" s="2838"/>
      <c r="N24" s="2838"/>
      <c r="O24" s="2838"/>
      <c r="P24" s="2838"/>
      <c r="R24" s="2838"/>
      <c r="S24" s="2838"/>
      <c r="T24" s="2838"/>
    </row>
    <row r="25" spans="4:20" ht="23.25" x14ac:dyDescent="0.25">
      <c r="D25" s="6433" t="s">
        <v>1774</v>
      </c>
      <c r="E25" s="6434"/>
      <c r="F25" s="2838">
        <v>0.06</v>
      </c>
      <c r="G25" s="2838">
        <v>0</v>
      </c>
      <c r="H25" s="2838">
        <v>3.5580524344569291E-4</v>
      </c>
      <c r="J25" s="2838"/>
      <c r="K25" s="2838"/>
      <c r="L25" s="2838"/>
      <c r="N25" s="2838"/>
      <c r="O25" s="2838"/>
      <c r="P25" s="2838"/>
      <c r="R25" s="2838"/>
      <c r="S25" s="2838"/>
      <c r="T25" s="2838"/>
    </row>
    <row r="26" spans="4:20" ht="23.25" x14ac:dyDescent="0.25">
      <c r="D26" s="6433" t="s">
        <v>1775</v>
      </c>
      <c r="E26" s="6434"/>
      <c r="F26" s="2838">
        <v>2.5499999999999998</v>
      </c>
      <c r="G26" s="2838">
        <v>1.21</v>
      </c>
      <c r="H26" s="2838">
        <v>1.813014981273408</v>
      </c>
      <c r="J26" s="2838"/>
      <c r="K26" s="2838"/>
      <c r="L26" s="2838"/>
      <c r="N26" s="2838"/>
      <c r="O26" s="2838"/>
      <c r="P26" s="2838"/>
      <c r="R26" s="2838"/>
      <c r="S26" s="2838"/>
      <c r="T26" s="2838"/>
    </row>
    <row r="27" spans="4:20" ht="23.25" x14ac:dyDescent="0.25">
      <c r="D27" s="6435" t="s">
        <v>1785</v>
      </c>
      <c r="E27" s="6436"/>
      <c r="F27" s="2912">
        <v>3.63</v>
      </c>
      <c r="G27" s="2912">
        <v>2.44</v>
      </c>
      <c r="H27" s="2912">
        <v>3.0100000000000011</v>
      </c>
      <c r="J27" s="2912"/>
      <c r="K27" s="2912"/>
      <c r="L27" s="2912"/>
      <c r="N27" s="2912"/>
      <c r="O27" s="2912"/>
      <c r="P27" s="2912"/>
      <c r="R27" s="2912"/>
      <c r="S27" s="2912"/>
      <c r="T27" s="2912"/>
    </row>
    <row r="29" spans="4:20" ht="23.25" x14ac:dyDescent="0.35">
      <c r="D29" s="6439" t="s">
        <v>1786</v>
      </c>
      <c r="E29" s="6440"/>
      <c r="F29" s="6427" t="s">
        <v>2190</v>
      </c>
      <c r="G29" s="6427"/>
      <c r="H29" s="6427"/>
      <c r="J29" s="6427" t="s">
        <v>2242</v>
      </c>
      <c r="K29" s="6427"/>
      <c r="L29" s="6427"/>
      <c r="N29" s="6427" t="s">
        <v>2273</v>
      </c>
      <c r="O29" s="6427"/>
      <c r="P29" s="6427"/>
      <c r="R29" s="6427" t="s">
        <v>2296</v>
      </c>
      <c r="S29" s="6427"/>
      <c r="T29" s="6427"/>
    </row>
    <row r="30" spans="4:20" ht="23.25" x14ac:dyDescent="0.35">
      <c r="D30" s="6437" t="s">
        <v>1782</v>
      </c>
      <c r="E30" s="6438"/>
      <c r="F30" s="2839" t="s">
        <v>1778</v>
      </c>
      <c r="G30" s="2839" t="s">
        <v>1779</v>
      </c>
      <c r="H30" s="2839" t="s">
        <v>1780</v>
      </c>
      <c r="J30" s="2839" t="s">
        <v>1778</v>
      </c>
      <c r="K30" s="2839" t="s">
        <v>1779</v>
      </c>
      <c r="L30" s="2839" t="s">
        <v>1780</v>
      </c>
      <c r="N30" s="2839" t="s">
        <v>1778</v>
      </c>
      <c r="O30" s="2839" t="s">
        <v>1779</v>
      </c>
      <c r="P30" s="2839" t="s">
        <v>1780</v>
      </c>
      <c r="R30" s="2839" t="s">
        <v>1778</v>
      </c>
      <c r="S30" s="2839" t="s">
        <v>1779</v>
      </c>
      <c r="T30" s="2839" t="s">
        <v>1780</v>
      </c>
    </row>
    <row r="31" spans="4:20" ht="23.25" x14ac:dyDescent="0.25">
      <c r="D31" s="6433" t="s">
        <v>432</v>
      </c>
      <c r="E31" s="6434"/>
      <c r="F31" s="2838">
        <v>55.27</v>
      </c>
      <c r="G31" s="2838">
        <v>37.93</v>
      </c>
      <c r="H31" s="2838">
        <v>48.229892473118248</v>
      </c>
      <c r="J31" s="2838"/>
      <c r="K31" s="2838"/>
      <c r="L31" s="2838"/>
      <c r="N31" s="2838"/>
      <c r="O31" s="2838"/>
      <c r="P31" s="2838"/>
      <c r="R31" s="2838"/>
      <c r="S31" s="2838"/>
      <c r="T31" s="2838"/>
    </row>
    <row r="32" spans="4:20" ht="23.25" x14ac:dyDescent="0.25">
      <c r="D32" s="6433" t="s">
        <v>430</v>
      </c>
      <c r="E32" s="6434"/>
      <c r="F32" s="2838">
        <v>34.6</v>
      </c>
      <c r="G32" s="2838">
        <v>12.68</v>
      </c>
      <c r="H32" s="2838">
        <v>28.92258064516129</v>
      </c>
      <c r="J32" s="2838"/>
      <c r="K32" s="2838"/>
      <c r="L32" s="2838"/>
      <c r="N32" s="2838"/>
      <c r="O32" s="2838"/>
      <c r="P32" s="2838"/>
      <c r="R32" s="2838"/>
      <c r="S32" s="2838"/>
      <c r="T32" s="2838"/>
    </row>
    <row r="33" spans="4:20" ht="23.25" x14ac:dyDescent="0.25">
      <c r="D33" s="6433" t="s">
        <v>431</v>
      </c>
      <c r="E33" s="6434"/>
      <c r="F33" s="2838">
        <v>26.98</v>
      </c>
      <c r="G33" s="2838">
        <v>3.85</v>
      </c>
      <c r="H33" s="2838">
        <v>9.0751182795699012</v>
      </c>
      <c r="J33" s="2838"/>
      <c r="K33" s="2838"/>
      <c r="L33" s="2838"/>
      <c r="N33" s="2838"/>
      <c r="O33" s="2838"/>
      <c r="P33" s="2838"/>
      <c r="R33" s="2838"/>
      <c r="S33" s="2838"/>
      <c r="T33" s="2838"/>
    </row>
    <row r="34" spans="4:20" ht="23.25" x14ac:dyDescent="0.25">
      <c r="D34" s="6433" t="s">
        <v>433</v>
      </c>
      <c r="E34" s="6434"/>
      <c r="F34" s="2838">
        <v>22.5</v>
      </c>
      <c r="G34" s="2838">
        <v>5.33</v>
      </c>
      <c r="H34" s="2838">
        <v>9.2966021505376339</v>
      </c>
      <c r="J34" s="2838"/>
      <c r="K34" s="2838"/>
      <c r="L34" s="2838"/>
      <c r="N34" s="2838"/>
      <c r="O34" s="2838"/>
      <c r="P34" s="2838"/>
      <c r="R34" s="2838"/>
      <c r="S34" s="2838"/>
      <c r="T34" s="2838"/>
    </row>
    <row r="35" spans="4:20" ht="26.25" x14ac:dyDescent="0.25">
      <c r="D35" s="6433" t="s">
        <v>1787</v>
      </c>
      <c r="E35" s="6434"/>
      <c r="F35" s="2838">
        <v>3.19</v>
      </c>
      <c r="G35" s="2838">
        <v>0.2</v>
      </c>
      <c r="H35" s="2838">
        <v>1.2209677419354843</v>
      </c>
      <c r="J35" s="2838"/>
      <c r="K35" s="2838"/>
      <c r="L35" s="2838"/>
      <c r="N35" s="2838"/>
      <c r="O35" s="2838"/>
      <c r="P35" s="2838"/>
      <c r="R35" s="2838"/>
      <c r="S35" s="2838"/>
      <c r="T35" s="2838"/>
    </row>
    <row r="36" spans="4:20" ht="23.25" x14ac:dyDescent="0.25">
      <c r="D36" s="6433" t="s">
        <v>1783</v>
      </c>
      <c r="E36" s="6434"/>
      <c r="F36" s="2838">
        <v>6.32</v>
      </c>
      <c r="G36" s="2838">
        <v>0</v>
      </c>
      <c r="H36" s="2838">
        <v>1.2809677419354832</v>
      </c>
      <c r="J36" s="2838"/>
      <c r="K36" s="2838"/>
      <c r="L36" s="2838"/>
      <c r="N36" s="2838"/>
      <c r="O36" s="2838"/>
      <c r="P36" s="2838"/>
      <c r="R36" s="2838"/>
      <c r="S36" s="2838"/>
      <c r="T36" s="2838"/>
    </row>
    <row r="37" spans="4:20" ht="23.25" x14ac:dyDescent="0.25">
      <c r="D37" s="6433" t="s">
        <v>1784</v>
      </c>
      <c r="E37" s="6434"/>
      <c r="F37" s="2838">
        <v>0.34</v>
      </c>
      <c r="G37" s="2838">
        <v>0.09</v>
      </c>
      <c r="H37" s="2838">
        <v>0.18750537634408601</v>
      </c>
      <c r="J37" s="2838"/>
      <c r="K37" s="2838"/>
      <c r="L37" s="2838"/>
      <c r="N37" s="2838"/>
      <c r="O37" s="2838"/>
      <c r="P37" s="2838"/>
      <c r="R37" s="2838"/>
      <c r="S37" s="2838"/>
      <c r="T37" s="2838"/>
    </row>
    <row r="38" spans="4:20" ht="23.25" x14ac:dyDescent="0.25">
      <c r="D38" s="6433" t="s">
        <v>1773</v>
      </c>
      <c r="E38" s="6434"/>
      <c r="F38" s="2838">
        <v>0.65</v>
      </c>
      <c r="G38" s="2838">
        <v>0</v>
      </c>
      <c r="H38" s="2838">
        <v>0.12337634408602161</v>
      </c>
      <c r="J38" s="2838"/>
      <c r="K38" s="2838"/>
      <c r="L38" s="2838"/>
      <c r="N38" s="2838"/>
      <c r="O38" s="2838"/>
      <c r="P38" s="2838"/>
      <c r="R38" s="2838"/>
      <c r="S38" s="2838"/>
      <c r="T38" s="2838"/>
    </row>
    <row r="39" spans="4:20" ht="23.25" x14ac:dyDescent="0.25">
      <c r="D39" s="6433" t="s">
        <v>1774</v>
      </c>
      <c r="E39" s="6434"/>
      <c r="F39" s="2838">
        <v>0.04</v>
      </c>
      <c r="G39" s="2838">
        <v>0</v>
      </c>
      <c r="H39" s="2838">
        <v>2.0236559139784958E-3</v>
      </c>
      <c r="J39" s="2838"/>
      <c r="K39" s="2838"/>
      <c r="L39" s="2838"/>
      <c r="N39" s="2838"/>
      <c r="O39" s="2838"/>
      <c r="P39" s="2838"/>
      <c r="R39" s="2838"/>
      <c r="S39" s="2838"/>
      <c r="T39" s="2838"/>
    </row>
    <row r="40" spans="4:20" ht="23.25" x14ac:dyDescent="0.25">
      <c r="D40" s="6433" t="s">
        <v>1775</v>
      </c>
      <c r="E40" s="6434"/>
      <c r="F40" s="2838">
        <v>0.34</v>
      </c>
      <c r="G40" s="2838">
        <v>0.09</v>
      </c>
      <c r="H40" s="2838">
        <v>0.18750537634408601</v>
      </c>
      <c r="J40" s="2838"/>
      <c r="K40" s="2838"/>
      <c r="L40" s="2838"/>
      <c r="N40" s="2838"/>
      <c r="O40" s="2838"/>
      <c r="P40" s="2838"/>
      <c r="R40" s="2838"/>
      <c r="S40" s="2838"/>
      <c r="T40" s="2838"/>
    </row>
    <row r="41" spans="4:20" ht="23.25" x14ac:dyDescent="0.25">
      <c r="D41" s="6435" t="s">
        <v>1785</v>
      </c>
      <c r="E41" s="6436"/>
      <c r="F41" s="2912">
        <v>3.88</v>
      </c>
      <c r="G41" s="2912">
        <v>1.24</v>
      </c>
      <c r="H41" s="2912">
        <v>1.6956559139784944</v>
      </c>
      <c r="J41" s="2912"/>
      <c r="K41" s="2912"/>
      <c r="L41" s="2912"/>
      <c r="N41" s="2912"/>
      <c r="O41" s="2912"/>
      <c r="P41" s="2912"/>
      <c r="R41" s="2912"/>
      <c r="S41" s="2912"/>
      <c r="T41" s="2912"/>
    </row>
  </sheetData>
  <mergeCells count="50"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8:E8"/>
    <mergeCell ref="R2:U2"/>
    <mergeCell ref="R15:T15"/>
    <mergeCell ref="R29:T29"/>
    <mergeCell ref="N2:Q2"/>
    <mergeCell ref="N15:P15"/>
    <mergeCell ref="N29:P29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N18"/>
  <sheetViews>
    <sheetView workbookViewId="0">
      <selection activeCell="N4" sqref="N4"/>
    </sheetView>
  </sheetViews>
  <sheetFormatPr defaultRowHeight="15" x14ac:dyDescent="0.25"/>
  <cols>
    <col min="3" max="3" width="18.42578125" bestFit="1" customWidth="1"/>
  </cols>
  <sheetData>
    <row r="2" spans="2:14" x14ac:dyDescent="0.25">
      <c r="B2" s="6443" t="s">
        <v>2176</v>
      </c>
      <c r="C2" s="6444" t="s">
        <v>2177</v>
      </c>
      <c r="D2" s="6444" t="s">
        <v>2178</v>
      </c>
      <c r="E2" s="6444"/>
      <c r="F2" s="6444"/>
      <c r="G2" s="6444"/>
      <c r="H2" s="6444"/>
      <c r="I2" s="6444"/>
      <c r="J2" s="6444"/>
      <c r="K2" s="6444"/>
      <c r="L2" s="6444"/>
      <c r="M2" s="6444"/>
      <c r="N2" s="6444"/>
    </row>
    <row r="3" spans="2:14" x14ac:dyDescent="0.25">
      <c r="B3" s="6443"/>
      <c r="C3" s="6444"/>
      <c r="D3" s="5277" t="s">
        <v>2314</v>
      </c>
      <c r="E3" s="5277" t="s">
        <v>2315</v>
      </c>
      <c r="F3" s="5278" t="s">
        <v>2316</v>
      </c>
      <c r="G3" s="5278" t="s">
        <v>2317</v>
      </c>
      <c r="H3" s="5278" t="s">
        <v>2318</v>
      </c>
      <c r="I3" s="5278" t="s">
        <v>2319</v>
      </c>
      <c r="J3" s="5278" t="s">
        <v>2320</v>
      </c>
      <c r="K3" s="5278" t="s">
        <v>2321</v>
      </c>
      <c r="L3" s="5278" t="s">
        <v>2322</v>
      </c>
      <c r="M3" s="5278" t="s">
        <v>2323</v>
      </c>
      <c r="N3" s="5278" t="s">
        <v>2324</v>
      </c>
    </row>
    <row r="4" spans="2:14" ht="14.45" x14ac:dyDescent="0.3">
      <c r="B4" s="5245">
        <v>1</v>
      </c>
      <c r="C4" s="5245" t="s">
        <v>724</v>
      </c>
      <c r="D4" s="5279">
        <v>3.4061755654009866</v>
      </c>
      <c r="E4" s="5279">
        <v>1.4886028448516302</v>
      </c>
      <c r="F4" s="5279"/>
      <c r="G4" s="5279"/>
      <c r="H4" s="5279"/>
      <c r="I4" s="5279"/>
      <c r="J4" s="5279"/>
      <c r="K4" s="5279"/>
      <c r="L4" s="5279"/>
      <c r="M4" s="5279"/>
      <c r="N4" s="5279"/>
    </row>
    <row r="5" spans="2:14" ht="14.45" x14ac:dyDescent="0.3">
      <c r="B5" s="5245">
        <v>2</v>
      </c>
      <c r="C5" s="5245" t="s">
        <v>377</v>
      </c>
      <c r="D5" s="5279">
        <v>0.20866598264980693</v>
      </c>
      <c r="E5" s="5279">
        <v>0.24815333970030173</v>
      </c>
      <c r="F5" s="5279"/>
      <c r="G5" s="5279"/>
      <c r="H5" s="5279"/>
      <c r="I5" s="5279"/>
      <c r="J5" s="5279"/>
      <c r="K5" s="5279"/>
      <c r="L5" s="5279"/>
      <c r="M5" s="5279"/>
      <c r="N5" s="5279"/>
    </row>
    <row r="6" spans="2:14" ht="14.45" x14ac:dyDescent="0.3">
      <c r="B6" s="5245">
        <v>3</v>
      </c>
      <c r="C6" s="5245" t="s">
        <v>2179</v>
      </c>
      <c r="D6" s="5279">
        <v>0</v>
      </c>
      <c r="E6" s="5279">
        <v>0.95481325907081704</v>
      </c>
      <c r="F6" s="5279"/>
      <c r="G6" s="5279"/>
      <c r="H6" s="5279"/>
      <c r="I6" s="5279"/>
      <c r="J6" s="5279"/>
      <c r="K6" s="5279"/>
      <c r="L6" s="5279"/>
      <c r="M6" s="5279"/>
      <c r="N6" s="5279"/>
    </row>
    <row r="7" spans="2:14" ht="14.45" x14ac:dyDescent="0.3">
      <c r="B7" s="5245">
        <v>4</v>
      </c>
      <c r="C7" s="5245" t="s">
        <v>2180</v>
      </c>
      <c r="D7" s="5279">
        <v>8.3932031095242471E-2</v>
      </c>
      <c r="E7" s="5279">
        <v>4.369543353138549E-2</v>
      </c>
      <c r="F7" s="5279"/>
      <c r="G7" s="5279"/>
      <c r="H7" s="5279"/>
      <c r="I7" s="5279"/>
      <c r="J7" s="5279"/>
      <c r="K7" s="5279"/>
      <c r="L7" s="5279"/>
      <c r="M7" s="5279"/>
      <c r="N7" s="5279"/>
    </row>
    <row r="8" spans="2:14" ht="14.45" x14ac:dyDescent="0.3">
      <c r="B8" s="5245">
        <v>5</v>
      </c>
      <c r="C8" s="5245" t="s">
        <v>2181</v>
      </c>
      <c r="D8" s="5279">
        <v>7.1408900505853301E-2</v>
      </c>
      <c r="E8" s="5279">
        <v>0.41851078675257358</v>
      </c>
      <c r="F8" s="5279"/>
      <c r="G8" s="5279"/>
      <c r="H8" s="5279"/>
      <c r="I8" s="5279"/>
      <c r="J8" s="5279"/>
      <c r="K8" s="5279"/>
      <c r="L8" s="5279"/>
      <c r="M8" s="5279"/>
      <c r="N8" s="5279"/>
    </row>
    <row r="9" spans="2:14" ht="14.45" x14ac:dyDescent="0.3">
      <c r="B9" s="5245">
        <v>6</v>
      </c>
      <c r="C9" s="5245" t="s">
        <v>2182</v>
      </c>
      <c r="D9" s="5279">
        <v>4.3661421317344438</v>
      </c>
      <c r="E9" s="5279">
        <v>4.3029919116963473</v>
      </c>
      <c r="F9" s="5279"/>
      <c r="G9" s="5279"/>
      <c r="H9" s="5279"/>
      <c r="I9" s="5279"/>
      <c r="J9" s="5279"/>
      <c r="K9" s="5279"/>
      <c r="L9" s="5279"/>
      <c r="M9" s="5279"/>
      <c r="N9" s="5279"/>
    </row>
    <row r="10" spans="2:14" ht="14.45" x14ac:dyDescent="0.3">
      <c r="B10" s="5245">
        <v>7</v>
      </c>
      <c r="C10" s="5245" t="s">
        <v>2183</v>
      </c>
      <c r="D10" s="5279">
        <v>0.56947146784425329</v>
      </c>
      <c r="E10" s="5279">
        <v>0.58313952957682202</v>
      </c>
      <c r="F10" s="5279"/>
      <c r="G10" s="5279"/>
      <c r="H10" s="5279"/>
      <c r="I10" s="5279"/>
      <c r="J10" s="5279"/>
      <c r="K10" s="5279"/>
      <c r="L10" s="5279"/>
      <c r="M10" s="5279"/>
      <c r="N10" s="5279"/>
    </row>
    <row r="11" spans="2:14" ht="14.45" x14ac:dyDescent="0.3">
      <c r="B11" s="5245">
        <v>8</v>
      </c>
      <c r="C11" s="5245" t="s">
        <v>2184</v>
      </c>
      <c r="D11" s="5279">
        <v>2.0893302637491122</v>
      </c>
      <c r="E11" s="5279">
        <v>1.8307187560746798</v>
      </c>
      <c r="F11" s="5279"/>
      <c r="G11" s="5279"/>
      <c r="H11" s="5279"/>
      <c r="I11" s="5279"/>
      <c r="J11" s="5279"/>
      <c r="K11" s="5279"/>
      <c r="L11" s="5279"/>
      <c r="M11" s="5279"/>
      <c r="N11" s="5279"/>
    </row>
    <row r="12" spans="2:14" ht="14.45" x14ac:dyDescent="0.3">
      <c r="B12" s="5245">
        <v>9</v>
      </c>
      <c r="C12" s="5245" t="s">
        <v>2185</v>
      </c>
      <c r="D12" s="5279">
        <v>7.7303275243142955E-2</v>
      </c>
      <c r="E12" s="5279">
        <v>0</v>
      </c>
      <c r="F12" s="5279"/>
      <c r="G12" s="5279"/>
      <c r="H12" s="5279"/>
      <c r="I12" s="5279"/>
      <c r="J12" s="5279"/>
      <c r="K12" s="5279"/>
      <c r="L12" s="5279"/>
      <c r="M12" s="5279"/>
      <c r="N12" s="5279"/>
    </row>
    <row r="13" spans="2:14" ht="14.45" x14ac:dyDescent="0.3">
      <c r="B13" s="5245">
        <v>10</v>
      </c>
      <c r="C13" s="5245" t="s">
        <v>2186</v>
      </c>
      <c r="D13" s="5279">
        <v>5.3629147199930428E-2</v>
      </c>
      <c r="E13" s="5279">
        <v>0.2528587969810428</v>
      </c>
      <c r="F13" s="5279"/>
      <c r="G13" s="5279"/>
      <c r="H13" s="5279"/>
      <c r="I13" s="5279"/>
      <c r="J13" s="5279"/>
      <c r="K13" s="5279"/>
      <c r="L13" s="5279"/>
      <c r="M13" s="5279"/>
      <c r="N13" s="5279"/>
    </row>
    <row r="14" spans="2:14" ht="14.45" x14ac:dyDescent="0.3">
      <c r="B14" s="5245">
        <v>11</v>
      </c>
      <c r="C14" s="5245" t="s">
        <v>2187</v>
      </c>
      <c r="D14" s="5279">
        <v>6.4683515559699867E-2</v>
      </c>
      <c r="E14" s="5279">
        <v>9.4659353104742258E-2</v>
      </c>
      <c r="F14" s="5279"/>
      <c r="G14" s="5279"/>
      <c r="H14" s="5279"/>
      <c r="I14" s="5279"/>
      <c r="J14" s="5279"/>
      <c r="K14" s="5279"/>
      <c r="L14" s="5279"/>
      <c r="M14" s="5279"/>
      <c r="N14" s="5279"/>
    </row>
    <row r="15" spans="2:14" ht="14.45" x14ac:dyDescent="0.3">
      <c r="B15" s="5245">
        <v>12</v>
      </c>
      <c r="C15" s="5245" t="s">
        <v>2188</v>
      </c>
      <c r="D15" s="5279">
        <v>1.5460655048628593E-4</v>
      </c>
      <c r="E15" s="5279">
        <v>3.8021788554669998E-2</v>
      </c>
      <c r="F15" s="5279"/>
      <c r="G15" s="5279"/>
      <c r="H15" s="5279"/>
      <c r="I15" s="5279"/>
      <c r="J15" s="5279"/>
      <c r="K15" s="5279"/>
      <c r="L15" s="5279"/>
      <c r="M15" s="5279"/>
      <c r="N15" s="5279"/>
    </row>
    <row r="16" spans="2:14" ht="14.45" x14ac:dyDescent="0.3">
      <c r="B16" s="5245">
        <v>13</v>
      </c>
      <c r="C16" s="5245" t="s">
        <v>82</v>
      </c>
      <c r="D16" s="5279">
        <v>0</v>
      </c>
      <c r="E16" s="5279">
        <v>1.2677591933670839E-2</v>
      </c>
      <c r="F16" s="5279"/>
      <c r="G16" s="5279"/>
      <c r="H16" s="5279"/>
      <c r="I16" s="5279"/>
      <c r="J16" s="5279"/>
      <c r="K16" s="5279"/>
      <c r="L16" s="5279"/>
      <c r="M16" s="5279"/>
      <c r="N16" s="5279"/>
    </row>
    <row r="17" spans="2:14" ht="14.45" x14ac:dyDescent="0.3">
      <c r="B17" s="5245">
        <v>14</v>
      </c>
      <c r="C17" s="5245" t="s">
        <v>466</v>
      </c>
      <c r="D17" s="5279">
        <v>0</v>
      </c>
      <c r="E17" s="5279">
        <v>0</v>
      </c>
      <c r="F17" s="5279"/>
      <c r="G17" s="5279"/>
      <c r="H17" s="5279"/>
      <c r="I17" s="5279"/>
      <c r="J17" s="5279"/>
      <c r="K17" s="5279"/>
      <c r="L17" s="5279"/>
      <c r="M17" s="5279"/>
      <c r="N17" s="5279"/>
    </row>
    <row r="18" spans="2:14" ht="14.45" x14ac:dyDescent="0.3">
      <c r="B18" s="5245"/>
      <c r="C18" s="5280" t="s">
        <v>2189</v>
      </c>
      <c r="D18" s="5281">
        <f t="shared" ref="D18:N18" si="0">SUM(D4:D17)</f>
        <v>10.990896887532958</v>
      </c>
      <c r="E18" s="5281">
        <f t="shared" si="0"/>
        <v>10.268843391828682</v>
      </c>
      <c r="F18" s="5281">
        <f t="shared" si="0"/>
        <v>0</v>
      </c>
      <c r="G18" s="5281">
        <f t="shared" si="0"/>
        <v>0</v>
      </c>
      <c r="H18" s="5281">
        <f t="shared" si="0"/>
        <v>0</v>
      </c>
      <c r="I18" s="5281">
        <f t="shared" si="0"/>
        <v>0</v>
      </c>
      <c r="J18" s="5281">
        <f t="shared" si="0"/>
        <v>0</v>
      </c>
      <c r="K18" s="5281">
        <f t="shared" si="0"/>
        <v>0</v>
      </c>
      <c r="L18" s="5281">
        <f t="shared" si="0"/>
        <v>0</v>
      </c>
      <c r="M18" s="5281">
        <f t="shared" si="0"/>
        <v>0</v>
      </c>
      <c r="N18" s="5281">
        <f t="shared" si="0"/>
        <v>0</v>
      </c>
    </row>
  </sheetData>
  <mergeCells count="3">
    <mergeCell ref="B2:B3"/>
    <mergeCell ref="C2:C3"/>
    <mergeCell ref="D2:N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330"/>
  <sheetViews>
    <sheetView zoomScale="98" zoomScaleNormal="98" workbookViewId="0">
      <pane xSplit="2" ySplit="1" topLeftCell="C307" activePane="bottomRight" state="frozen"/>
      <selection pane="topRight" activeCell="C1" sqref="C1"/>
      <selection pane="bottomLeft" activeCell="A5" sqref="A5"/>
      <selection pane="bottomRight" activeCell="I326" sqref="I326"/>
    </sheetView>
  </sheetViews>
  <sheetFormatPr defaultColWidth="8.85546875" defaultRowHeight="15" x14ac:dyDescent="0.25"/>
  <cols>
    <col min="1" max="1" width="8.85546875" customWidth="1"/>
    <col min="2" max="2" width="21.85546875" customWidth="1"/>
    <col min="3" max="3" width="41.42578125" bestFit="1" customWidth="1"/>
    <col min="4" max="4" width="8.42578125" bestFit="1" customWidth="1"/>
    <col min="5" max="5" width="9.7109375" bestFit="1" customWidth="1"/>
    <col min="6" max="6" width="11" customWidth="1"/>
    <col min="7" max="7" width="8.42578125" bestFit="1" customWidth="1"/>
    <col min="8" max="8" width="11" customWidth="1"/>
    <col min="9" max="9" width="13.140625" bestFit="1" customWidth="1"/>
    <col min="10" max="10" width="11" customWidth="1"/>
    <col min="11" max="11" width="11.85546875" bestFit="1" customWidth="1"/>
    <col min="12" max="12" width="12.85546875" bestFit="1" customWidth="1"/>
    <col min="13" max="13" width="11.85546875" bestFit="1" customWidth="1"/>
    <col min="14" max="16" width="9.5703125" bestFit="1" customWidth="1"/>
    <col min="17" max="17" width="63.85546875" bestFit="1" customWidth="1"/>
    <col min="18" max="18" width="10" bestFit="1" customWidth="1"/>
  </cols>
  <sheetData>
    <row r="1" spans="1:13" ht="14.45" x14ac:dyDescent="0.3">
      <c r="A1" s="2883"/>
      <c r="B1" s="2884"/>
      <c r="C1" s="2883"/>
      <c r="D1" s="2885"/>
      <c r="E1" s="2885"/>
      <c r="F1" s="2883"/>
      <c r="G1" s="2885"/>
      <c r="H1" s="2885"/>
      <c r="I1" s="2885"/>
      <c r="J1" s="2883"/>
      <c r="K1" s="2885"/>
      <c r="L1" s="2885"/>
      <c r="M1" s="2885"/>
    </row>
    <row r="2" spans="1:13" ht="20.25" customHeight="1" x14ac:dyDescent="0.4">
      <c r="A2" s="2883"/>
      <c r="B2" s="6446" t="s">
        <v>1817</v>
      </c>
      <c r="C2" s="6446"/>
      <c r="D2" s="6446"/>
      <c r="E2" s="6446"/>
      <c r="F2" s="6446"/>
      <c r="G2" s="6446"/>
      <c r="H2" s="6446"/>
      <c r="I2" s="6446"/>
      <c r="J2" s="6446"/>
      <c r="K2" s="6446"/>
      <c r="L2" s="6446"/>
      <c r="M2" s="6446"/>
    </row>
    <row r="3" spans="1:13" ht="21" x14ac:dyDescent="0.3">
      <c r="A3" s="2883"/>
      <c r="B3" s="6447" t="s">
        <v>1745</v>
      </c>
      <c r="C3" s="6447"/>
      <c r="D3" s="6447"/>
      <c r="E3" s="6447"/>
      <c r="F3" s="6447"/>
      <c r="G3" s="6447"/>
      <c r="H3" s="6447"/>
      <c r="I3" s="6447"/>
      <c r="J3" s="6447"/>
      <c r="K3" s="6447"/>
      <c r="L3" s="6447"/>
      <c r="M3" s="6447"/>
    </row>
    <row r="4" spans="1:13" x14ac:dyDescent="0.25">
      <c r="A4" s="2883"/>
      <c r="B4" s="5211" t="s">
        <v>1818</v>
      </c>
      <c r="C4" s="5212" t="s">
        <v>1818</v>
      </c>
      <c r="D4" s="5213" t="s">
        <v>1819</v>
      </c>
      <c r="E4" s="5213" t="s">
        <v>1820</v>
      </c>
      <c r="F4" s="5213"/>
      <c r="G4" s="5214" t="s">
        <v>1821</v>
      </c>
      <c r="H4" s="5214"/>
      <c r="I4" s="5213" t="s">
        <v>1064</v>
      </c>
      <c r="J4" s="5213"/>
      <c r="K4" s="5213" t="s">
        <v>59</v>
      </c>
      <c r="L4" s="5213" t="s">
        <v>95</v>
      </c>
      <c r="M4" s="5213" t="s">
        <v>1297</v>
      </c>
    </row>
    <row r="5" spans="1:13" x14ac:dyDescent="0.25">
      <c r="A5" s="2883"/>
      <c r="B5" s="6448" t="s">
        <v>1822</v>
      </c>
      <c r="C5" s="5215">
        <v>45383</v>
      </c>
      <c r="D5" s="5211">
        <v>720</v>
      </c>
      <c r="E5" s="5211">
        <v>720</v>
      </c>
      <c r="F5" s="5211"/>
      <c r="G5" s="5216">
        <v>720</v>
      </c>
      <c r="H5" s="5216"/>
      <c r="I5" s="5211">
        <v>2160</v>
      </c>
      <c r="J5" s="5211"/>
      <c r="K5" s="5211">
        <v>720</v>
      </c>
      <c r="L5" s="5211">
        <v>720</v>
      </c>
      <c r="M5" s="5211">
        <v>720</v>
      </c>
    </row>
    <row r="6" spans="1:13" x14ac:dyDescent="0.25">
      <c r="A6" s="2883"/>
      <c r="B6" s="6448"/>
      <c r="C6" s="5215">
        <v>45413</v>
      </c>
      <c r="D6" s="5211">
        <v>744</v>
      </c>
      <c r="E6" s="5211">
        <v>744</v>
      </c>
      <c r="F6" s="5217"/>
      <c r="G6" s="5211">
        <v>744</v>
      </c>
      <c r="H6" s="5211"/>
      <c r="I6" s="5211">
        <v>2232</v>
      </c>
      <c r="J6" s="5218"/>
      <c r="K6" s="5211">
        <v>744</v>
      </c>
      <c r="L6" s="5211">
        <v>744</v>
      </c>
      <c r="M6" s="5211">
        <v>744</v>
      </c>
    </row>
    <row r="7" spans="1:13" x14ac:dyDescent="0.25">
      <c r="A7" s="2883"/>
      <c r="B7" s="6448"/>
      <c r="C7" s="5215">
        <v>45444</v>
      </c>
      <c r="D7" s="5211">
        <v>720</v>
      </c>
      <c r="E7" s="5211">
        <v>720</v>
      </c>
      <c r="F7" s="5211"/>
      <c r="G7" s="5216">
        <v>720</v>
      </c>
      <c r="H7" s="5216"/>
      <c r="I7" s="5211">
        <v>2160</v>
      </c>
      <c r="J7" s="5211"/>
      <c r="K7" s="5211">
        <v>720</v>
      </c>
      <c r="L7" s="5211">
        <v>720</v>
      </c>
      <c r="M7" s="5211">
        <v>720</v>
      </c>
    </row>
    <row r="8" spans="1:13" x14ac:dyDescent="0.25">
      <c r="A8" s="2883"/>
      <c r="B8" s="6448"/>
      <c r="C8" s="5219" t="s">
        <v>1823</v>
      </c>
      <c r="D8" s="5220">
        <f t="shared" ref="D8:E8" si="0">SUM(D5:D7)</f>
        <v>2184</v>
      </c>
      <c r="E8" s="5220">
        <f t="shared" si="0"/>
        <v>2184</v>
      </c>
      <c r="F8" s="5221"/>
      <c r="G8" s="5220">
        <f>SUM(G5:G7)</f>
        <v>2184</v>
      </c>
      <c r="H8" s="5220"/>
      <c r="I8" s="5220">
        <f>SUM(I5:I7)</f>
        <v>6552</v>
      </c>
      <c r="J8" s="5221"/>
      <c r="K8" s="5220">
        <f t="shared" ref="K8:M8" si="1">SUM(K5:K7)</f>
        <v>2184</v>
      </c>
      <c r="L8" s="5220">
        <f t="shared" si="1"/>
        <v>2184</v>
      </c>
      <c r="M8" s="5220">
        <f t="shared" si="1"/>
        <v>2184</v>
      </c>
    </row>
    <row r="9" spans="1:13" ht="15" hidden="1" customHeight="1" x14ac:dyDescent="0.3">
      <c r="A9" s="2883"/>
      <c r="B9" s="6448"/>
      <c r="C9" s="5215">
        <v>45474</v>
      </c>
      <c r="D9" s="5222">
        <v>744</v>
      </c>
      <c r="E9" s="5222">
        <v>744</v>
      </c>
      <c r="F9" s="5218"/>
      <c r="G9" s="5222">
        <v>744</v>
      </c>
      <c r="H9" s="5222"/>
      <c r="I9" s="5222">
        <v>2232</v>
      </c>
      <c r="J9" s="5218"/>
      <c r="K9" s="5222">
        <v>744</v>
      </c>
      <c r="L9" s="5222">
        <v>744</v>
      </c>
      <c r="M9" s="5222">
        <v>744</v>
      </c>
    </row>
    <row r="10" spans="1:13" ht="15" hidden="1" customHeight="1" x14ac:dyDescent="0.3">
      <c r="A10" s="2883"/>
      <c r="B10" s="6448"/>
      <c r="C10" s="5215">
        <v>45505</v>
      </c>
      <c r="D10" s="5222">
        <v>744</v>
      </c>
      <c r="E10" s="5222">
        <v>744</v>
      </c>
      <c r="F10" s="5223"/>
      <c r="G10" s="5222">
        <v>744</v>
      </c>
      <c r="H10" s="5222"/>
      <c r="I10" s="5222">
        <v>2232</v>
      </c>
      <c r="J10" s="5223"/>
      <c r="K10" s="5222">
        <v>744</v>
      </c>
      <c r="L10" s="5222">
        <v>744</v>
      </c>
      <c r="M10" s="5222">
        <v>744</v>
      </c>
    </row>
    <row r="11" spans="1:13" ht="15" hidden="1" customHeight="1" x14ac:dyDescent="0.3">
      <c r="A11" s="2883"/>
      <c r="B11" s="6448"/>
      <c r="C11" s="5215">
        <v>45536</v>
      </c>
      <c r="D11" s="5224">
        <v>720</v>
      </c>
      <c r="E11" s="5224">
        <v>720</v>
      </c>
      <c r="F11" s="5223"/>
      <c r="G11" s="5224">
        <v>720</v>
      </c>
      <c r="H11" s="5224"/>
      <c r="I11" s="5224">
        <v>2160</v>
      </c>
      <c r="J11" s="5223"/>
      <c r="K11" s="5224">
        <v>720</v>
      </c>
      <c r="L11" s="5224">
        <v>720</v>
      </c>
      <c r="M11" s="5224">
        <v>720</v>
      </c>
    </row>
    <row r="12" spans="1:13" ht="15" hidden="1" customHeight="1" x14ac:dyDescent="0.3">
      <c r="A12" s="2883"/>
      <c r="B12" s="6448"/>
      <c r="C12" s="5219" t="s">
        <v>1824</v>
      </c>
      <c r="D12" s="5225">
        <f>D9+D10+D11</f>
        <v>2208</v>
      </c>
      <c r="E12" s="5225">
        <f t="shared" ref="E12:M12" si="2">E9+E10+E11</f>
        <v>2208</v>
      </c>
      <c r="F12" s="5225"/>
      <c r="G12" s="5225">
        <f t="shared" si="2"/>
        <v>2208</v>
      </c>
      <c r="H12" s="5225"/>
      <c r="I12" s="5225">
        <f t="shared" si="2"/>
        <v>6624</v>
      </c>
      <c r="J12" s="5225"/>
      <c r="K12" s="5225">
        <f t="shared" si="2"/>
        <v>2208</v>
      </c>
      <c r="L12" s="5225">
        <f t="shared" si="2"/>
        <v>2208</v>
      </c>
      <c r="M12" s="5225">
        <f t="shared" si="2"/>
        <v>2208</v>
      </c>
    </row>
    <row r="13" spans="1:13" ht="15" hidden="1" customHeight="1" x14ac:dyDescent="0.3">
      <c r="A13" s="2883"/>
      <c r="B13" s="6448"/>
      <c r="C13" s="5215">
        <v>45566</v>
      </c>
      <c r="D13" s="5223">
        <v>744</v>
      </c>
      <c r="E13" s="5223">
        <v>744</v>
      </c>
      <c r="F13" s="5218"/>
      <c r="G13" s="5222">
        <v>744</v>
      </c>
      <c r="H13" s="5222"/>
      <c r="I13" s="5222">
        <v>2232</v>
      </c>
      <c r="J13" s="5218"/>
      <c r="K13" s="5223">
        <v>744</v>
      </c>
      <c r="L13" s="5223">
        <v>744</v>
      </c>
      <c r="M13" s="5223">
        <v>744</v>
      </c>
    </row>
    <row r="14" spans="1:13" ht="15" hidden="1" customHeight="1" x14ac:dyDescent="0.3">
      <c r="A14" s="2883"/>
      <c r="B14" s="6448"/>
      <c r="C14" s="5215">
        <v>45597</v>
      </c>
      <c r="D14" s="5223">
        <v>720</v>
      </c>
      <c r="E14" s="5223">
        <v>720</v>
      </c>
      <c r="F14" s="5218"/>
      <c r="G14" s="5222">
        <v>720</v>
      </c>
      <c r="H14" s="5222"/>
      <c r="I14" s="5222">
        <v>2160</v>
      </c>
      <c r="J14" s="5218"/>
      <c r="K14" s="5223">
        <v>720</v>
      </c>
      <c r="L14" s="5223">
        <v>720</v>
      </c>
      <c r="M14" s="5223">
        <v>720</v>
      </c>
    </row>
    <row r="15" spans="1:13" ht="15" hidden="1" customHeight="1" x14ac:dyDescent="0.3">
      <c r="A15" s="2883"/>
      <c r="B15" s="6448"/>
      <c r="C15" s="5215">
        <v>45627</v>
      </c>
      <c r="D15" s="5222">
        <v>744</v>
      </c>
      <c r="E15" s="5222">
        <v>744</v>
      </c>
      <c r="F15" s="5226"/>
      <c r="G15" s="5222">
        <v>744</v>
      </c>
      <c r="H15" s="5222"/>
      <c r="I15" s="5222">
        <v>2232</v>
      </c>
      <c r="J15" s="5226"/>
      <c r="K15" s="5222">
        <v>744</v>
      </c>
      <c r="L15" s="5222">
        <v>744</v>
      </c>
      <c r="M15" s="5222">
        <v>744</v>
      </c>
    </row>
    <row r="16" spans="1:13" ht="15" hidden="1" customHeight="1" x14ac:dyDescent="0.3">
      <c r="A16" s="2883"/>
      <c r="B16" s="6448"/>
      <c r="C16" s="5219" t="s">
        <v>1825</v>
      </c>
      <c r="D16" s="5220">
        <f>D13+D14+D15</f>
        <v>2208</v>
      </c>
      <c r="E16" s="5220">
        <f t="shared" ref="E16:M16" si="3">E13+E14+E15</f>
        <v>2208</v>
      </c>
      <c r="F16" s="5220"/>
      <c r="G16" s="5220">
        <f t="shared" si="3"/>
        <v>2208</v>
      </c>
      <c r="H16" s="5220"/>
      <c r="I16" s="5220">
        <f t="shared" si="3"/>
        <v>6624</v>
      </c>
      <c r="J16" s="5220"/>
      <c r="K16" s="5220">
        <f t="shared" si="3"/>
        <v>2208</v>
      </c>
      <c r="L16" s="5220">
        <f t="shared" si="3"/>
        <v>2208</v>
      </c>
      <c r="M16" s="5220">
        <f t="shared" si="3"/>
        <v>2208</v>
      </c>
    </row>
    <row r="17" spans="1:16" ht="15" hidden="1" customHeight="1" x14ac:dyDescent="0.3">
      <c r="A17" s="2883"/>
      <c r="B17" s="6448"/>
      <c r="C17" s="5215">
        <v>45658</v>
      </c>
      <c r="D17" s="5222">
        <v>744</v>
      </c>
      <c r="E17" s="5222">
        <v>744</v>
      </c>
      <c r="F17" s="5226"/>
      <c r="G17" s="5222">
        <v>744</v>
      </c>
      <c r="H17" s="5222"/>
      <c r="I17" s="5222">
        <v>2232</v>
      </c>
      <c r="J17" s="5226"/>
      <c r="K17" s="5222">
        <v>744</v>
      </c>
      <c r="L17" s="5222">
        <v>744</v>
      </c>
      <c r="M17" s="5222">
        <v>744</v>
      </c>
    </row>
    <row r="18" spans="1:16" ht="15" hidden="1" customHeight="1" x14ac:dyDescent="0.3">
      <c r="A18" s="2883"/>
      <c r="B18" s="6448"/>
      <c r="C18" s="5215">
        <v>45689</v>
      </c>
      <c r="D18" s="5222">
        <v>672</v>
      </c>
      <c r="E18" s="5222">
        <v>672</v>
      </c>
      <c r="F18" s="5226"/>
      <c r="G18" s="5222">
        <v>672</v>
      </c>
      <c r="H18" s="5222"/>
      <c r="I18" s="5222">
        <v>2016</v>
      </c>
      <c r="J18" s="5226"/>
      <c r="K18" s="5222">
        <v>672</v>
      </c>
      <c r="L18" s="5222">
        <v>672</v>
      </c>
      <c r="M18" s="5222">
        <v>672</v>
      </c>
    </row>
    <row r="19" spans="1:16" ht="15" hidden="1" customHeight="1" x14ac:dyDescent="0.3">
      <c r="A19" s="2883"/>
      <c r="B19" s="6448"/>
      <c r="C19" s="5215">
        <v>45717</v>
      </c>
      <c r="D19" s="5222">
        <v>744</v>
      </c>
      <c r="E19" s="5222">
        <v>744</v>
      </c>
      <c r="F19" s="5218"/>
      <c r="G19" s="5222">
        <v>744</v>
      </c>
      <c r="H19" s="5222"/>
      <c r="I19" s="5222">
        <v>2232</v>
      </c>
      <c r="J19" s="5218"/>
      <c r="K19" s="5222">
        <v>744</v>
      </c>
      <c r="L19" s="5222">
        <v>744</v>
      </c>
      <c r="M19" s="5222">
        <v>744</v>
      </c>
    </row>
    <row r="20" spans="1:16" ht="15" hidden="1" customHeight="1" x14ac:dyDescent="0.3">
      <c r="A20" s="2883"/>
      <c r="B20" s="6448"/>
      <c r="C20" s="5219" t="s">
        <v>1826</v>
      </c>
      <c r="D20" s="5227">
        <f t="shared" ref="D20:E20" si="4">SUM(D17:D19)</f>
        <v>2160</v>
      </c>
      <c r="E20" s="5227">
        <f t="shared" si="4"/>
        <v>2160</v>
      </c>
      <c r="F20" s="5221"/>
      <c r="G20" s="5227">
        <f>SUM(G17:G19)</f>
        <v>2160</v>
      </c>
      <c r="H20" s="5227"/>
      <c r="I20" s="5227">
        <f>SUM(I17:I19)</f>
        <v>6480</v>
      </c>
      <c r="J20" s="5221"/>
      <c r="K20" s="5227">
        <f t="shared" ref="K20:M20" si="5">SUM(K17:K19)</f>
        <v>2160</v>
      </c>
      <c r="L20" s="5227">
        <f t="shared" si="5"/>
        <v>2160</v>
      </c>
      <c r="M20" s="5227">
        <f t="shared" si="5"/>
        <v>2160</v>
      </c>
    </row>
    <row r="21" spans="1:16" ht="15" hidden="1" customHeight="1" x14ac:dyDescent="0.3">
      <c r="A21" s="2883"/>
      <c r="B21" s="6448"/>
      <c r="C21" s="5219" t="s">
        <v>1745</v>
      </c>
      <c r="D21" s="5227">
        <f t="shared" ref="D21:E21" si="6">D20+D16+D8+D12</f>
        <v>8760</v>
      </c>
      <c r="E21" s="5227">
        <f t="shared" si="6"/>
        <v>8760</v>
      </c>
      <c r="F21" s="5221"/>
      <c r="G21" s="5227">
        <f>G20+G16+G8+G12</f>
        <v>8760</v>
      </c>
      <c r="H21" s="5227"/>
      <c r="I21" s="5227">
        <f>I20+I16+I8+I12</f>
        <v>26280</v>
      </c>
      <c r="J21" s="5221"/>
      <c r="K21" s="5227">
        <f t="shared" ref="K21:M21" si="7">K20+K16+K8+K12</f>
        <v>8760</v>
      </c>
      <c r="L21" s="5227">
        <f t="shared" si="7"/>
        <v>8760</v>
      </c>
      <c r="M21" s="5228">
        <f t="shared" si="7"/>
        <v>8760</v>
      </c>
    </row>
    <row r="22" spans="1:16" ht="14.45" x14ac:dyDescent="0.3">
      <c r="A22" s="2883"/>
      <c r="B22" s="5211"/>
      <c r="C22" s="5212"/>
      <c r="D22" s="5211"/>
      <c r="E22" s="5211"/>
      <c r="F22" s="5229"/>
      <c r="G22" s="5211"/>
      <c r="H22" s="5211"/>
      <c r="I22" s="5211"/>
      <c r="J22" s="5229"/>
      <c r="K22" s="5211"/>
      <c r="L22" s="5211"/>
      <c r="M22" s="5211"/>
    </row>
    <row r="23" spans="1:16" ht="14.45" x14ac:dyDescent="0.3">
      <c r="A23" s="2883"/>
      <c r="B23" s="5211"/>
      <c r="C23" s="5215"/>
      <c r="D23" s="5211"/>
      <c r="E23" s="5211"/>
      <c r="F23" s="5229"/>
      <c r="G23" s="5211"/>
      <c r="H23" s="5211"/>
      <c r="I23" s="5211"/>
      <c r="J23" s="5229"/>
      <c r="K23" s="5211"/>
      <c r="L23" s="5211"/>
      <c r="M23" s="5211"/>
    </row>
    <row r="24" spans="1:16" x14ac:dyDescent="0.25">
      <c r="A24" s="2883"/>
      <c r="B24" s="5211" t="s">
        <v>1818</v>
      </c>
      <c r="C24" s="5212" t="s">
        <v>1818</v>
      </c>
      <c r="D24" s="5213" t="s">
        <v>1819</v>
      </c>
      <c r="E24" s="5213" t="s">
        <v>1820</v>
      </c>
      <c r="F24" s="5230"/>
      <c r="G24" s="5213" t="s">
        <v>1821</v>
      </c>
      <c r="H24" s="5213"/>
      <c r="I24" s="5213" t="s">
        <v>1064</v>
      </c>
      <c r="J24" s="5230"/>
      <c r="K24" s="5213" t="s">
        <v>59</v>
      </c>
      <c r="L24" s="5213" t="s">
        <v>95</v>
      </c>
      <c r="M24" s="5213" t="s">
        <v>1297</v>
      </c>
    </row>
    <row r="25" spans="1:16" x14ac:dyDescent="0.25">
      <c r="A25" s="2883"/>
      <c r="B25" s="6448" t="s">
        <v>1827</v>
      </c>
      <c r="C25" s="5215">
        <v>45383</v>
      </c>
      <c r="D25" s="5216">
        <f>+D5-D66-D67</f>
        <v>699.5</v>
      </c>
      <c r="E25" s="5216">
        <f>+E5-E66-E67</f>
        <v>720</v>
      </c>
      <c r="F25" s="5211"/>
      <c r="G25" s="5216">
        <f>+G5-G66-G67</f>
        <v>720</v>
      </c>
      <c r="H25" s="5216"/>
      <c r="I25" s="5216">
        <f>+I5-I66-I67</f>
        <v>1596.71</v>
      </c>
      <c r="J25" s="5229"/>
      <c r="K25" s="5216">
        <f>+K5-K66-K67</f>
        <v>588.2166666666667</v>
      </c>
      <c r="L25" s="5216">
        <f>+L5-L66-L67</f>
        <v>636.9666666666667</v>
      </c>
      <c r="M25" s="5216">
        <f>+M5-M66-M67</f>
        <v>600.16666666666663</v>
      </c>
      <c r="N25" s="1219"/>
      <c r="O25" s="1219"/>
      <c r="P25" s="1219"/>
    </row>
    <row r="26" spans="1:16" x14ac:dyDescent="0.25">
      <c r="A26" s="2883"/>
      <c r="B26" s="6448"/>
      <c r="C26" s="5215">
        <v>45413</v>
      </c>
      <c r="D26" s="5216">
        <f>+D6-D88-D89</f>
        <v>689.34</v>
      </c>
      <c r="E26" s="5216">
        <f>+E6-E88-E89</f>
        <v>680.5</v>
      </c>
      <c r="F26" s="5217"/>
      <c r="G26" s="5216">
        <f>+G6-G88-G89</f>
        <v>705</v>
      </c>
      <c r="H26" s="5216"/>
      <c r="I26" s="5216">
        <f>+I6-I88-I89</f>
        <v>1565.47</v>
      </c>
      <c r="J26" s="5218"/>
      <c r="K26" s="5216">
        <f>+K6-K88-K89</f>
        <v>600.25</v>
      </c>
      <c r="L26" s="5216">
        <f>+L6-L88-L89</f>
        <v>625.13333333333333</v>
      </c>
      <c r="M26" s="5216">
        <f>+M6-M88-M89</f>
        <v>560.41666666666663</v>
      </c>
      <c r="N26" s="1219"/>
      <c r="O26" s="1219"/>
      <c r="P26" s="1219"/>
    </row>
    <row r="27" spans="1:16" x14ac:dyDescent="0.25">
      <c r="A27" s="2883"/>
      <c r="B27" s="6448"/>
      <c r="C27" s="5215">
        <v>45444</v>
      </c>
      <c r="D27" s="5231">
        <f>D7-D109-D110</f>
        <v>511</v>
      </c>
      <c r="E27" s="5231">
        <f>E7-E109-E110</f>
        <v>554.5</v>
      </c>
      <c r="F27" s="5231"/>
      <c r="G27" s="5231">
        <f>G7-G109-G110</f>
        <v>602.25</v>
      </c>
      <c r="H27" s="5231"/>
      <c r="I27" s="5231">
        <f>I7-I109-I110</f>
        <v>1733.12</v>
      </c>
      <c r="J27" s="5231"/>
      <c r="K27" s="5231">
        <f>K7-K109-K110</f>
        <v>584.98333333333335</v>
      </c>
      <c r="L27" s="5231">
        <f>L7-L109-L110</f>
        <v>463.98333333333335</v>
      </c>
      <c r="M27" s="5231">
        <f>M7-M109-M110</f>
        <v>417</v>
      </c>
    </row>
    <row r="28" spans="1:16" x14ac:dyDescent="0.25">
      <c r="A28" s="2883"/>
      <c r="B28" s="6448"/>
      <c r="C28" s="5219" t="s">
        <v>1823</v>
      </c>
      <c r="D28" s="5232">
        <f>SUM(D25:D27)</f>
        <v>1899.8400000000001</v>
      </c>
      <c r="E28" s="5232">
        <f>SUM(E25:E27)</f>
        <v>1955</v>
      </c>
      <c r="F28" s="5233"/>
      <c r="G28" s="5232">
        <f>SUM(G25:G27)</f>
        <v>2027.25</v>
      </c>
      <c r="H28" s="5232"/>
      <c r="I28" s="5232">
        <f>SUM(I25:I27)</f>
        <v>4895.3</v>
      </c>
      <c r="J28" s="5233"/>
      <c r="K28" s="5232">
        <f t="shared" ref="K28:M28" si="8">SUM(K25:K27)</f>
        <v>1773.45</v>
      </c>
      <c r="L28" s="5232">
        <f t="shared" si="8"/>
        <v>1726.0833333333333</v>
      </c>
      <c r="M28" s="5232">
        <f t="shared" si="8"/>
        <v>1577.5833333333333</v>
      </c>
    </row>
    <row r="29" spans="1:16" ht="15" hidden="1" customHeight="1" x14ac:dyDescent="0.3">
      <c r="A29" s="2883"/>
      <c r="B29" s="6448"/>
      <c r="C29" s="5215">
        <v>45474</v>
      </c>
      <c r="D29" s="5231">
        <f>D9-D131-D132</f>
        <v>733.5</v>
      </c>
      <c r="E29" s="5231">
        <f>E9-E131-E132</f>
        <v>732</v>
      </c>
      <c r="F29" s="5231"/>
      <c r="G29" s="5231">
        <f>G9-G131-G132</f>
        <v>744</v>
      </c>
      <c r="H29" s="5231"/>
      <c r="I29" s="5231">
        <f>I9-I131-I132</f>
        <v>1683.29</v>
      </c>
      <c r="J29" s="5231"/>
      <c r="K29" s="5231">
        <f>K9-K131-K132</f>
        <v>606.31666666666661</v>
      </c>
      <c r="L29" s="5231">
        <f>L9-L131-L132</f>
        <v>631.9</v>
      </c>
      <c r="M29" s="5234">
        <f>M9-M131-M132</f>
        <v>574</v>
      </c>
    </row>
    <row r="30" spans="1:16" ht="15" hidden="1" customHeight="1" x14ac:dyDescent="0.3">
      <c r="A30" s="2883"/>
      <c r="B30" s="6448"/>
      <c r="C30" s="5215">
        <v>45505</v>
      </c>
      <c r="D30" s="5235">
        <f>+D10-D153-D154</f>
        <v>711.75</v>
      </c>
      <c r="E30" s="5235">
        <f>+E10-E153-E154</f>
        <v>708.33</v>
      </c>
      <c r="F30" s="5235"/>
      <c r="G30" s="5235">
        <f>+G10-G153-G154</f>
        <v>720</v>
      </c>
      <c r="H30" s="5235"/>
      <c r="I30" s="5235">
        <f>+I10-I153-I154</f>
        <v>1639.95</v>
      </c>
      <c r="J30" s="5235"/>
      <c r="K30" s="5235">
        <f>+K10-K153-K154</f>
        <v>635.20000000000005</v>
      </c>
      <c r="L30" s="5235">
        <f>+L10-L153-L154</f>
        <v>627.91666666666663</v>
      </c>
      <c r="M30" s="5235">
        <f>+M10-M153-M154</f>
        <v>572.83333333333337</v>
      </c>
    </row>
    <row r="31" spans="1:16" ht="15" hidden="1" customHeight="1" x14ac:dyDescent="0.3">
      <c r="A31" s="2885"/>
      <c r="B31" s="6448"/>
      <c r="C31" s="5215">
        <v>45536</v>
      </c>
      <c r="D31" s="5235">
        <f>D11-D175-D176</f>
        <v>702</v>
      </c>
      <c r="E31" s="5235">
        <f>E11-E175-E176</f>
        <v>704</v>
      </c>
      <c r="F31" s="5235"/>
      <c r="G31" s="5235">
        <f>G11-G175-G176</f>
        <v>720</v>
      </c>
      <c r="H31" s="5235"/>
      <c r="I31" s="5235">
        <f>I11-I175-I176</f>
        <v>1612.45</v>
      </c>
      <c r="J31" s="5235"/>
      <c r="K31" s="5235">
        <f>K11-K175-K176</f>
        <v>598.06666666666661</v>
      </c>
      <c r="L31" s="5235">
        <f>L11-L175-L176</f>
        <v>629.15</v>
      </c>
      <c r="M31" s="5235">
        <f>M11-M175-M176</f>
        <v>572.91666666666663</v>
      </c>
    </row>
    <row r="32" spans="1:16" ht="15" hidden="1" customHeight="1" x14ac:dyDescent="0.3">
      <c r="A32" s="2883"/>
      <c r="B32" s="6448"/>
      <c r="C32" s="5219" t="s">
        <v>1824</v>
      </c>
      <c r="D32" s="5236">
        <f>SUM(D29:D31)</f>
        <v>2147.25</v>
      </c>
      <c r="E32" s="5236">
        <f t="shared" ref="E32:M32" si="9">SUM(E29:E31)</f>
        <v>2144.33</v>
      </c>
      <c r="F32" s="5236"/>
      <c r="G32" s="5236">
        <f t="shared" si="9"/>
        <v>2184</v>
      </c>
      <c r="H32" s="5236"/>
      <c r="I32" s="5236">
        <f t="shared" si="9"/>
        <v>4935.6899999999996</v>
      </c>
      <c r="J32" s="5236"/>
      <c r="K32" s="5236">
        <f t="shared" si="9"/>
        <v>1839.5833333333333</v>
      </c>
      <c r="L32" s="5236">
        <f t="shared" si="9"/>
        <v>1888.9666666666667</v>
      </c>
      <c r="M32" s="5236">
        <f t="shared" si="9"/>
        <v>1719.75</v>
      </c>
    </row>
    <row r="33" spans="1:16" ht="15" hidden="1" customHeight="1" x14ac:dyDescent="0.3">
      <c r="A33" s="2885"/>
      <c r="B33" s="6448"/>
      <c r="C33" s="5215">
        <v>45566</v>
      </c>
      <c r="D33" s="5231">
        <f>D13-D198-D199</f>
        <v>709.58</v>
      </c>
      <c r="E33" s="5231">
        <f>E13-E198-E199</f>
        <v>740.5</v>
      </c>
      <c r="F33" s="5237"/>
      <c r="G33" s="5231">
        <f>G13-G198-G199</f>
        <v>719.17</v>
      </c>
      <c r="H33" s="5231"/>
      <c r="I33" s="5231">
        <f>I13-I198-I199</f>
        <v>1654.02</v>
      </c>
      <c r="J33" s="5237"/>
      <c r="K33" s="5231">
        <f>K13-K198-K199</f>
        <v>626.51666666666665</v>
      </c>
      <c r="L33" s="5231">
        <f>L13-L198-L199</f>
        <v>662.31666666666661</v>
      </c>
      <c r="M33" s="5231">
        <f>M13-M198-M199</f>
        <v>595.91666666666663</v>
      </c>
    </row>
    <row r="34" spans="1:16" ht="15" hidden="1" customHeight="1" x14ac:dyDescent="0.3">
      <c r="A34" s="2883"/>
      <c r="B34" s="6448"/>
      <c r="C34" s="5215">
        <v>45597</v>
      </c>
      <c r="D34" s="5231">
        <f>D14-D221-D222</f>
        <v>97</v>
      </c>
      <c r="E34" s="5231">
        <f>E14-E221-E222</f>
        <v>56.5</v>
      </c>
      <c r="F34" s="5231"/>
      <c r="G34" s="5231">
        <f>G14-G221-G222</f>
        <v>69</v>
      </c>
      <c r="H34" s="5231"/>
      <c r="I34" s="5231">
        <f>I14-I221-I222</f>
        <v>116.55000000000018</v>
      </c>
      <c r="J34" s="5231"/>
      <c r="K34" s="5231">
        <f>K14-K221-K222</f>
        <v>321.49999999999994</v>
      </c>
      <c r="L34" s="5231">
        <f>L14-L221-L222</f>
        <v>41.350000000000023</v>
      </c>
      <c r="M34" s="5231">
        <f>M14-M221-M222</f>
        <v>157.58333333333337</v>
      </c>
    </row>
    <row r="35" spans="1:16" ht="15" hidden="1" customHeight="1" x14ac:dyDescent="0.3">
      <c r="A35" s="2883"/>
      <c r="B35" s="6448"/>
      <c r="C35" s="5215">
        <v>45627</v>
      </c>
      <c r="D35" s="5231">
        <f>D15-D244-D245</f>
        <v>744</v>
      </c>
      <c r="E35" s="5231">
        <f>E15-E244-E245</f>
        <v>688</v>
      </c>
      <c r="F35" s="5231"/>
      <c r="G35" s="5231">
        <f>G15-G244-G245</f>
        <v>738</v>
      </c>
      <c r="H35" s="5231"/>
      <c r="I35" s="5231">
        <f>I15-I244-I245</f>
        <v>1620.7</v>
      </c>
      <c r="J35" s="5231"/>
      <c r="K35" s="5231">
        <f>K15-K244-K245</f>
        <v>614.58333333333337</v>
      </c>
      <c r="L35" s="5231">
        <f>L15-L244-L245</f>
        <v>657.2</v>
      </c>
      <c r="M35" s="5231">
        <f>M15-M244-M245</f>
        <v>554.91666666666663</v>
      </c>
    </row>
    <row r="36" spans="1:16" ht="15" hidden="1" customHeight="1" x14ac:dyDescent="0.3">
      <c r="A36" s="2883"/>
      <c r="B36" s="6448"/>
      <c r="C36" s="5219" t="s">
        <v>1825</v>
      </c>
      <c r="D36" s="5232">
        <f>D33+D35+D34</f>
        <v>1550.58</v>
      </c>
      <c r="E36" s="5232">
        <f t="shared" ref="E36:M36" si="10">E33+E35+E34</f>
        <v>1485</v>
      </c>
      <c r="F36" s="5232"/>
      <c r="G36" s="5232">
        <f t="shared" si="10"/>
        <v>1526.17</v>
      </c>
      <c r="H36" s="5232"/>
      <c r="I36" s="5232">
        <f t="shared" si="10"/>
        <v>3391.2700000000004</v>
      </c>
      <c r="J36" s="5232"/>
      <c r="K36" s="5232">
        <f t="shared" si="10"/>
        <v>1562.6</v>
      </c>
      <c r="L36" s="5232">
        <f t="shared" si="10"/>
        <v>1360.8666666666668</v>
      </c>
      <c r="M36" s="5232">
        <f t="shared" si="10"/>
        <v>1308.4166666666665</v>
      </c>
    </row>
    <row r="37" spans="1:16" ht="15" hidden="1" customHeight="1" x14ac:dyDescent="0.3">
      <c r="A37" s="2883"/>
      <c r="B37" s="6448"/>
      <c r="C37" s="5215">
        <v>45658</v>
      </c>
      <c r="D37" s="5231">
        <f>D17-D266-D267</f>
        <v>689.5</v>
      </c>
      <c r="E37" s="5231">
        <f>E17-E266-E267</f>
        <v>701.92</v>
      </c>
      <c r="F37" s="5237"/>
      <c r="G37" s="5238">
        <f>G17-G266-G267</f>
        <v>711</v>
      </c>
      <c r="H37" s="5231"/>
      <c r="I37" s="5231">
        <f>I17-I266-I267</f>
        <v>1740.34</v>
      </c>
      <c r="J37" s="5231"/>
      <c r="K37" s="5231">
        <f>K17-K266-K267</f>
        <v>601.65</v>
      </c>
      <c r="L37" s="5231">
        <f>L17-L266-L267</f>
        <v>638.08333333333337</v>
      </c>
      <c r="M37" s="5231">
        <f>M17-M266-M267</f>
        <v>632.16666666666663</v>
      </c>
    </row>
    <row r="38" spans="1:16" ht="15" hidden="1" customHeight="1" x14ac:dyDescent="0.3">
      <c r="A38" s="2883"/>
      <c r="B38" s="6448"/>
      <c r="C38" s="5215">
        <v>45689</v>
      </c>
      <c r="D38" s="5231">
        <f>D18-D288-D289</f>
        <v>626</v>
      </c>
      <c r="E38" s="5231">
        <f>E18-E288-E289</f>
        <v>646</v>
      </c>
      <c r="F38" s="5231"/>
      <c r="G38" s="5231">
        <f>G18-G288-G289</f>
        <v>652.5</v>
      </c>
      <c r="H38" s="5231"/>
      <c r="I38" s="5231">
        <f>I18-I288-I289</f>
        <v>1567.22</v>
      </c>
      <c r="J38" s="5231"/>
      <c r="K38" s="5231">
        <f>K18-K288-K289</f>
        <v>553.41666666666663</v>
      </c>
      <c r="L38" s="5231">
        <f>L18-L288-L289</f>
        <v>591.20000000000005</v>
      </c>
      <c r="M38" s="5231">
        <f>M18-M288-M289</f>
        <v>541.25</v>
      </c>
      <c r="N38" s="1219"/>
      <c r="O38" s="1219"/>
      <c r="P38" s="1219"/>
    </row>
    <row r="39" spans="1:16" ht="15" hidden="1" customHeight="1" x14ac:dyDescent="0.3">
      <c r="A39" s="2883"/>
      <c r="B39" s="6448"/>
      <c r="C39" s="5215">
        <v>45717</v>
      </c>
      <c r="D39" s="5231">
        <f>D19-D310-D311</f>
        <v>744</v>
      </c>
      <c r="E39" s="5231">
        <f>E19-E310-E311</f>
        <v>744</v>
      </c>
      <c r="F39" s="5237"/>
      <c r="G39" s="5231">
        <f>G19-G310-G311</f>
        <v>727</v>
      </c>
      <c r="H39" s="5231"/>
      <c r="I39" s="5231">
        <f>I19-I310-I311</f>
        <v>1473.8200000000002</v>
      </c>
      <c r="J39" s="5237"/>
      <c r="K39" s="5231">
        <f>K19-K310-K311</f>
        <v>634.11666666666667</v>
      </c>
      <c r="L39" s="5231">
        <f>L19-L310-L311</f>
        <v>664.4</v>
      </c>
      <c r="M39" s="5231">
        <f>M19-M310-M311</f>
        <v>622.58333333333337</v>
      </c>
    </row>
    <row r="40" spans="1:16" ht="15" hidden="1" customHeight="1" x14ac:dyDescent="0.3">
      <c r="A40" s="2883"/>
      <c r="B40" s="6448"/>
      <c r="C40" s="5219" t="s">
        <v>1826</v>
      </c>
      <c r="D40" s="5232">
        <f t="shared" ref="D40:E40" si="11">SUM(D37:D39)</f>
        <v>2059.5</v>
      </c>
      <c r="E40" s="5232">
        <f t="shared" si="11"/>
        <v>2091.92</v>
      </c>
      <c r="F40" s="5239"/>
      <c r="G40" s="5232">
        <f>SUM(G37:G39)</f>
        <v>2090.5</v>
      </c>
      <c r="H40" s="5232"/>
      <c r="I40" s="5232">
        <f>SUM(I37:I39)</f>
        <v>4781.38</v>
      </c>
      <c r="J40" s="5239"/>
      <c r="K40" s="5232">
        <f t="shared" ref="K40:M40" si="12">SUM(K37:K39)</f>
        <v>1789.1833333333334</v>
      </c>
      <c r="L40" s="5232">
        <f t="shared" si="12"/>
        <v>1893.6833333333334</v>
      </c>
      <c r="M40" s="5232">
        <f t="shared" si="12"/>
        <v>1796</v>
      </c>
    </row>
    <row r="41" spans="1:16" ht="15" hidden="1" customHeight="1" x14ac:dyDescent="0.3">
      <c r="A41" s="2883"/>
      <c r="B41" s="6448"/>
      <c r="C41" s="5219" t="s">
        <v>1745</v>
      </c>
      <c r="D41" s="5232">
        <f t="shared" ref="D41:E41" si="13">D40+D36+D32+D28</f>
        <v>7657.17</v>
      </c>
      <c r="E41" s="5232">
        <f t="shared" si="13"/>
        <v>7676.25</v>
      </c>
      <c r="F41" s="5239"/>
      <c r="G41" s="5232">
        <f>G40+G36+G32+G28</f>
        <v>7827.92</v>
      </c>
      <c r="H41" s="5232"/>
      <c r="I41" s="5232">
        <f>I40+I36+I32+I28</f>
        <v>18003.64</v>
      </c>
      <c r="J41" s="5239"/>
      <c r="K41" s="5232">
        <f t="shared" ref="K41:M41" si="14">K40+K36+K32+K28</f>
        <v>6964.8166666666666</v>
      </c>
      <c r="L41" s="5232">
        <f t="shared" si="14"/>
        <v>6869.5999999999995</v>
      </c>
      <c r="M41" s="5232">
        <f t="shared" si="14"/>
        <v>6401.7499999999991</v>
      </c>
    </row>
    <row r="42" spans="1:16" ht="14.45" x14ac:dyDescent="0.3">
      <c r="A42" s="2883"/>
      <c r="B42" s="5211"/>
      <c r="C42" s="5212"/>
      <c r="D42" s="5240"/>
      <c r="E42" s="5240"/>
      <c r="F42" s="5216"/>
      <c r="G42" s="5216"/>
      <c r="H42" s="5216"/>
      <c r="I42" s="5216"/>
      <c r="J42" s="5216"/>
      <c r="K42" s="5216"/>
      <c r="L42" s="5216"/>
      <c r="M42" s="5216"/>
      <c r="N42" s="26"/>
      <c r="O42" s="26"/>
      <c r="P42" s="26"/>
    </row>
    <row r="43" spans="1:16" ht="14.45" x14ac:dyDescent="0.3">
      <c r="A43" s="2883"/>
      <c r="B43" s="5211"/>
      <c r="C43" s="5212"/>
      <c r="D43" s="5216"/>
      <c r="E43" s="5216"/>
      <c r="F43" s="5216"/>
      <c r="G43" s="5216"/>
      <c r="H43" s="5216"/>
      <c r="I43" s="5216"/>
      <c r="J43" s="5216"/>
      <c r="K43" s="5216"/>
      <c r="L43" s="5216"/>
      <c r="M43" s="5216"/>
    </row>
    <row r="44" spans="1:16" x14ac:dyDescent="0.25">
      <c r="A44" s="2883"/>
      <c r="B44" s="5211" t="s">
        <v>1818</v>
      </c>
      <c r="C44" s="5212" t="s">
        <v>1818</v>
      </c>
      <c r="D44" s="5213" t="s">
        <v>1819</v>
      </c>
      <c r="E44" s="5213" t="s">
        <v>1820</v>
      </c>
      <c r="F44" s="5213"/>
      <c r="G44" s="5213" t="s">
        <v>1821</v>
      </c>
      <c r="H44" s="5213"/>
      <c r="I44" s="5213" t="s">
        <v>1064</v>
      </c>
      <c r="J44" s="5213"/>
      <c r="K44" s="5241" t="s">
        <v>59</v>
      </c>
      <c r="L44" s="5241" t="s">
        <v>95</v>
      </c>
      <c r="M44" s="5241" t="s">
        <v>1297</v>
      </c>
    </row>
    <row r="45" spans="1:16" x14ac:dyDescent="0.25">
      <c r="A45" s="2883"/>
      <c r="B45" s="6448" t="s">
        <v>1828</v>
      </c>
      <c r="C45" s="5215">
        <v>45383</v>
      </c>
      <c r="D45" s="5216">
        <f t="shared" ref="D45:M45" si="15">+D25-SUM(D68:D85)</f>
        <v>682.59</v>
      </c>
      <c r="E45" s="5216">
        <f t="shared" si="15"/>
        <v>681.76</v>
      </c>
      <c r="F45" s="5216"/>
      <c r="G45" s="5242">
        <f>+G25-SUM(G68:G85)</f>
        <v>720</v>
      </c>
      <c r="H45" s="5216"/>
      <c r="I45" s="5216">
        <f t="shared" si="15"/>
        <v>1533.97</v>
      </c>
      <c r="J45" s="5216"/>
      <c r="K45" s="5216">
        <f t="shared" si="15"/>
        <v>514.30000000000007</v>
      </c>
      <c r="L45" s="5216">
        <f t="shared" si="15"/>
        <v>537.85</v>
      </c>
      <c r="M45" s="5216">
        <f t="shared" si="15"/>
        <v>514</v>
      </c>
    </row>
    <row r="46" spans="1:16" x14ac:dyDescent="0.25">
      <c r="A46" s="2883"/>
      <c r="B46" s="6448"/>
      <c r="C46" s="5215">
        <v>45413</v>
      </c>
      <c r="D46" s="5216">
        <f>+D26-SUM(D90:D107)</f>
        <v>652.84</v>
      </c>
      <c r="E46" s="5216">
        <f>+E26-SUM(E90:E107)</f>
        <v>646.91</v>
      </c>
      <c r="F46" s="5216"/>
      <c r="G46" s="5242">
        <f>+G26-SUM(G90:G107)</f>
        <v>705</v>
      </c>
      <c r="H46" s="5216"/>
      <c r="I46" s="5216">
        <f>+I26-SUM(I90:I107)</f>
        <v>1375.38</v>
      </c>
      <c r="J46" s="5216"/>
      <c r="K46" s="5216">
        <f>+K26-SUM(K90:K107)</f>
        <v>537.86666666666667</v>
      </c>
      <c r="L46" s="5216">
        <f>+L26-SUM(L90:L107)</f>
        <v>493.79999999999995</v>
      </c>
      <c r="M46" s="5216">
        <f>+M26-SUM(M90:M107)</f>
        <v>473.91666666666663</v>
      </c>
    </row>
    <row r="47" spans="1:16" x14ac:dyDescent="0.25">
      <c r="A47" s="2883"/>
      <c r="B47" s="6448"/>
      <c r="C47" s="5215">
        <v>45444</v>
      </c>
      <c r="D47" s="5231">
        <f>D27-SUM(D111:D128)</f>
        <v>491.96</v>
      </c>
      <c r="E47" s="5231">
        <f>E27-SUM(E111:E128)</f>
        <v>541.91999999999996</v>
      </c>
      <c r="F47" s="5231"/>
      <c r="G47" s="5238">
        <f>G27-SUM(G111:G128)</f>
        <v>602.25</v>
      </c>
      <c r="H47" s="5231"/>
      <c r="I47" s="5231">
        <f>I27-SUM(I111:I128)</f>
        <v>1051.7999999999997</v>
      </c>
      <c r="J47" s="5231"/>
      <c r="K47" s="5231">
        <f>K27-SUM(K111:K128)</f>
        <v>502.36666666666667</v>
      </c>
      <c r="L47" s="5231">
        <f>L27-SUM(L111:L128)</f>
        <v>389.08333333333337</v>
      </c>
      <c r="M47" s="5231">
        <f>M27-SUM(M111:M128)</f>
        <v>325.33333333333331</v>
      </c>
      <c r="N47" s="26"/>
    </row>
    <row r="48" spans="1:16" x14ac:dyDescent="0.25">
      <c r="A48" s="2883"/>
      <c r="B48" s="6448"/>
      <c r="C48" s="5219" t="s">
        <v>1823</v>
      </c>
      <c r="D48" s="5232">
        <f>SUM(D45:D47)</f>
        <v>1827.39</v>
      </c>
      <c r="E48" s="5232">
        <f t="shared" ref="E48:M48" si="16">SUM(E45:E47)</f>
        <v>1870.5900000000001</v>
      </c>
      <c r="F48" s="5232"/>
      <c r="G48" s="5232">
        <f t="shared" si="16"/>
        <v>2027.25</v>
      </c>
      <c r="H48" s="5232"/>
      <c r="I48" s="5232">
        <f t="shared" si="16"/>
        <v>3961.15</v>
      </c>
      <c r="J48" s="5232"/>
      <c r="K48" s="5232">
        <f t="shared" si="16"/>
        <v>1554.5333333333333</v>
      </c>
      <c r="L48" s="5232">
        <f t="shared" si="16"/>
        <v>1420.7333333333336</v>
      </c>
      <c r="M48" s="5232">
        <f t="shared" si="16"/>
        <v>1313.25</v>
      </c>
    </row>
    <row r="49" spans="1:19" x14ac:dyDescent="0.25">
      <c r="A49" s="2883"/>
      <c r="B49" s="6448"/>
      <c r="C49" s="5215">
        <v>45474</v>
      </c>
      <c r="D49" s="5231">
        <f>D29-SUM(D133:D150)</f>
        <v>705.84</v>
      </c>
      <c r="E49" s="5231">
        <f>E29-SUM(E133:E150)</f>
        <v>720.87</v>
      </c>
      <c r="F49" s="5231"/>
      <c r="G49" s="5231">
        <f>G29-SUM(G133:G150)</f>
        <v>726</v>
      </c>
      <c r="H49" s="5231"/>
      <c r="I49" s="5231">
        <f>I29-SUM(I133:I150)</f>
        <v>1606.1299999999999</v>
      </c>
      <c r="J49" s="5231"/>
      <c r="K49" s="5231">
        <f>K29-SUM(K133:K150)</f>
        <v>521.79999999999995</v>
      </c>
      <c r="L49" s="5231">
        <f>L29-SUM(L133:L150)</f>
        <v>552.83333333333326</v>
      </c>
      <c r="M49" s="5231">
        <f>M29-SUM(M133:M150)</f>
        <v>492.58333333333337</v>
      </c>
    </row>
    <row r="50" spans="1:19" x14ac:dyDescent="0.25">
      <c r="A50" s="2883"/>
      <c r="B50" s="6448"/>
      <c r="C50" s="5215">
        <v>45505</v>
      </c>
      <c r="D50" s="5235">
        <f>+D30-SUM(D155:D172)</f>
        <v>662.34</v>
      </c>
      <c r="E50" s="5235">
        <f>+E30-SUM(E155:E172)</f>
        <v>682.18000000000006</v>
      </c>
      <c r="F50" s="5235"/>
      <c r="G50" s="5235">
        <f>+G30-SUM(G155:G172)</f>
        <v>710</v>
      </c>
      <c r="H50" s="5235"/>
      <c r="I50" s="5235">
        <f>+I30-SUM(I155:I172)</f>
        <v>1534.45</v>
      </c>
      <c r="J50" s="5235"/>
      <c r="K50" s="5235">
        <f>+K30-SUM(K155:K172)</f>
        <v>578.90000000000009</v>
      </c>
      <c r="L50" s="5235">
        <f>+L30-SUM(L155:L172)</f>
        <v>559.76666666666665</v>
      </c>
      <c r="M50" s="5235">
        <f>+M30-SUM(M155:M172)</f>
        <v>422.58333333333337</v>
      </c>
    </row>
    <row r="51" spans="1:19" x14ac:dyDescent="0.25">
      <c r="A51" s="2883"/>
      <c r="B51" s="6448"/>
      <c r="C51" s="5215">
        <v>45536</v>
      </c>
      <c r="D51" s="5235">
        <f>D31-SUM(D177:D195)</f>
        <v>668.34</v>
      </c>
      <c r="E51" s="5235">
        <f>E31-SUM(E177:E195)</f>
        <v>659.58</v>
      </c>
      <c r="F51" s="5235"/>
      <c r="G51" s="5235">
        <f>G31-SUM(G177:G195)</f>
        <v>718</v>
      </c>
      <c r="H51" s="5235"/>
      <c r="I51" s="5235">
        <f>I31-SUM(I177:I195)</f>
        <v>1584.5900000000001</v>
      </c>
      <c r="J51" s="5235"/>
      <c r="K51" s="5235">
        <f>K31-SUM(K177:K195)</f>
        <v>536.68333333333328</v>
      </c>
      <c r="L51" s="5235">
        <f>L31-SUM(L177:L195)</f>
        <v>556.06666666666661</v>
      </c>
      <c r="M51" s="5235">
        <f>M31-SUM(M177:M195)</f>
        <v>511.41666666666663</v>
      </c>
    </row>
    <row r="52" spans="1:19" x14ac:dyDescent="0.25">
      <c r="A52" s="2883"/>
      <c r="B52" s="6448"/>
      <c r="C52" s="5219" t="s">
        <v>1824</v>
      </c>
      <c r="D52" s="5236">
        <f>SUM(D49:D51)</f>
        <v>2036.52</v>
      </c>
      <c r="E52" s="5236">
        <f t="shared" ref="E52:M52" si="17">SUM(E49:E51)</f>
        <v>2062.63</v>
      </c>
      <c r="F52" s="5236"/>
      <c r="G52" s="5236">
        <f t="shared" si="17"/>
        <v>2154</v>
      </c>
      <c r="H52" s="5236"/>
      <c r="I52" s="5236">
        <f t="shared" si="17"/>
        <v>4725.17</v>
      </c>
      <c r="J52" s="5236"/>
      <c r="K52" s="5236">
        <f t="shared" si="17"/>
        <v>1637.3833333333332</v>
      </c>
      <c r="L52" s="5236">
        <f t="shared" si="17"/>
        <v>1668.6666666666665</v>
      </c>
      <c r="M52" s="5236">
        <f t="shared" si="17"/>
        <v>1426.5833333333335</v>
      </c>
    </row>
    <row r="53" spans="1:19" x14ac:dyDescent="0.25">
      <c r="A53" s="2883"/>
      <c r="B53" s="6448"/>
      <c r="C53" s="5215">
        <v>45566</v>
      </c>
      <c r="D53" s="5231">
        <f>D33-SUM(D200:D218)</f>
        <v>667.98</v>
      </c>
      <c r="E53" s="5231">
        <f>E33-SUM(E200:E218)</f>
        <v>665.29</v>
      </c>
      <c r="F53" s="5237"/>
      <c r="G53" s="5231">
        <f>G33-SUM(G200:G218)</f>
        <v>719.17</v>
      </c>
      <c r="H53" s="5231"/>
      <c r="I53" s="5231">
        <f>I33-SUM(I200:I218)</f>
        <v>1522.4099999999999</v>
      </c>
      <c r="J53" s="5237"/>
      <c r="K53" s="5231">
        <f>K33-SUM(K200:K218)</f>
        <v>556.91666666666663</v>
      </c>
      <c r="L53" s="5231">
        <f>L33-SUM(L200:L218)</f>
        <v>527.96666666666658</v>
      </c>
      <c r="M53" s="5231">
        <f>M33-SUM(M200:M218)</f>
        <v>478.74999999999994</v>
      </c>
    </row>
    <row r="54" spans="1:19" x14ac:dyDescent="0.25">
      <c r="A54" s="2883"/>
      <c r="B54" s="6448"/>
      <c r="C54" s="5215">
        <v>45597</v>
      </c>
      <c r="D54" s="5231">
        <f>D34-SUM(D223:D240)</f>
        <v>66.75</v>
      </c>
      <c r="E54" s="5231">
        <f>E34-SUM(E223:E240)</f>
        <v>48.25</v>
      </c>
      <c r="F54" s="5237"/>
      <c r="G54" s="5231">
        <f>G34-SUM(G223:G240)</f>
        <v>69</v>
      </c>
      <c r="H54" s="5231"/>
      <c r="I54" s="5231">
        <f>I34-SUM(I223:I240)</f>
        <v>116.55000000000018</v>
      </c>
      <c r="J54" s="5237"/>
      <c r="K54" s="5231">
        <f>K34-SUM(K223:K240)</f>
        <v>264.64999999999992</v>
      </c>
      <c r="L54" s="5231">
        <f>L34-SUM(L223:L240)</f>
        <v>29.800000000000026</v>
      </c>
      <c r="M54" s="5231">
        <f>M34-SUM(M223:M240)</f>
        <v>138.08333333333337</v>
      </c>
    </row>
    <row r="55" spans="1:19" x14ac:dyDescent="0.25">
      <c r="A55" s="2883"/>
      <c r="B55" s="6448"/>
      <c r="C55" s="5215">
        <v>45627</v>
      </c>
      <c r="D55" s="5231">
        <f>D35-SUM(D246:D263)</f>
        <v>734</v>
      </c>
      <c r="E55" s="5231">
        <f>E35-SUM(E246:E263)</f>
        <v>682.84</v>
      </c>
      <c r="F55" s="5231"/>
      <c r="G55" s="5231">
        <f>G35-SUM(G246:G263)</f>
        <v>738</v>
      </c>
      <c r="H55" s="5231"/>
      <c r="I55" s="5231">
        <f>I35-SUM(I246:I263)</f>
        <v>1591.95</v>
      </c>
      <c r="J55" s="5231"/>
      <c r="K55" s="5231">
        <f>K35-SUM(K246:K263)</f>
        <v>514.88333333333333</v>
      </c>
      <c r="L55" s="5231">
        <f>L35-SUM(L246:L263)</f>
        <v>575.36666666666667</v>
      </c>
      <c r="M55" s="5231">
        <f>M35-SUM(M246:M263)</f>
        <v>414.58333333333326</v>
      </c>
      <c r="N55" s="1219"/>
    </row>
    <row r="56" spans="1:19" x14ac:dyDescent="0.25">
      <c r="A56" s="2883"/>
      <c r="B56" s="6448"/>
      <c r="C56" s="5219" t="s">
        <v>1825</v>
      </c>
      <c r="D56" s="5232">
        <f>D53+D54+D55</f>
        <v>1468.73</v>
      </c>
      <c r="E56" s="5232">
        <f t="shared" ref="E56:M56" si="18">E53+E54+E55</f>
        <v>1396.38</v>
      </c>
      <c r="F56" s="5232"/>
      <c r="G56" s="5232">
        <f t="shared" si="18"/>
        <v>1526.17</v>
      </c>
      <c r="H56" s="5232"/>
      <c r="I56" s="5243">
        <f t="shared" si="18"/>
        <v>3230.91</v>
      </c>
      <c r="J56" s="5232"/>
      <c r="K56" s="5232">
        <f t="shared" si="18"/>
        <v>1336.4499999999998</v>
      </c>
      <c r="L56" s="5232">
        <f t="shared" si="18"/>
        <v>1133.1333333333332</v>
      </c>
      <c r="M56" s="5232">
        <f t="shared" si="18"/>
        <v>1031.4166666666665</v>
      </c>
    </row>
    <row r="57" spans="1:19" ht="15" hidden="1" customHeight="1" x14ac:dyDescent="0.3">
      <c r="A57" s="2883"/>
      <c r="B57" s="6448"/>
      <c r="C57" s="5215">
        <v>45658</v>
      </c>
      <c r="D57" s="5231">
        <f>D37-SUM(D268:D285)</f>
        <v>665.08</v>
      </c>
      <c r="E57" s="5231">
        <f>E37-SUM(E268:E285)</f>
        <v>668.76</v>
      </c>
      <c r="F57" s="5244"/>
      <c r="G57" s="5231">
        <f>G37-SUM(G268:G285)</f>
        <v>711</v>
      </c>
      <c r="H57" s="5231"/>
      <c r="I57" s="5231">
        <f>I37-SUM(I268:I285)</f>
        <v>1633.08</v>
      </c>
      <c r="J57" s="5222"/>
      <c r="K57" s="5231">
        <f>K37-SUM(K268:K285)</f>
        <v>529.5333333333333</v>
      </c>
      <c r="L57" s="5231">
        <f>L37-SUM(L268:L285)</f>
        <v>556.86666666666667</v>
      </c>
      <c r="M57" s="5231">
        <f>M37-SUM(M268:M285)</f>
        <v>519.08333333333326</v>
      </c>
    </row>
    <row r="58" spans="1:19" ht="15" hidden="1" customHeight="1" x14ac:dyDescent="0.3">
      <c r="A58" s="2883"/>
      <c r="B58" s="6448"/>
      <c r="C58" s="5215">
        <v>45689</v>
      </c>
      <c r="D58" s="5231">
        <f>D38-(SUM(D290:D307))</f>
        <v>626</v>
      </c>
      <c r="E58" s="5231">
        <f>E38-(SUM(E290:E307))</f>
        <v>643.41999999999996</v>
      </c>
      <c r="F58" s="5231"/>
      <c r="G58" s="5231">
        <f>G38-(SUM(G290:G307))</f>
        <v>652.5</v>
      </c>
      <c r="H58" s="5231"/>
      <c r="I58" s="5231">
        <f>I38-(SUM(I290:I307))</f>
        <v>1429.17</v>
      </c>
      <c r="J58" s="5222"/>
      <c r="K58" s="5231">
        <f>K38-(SUM(K290:K307))</f>
        <v>494.95</v>
      </c>
      <c r="L58" s="5231">
        <f>L38-(SUM(L290:L307))</f>
        <v>501.31666666666672</v>
      </c>
      <c r="M58" s="5231">
        <f>M38-(SUM(M290:M307))</f>
        <v>477.25</v>
      </c>
    </row>
    <row r="59" spans="1:19" ht="15" hidden="1" customHeight="1" x14ac:dyDescent="0.3">
      <c r="A59" s="2883"/>
      <c r="B59" s="6448"/>
      <c r="C59" s="5215">
        <v>45717</v>
      </c>
      <c r="D59" s="5231">
        <f>D39-(SUM(D312:D330))</f>
        <v>704</v>
      </c>
      <c r="E59" s="5231">
        <f>E39-(SUM(E312:E330))</f>
        <v>715</v>
      </c>
      <c r="F59" s="5217"/>
      <c r="G59" s="5231">
        <f>G39-(SUM(G312:G330))</f>
        <v>725.5</v>
      </c>
      <c r="H59" s="5231"/>
      <c r="I59" s="5231">
        <f>I39-(SUM(I312:I330))</f>
        <v>1410.7200000000003</v>
      </c>
      <c r="J59" s="5217"/>
      <c r="K59" s="5231">
        <f>K39-(SUM(K312:K330))</f>
        <v>554.85</v>
      </c>
      <c r="L59" s="5231">
        <f>L39-(SUM(L312:L330))</f>
        <v>583.35</v>
      </c>
      <c r="M59" s="5231">
        <f>M39-(SUM(M312:M330))</f>
        <v>528.33333333333337</v>
      </c>
    </row>
    <row r="60" spans="1:19" ht="15" hidden="1" customHeight="1" x14ac:dyDescent="0.3">
      <c r="A60" s="2883"/>
      <c r="B60" s="6448"/>
      <c r="C60" s="5219" t="s">
        <v>1826</v>
      </c>
      <c r="D60" s="5232">
        <f t="shared" ref="D60:E60" si="19">SUM(D57:D59)</f>
        <v>1995.08</v>
      </c>
      <c r="E60" s="5232">
        <f t="shared" si="19"/>
        <v>2027.1799999999998</v>
      </c>
      <c r="F60" s="5239"/>
      <c r="G60" s="5232">
        <f>SUM(G57:G59)</f>
        <v>2089</v>
      </c>
      <c r="H60" s="5232"/>
      <c r="I60" s="5232">
        <f>SUM(I57:I59)</f>
        <v>4472.97</v>
      </c>
      <c r="J60" s="5239"/>
      <c r="K60" s="5232">
        <f t="shared" ref="K60:M60" si="20">SUM(K57:K59)</f>
        <v>1579.3333333333335</v>
      </c>
      <c r="L60" s="5232">
        <f t="shared" si="20"/>
        <v>1641.5333333333333</v>
      </c>
      <c r="M60" s="5232">
        <f t="shared" si="20"/>
        <v>1524.6666666666665</v>
      </c>
    </row>
    <row r="61" spans="1:19" x14ac:dyDescent="0.25">
      <c r="A61" s="2883"/>
      <c r="B61" s="6448"/>
      <c r="C61" s="5219" t="s">
        <v>1745</v>
      </c>
      <c r="D61" s="5232">
        <f t="shared" ref="D61:E61" si="21">D60+D56+D48+D52</f>
        <v>7327.7199999999993</v>
      </c>
      <c r="E61" s="5232">
        <f t="shared" si="21"/>
        <v>7356.78</v>
      </c>
      <c r="F61" s="5239"/>
      <c r="G61" s="5232">
        <f>G60+G56+G48+G52</f>
        <v>7796.42</v>
      </c>
      <c r="H61" s="5232"/>
      <c r="I61" s="5232">
        <f>I60+I56+I48+I52</f>
        <v>16390.2</v>
      </c>
      <c r="J61" s="5239"/>
      <c r="K61" s="5232">
        <f t="shared" ref="K61:M61" si="22">K60+K56+K48+K52</f>
        <v>6107.7</v>
      </c>
      <c r="L61" s="5232">
        <f t="shared" si="22"/>
        <v>5864.0666666666657</v>
      </c>
      <c r="M61" s="5232">
        <f t="shared" si="22"/>
        <v>5295.9166666666661</v>
      </c>
      <c r="O61" s="26"/>
      <c r="Q61" s="1546"/>
      <c r="R61" s="1546"/>
      <c r="S61" s="1546"/>
    </row>
    <row r="62" spans="1:19" ht="14.45" x14ac:dyDescent="0.3">
      <c r="A62" s="2883"/>
      <c r="B62" s="5211"/>
      <c r="C62" s="5212"/>
      <c r="D62" s="5235"/>
      <c r="E62" s="5235"/>
      <c r="F62" s="5211"/>
      <c r="G62" s="5211"/>
      <c r="H62" s="5211"/>
      <c r="I62" s="5211"/>
      <c r="J62" s="5211"/>
      <c r="K62" s="5211"/>
      <c r="L62" s="5211"/>
      <c r="M62" s="5211"/>
    </row>
    <row r="63" spans="1:19" ht="14.45" x14ac:dyDescent="0.3">
      <c r="A63" s="2883"/>
      <c r="B63" s="5211"/>
      <c r="C63" s="5212"/>
      <c r="D63" s="5211"/>
      <c r="E63" s="5211"/>
      <c r="F63" s="5211"/>
      <c r="G63" s="5211"/>
      <c r="H63" s="5211"/>
      <c r="I63" s="5211"/>
      <c r="J63" s="5211"/>
      <c r="K63" s="5211"/>
      <c r="L63" s="5211"/>
      <c r="M63" s="5211"/>
      <c r="N63" s="1546"/>
      <c r="O63" s="1546"/>
      <c r="P63" s="1546"/>
    </row>
    <row r="64" spans="1:19" x14ac:dyDescent="0.25">
      <c r="A64" s="2883"/>
      <c r="B64" s="5211"/>
      <c r="C64" s="5212" t="s">
        <v>1818</v>
      </c>
      <c r="D64" s="5213" t="s">
        <v>1819</v>
      </c>
      <c r="E64" s="5213" t="s">
        <v>1820</v>
      </c>
      <c r="F64" s="5213"/>
      <c r="G64" s="5213" t="s">
        <v>1821</v>
      </c>
      <c r="H64" s="5213"/>
      <c r="I64" s="5213" t="s">
        <v>1064</v>
      </c>
      <c r="J64" s="5213"/>
      <c r="K64" s="5213" t="s">
        <v>59</v>
      </c>
      <c r="L64" s="5213" t="s">
        <v>95</v>
      </c>
      <c r="M64" s="5213" t="s">
        <v>1297</v>
      </c>
    </row>
    <row r="65" spans="1:13" ht="15" customHeight="1" x14ac:dyDescent="0.25">
      <c r="A65" s="2883"/>
      <c r="B65" s="6449">
        <v>45383</v>
      </c>
      <c r="C65" s="5245"/>
      <c r="D65" s="5211"/>
      <c r="E65" s="5211"/>
      <c r="F65" s="5211"/>
      <c r="G65" s="5226" t="s">
        <v>1818</v>
      </c>
      <c r="H65" s="5226"/>
      <c r="I65" s="5211"/>
      <c r="J65" s="5213"/>
      <c r="K65" s="5213" t="s">
        <v>1818</v>
      </c>
      <c r="L65" s="5213" t="s">
        <v>1818</v>
      </c>
      <c r="M65" s="5213" t="s">
        <v>1818</v>
      </c>
    </row>
    <row r="66" spans="1:13" ht="15" customHeight="1" x14ac:dyDescent="0.25">
      <c r="A66" s="2883"/>
      <c r="B66" s="6449"/>
      <c r="C66" s="5246" t="s">
        <v>1829</v>
      </c>
      <c r="D66" s="5247">
        <v>20.5</v>
      </c>
      <c r="E66" s="5247"/>
      <c r="F66" s="5248"/>
      <c r="G66" s="5249">
        <v>0</v>
      </c>
      <c r="H66" s="5249"/>
      <c r="I66" s="5250">
        <v>563.29</v>
      </c>
      <c r="J66" s="5251"/>
      <c r="K66" s="5252">
        <v>131.78333333333333</v>
      </c>
      <c r="L66" s="5252">
        <v>83.033333333333331</v>
      </c>
      <c r="M66" s="5252">
        <v>119.83333333333333</v>
      </c>
    </row>
    <row r="67" spans="1:13" ht="15" customHeight="1" x14ac:dyDescent="0.25">
      <c r="A67" s="2883"/>
      <c r="B67" s="6449"/>
      <c r="C67" s="5246" t="s">
        <v>1830</v>
      </c>
      <c r="D67" s="5253"/>
      <c r="E67" s="5253"/>
      <c r="F67" s="5248"/>
      <c r="G67" s="5249">
        <v>0</v>
      </c>
      <c r="H67" s="5249"/>
      <c r="I67" s="5250">
        <v>0</v>
      </c>
      <c r="J67" s="5251"/>
      <c r="K67" s="5252"/>
      <c r="L67" s="5252"/>
      <c r="M67" s="5252"/>
    </row>
    <row r="68" spans="1:13" ht="15" customHeight="1" x14ac:dyDescent="0.25">
      <c r="A68" s="2883"/>
      <c r="B68" s="6449"/>
      <c r="C68" s="5246" t="s">
        <v>1831</v>
      </c>
      <c r="D68" s="5247"/>
      <c r="E68" s="5247">
        <v>2.33</v>
      </c>
      <c r="F68" s="5248"/>
      <c r="G68" s="5249"/>
      <c r="H68" s="5249"/>
      <c r="I68" s="5250">
        <v>6.5</v>
      </c>
      <c r="J68" s="5251"/>
      <c r="K68" s="5252">
        <v>16.183333333333334</v>
      </c>
      <c r="L68" s="5252">
        <v>54.266666666666666</v>
      </c>
      <c r="M68" s="5252">
        <v>5.666666666666667</v>
      </c>
    </row>
    <row r="69" spans="1:13" ht="15" customHeight="1" x14ac:dyDescent="0.25">
      <c r="A69" s="2883"/>
      <c r="B69" s="6449"/>
      <c r="C69" s="5246" t="s">
        <v>466</v>
      </c>
      <c r="D69" s="5253"/>
      <c r="E69" s="5253"/>
      <c r="F69" s="5248"/>
      <c r="G69" s="5249"/>
      <c r="H69" s="5249"/>
      <c r="I69" s="5250"/>
      <c r="J69" s="5251"/>
      <c r="K69" s="5254"/>
      <c r="L69" s="5254"/>
      <c r="M69" s="5254"/>
    </row>
    <row r="70" spans="1:13" ht="15" customHeight="1" x14ac:dyDescent="0.25">
      <c r="A70" s="2883"/>
      <c r="B70" s="6449"/>
      <c r="C70" s="5246" t="s">
        <v>1832</v>
      </c>
      <c r="D70" s="5253"/>
      <c r="E70" s="5253"/>
      <c r="F70" s="5248"/>
      <c r="G70" s="5249"/>
      <c r="H70" s="5249"/>
      <c r="I70" s="5250"/>
      <c r="J70" s="5251"/>
      <c r="K70" s="5254"/>
      <c r="L70" s="5254"/>
      <c r="M70" s="5254"/>
    </row>
    <row r="71" spans="1:13" ht="15" customHeight="1" x14ac:dyDescent="0.25">
      <c r="A71" s="2883"/>
      <c r="B71" s="6449"/>
      <c r="C71" s="5246" t="s">
        <v>1833</v>
      </c>
      <c r="D71" s="5247">
        <v>7.15</v>
      </c>
      <c r="E71" s="5247">
        <v>17.420000000000002</v>
      </c>
      <c r="F71" s="5248"/>
      <c r="G71" s="5249"/>
      <c r="H71" s="5249"/>
      <c r="I71" s="5250">
        <v>17.36</v>
      </c>
      <c r="J71" s="5251"/>
      <c r="K71" s="5252">
        <v>29.016666666666666</v>
      </c>
      <c r="L71" s="5252">
        <v>33.06666666666667</v>
      </c>
      <c r="M71" s="5252">
        <v>26.916666666666668</v>
      </c>
    </row>
    <row r="72" spans="1:13" ht="15" customHeight="1" x14ac:dyDescent="0.25">
      <c r="A72" s="2883"/>
      <c r="B72" s="6449"/>
      <c r="C72" s="5246" t="s">
        <v>1834</v>
      </c>
      <c r="D72" s="5247">
        <v>1.25</v>
      </c>
      <c r="E72" s="5247">
        <v>0.74</v>
      </c>
      <c r="F72" s="5248"/>
      <c r="G72" s="5249"/>
      <c r="H72" s="5249"/>
      <c r="I72" s="5250">
        <v>8</v>
      </c>
      <c r="J72" s="5251"/>
      <c r="K72" s="5252">
        <v>11.016666666666667</v>
      </c>
      <c r="L72" s="5252">
        <v>4.7833333333333332</v>
      </c>
      <c r="M72" s="5252">
        <v>21.583333333333332</v>
      </c>
    </row>
    <row r="73" spans="1:13" ht="15" customHeight="1" x14ac:dyDescent="0.25">
      <c r="A73" s="2883"/>
      <c r="B73" s="6449"/>
      <c r="C73" s="5246" t="s">
        <v>1835</v>
      </c>
      <c r="D73" s="5247">
        <v>1</v>
      </c>
      <c r="E73" s="5247">
        <v>2.5</v>
      </c>
      <c r="F73" s="5248"/>
      <c r="G73" s="5249"/>
      <c r="H73" s="5249"/>
      <c r="I73" s="5250"/>
      <c r="J73" s="5251"/>
      <c r="K73" s="4928"/>
      <c r="L73" s="4928"/>
      <c r="M73" s="4928"/>
    </row>
    <row r="74" spans="1:13" ht="15" customHeight="1" x14ac:dyDescent="0.25">
      <c r="A74" s="2883"/>
      <c r="B74" s="6449"/>
      <c r="C74" s="5246" t="s">
        <v>1836</v>
      </c>
      <c r="D74" s="5247">
        <v>7.51</v>
      </c>
      <c r="E74" s="5247">
        <v>7.67</v>
      </c>
      <c r="F74" s="5248"/>
      <c r="G74" s="5249"/>
      <c r="H74" s="5249"/>
      <c r="I74" s="5250"/>
      <c r="J74" s="5251"/>
      <c r="K74" s="4928"/>
      <c r="L74" s="4928"/>
      <c r="M74" s="4928"/>
    </row>
    <row r="75" spans="1:13" ht="15" customHeight="1" x14ac:dyDescent="0.25">
      <c r="A75" s="2883"/>
      <c r="B75" s="6449"/>
      <c r="C75" s="5246" t="s">
        <v>1837</v>
      </c>
      <c r="D75" s="5247"/>
      <c r="E75" s="5247"/>
      <c r="F75" s="5248"/>
      <c r="G75" s="5249"/>
      <c r="H75" s="5249"/>
      <c r="I75" s="5250"/>
      <c r="J75" s="5251"/>
      <c r="K75" s="4928"/>
      <c r="L75" s="4928"/>
      <c r="M75" s="4928"/>
    </row>
    <row r="76" spans="1:13" ht="15" customHeight="1" x14ac:dyDescent="0.25">
      <c r="A76" s="2883"/>
      <c r="B76" s="6449"/>
      <c r="C76" s="5246" t="s">
        <v>1838</v>
      </c>
      <c r="D76" s="5247"/>
      <c r="E76" s="5247"/>
      <c r="F76" s="5248"/>
      <c r="G76" s="5249"/>
      <c r="H76" s="5249"/>
      <c r="I76" s="5250">
        <v>9.57</v>
      </c>
      <c r="J76" s="5251"/>
      <c r="K76" s="5252">
        <v>17.116666666666667</v>
      </c>
      <c r="L76" s="5252">
        <v>6.333333333333333</v>
      </c>
      <c r="M76" s="5252">
        <v>28.833333333333332</v>
      </c>
    </row>
    <row r="77" spans="1:13" ht="15" customHeight="1" x14ac:dyDescent="0.25">
      <c r="A77" s="2883"/>
      <c r="B77" s="6449"/>
      <c r="C77" s="5246" t="s">
        <v>1839</v>
      </c>
      <c r="D77" s="5247"/>
      <c r="E77" s="5247">
        <v>6</v>
      </c>
      <c r="F77" s="5248"/>
      <c r="G77" s="5249"/>
      <c r="H77" s="5249"/>
      <c r="I77" s="5250"/>
      <c r="J77" s="5251"/>
      <c r="K77" s="5252">
        <v>0.58333333333333337</v>
      </c>
      <c r="L77" s="5252">
        <v>0.66666666666666663</v>
      </c>
      <c r="M77" s="5252">
        <v>3.1666666666666665</v>
      </c>
    </row>
    <row r="78" spans="1:13" ht="15" customHeight="1" x14ac:dyDescent="0.25">
      <c r="A78" s="2883"/>
      <c r="B78" s="6449"/>
      <c r="C78" s="5246" t="s">
        <v>1840</v>
      </c>
      <c r="D78" s="5247"/>
      <c r="E78" s="5247">
        <v>1.58</v>
      </c>
      <c r="F78" s="5248"/>
      <c r="G78" s="5249"/>
      <c r="H78" s="5249"/>
      <c r="I78" s="5250">
        <v>0.92</v>
      </c>
      <c r="J78" s="5251"/>
      <c r="K78" s="5255"/>
      <c r="L78" s="5255"/>
      <c r="M78" s="5255"/>
    </row>
    <row r="79" spans="1:13" ht="15" customHeight="1" x14ac:dyDescent="0.25">
      <c r="A79" s="2883"/>
      <c r="B79" s="6449"/>
      <c r="C79" s="5246" t="s">
        <v>1841</v>
      </c>
      <c r="D79" s="5247"/>
      <c r="E79" s="5247"/>
      <c r="F79" s="5248"/>
      <c r="G79" s="5249"/>
      <c r="H79" s="5249"/>
      <c r="I79" s="5250"/>
      <c r="J79" s="5251"/>
      <c r="K79" s="5255"/>
      <c r="L79" s="5255"/>
      <c r="M79" s="5255"/>
    </row>
    <row r="80" spans="1:13" ht="15" customHeight="1" x14ac:dyDescent="0.25">
      <c r="A80" s="2883"/>
      <c r="B80" s="6449"/>
      <c r="C80" s="5246" t="s">
        <v>1842</v>
      </c>
      <c r="D80" s="5248"/>
      <c r="E80" s="5248"/>
      <c r="F80" s="5248"/>
      <c r="G80" s="5249"/>
      <c r="H80" s="5249"/>
      <c r="I80" s="5250"/>
      <c r="J80" s="5251"/>
      <c r="K80" s="5255"/>
      <c r="L80" s="5255"/>
      <c r="M80" s="5255"/>
    </row>
    <row r="81" spans="1:13" ht="15" customHeight="1" x14ac:dyDescent="0.25">
      <c r="A81" s="2883"/>
      <c r="B81" s="6449"/>
      <c r="C81" s="5246" t="s">
        <v>82</v>
      </c>
      <c r="D81" s="5248"/>
      <c r="E81" s="5248"/>
      <c r="F81" s="5248"/>
      <c r="G81" s="5249"/>
      <c r="H81" s="5249"/>
      <c r="I81" s="5250"/>
      <c r="J81" s="5251"/>
      <c r="K81" s="5255"/>
      <c r="L81" s="5255"/>
      <c r="M81" s="5255"/>
    </row>
    <row r="82" spans="1:13" ht="15" customHeight="1" x14ac:dyDescent="0.25">
      <c r="A82" s="2883"/>
      <c r="B82" s="6449"/>
      <c r="C82" s="5246" t="s">
        <v>1843</v>
      </c>
      <c r="D82" s="5248"/>
      <c r="E82" s="5248"/>
      <c r="F82" s="5248"/>
      <c r="G82" s="5249"/>
      <c r="H82" s="5249"/>
      <c r="I82" s="5250">
        <v>5.14</v>
      </c>
      <c r="J82" s="5251"/>
      <c r="K82" s="5255"/>
      <c r="L82" s="5255"/>
      <c r="M82" s="5255"/>
    </row>
    <row r="83" spans="1:13" ht="15" customHeight="1" x14ac:dyDescent="0.25">
      <c r="A83" s="2883"/>
      <c r="B83" s="6449"/>
      <c r="C83" s="5246" t="s">
        <v>726</v>
      </c>
      <c r="D83" s="5254"/>
      <c r="E83" s="5254"/>
      <c r="F83" s="5248"/>
      <c r="G83" s="5249"/>
      <c r="H83" s="5249"/>
      <c r="I83" s="5250">
        <v>1.33</v>
      </c>
      <c r="J83" s="5251"/>
      <c r="K83" s="5255"/>
      <c r="L83" s="5255"/>
      <c r="M83" s="5255"/>
    </row>
    <row r="84" spans="1:13" ht="15" customHeight="1" x14ac:dyDescent="0.25">
      <c r="A84" s="2883"/>
      <c r="B84" s="6449"/>
      <c r="C84" s="5246" t="s">
        <v>58</v>
      </c>
      <c r="D84" s="5254"/>
      <c r="E84" s="5254"/>
      <c r="F84" s="5248"/>
      <c r="G84" s="5249"/>
      <c r="H84" s="5249"/>
      <c r="I84" s="5250">
        <v>7.25</v>
      </c>
      <c r="J84" s="5251"/>
      <c r="K84" s="5255"/>
      <c r="L84" s="5255"/>
      <c r="M84" s="5255"/>
    </row>
    <row r="85" spans="1:13" ht="15" customHeight="1" x14ac:dyDescent="0.25">
      <c r="A85" s="2883"/>
      <c r="B85" s="6449"/>
      <c r="C85" s="5246" t="s">
        <v>1844</v>
      </c>
      <c r="D85" s="5254"/>
      <c r="E85" s="5254"/>
      <c r="F85" s="5248"/>
      <c r="G85" s="5249"/>
      <c r="H85" s="5249"/>
      <c r="I85" s="5250">
        <v>6.67</v>
      </c>
      <c r="J85" s="5251"/>
      <c r="K85" s="5255"/>
      <c r="L85" s="5255"/>
      <c r="M85" s="5255"/>
    </row>
    <row r="86" spans="1:13" ht="14.45" x14ac:dyDescent="0.3">
      <c r="A86" s="2883"/>
      <c r="B86" s="2886"/>
      <c r="C86" s="2887"/>
    </row>
    <row r="87" spans="1:13" ht="15" customHeight="1" x14ac:dyDescent="0.25">
      <c r="A87" s="2883"/>
      <c r="B87" s="6445">
        <v>45413</v>
      </c>
      <c r="C87" s="5245"/>
      <c r="D87" s="5213" t="s">
        <v>1819</v>
      </c>
      <c r="E87" s="5213" t="s">
        <v>1820</v>
      </c>
      <c r="F87" s="5256"/>
      <c r="G87" s="5213" t="s">
        <v>1821</v>
      </c>
      <c r="H87" s="5257"/>
      <c r="I87" s="5257" t="s">
        <v>1064</v>
      </c>
      <c r="J87" s="5213"/>
      <c r="K87" s="5213" t="s">
        <v>59</v>
      </c>
      <c r="L87" s="5213" t="s">
        <v>95</v>
      </c>
      <c r="M87" s="5213" t="s">
        <v>1297</v>
      </c>
    </row>
    <row r="88" spans="1:13" ht="15" customHeight="1" x14ac:dyDescent="0.25">
      <c r="A88" s="2883"/>
      <c r="B88" s="6445"/>
      <c r="C88" s="5246" t="s">
        <v>1829</v>
      </c>
      <c r="D88" s="5242">
        <v>54.66</v>
      </c>
      <c r="E88" s="5242">
        <v>63.5</v>
      </c>
      <c r="F88" s="5258"/>
      <c r="G88" s="5259">
        <v>24</v>
      </c>
      <c r="H88" s="5260"/>
      <c r="I88" s="5261">
        <v>666.53</v>
      </c>
      <c r="J88" s="5241"/>
      <c r="K88" s="5250">
        <v>143.75</v>
      </c>
      <c r="L88" s="5250">
        <v>118.86666666666666</v>
      </c>
      <c r="M88" s="5250">
        <v>183.58333333333334</v>
      </c>
    </row>
    <row r="89" spans="1:13" ht="15" customHeight="1" x14ac:dyDescent="0.25">
      <c r="A89" s="2883"/>
      <c r="B89" s="6445"/>
      <c r="C89" s="5246" t="s">
        <v>1830</v>
      </c>
      <c r="D89" s="5242"/>
      <c r="E89" s="5242"/>
      <c r="F89" s="5258"/>
      <c r="G89" s="5259">
        <v>15</v>
      </c>
      <c r="H89" s="5260"/>
      <c r="I89" s="5254"/>
      <c r="J89" s="5241"/>
      <c r="K89" s="5250"/>
      <c r="L89" s="5250"/>
      <c r="M89" s="5250"/>
    </row>
    <row r="90" spans="1:13" ht="15" customHeight="1" x14ac:dyDescent="0.25">
      <c r="A90" s="2883"/>
      <c r="B90" s="6445"/>
      <c r="C90" s="5246" t="s">
        <v>1831</v>
      </c>
      <c r="D90" s="5242"/>
      <c r="E90" s="5242">
        <v>0.92</v>
      </c>
      <c r="F90" s="5258"/>
      <c r="G90" s="5262"/>
      <c r="H90" s="5260"/>
      <c r="I90" s="5254"/>
      <c r="J90" s="5241"/>
      <c r="K90" s="5250">
        <v>12.15</v>
      </c>
      <c r="L90" s="5250">
        <v>41.466666666666669</v>
      </c>
      <c r="M90" s="5250">
        <v>9.0833333333333339</v>
      </c>
    </row>
    <row r="91" spans="1:13" ht="15" customHeight="1" x14ac:dyDescent="0.25">
      <c r="A91" s="2883"/>
      <c r="B91" s="6445"/>
      <c r="C91" s="5246" t="s">
        <v>466</v>
      </c>
      <c r="D91" s="5242"/>
      <c r="E91" s="5242"/>
      <c r="F91" s="5258"/>
      <c r="G91" s="5262"/>
      <c r="H91" s="5260"/>
      <c r="I91" s="5261"/>
      <c r="J91" s="5241"/>
      <c r="K91" s="5253"/>
      <c r="L91" s="5253"/>
      <c r="M91" s="5253"/>
    </row>
    <row r="92" spans="1:13" ht="15" customHeight="1" x14ac:dyDescent="0.25">
      <c r="A92" s="2883"/>
      <c r="B92" s="6445"/>
      <c r="C92" s="5246" t="s">
        <v>1832</v>
      </c>
      <c r="D92" s="5242"/>
      <c r="E92" s="5242"/>
      <c r="F92" s="5258"/>
      <c r="G92" s="5262"/>
      <c r="H92" s="5260"/>
      <c r="I92" s="5261"/>
      <c r="J92" s="5241"/>
      <c r="K92" s="5253"/>
      <c r="L92" s="5253"/>
      <c r="M92" s="5253"/>
    </row>
    <row r="93" spans="1:13" ht="15" customHeight="1" x14ac:dyDescent="0.25">
      <c r="A93" s="2883"/>
      <c r="B93" s="6445"/>
      <c r="C93" s="5246" t="s">
        <v>1833</v>
      </c>
      <c r="D93" s="5242">
        <v>3.67</v>
      </c>
      <c r="E93" s="5242">
        <v>0.33</v>
      </c>
      <c r="F93" s="5258"/>
      <c r="G93" s="5228"/>
      <c r="H93" s="5260"/>
      <c r="I93" s="5261">
        <v>7.08</v>
      </c>
      <c r="J93" s="5241"/>
      <c r="K93" s="5250">
        <v>24.916666666666668</v>
      </c>
      <c r="L93" s="5250">
        <v>37.68333333333333</v>
      </c>
      <c r="M93" s="5250">
        <v>34.333333333333336</v>
      </c>
    </row>
    <row r="94" spans="1:13" ht="15" customHeight="1" x14ac:dyDescent="0.25">
      <c r="A94" s="2883"/>
      <c r="B94" s="6445"/>
      <c r="C94" s="5246" t="s">
        <v>1834</v>
      </c>
      <c r="D94" s="5242"/>
      <c r="E94" s="5242">
        <v>0.42</v>
      </c>
      <c r="F94" s="5258"/>
      <c r="G94" s="5262"/>
      <c r="H94" s="5260"/>
      <c r="I94" s="5261"/>
      <c r="J94" s="5241"/>
      <c r="K94" s="5250">
        <v>5.05</v>
      </c>
      <c r="L94" s="5250">
        <v>15.65</v>
      </c>
      <c r="M94" s="5250">
        <v>17.916666666666668</v>
      </c>
    </row>
    <row r="95" spans="1:13" ht="15" customHeight="1" x14ac:dyDescent="0.25">
      <c r="A95" s="2883"/>
      <c r="B95" s="6445"/>
      <c r="C95" s="5246" t="s">
        <v>1835</v>
      </c>
      <c r="D95" s="5242"/>
      <c r="E95" s="5242">
        <v>0.17</v>
      </c>
      <c r="F95" s="5258"/>
      <c r="G95" s="5262"/>
      <c r="H95" s="5260"/>
      <c r="I95" s="5261"/>
      <c r="J95" s="5241"/>
      <c r="K95" s="5253"/>
      <c r="L95" s="5253"/>
      <c r="M95" s="5253"/>
    </row>
    <row r="96" spans="1:13" ht="15" customHeight="1" x14ac:dyDescent="0.25">
      <c r="A96" s="2883"/>
      <c r="B96" s="6445"/>
      <c r="C96" s="5246" t="s">
        <v>1836</v>
      </c>
      <c r="D96" s="5242">
        <v>30.91</v>
      </c>
      <c r="E96" s="5242">
        <v>30.58</v>
      </c>
      <c r="F96" s="5258"/>
      <c r="G96" s="5262"/>
      <c r="H96" s="5260"/>
      <c r="I96" s="5261"/>
      <c r="J96" s="5241"/>
      <c r="K96" s="5253"/>
      <c r="L96" s="5253"/>
      <c r="M96" s="5253"/>
    </row>
    <row r="97" spans="1:13" ht="15" customHeight="1" x14ac:dyDescent="0.25">
      <c r="A97" s="2883"/>
      <c r="B97" s="6445"/>
      <c r="C97" s="5246" t="s">
        <v>1837</v>
      </c>
      <c r="D97" s="5242"/>
      <c r="E97" s="5242"/>
      <c r="F97" s="5258"/>
      <c r="G97" s="5262"/>
      <c r="H97" s="5260"/>
      <c r="I97" s="5261"/>
      <c r="J97" s="5241"/>
      <c r="K97" s="5253"/>
      <c r="L97" s="5253"/>
      <c r="M97" s="5253"/>
    </row>
    <row r="98" spans="1:13" ht="15" customHeight="1" x14ac:dyDescent="0.25">
      <c r="A98" s="2883"/>
      <c r="B98" s="6445"/>
      <c r="C98" s="5246" t="s">
        <v>1838</v>
      </c>
      <c r="D98" s="5242"/>
      <c r="E98" s="5242"/>
      <c r="F98" s="5258"/>
      <c r="G98" s="5262"/>
      <c r="H98" s="5260"/>
      <c r="I98" s="5261">
        <v>2.0099999999999998</v>
      </c>
      <c r="J98" s="5241"/>
      <c r="K98" s="5250">
        <v>18.266666666666666</v>
      </c>
      <c r="L98" s="5250">
        <v>30.566666666666666</v>
      </c>
      <c r="M98" s="5250">
        <v>22.666666666666668</v>
      </c>
    </row>
    <row r="99" spans="1:13" ht="15" customHeight="1" x14ac:dyDescent="0.25">
      <c r="A99" s="2883"/>
      <c r="B99" s="6445"/>
      <c r="C99" s="5246" t="s">
        <v>1839</v>
      </c>
      <c r="D99" s="5242">
        <v>0.67</v>
      </c>
      <c r="E99" s="5242"/>
      <c r="F99" s="5258"/>
      <c r="G99" s="5262"/>
      <c r="H99" s="5260"/>
      <c r="I99" s="5261"/>
      <c r="J99" s="5241"/>
      <c r="K99" s="5250">
        <v>2</v>
      </c>
      <c r="L99" s="5250">
        <v>5.9666666666666668</v>
      </c>
      <c r="M99" s="5250">
        <v>2.5</v>
      </c>
    </row>
    <row r="100" spans="1:13" ht="15" customHeight="1" x14ac:dyDescent="0.25">
      <c r="A100" s="2883"/>
      <c r="B100" s="6445"/>
      <c r="C100" s="5246" t="s">
        <v>1840</v>
      </c>
      <c r="D100" s="5242"/>
      <c r="E100" s="5242">
        <v>0.17</v>
      </c>
      <c r="F100" s="5258"/>
      <c r="G100" s="5262"/>
      <c r="H100" s="5260"/>
      <c r="I100" s="5261">
        <v>1.5</v>
      </c>
      <c r="J100" s="5241"/>
      <c r="K100" s="5254"/>
      <c r="L100" s="5254"/>
      <c r="M100" s="5254"/>
    </row>
    <row r="101" spans="1:13" ht="15" customHeight="1" x14ac:dyDescent="0.25">
      <c r="A101" s="2883"/>
      <c r="B101" s="6445"/>
      <c r="C101" s="5246" t="s">
        <v>1841</v>
      </c>
      <c r="D101" s="5242"/>
      <c r="E101" s="5242"/>
      <c r="F101" s="5258"/>
      <c r="G101" s="5262"/>
      <c r="H101" s="5260"/>
      <c r="I101" s="5261"/>
      <c r="J101" s="5241"/>
      <c r="K101" s="5262"/>
      <c r="L101" s="5262"/>
      <c r="M101" s="5262"/>
    </row>
    <row r="102" spans="1:13" ht="15" customHeight="1" x14ac:dyDescent="0.25">
      <c r="A102" s="2883"/>
      <c r="B102" s="6445"/>
      <c r="C102" s="5246" t="s">
        <v>1842</v>
      </c>
      <c r="D102" s="5242">
        <v>1.25</v>
      </c>
      <c r="E102" s="5242">
        <v>1</v>
      </c>
      <c r="F102" s="5258"/>
      <c r="G102" s="5262"/>
      <c r="H102" s="5260"/>
      <c r="I102" s="5261"/>
      <c r="J102" s="5241"/>
      <c r="K102" s="5262"/>
      <c r="L102" s="5262"/>
      <c r="M102" s="5262"/>
    </row>
    <row r="103" spans="1:13" ht="15" customHeight="1" x14ac:dyDescent="0.25">
      <c r="A103" s="2883"/>
      <c r="B103" s="6445"/>
      <c r="C103" s="5246" t="s">
        <v>82</v>
      </c>
      <c r="D103" s="5242"/>
      <c r="E103" s="5250"/>
      <c r="F103" s="5258"/>
      <c r="G103" s="5262"/>
      <c r="H103" s="5260"/>
      <c r="I103" s="5261"/>
      <c r="J103" s="5241"/>
      <c r="K103" s="5262"/>
      <c r="L103" s="5262"/>
      <c r="M103" s="5262"/>
    </row>
    <row r="104" spans="1:13" ht="15" customHeight="1" x14ac:dyDescent="0.25">
      <c r="A104" s="2883"/>
      <c r="B104" s="6445"/>
      <c r="C104" s="5246" t="s">
        <v>1843</v>
      </c>
      <c r="D104" s="5242"/>
      <c r="E104" s="4928"/>
      <c r="F104" s="5258"/>
      <c r="G104" s="5262"/>
      <c r="H104" s="5260"/>
      <c r="I104" s="5261">
        <v>0.5</v>
      </c>
      <c r="J104" s="5241"/>
      <c r="K104" s="5262"/>
      <c r="L104" s="5262"/>
      <c r="M104" s="5262"/>
    </row>
    <row r="105" spans="1:13" ht="15" customHeight="1" x14ac:dyDescent="0.25">
      <c r="A105" s="2883"/>
      <c r="B105" s="6445"/>
      <c r="C105" s="5246" t="s">
        <v>726</v>
      </c>
      <c r="D105" s="5242"/>
      <c r="E105" s="4928"/>
      <c r="F105" s="5258"/>
      <c r="G105" s="5262"/>
      <c r="H105" s="5260"/>
      <c r="I105" s="5261"/>
      <c r="J105" s="5241"/>
      <c r="K105" s="5262"/>
      <c r="L105" s="5262"/>
      <c r="M105" s="5262"/>
    </row>
    <row r="106" spans="1:13" ht="15" customHeight="1" x14ac:dyDescent="0.25">
      <c r="A106" s="2883"/>
      <c r="B106" s="6445"/>
      <c r="C106" s="5246" t="s">
        <v>58</v>
      </c>
      <c r="D106" s="5242"/>
      <c r="E106" s="4928"/>
      <c r="F106" s="5258"/>
      <c r="G106" s="5262"/>
      <c r="H106" s="5260"/>
      <c r="I106" s="5261">
        <v>0.56000000000000005</v>
      </c>
      <c r="J106" s="5241"/>
      <c r="K106" s="5262"/>
      <c r="L106" s="5262"/>
      <c r="M106" s="5262"/>
    </row>
    <row r="107" spans="1:13" ht="15" customHeight="1" x14ac:dyDescent="0.25">
      <c r="A107" s="2883"/>
      <c r="B107" s="6445"/>
      <c r="C107" s="5246" t="s">
        <v>1844</v>
      </c>
      <c r="D107" s="5242"/>
      <c r="E107" s="4928"/>
      <c r="F107" s="5258"/>
      <c r="G107" s="5262"/>
      <c r="H107" s="5260"/>
      <c r="I107" s="5261">
        <v>178.44</v>
      </c>
      <c r="J107" s="5241"/>
      <c r="K107" s="5262"/>
      <c r="L107" s="5262"/>
      <c r="M107" s="5262"/>
    </row>
    <row r="108" spans="1:13" ht="15" customHeight="1" x14ac:dyDescent="0.25">
      <c r="A108" s="2883"/>
      <c r="B108" s="6445">
        <v>45444</v>
      </c>
      <c r="C108" s="5245"/>
      <c r="D108" s="5213" t="s">
        <v>1819</v>
      </c>
      <c r="E108" s="5213" t="s">
        <v>1820</v>
      </c>
      <c r="F108" s="5256"/>
      <c r="G108" s="5263" t="s">
        <v>1821</v>
      </c>
      <c r="H108" s="5257"/>
      <c r="I108" s="5257" t="s">
        <v>1064</v>
      </c>
      <c r="J108" s="5213"/>
      <c r="K108" s="5213" t="s">
        <v>59</v>
      </c>
      <c r="L108" s="5213" t="s">
        <v>95</v>
      </c>
      <c r="M108" s="5213" t="s">
        <v>1297</v>
      </c>
    </row>
    <row r="109" spans="1:13" ht="15" customHeight="1" x14ac:dyDescent="0.25">
      <c r="A109" s="2883"/>
      <c r="B109" s="6445"/>
      <c r="C109" s="5264" t="s">
        <v>1829</v>
      </c>
      <c r="D109" s="5242">
        <v>20.5</v>
      </c>
      <c r="E109" s="5242">
        <v>21</v>
      </c>
      <c r="F109" s="5262"/>
      <c r="G109" s="5242"/>
      <c r="H109" s="5242"/>
      <c r="I109" s="5242">
        <v>426.88</v>
      </c>
      <c r="J109" s="5242"/>
      <c r="K109" s="5250">
        <v>135.01666666666668</v>
      </c>
      <c r="L109" s="5250">
        <v>70.766666666666666</v>
      </c>
      <c r="M109" s="5250">
        <v>94.166666666666671</v>
      </c>
    </row>
    <row r="110" spans="1:13" ht="15" customHeight="1" x14ac:dyDescent="0.25">
      <c r="A110" s="2883"/>
      <c r="B110" s="6445"/>
      <c r="C110" s="5264" t="s">
        <v>1830</v>
      </c>
      <c r="D110" s="5242">
        <v>188.5</v>
      </c>
      <c r="E110" s="5242">
        <v>144.5</v>
      </c>
      <c r="F110" s="5262"/>
      <c r="G110" s="5242">
        <v>117.75</v>
      </c>
      <c r="H110" s="5242"/>
      <c r="I110" s="5242"/>
      <c r="J110" s="5242"/>
      <c r="K110" s="5250">
        <v>0</v>
      </c>
      <c r="L110" s="5250">
        <v>185.25</v>
      </c>
      <c r="M110" s="5250">
        <v>208.83333333333334</v>
      </c>
    </row>
    <row r="111" spans="1:13" ht="15" customHeight="1" x14ac:dyDescent="0.25">
      <c r="A111" s="2883"/>
      <c r="B111" s="6445"/>
      <c r="C111" s="5264" t="s">
        <v>1831</v>
      </c>
      <c r="D111" s="5242"/>
      <c r="E111" s="5242"/>
      <c r="F111" s="5262"/>
      <c r="G111" s="5242"/>
      <c r="H111" s="5242"/>
      <c r="I111" s="5242">
        <v>0.25</v>
      </c>
      <c r="J111" s="5242"/>
      <c r="K111" s="5250">
        <v>20.716666666666665</v>
      </c>
      <c r="L111" s="5250">
        <v>12.25</v>
      </c>
      <c r="M111" s="5250">
        <v>8.75</v>
      </c>
    </row>
    <row r="112" spans="1:13" ht="15" customHeight="1" x14ac:dyDescent="0.25">
      <c r="A112" s="2883"/>
      <c r="B112" s="6445"/>
      <c r="C112" s="5264" t="s">
        <v>466</v>
      </c>
      <c r="D112" s="5242"/>
      <c r="E112" s="5242"/>
      <c r="F112" s="5262"/>
      <c r="G112" s="5242"/>
      <c r="H112" s="5242"/>
      <c r="I112" s="5242"/>
      <c r="J112" s="5242"/>
      <c r="K112" s="5250"/>
      <c r="L112" s="5250"/>
      <c r="M112" s="5250"/>
    </row>
    <row r="113" spans="1:13" ht="15" customHeight="1" x14ac:dyDescent="0.25">
      <c r="A113" s="2883"/>
      <c r="B113" s="6445"/>
      <c r="C113" s="5264" t="s">
        <v>1832</v>
      </c>
      <c r="D113" s="5242"/>
      <c r="E113" s="5242"/>
      <c r="F113" s="5262"/>
      <c r="G113" s="5242"/>
      <c r="H113" s="5242"/>
      <c r="I113" s="5242"/>
      <c r="J113" s="5242"/>
      <c r="K113" s="5250"/>
      <c r="L113" s="5250"/>
      <c r="M113" s="5250"/>
    </row>
    <row r="114" spans="1:13" ht="15" customHeight="1" x14ac:dyDescent="0.25">
      <c r="A114" s="2883"/>
      <c r="B114" s="6445"/>
      <c r="C114" s="5264" t="s">
        <v>1833</v>
      </c>
      <c r="D114" s="5242">
        <v>5.2</v>
      </c>
      <c r="E114" s="5242">
        <v>0.5</v>
      </c>
      <c r="F114" s="5262"/>
      <c r="G114" s="5242"/>
      <c r="H114" s="5242"/>
      <c r="I114" s="5242">
        <v>1.18</v>
      </c>
      <c r="J114" s="5242"/>
      <c r="K114" s="5250">
        <v>30.116666666666667</v>
      </c>
      <c r="L114" s="5250">
        <v>44.883333333333333</v>
      </c>
      <c r="M114" s="5250">
        <v>49.583333333333336</v>
      </c>
    </row>
    <row r="115" spans="1:13" ht="15" customHeight="1" x14ac:dyDescent="0.25">
      <c r="A115" s="2883"/>
      <c r="B115" s="6445"/>
      <c r="C115" s="5264" t="s">
        <v>1834</v>
      </c>
      <c r="D115" s="5242">
        <v>0.17</v>
      </c>
      <c r="E115" s="5242"/>
      <c r="F115" s="5262"/>
      <c r="G115" s="5242"/>
      <c r="H115" s="5242"/>
      <c r="I115" s="5242">
        <v>7.39</v>
      </c>
      <c r="J115" s="5242"/>
      <c r="K115" s="5250">
        <v>16.866666666666667</v>
      </c>
      <c r="L115" s="5250">
        <v>4.4666666666666668</v>
      </c>
      <c r="M115" s="5250">
        <v>11.25</v>
      </c>
    </row>
    <row r="116" spans="1:13" ht="15" customHeight="1" x14ac:dyDescent="0.25">
      <c r="A116" s="2883"/>
      <c r="B116" s="6445"/>
      <c r="C116" s="5264" t="s">
        <v>1835</v>
      </c>
      <c r="D116" s="5242"/>
      <c r="E116" s="5242"/>
      <c r="F116" s="5262"/>
      <c r="G116" s="5242"/>
      <c r="H116" s="5242"/>
      <c r="I116" s="5242"/>
      <c r="J116" s="5242"/>
      <c r="K116" s="5250"/>
      <c r="L116" s="5250"/>
      <c r="M116" s="5250"/>
    </row>
    <row r="117" spans="1:13" ht="15" customHeight="1" x14ac:dyDescent="0.25">
      <c r="A117" s="2883"/>
      <c r="B117" s="6445"/>
      <c r="C117" s="5264" t="s">
        <v>1836</v>
      </c>
      <c r="D117" s="5242">
        <v>13.25</v>
      </c>
      <c r="E117" s="5242">
        <v>12.08</v>
      </c>
      <c r="F117" s="5262"/>
      <c r="G117" s="5242"/>
      <c r="H117" s="5242"/>
      <c r="I117" s="5242"/>
      <c r="J117" s="5242"/>
      <c r="K117" s="5250"/>
      <c r="L117" s="5250"/>
      <c r="M117" s="5250"/>
    </row>
    <row r="118" spans="1:13" ht="15" customHeight="1" x14ac:dyDescent="0.25">
      <c r="A118" s="2883"/>
      <c r="B118" s="6445"/>
      <c r="C118" s="5246" t="s">
        <v>1837</v>
      </c>
      <c r="D118" s="5242"/>
      <c r="E118" s="5242"/>
      <c r="F118" s="5265"/>
      <c r="G118" s="5242"/>
      <c r="H118" s="5242"/>
      <c r="I118" s="5242"/>
      <c r="J118" s="5242"/>
      <c r="K118" s="5250"/>
      <c r="L118" s="5250"/>
      <c r="M118" s="5250"/>
    </row>
    <row r="119" spans="1:13" ht="15" customHeight="1" x14ac:dyDescent="0.25">
      <c r="A119" s="2883"/>
      <c r="B119" s="6445"/>
      <c r="C119" s="5264" t="s">
        <v>1838</v>
      </c>
      <c r="D119" s="5242"/>
      <c r="E119" s="5242"/>
      <c r="F119" s="5262"/>
      <c r="G119" s="5242"/>
      <c r="H119" s="5242"/>
      <c r="I119" s="5242"/>
      <c r="J119" s="5242"/>
      <c r="K119" s="5250">
        <v>11.333333333333334</v>
      </c>
      <c r="L119" s="5250">
        <v>11.5</v>
      </c>
      <c r="M119" s="5250">
        <v>21.666666666666668</v>
      </c>
    </row>
    <row r="120" spans="1:13" ht="15" customHeight="1" x14ac:dyDescent="0.25">
      <c r="A120" s="2883"/>
      <c r="B120" s="6445"/>
      <c r="C120" s="5264" t="s">
        <v>1839</v>
      </c>
      <c r="D120" s="5242"/>
      <c r="E120" s="5242"/>
      <c r="F120" s="5262"/>
      <c r="G120" s="5242"/>
      <c r="H120" s="5242"/>
      <c r="I120" s="5242"/>
      <c r="J120" s="5242"/>
      <c r="K120" s="5250">
        <v>3.5833333333333335</v>
      </c>
      <c r="L120" s="5250">
        <v>1.8</v>
      </c>
      <c r="M120" s="5250">
        <v>0.41666666666666669</v>
      </c>
    </row>
    <row r="121" spans="1:13" ht="15" customHeight="1" x14ac:dyDescent="0.25">
      <c r="A121" s="2883"/>
      <c r="B121" s="6445"/>
      <c r="C121" s="5264" t="s">
        <v>1840</v>
      </c>
      <c r="D121" s="5242">
        <v>0.42</v>
      </c>
      <c r="E121" s="5242"/>
      <c r="F121" s="5262"/>
      <c r="G121" s="5242"/>
      <c r="H121" s="5242"/>
      <c r="I121" s="5242">
        <v>0.32</v>
      </c>
      <c r="J121" s="5242"/>
      <c r="K121" s="5242"/>
      <c r="L121" s="5242"/>
      <c r="M121" s="5242"/>
    </row>
    <row r="122" spans="1:13" ht="15" customHeight="1" x14ac:dyDescent="0.25">
      <c r="A122" s="2883"/>
      <c r="B122" s="6445"/>
      <c r="C122" s="5246" t="s">
        <v>1841</v>
      </c>
      <c r="D122" s="5242"/>
      <c r="E122" s="5242"/>
      <c r="F122" s="5262"/>
      <c r="G122" s="5242"/>
      <c r="H122" s="5242"/>
      <c r="I122" s="5242"/>
      <c r="J122" s="5242"/>
      <c r="K122" s="5242"/>
      <c r="L122" s="5242"/>
      <c r="M122" s="5242"/>
    </row>
    <row r="123" spans="1:13" ht="15" customHeight="1" x14ac:dyDescent="0.25">
      <c r="A123" s="2883"/>
      <c r="B123" s="6445"/>
      <c r="C123" s="5264" t="s">
        <v>1842</v>
      </c>
      <c r="D123" s="5242"/>
      <c r="E123" s="5242"/>
      <c r="F123" s="5262"/>
      <c r="G123" s="5242"/>
      <c r="H123" s="5242"/>
      <c r="I123" s="5242"/>
      <c r="J123" s="5242"/>
      <c r="K123" s="5242"/>
      <c r="L123" s="5242"/>
      <c r="M123" s="5242"/>
    </row>
    <row r="124" spans="1:13" ht="15" customHeight="1" x14ac:dyDescent="0.25">
      <c r="A124" s="2883"/>
      <c r="B124" s="6445"/>
      <c r="C124" s="2888" t="s">
        <v>82</v>
      </c>
      <c r="D124" s="5242"/>
      <c r="E124" s="5242"/>
      <c r="F124" s="5262"/>
      <c r="G124" s="5242"/>
      <c r="H124" s="5242"/>
      <c r="I124" s="5242"/>
      <c r="J124" s="5242"/>
      <c r="K124" s="5242"/>
      <c r="L124" s="5242"/>
      <c r="M124" s="5242"/>
    </row>
    <row r="125" spans="1:13" ht="15" customHeight="1" x14ac:dyDescent="0.25">
      <c r="A125" s="2883"/>
      <c r="B125" s="6445"/>
      <c r="C125" s="5264" t="s">
        <v>1843</v>
      </c>
      <c r="D125" s="5242"/>
      <c r="E125" s="5242"/>
      <c r="F125" s="5262"/>
      <c r="G125" s="5242"/>
      <c r="H125" s="5242"/>
      <c r="I125" s="5242">
        <v>8.5</v>
      </c>
      <c r="J125" s="5242"/>
      <c r="K125" s="5242"/>
      <c r="L125" s="5242"/>
      <c r="M125" s="5242"/>
    </row>
    <row r="126" spans="1:13" ht="15" customHeight="1" x14ac:dyDescent="0.25">
      <c r="A126" s="2883"/>
      <c r="B126" s="6445"/>
      <c r="C126" s="5264" t="s">
        <v>100</v>
      </c>
      <c r="D126" s="5242"/>
      <c r="E126" s="5242"/>
      <c r="F126" s="5262"/>
      <c r="G126" s="5242"/>
      <c r="H126" s="5242"/>
      <c r="I126" s="5242"/>
      <c r="J126" s="5242"/>
      <c r="K126" s="5242"/>
      <c r="L126" s="5242"/>
      <c r="M126" s="5242"/>
    </row>
    <row r="127" spans="1:13" ht="15" customHeight="1" x14ac:dyDescent="0.25">
      <c r="A127" s="2883"/>
      <c r="B127" s="6445"/>
      <c r="C127" s="5264" t="s">
        <v>58</v>
      </c>
      <c r="D127" s="5242"/>
      <c r="E127" s="5242"/>
      <c r="F127" s="5262"/>
      <c r="G127" s="5242"/>
      <c r="H127" s="5242"/>
      <c r="I127" s="5242">
        <v>2.08</v>
      </c>
      <c r="J127" s="5242"/>
      <c r="K127" s="5242"/>
      <c r="L127" s="5242"/>
      <c r="M127" s="5242"/>
    </row>
    <row r="128" spans="1:13" ht="15" customHeight="1" x14ac:dyDescent="0.25">
      <c r="A128" s="2883"/>
      <c r="B128" s="6445"/>
      <c r="C128" s="5266" t="s">
        <v>1844</v>
      </c>
      <c r="D128" s="5242"/>
      <c r="E128" s="5242"/>
      <c r="F128" s="5262"/>
      <c r="G128" s="5262"/>
      <c r="H128" s="5262"/>
      <c r="I128" s="5242">
        <v>661.6</v>
      </c>
      <c r="J128" s="5262"/>
      <c r="K128" s="5262"/>
      <c r="L128" s="5262"/>
      <c r="M128" s="5262"/>
    </row>
    <row r="129" spans="1:13" ht="15" customHeight="1" x14ac:dyDescent="0.25">
      <c r="A129" s="2883"/>
      <c r="B129" s="6450">
        <v>45474</v>
      </c>
      <c r="C129" s="5267" t="s">
        <v>1818</v>
      </c>
      <c r="D129" s="5268" t="s">
        <v>1818</v>
      </c>
      <c r="L129" s="5268" t="s">
        <v>1818</v>
      </c>
      <c r="M129" s="5268"/>
    </row>
    <row r="130" spans="1:13" ht="15" customHeight="1" x14ac:dyDescent="0.25">
      <c r="A130" s="2883"/>
      <c r="B130" s="6451"/>
      <c r="C130" s="5269"/>
      <c r="D130" s="5213" t="s">
        <v>1819</v>
      </c>
      <c r="E130" s="5213" t="s">
        <v>1820</v>
      </c>
      <c r="F130" s="5213"/>
      <c r="G130" s="5213" t="s">
        <v>1821</v>
      </c>
      <c r="H130" s="5213"/>
      <c r="I130" s="5213" t="s">
        <v>1064</v>
      </c>
      <c r="J130" s="5213"/>
      <c r="K130" s="5213" t="s">
        <v>59</v>
      </c>
      <c r="L130" s="5213" t="s">
        <v>95</v>
      </c>
      <c r="M130" s="5213" t="s">
        <v>1297</v>
      </c>
    </row>
    <row r="131" spans="1:13" ht="15" customHeight="1" x14ac:dyDescent="0.25">
      <c r="A131" s="2883"/>
      <c r="B131" s="6451"/>
      <c r="C131" s="5270" t="s">
        <v>1829</v>
      </c>
      <c r="D131" s="5271">
        <v>10.5</v>
      </c>
      <c r="E131" s="5271">
        <v>12</v>
      </c>
      <c r="F131" s="5262"/>
      <c r="G131" s="5271"/>
      <c r="H131" s="5271"/>
      <c r="I131" s="5271">
        <v>548.71</v>
      </c>
      <c r="J131" s="5271"/>
      <c r="K131" s="5272">
        <v>137.68333333333334</v>
      </c>
      <c r="L131" s="5272">
        <v>112.1</v>
      </c>
      <c r="M131" s="5272">
        <v>170</v>
      </c>
    </row>
    <row r="132" spans="1:13" ht="15" customHeight="1" x14ac:dyDescent="0.25">
      <c r="A132" s="2883"/>
      <c r="B132" s="6451"/>
      <c r="C132" s="5270" t="s">
        <v>1830</v>
      </c>
      <c r="D132" s="5271"/>
      <c r="E132" s="5271"/>
      <c r="F132" s="5262"/>
      <c r="G132" s="5271"/>
      <c r="H132" s="5271"/>
      <c r="I132" s="5271"/>
      <c r="J132" s="5271"/>
      <c r="K132" s="5272"/>
      <c r="L132" s="5272"/>
      <c r="M132" s="5272"/>
    </row>
    <row r="133" spans="1:13" ht="15" customHeight="1" x14ac:dyDescent="0.25">
      <c r="A133" s="2883"/>
      <c r="B133" s="6451"/>
      <c r="C133" s="5270" t="s">
        <v>1831</v>
      </c>
      <c r="D133" s="5271">
        <v>1.25</v>
      </c>
      <c r="E133" s="5271">
        <v>1.25</v>
      </c>
      <c r="F133" s="5262"/>
      <c r="G133" s="5271"/>
      <c r="H133" s="5271"/>
      <c r="I133" s="5271">
        <v>12</v>
      </c>
      <c r="J133" s="5271"/>
      <c r="K133" s="5272">
        <v>24.9</v>
      </c>
      <c r="L133" s="5272">
        <v>11.666666666666666</v>
      </c>
      <c r="M133" s="5272">
        <v>22.416666666666668</v>
      </c>
    </row>
    <row r="134" spans="1:13" ht="15" customHeight="1" x14ac:dyDescent="0.25">
      <c r="A134" s="2883"/>
      <c r="B134" s="6451"/>
      <c r="C134" s="5270" t="s">
        <v>466</v>
      </c>
      <c r="D134" s="5271"/>
      <c r="E134" s="5271"/>
      <c r="F134" s="5262"/>
      <c r="G134" s="5271"/>
      <c r="H134" s="5271"/>
      <c r="I134" s="5271"/>
      <c r="J134" s="5271"/>
      <c r="K134" s="5272"/>
      <c r="L134" s="5272"/>
      <c r="M134" s="5272"/>
    </row>
    <row r="135" spans="1:13" ht="15" customHeight="1" x14ac:dyDescent="0.25">
      <c r="A135" s="2883"/>
      <c r="B135" s="6451"/>
      <c r="C135" s="5270" t="s">
        <v>1832</v>
      </c>
      <c r="D135" s="5271"/>
      <c r="E135" s="5271"/>
      <c r="F135" s="5262"/>
      <c r="G135" s="5271"/>
      <c r="H135" s="5271"/>
      <c r="I135" s="5271"/>
      <c r="J135" s="5271"/>
      <c r="K135" s="5272"/>
      <c r="L135" s="5272"/>
      <c r="M135" s="5272"/>
    </row>
    <row r="136" spans="1:13" ht="15" customHeight="1" x14ac:dyDescent="0.25">
      <c r="A136" s="2883"/>
      <c r="B136" s="6451"/>
      <c r="C136" s="5270" t="s">
        <v>1833</v>
      </c>
      <c r="D136" s="5271">
        <v>3.07</v>
      </c>
      <c r="E136" s="5271">
        <v>1.67</v>
      </c>
      <c r="F136" s="5262"/>
      <c r="G136" s="5271">
        <v>18</v>
      </c>
      <c r="H136" s="5271"/>
      <c r="I136" s="5271">
        <v>37.15</v>
      </c>
      <c r="J136" s="5271"/>
      <c r="K136" s="5272">
        <v>32.783333333333331</v>
      </c>
      <c r="L136" s="5272">
        <v>42.633333333333333</v>
      </c>
      <c r="M136" s="5272">
        <v>24.333333333333332</v>
      </c>
    </row>
    <row r="137" spans="1:13" ht="15" customHeight="1" x14ac:dyDescent="0.25">
      <c r="A137" s="2883"/>
      <c r="B137" s="6451"/>
      <c r="C137" s="5270" t="s">
        <v>1834</v>
      </c>
      <c r="D137" s="5262"/>
      <c r="E137" s="5271">
        <v>0.57999999999999996</v>
      </c>
      <c r="F137" s="5262"/>
      <c r="G137" s="5271"/>
      <c r="H137" s="5271"/>
      <c r="I137" s="5271">
        <v>0.65</v>
      </c>
      <c r="J137" s="5271"/>
      <c r="K137" s="5272">
        <v>15.383333333333333</v>
      </c>
      <c r="L137" s="5272">
        <v>4.75</v>
      </c>
      <c r="M137" s="5272">
        <v>14.166666666666666</v>
      </c>
    </row>
    <row r="138" spans="1:13" ht="15" customHeight="1" x14ac:dyDescent="0.25">
      <c r="A138" s="2883"/>
      <c r="B138" s="6451"/>
      <c r="C138" s="5270" t="s">
        <v>1835</v>
      </c>
      <c r="D138" s="5271">
        <v>0.67</v>
      </c>
      <c r="E138" s="5271">
        <v>0.3</v>
      </c>
      <c r="F138" s="5262"/>
      <c r="G138" s="5271"/>
      <c r="H138" s="5271"/>
      <c r="I138" s="5271"/>
      <c r="J138" s="5271"/>
      <c r="K138" s="5272"/>
      <c r="L138" s="5272"/>
      <c r="M138" s="5272"/>
    </row>
    <row r="139" spans="1:13" ht="15" customHeight="1" x14ac:dyDescent="0.25">
      <c r="A139" s="2883"/>
      <c r="B139" s="6451"/>
      <c r="C139" s="5270" t="s">
        <v>1836</v>
      </c>
      <c r="D139" s="5271">
        <v>22.25</v>
      </c>
      <c r="E139" s="5271">
        <v>7.33</v>
      </c>
      <c r="F139" s="5262"/>
      <c r="G139" s="5271"/>
      <c r="H139" s="5271"/>
      <c r="I139" s="5271"/>
      <c r="J139" s="5271"/>
      <c r="K139" s="5272"/>
      <c r="L139" s="5272"/>
      <c r="M139" s="5272"/>
    </row>
    <row r="140" spans="1:13" ht="15" customHeight="1" x14ac:dyDescent="0.25">
      <c r="A140" s="2883"/>
      <c r="B140" s="6451"/>
      <c r="C140" s="5273" t="s">
        <v>1837</v>
      </c>
      <c r="D140" s="5262"/>
      <c r="E140" s="5262"/>
      <c r="F140" s="5265"/>
      <c r="G140" s="5271"/>
      <c r="H140" s="5271"/>
      <c r="I140" s="5271"/>
      <c r="J140" s="5271"/>
      <c r="K140" s="5272"/>
      <c r="L140" s="5272"/>
      <c r="M140" s="5272"/>
    </row>
    <row r="141" spans="1:13" ht="15" customHeight="1" x14ac:dyDescent="0.25">
      <c r="A141" s="2883"/>
      <c r="B141" s="6451"/>
      <c r="C141" s="5270" t="s">
        <v>1838</v>
      </c>
      <c r="D141" s="5262"/>
      <c r="E141" s="5262"/>
      <c r="F141" s="5262"/>
      <c r="G141" s="5271"/>
      <c r="H141" s="5271"/>
      <c r="I141" s="5271"/>
      <c r="J141" s="5271"/>
      <c r="K141" s="5272">
        <v>10.283333333333333</v>
      </c>
      <c r="L141" s="5272">
        <v>18.616666666666667</v>
      </c>
      <c r="M141" s="5272">
        <v>20</v>
      </c>
    </row>
    <row r="142" spans="1:13" ht="15" customHeight="1" x14ac:dyDescent="0.25">
      <c r="A142" s="2883"/>
      <c r="B142" s="6451"/>
      <c r="C142" s="5270" t="s">
        <v>1839</v>
      </c>
      <c r="D142" s="5262"/>
      <c r="E142" s="5262"/>
      <c r="F142" s="5262"/>
      <c r="G142" s="5271"/>
      <c r="H142" s="5271"/>
      <c r="I142" s="5271"/>
      <c r="J142" s="5271"/>
      <c r="K142" s="5272">
        <v>1.1666666666666667</v>
      </c>
      <c r="L142" s="5272">
        <v>1.4</v>
      </c>
      <c r="M142" s="5272">
        <v>0.5</v>
      </c>
    </row>
    <row r="143" spans="1:13" ht="15" customHeight="1" x14ac:dyDescent="0.25">
      <c r="A143" s="2883"/>
      <c r="B143" s="6451"/>
      <c r="C143" s="5270" t="s">
        <v>1840</v>
      </c>
      <c r="D143" s="5271">
        <v>0.42</v>
      </c>
      <c r="E143" s="5262"/>
      <c r="F143" s="5262"/>
      <c r="G143" s="5271"/>
      <c r="H143" s="5271"/>
      <c r="I143" s="5271"/>
      <c r="J143" s="5271"/>
      <c r="K143" s="5271"/>
      <c r="L143" s="5271"/>
      <c r="M143" s="5271"/>
    </row>
    <row r="144" spans="1:13" ht="15" customHeight="1" x14ac:dyDescent="0.25">
      <c r="A144" s="2883"/>
      <c r="B144" s="6451"/>
      <c r="C144" s="5246" t="s">
        <v>1841</v>
      </c>
      <c r="D144" s="5241"/>
      <c r="E144" s="5262"/>
      <c r="F144" s="5262"/>
      <c r="G144" s="5271"/>
      <c r="H144" s="5271"/>
      <c r="I144" s="5271"/>
      <c r="J144" s="5271"/>
      <c r="K144" s="5271"/>
      <c r="L144" s="5271"/>
      <c r="M144" s="5271"/>
    </row>
    <row r="145" spans="1:13" ht="15" customHeight="1" x14ac:dyDescent="0.25">
      <c r="A145" s="2883"/>
      <c r="B145" s="6451"/>
      <c r="C145" s="5270" t="s">
        <v>1842</v>
      </c>
      <c r="D145" s="5262"/>
      <c r="E145" s="5262"/>
      <c r="F145" s="5262"/>
      <c r="G145" s="5271"/>
      <c r="H145" s="5271"/>
      <c r="I145" s="5271"/>
      <c r="J145" s="5271"/>
      <c r="K145" s="5271"/>
      <c r="L145" s="5271"/>
      <c r="M145" s="5271"/>
    </row>
    <row r="146" spans="1:13" ht="15" customHeight="1" x14ac:dyDescent="0.25">
      <c r="A146" s="2883"/>
      <c r="B146" s="6451"/>
      <c r="C146" s="2889" t="s">
        <v>82</v>
      </c>
      <c r="D146" s="5262"/>
      <c r="E146" s="5262"/>
      <c r="F146" s="5262"/>
      <c r="G146" s="5271"/>
      <c r="H146" s="5271"/>
      <c r="I146" s="5271"/>
      <c r="J146" s="5271"/>
      <c r="K146" s="5271"/>
      <c r="L146" s="5271"/>
      <c r="M146" s="5271"/>
    </row>
    <row r="147" spans="1:13" ht="15" customHeight="1" x14ac:dyDescent="0.25">
      <c r="A147" s="2883"/>
      <c r="B147" s="6451"/>
      <c r="C147" s="5270" t="s">
        <v>1843</v>
      </c>
      <c r="D147" s="5262"/>
      <c r="E147" s="5262"/>
      <c r="F147" s="5262"/>
      <c r="G147" s="5271"/>
      <c r="H147" s="5271"/>
      <c r="I147" s="5271">
        <v>4.6500000000000004</v>
      </c>
      <c r="J147" s="5271"/>
      <c r="K147" s="5271"/>
      <c r="L147" s="5271"/>
      <c r="M147" s="5271"/>
    </row>
    <row r="148" spans="1:13" ht="15" customHeight="1" x14ac:dyDescent="0.25">
      <c r="A148" s="2883"/>
      <c r="B148" s="6451"/>
      <c r="C148" s="5270" t="s">
        <v>100</v>
      </c>
      <c r="D148" s="5262"/>
      <c r="E148" s="5262"/>
      <c r="F148" s="5262"/>
      <c r="G148" s="5271"/>
      <c r="H148" s="5271"/>
      <c r="I148" s="5271"/>
      <c r="J148" s="5271"/>
      <c r="K148" s="5271"/>
      <c r="L148" s="5271"/>
      <c r="M148" s="5271"/>
    </row>
    <row r="149" spans="1:13" ht="15" customHeight="1" x14ac:dyDescent="0.25">
      <c r="A149" s="2883"/>
      <c r="B149" s="6451"/>
      <c r="C149" s="5270" t="s">
        <v>58</v>
      </c>
      <c r="D149" s="5262"/>
      <c r="E149" s="5262"/>
      <c r="F149" s="5262"/>
      <c r="G149" s="5271"/>
      <c r="H149" s="5271"/>
      <c r="I149" s="5271">
        <v>5.04</v>
      </c>
      <c r="J149" s="5271"/>
      <c r="K149" s="5271"/>
      <c r="L149" s="5271"/>
      <c r="M149" s="5271"/>
    </row>
    <row r="150" spans="1:13" ht="15" customHeight="1" x14ac:dyDescent="0.25">
      <c r="A150" s="2883"/>
      <c r="B150" s="6451"/>
      <c r="C150" s="5270" t="s">
        <v>1844</v>
      </c>
      <c r="D150" s="5262"/>
      <c r="E150" s="5262"/>
      <c r="F150" s="5262"/>
      <c r="G150" s="5271"/>
      <c r="H150" s="5271"/>
      <c r="I150" s="5271">
        <v>17.670000000000002</v>
      </c>
      <c r="J150" s="5271"/>
      <c r="K150" s="5271"/>
      <c r="L150" s="5271"/>
      <c r="M150" s="5271"/>
    </row>
    <row r="151" spans="1:13" ht="15" customHeight="1" x14ac:dyDescent="0.25">
      <c r="B151" s="6445">
        <v>45505</v>
      </c>
      <c r="C151" s="5212" t="s">
        <v>1818</v>
      </c>
      <c r="D151" s="5268" t="s">
        <v>1818</v>
      </c>
      <c r="E151" s="5245"/>
      <c r="F151" s="5245"/>
      <c r="G151" s="5245"/>
      <c r="H151" s="5245"/>
      <c r="I151" s="5245"/>
      <c r="J151" s="5245"/>
      <c r="K151" s="5245"/>
      <c r="L151" s="5268" t="s">
        <v>1818</v>
      </c>
      <c r="M151" s="5268"/>
    </row>
    <row r="152" spans="1:13" ht="15" customHeight="1" x14ac:dyDescent="0.25">
      <c r="B152" s="6445"/>
      <c r="C152" s="5274"/>
      <c r="D152" s="5213" t="s">
        <v>1819</v>
      </c>
      <c r="E152" s="5213" t="s">
        <v>1820</v>
      </c>
      <c r="F152" s="5213"/>
      <c r="G152" s="5213" t="s">
        <v>1821</v>
      </c>
      <c r="H152" s="5213"/>
      <c r="I152" s="5213" t="s">
        <v>1064</v>
      </c>
      <c r="J152" s="5213"/>
      <c r="K152" s="5213" t="s">
        <v>59</v>
      </c>
      <c r="L152" s="5213" t="s">
        <v>95</v>
      </c>
      <c r="M152" s="5213" t="s">
        <v>1297</v>
      </c>
    </row>
    <row r="153" spans="1:13" ht="15" customHeight="1" x14ac:dyDescent="0.25">
      <c r="B153" s="6445"/>
      <c r="C153" s="5264" t="s">
        <v>1829</v>
      </c>
      <c r="D153" s="5272">
        <v>32.25</v>
      </c>
      <c r="E153" s="5272">
        <v>35.67</v>
      </c>
      <c r="F153" s="5262"/>
      <c r="G153" s="5272">
        <v>24</v>
      </c>
      <c r="H153" s="5262"/>
      <c r="I153" s="5272">
        <v>592.04999999999995</v>
      </c>
      <c r="J153" s="5262"/>
      <c r="K153" s="5272">
        <v>108.8</v>
      </c>
      <c r="L153" s="5272">
        <v>116.08333333333333</v>
      </c>
      <c r="M153" s="5272">
        <v>171.16666666666666</v>
      </c>
    </row>
    <row r="154" spans="1:13" ht="15" customHeight="1" x14ac:dyDescent="0.25">
      <c r="B154" s="6445"/>
      <c r="C154" s="5264" t="s">
        <v>1830</v>
      </c>
      <c r="D154" s="5272"/>
      <c r="E154" s="5272"/>
      <c r="F154" s="5262"/>
      <c r="G154" s="5272"/>
      <c r="H154" s="5262"/>
      <c r="I154" s="5272"/>
      <c r="J154" s="5262"/>
      <c r="K154" s="5272"/>
      <c r="L154" s="5272"/>
      <c r="M154" s="5272"/>
    </row>
    <row r="155" spans="1:13" ht="15" customHeight="1" x14ac:dyDescent="0.25">
      <c r="B155" s="6445"/>
      <c r="C155" s="5264" t="s">
        <v>1831</v>
      </c>
      <c r="D155" s="5272"/>
      <c r="E155" s="5272"/>
      <c r="F155" s="5262"/>
      <c r="G155" s="5272">
        <v>10</v>
      </c>
      <c r="H155" s="5262"/>
      <c r="I155" s="5272">
        <v>3</v>
      </c>
      <c r="J155" s="5262"/>
      <c r="K155" s="5272">
        <v>6.6333333333333329</v>
      </c>
      <c r="L155" s="5272">
        <v>10.25</v>
      </c>
      <c r="M155" s="5272">
        <v>9</v>
      </c>
    </row>
    <row r="156" spans="1:13" ht="15" customHeight="1" x14ac:dyDescent="0.25">
      <c r="B156" s="6445"/>
      <c r="C156" s="5264" t="s">
        <v>466</v>
      </c>
      <c r="D156" s="5272"/>
      <c r="E156" s="5272"/>
      <c r="F156" s="5262"/>
      <c r="G156" s="5272"/>
      <c r="H156" s="5262"/>
      <c r="I156" s="5272"/>
      <c r="J156" s="5262"/>
      <c r="K156" s="5272"/>
      <c r="L156" s="5272"/>
      <c r="M156" s="5272"/>
    </row>
    <row r="157" spans="1:13" ht="15" customHeight="1" x14ac:dyDescent="0.25">
      <c r="B157" s="6445"/>
      <c r="C157" s="5264" t="s">
        <v>1832</v>
      </c>
      <c r="D157" s="5272"/>
      <c r="E157" s="5272"/>
      <c r="F157" s="5262"/>
      <c r="G157" s="5272"/>
      <c r="H157" s="5262"/>
      <c r="I157" s="5272"/>
      <c r="J157" s="5262"/>
      <c r="K157" s="5272"/>
      <c r="L157" s="5272"/>
      <c r="M157" s="5272"/>
    </row>
    <row r="158" spans="1:13" ht="15" customHeight="1" x14ac:dyDescent="0.25">
      <c r="B158" s="6445"/>
      <c r="C158" s="5264" t="s">
        <v>1833</v>
      </c>
      <c r="D158" s="5275">
        <v>21.08</v>
      </c>
      <c r="E158" s="5275">
        <v>4.1500000000000004</v>
      </c>
      <c r="F158" s="5262"/>
      <c r="G158" s="5272"/>
      <c r="H158" s="5262"/>
      <c r="I158" s="5272">
        <v>4.5</v>
      </c>
      <c r="J158" s="5262"/>
      <c r="K158" s="5272">
        <v>13.85</v>
      </c>
      <c r="L158" s="5272">
        <v>32.716666666666669</v>
      </c>
      <c r="M158" s="5272">
        <v>84.5</v>
      </c>
    </row>
    <row r="159" spans="1:13" ht="15" customHeight="1" x14ac:dyDescent="0.25">
      <c r="B159" s="6445"/>
      <c r="C159" s="5264" t="s">
        <v>1834</v>
      </c>
      <c r="D159" s="5275">
        <v>0.33</v>
      </c>
      <c r="E159" s="5275">
        <v>1</v>
      </c>
      <c r="F159" s="5262"/>
      <c r="G159" s="5272"/>
      <c r="H159" s="5262"/>
      <c r="I159" s="5272">
        <v>3.66</v>
      </c>
      <c r="J159" s="5262"/>
      <c r="K159" s="5272">
        <v>8.6</v>
      </c>
      <c r="L159" s="5272">
        <v>10.199999999999999</v>
      </c>
      <c r="M159" s="5272">
        <v>41.166666666666664</v>
      </c>
    </row>
    <row r="160" spans="1:13" ht="15" customHeight="1" x14ac:dyDescent="0.25">
      <c r="B160" s="6445"/>
      <c r="C160" s="5264" t="s">
        <v>1835</v>
      </c>
      <c r="D160" s="5275"/>
      <c r="E160" s="5275"/>
      <c r="F160" s="5262"/>
      <c r="G160" s="5262"/>
      <c r="H160" s="5262"/>
      <c r="I160" s="5272"/>
      <c r="J160" s="5262"/>
      <c r="K160" s="5272"/>
      <c r="L160" s="5272"/>
      <c r="M160" s="5272"/>
    </row>
    <row r="161" spans="2:13" ht="15" customHeight="1" x14ac:dyDescent="0.25">
      <c r="B161" s="6445"/>
      <c r="C161" s="5264" t="s">
        <v>1836</v>
      </c>
      <c r="D161" s="5275">
        <v>11.5</v>
      </c>
      <c r="E161" s="5275">
        <v>11</v>
      </c>
      <c r="F161" s="5262"/>
      <c r="G161" s="5262"/>
      <c r="H161" s="5262"/>
      <c r="I161" s="5272"/>
      <c r="J161" s="5262"/>
      <c r="K161" s="5272"/>
      <c r="L161" s="5272"/>
      <c r="M161" s="5272"/>
    </row>
    <row r="162" spans="2:13" ht="15" customHeight="1" x14ac:dyDescent="0.25">
      <c r="B162" s="6445"/>
      <c r="C162" s="5246" t="s">
        <v>1837</v>
      </c>
      <c r="D162" s="5275"/>
      <c r="E162" s="5275"/>
      <c r="F162" s="5265"/>
      <c r="G162" s="5262"/>
      <c r="H162" s="5276"/>
      <c r="I162" s="5272"/>
      <c r="J162" s="5265"/>
      <c r="K162" s="5272"/>
      <c r="L162" s="5272"/>
      <c r="M162" s="5272"/>
    </row>
    <row r="163" spans="2:13" ht="15" customHeight="1" x14ac:dyDescent="0.25">
      <c r="B163" s="6445"/>
      <c r="C163" s="5264" t="s">
        <v>1838</v>
      </c>
      <c r="D163" s="5275"/>
      <c r="E163" s="5275"/>
      <c r="F163" s="5262"/>
      <c r="G163" s="5262"/>
      <c r="H163" s="5262"/>
      <c r="I163" s="5272">
        <v>0.5</v>
      </c>
      <c r="J163" s="5262"/>
      <c r="K163" s="5272">
        <v>24.383333333333333</v>
      </c>
      <c r="L163" s="5272">
        <v>8.9499999999999993</v>
      </c>
      <c r="M163" s="5272">
        <v>13.416666666666666</v>
      </c>
    </row>
    <row r="164" spans="2:13" ht="15" customHeight="1" x14ac:dyDescent="0.25">
      <c r="B164" s="6445"/>
      <c r="C164" s="5264" t="s">
        <v>1839</v>
      </c>
      <c r="D164" s="5275">
        <v>2</v>
      </c>
      <c r="E164" s="5275">
        <v>2</v>
      </c>
      <c r="F164" s="5262"/>
      <c r="G164" s="5262"/>
      <c r="H164" s="5262"/>
      <c r="I164" s="5272"/>
      <c r="J164" s="5262"/>
      <c r="K164" s="5272">
        <v>2.8333333333333335</v>
      </c>
      <c r="L164" s="5272">
        <v>6.0333333333333332</v>
      </c>
      <c r="M164" s="5272">
        <v>2.1666666666666665</v>
      </c>
    </row>
    <row r="165" spans="2:13" ht="15" customHeight="1" x14ac:dyDescent="0.25">
      <c r="B165" s="6445"/>
      <c r="C165" s="5264" t="s">
        <v>1840</v>
      </c>
      <c r="D165" s="5275">
        <v>0.75</v>
      </c>
      <c r="E165" s="5275"/>
      <c r="F165" s="5262"/>
      <c r="G165" s="5262"/>
      <c r="H165" s="5262"/>
      <c r="I165" s="5272"/>
      <c r="J165" s="5262"/>
      <c r="K165" s="5272"/>
      <c r="L165" s="5272"/>
      <c r="M165" s="5272"/>
    </row>
    <row r="166" spans="2:13" ht="15" customHeight="1" x14ac:dyDescent="0.25">
      <c r="B166" s="6445"/>
      <c r="C166" s="5246" t="s">
        <v>1841</v>
      </c>
      <c r="D166" s="5275"/>
      <c r="E166" s="5275"/>
      <c r="F166" s="5262"/>
      <c r="G166" s="5262"/>
      <c r="H166" s="5262"/>
      <c r="I166" s="5272"/>
      <c r="J166" s="5262"/>
      <c r="K166" s="5272"/>
      <c r="L166" s="5272"/>
      <c r="M166" s="5272"/>
    </row>
    <row r="167" spans="2:13" ht="15" customHeight="1" x14ac:dyDescent="0.25">
      <c r="B167" s="6445"/>
      <c r="C167" s="5264" t="s">
        <v>1842</v>
      </c>
      <c r="D167" s="5275">
        <v>13.75</v>
      </c>
      <c r="E167" s="5275">
        <v>8</v>
      </c>
      <c r="F167" s="5262"/>
      <c r="G167" s="5262"/>
      <c r="H167" s="5262"/>
      <c r="I167" s="5272"/>
      <c r="J167" s="5262"/>
      <c r="K167" s="5272"/>
      <c r="L167" s="5272"/>
      <c r="M167" s="5272"/>
    </row>
    <row r="168" spans="2:13" ht="15" customHeight="1" x14ac:dyDescent="0.25">
      <c r="B168" s="6445"/>
      <c r="C168" s="5264" t="s">
        <v>82</v>
      </c>
      <c r="D168" s="5272"/>
      <c r="E168" s="5272"/>
      <c r="F168" s="5262"/>
      <c r="G168" s="5262"/>
      <c r="H168" s="5262"/>
      <c r="I168" s="5272"/>
      <c r="J168" s="5262"/>
      <c r="K168" s="5262"/>
      <c r="L168" s="5262"/>
      <c r="M168" s="5262"/>
    </row>
    <row r="169" spans="2:13" ht="15" customHeight="1" x14ac:dyDescent="0.25">
      <c r="B169" s="6445"/>
      <c r="C169" s="5264" t="s">
        <v>1843</v>
      </c>
      <c r="D169" s="5272"/>
      <c r="E169" s="5272"/>
      <c r="F169" s="5262"/>
      <c r="G169" s="5262"/>
      <c r="H169" s="5262"/>
      <c r="I169" s="5272">
        <v>9.5</v>
      </c>
      <c r="J169" s="5262"/>
      <c r="K169" s="5262"/>
      <c r="L169" s="5262"/>
      <c r="M169" s="5262"/>
    </row>
    <row r="170" spans="2:13" ht="15" customHeight="1" x14ac:dyDescent="0.25">
      <c r="B170" s="6445"/>
      <c r="C170" s="5264" t="s">
        <v>100</v>
      </c>
      <c r="D170" s="5272"/>
      <c r="E170" s="5272"/>
      <c r="F170" s="5262"/>
      <c r="G170" s="5262"/>
      <c r="H170" s="5262"/>
      <c r="I170" s="5272">
        <v>0.63</v>
      </c>
      <c r="J170" s="5262"/>
      <c r="K170" s="5262"/>
      <c r="L170" s="5262"/>
      <c r="M170" s="5262"/>
    </row>
    <row r="171" spans="2:13" ht="15" customHeight="1" x14ac:dyDescent="0.25">
      <c r="B171" s="6445"/>
      <c r="C171" s="5264" t="s">
        <v>58</v>
      </c>
      <c r="D171" s="5272"/>
      <c r="E171" s="5272"/>
      <c r="F171" s="5262"/>
      <c r="G171" s="5262"/>
      <c r="H171" s="5262"/>
      <c r="I171" s="5272">
        <v>9.24</v>
      </c>
      <c r="J171" s="5262"/>
      <c r="K171" s="5262"/>
      <c r="L171" s="5262"/>
      <c r="M171" s="5262"/>
    </row>
    <row r="172" spans="2:13" ht="15" customHeight="1" x14ac:dyDescent="0.25">
      <c r="B172" s="6445"/>
      <c r="C172" s="5264" t="s">
        <v>1844</v>
      </c>
      <c r="D172" s="5272"/>
      <c r="E172" s="5272"/>
      <c r="F172" s="5262"/>
      <c r="G172" s="5262"/>
      <c r="H172" s="5262"/>
      <c r="I172" s="5272">
        <v>74.47</v>
      </c>
      <c r="J172" s="5262"/>
      <c r="K172" s="5262"/>
      <c r="L172" s="5262"/>
      <c r="M172" s="5262"/>
    </row>
    <row r="173" spans="2:13" ht="15" customHeight="1" x14ac:dyDescent="0.25">
      <c r="B173" s="6445">
        <v>45536</v>
      </c>
      <c r="C173" s="5212" t="s">
        <v>1818</v>
      </c>
      <c r="D173" s="5268" t="s">
        <v>1818</v>
      </c>
      <c r="E173" s="5245"/>
      <c r="F173" s="5245"/>
      <c r="G173" s="5245"/>
      <c r="H173" s="5245"/>
      <c r="I173" s="5245"/>
      <c r="J173" s="5245"/>
      <c r="K173" s="5245"/>
      <c r="L173" s="5268" t="s">
        <v>1818</v>
      </c>
      <c r="M173" s="5268"/>
    </row>
    <row r="174" spans="2:13" ht="15" customHeight="1" x14ac:dyDescent="0.25">
      <c r="B174" s="6445"/>
      <c r="C174" s="5274"/>
      <c r="D174" s="5213" t="s">
        <v>1819</v>
      </c>
      <c r="E174" s="5213" t="s">
        <v>1820</v>
      </c>
      <c r="F174" s="5213"/>
      <c r="G174" s="5213" t="s">
        <v>1821</v>
      </c>
      <c r="H174" s="5213"/>
      <c r="I174" s="5213" t="s">
        <v>1064</v>
      </c>
      <c r="J174" s="5213"/>
      <c r="K174" s="5213" t="s">
        <v>59</v>
      </c>
      <c r="L174" s="5213" t="s">
        <v>95</v>
      </c>
      <c r="M174" s="5213" t="s">
        <v>1297</v>
      </c>
    </row>
    <row r="175" spans="2:13" ht="15" customHeight="1" x14ac:dyDescent="0.25">
      <c r="B175" s="6445"/>
      <c r="C175" s="5264" t="s">
        <v>1829</v>
      </c>
      <c r="D175" s="5275">
        <v>18</v>
      </c>
      <c r="E175" s="5275">
        <v>16</v>
      </c>
      <c r="F175" s="5275"/>
      <c r="G175" s="5275"/>
      <c r="H175" s="5275"/>
      <c r="I175" s="5275">
        <v>547.54999999999995</v>
      </c>
      <c r="J175" s="5275"/>
      <c r="K175" s="5275">
        <v>121.93333333333334</v>
      </c>
      <c r="L175" s="5275">
        <v>90.85</v>
      </c>
      <c r="M175" s="5275">
        <v>147.08333333333334</v>
      </c>
    </row>
    <row r="176" spans="2:13" ht="15" customHeight="1" x14ac:dyDescent="0.25">
      <c r="B176" s="6445"/>
      <c r="C176" s="5264" t="s">
        <v>1830</v>
      </c>
      <c r="D176" s="5275"/>
      <c r="E176" s="5275"/>
      <c r="F176" s="5275"/>
      <c r="G176" s="5275"/>
      <c r="H176" s="5275"/>
      <c r="I176" s="5275"/>
      <c r="J176" s="5275"/>
      <c r="K176" s="5275"/>
      <c r="L176" s="5275"/>
      <c r="M176" s="5275"/>
    </row>
    <row r="177" spans="2:13" ht="15" customHeight="1" x14ac:dyDescent="0.25">
      <c r="B177" s="6445"/>
      <c r="C177" s="5264" t="s">
        <v>1831</v>
      </c>
      <c r="D177" s="5275"/>
      <c r="E177" s="5275">
        <v>1.92</v>
      </c>
      <c r="F177" s="5275"/>
      <c r="G177" s="5275"/>
      <c r="H177" s="5275"/>
      <c r="I177" s="5275"/>
      <c r="J177" s="5275"/>
      <c r="K177" s="5275">
        <v>22.25</v>
      </c>
      <c r="L177" s="5275">
        <v>14.633333333333333</v>
      </c>
      <c r="M177" s="5275">
        <v>10.166666666666666</v>
      </c>
    </row>
    <row r="178" spans="2:13" ht="15" customHeight="1" x14ac:dyDescent="0.25">
      <c r="B178" s="6445"/>
      <c r="C178" s="5264" t="s">
        <v>466</v>
      </c>
      <c r="D178" s="5275"/>
      <c r="E178" s="5275"/>
      <c r="F178" s="5275"/>
      <c r="G178" s="5275"/>
      <c r="H178" s="5275"/>
      <c r="I178" s="5275"/>
      <c r="J178" s="5275"/>
      <c r="K178" s="5275"/>
      <c r="L178" s="5275"/>
      <c r="M178" s="5275"/>
    </row>
    <row r="179" spans="2:13" ht="15" customHeight="1" x14ac:dyDescent="0.25">
      <c r="B179" s="6445"/>
      <c r="C179" s="5264" t="s">
        <v>1832</v>
      </c>
      <c r="D179" s="5275"/>
      <c r="E179" s="5275"/>
      <c r="F179" s="5275"/>
      <c r="G179" s="5275"/>
      <c r="H179" s="5275"/>
      <c r="I179" s="5275"/>
      <c r="J179" s="5275"/>
      <c r="K179" s="5275"/>
      <c r="L179" s="5275"/>
      <c r="M179" s="5275"/>
    </row>
    <row r="180" spans="2:13" ht="15" customHeight="1" x14ac:dyDescent="0.25">
      <c r="B180" s="6445"/>
      <c r="C180" s="5264" t="s">
        <v>1833</v>
      </c>
      <c r="D180" s="5275">
        <v>2</v>
      </c>
      <c r="E180" s="5275">
        <v>2.42</v>
      </c>
      <c r="F180" s="5275"/>
      <c r="G180" s="5275"/>
      <c r="H180" s="5275"/>
      <c r="I180" s="5275">
        <v>14.43</v>
      </c>
      <c r="J180" s="5275"/>
      <c r="K180" s="5275">
        <v>19.616666666666667</v>
      </c>
      <c r="L180" s="5275">
        <v>38.549999999999997</v>
      </c>
      <c r="M180" s="5275">
        <v>22.083333333333332</v>
      </c>
    </row>
    <row r="181" spans="2:13" ht="15" customHeight="1" x14ac:dyDescent="0.25">
      <c r="B181" s="6445"/>
      <c r="C181" s="5264" t="s">
        <v>1834</v>
      </c>
      <c r="D181" s="5275">
        <v>1.75</v>
      </c>
      <c r="E181" s="5275">
        <v>4</v>
      </c>
      <c r="F181" s="5275"/>
      <c r="G181" s="5275"/>
      <c r="H181" s="5275"/>
      <c r="I181" s="5275">
        <v>1.6</v>
      </c>
      <c r="J181" s="5275"/>
      <c r="K181" s="5275">
        <v>8.1833333333333336</v>
      </c>
      <c r="L181" s="5275">
        <v>6.35</v>
      </c>
      <c r="M181" s="5275">
        <v>10.75</v>
      </c>
    </row>
    <row r="182" spans="2:13" ht="15" customHeight="1" x14ac:dyDescent="0.25">
      <c r="B182" s="6445"/>
      <c r="C182" s="5264" t="s">
        <v>1835</v>
      </c>
      <c r="D182" s="5275"/>
      <c r="E182" s="5275">
        <v>1.25</v>
      </c>
      <c r="F182" s="5275"/>
      <c r="G182" s="5275"/>
      <c r="H182" s="5275"/>
      <c r="I182" s="5275"/>
      <c r="J182" s="5275"/>
      <c r="K182" s="5275"/>
      <c r="L182" s="5275"/>
      <c r="M182" s="5275"/>
    </row>
    <row r="183" spans="2:13" ht="15" customHeight="1" x14ac:dyDescent="0.25">
      <c r="B183" s="6445"/>
      <c r="C183" s="5264" t="s">
        <v>1836</v>
      </c>
      <c r="D183" s="5275">
        <v>18.329999999999998</v>
      </c>
      <c r="E183" s="5275">
        <v>22.83</v>
      </c>
      <c r="F183" s="5275"/>
      <c r="G183" s="5275"/>
      <c r="H183" s="5275"/>
      <c r="I183" s="5275"/>
      <c r="J183" s="5275"/>
      <c r="K183" s="5275"/>
      <c r="L183" s="5275"/>
      <c r="M183" s="5275"/>
    </row>
    <row r="184" spans="2:13" ht="15" customHeight="1" x14ac:dyDescent="0.25">
      <c r="B184" s="6445"/>
      <c r="C184" s="5246" t="s">
        <v>1837</v>
      </c>
      <c r="D184" s="5275"/>
      <c r="E184" s="5275"/>
      <c r="F184" s="5275"/>
      <c r="G184" s="5275"/>
      <c r="H184" s="5275"/>
      <c r="I184" s="5275"/>
      <c r="J184" s="5275"/>
      <c r="K184" s="5275"/>
      <c r="L184" s="5275"/>
      <c r="M184" s="5275"/>
    </row>
    <row r="185" spans="2:13" ht="15" customHeight="1" x14ac:dyDescent="0.25">
      <c r="B185" s="6445"/>
      <c r="C185" s="5264" t="s">
        <v>1838</v>
      </c>
      <c r="D185" s="5275"/>
      <c r="E185" s="5275"/>
      <c r="F185" s="5275"/>
      <c r="G185" s="5275"/>
      <c r="H185" s="5275"/>
      <c r="I185" s="5275"/>
      <c r="J185" s="5275"/>
      <c r="K185" s="5275">
        <v>11.083333333333334</v>
      </c>
      <c r="L185" s="5275">
        <v>9.75</v>
      </c>
      <c r="M185" s="5275">
        <v>14.083333333333334</v>
      </c>
    </row>
    <row r="186" spans="2:13" ht="15" customHeight="1" x14ac:dyDescent="0.25">
      <c r="B186" s="6445"/>
      <c r="C186" s="5264" t="s">
        <v>1839</v>
      </c>
      <c r="D186" s="5275"/>
      <c r="E186" s="5275"/>
      <c r="F186" s="5275"/>
      <c r="G186" s="5275"/>
      <c r="H186" s="5275"/>
      <c r="I186" s="5275"/>
      <c r="J186" s="5275"/>
      <c r="K186" s="5275">
        <v>0.25</v>
      </c>
      <c r="L186" s="5275">
        <v>3.8</v>
      </c>
      <c r="M186" s="5275">
        <v>4.416666666666667</v>
      </c>
    </row>
    <row r="187" spans="2:13" ht="15" customHeight="1" x14ac:dyDescent="0.25">
      <c r="B187" s="6445"/>
      <c r="C187" s="5264" t="s">
        <v>1840</v>
      </c>
      <c r="D187" s="5275">
        <v>0.67</v>
      </c>
      <c r="E187" s="5275"/>
      <c r="F187" s="5275"/>
      <c r="G187" s="5275"/>
      <c r="H187" s="5275"/>
      <c r="I187" s="5275"/>
      <c r="J187" s="5275"/>
      <c r="K187" s="5275"/>
      <c r="L187" s="5275"/>
      <c r="M187" s="5275"/>
    </row>
    <row r="188" spans="2:13" ht="15" customHeight="1" x14ac:dyDescent="0.25">
      <c r="B188" s="6445"/>
      <c r="C188" s="5246" t="s">
        <v>1841</v>
      </c>
      <c r="D188" s="5275"/>
      <c r="E188" s="5275"/>
      <c r="F188" s="5275"/>
      <c r="G188" s="5275"/>
      <c r="H188" s="5275"/>
      <c r="I188" s="5275"/>
      <c r="J188" s="5275"/>
      <c r="K188" s="5275"/>
      <c r="L188" s="5275"/>
      <c r="M188" s="5275"/>
    </row>
    <row r="189" spans="2:13" ht="15" customHeight="1" x14ac:dyDescent="0.25">
      <c r="B189" s="6445"/>
      <c r="C189" s="5264" t="s">
        <v>1842</v>
      </c>
      <c r="D189" s="5275">
        <v>10.41</v>
      </c>
      <c r="E189" s="5275">
        <v>11.5</v>
      </c>
      <c r="F189" s="5275"/>
      <c r="G189" s="5275"/>
      <c r="H189" s="5275"/>
      <c r="I189" s="5275"/>
      <c r="J189" s="5275"/>
      <c r="K189" s="5275"/>
      <c r="L189" s="5275"/>
      <c r="M189" s="5275"/>
    </row>
    <row r="190" spans="2:13" ht="15" customHeight="1" x14ac:dyDescent="0.25">
      <c r="B190" s="6445"/>
      <c r="C190" s="5264" t="s">
        <v>82</v>
      </c>
      <c r="D190" s="5275">
        <v>0.5</v>
      </c>
      <c r="E190" s="5275">
        <v>0.5</v>
      </c>
      <c r="F190" s="5275"/>
      <c r="G190" s="5275"/>
      <c r="H190" s="5275"/>
      <c r="I190" s="5275"/>
      <c r="J190" s="5275"/>
      <c r="K190" s="5275"/>
      <c r="L190" s="5275"/>
      <c r="M190" s="5275"/>
    </row>
    <row r="191" spans="2:13" ht="15" customHeight="1" x14ac:dyDescent="0.25">
      <c r="B191" s="6445"/>
      <c r="C191" s="5264" t="s">
        <v>1843</v>
      </c>
      <c r="D191" s="5275"/>
      <c r="E191" s="5275"/>
      <c r="F191" s="5275"/>
      <c r="G191" s="5275"/>
      <c r="H191" s="5275"/>
      <c r="I191" s="5275">
        <v>2.8</v>
      </c>
      <c r="J191" s="5275"/>
      <c r="K191" s="5275"/>
      <c r="L191" s="5275"/>
      <c r="M191" s="5275"/>
    </row>
    <row r="192" spans="2:13" ht="15" customHeight="1" x14ac:dyDescent="0.25">
      <c r="B192" s="6445"/>
      <c r="C192" s="5264" t="s">
        <v>100</v>
      </c>
      <c r="D192" s="5275"/>
      <c r="E192" s="5275"/>
      <c r="F192" s="5275"/>
      <c r="G192" s="5275">
        <v>2</v>
      </c>
      <c r="H192" s="5275"/>
      <c r="I192" s="5275"/>
      <c r="J192" s="5275"/>
      <c r="K192" s="5275"/>
      <c r="L192" s="5275"/>
      <c r="M192" s="5275"/>
    </row>
    <row r="193" spans="2:13" ht="15" customHeight="1" x14ac:dyDescent="0.25">
      <c r="B193" s="6445"/>
      <c r="C193" s="5264" t="s">
        <v>58</v>
      </c>
      <c r="D193" s="5275"/>
      <c r="E193" s="5275"/>
      <c r="F193" s="5275"/>
      <c r="G193" s="5275"/>
      <c r="H193" s="5275"/>
      <c r="I193" s="5275">
        <v>3.28</v>
      </c>
      <c r="J193" s="5275"/>
      <c r="K193" s="5275"/>
      <c r="L193" s="5275"/>
      <c r="M193" s="5275"/>
    </row>
    <row r="194" spans="2:13" ht="15" customHeight="1" x14ac:dyDescent="0.25">
      <c r="B194" s="6445"/>
      <c r="C194" s="5264" t="s">
        <v>2081</v>
      </c>
      <c r="D194" s="5275"/>
      <c r="E194" s="5275"/>
      <c r="F194" s="5275"/>
      <c r="G194" s="5275"/>
      <c r="H194" s="5275"/>
      <c r="I194" s="5275">
        <v>1</v>
      </c>
      <c r="J194" s="5275"/>
      <c r="K194" s="5275"/>
      <c r="L194" s="5275"/>
      <c r="M194" s="5275"/>
    </row>
    <row r="195" spans="2:13" ht="15" customHeight="1" x14ac:dyDescent="0.25">
      <c r="B195" s="6445"/>
      <c r="C195" s="5264" t="s">
        <v>1844</v>
      </c>
      <c r="D195" s="5275"/>
      <c r="E195" s="5275"/>
      <c r="F195" s="5275"/>
      <c r="G195" s="5275"/>
      <c r="H195" s="5275"/>
      <c r="I195" s="5275">
        <v>4.75</v>
      </c>
      <c r="J195" s="5275"/>
      <c r="K195" s="5275"/>
      <c r="L195" s="5275"/>
      <c r="M195" s="5275"/>
    </row>
    <row r="196" spans="2:13" ht="15" customHeight="1" x14ac:dyDescent="0.25">
      <c r="B196" s="6445">
        <v>45566</v>
      </c>
      <c r="C196" s="5212" t="s">
        <v>1818</v>
      </c>
      <c r="D196" s="5268" t="s">
        <v>1818</v>
      </c>
      <c r="E196" s="5245"/>
      <c r="F196" s="5245"/>
      <c r="G196" s="5245"/>
      <c r="H196" s="5245"/>
      <c r="I196" s="5245"/>
      <c r="J196" s="5245"/>
      <c r="K196" s="5245"/>
      <c r="L196" s="5268" t="s">
        <v>1818</v>
      </c>
      <c r="M196" s="5268"/>
    </row>
    <row r="197" spans="2:13" ht="15" customHeight="1" x14ac:dyDescent="0.25">
      <c r="B197" s="6445"/>
      <c r="C197" s="5274"/>
      <c r="D197" s="5213" t="s">
        <v>1819</v>
      </c>
      <c r="E197" s="5213" t="s">
        <v>1820</v>
      </c>
      <c r="F197" s="5213"/>
      <c r="G197" s="5213" t="s">
        <v>1821</v>
      </c>
      <c r="H197" s="5213"/>
      <c r="I197" s="5213" t="s">
        <v>1064</v>
      </c>
      <c r="J197" s="5213"/>
      <c r="K197" s="5213" t="s">
        <v>59</v>
      </c>
      <c r="L197" s="5213" t="s">
        <v>95</v>
      </c>
      <c r="M197" s="5213" t="s">
        <v>1297</v>
      </c>
    </row>
    <row r="198" spans="2:13" ht="15" customHeight="1" x14ac:dyDescent="0.25">
      <c r="B198" s="6445"/>
      <c r="C198" s="5264" t="s">
        <v>1829</v>
      </c>
      <c r="D198" s="5275">
        <v>34.42</v>
      </c>
      <c r="E198" s="5275">
        <v>3.5</v>
      </c>
      <c r="F198" s="5262"/>
      <c r="G198" s="5275">
        <v>24.83</v>
      </c>
      <c r="H198" s="5262"/>
      <c r="I198" s="5275">
        <v>577.98</v>
      </c>
      <c r="J198" s="5262"/>
      <c r="K198" s="5275">
        <v>117.48333333333333</v>
      </c>
      <c r="L198" s="5275">
        <v>81.683333333333337</v>
      </c>
      <c r="M198" s="5275">
        <v>148.08333333333334</v>
      </c>
    </row>
    <row r="199" spans="2:13" ht="15" customHeight="1" x14ac:dyDescent="0.25">
      <c r="B199" s="6445"/>
      <c r="C199" s="5264" t="s">
        <v>1830</v>
      </c>
      <c r="D199" s="5275"/>
      <c r="E199" s="5275"/>
      <c r="F199" s="5262"/>
      <c r="G199" s="5262"/>
      <c r="H199" s="5262"/>
      <c r="I199" s="5275"/>
      <c r="J199" s="5262"/>
      <c r="K199" s="5275"/>
      <c r="L199" s="5275"/>
      <c r="M199" s="5275"/>
    </row>
    <row r="200" spans="2:13" ht="15" customHeight="1" x14ac:dyDescent="0.25">
      <c r="B200" s="6445"/>
      <c r="C200" s="5264" t="s">
        <v>1831</v>
      </c>
      <c r="D200" s="5275"/>
      <c r="E200" s="5275">
        <v>0.43</v>
      </c>
      <c r="F200" s="5262"/>
      <c r="G200" s="5262"/>
      <c r="H200" s="5262"/>
      <c r="I200" s="5275"/>
      <c r="J200" s="5262"/>
      <c r="K200" s="5275">
        <v>15.366666666666667</v>
      </c>
      <c r="L200" s="5275">
        <v>18.399999999999999</v>
      </c>
      <c r="M200" s="5275">
        <v>19.166666666666668</v>
      </c>
    </row>
    <row r="201" spans="2:13" ht="15" customHeight="1" x14ac:dyDescent="0.25">
      <c r="B201" s="6445"/>
      <c r="C201" s="5264" t="s">
        <v>466</v>
      </c>
      <c r="D201" s="5275"/>
      <c r="E201" s="5275"/>
      <c r="F201" s="5262"/>
      <c r="G201" s="5262"/>
      <c r="H201" s="5262"/>
      <c r="I201" s="5275"/>
      <c r="J201" s="5262"/>
      <c r="K201" s="5275"/>
      <c r="L201" s="5275"/>
      <c r="M201" s="5275"/>
    </row>
    <row r="202" spans="2:13" ht="15" customHeight="1" x14ac:dyDescent="0.25">
      <c r="B202" s="6445"/>
      <c r="C202" s="5264" t="s">
        <v>1832</v>
      </c>
      <c r="D202" s="5275"/>
      <c r="E202" s="5275"/>
      <c r="F202" s="5262"/>
      <c r="G202" s="5262"/>
      <c r="H202" s="5262"/>
      <c r="I202" s="5275"/>
      <c r="J202" s="5262"/>
      <c r="K202" s="5275"/>
      <c r="L202" s="5275"/>
      <c r="M202" s="5275"/>
    </row>
    <row r="203" spans="2:13" ht="15" customHeight="1" x14ac:dyDescent="0.25">
      <c r="B203" s="6445"/>
      <c r="C203" s="5264" t="s">
        <v>1833</v>
      </c>
      <c r="D203" s="5275">
        <v>2.75</v>
      </c>
      <c r="E203" s="5275">
        <v>1.78</v>
      </c>
      <c r="F203" s="5262"/>
      <c r="G203" s="5262"/>
      <c r="H203" s="5262"/>
      <c r="I203" s="5275">
        <v>9</v>
      </c>
      <c r="J203" s="5262"/>
      <c r="K203" s="5275">
        <v>27.633333333333333</v>
      </c>
      <c r="L203" s="5275">
        <v>60.966666666666669</v>
      </c>
      <c r="M203" s="5275">
        <v>26.833333333333332</v>
      </c>
    </row>
    <row r="204" spans="2:13" ht="15" customHeight="1" x14ac:dyDescent="0.25">
      <c r="B204" s="6445"/>
      <c r="C204" s="5264" t="s">
        <v>1834</v>
      </c>
      <c r="D204" s="5275"/>
      <c r="E204" s="5275"/>
      <c r="F204" s="5262"/>
      <c r="G204" s="5262"/>
      <c r="H204" s="5262"/>
      <c r="I204" s="5275">
        <v>4.5</v>
      </c>
      <c r="J204" s="5262"/>
      <c r="K204" s="5275">
        <v>6.9666666666666668</v>
      </c>
      <c r="L204" s="5275">
        <v>6.2833333333333332</v>
      </c>
      <c r="M204" s="5275">
        <v>25.916666666666668</v>
      </c>
    </row>
    <row r="205" spans="2:13" ht="15" customHeight="1" x14ac:dyDescent="0.25">
      <c r="B205" s="6445"/>
      <c r="C205" s="5264" t="s">
        <v>1835</v>
      </c>
      <c r="D205" s="5275"/>
      <c r="E205" s="5275"/>
      <c r="F205" s="5262"/>
      <c r="G205" s="5262"/>
      <c r="H205" s="5262"/>
      <c r="I205" s="5275"/>
      <c r="J205" s="5262"/>
      <c r="K205" s="5275"/>
      <c r="L205" s="5275"/>
      <c r="M205" s="5275"/>
    </row>
    <row r="206" spans="2:13" ht="15" customHeight="1" x14ac:dyDescent="0.25">
      <c r="B206" s="6445"/>
      <c r="C206" s="5264" t="s">
        <v>1836</v>
      </c>
      <c r="D206" s="5275">
        <v>33.5</v>
      </c>
      <c r="E206" s="5275">
        <v>59.25</v>
      </c>
      <c r="F206" s="5262"/>
      <c r="G206" s="5262"/>
      <c r="H206" s="5262"/>
      <c r="I206" s="5275"/>
      <c r="J206" s="5262"/>
      <c r="K206" s="5275"/>
      <c r="L206" s="5275"/>
      <c r="M206" s="5275"/>
    </row>
    <row r="207" spans="2:13" ht="15" customHeight="1" x14ac:dyDescent="0.25">
      <c r="B207" s="6445"/>
      <c r="C207" s="5246" t="s">
        <v>1837</v>
      </c>
      <c r="D207" s="5275"/>
      <c r="E207" s="5275"/>
      <c r="F207" s="5265"/>
      <c r="G207" s="5262"/>
      <c r="H207" s="5276"/>
      <c r="I207" s="5275"/>
      <c r="J207" s="5265"/>
      <c r="K207" s="5275"/>
      <c r="L207" s="5275"/>
      <c r="M207" s="5275"/>
    </row>
    <row r="208" spans="2:13" ht="15" customHeight="1" x14ac:dyDescent="0.25">
      <c r="B208" s="6445"/>
      <c r="C208" s="5264" t="s">
        <v>1838</v>
      </c>
      <c r="D208" s="5275"/>
      <c r="E208" s="5275">
        <v>0.5</v>
      </c>
      <c r="F208" s="5262"/>
      <c r="G208" s="5262"/>
      <c r="H208" s="5262"/>
      <c r="I208" s="5275"/>
      <c r="J208" s="5262"/>
      <c r="K208" s="5275">
        <v>17.883333333333333</v>
      </c>
      <c r="L208" s="5275">
        <v>39.633333333333333</v>
      </c>
      <c r="M208" s="5275">
        <v>22.25</v>
      </c>
    </row>
    <row r="209" spans="2:13" ht="15" customHeight="1" x14ac:dyDescent="0.25">
      <c r="B209" s="6445"/>
      <c r="C209" s="5264" t="s">
        <v>1839</v>
      </c>
      <c r="D209" s="5275"/>
      <c r="E209" s="5275"/>
      <c r="F209" s="5262"/>
      <c r="G209" s="5262"/>
      <c r="H209" s="5262"/>
      <c r="I209" s="5275"/>
      <c r="J209" s="5262"/>
      <c r="K209" s="5275">
        <v>1.75</v>
      </c>
      <c r="L209" s="5275">
        <v>9.0666666666666664</v>
      </c>
      <c r="M209" s="5275">
        <v>23</v>
      </c>
    </row>
    <row r="210" spans="2:13" ht="15" customHeight="1" x14ac:dyDescent="0.25">
      <c r="B210" s="6445"/>
      <c r="C210" s="5264" t="s">
        <v>1840</v>
      </c>
      <c r="D210" s="5275">
        <v>0.35</v>
      </c>
      <c r="E210" s="5275"/>
      <c r="F210" s="5262"/>
      <c r="G210" s="5262"/>
      <c r="H210" s="5262"/>
      <c r="I210" s="5275">
        <v>7.5</v>
      </c>
      <c r="J210" s="5262"/>
      <c r="K210" s="5275"/>
      <c r="L210" s="5275"/>
      <c r="M210" s="5275"/>
    </row>
    <row r="211" spans="2:13" ht="15" customHeight="1" x14ac:dyDescent="0.25">
      <c r="B211" s="6445"/>
      <c r="C211" s="5264" t="s">
        <v>1841</v>
      </c>
      <c r="D211" s="5275"/>
      <c r="E211" s="5275"/>
      <c r="F211" s="5262"/>
      <c r="G211" s="5262"/>
      <c r="H211" s="5262"/>
      <c r="I211" s="5275"/>
      <c r="J211" s="5262"/>
      <c r="K211" s="5275"/>
      <c r="L211" s="5275"/>
      <c r="M211" s="5275"/>
    </row>
    <row r="212" spans="2:13" ht="15" customHeight="1" x14ac:dyDescent="0.25">
      <c r="B212" s="6445"/>
      <c r="C212" s="5264" t="s">
        <v>1842</v>
      </c>
      <c r="D212" s="5275">
        <v>5</v>
      </c>
      <c r="E212" s="5275">
        <v>13.25</v>
      </c>
      <c r="F212" s="5262"/>
      <c r="G212" s="5262"/>
      <c r="H212" s="5262"/>
      <c r="I212" s="5275"/>
      <c r="J212" s="5262"/>
      <c r="K212" s="5275"/>
      <c r="L212" s="5275"/>
      <c r="M212" s="5275"/>
    </row>
    <row r="213" spans="2:13" ht="15" customHeight="1" x14ac:dyDescent="0.25">
      <c r="B213" s="6445"/>
      <c r="C213" s="5264" t="s">
        <v>82</v>
      </c>
      <c r="D213" s="5275"/>
      <c r="E213" s="5275"/>
      <c r="F213" s="5262"/>
      <c r="G213" s="5262"/>
      <c r="H213" s="5262"/>
      <c r="I213" s="5275"/>
      <c r="J213" s="5262"/>
      <c r="K213" s="5262"/>
      <c r="L213" s="5262"/>
      <c r="M213" s="5262"/>
    </row>
    <row r="214" spans="2:13" ht="15" customHeight="1" x14ac:dyDescent="0.25">
      <c r="B214" s="6445"/>
      <c r="C214" s="5264" t="s">
        <v>1843</v>
      </c>
      <c r="D214" s="5275"/>
      <c r="E214" s="5275"/>
      <c r="F214" s="5262"/>
      <c r="G214" s="5262"/>
      <c r="H214" s="5262"/>
      <c r="I214" s="5275">
        <v>0.75</v>
      </c>
      <c r="J214" s="5262"/>
      <c r="K214" s="5262"/>
      <c r="L214" s="5262"/>
      <c r="M214" s="5262"/>
    </row>
    <row r="215" spans="2:13" ht="15" customHeight="1" x14ac:dyDescent="0.25">
      <c r="B215" s="6445"/>
      <c r="C215" s="5264" t="s">
        <v>100</v>
      </c>
      <c r="D215" s="5275"/>
      <c r="E215" s="5275"/>
      <c r="F215" s="5262"/>
      <c r="G215" s="5262"/>
      <c r="H215" s="5262"/>
      <c r="I215" s="5275">
        <v>9.9</v>
      </c>
      <c r="J215" s="5262"/>
      <c r="K215" s="5262"/>
      <c r="L215" s="5262"/>
      <c r="M215" s="5262"/>
    </row>
    <row r="216" spans="2:13" ht="15" customHeight="1" x14ac:dyDescent="0.25">
      <c r="B216" s="6445"/>
      <c r="C216" s="5264" t="s">
        <v>58</v>
      </c>
      <c r="D216" s="5275"/>
      <c r="E216" s="5275"/>
      <c r="F216" s="5262"/>
      <c r="G216" s="5262"/>
      <c r="H216" s="5262"/>
      <c r="I216" s="5275">
        <v>1.93</v>
      </c>
      <c r="J216" s="5262"/>
      <c r="K216" s="5262"/>
      <c r="L216" s="5262"/>
      <c r="M216" s="5262"/>
    </row>
    <row r="217" spans="2:13" ht="15" customHeight="1" x14ac:dyDescent="0.25">
      <c r="B217" s="6445"/>
      <c r="C217" s="5264" t="s">
        <v>2081</v>
      </c>
      <c r="D217" s="5275"/>
      <c r="E217" s="5275"/>
      <c r="F217" s="5262"/>
      <c r="G217" s="5262"/>
      <c r="H217" s="5262"/>
      <c r="I217" s="5275"/>
      <c r="J217" s="5262"/>
      <c r="K217" s="5262"/>
      <c r="L217" s="5262"/>
      <c r="M217" s="5262"/>
    </row>
    <row r="218" spans="2:13" ht="15" customHeight="1" x14ac:dyDescent="0.25">
      <c r="B218" s="6445"/>
      <c r="C218" s="5264" t="s">
        <v>1844</v>
      </c>
      <c r="D218" s="5275"/>
      <c r="E218" s="5275"/>
      <c r="F218" s="5262"/>
      <c r="G218" s="5262"/>
      <c r="H218" s="5262"/>
      <c r="I218" s="5275">
        <v>98.03</v>
      </c>
      <c r="J218" s="5262"/>
      <c r="K218" s="5262"/>
      <c r="L218" s="5262"/>
      <c r="M218" s="5262"/>
    </row>
    <row r="219" spans="2:13" ht="15" customHeight="1" x14ac:dyDescent="0.25">
      <c r="B219" s="6445">
        <v>45597</v>
      </c>
      <c r="C219" s="5212" t="s">
        <v>1818</v>
      </c>
      <c r="D219" s="5268" t="s">
        <v>1818</v>
      </c>
      <c r="E219" s="5245"/>
      <c r="F219" s="5245"/>
      <c r="G219" s="5245"/>
      <c r="H219" s="5245"/>
      <c r="I219" s="5245"/>
      <c r="J219" s="5245"/>
      <c r="K219" s="5245"/>
      <c r="L219" s="5268" t="s">
        <v>1818</v>
      </c>
      <c r="M219" s="5268"/>
    </row>
    <row r="220" spans="2:13" ht="15" customHeight="1" x14ac:dyDescent="0.25">
      <c r="B220" s="6445"/>
      <c r="C220" s="5274"/>
      <c r="D220" s="5213" t="s">
        <v>1819</v>
      </c>
      <c r="E220" s="5213" t="s">
        <v>1820</v>
      </c>
      <c r="F220" s="5213"/>
      <c r="G220" s="5213" t="s">
        <v>1821</v>
      </c>
      <c r="H220" s="5213"/>
      <c r="I220" s="5213" t="s">
        <v>1064</v>
      </c>
      <c r="J220" s="5213"/>
      <c r="K220" s="5213" t="s">
        <v>59</v>
      </c>
      <c r="L220" s="5213" t="s">
        <v>95</v>
      </c>
      <c r="M220" s="5213" t="s">
        <v>1297</v>
      </c>
    </row>
    <row r="221" spans="2:13" ht="15" customHeight="1" x14ac:dyDescent="0.25">
      <c r="B221" s="6445"/>
      <c r="C221" s="5264" t="s">
        <v>1829</v>
      </c>
      <c r="D221" s="5241"/>
      <c r="E221" s="5262"/>
      <c r="F221" s="5262"/>
      <c r="G221" s="5262"/>
      <c r="H221" s="5262"/>
      <c r="I221" s="5275">
        <v>27.45</v>
      </c>
      <c r="J221" s="5275"/>
      <c r="K221" s="5275">
        <v>88.333333333333329</v>
      </c>
      <c r="L221" s="5275">
        <v>49.65</v>
      </c>
      <c r="M221" s="5275">
        <v>34.416666666666664</v>
      </c>
    </row>
    <row r="222" spans="2:13" ht="15" customHeight="1" x14ac:dyDescent="0.25">
      <c r="B222" s="6445"/>
      <c r="C222" s="5264" t="s">
        <v>1830</v>
      </c>
      <c r="D222" s="5275">
        <v>623</v>
      </c>
      <c r="E222" s="5275">
        <v>663.5</v>
      </c>
      <c r="F222" s="5275"/>
      <c r="G222" s="5275">
        <v>651</v>
      </c>
      <c r="H222" s="5275"/>
      <c r="I222" s="5275">
        <v>2016</v>
      </c>
      <c r="J222" s="5275"/>
      <c r="K222" s="5275">
        <v>310.16666666666669</v>
      </c>
      <c r="L222" s="5275">
        <v>629</v>
      </c>
      <c r="M222" s="5275">
        <v>528</v>
      </c>
    </row>
    <row r="223" spans="2:13" ht="15" customHeight="1" x14ac:dyDescent="0.25">
      <c r="B223" s="6445"/>
      <c r="C223" s="5264" t="s">
        <v>1831</v>
      </c>
      <c r="D223" s="5275"/>
      <c r="E223" s="5275"/>
      <c r="F223" s="5275"/>
      <c r="G223" s="5275"/>
      <c r="H223" s="5275"/>
      <c r="I223" s="5275"/>
      <c r="J223" s="5275"/>
      <c r="K223" s="5275">
        <v>10.733333333333333</v>
      </c>
      <c r="L223" s="5275">
        <v>0.6333333333333333</v>
      </c>
      <c r="M223" s="5275">
        <v>0.16666666666666666</v>
      </c>
    </row>
    <row r="224" spans="2:13" ht="15" customHeight="1" x14ac:dyDescent="0.25">
      <c r="B224" s="6445"/>
      <c r="C224" s="5264" t="s">
        <v>466</v>
      </c>
      <c r="D224" s="5275"/>
      <c r="E224" s="5275"/>
      <c r="F224" s="5275"/>
      <c r="G224" s="5275"/>
      <c r="H224" s="5275"/>
      <c r="I224" s="5275"/>
      <c r="J224" s="5275"/>
      <c r="K224" s="5275"/>
      <c r="L224" s="5275"/>
      <c r="M224" s="5275"/>
    </row>
    <row r="225" spans="2:13" ht="15" customHeight="1" x14ac:dyDescent="0.25">
      <c r="B225" s="6445"/>
      <c r="C225" s="5264" t="s">
        <v>1832</v>
      </c>
      <c r="D225" s="5275"/>
      <c r="E225" s="5275"/>
      <c r="F225" s="5275"/>
      <c r="G225" s="5275"/>
      <c r="H225" s="5275"/>
      <c r="I225" s="5275"/>
      <c r="J225" s="5275"/>
      <c r="K225" s="5275"/>
      <c r="L225" s="5275"/>
      <c r="M225" s="5275"/>
    </row>
    <row r="226" spans="2:13" ht="15" customHeight="1" x14ac:dyDescent="0.25">
      <c r="B226" s="6445"/>
      <c r="C226" s="5264" t="s">
        <v>1833</v>
      </c>
      <c r="D226" s="5275"/>
      <c r="E226" s="5275"/>
      <c r="F226" s="5275"/>
      <c r="G226" s="5275"/>
      <c r="H226" s="5275"/>
      <c r="I226" s="5275"/>
      <c r="J226" s="5275"/>
      <c r="K226" s="5275">
        <v>13.85</v>
      </c>
      <c r="L226" s="5275">
        <v>9.4499999999999993</v>
      </c>
      <c r="M226" s="5275">
        <v>3.25</v>
      </c>
    </row>
    <row r="227" spans="2:13" ht="15" customHeight="1" x14ac:dyDescent="0.25">
      <c r="B227" s="6445"/>
      <c r="C227" s="5264" t="s">
        <v>1834</v>
      </c>
      <c r="D227" s="5275"/>
      <c r="E227" s="5275"/>
      <c r="F227" s="5275"/>
      <c r="G227" s="5275"/>
      <c r="H227" s="5275"/>
      <c r="I227" s="5275"/>
      <c r="J227" s="5275"/>
      <c r="K227" s="5275">
        <v>14.15</v>
      </c>
      <c r="L227" s="5275">
        <v>1.0166666666666666</v>
      </c>
      <c r="M227" s="5275">
        <v>4.5</v>
      </c>
    </row>
    <row r="228" spans="2:13" ht="15" customHeight="1" x14ac:dyDescent="0.25">
      <c r="B228" s="6445"/>
      <c r="C228" s="5264" t="s">
        <v>1835</v>
      </c>
      <c r="D228" s="5275"/>
      <c r="E228" s="5275"/>
      <c r="F228" s="5275"/>
      <c r="G228" s="5275"/>
      <c r="H228" s="5275"/>
      <c r="I228" s="5275"/>
      <c r="J228" s="5275"/>
      <c r="K228" s="5275"/>
      <c r="L228" s="5275"/>
      <c r="M228" s="5275"/>
    </row>
    <row r="229" spans="2:13" ht="15" customHeight="1" x14ac:dyDescent="0.25">
      <c r="B229" s="6445"/>
      <c r="C229" s="5264" t="s">
        <v>1836</v>
      </c>
      <c r="D229" s="5275">
        <v>30.25</v>
      </c>
      <c r="E229" s="5275">
        <v>8.25</v>
      </c>
      <c r="F229" s="5275"/>
      <c r="G229" s="5275"/>
      <c r="H229" s="5275"/>
      <c r="I229" s="5275"/>
      <c r="J229" s="5275"/>
      <c r="K229" s="5275"/>
      <c r="L229" s="5275"/>
      <c r="M229" s="5275"/>
    </row>
    <row r="230" spans="2:13" ht="15" customHeight="1" x14ac:dyDescent="0.25">
      <c r="B230" s="6445"/>
      <c r="C230" s="5246" t="s">
        <v>1837</v>
      </c>
      <c r="D230" s="5275"/>
      <c r="E230" s="5275"/>
      <c r="F230" s="5275"/>
      <c r="G230" s="5275"/>
      <c r="H230" s="5275"/>
      <c r="I230" s="5275"/>
      <c r="J230" s="5275"/>
      <c r="K230" s="5275"/>
      <c r="L230" s="5275"/>
      <c r="M230" s="5275"/>
    </row>
    <row r="231" spans="2:13" ht="15" customHeight="1" x14ac:dyDescent="0.25">
      <c r="B231" s="6445"/>
      <c r="C231" s="5264" t="s">
        <v>1838</v>
      </c>
      <c r="D231" s="5275"/>
      <c r="E231" s="5275"/>
      <c r="F231" s="5275"/>
      <c r="G231" s="5275"/>
      <c r="H231" s="5275"/>
      <c r="I231" s="5275"/>
      <c r="J231" s="5275"/>
      <c r="K231" s="5275">
        <v>9.5333333333333332</v>
      </c>
      <c r="L231" s="5275">
        <v>0.33333333333333331</v>
      </c>
      <c r="M231" s="5275">
        <v>3.25</v>
      </c>
    </row>
    <row r="232" spans="2:13" ht="15" customHeight="1" x14ac:dyDescent="0.25">
      <c r="B232" s="6445"/>
      <c r="C232" s="5264" t="s">
        <v>1839</v>
      </c>
      <c r="D232" s="5275"/>
      <c r="E232" s="5275"/>
      <c r="F232" s="5275"/>
      <c r="G232" s="5275"/>
      <c r="H232" s="5275"/>
      <c r="I232" s="5275"/>
      <c r="J232" s="5275"/>
      <c r="K232" s="5275">
        <v>8.5833333333333339</v>
      </c>
      <c r="L232" s="5275">
        <v>0.11666666666666667</v>
      </c>
      <c r="M232" s="5275">
        <v>8.3333333333333339</v>
      </c>
    </row>
    <row r="233" spans="2:13" ht="15" customHeight="1" x14ac:dyDescent="0.25">
      <c r="B233" s="6445"/>
      <c r="C233" s="5264" t="s">
        <v>1840</v>
      </c>
      <c r="D233" s="5275"/>
      <c r="E233" s="5275"/>
      <c r="F233" s="5275"/>
      <c r="G233" s="5275"/>
      <c r="H233" s="5275"/>
      <c r="I233" s="5275"/>
      <c r="J233" s="5275"/>
      <c r="K233" s="5275"/>
      <c r="L233" s="5275"/>
      <c r="M233" s="5275"/>
    </row>
    <row r="234" spans="2:13" ht="15" customHeight="1" x14ac:dyDescent="0.25">
      <c r="B234" s="6445"/>
      <c r="C234" s="5264" t="s">
        <v>1841</v>
      </c>
      <c r="D234" s="5275"/>
      <c r="E234" s="5275"/>
      <c r="F234" s="5275"/>
      <c r="G234" s="5275"/>
      <c r="H234" s="5275"/>
      <c r="I234" s="5275"/>
      <c r="J234" s="5275"/>
      <c r="K234" s="5275"/>
      <c r="L234" s="5275"/>
      <c r="M234" s="5275"/>
    </row>
    <row r="235" spans="2:13" ht="15" customHeight="1" x14ac:dyDescent="0.25">
      <c r="B235" s="6445"/>
      <c r="C235" s="5264" t="s">
        <v>1842</v>
      </c>
      <c r="D235" s="5275"/>
      <c r="E235" s="5275"/>
      <c r="F235" s="5275"/>
      <c r="G235" s="5275"/>
      <c r="H235" s="5275"/>
      <c r="I235" s="5275"/>
      <c r="J235" s="5275"/>
      <c r="K235" s="5275"/>
      <c r="L235" s="5275"/>
      <c r="M235" s="5275"/>
    </row>
    <row r="236" spans="2:13" ht="15" customHeight="1" x14ac:dyDescent="0.25">
      <c r="B236" s="6445"/>
      <c r="C236" s="5264" t="s">
        <v>82</v>
      </c>
      <c r="D236" s="5275"/>
      <c r="E236" s="5275"/>
      <c r="F236" s="5275"/>
      <c r="G236" s="5275"/>
      <c r="H236" s="5275"/>
      <c r="I236" s="5275"/>
      <c r="J236" s="5275"/>
      <c r="K236" s="5275"/>
      <c r="L236" s="5275"/>
      <c r="M236" s="5275"/>
    </row>
    <row r="237" spans="2:13" ht="15" customHeight="1" x14ac:dyDescent="0.25">
      <c r="B237" s="6445"/>
      <c r="C237" s="5264" t="s">
        <v>1843</v>
      </c>
      <c r="D237" s="5275"/>
      <c r="E237" s="5275"/>
      <c r="F237" s="5275"/>
      <c r="G237" s="5275"/>
      <c r="H237" s="5275"/>
      <c r="I237" s="5275"/>
      <c r="J237" s="5275"/>
      <c r="K237" s="5275"/>
      <c r="L237" s="5275"/>
      <c r="M237" s="5275"/>
    </row>
    <row r="238" spans="2:13" ht="15" customHeight="1" x14ac:dyDescent="0.25">
      <c r="B238" s="6445"/>
      <c r="C238" s="5264" t="s">
        <v>100</v>
      </c>
      <c r="D238" s="5275"/>
      <c r="E238" s="5275"/>
      <c r="F238" s="5275"/>
      <c r="G238" s="5275"/>
      <c r="H238" s="5275"/>
      <c r="I238" s="5275"/>
      <c r="J238" s="5275"/>
      <c r="K238" s="5275"/>
      <c r="L238" s="5275"/>
      <c r="M238" s="5275"/>
    </row>
    <row r="239" spans="2:13" ht="15" customHeight="1" x14ac:dyDescent="0.25">
      <c r="B239" s="6445"/>
      <c r="C239" s="5264" t="s">
        <v>58</v>
      </c>
      <c r="D239" s="5275"/>
      <c r="E239" s="5275"/>
      <c r="F239" s="5275"/>
      <c r="G239" s="5275"/>
      <c r="H239" s="5275"/>
      <c r="I239" s="5275"/>
      <c r="J239" s="5275"/>
      <c r="K239" s="5275"/>
      <c r="L239" s="5275"/>
      <c r="M239" s="5275"/>
    </row>
    <row r="240" spans="2:13" ht="15" customHeight="1" x14ac:dyDescent="0.25">
      <c r="B240" s="6445"/>
      <c r="C240" s="5264" t="s">
        <v>1844</v>
      </c>
      <c r="D240" s="5275"/>
      <c r="E240" s="5275"/>
      <c r="F240" s="5275"/>
      <c r="G240" s="5275"/>
      <c r="H240" s="5275"/>
      <c r="I240" s="5275"/>
      <c r="J240" s="5275"/>
      <c r="K240" s="5275"/>
      <c r="L240" s="5275"/>
      <c r="M240" s="5275"/>
    </row>
    <row r="241" spans="2:13" ht="15" customHeight="1" x14ac:dyDescent="0.3">
      <c r="B241" s="279"/>
    </row>
    <row r="242" spans="2:13" ht="15" customHeight="1" x14ac:dyDescent="0.25">
      <c r="B242" s="6445">
        <v>45627</v>
      </c>
      <c r="C242" s="5212" t="s">
        <v>1818</v>
      </c>
      <c r="D242" s="5268" t="s">
        <v>1818</v>
      </c>
      <c r="E242" s="5245"/>
      <c r="F242" s="5245"/>
      <c r="G242" s="5245"/>
      <c r="H242" s="5245"/>
      <c r="I242" s="5245"/>
      <c r="J242" s="5245"/>
      <c r="K242" s="5245"/>
      <c r="L242" s="5268" t="s">
        <v>1818</v>
      </c>
      <c r="M242" s="5268"/>
    </row>
    <row r="243" spans="2:13" ht="15" customHeight="1" x14ac:dyDescent="0.25">
      <c r="B243" s="6445"/>
      <c r="C243" s="5274"/>
      <c r="D243" s="5213" t="s">
        <v>1819</v>
      </c>
      <c r="E243" s="5213" t="s">
        <v>1820</v>
      </c>
      <c r="F243" s="5213"/>
      <c r="G243" s="5213" t="s">
        <v>1821</v>
      </c>
      <c r="H243" s="5213"/>
      <c r="I243" s="5213" t="s">
        <v>1064</v>
      </c>
      <c r="J243" s="5213"/>
      <c r="K243" s="5213" t="s">
        <v>59</v>
      </c>
      <c r="L243" s="5213" t="s">
        <v>95</v>
      </c>
      <c r="M243" s="5213" t="s">
        <v>1297</v>
      </c>
    </row>
    <row r="244" spans="2:13" ht="15" customHeight="1" x14ac:dyDescent="0.25">
      <c r="B244" s="6445"/>
      <c r="C244" s="5264" t="s">
        <v>1829</v>
      </c>
      <c r="D244" s="5275"/>
      <c r="E244" s="5275"/>
      <c r="F244" s="5275"/>
      <c r="G244" s="5275">
        <v>6</v>
      </c>
      <c r="H244" s="5275"/>
      <c r="I244" s="5275">
        <v>412.3</v>
      </c>
      <c r="J244" s="5275"/>
      <c r="K244" s="5275">
        <v>129.41666666666666</v>
      </c>
      <c r="L244" s="5275">
        <v>86.8</v>
      </c>
      <c r="M244" s="5275">
        <v>79.583333333333329</v>
      </c>
    </row>
    <row r="245" spans="2:13" ht="15" customHeight="1" x14ac:dyDescent="0.25">
      <c r="B245" s="6445"/>
      <c r="C245" s="5264" t="s">
        <v>1830</v>
      </c>
      <c r="D245" s="5275"/>
      <c r="E245" s="5275">
        <v>56</v>
      </c>
      <c r="F245" s="5275"/>
      <c r="G245" s="5275"/>
      <c r="H245" s="5275"/>
      <c r="I245" s="5275">
        <v>199</v>
      </c>
      <c r="J245" s="5275"/>
      <c r="K245" s="5275">
        <v>0</v>
      </c>
      <c r="L245" s="5275">
        <v>0</v>
      </c>
      <c r="M245" s="5275">
        <v>109.5</v>
      </c>
    </row>
    <row r="246" spans="2:13" ht="15" customHeight="1" x14ac:dyDescent="0.25">
      <c r="B246" s="6445"/>
      <c r="C246" s="5264" t="s">
        <v>1831</v>
      </c>
      <c r="D246" s="5275">
        <v>2.5</v>
      </c>
      <c r="E246" s="5275"/>
      <c r="F246" s="5275"/>
      <c r="G246" s="5275"/>
      <c r="H246" s="5275"/>
      <c r="I246" s="5275"/>
      <c r="J246" s="5275"/>
      <c r="K246" s="5275">
        <v>25.883333333333333</v>
      </c>
      <c r="L246" s="5275">
        <v>17.7</v>
      </c>
      <c r="M246" s="5275">
        <v>12.666666666666666</v>
      </c>
    </row>
    <row r="247" spans="2:13" ht="15" customHeight="1" x14ac:dyDescent="0.25">
      <c r="B247" s="6445"/>
      <c r="C247" s="5264" t="s">
        <v>466</v>
      </c>
      <c r="D247" s="5275"/>
      <c r="E247" s="5275"/>
      <c r="F247" s="5275"/>
      <c r="G247" s="5275"/>
      <c r="H247" s="5275"/>
      <c r="I247" s="5275"/>
      <c r="J247" s="5275"/>
      <c r="K247" s="5275"/>
      <c r="L247" s="5275"/>
      <c r="M247" s="5275"/>
    </row>
    <row r="248" spans="2:13" ht="15" customHeight="1" x14ac:dyDescent="0.25">
      <c r="B248" s="6445"/>
      <c r="C248" s="5264" t="s">
        <v>1832</v>
      </c>
      <c r="D248" s="5275"/>
      <c r="E248" s="5275"/>
      <c r="F248" s="5275"/>
      <c r="G248" s="5275"/>
      <c r="H248" s="5275"/>
      <c r="I248" s="5275"/>
      <c r="J248" s="5275"/>
      <c r="K248" s="5275"/>
      <c r="L248" s="5275"/>
      <c r="M248" s="5275"/>
    </row>
    <row r="249" spans="2:13" ht="15" customHeight="1" x14ac:dyDescent="0.25">
      <c r="B249" s="6445"/>
      <c r="C249" s="5264" t="s">
        <v>1833</v>
      </c>
      <c r="D249" s="5275">
        <v>0.83</v>
      </c>
      <c r="E249" s="5275">
        <v>3.66</v>
      </c>
      <c r="F249" s="5275"/>
      <c r="G249" s="5275"/>
      <c r="H249" s="5275"/>
      <c r="I249" s="5275">
        <v>8.2799999999999994</v>
      </c>
      <c r="J249" s="5275"/>
      <c r="K249" s="5275">
        <v>40.016666666666666</v>
      </c>
      <c r="L249" s="5275">
        <v>45.033333333333331</v>
      </c>
      <c r="M249" s="5275">
        <v>60.75</v>
      </c>
    </row>
    <row r="250" spans="2:13" ht="15" customHeight="1" x14ac:dyDescent="0.25">
      <c r="B250" s="6445"/>
      <c r="C250" s="5264" t="s">
        <v>1834</v>
      </c>
      <c r="D250" s="5275"/>
      <c r="E250" s="5275"/>
      <c r="F250" s="5275"/>
      <c r="G250" s="5275"/>
      <c r="H250" s="5275"/>
      <c r="I250" s="5275">
        <v>2.5</v>
      </c>
      <c r="J250" s="5275"/>
      <c r="K250" s="5275">
        <v>27.733333333333334</v>
      </c>
      <c r="L250" s="5275">
        <v>8.9833333333333325</v>
      </c>
      <c r="M250" s="5275">
        <v>39.75</v>
      </c>
    </row>
    <row r="251" spans="2:13" ht="15" customHeight="1" x14ac:dyDescent="0.25">
      <c r="B251" s="6445"/>
      <c r="C251" s="5264" t="s">
        <v>1835</v>
      </c>
      <c r="D251" s="5275">
        <v>0.67</v>
      </c>
      <c r="E251" s="5275">
        <v>0.5</v>
      </c>
      <c r="F251" s="5275"/>
      <c r="G251" s="5275"/>
      <c r="H251" s="5275"/>
      <c r="I251" s="5275"/>
      <c r="J251" s="5275"/>
      <c r="K251" s="5275"/>
      <c r="L251" s="5275"/>
      <c r="M251" s="5275"/>
    </row>
    <row r="252" spans="2:13" ht="15" customHeight="1" x14ac:dyDescent="0.25">
      <c r="B252" s="6445"/>
      <c r="C252" s="5264" t="s">
        <v>1836</v>
      </c>
      <c r="D252" s="5275">
        <v>6</v>
      </c>
      <c r="E252" s="5275"/>
      <c r="F252" s="5275"/>
      <c r="G252" s="5275"/>
      <c r="H252" s="5275"/>
      <c r="I252" s="5275"/>
      <c r="J252" s="5275"/>
      <c r="K252" s="5275"/>
      <c r="L252" s="5275"/>
      <c r="M252" s="5275"/>
    </row>
    <row r="253" spans="2:13" ht="15" customHeight="1" x14ac:dyDescent="0.25">
      <c r="B253" s="6445"/>
      <c r="C253" s="5246" t="s">
        <v>1837</v>
      </c>
      <c r="D253" s="5275"/>
      <c r="E253" s="5275"/>
      <c r="F253" s="5275"/>
      <c r="G253" s="5275"/>
      <c r="H253" s="5275"/>
      <c r="I253" s="5275"/>
      <c r="J253" s="5275"/>
      <c r="K253" s="5275"/>
      <c r="L253" s="5275"/>
      <c r="M253" s="5275"/>
    </row>
    <row r="254" spans="2:13" ht="15" customHeight="1" x14ac:dyDescent="0.25">
      <c r="B254" s="6445"/>
      <c r="C254" s="5264" t="s">
        <v>1838</v>
      </c>
      <c r="D254" s="5275"/>
      <c r="E254" s="5275"/>
      <c r="F254" s="5275"/>
      <c r="G254" s="5275"/>
      <c r="H254" s="5275"/>
      <c r="I254" s="5275"/>
      <c r="J254" s="5275"/>
      <c r="K254" s="5275">
        <v>5.7666666666666666</v>
      </c>
      <c r="L254" s="5275">
        <v>8.2833333333333332</v>
      </c>
      <c r="M254" s="5275">
        <v>27</v>
      </c>
    </row>
    <row r="255" spans="2:13" ht="15" customHeight="1" x14ac:dyDescent="0.25">
      <c r="B255" s="6445"/>
      <c r="C255" s="5264" t="s">
        <v>1839</v>
      </c>
      <c r="D255" s="5275"/>
      <c r="E255" s="5275"/>
      <c r="F255" s="5275"/>
      <c r="G255" s="5275"/>
      <c r="H255" s="5275"/>
      <c r="I255" s="5275"/>
      <c r="J255" s="5275"/>
      <c r="K255" s="5275">
        <v>0.3</v>
      </c>
      <c r="L255" s="5275">
        <v>1.8333333333333335</v>
      </c>
      <c r="M255" s="5275">
        <v>0.16666666666666666</v>
      </c>
    </row>
    <row r="256" spans="2:13" ht="15" customHeight="1" x14ac:dyDescent="0.25">
      <c r="B256" s="6445"/>
      <c r="C256" s="5264" t="s">
        <v>1840</v>
      </c>
      <c r="D256" s="5275"/>
      <c r="E256" s="5275"/>
      <c r="F256" s="5275"/>
      <c r="G256" s="5275"/>
      <c r="H256" s="5275"/>
      <c r="I256" s="5275">
        <v>1</v>
      </c>
      <c r="J256" s="5275"/>
      <c r="K256" s="5275"/>
      <c r="L256" s="5275"/>
      <c r="M256" s="5275"/>
    </row>
    <row r="257" spans="2:13" ht="15" customHeight="1" x14ac:dyDescent="0.25">
      <c r="B257" s="6445"/>
      <c r="C257" s="5264" t="s">
        <v>1841</v>
      </c>
      <c r="D257" s="5275"/>
      <c r="E257" s="5275"/>
      <c r="F257" s="5275"/>
      <c r="G257" s="5275"/>
      <c r="H257" s="5275"/>
      <c r="I257" s="5275"/>
      <c r="J257" s="5275"/>
      <c r="K257" s="5275"/>
      <c r="L257" s="5275"/>
      <c r="M257" s="5275"/>
    </row>
    <row r="258" spans="2:13" ht="15" customHeight="1" x14ac:dyDescent="0.25">
      <c r="B258" s="6445"/>
      <c r="C258" s="5264" t="s">
        <v>1842</v>
      </c>
      <c r="D258" s="5275"/>
      <c r="E258" s="5275">
        <v>1</v>
      </c>
      <c r="F258" s="5275"/>
      <c r="G258" s="5275"/>
      <c r="H258" s="5275"/>
      <c r="I258" s="5275"/>
      <c r="J258" s="5275"/>
      <c r="K258" s="5275"/>
      <c r="L258" s="5275"/>
      <c r="M258" s="5275"/>
    </row>
    <row r="259" spans="2:13" ht="15" customHeight="1" x14ac:dyDescent="0.25">
      <c r="B259" s="6445"/>
      <c r="C259" s="5264" t="s">
        <v>82</v>
      </c>
      <c r="D259" s="5275"/>
      <c r="E259" s="5275"/>
      <c r="F259" s="5275"/>
      <c r="G259" s="5275"/>
      <c r="H259" s="5275"/>
      <c r="I259" s="5275"/>
      <c r="J259" s="5275"/>
      <c r="K259" s="5275"/>
      <c r="L259" s="5275"/>
      <c r="M259" s="5275"/>
    </row>
    <row r="260" spans="2:13" ht="15" customHeight="1" x14ac:dyDescent="0.25">
      <c r="B260" s="6445"/>
      <c r="C260" s="5264" t="s">
        <v>1843</v>
      </c>
      <c r="D260" s="5275"/>
      <c r="E260" s="5275"/>
      <c r="F260" s="5275"/>
      <c r="G260" s="5275"/>
      <c r="H260" s="5275"/>
      <c r="I260" s="5275">
        <v>5.8</v>
      </c>
      <c r="J260" s="5275"/>
      <c r="K260" s="5275"/>
      <c r="L260" s="5275"/>
      <c r="M260" s="5275"/>
    </row>
    <row r="261" spans="2:13" ht="15" customHeight="1" x14ac:dyDescent="0.25">
      <c r="B261" s="6445"/>
      <c r="C261" s="5264" t="s">
        <v>100</v>
      </c>
      <c r="D261" s="5275"/>
      <c r="E261" s="5275"/>
      <c r="F261" s="5275"/>
      <c r="G261" s="5275"/>
      <c r="H261" s="5275"/>
      <c r="I261" s="5275">
        <v>0.25</v>
      </c>
      <c r="J261" s="5275"/>
      <c r="K261" s="5275"/>
      <c r="L261" s="5275"/>
      <c r="M261" s="5275"/>
    </row>
    <row r="262" spans="2:13" ht="15" customHeight="1" x14ac:dyDescent="0.25">
      <c r="B262" s="6445"/>
      <c r="C262" s="5264" t="s">
        <v>58</v>
      </c>
      <c r="D262" s="5275"/>
      <c r="E262" s="5275"/>
      <c r="F262" s="5275"/>
      <c r="G262" s="5275"/>
      <c r="H262" s="5275"/>
      <c r="I262" s="5275">
        <v>6.65</v>
      </c>
      <c r="J262" s="5275"/>
      <c r="K262" s="5275"/>
      <c r="L262" s="5275"/>
      <c r="M262" s="5275"/>
    </row>
    <row r="263" spans="2:13" ht="29.25" x14ac:dyDescent="0.25">
      <c r="B263" s="6445"/>
      <c r="C263" s="5264" t="s">
        <v>1844</v>
      </c>
      <c r="D263" s="5275"/>
      <c r="E263" s="5275"/>
      <c r="F263" s="5275"/>
      <c r="G263" s="5275"/>
      <c r="H263" s="5275"/>
      <c r="I263" s="5275">
        <v>4.2699999999999996</v>
      </c>
      <c r="J263" s="5275"/>
      <c r="K263" s="5275"/>
      <c r="L263" s="5275"/>
      <c r="M263" s="5275"/>
    </row>
    <row r="264" spans="2:13" ht="15" customHeight="1" x14ac:dyDescent="0.25">
      <c r="B264" s="6445">
        <v>45658</v>
      </c>
      <c r="C264" s="5212" t="s">
        <v>1818</v>
      </c>
      <c r="D264" s="5268" t="s">
        <v>1818</v>
      </c>
      <c r="E264" s="5245"/>
      <c r="F264" s="5245"/>
      <c r="G264" s="5245"/>
      <c r="H264" s="5245"/>
      <c r="I264" s="5245"/>
      <c r="J264" s="5245"/>
      <c r="K264" s="5245"/>
      <c r="L264" s="5268" t="s">
        <v>1818</v>
      </c>
      <c r="M264" s="5268"/>
    </row>
    <row r="265" spans="2:13" ht="15" customHeight="1" x14ac:dyDescent="0.25">
      <c r="B265" s="6445"/>
      <c r="C265" s="5274"/>
      <c r="D265" s="5213" t="s">
        <v>1819</v>
      </c>
      <c r="E265" s="5213" t="s">
        <v>1820</v>
      </c>
      <c r="F265" s="5213"/>
      <c r="G265" s="5213" t="s">
        <v>1821</v>
      </c>
      <c r="H265" s="5213"/>
      <c r="I265" s="5213" t="s">
        <v>1064</v>
      </c>
      <c r="J265" s="5213"/>
      <c r="K265" s="5213" t="s">
        <v>59</v>
      </c>
      <c r="L265" s="5213" t="s">
        <v>95</v>
      </c>
      <c r="M265" s="5213" t="s">
        <v>1297</v>
      </c>
    </row>
    <row r="266" spans="2:13" ht="15" customHeight="1" x14ac:dyDescent="0.25">
      <c r="B266" s="6445"/>
      <c r="C266" s="5264" t="s">
        <v>1829</v>
      </c>
      <c r="D266" s="5275">
        <v>54.5</v>
      </c>
      <c r="E266" s="5275">
        <v>42.08</v>
      </c>
      <c r="F266" s="5275"/>
      <c r="G266" s="5275">
        <v>33</v>
      </c>
      <c r="H266" s="5275"/>
      <c r="I266" s="5275">
        <v>491.66</v>
      </c>
      <c r="J266" s="5275"/>
      <c r="K266" s="5275">
        <v>142.35</v>
      </c>
      <c r="L266" s="5275">
        <v>105.91666666666667</v>
      </c>
      <c r="M266" s="5275">
        <v>111.83333333333333</v>
      </c>
    </row>
    <row r="267" spans="2:13" ht="15" customHeight="1" x14ac:dyDescent="0.25">
      <c r="B267" s="6445"/>
      <c r="C267" s="5264" t="s">
        <v>1830</v>
      </c>
      <c r="D267" s="5275"/>
      <c r="E267" s="5275"/>
      <c r="F267" s="5275"/>
      <c r="G267" s="5275"/>
      <c r="H267" s="5275"/>
      <c r="I267" s="5275"/>
      <c r="J267" s="5275"/>
      <c r="K267" s="5275"/>
      <c r="L267" s="5275"/>
      <c r="M267" s="5275"/>
    </row>
    <row r="268" spans="2:13" ht="15" customHeight="1" x14ac:dyDescent="0.25">
      <c r="B268" s="6445"/>
      <c r="C268" s="5264" t="s">
        <v>1831</v>
      </c>
      <c r="D268" s="5275"/>
      <c r="E268" s="5275"/>
      <c r="F268" s="5275"/>
      <c r="G268" s="5275"/>
      <c r="H268" s="5275"/>
      <c r="I268" s="5275"/>
      <c r="J268" s="5275"/>
      <c r="K268" s="5275">
        <v>13.2</v>
      </c>
      <c r="L268" s="5275">
        <v>21.216666666666665</v>
      </c>
      <c r="M268" s="5275">
        <v>20</v>
      </c>
    </row>
    <row r="269" spans="2:13" ht="15" customHeight="1" x14ac:dyDescent="0.25">
      <c r="B269" s="6445"/>
      <c r="C269" s="5264" t="s">
        <v>466</v>
      </c>
      <c r="D269" s="5275"/>
      <c r="E269" s="5275"/>
      <c r="F269" s="5275"/>
      <c r="G269" s="5275"/>
      <c r="H269" s="5275"/>
      <c r="I269" s="5275"/>
      <c r="J269" s="5275"/>
      <c r="K269" s="5275"/>
      <c r="L269" s="5275"/>
      <c r="M269" s="5275"/>
    </row>
    <row r="270" spans="2:13" ht="15" customHeight="1" x14ac:dyDescent="0.25">
      <c r="B270" s="6445"/>
      <c r="C270" s="5264" t="s">
        <v>1832</v>
      </c>
      <c r="D270" s="5275"/>
      <c r="E270" s="5275"/>
      <c r="F270" s="5275"/>
      <c r="G270" s="5275"/>
      <c r="H270" s="5275"/>
      <c r="I270" s="5275"/>
      <c r="J270" s="5275"/>
      <c r="K270" s="5275"/>
      <c r="L270" s="5275"/>
      <c r="M270" s="5275"/>
    </row>
    <row r="271" spans="2:13" ht="15" customHeight="1" x14ac:dyDescent="0.25">
      <c r="B271" s="6445"/>
      <c r="C271" s="5264" t="s">
        <v>1833</v>
      </c>
      <c r="D271" s="5275">
        <v>2.59</v>
      </c>
      <c r="E271" s="5275">
        <v>4.83</v>
      </c>
      <c r="F271" s="5275"/>
      <c r="G271" s="5275"/>
      <c r="H271" s="5275"/>
      <c r="I271" s="5275">
        <v>2</v>
      </c>
      <c r="J271" s="5275"/>
      <c r="K271" s="5275">
        <v>44.883333333333333</v>
      </c>
      <c r="L271" s="5275">
        <v>39.516666666666666</v>
      </c>
      <c r="M271" s="5275">
        <v>23.583333333333332</v>
      </c>
    </row>
    <row r="272" spans="2:13" ht="15" customHeight="1" x14ac:dyDescent="0.25">
      <c r="B272" s="6445"/>
      <c r="C272" s="5264" t="s">
        <v>1834</v>
      </c>
      <c r="D272" s="5275"/>
      <c r="E272" s="5275">
        <v>1.33</v>
      </c>
      <c r="F272" s="5275"/>
      <c r="G272" s="5275"/>
      <c r="H272" s="5275"/>
      <c r="I272" s="5275">
        <v>7.33</v>
      </c>
      <c r="J272" s="5275"/>
      <c r="K272" s="5275">
        <v>7.5333333333333332</v>
      </c>
      <c r="L272" s="5275">
        <v>6.4</v>
      </c>
      <c r="M272" s="5275">
        <v>20.333333333333332</v>
      </c>
    </row>
    <row r="273" spans="2:13" ht="15" customHeight="1" x14ac:dyDescent="0.25">
      <c r="B273" s="6445"/>
      <c r="C273" s="5264" t="s">
        <v>1835</v>
      </c>
      <c r="D273" s="5275">
        <v>7.58</v>
      </c>
      <c r="E273" s="5275"/>
      <c r="F273" s="5275"/>
      <c r="G273" s="5275"/>
      <c r="H273" s="5275"/>
      <c r="I273" s="5275"/>
      <c r="J273" s="5275"/>
      <c r="K273" s="5275"/>
      <c r="L273" s="5275"/>
      <c r="M273" s="5275"/>
    </row>
    <row r="274" spans="2:13" ht="15" customHeight="1" x14ac:dyDescent="0.25">
      <c r="B274" s="6445"/>
      <c r="C274" s="5264" t="s">
        <v>1836</v>
      </c>
      <c r="D274" s="5275">
        <v>10.08</v>
      </c>
      <c r="E274" s="5275">
        <v>17</v>
      </c>
      <c r="F274" s="5275"/>
      <c r="G274" s="5275"/>
      <c r="H274" s="5275"/>
      <c r="I274" s="5275"/>
      <c r="J274" s="5275"/>
      <c r="K274" s="5275"/>
      <c r="L274" s="5275"/>
      <c r="M274" s="5275"/>
    </row>
    <row r="275" spans="2:13" ht="15" customHeight="1" x14ac:dyDescent="0.25">
      <c r="B275" s="6445"/>
      <c r="C275" s="5246" t="s">
        <v>1837</v>
      </c>
      <c r="D275" s="5275"/>
      <c r="E275" s="5275"/>
      <c r="F275" s="5275"/>
      <c r="G275" s="5275"/>
      <c r="H275" s="5275"/>
      <c r="I275" s="5275"/>
      <c r="J275" s="5275"/>
      <c r="K275" s="5275"/>
      <c r="L275" s="5275"/>
      <c r="M275" s="5275"/>
    </row>
    <row r="276" spans="2:13" ht="15" customHeight="1" x14ac:dyDescent="0.25">
      <c r="B276" s="6445"/>
      <c r="C276" s="5264" t="s">
        <v>1838</v>
      </c>
      <c r="D276" s="5275"/>
      <c r="E276" s="5275"/>
      <c r="F276" s="5275"/>
      <c r="G276" s="5275"/>
      <c r="H276" s="5275"/>
      <c r="I276" s="5275"/>
      <c r="J276" s="5275"/>
      <c r="K276" s="5275">
        <v>6.5</v>
      </c>
      <c r="L276" s="5275">
        <v>12.183333333333334</v>
      </c>
      <c r="M276" s="5275">
        <v>41.5</v>
      </c>
    </row>
    <row r="277" spans="2:13" ht="15" customHeight="1" x14ac:dyDescent="0.25">
      <c r="B277" s="6445"/>
      <c r="C277" s="5264" t="s">
        <v>1839</v>
      </c>
      <c r="D277" s="5275"/>
      <c r="E277" s="5275"/>
      <c r="F277" s="5275"/>
      <c r="G277" s="5275"/>
      <c r="H277" s="5275"/>
      <c r="I277" s="5275"/>
      <c r="J277" s="5275"/>
      <c r="K277" s="5275">
        <v>0</v>
      </c>
      <c r="L277" s="5275">
        <v>1.9</v>
      </c>
      <c r="M277" s="5275">
        <v>7.666666666666667</v>
      </c>
    </row>
    <row r="278" spans="2:13" ht="15" customHeight="1" x14ac:dyDescent="0.25">
      <c r="B278" s="6445"/>
      <c r="C278" s="5264" t="s">
        <v>1840</v>
      </c>
      <c r="D278" s="5275">
        <v>0.67</v>
      </c>
      <c r="E278" s="5275">
        <v>0.5</v>
      </c>
      <c r="F278" s="5275"/>
      <c r="G278" s="5275"/>
      <c r="H278" s="5275"/>
      <c r="I278" s="5275"/>
      <c r="J278" s="5275"/>
      <c r="K278" s="5275"/>
      <c r="L278" s="5275"/>
      <c r="M278" s="5275"/>
    </row>
    <row r="279" spans="2:13" ht="15" customHeight="1" x14ac:dyDescent="0.25">
      <c r="B279" s="6445"/>
      <c r="C279" s="5264" t="s">
        <v>1841</v>
      </c>
      <c r="D279" s="5275"/>
      <c r="E279" s="5275"/>
      <c r="F279" s="5275"/>
      <c r="G279" s="5275"/>
      <c r="H279" s="5275"/>
      <c r="I279" s="5275"/>
      <c r="J279" s="5275"/>
      <c r="K279" s="5275"/>
      <c r="L279" s="5275"/>
      <c r="M279" s="5275"/>
    </row>
    <row r="280" spans="2:13" ht="15" customHeight="1" x14ac:dyDescent="0.25">
      <c r="B280" s="6445"/>
      <c r="C280" s="5264" t="s">
        <v>1842</v>
      </c>
      <c r="D280" s="5275"/>
      <c r="E280" s="5275"/>
      <c r="F280" s="5275"/>
      <c r="G280" s="5275"/>
      <c r="H280" s="5275"/>
      <c r="I280" s="5275"/>
      <c r="J280" s="5275"/>
      <c r="K280" s="5275"/>
      <c r="L280" s="5275"/>
      <c r="M280" s="5275"/>
    </row>
    <row r="281" spans="2:13" ht="15" customHeight="1" x14ac:dyDescent="0.25">
      <c r="B281" s="6445"/>
      <c r="C281" s="5264" t="s">
        <v>82</v>
      </c>
      <c r="D281" s="5275">
        <v>3.5</v>
      </c>
      <c r="E281" s="5275">
        <v>9.5</v>
      </c>
      <c r="F281" s="5275"/>
      <c r="G281" s="5275"/>
      <c r="H281" s="5275"/>
      <c r="I281" s="5275"/>
      <c r="J281" s="5275"/>
      <c r="K281" s="5275"/>
      <c r="L281" s="5275"/>
      <c r="M281" s="5275"/>
    </row>
    <row r="282" spans="2:13" ht="15" customHeight="1" x14ac:dyDescent="0.25">
      <c r="B282" s="6445"/>
      <c r="C282" s="5264" t="s">
        <v>1843</v>
      </c>
      <c r="D282" s="5275"/>
      <c r="E282" s="5275"/>
      <c r="F282" s="5275"/>
      <c r="G282" s="5275"/>
      <c r="H282" s="5275"/>
      <c r="I282" s="5275">
        <v>4.26</v>
      </c>
      <c r="J282" s="5275"/>
      <c r="K282" s="5275"/>
      <c r="L282" s="5275"/>
      <c r="M282" s="5275"/>
    </row>
    <row r="283" spans="2:13" ht="15" customHeight="1" x14ac:dyDescent="0.25">
      <c r="B283" s="6445"/>
      <c r="C283" s="5264" t="s">
        <v>100</v>
      </c>
      <c r="D283" s="5275"/>
      <c r="E283" s="5275"/>
      <c r="F283" s="5275"/>
      <c r="G283" s="5275"/>
      <c r="H283" s="5275"/>
      <c r="I283" s="5275"/>
      <c r="J283" s="5275"/>
      <c r="K283" s="5275"/>
      <c r="L283" s="5275"/>
      <c r="M283" s="5275"/>
    </row>
    <row r="284" spans="2:13" ht="15" customHeight="1" x14ac:dyDescent="0.25">
      <c r="B284" s="6445"/>
      <c r="C284" s="5264" t="s">
        <v>58</v>
      </c>
      <c r="D284" s="5275"/>
      <c r="E284" s="5275"/>
      <c r="F284" s="5275"/>
      <c r="G284" s="5275"/>
      <c r="H284" s="5275"/>
      <c r="I284" s="5275">
        <v>3.17</v>
      </c>
      <c r="J284" s="5275"/>
      <c r="K284" s="5275"/>
      <c r="L284" s="5275"/>
      <c r="M284" s="5275"/>
    </row>
    <row r="285" spans="2:13" ht="29.25" customHeight="1" x14ac:dyDescent="0.25">
      <c r="B285" s="6445"/>
      <c r="C285" s="5264" t="s">
        <v>1844</v>
      </c>
      <c r="D285" s="5275"/>
      <c r="E285" s="5275"/>
      <c r="F285" s="5275"/>
      <c r="G285" s="5275"/>
      <c r="H285" s="5275"/>
      <c r="I285" s="5275">
        <v>90.5</v>
      </c>
      <c r="J285" s="5275"/>
      <c r="K285" s="5275"/>
      <c r="L285" s="5275"/>
      <c r="M285" s="5275"/>
    </row>
    <row r="286" spans="2:13" ht="15" customHeight="1" x14ac:dyDescent="0.25">
      <c r="B286" s="6445">
        <v>45689</v>
      </c>
      <c r="C286" s="5212" t="s">
        <v>1818</v>
      </c>
      <c r="D286" s="5268" t="s">
        <v>1818</v>
      </c>
      <c r="E286" s="5245"/>
      <c r="F286" s="5245"/>
      <c r="G286" s="5245"/>
      <c r="H286" s="5245"/>
      <c r="I286" s="5245"/>
      <c r="J286" s="5245"/>
      <c r="K286" s="5245"/>
      <c r="L286" s="5268" t="s">
        <v>1818</v>
      </c>
      <c r="M286" s="5268"/>
    </row>
    <row r="287" spans="2:13" ht="15" customHeight="1" x14ac:dyDescent="0.25">
      <c r="B287" s="6445"/>
      <c r="C287" s="5274"/>
      <c r="D287" s="5213" t="s">
        <v>1819</v>
      </c>
      <c r="E287" s="5213" t="s">
        <v>1820</v>
      </c>
      <c r="F287" s="5213"/>
      <c r="G287" s="5213" t="s">
        <v>1821</v>
      </c>
      <c r="H287" s="5213"/>
      <c r="I287" s="5213" t="s">
        <v>1064</v>
      </c>
      <c r="J287" s="5213"/>
      <c r="K287" s="5213" t="s">
        <v>59</v>
      </c>
      <c r="L287" s="5213" t="s">
        <v>95</v>
      </c>
      <c r="M287" s="5213" t="s">
        <v>1297</v>
      </c>
    </row>
    <row r="288" spans="2:13" ht="15" customHeight="1" x14ac:dyDescent="0.25">
      <c r="B288" s="6445"/>
      <c r="C288" s="5264" t="s">
        <v>1829</v>
      </c>
      <c r="D288" s="5275">
        <v>46</v>
      </c>
      <c r="E288" s="5275">
        <v>26</v>
      </c>
      <c r="F288" s="5275"/>
      <c r="G288" s="5275">
        <v>19.5</v>
      </c>
      <c r="H288" s="5275"/>
      <c r="I288" s="5275">
        <v>448.78</v>
      </c>
      <c r="J288" s="5275"/>
      <c r="K288" s="5275">
        <v>118.58333333333333</v>
      </c>
      <c r="L288" s="5275">
        <v>80.8</v>
      </c>
      <c r="M288" s="5275">
        <v>130.75</v>
      </c>
    </row>
    <row r="289" spans="2:13" ht="15" customHeight="1" x14ac:dyDescent="0.25">
      <c r="B289" s="6445"/>
      <c r="C289" s="5264" t="s">
        <v>1830</v>
      </c>
      <c r="D289" s="5275"/>
      <c r="E289" s="5275"/>
      <c r="F289" s="5275"/>
      <c r="G289" s="5275"/>
      <c r="H289" s="5275"/>
      <c r="I289" s="5275"/>
      <c r="J289" s="5275"/>
      <c r="K289" s="5275"/>
      <c r="L289" s="5275"/>
      <c r="M289" s="5275"/>
    </row>
    <row r="290" spans="2:13" ht="15" customHeight="1" x14ac:dyDescent="0.25">
      <c r="B290" s="6445"/>
      <c r="C290" s="5264" t="s">
        <v>1831</v>
      </c>
      <c r="D290" s="5275"/>
      <c r="E290" s="5275">
        <v>0.5</v>
      </c>
      <c r="F290" s="5275"/>
      <c r="G290" s="5275"/>
      <c r="H290" s="5275"/>
      <c r="I290" s="5275"/>
      <c r="J290" s="5275"/>
      <c r="K290" s="5275">
        <v>9.0333333333333332</v>
      </c>
      <c r="L290" s="5275">
        <v>17.5</v>
      </c>
      <c r="M290" s="5275">
        <v>7.916666666666667</v>
      </c>
    </row>
    <row r="291" spans="2:13" ht="15" customHeight="1" x14ac:dyDescent="0.25">
      <c r="B291" s="6445"/>
      <c r="C291" s="5264" t="s">
        <v>466</v>
      </c>
      <c r="D291" s="5275"/>
      <c r="E291" s="5275"/>
      <c r="F291" s="5275"/>
      <c r="G291" s="5275"/>
      <c r="H291" s="5275"/>
      <c r="I291" s="5275"/>
      <c r="J291" s="5275"/>
      <c r="K291" s="5275"/>
      <c r="L291" s="5275"/>
      <c r="M291" s="5275"/>
    </row>
    <row r="292" spans="2:13" ht="15" customHeight="1" x14ac:dyDescent="0.25">
      <c r="B292" s="6445"/>
      <c r="C292" s="5264" t="s">
        <v>1832</v>
      </c>
      <c r="D292" s="5275"/>
      <c r="E292" s="5275"/>
      <c r="F292" s="5275"/>
      <c r="G292" s="5275"/>
      <c r="H292" s="5275"/>
      <c r="I292" s="5275"/>
      <c r="J292" s="5275"/>
      <c r="K292" s="5275"/>
      <c r="L292" s="5275"/>
      <c r="M292" s="5275"/>
    </row>
    <row r="293" spans="2:13" ht="15" customHeight="1" x14ac:dyDescent="0.25">
      <c r="B293" s="6445"/>
      <c r="C293" s="5264" t="s">
        <v>1833</v>
      </c>
      <c r="D293" s="5275"/>
      <c r="E293" s="5275">
        <v>1.58</v>
      </c>
      <c r="F293" s="5275"/>
      <c r="G293" s="5275"/>
      <c r="H293" s="5275"/>
      <c r="I293" s="5275">
        <v>2.6</v>
      </c>
      <c r="J293" s="5275"/>
      <c r="K293" s="5275">
        <v>34.299999999999997</v>
      </c>
      <c r="L293" s="5275">
        <v>51.116666666666667</v>
      </c>
      <c r="M293" s="5275">
        <v>26.666666666666668</v>
      </c>
    </row>
    <row r="294" spans="2:13" ht="15" customHeight="1" x14ac:dyDescent="0.25">
      <c r="B294" s="6445"/>
      <c r="C294" s="5264" t="s">
        <v>1834</v>
      </c>
      <c r="D294" s="5275"/>
      <c r="E294" s="5275">
        <v>0.5</v>
      </c>
      <c r="F294" s="5275"/>
      <c r="G294" s="5275"/>
      <c r="H294" s="5275"/>
      <c r="I294" s="5275">
        <v>38.5</v>
      </c>
      <c r="J294" s="5275"/>
      <c r="K294" s="5275">
        <v>5.9666666666666668</v>
      </c>
      <c r="L294" s="5275">
        <v>4.7833333333333332</v>
      </c>
      <c r="M294" s="5275">
        <v>12.5</v>
      </c>
    </row>
    <row r="295" spans="2:13" ht="15" customHeight="1" x14ac:dyDescent="0.25">
      <c r="B295" s="6445"/>
      <c r="C295" s="5264" t="s">
        <v>1835</v>
      </c>
      <c r="D295" s="5275"/>
      <c r="E295" s="5275"/>
      <c r="F295" s="5275"/>
      <c r="G295" s="5275"/>
      <c r="H295" s="5275"/>
      <c r="I295" s="5275"/>
      <c r="J295" s="5275"/>
      <c r="K295" s="5275"/>
      <c r="L295" s="5275"/>
      <c r="M295" s="5275"/>
    </row>
    <row r="296" spans="2:13" ht="15" customHeight="1" x14ac:dyDescent="0.25">
      <c r="B296" s="6445"/>
      <c r="C296" s="5264" t="s">
        <v>1836</v>
      </c>
      <c r="D296" s="5275"/>
      <c r="E296" s="5275"/>
      <c r="F296" s="5275"/>
      <c r="G296" s="5275"/>
      <c r="H296" s="5275"/>
      <c r="I296" s="5275"/>
      <c r="J296" s="5275"/>
      <c r="K296" s="5275"/>
      <c r="L296" s="5275"/>
      <c r="M296" s="5275"/>
    </row>
    <row r="297" spans="2:13" ht="15" customHeight="1" x14ac:dyDescent="0.25">
      <c r="B297" s="6445"/>
      <c r="C297" s="5246" t="s">
        <v>1837</v>
      </c>
      <c r="D297" s="5275"/>
      <c r="E297" s="5275"/>
      <c r="F297" s="5275"/>
      <c r="G297" s="5275"/>
      <c r="H297" s="5275"/>
      <c r="I297" s="5275"/>
      <c r="J297" s="5275"/>
      <c r="K297" s="5275"/>
      <c r="L297" s="5275"/>
      <c r="M297" s="5275"/>
    </row>
    <row r="298" spans="2:13" ht="15" customHeight="1" x14ac:dyDescent="0.25">
      <c r="B298" s="6445"/>
      <c r="C298" s="5264" t="s">
        <v>1838</v>
      </c>
      <c r="D298" s="5275"/>
      <c r="E298" s="5275"/>
      <c r="F298" s="5275"/>
      <c r="G298" s="5275"/>
      <c r="H298" s="5275"/>
      <c r="I298" s="5275"/>
      <c r="J298" s="5275"/>
      <c r="K298" s="5275">
        <v>9.1666666666666661</v>
      </c>
      <c r="L298" s="5275">
        <v>15.5</v>
      </c>
      <c r="M298" s="5275">
        <v>8.8333333333333339</v>
      </c>
    </row>
    <row r="299" spans="2:13" ht="15" customHeight="1" x14ac:dyDescent="0.25">
      <c r="B299" s="6445"/>
      <c r="C299" s="5264" t="s">
        <v>1839</v>
      </c>
      <c r="D299" s="5275"/>
      <c r="E299" s="5275"/>
      <c r="F299" s="5275"/>
      <c r="G299" s="5275"/>
      <c r="H299" s="5275"/>
      <c r="I299" s="5275"/>
      <c r="J299" s="5275"/>
      <c r="K299" s="5275">
        <v>0</v>
      </c>
      <c r="L299" s="5275">
        <v>0.98333333333333328</v>
      </c>
      <c r="M299" s="5275">
        <v>8.0833333333333339</v>
      </c>
    </row>
    <row r="300" spans="2:13" ht="15" customHeight="1" x14ac:dyDescent="0.25">
      <c r="B300" s="6445"/>
      <c r="C300" s="5264" t="s">
        <v>1840</v>
      </c>
      <c r="D300" s="5275"/>
      <c r="E300" s="5275"/>
      <c r="F300" s="5275"/>
      <c r="G300" s="5275"/>
      <c r="H300" s="5275"/>
      <c r="I300" s="5275"/>
      <c r="J300" s="5275"/>
      <c r="K300" s="5275"/>
      <c r="L300" s="5275"/>
      <c r="M300" s="5275"/>
    </row>
    <row r="301" spans="2:13" ht="15" customHeight="1" x14ac:dyDescent="0.25">
      <c r="B301" s="6445"/>
      <c r="C301" s="5264" t="s">
        <v>1841</v>
      </c>
      <c r="D301" s="5275"/>
      <c r="E301" s="5275"/>
      <c r="F301" s="5275"/>
      <c r="G301" s="5275"/>
      <c r="H301" s="5275"/>
      <c r="I301" s="5275"/>
      <c r="J301" s="5275"/>
      <c r="K301" s="5275"/>
      <c r="L301" s="5275"/>
      <c r="M301" s="5275"/>
    </row>
    <row r="302" spans="2:13" ht="15" customHeight="1" x14ac:dyDescent="0.25">
      <c r="B302" s="6445"/>
      <c r="C302" s="5264" t="s">
        <v>1842</v>
      </c>
      <c r="D302" s="5275"/>
      <c r="E302" s="5275"/>
      <c r="F302" s="5275"/>
      <c r="G302" s="5275"/>
      <c r="H302" s="5275"/>
      <c r="I302" s="5275"/>
      <c r="J302" s="5275"/>
      <c r="K302" s="5275"/>
      <c r="L302" s="5275"/>
      <c r="M302" s="5275"/>
    </row>
    <row r="303" spans="2:13" ht="15" customHeight="1" x14ac:dyDescent="0.25">
      <c r="B303" s="6445"/>
      <c r="C303" s="5264" t="s">
        <v>82</v>
      </c>
      <c r="D303" s="5275"/>
      <c r="E303" s="5275"/>
      <c r="F303" s="5275"/>
      <c r="G303" s="5275"/>
      <c r="H303" s="5275"/>
      <c r="I303" s="5275"/>
      <c r="J303" s="5275"/>
      <c r="K303" s="5275"/>
      <c r="L303" s="5275"/>
      <c r="M303" s="5275"/>
    </row>
    <row r="304" spans="2:13" ht="15" customHeight="1" x14ac:dyDescent="0.25">
      <c r="B304" s="6445"/>
      <c r="C304" s="5264" t="s">
        <v>1843</v>
      </c>
      <c r="D304" s="5275"/>
      <c r="E304" s="5275"/>
      <c r="F304" s="5275"/>
      <c r="G304" s="5275"/>
      <c r="H304" s="5275"/>
      <c r="I304" s="5275">
        <v>5</v>
      </c>
      <c r="J304" s="5275"/>
      <c r="K304" s="5275"/>
      <c r="L304" s="5275"/>
      <c r="M304" s="5275"/>
    </row>
    <row r="305" spans="2:13" ht="15" customHeight="1" x14ac:dyDescent="0.25">
      <c r="B305" s="6445"/>
      <c r="C305" s="5264" t="s">
        <v>100</v>
      </c>
      <c r="D305" s="5275"/>
      <c r="E305" s="5275"/>
      <c r="F305" s="5275"/>
      <c r="G305" s="5275"/>
      <c r="H305" s="5275"/>
      <c r="I305" s="5275"/>
      <c r="J305" s="5275"/>
      <c r="K305" s="5275"/>
      <c r="L305" s="5275"/>
      <c r="M305" s="5275"/>
    </row>
    <row r="306" spans="2:13" ht="15" customHeight="1" x14ac:dyDescent="0.25">
      <c r="B306" s="6445"/>
      <c r="C306" s="5264" t="s">
        <v>58</v>
      </c>
      <c r="D306" s="5275"/>
      <c r="E306" s="5275"/>
      <c r="F306" s="5275"/>
      <c r="G306" s="5275"/>
      <c r="H306" s="5275"/>
      <c r="I306" s="5275">
        <v>4.5</v>
      </c>
      <c r="J306" s="5275"/>
      <c r="K306" s="5275"/>
      <c r="L306" s="5275"/>
      <c r="M306" s="5275"/>
    </row>
    <row r="307" spans="2:13" ht="29.25" customHeight="1" x14ac:dyDescent="0.25">
      <c r="B307" s="6445"/>
      <c r="C307" s="5264" t="s">
        <v>1844</v>
      </c>
      <c r="D307" s="5275"/>
      <c r="E307" s="5275"/>
      <c r="F307" s="5275"/>
      <c r="G307" s="5275"/>
      <c r="H307" s="5275"/>
      <c r="I307" s="5275">
        <v>87.45</v>
      </c>
      <c r="J307" s="5275"/>
      <c r="K307" s="5275"/>
      <c r="L307" s="5275"/>
      <c r="M307" s="5275"/>
    </row>
    <row r="308" spans="2:13" ht="15" customHeight="1" x14ac:dyDescent="0.25">
      <c r="B308" s="6445">
        <v>45717</v>
      </c>
      <c r="C308" s="5212" t="s">
        <v>1818</v>
      </c>
      <c r="D308" s="5268" t="s">
        <v>1818</v>
      </c>
      <c r="E308" s="5245"/>
      <c r="F308" s="5245"/>
      <c r="G308" s="5245"/>
      <c r="H308" s="5245"/>
      <c r="I308" s="5245"/>
      <c r="J308" s="5245"/>
      <c r="K308" s="5245"/>
      <c r="L308" s="5268" t="s">
        <v>1818</v>
      </c>
      <c r="M308" s="5268"/>
    </row>
    <row r="309" spans="2:13" ht="15" customHeight="1" x14ac:dyDescent="0.25">
      <c r="B309" s="6445"/>
      <c r="C309" s="5274"/>
      <c r="D309" s="5213" t="s">
        <v>1819</v>
      </c>
      <c r="E309" s="5213" t="s">
        <v>1820</v>
      </c>
      <c r="F309" s="5213"/>
      <c r="G309" s="5213" t="s">
        <v>1821</v>
      </c>
      <c r="H309" s="5213"/>
      <c r="I309" s="5213" t="s">
        <v>1064</v>
      </c>
      <c r="J309" s="5213"/>
      <c r="K309" s="5213" t="s">
        <v>59</v>
      </c>
      <c r="L309" s="5213" t="s">
        <v>95</v>
      </c>
      <c r="M309" s="5213" t="s">
        <v>1297</v>
      </c>
    </row>
    <row r="310" spans="2:13" ht="15" customHeight="1" x14ac:dyDescent="0.25">
      <c r="B310" s="6445"/>
      <c r="C310" s="5264" t="s">
        <v>1829</v>
      </c>
      <c r="D310" s="5275"/>
      <c r="E310" s="5275"/>
      <c r="F310" s="5275"/>
      <c r="G310" s="5275">
        <v>17</v>
      </c>
      <c r="H310" s="5275"/>
      <c r="I310" s="5275">
        <v>758.18</v>
      </c>
      <c r="J310" s="5275"/>
      <c r="K310" s="5275">
        <v>109.88333333333334</v>
      </c>
      <c r="L310" s="5275">
        <v>79.599999999999994</v>
      </c>
      <c r="M310" s="5275">
        <v>121.41666666666667</v>
      </c>
    </row>
    <row r="311" spans="2:13" ht="15" customHeight="1" x14ac:dyDescent="0.25">
      <c r="B311" s="6445"/>
      <c r="C311" s="5264" t="s">
        <v>1830</v>
      </c>
      <c r="D311" s="5275"/>
      <c r="E311" s="5275"/>
      <c r="F311" s="5275"/>
      <c r="G311" s="5275"/>
      <c r="H311" s="5275"/>
      <c r="I311" s="5275"/>
      <c r="J311" s="5275"/>
      <c r="K311" s="5275"/>
      <c r="L311" s="5275"/>
      <c r="M311" s="5275"/>
    </row>
    <row r="312" spans="2:13" ht="15" customHeight="1" x14ac:dyDescent="0.25">
      <c r="B312" s="6445"/>
      <c r="C312" s="5264" t="s">
        <v>1831</v>
      </c>
      <c r="D312" s="5275">
        <v>2</v>
      </c>
      <c r="E312" s="5275"/>
      <c r="F312" s="5275"/>
      <c r="G312" s="5275"/>
      <c r="H312" s="5275"/>
      <c r="I312" s="5275">
        <v>2</v>
      </c>
      <c r="J312" s="5275"/>
      <c r="K312" s="5275">
        <v>20.733333333333334</v>
      </c>
      <c r="L312" s="5275">
        <v>21.466666666666665</v>
      </c>
      <c r="M312" s="5275">
        <v>8.4166666666666661</v>
      </c>
    </row>
    <row r="313" spans="2:13" ht="15" customHeight="1" x14ac:dyDescent="0.25">
      <c r="B313" s="6445"/>
      <c r="C313" s="5264" t="s">
        <v>466</v>
      </c>
      <c r="D313" s="5275"/>
      <c r="E313" s="5275"/>
      <c r="F313" s="5275"/>
      <c r="G313" s="5275"/>
      <c r="H313" s="5275"/>
      <c r="I313" s="5275"/>
      <c r="J313" s="5275"/>
      <c r="K313" s="5275"/>
      <c r="L313" s="5275"/>
      <c r="M313" s="5275"/>
    </row>
    <row r="314" spans="2:13" ht="15" customHeight="1" x14ac:dyDescent="0.25">
      <c r="B314" s="6445"/>
      <c r="C314" s="5264" t="s">
        <v>1832</v>
      </c>
      <c r="D314" s="5275"/>
      <c r="E314" s="5275"/>
      <c r="F314" s="5275"/>
      <c r="G314" s="5275"/>
      <c r="H314" s="5275"/>
      <c r="I314" s="5275"/>
      <c r="J314" s="5275"/>
      <c r="K314" s="5275"/>
      <c r="L314" s="5275"/>
      <c r="M314" s="5275"/>
    </row>
    <row r="315" spans="2:13" ht="15" customHeight="1" x14ac:dyDescent="0.25">
      <c r="B315" s="6445"/>
      <c r="C315" s="5264" t="s">
        <v>1833</v>
      </c>
      <c r="D315" s="5275"/>
      <c r="E315" s="5275">
        <v>0.5</v>
      </c>
      <c r="F315" s="5275"/>
      <c r="G315" s="5275">
        <v>1.5</v>
      </c>
      <c r="H315" s="5275"/>
      <c r="I315" s="5275">
        <v>7.2</v>
      </c>
      <c r="J315" s="5275"/>
      <c r="K315" s="5275">
        <v>43.4</v>
      </c>
      <c r="L315" s="5275">
        <v>42.133333333333333</v>
      </c>
      <c r="M315" s="5275">
        <v>24.583333333333332</v>
      </c>
    </row>
    <row r="316" spans="2:13" ht="15" customHeight="1" x14ac:dyDescent="0.25">
      <c r="B316" s="6445"/>
      <c r="C316" s="5264" t="s">
        <v>1834</v>
      </c>
      <c r="D316" s="5275"/>
      <c r="E316" s="5275">
        <v>2.5</v>
      </c>
      <c r="F316" s="5275"/>
      <c r="G316" s="5275"/>
      <c r="H316" s="5275"/>
      <c r="I316" s="5275">
        <v>4.5999999999999996</v>
      </c>
      <c r="J316" s="5275"/>
      <c r="K316" s="5275">
        <v>7.416666666666667</v>
      </c>
      <c r="L316" s="5275">
        <v>5.8833333333333329</v>
      </c>
      <c r="M316" s="5275">
        <v>11.166666666666666</v>
      </c>
    </row>
    <row r="317" spans="2:13" ht="15" customHeight="1" x14ac:dyDescent="0.25">
      <c r="B317" s="6445"/>
      <c r="C317" s="5264" t="s">
        <v>1835</v>
      </c>
      <c r="D317" s="5275"/>
      <c r="E317" s="5275"/>
      <c r="F317" s="5275"/>
      <c r="G317" s="5275"/>
      <c r="H317" s="5275"/>
      <c r="I317" s="5275"/>
      <c r="J317" s="5275"/>
      <c r="K317" s="5275"/>
      <c r="L317" s="5275"/>
      <c r="M317" s="5275"/>
    </row>
    <row r="318" spans="2:13" ht="15" customHeight="1" x14ac:dyDescent="0.25">
      <c r="B318" s="6445"/>
      <c r="C318" s="5264" t="s">
        <v>1836</v>
      </c>
      <c r="D318" s="5275">
        <v>37.67</v>
      </c>
      <c r="E318" s="5275">
        <v>25</v>
      </c>
      <c r="F318" s="5275"/>
      <c r="G318" s="5275"/>
      <c r="H318" s="5275"/>
      <c r="I318" s="5275"/>
      <c r="J318" s="5275"/>
      <c r="K318" s="5275"/>
      <c r="L318" s="5275"/>
      <c r="M318" s="5275"/>
    </row>
    <row r="319" spans="2:13" ht="15" customHeight="1" x14ac:dyDescent="0.25">
      <c r="B319" s="6445"/>
      <c r="C319" s="5246" t="s">
        <v>1837</v>
      </c>
      <c r="D319" s="5275"/>
      <c r="E319" s="5275"/>
      <c r="F319" s="5275"/>
      <c r="G319" s="5275"/>
      <c r="H319" s="5275"/>
      <c r="I319" s="5275"/>
      <c r="J319" s="5275"/>
      <c r="K319" s="5275"/>
      <c r="L319" s="5275"/>
      <c r="M319" s="5275"/>
    </row>
    <row r="320" spans="2:13" ht="15" customHeight="1" x14ac:dyDescent="0.25">
      <c r="B320" s="6445"/>
      <c r="C320" s="5264" t="s">
        <v>1838</v>
      </c>
      <c r="D320" s="5275"/>
      <c r="E320" s="5275">
        <v>1</v>
      </c>
      <c r="F320" s="5275"/>
      <c r="G320" s="5275"/>
      <c r="H320" s="5275"/>
      <c r="I320" s="5275"/>
      <c r="J320" s="5275"/>
      <c r="K320" s="5275">
        <v>6.2166666666666668</v>
      </c>
      <c r="L320" s="5275">
        <v>8.8333333333333339</v>
      </c>
      <c r="M320" s="5275">
        <v>41.416666666666664</v>
      </c>
    </row>
    <row r="321" spans="2:13" ht="15" customHeight="1" x14ac:dyDescent="0.25">
      <c r="B321" s="6445"/>
      <c r="C321" s="5264" t="s">
        <v>1839</v>
      </c>
      <c r="D321" s="5275"/>
      <c r="E321" s="5275"/>
      <c r="F321" s="5275"/>
      <c r="G321" s="5275"/>
      <c r="H321" s="5275"/>
      <c r="I321" s="5275"/>
      <c r="J321" s="5275"/>
      <c r="K321" s="5275">
        <v>1.5</v>
      </c>
      <c r="L321" s="5275">
        <v>2.7333333333333334</v>
      </c>
      <c r="M321" s="5275">
        <v>8.6666666666666661</v>
      </c>
    </row>
    <row r="322" spans="2:13" ht="15" customHeight="1" x14ac:dyDescent="0.25">
      <c r="B322" s="6445"/>
      <c r="C322" s="5264" t="s">
        <v>1840</v>
      </c>
      <c r="D322" s="5275">
        <v>0.33</v>
      </c>
      <c r="E322" s="5275"/>
      <c r="F322" s="5275"/>
      <c r="G322" s="5275"/>
      <c r="H322" s="5275"/>
      <c r="I322" s="5275"/>
      <c r="J322" s="5275"/>
      <c r="K322" s="5275"/>
      <c r="L322" s="5275"/>
      <c r="M322" s="5275"/>
    </row>
    <row r="323" spans="2:13" ht="15" customHeight="1" x14ac:dyDescent="0.25">
      <c r="B323" s="6445"/>
      <c r="C323" s="5264" t="s">
        <v>1841</v>
      </c>
      <c r="D323" s="5275"/>
      <c r="E323" s="5275"/>
      <c r="F323" s="5275"/>
      <c r="G323" s="5275"/>
      <c r="H323" s="5275"/>
      <c r="I323" s="5275"/>
      <c r="J323" s="5275"/>
      <c r="K323" s="5275"/>
      <c r="L323" s="5275"/>
      <c r="M323" s="5275"/>
    </row>
    <row r="324" spans="2:13" ht="15" customHeight="1" x14ac:dyDescent="0.25">
      <c r="B324" s="6445"/>
      <c r="C324" s="5264" t="s">
        <v>1842</v>
      </c>
      <c r="D324" s="5275"/>
      <c r="E324" s="5275"/>
      <c r="F324" s="5275"/>
      <c r="G324" s="5275"/>
      <c r="H324" s="5275"/>
      <c r="I324" s="5275"/>
      <c r="J324" s="5275"/>
      <c r="K324" s="5275"/>
      <c r="L324" s="5275"/>
      <c r="M324" s="5275"/>
    </row>
    <row r="325" spans="2:13" ht="15" customHeight="1" x14ac:dyDescent="0.25">
      <c r="B325" s="6445"/>
      <c r="C325" s="5264" t="s">
        <v>2081</v>
      </c>
      <c r="D325" s="5275"/>
      <c r="E325" s="5275"/>
      <c r="F325" s="5275"/>
      <c r="G325" s="5275"/>
      <c r="H325" s="5275"/>
      <c r="I325" s="5275">
        <v>3.5</v>
      </c>
      <c r="J325" s="5275"/>
      <c r="K325" s="5275"/>
      <c r="L325" s="5275"/>
      <c r="M325" s="5275"/>
    </row>
    <row r="326" spans="2:13" ht="15" customHeight="1" x14ac:dyDescent="0.25">
      <c r="B326" s="6445"/>
      <c r="C326" s="5264" t="s">
        <v>82</v>
      </c>
      <c r="D326" s="5275"/>
      <c r="E326" s="5275"/>
      <c r="F326" s="5275"/>
      <c r="G326" s="5275"/>
      <c r="H326" s="5275"/>
      <c r="I326" s="5275"/>
      <c r="J326" s="5275"/>
      <c r="K326" s="5275"/>
      <c r="L326" s="5275"/>
      <c r="M326" s="5275"/>
    </row>
    <row r="327" spans="2:13" ht="15" customHeight="1" x14ac:dyDescent="0.25">
      <c r="B327" s="6445"/>
      <c r="C327" s="5264" t="s">
        <v>1843</v>
      </c>
      <c r="D327" s="5275"/>
      <c r="E327" s="5275"/>
      <c r="F327" s="5275"/>
      <c r="G327" s="5275"/>
      <c r="H327" s="5275"/>
      <c r="I327" s="5275">
        <v>1.9</v>
      </c>
      <c r="J327" s="5275"/>
      <c r="K327" s="5275"/>
      <c r="L327" s="5275"/>
      <c r="M327" s="5275"/>
    </row>
    <row r="328" spans="2:13" ht="15" customHeight="1" x14ac:dyDescent="0.25">
      <c r="B328" s="6445"/>
      <c r="C328" s="5264" t="s">
        <v>100</v>
      </c>
      <c r="D328" s="5275"/>
      <c r="E328" s="5275"/>
      <c r="F328" s="5275"/>
      <c r="G328" s="5275"/>
      <c r="H328" s="5275"/>
      <c r="I328" s="5275"/>
      <c r="J328" s="5275"/>
      <c r="K328" s="5275"/>
      <c r="L328" s="5275"/>
      <c r="M328" s="5275"/>
    </row>
    <row r="329" spans="2:13" ht="29.25" customHeight="1" x14ac:dyDescent="0.25">
      <c r="B329" s="6445"/>
      <c r="C329" s="5264" t="s">
        <v>58</v>
      </c>
      <c r="D329" s="5275"/>
      <c r="E329" s="5275"/>
      <c r="F329" s="5275"/>
      <c r="G329" s="5275"/>
      <c r="H329" s="5275"/>
      <c r="I329" s="5275">
        <v>2.7</v>
      </c>
      <c r="J329" s="5275"/>
      <c r="K329" s="5275"/>
      <c r="L329" s="5275"/>
      <c r="M329" s="5275"/>
    </row>
    <row r="330" spans="2:13" ht="29.25" x14ac:dyDescent="0.25">
      <c r="B330" s="6445"/>
      <c r="C330" s="5264" t="s">
        <v>1844</v>
      </c>
      <c r="D330" s="5275"/>
      <c r="E330" s="5275"/>
      <c r="F330" s="5275"/>
      <c r="G330" s="5275"/>
      <c r="H330" s="5275"/>
      <c r="I330" s="5275">
        <v>41.2</v>
      </c>
      <c r="J330" s="5275"/>
      <c r="K330" s="5275"/>
      <c r="L330" s="5275"/>
      <c r="M330" s="5275"/>
    </row>
  </sheetData>
  <mergeCells count="17">
    <mergeCell ref="B219:B240"/>
    <mergeCell ref="B242:B263"/>
    <mergeCell ref="B264:B285"/>
    <mergeCell ref="B286:B307"/>
    <mergeCell ref="B308:B330"/>
    <mergeCell ref="B173:B195"/>
    <mergeCell ref="B196:B218"/>
    <mergeCell ref="B2:M2"/>
    <mergeCell ref="B3:M3"/>
    <mergeCell ref="B5:B21"/>
    <mergeCell ref="B25:B41"/>
    <mergeCell ref="B45:B61"/>
    <mergeCell ref="B65:B85"/>
    <mergeCell ref="B87:B107"/>
    <mergeCell ref="B108:B128"/>
    <mergeCell ref="B129:B150"/>
    <mergeCell ref="B151:B172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5" workbookViewId="0"/>
  </sheetViews>
  <sheetFormatPr defaultRowHeight="15" x14ac:dyDescent="0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33"/>
  <sheetViews>
    <sheetView topLeftCell="F1" workbookViewId="0">
      <selection activeCell="Q13" sqref="Q13"/>
    </sheetView>
  </sheetViews>
  <sheetFormatPr defaultColWidth="9.140625" defaultRowHeight="15" x14ac:dyDescent="0.25"/>
  <cols>
    <col min="3" max="3" width="12.7109375" bestFit="1" customWidth="1"/>
    <col min="4" max="4" width="24.5703125" bestFit="1" customWidth="1"/>
    <col min="5" max="5" width="75.7109375" customWidth="1"/>
    <col min="6" max="6" width="26.5703125" style="280" customWidth="1"/>
    <col min="7" max="7" width="25.28515625" bestFit="1" customWidth="1"/>
    <col min="8" max="8" width="26.7109375" style="280" customWidth="1"/>
    <col min="9" max="9" width="27.140625" customWidth="1"/>
    <col min="10" max="10" width="31.7109375" bestFit="1" customWidth="1"/>
  </cols>
  <sheetData>
    <row r="4" spans="3:10" ht="18.75" x14ac:dyDescent="0.25">
      <c r="C4" s="6458" t="s">
        <v>2003</v>
      </c>
      <c r="D4" s="6458" t="s">
        <v>2004</v>
      </c>
      <c r="E4" s="4700"/>
      <c r="F4" s="6459" t="s">
        <v>2005</v>
      </c>
      <c r="G4" s="6460"/>
      <c r="H4" s="6460"/>
      <c r="I4" s="6460"/>
      <c r="J4" s="6461"/>
    </row>
    <row r="5" spans="3:10" ht="18.75" x14ac:dyDescent="0.25">
      <c r="C5" s="6458"/>
      <c r="D5" s="6458"/>
      <c r="E5" s="4700" t="s">
        <v>2012</v>
      </c>
      <c r="F5" s="4700" t="s">
        <v>173</v>
      </c>
      <c r="G5" s="4700" t="s">
        <v>2006</v>
      </c>
      <c r="H5" s="4700" t="s">
        <v>2007</v>
      </c>
      <c r="I5" s="4700" t="s">
        <v>2006</v>
      </c>
      <c r="J5" s="4700" t="s">
        <v>2013</v>
      </c>
    </row>
    <row r="6" spans="3:10" ht="72" x14ac:dyDescent="0.3">
      <c r="C6" s="4700">
        <v>1</v>
      </c>
      <c r="D6" s="4701" t="s">
        <v>1063</v>
      </c>
      <c r="E6" s="4702" t="s">
        <v>2014</v>
      </c>
      <c r="F6" s="4700" t="s">
        <v>2015</v>
      </c>
      <c r="G6" s="4703">
        <v>36</v>
      </c>
      <c r="H6" s="4704" t="s">
        <v>2016</v>
      </c>
      <c r="I6" s="4700">
        <v>31</v>
      </c>
      <c r="J6" s="4704" t="s">
        <v>2082</v>
      </c>
    </row>
    <row r="7" spans="3:10" ht="55.5" customHeight="1" x14ac:dyDescent="0.25">
      <c r="C7" s="6458">
        <v>2</v>
      </c>
      <c r="D7" s="4705" t="s">
        <v>2008</v>
      </c>
      <c r="E7" s="6462" t="s">
        <v>2017</v>
      </c>
      <c r="F7" s="4703"/>
      <c r="G7" s="4700">
        <v>15</v>
      </c>
      <c r="H7" s="4706" t="s">
        <v>2018</v>
      </c>
      <c r="I7" s="4700">
        <v>23</v>
      </c>
      <c r="J7" s="4699"/>
    </row>
    <row r="8" spans="3:10" ht="60.75" customHeight="1" x14ac:dyDescent="0.25">
      <c r="C8" s="6458"/>
      <c r="D8" s="4705" t="s">
        <v>2009</v>
      </c>
      <c r="E8" s="6463"/>
      <c r="F8" s="4703"/>
      <c r="G8" s="4700">
        <v>15</v>
      </c>
      <c r="H8" s="4700" t="s">
        <v>2019</v>
      </c>
      <c r="I8" s="4700">
        <v>25</v>
      </c>
      <c r="J8" s="4699"/>
    </row>
    <row r="9" spans="3:10" ht="18.75" x14ac:dyDescent="0.25">
      <c r="C9" s="6452">
        <v>3</v>
      </c>
      <c r="D9" s="4705" t="s">
        <v>2020</v>
      </c>
      <c r="E9" s="4705"/>
      <c r="F9" s="4703"/>
      <c r="G9" s="4700"/>
      <c r="H9" s="4700"/>
      <c r="I9" s="4700"/>
      <c r="J9" s="4699"/>
    </row>
    <row r="10" spans="3:10" ht="18.75" x14ac:dyDescent="0.25">
      <c r="C10" s="6453"/>
      <c r="D10" s="4707" t="s">
        <v>2021</v>
      </c>
      <c r="E10" s="4707"/>
      <c r="F10" s="4703" t="s">
        <v>2022</v>
      </c>
      <c r="G10" s="4700">
        <v>120</v>
      </c>
      <c r="H10" s="4700" t="s">
        <v>2023</v>
      </c>
      <c r="I10" s="4700">
        <v>119</v>
      </c>
      <c r="J10" s="4699"/>
    </row>
    <row r="11" spans="3:10" ht="18.75" x14ac:dyDescent="0.25">
      <c r="C11" s="6454"/>
      <c r="D11" s="4707" t="s">
        <v>2024</v>
      </c>
      <c r="E11" s="4707"/>
      <c r="F11" s="4703" t="s">
        <v>2025</v>
      </c>
      <c r="G11" s="4700">
        <v>120</v>
      </c>
      <c r="H11" s="4700"/>
      <c r="I11" s="4700"/>
      <c r="J11" s="4700" t="s">
        <v>2026</v>
      </c>
    </row>
    <row r="12" spans="3:10" ht="18.75" x14ac:dyDescent="0.25">
      <c r="C12" s="6452">
        <v>4</v>
      </c>
      <c r="D12" s="4708" t="s">
        <v>1064</v>
      </c>
      <c r="E12" s="4708"/>
      <c r="F12" s="4709"/>
      <c r="G12" s="4700"/>
      <c r="H12" s="4709"/>
      <c r="I12" s="4700"/>
      <c r="J12" s="4699"/>
    </row>
    <row r="13" spans="3:10" ht="63.75" customHeight="1" x14ac:dyDescent="0.25">
      <c r="C13" s="6453"/>
      <c r="D13" s="4703" t="s">
        <v>2027</v>
      </c>
      <c r="E13" s="4710" t="s">
        <v>2028</v>
      </c>
      <c r="F13" s="4703"/>
      <c r="G13" s="4700">
        <v>35</v>
      </c>
      <c r="H13" s="4704" t="s">
        <v>2029</v>
      </c>
      <c r="I13" s="4700">
        <v>20</v>
      </c>
      <c r="J13" s="4704" t="s">
        <v>2030</v>
      </c>
    </row>
    <row r="14" spans="3:10" ht="63.75" customHeight="1" x14ac:dyDescent="0.25">
      <c r="C14" s="6453"/>
      <c r="D14" s="4703" t="s">
        <v>2031</v>
      </c>
      <c r="E14" s="4710" t="s">
        <v>2032</v>
      </c>
      <c r="F14" s="4703"/>
      <c r="G14" s="4700">
        <v>20</v>
      </c>
      <c r="H14" s="4704"/>
      <c r="I14" s="4700"/>
      <c r="J14" s="4704"/>
    </row>
    <row r="15" spans="3:10" ht="57.75" customHeight="1" x14ac:dyDescent="0.25">
      <c r="C15" s="6453"/>
      <c r="D15" s="4703" t="s">
        <v>2033</v>
      </c>
      <c r="E15" s="4710" t="s">
        <v>2034</v>
      </c>
      <c r="F15" s="4703"/>
      <c r="G15" s="4700">
        <v>20</v>
      </c>
      <c r="H15" s="4704" t="s">
        <v>2035</v>
      </c>
      <c r="I15" s="4700">
        <v>9</v>
      </c>
      <c r="J15" s="4704" t="s">
        <v>2036</v>
      </c>
    </row>
    <row r="16" spans="3:10" ht="63.75" customHeight="1" x14ac:dyDescent="0.25">
      <c r="C16" s="6453"/>
      <c r="D16" s="6464" t="s">
        <v>2010</v>
      </c>
      <c r="E16" s="4710" t="s">
        <v>2037</v>
      </c>
      <c r="F16" s="4711"/>
      <c r="G16" s="6452">
        <v>30</v>
      </c>
      <c r="H16" s="4704" t="s">
        <v>2038</v>
      </c>
      <c r="I16" s="4700">
        <v>6</v>
      </c>
      <c r="J16" s="4704"/>
    </row>
    <row r="17" spans="3:10" ht="37.5" x14ac:dyDescent="0.25">
      <c r="C17" s="6453"/>
      <c r="D17" s="6465"/>
      <c r="E17" s="4710" t="s">
        <v>2039</v>
      </c>
      <c r="F17" s="4711"/>
      <c r="G17" s="6453"/>
      <c r="H17" s="4704" t="s">
        <v>2040</v>
      </c>
      <c r="I17" s="4700">
        <v>10</v>
      </c>
      <c r="J17" s="4704"/>
    </row>
    <row r="18" spans="3:10" ht="37.5" x14ac:dyDescent="0.25">
      <c r="C18" s="6453"/>
      <c r="D18" s="6466" t="s">
        <v>2011</v>
      </c>
      <c r="E18" s="4710" t="s">
        <v>2041</v>
      </c>
      <c r="F18" s="4711"/>
      <c r="G18" s="6453"/>
      <c r="H18" s="4704" t="s">
        <v>2042</v>
      </c>
      <c r="I18" s="4700">
        <v>12</v>
      </c>
      <c r="J18" s="4704"/>
    </row>
    <row r="19" spans="3:10" ht="37.5" x14ac:dyDescent="0.25">
      <c r="C19" s="6453"/>
      <c r="D19" s="6464"/>
      <c r="E19" s="4710" t="s">
        <v>2043</v>
      </c>
      <c r="F19" s="4711"/>
      <c r="G19" s="6453"/>
      <c r="H19" s="4704" t="s">
        <v>2044</v>
      </c>
      <c r="I19" s="4700">
        <v>5</v>
      </c>
      <c r="J19" s="4704"/>
    </row>
    <row r="20" spans="3:10" ht="37.5" x14ac:dyDescent="0.25">
      <c r="C20" s="6453"/>
      <c r="D20" s="6465"/>
      <c r="E20" s="4710" t="s">
        <v>2045</v>
      </c>
      <c r="F20" s="6467"/>
      <c r="G20" s="6453"/>
      <c r="H20" s="4704" t="s">
        <v>2046</v>
      </c>
      <c r="I20" s="4700">
        <v>7</v>
      </c>
      <c r="J20" s="4699"/>
    </row>
    <row r="21" spans="3:10" ht="37.5" x14ac:dyDescent="0.25">
      <c r="C21" s="6453"/>
      <c r="D21" s="4712" t="s">
        <v>1064</v>
      </c>
      <c r="E21" s="4710" t="s">
        <v>2047</v>
      </c>
      <c r="F21" s="6467"/>
      <c r="G21" s="6453"/>
      <c r="H21" s="4704" t="s">
        <v>2048</v>
      </c>
      <c r="I21" s="4700">
        <v>26</v>
      </c>
      <c r="J21" s="4699"/>
    </row>
    <row r="22" spans="3:10" ht="37.5" x14ac:dyDescent="0.25">
      <c r="C22" s="6453"/>
      <c r="D22" s="4703" t="s">
        <v>1064</v>
      </c>
      <c r="E22" s="4710" t="s">
        <v>2049</v>
      </c>
      <c r="F22" s="6467"/>
      <c r="G22" s="6453"/>
      <c r="H22" s="4704" t="s">
        <v>2050</v>
      </c>
      <c r="I22" s="4700">
        <v>26</v>
      </c>
      <c r="J22" s="4699"/>
    </row>
    <row r="23" spans="3:10" ht="37.5" x14ac:dyDescent="0.25">
      <c r="C23" s="6453"/>
      <c r="D23" s="4703" t="s">
        <v>1064</v>
      </c>
      <c r="E23" s="4710" t="s">
        <v>2051</v>
      </c>
      <c r="F23" s="6467"/>
      <c r="G23" s="6453"/>
      <c r="H23" s="4704" t="s">
        <v>2029</v>
      </c>
      <c r="I23" s="4700">
        <v>20</v>
      </c>
      <c r="J23" s="4699"/>
    </row>
    <row r="24" spans="3:10" ht="37.5" x14ac:dyDescent="0.25">
      <c r="C24" s="6454"/>
      <c r="D24" s="4703" t="s">
        <v>1064</v>
      </c>
      <c r="E24" s="4710" t="s">
        <v>2052</v>
      </c>
      <c r="F24" s="6467"/>
      <c r="G24" s="6454"/>
      <c r="H24" s="4704" t="s">
        <v>2053</v>
      </c>
      <c r="I24" s="4700">
        <v>7</v>
      </c>
      <c r="J24" s="4699"/>
    </row>
    <row r="25" spans="3:10" ht="75" x14ac:dyDescent="0.25">
      <c r="C25" s="4700">
        <v>5</v>
      </c>
      <c r="D25" s="4701" t="s">
        <v>59</v>
      </c>
      <c r="E25" s="4702" t="s">
        <v>2054</v>
      </c>
      <c r="F25" s="4700" t="s">
        <v>2055</v>
      </c>
      <c r="G25" s="4700">
        <v>11</v>
      </c>
      <c r="H25" s="4700" t="s">
        <v>2056</v>
      </c>
      <c r="I25" s="4700">
        <v>11</v>
      </c>
      <c r="J25" s="4699"/>
    </row>
    <row r="26" spans="3:10" ht="102.75" customHeight="1" x14ac:dyDescent="0.25">
      <c r="C26" s="4700">
        <v>6</v>
      </c>
      <c r="D26" s="4701" t="s">
        <v>95</v>
      </c>
      <c r="E26" s="4702" t="s">
        <v>2057</v>
      </c>
      <c r="F26" s="4700" t="s">
        <v>2058</v>
      </c>
      <c r="G26" s="4700">
        <v>20</v>
      </c>
      <c r="H26" s="4700" t="s">
        <v>2059</v>
      </c>
      <c r="I26" s="4700">
        <v>22</v>
      </c>
      <c r="J26" s="4699"/>
    </row>
    <row r="27" spans="3:10" ht="150" x14ac:dyDescent="0.25">
      <c r="C27" s="4700">
        <v>7</v>
      </c>
      <c r="D27" s="4701" t="s">
        <v>1297</v>
      </c>
      <c r="E27" s="4702" t="s">
        <v>2060</v>
      </c>
      <c r="F27" s="4700" t="s">
        <v>2061</v>
      </c>
      <c r="G27" s="4700">
        <v>20</v>
      </c>
      <c r="H27" s="4700" t="s">
        <v>2062</v>
      </c>
      <c r="I27" s="4700">
        <v>20</v>
      </c>
      <c r="J27" s="4699"/>
    </row>
    <row r="28" spans="3:10" ht="56.25" x14ac:dyDescent="0.25">
      <c r="C28" s="4700">
        <v>8</v>
      </c>
      <c r="D28" s="4701" t="s">
        <v>726</v>
      </c>
      <c r="E28" s="4702" t="s">
        <v>2063</v>
      </c>
      <c r="F28" s="4700" t="s">
        <v>2064</v>
      </c>
      <c r="G28" s="4700">
        <v>16</v>
      </c>
      <c r="H28" s="4700" t="s">
        <v>2065</v>
      </c>
      <c r="I28" s="4700">
        <v>18</v>
      </c>
      <c r="J28" s="4704" t="s">
        <v>2083</v>
      </c>
    </row>
    <row r="29" spans="3:10" ht="37.5" x14ac:dyDescent="0.25">
      <c r="C29" s="4700">
        <v>9</v>
      </c>
      <c r="D29" s="4701" t="s">
        <v>2066</v>
      </c>
      <c r="E29" s="4702" t="s">
        <v>2067</v>
      </c>
      <c r="F29" s="4700"/>
      <c r="G29" s="4700">
        <v>45</v>
      </c>
      <c r="H29" s="4700"/>
      <c r="I29" s="4700"/>
      <c r="J29" s="4699"/>
    </row>
    <row r="30" spans="3:10" ht="18.75" x14ac:dyDescent="0.25">
      <c r="C30" s="6452">
        <v>10</v>
      </c>
      <c r="D30" s="6455" t="s">
        <v>2068</v>
      </c>
      <c r="E30" s="4713" t="s">
        <v>2069</v>
      </c>
      <c r="F30" s="4714" t="s">
        <v>2070</v>
      </c>
      <c r="G30" s="4715">
        <v>19</v>
      </c>
      <c r="H30" s="4714" t="s">
        <v>2071</v>
      </c>
      <c r="I30" s="4715">
        <v>19</v>
      </c>
      <c r="J30" s="4699"/>
    </row>
    <row r="31" spans="3:10" ht="18.75" x14ac:dyDescent="0.25">
      <c r="C31" s="6453"/>
      <c r="D31" s="6456"/>
      <c r="E31" s="4713" t="s">
        <v>2072</v>
      </c>
      <c r="F31" s="4714" t="s">
        <v>2073</v>
      </c>
      <c r="G31" s="4715">
        <v>5</v>
      </c>
      <c r="H31" s="4714" t="s">
        <v>2074</v>
      </c>
      <c r="I31" s="4715">
        <v>5</v>
      </c>
      <c r="J31" s="4699"/>
    </row>
    <row r="32" spans="3:10" ht="18.75" x14ac:dyDescent="0.25">
      <c r="C32" s="6454"/>
      <c r="D32" s="6457"/>
      <c r="E32" s="4713" t="s">
        <v>2075</v>
      </c>
      <c r="F32" s="4714" t="s">
        <v>2076</v>
      </c>
      <c r="G32" s="4715">
        <v>8</v>
      </c>
      <c r="H32" s="4714" t="s">
        <v>2077</v>
      </c>
      <c r="I32" s="4715">
        <v>8</v>
      </c>
      <c r="J32" s="4699"/>
    </row>
    <row r="33" spans="3:10" s="280" customFormat="1" ht="18.75" x14ac:dyDescent="0.3">
      <c r="C33" s="4700">
        <v>11</v>
      </c>
      <c r="D33" s="4701" t="s">
        <v>2078</v>
      </c>
      <c r="E33" s="4702" t="s">
        <v>2079</v>
      </c>
      <c r="F33" s="4716"/>
      <c r="G33" s="4716">
        <v>4</v>
      </c>
      <c r="H33" s="4716" t="s">
        <v>2080</v>
      </c>
      <c r="I33" s="4716">
        <v>3</v>
      </c>
      <c r="J33" s="4717"/>
    </row>
  </sheetData>
  <mergeCells count="13">
    <mergeCell ref="C30:C32"/>
    <mergeCell ref="D30:D32"/>
    <mergeCell ref="C4:C5"/>
    <mergeCell ref="D4:D5"/>
    <mergeCell ref="F4:J4"/>
    <mergeCell ref="C7:C8"/>
    <mergeCell ref="E7:E8"/>
    <mergeCell ref="C9:C11"/>
    <mergeCell ref="C12:C24"/>
    <mergeCell ref="D16:D17"/>
    <mergeCell ref="G16:G24"/>
    <mergeCell ref="D18:D20"/>
    <mergeCell ref="F20:F2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44</vt:i4>
      </vt:variant>
      <vt:variant>
        <vt:lpstr>Named Ranges</vt:lpstr>
      </vt:variant>
      <vt:variant>
        <vt:i4>29</vt:i4>
      </vt:variant>
    </vt:vector>
  </HeadingPairs>
  <TitlesOfParts>
    <vt:vector size="73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with diff nomenclature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</vt:lpstr>
      <vt:lpstr>Slag Rate and IOF</vt:lpstr>
      <vt:lpstr>Special steel </vt:lpstr>
      <vt:lpstr>shopwise make up water</vt:lpstr>
      <vt:lpstr>Slag Analysis</vt:lpstr>
      <vt:lpstr>Shopwise Refractory consumption</vt:lpstr>
      <vt:lpstr>Delay Analysis</vt:lpstr>
      <vt:lpstr>Sheet1</vt:lpstr>
      <vt:lpstr>Sheet2</vt:lpstr>
      <vt:lpstr>Capital Repair</vt:lpstr>
      <vt:lpstr>Sheet3</vt:lpstr>
      <vt:lpstr>Sheet4</vt:lpstr>
      <vt:lpstr>Sheet5</vt:lpstr>
      <vt:lpstr>Sheet6</vt:lpstr>
      <vt:lpstr>'150x150 saleable grades'!Print_Area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Quality!Print_Area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'with diff nomenclature'!Print_Area</vt:lpstr>
      <vt:lpstr>WRM!Print_Area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2026-07-08T09:02:09Z</dcterms:modified>
</cp:coreProperties>
</file>